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valade/Documents/GitHub/Wood-Carbon/rawData/"/>
    </mc:Choice>
  </mc:AlternateContent>
  <xr:revisionPtr revIDLastSave="0" documentId="13_ncr:1_{737FAF06-AEF4-2142-A92C-90D22289B5A1}" xr6:coauthVersionLast="47" xr6:coauthVersionMax="47" xr10:uidLastSave="{00000000-0000-0000-0000-000000000000}"/>
  <bookViews>
    <workbookView xWindow="38560" yWindow="-21480" windowWidth="36400" windowHeight="18920" xr2:uid="{00000000-000D-0000-FFFF-FFFF00000000}"/>
  </bookViews>
  <sheets>
    <sheet name="Sheet1" sheetId="1" r:id="rId1"/>
    <sheet name="Sheet2" sheetId="2" r:id="rId2"/>
    <sheet name="Conversions" sheetId="3" r:id="rId3"/>
    <sheet name="Palette_in_use" sheetId="4" r:id="rId4"/>
    <sheet name="SL_Extractions_v5" sheetId="5" r:id="rId5"/>
    <sheet name="VB_Extractions_v5" sheetId="6" r:id="rId6"/>
    <sheet name="QC_Aude" sheetId="7" r:id="rId7"/>
    <sheet name="QC_indicators" sheetId="8" r:id="rId8"/>
    <sheet name="TO DO" sheetId="9" r:id="rId9"/>
  </sheets>
  <externalReferences>
    <externalReference r:id="rId10"/>
    <externalReference r:id="rId11"/>
    <externalReference r:id="rId12"/>
    <externalReference r:id="rId13"/>
    <externalReference r:id="rId14"/>
  </externalReferences>
  <definedNames>
    <definedName name="_xlnm._FilterDatabase" localSheetId="0" hidden="1">Sheet1!$A$7:$HT$1745</definedName>
    <definedName name="C_to_CO2">Conversions!$B$5</definedName>
    <definedName name="kg_to_m3">Conversions!$B$3</definedName>
    <definedName name="t_to_m3">Conversions!$B$2</definedName>
    <definedName name="tC_to_m3">Conversions!$B$4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F71" i="1" l="1" a="1"/>
  <c r="BF71" i="1" s="1"/>
  <c r="BF72" i="1" a="1"/>
  <c r="BF72" i="1" s="1"/>
  <c r="BF89" i="1" a="1"/>
  <c r="BF89" i="1" s="1"/>
  <c r="BF86" i="1" a="1"/>
  <c r="BF86" i="1" s="1"/>
  <c r="BF87" i="1" a="1"/>
  <c r="BF87" i="1" s="1"/>
  <c r="BF84" i="1" a="1"/>
  <c r="BF84" i="1" s="1"/>
  <c r="BF93" i="1" a="1"/>
  <c r="BF93" i="1" s="1"/>
  <c r="BF95" i="1" a="1"/>
  <c r="BF95" i="1" s="1"/>
  <c r="BF96" i="1" a="1"/>
  <c r="BF96" i="1" s="1"/>
  <c r="BF103" i="1" a="1"/>
  <c r="BF103" i="1" s="1"/>
  <c r="BF57" i="1" a="1"/>
  <c r="BF57" i="1" s="1"/>
  <c r="BF51" i="1" a="1"/>
  <c r="BF51" i="1" s="1"/>
  <c r="BF82" i="1" a="1"/>
  <c r="BF82" i="1" s="1"/>
  <c r="BF99" i="1" a="1"/>
  <c r="BF99" i="1" s="1"/>
  <c r="BF59" i="1" a="1"/>
  <c r="BF59" i="1" s="1"/>
  <c r="BF70" i="1" a="1"/>
  <c r="BF70" i="1" s="1"/>
  <c r="BF67" i="1" a="1"/>
  <c r="BF67" i="1" s="1"/>
  <c r="BF50" i="1" a="1"/>
  <c r="BF50" i="1" s="1"/>
  <c r="BF61" i="1" a="1"/>
  <c r="BF61" i="1" s="1"/>
  <c r="BF49" i="1" a="1"/>
  <c r="BF49" i="1" s="1"/>
  <c r="BF60" i="1" a="1"/>
  <c r="BF60" i="1" s="1"/>
  <c r="BF48" i="1" a="1"/>
  <c r="BF48" i="1" s="1"/>
  <c r="BF36" i="1" a="1"/>
  <c r="BF36" i="1" s="1"/>
  <c r="BF80" i="1" a="1"/>
  <c r="BF80" i="1" s="1"/>
  <c r="BF46" i="1" a="1"/>
  <c r="BF46" i="1" s="1"/>
  <c r="BF83" i="1" a="1"/>
  <c r="BF83" i="1" s="1"/>
  <c r="BF68" i="1" a="1"/>
  <c r="BF68" i="1" s="1"/>
  <c r="BF55" i="1" a="1"/>
  <c r="BF55" i="1" s="1"/>
  <c r="BF88" i="1" a="1"/>
  <c r="BF88" i="1" s="1"/>
  <c r="BF54" i="1" a="1"/>
  <c r="BF54" i="1" s="1"/>
  <c r="BF81" i="1" a="1"/>
  <c r="BF81" i="1" s="1"/>
  <c r="BF90" i="1" a="1"/>
  <c r="BF90" i="1" s="1"/>
  <c r="BF40" i="1" a="1"/>
  <c r="BF40" i="1" s="1"/>
  <c r="BF106" i="1" a="1"/>
  <c r="BF106" i="1" s="1"/>
  <c r="BF65" i="1" a="1"/>
  <c r="BF65" i="1" s="1"/>
  <c r="BF44" i="1" a="1"/>
  <c r="BF44" i="1" s="1"/>
  <c r="BF107" i="1" a="1"/>
  <c r="BF107" i="1" s="1"/>
  <c r="BF74" i="1" a="1"/>
  <c r="BF74" i="1" s="1"/>
  <c r="BF63" i="1" a="1"/>
  <c r="BF63" i="1" s="1"/>
  <c r="BF73" i="1" a="1"/>
  <c r="BF73" i="1" s="1"/>
  <c r="BF52" i="1" a="1"/>
  <c r="BF52" i="1" s="1"/>
  <c r="BF41" i="1" a="1"/>
  <c r="BF41" i="1" s="1"/>
  <c r="BF64" i="1" a="1"/>
  <c r="BF64" i="1" s="1"/>
  <c r="BF102" i="1" a="1"/>
  <c r="BF102" i="1" s="1"/>
  <c r="BF77" i="1" a="1"/>
  <c r="BF77" i="1" s="1"/>
  <c r="BF104" i="1" a="1"/>
  <c r="BF104" i="1" s="1"/>
  <c r="BF43" i="1" a="1"/>
  <c r="BF43" i="1" s="1"/>
  <c r="BF105" i="1" a="1"/>
  <c r="BF105" i="1" s="1"/>
  <c r="BF42" i="1" a="1"/>
  <c r="BF42" i="1" s="1"/>
  <c r="BF98" i="1" a="1"/>
  <c r="BF98" i="1" s="1"/>
  <c r="BF79" i="1" a="1"/>
  <c r="BF79" i="1" s="1"/>
  <c r="BF78" i="1" a="1"/>
  <c r="BF78" i="1" s="1"/>
  <c r="BF53" i="1" a="1"/>
  <c r="BF53" i="1" s="1"/>
  <c r="BF38" i="1" a="1"/>
  <c r="BF38" i="1" s="1"/>
  <c r="BF37" i="1" a="1"/>
  <c r="BF37" i="1" s="1"/>
  <c r="BF100" i="1" a="1"/>
  <c r="BF100" i="1" s="1"/>
  <c r="BF94" i="1" a="1"/>
  <c r="BF94" i="1" s="1"/>
  <c r="BF56" i="1" a="1"/>
  <c r="BF56" i="1" s="1"/>
  <c r="BF39" i="1" a="1"/>
  <c r="BF39" i="1" s="1"/>
  <c r="BF45" i="1" a="1"/>
  <c r="BF45" i="1" s="1"/>
  <c r="BF47" i="1" a="1"/>
  <c r="BF47" i="1" s="1"/>
  <c r="BF76" i="1" a="1"/>
  <c r="BF76" i="1" s="1"/>
  <c r="BF69" i="1" a="1"/>
  <c r="BF69" i="1" s="1"/>
  <c r="BF97" i="1" a="1"/>
  <c r="BF97" i="1" s="1"/>
  <c r="BF91" i="1" a="1"/>
  <c r="BF91" i="1" s="1"/>
  <c r="BF85" i="1" a="1"/>
  <c r="BF85" i="1" s="1"/>
  <c r="BF101" i="1" a="1"/>
  <c r="BF101" i="1" s="1"/>
  <c r="BF92" i="1" a="1"/>
  <c r="BF92" i="1" s="1"/>
  <c r="BF26" i="1" a="1"/>
  <c r="BF26" i="1" s="1"/>
  <c r="BF58" i="1" a="1"/>
  <c r="BF58" i="1" s="1"/>
  <c r="BF35" i="1" a="1"/>
  <c r="BF35" i="1" s="1"/>
  <c r="BF34" i="1" a="1"/>
  <c r="BF34" i="1" s="1"/>
  <c r="BF30" i="1" a="1"/>
  <c r="BF30" i="1" s="1"/>
  <c r="BF62" i="1" a="1"/>
  <c r="BF62" i="1" s="1"/>
  <c r="BF27" i="1" a="1"/>
  <c r="BF27" i="1" s="1"/>
  <c r="BF75" i="1" a="1"/>
  <c r="BF75" i="1" s="1"/>
  <c r="BF66" i="1" a="1"/>
  <c r="BF66" i="1" s="1"/>
  <c r="BF28" i="1" a="1"/>
  <c r="BF28" i="1" s="1"/>
  <c r="BF32" i="1" a="1"/>
  <c r="BF32" i="1" s="1"/>
  <c r="BF29" i="1" a="1"/>
  <c r="BF29" i="1" s="1"/>
  <c r="BF33" i="1" a="1"/>
  <c r="BF33" i="1" s="1"/>
  <c r="BF31" i="1" a="1"/>
  <c r="BF31" i="1" s="1"/>
  <c r="EM1685" i="1"/>
  <c r="EL1685" i="1"/>
  <c r="EK1685" i="1"/>
  <c r="BY1685" i="1"/>
  <c r="EP1685" i="1" s="1"/>
  <c r="M1685" i="1"/>
  <c r="EM1665" i="1"/>
  <c r="EL1665" i="1"/>
  <c r="EK1665" i="1"/>
  <c r="BY1665" i="1"/>
  <c r="EP1665" i="1" s="1"/>
  <c r="M1665" i="1"/>
  <c r="EM1513" i="1"/>
  <c r="EL1513" i="1"/>
  <c r="EK1513" i="1"/>
  <c r="BY1513" i="1"/>
  <c r="EP1513" i="1" s="1"/>
  <c r="M1513" i="1"/>
  <c r="EM1487" i="1"/>
  <c r="EL1487" i="1"/>
  <c r="EK1487" i="1"/>
  <c r="BY1487" i="1"/>
  <c r="EP1487" i="1" s="1"/>
  <c r="M1487" i="1"/>
  <c r="EM1344" i="1"/>
  <c r="EL1344" i="1"/>
  <c r="EK1344" i="1"/>
  <c r="BY1344" i="1"/>
  <c r="EP1344" i="1" s="1"/>
  <c r="M1344" i="1"/>
  <c r="EM1155" i="1"/>
  <c r="EL1155" i="1"/>
  <c r="EK1155" i="1"/>
  <c r="BY1155" i="1"/>
  <c r="EP1155" i="1" s="1"/>
  <c r="M1155" i="1"/>
  <c r="EM1128" i="1"/>
  <c r="EL1128" i="1"/>
  <c r="EK1128" i="1"/>
  <c r="BY1128" i="1"/>
  <c r="EP1128" i="1" s="1"/>
  <c r="M1128" i="1"/>
  <c r="EM1061" i="1"/>
  <c r="EL1061" i="1"/>
  <c r="EK1061" i="1"/>
  <c r="DU1061" i="1"/>
  <c r="DN1061" i="1"/>
  <c r="DM1061" i="1"/>
  <c r="DL1061" i="1"/>
  <c r="DK1061" i="1"/>
  <c r="DI1061" i="1"/>
  <c r="DJ1061" i="1" s="1"/>
  <c r="CV1061" i="1"/>
  <c r="BY1061" i="1"/>
  <c r="EP1061" i="1" s="1"/>
  <c r="BM1061" i="1"/>
  <c r="AY1061" i="1"/>
  <c r="AX1061" i="1"/>
  <c r="M1061" i="1"/>
  <c r="EM1036" i="1"/>
  <c r="EL1036" i="1"/>
  <c r="EK1036" i="1"/>
  <c r="BY1036" i="1"/>
  <c r="EP1036" i="1" s="1"/>
  <c r="M1036" i="1"/>
  <c r="EM1006" i="1"/>
  <c r="EL1006" i="1"/>
  <c r="EK1006" i="1"/>
  <c r="BY1006" i="1"/>
  <c r="EP1006" i="1" s="1"/>
  <c r="M1006" i="1"/>
  <c r="EM948" i="1"/>
  <c r="EL948" i="1"/>
  <c r="EK948" i="1"/>
  <c r="BY948" i="1"/>
  <c r="EP948" i="1" s="1"/>
  <c r="M948" i="1"/>
  <c r="EM816" i="1"/>
  <c r="EL816" i="1"/>
  <c r="EK816" i="1"/>
  <c r="BY816" i="1"/>
  <c r="EP816" i="1" s="1"/>
  <c r="M816" i="1"/>
  <c r="EM806" i="1"/>
  <c r="EL806" i="1"/>
  <c r="EK806" i="1"/>
  <c r="BY806" i="1"/>
  <c r="EP806" i="1" s="1"/>
  <c r="M806" i="1"/>
  <c r="EM779" i="1"/>
  <c r="EL779" i="1"/>
  <c r="EK779" i="1"/>
  <c r="BY779" i="1"/>
  <c r="EP779" i="1" s="1"/>
  <c r="AY779" i="1"/>
  <c r="AX779" i="1"/>
  <c r="M779" i="1"/>
  <c r="EM770" i="1"/>
  <c r="EL770" i="1"/>
  <c r="EK770" i="1"/>
  <c r="BY770" i="1"/>
  <c r="EP770" i="1" s="1"/>
  <c r="M770" i="1"/>
  <c r="EM710" i="1"/>
  <c r="EL710" i="1"/>
  <c r="EK710" i="1"/>
  <c r="BY710" i="1"/>
  <c r="EP710" i="1" s="1"/>
  <c r="M710" i="1"/>
  <c r="EM663" i="1"/>
  <c r="EL663" i="1"/>
  <c r="EK663" i="1"/>
  <c r="BY663" i="1"/>
  <c r="EP663" i="1" s="1"/>
  <c r="M663" i="1"/>
  <c r="EM662" i="1"/>
  <c r="EL662" i="1"/>
  <c r="EK662" i="1"/>
  <c r="BY662" i="1"/>
  <c r="EP662" i="1" s="1"/>
  <c r="M662" i="1"/>
  <c r="EM605" i="1"/>
  <c r="EL605" i="1"/>
  <c r="EK605" i="1"/>
  <c r="BY605" i="1"/>
  <c r="EP605" i="1" s="1"/>
  <c r="M605" i="1"/>
  <c r="EM510" i="1"/>
  <c r="EL510" i="1"/>
  <c r="EK510" i="1"/>
  <c r="BY510" i="1"/>
  <c r="EP510" i="1" s="1"/>
  <c r="M510" i="1"/>
  <c r="EM381" i="1"/>
  <c r="EL381" i="1"/>
  <c r="EK381" i="1"/>
  <c r="BY381" i="1"/>
  <c r="EP381" i="1" s="1"/>
  <c r="M381" i="1"/>
  <c r="EM295" i="1"/>
  <c r="EL295" i="1"/>
  <c r="EK295" i="1"/>
  <c r="BY295" i="1"/>
  <c r="EP295" i="1" s="1"/>
  <c r="M295" i="1"/>
  <c r="EM1432" i="1"/>
  <c r="EL1432" i="1"/>
  <c r="EK1432" i="1"/>
  <c r="BY1432" i="1"/>
  <c r="EP1432" i="1" s="1"/>
  <c r="M1432" i="1"/>
  <c r="EM1574" i="1"/>
  <c r="EL1574" i="1"/>
  <c r="EK1574" i="1"/>
  <c r="BY1574" i="1"/>
  <c r="EP1574" i="1" s="1"/>
  <c r="M1574" i="1"/>
  <c r="EM1534" i="1"/>
  <c r="EL1534" i="1"/>
  <c r="EK1534" i="1"/>
  <c r="BY1534" i="1"/>
  <c r="EP1534" i="1" s="1"/>
  <c r="M1534" i="1"/>
  <c r="EM1517" i="1"/>
  <c r="EL1517" i="1"/>
  <c r="EK1517" i="1"/>
  <c r="BY1517" i="1"/>
  <c r="EP1517" i="1" s="1"/>
  <c r="M1517" i="1"/>
  <c r="EM1510" i="1"/>
  <c r="EL1510" i="1"/>
  <c r="EK1510" i="1"/>
  <c r="BY1510" i="1"/>
  <c r="EP1510" i="1" s="1"/>
  <c r="M1510" i="1"/>
  <c r="EM1496" i="1"/>
  <c r="EL1496" i="1"/>
  <c r="EK1496" i="1"/>
  <c r="BY1496" i="1"/>
  <c r="EP1496" i="1" s="1"/>
  <c r="M1496" i="1"/>
  <c r="EM1442" i="1"/>
  <c r="EL1442" i="1"/>
  <c r="EK1442" i="1"/>
  <c r="BY1442" i="1"/>
  <c r="EP1442" i="1" s="1"/>
  <c r="M1442" i="1"/>
  <c r="EM1370" i="1"/>
  <c r="EL1370" i="1"/>
  <c r="EK1370" i="1"/>
  <c r="BY1370" i="1"/>
  <c r="EP1370" i="1" s="1"/>
  <c r="M1370" i="1"/>
  <c r="EM1319" i="1"/>
  <c r="EL1319" i="1"/>
  <c r="EK1319" i="1"/>
  <c r="BY1319" i="1"/>
  <c r="EP1319" i="1" s="1"/>
  <c r="M1319" i="1"/>
  <c r="EM1000" i="1"/>
  <c r="EL1000" i="1"/>
  <c r="EK1000" i="1"/>
  <c r="BY1000" i="1"/>
  <c r="EP1000" i="1" s="1"/>
  <c r="M1000" i="1"/>
  <c r="EM962" i="1"/>
  <c r="EL962" i="1"/>
  <c r="EK962" i="1"/>
  <c r="BY962" i="1"/>
  <c r="EP962" i="1" s="1"/>
  <c r="M962" i="1"/>
  <c r="EM949" i="1"/>
  <c r="EL949" i="1"/>
  <c r="EK949" i="1"/>
  <c r="BY949" i="1"/>
  <c r="EP949" i="1" s="1"/>
  <c r="M949" i="1"/>
  <c r="EM854" i="1"/>
  <c r="EL854" i="1"/>
  <c r="EK854" i="1"/>
  <c r="BY854" i="1"/>
  <c r="EP854" i="1" s="1"/>
  <c r="M854" i="1"/>
  <c r="EM853" i="1"/>
  <c r="EL853" i="1"/>
  <c r="EK853" i="1"/>
  <c r="BY853" i="1"/>
  <c r="EP853" i="1" s="1"/>
  <c r="M853" i="1"/>
  <c r="EM808" i="1"/>
  <c r="EL808" i="1"/>
  <c r="EK808" i="1"/>
  <c r="BY808" i="1"/>
  <c r="EP808" i="1" s="1"/>
  <c r="M808" i="1"/>
  <c r="EM641" i="1"/>
  <c r="EL641" i="1"/>
  <c r="EK641" i="1"/>
  <c r="BY641" i="1"/>
  <c r="EP641" i="1" s="1"/>
  <c r="M641" i="1"/>
  <c r="EM500" i="1"/>
  <c r="EL500" i="1"/>
  <c r="EK500" i="1"/>
  <c r="BY500" i="1"/>
  <c r="EP500" i="1" s="1"/>
  <c r="M500" i="1"/>
  <c r="EM499" i="1"/>
  <c r="EL499" i="1"/>
  <c r="EK499" i="1"/>
  <c r="BY499" i="1"/>
  <c r="EP499" i="1" s="1"/>
  <c r="M499" i="1"/>
  <c r="EM470" i="1"/>
  <c r="EL470" i="1"/>
  <c r="EK470" i="1"/>
  <c r="BY470" i="1"/>
  <c r="EP470" i="1" s="1"/>
  <c r="M470" i="1"/>
  <c r="EM469" i="1"/>
  <c r="EL469" i="1"/>
  <c r="EK469" i="1"/>
  <c r="BY469" i="1"/>
  <c r="EP469" i="1" s="1"/>
  <c r="M469" i="1"/>
  <c r="EM429" i="1"/>
  <c r="EL429" i="1"/>
  <c r="EK429" i="1"/>
  <c r="BY429" i="1"/>
  <c r="EP429" i="1" s="1"/>
  <c r="M429" i="1"/>
  <c r="EM428" i="1"/>
  <c r="EL428" i="1"/>
  <c r="EK428" i="1"/>
  <c r="BY428" i="1"/>
  <c r="EP428" i="1" s="1"/>
  <c r="M428" i="1"/>
  <c r="EM412" i="1"/>
  <c r="EL412" i="1"/>
  <c r="EK412" i="1"/>
  <c r="BY412" i="1"/>
  <c r="EP412" i="1" s="1"/>
  <c r="M412" i="1"/>
  <c r="EM411" i="1"/>
  <c r="EL411" i="1"/>
  <c r="EK411" i="1"/>
  <c r="BY411" i="1"/>
  <c r="EP411" i="1" s="1"/>
  <c r="M411" i="1"/>
  <c r="EM382" i="1"/>
  <c r="EL382" i="1"/>
  <c r="EK382" i="1"/>
  <c r="BY382" i="1"/>
  <c r="EP382" i="1" s="1"/>
  <c r="M382" i="1"/>
  <c r="EM289" i="1"/>
  <c r="EL289" i="1"/>
  <c r="EK289" i="1"/>
  <c r="BY289" i="1"/>
  <c r="EP289" i="1" s="1"/>
  <c r="M289" i="1"/>
  <c r="EM288" i="1"/>
  <c r="EL288" i="1"/>
  <c r="EK288" i="1"/>
  <c r="BY288" i="1"/>
  <c r="EP288" i="1" s="1"/>
  <c r="M288" i="1"/>
  <c r="EM125" i="1"/>
  <c r="EL125" i="1"/>
  <c r="EK125" i="1"/>
  <c r="BY125" i="1"/>
  <c r="EP125" i="1" s="1"/>
  <c r="M125" i="1"/>
  <c r="EM1678" i="1"/>
  <c r="EL1678" i="1"/>
  <c r="EK1678" i="1"/>
  <c r="BY1678" i="1"/>
  <c r="EP1678" i="1" s="1"/>
  <c r="M1678" i="1"/>
  <c r="EM1668" i="1"/>
  <c r="EL1668" i="1"/>
  <c r="EK1668" i="1"/>
  <c r="BY1668" i="1"/>
  <c r="EP1668" i="1" s="1"/>
  <c r="M1668" i="1"/>
  <c r="EM1666" i="1"/>
  <c r="EL1666" i="1"/>
  <c r="EK1666" i="1"/>
  <c r="BY1666" i="1"/>
  <c r="EP1666" i="1" s="1"/>
  <c r="M1666" i="1"/>
  <c r="EM1662" i="1"/>
  <c r="EL1662" i="1"/>
  <c r="EK1662" i="1"/>
  <c r="BY1662" i="1"/>
  <c r="EP1662" i="1" s="1"/>
  <c r="M1662" i="1"/>
  <c r="EM1605" i="1"/>
  <c r="EL1605" i="1"/>
  <c r="EK1605" i="1"/>
  <c r="BY1605" i="1"/>
  <c r="EP1605" i="1" s="1"/>
  <c r="M1605" i="1"/>
  <c r="EM1537" i="1"/>
  <c r="EL1537" i="1"/>
  <c r="EK1537" i="1"/>
  <c r="BY1537" i="1"/>
  <c r="EP1537" i="1" s="1"/>
  <c r="M1537" i="1"/>
  <c r="EM1535" i="1"/>
  <c r="EL1535" i="1"/>
  <c r="EK1535" i="1"/>
  <c r="BY1535" i="1"/>
  <c r="EP1535" i="1" s="1"/>
  <c r="M1535" i="1"/>
  <c r="EM1509" i="1"/>
  <c r="EL1509" i="1"/>
  <c r="EK1509" i="1"/>
  <c r="BY1509" i="1"/>
  <c r="EP1509" i="1" s="1"/>
  <c r="M1509" i="1"/>
  <c r="EM1167" i="1"/>
  <c r="EL1167" i="1"/>
  <c r="EK1167" i="1"/>
  <c r="BY1167" i="1"/>
  <c r="EP1167" i="1" s="1"/>
  <c r="M1167" i="1"/>
  <c r="EM946" i="1"/>
  <c r="EL946" i="1"/>
  <c r="EK946" i="1"/>
  <c r="BY946" i="1"/>
  <c r="EP946" i="1" s="1"/>
  <c r="AY946" i="1"/>
  <c r="AX946" i="1"/>
  <c r="M946" i="1"/>
  <c r="EM938" i="1"/>
  <c r="EL938" i="1"/>
  <c r="EK938" i="1"/>
  <c r="BY938" i="1"/>
  <c r="EP938" i="1" s="1"/>
  <c r="M938" i="1"/>
  <c r="EM922" i="1"/>
  <c r="EL922" i="1"/>
  <c r="EK922" i="1"/>
  <c r="BY922" i="1"/>
  <c r="EP922" i="1" s="1"/>
  <c r="AY922" i="1"/>
  <c r="AX922" i="1"/>
  <c r="M922" i="1"/>
  <c r="EM908" i="1"/>
  <c r="EL908" i="1"/>
  <c r="EK908" i="1"/>
  <c r="BY908" i="1"/>
  <c r="EP908" i="1" s="1"/>
  <c r="M908" i="1"/>
  <c r="EM904" i="1"/>
  <c r="EL904" i="1"/>
  <c r="EK904" i="1"/>
  <c r="BY904" i="1"/>
  <c r="EP904" i="1" s="1"/>
  <c r="M904" i="1"/>
  <c r="EM827" i="1"/>
  <c r="EL827" i="1"/>
  <c r="EK827" i="1"/>
  <c r="BY827" i="1"/>
  <c r="EP827" i="1" s="1"/>
  <c r="M827" i="1"/>
  <c r="EM826" i="1"/>
  <c r="EL826" i="1"/>
  <c r="EK826" i="1"/>
  <c r="BY826" i="1"/>
  <c r="EP826" i="1" s="1"/>
  <c r="M826" i="1"/>
  <c r="EM823" i="1"/>
  <c r="EL823" i="1"/>
  <c r="EK823" i="1"/>
  <c r="BY823" i="1"/>
  <c r="EP823" i="1" s="1"/>
  <c r="M823" i="1"/>
  <c r="EM777" i="1"/>
  <c r="EL777" i="1"/>
  <c r="EK777" i="1"/>
  <c r="BY777" i="1"/>
  <c r="EP777" i="1" s="1"/>
  <c r="M777" i="1"/>
  <c r="EM769" i="1"/>
  <c r="EL769" i="1"/>
  <c r="EK769" i="1"/>
  <c r="BY769" i="1"/>
  <c r="EP769" i="1" s="1"/>
  <c r="M769" i="1"/>
  <c r="EM649" i="1"/>
  <c r="EL649" i="1"/>
  <c r="EK649" i="1"/>
  <c r="BY649" i="1"/>
  <c r="EP649" i="1" s="1"/>
  <c r="AY649" i="1"/>
  <c r="AX649" i="1"/>
  <c r="M649" i="1"/>
  <c r="EM601" i="1"/>
  <c r="EL601" i="1"/>
  <c r="EK601" i="1"/>
  <c r="BY601" i="1"/>
  <c r="EP601" i="1" s="1"/>
  <c r="M601" i="1"/>
  <c r="EM414" i="1"/>
  <c r="EL414" i="1"/>
  <c r="EK414" i="1"/>
  <c r="DU414" i="1"/>
  <c r="DT414" i="1"/>
  <c r="DN414" i="1"/>
  <c r="DM414" i="1"/>
  <c r="DL414" i="1"/>
  <c r="DK414" i="1"/>
  <c r="DI414" i="1"/>
  <c r="DJ414" i="1" s="1"/>
  <c r="DC414" i="1"/>
  <c r="CX414" i="1"/>
  <c r="BY414" i="1"/>
  <c r="EP414" i="1" s="1"/>
  <c r="AY414" i="1"/>
  <c r="AX414" i="1"/>
  <c r="M414" i="1"/>
  <c r="EM413" i="1"/>
  <c r="EL413" i="1"/>
  <c r="EK413" i="1"/>
  <c r="DU413" i="1"/>
  <c r="DT413" i="1"/>
  <c r="DN413" i="1"/>
  <c r="DM413" i="1"/>
  <c r="DL413" i="1"/>
  <c r="DK413" i="1"/>
  <c r="DI413" i="1"/>
  <c r="DJ413" i="1" s="1"/>
  <c r="DC413" i="1"/>
  <c r="CX413" i="1"/>
  <c r="BY413" i="1"/>
  <c r="EP413" i="1" s="1"/>
  <c r="AY413" i="1"/>
  <c r="AX413" i="1"/>
  <c r="M413" i="1"/>
  <c r="EM410" i="1"/>
  <c r="EL410" i="1"/>
  <c r="EK410" i="1"/>
  <c r="BY410" i="1"/>
  <c r="EP410" i="1" s="1"/>
  <c r="M410" i="1"/>
  <c r="EM409" i="1"/>
  <c r="EL409" i="1"/>
  <c r="EK409" i="1"/>
  <c r="BY409" i="1"/>
  <c r="EP409" i="1" s="1"/>
  <c r="M409" i="1"/>
  <c r="EM287" i="1"/>
  <c r="EL287" i="1"/>
  <c r="EK287" i="1"/>
  <c r="BY287" i="1"/>
  <c r="EP287" i="1" s="1"/>
  <c r="M287" i="1"/>
  <c r="EM126" i="1"/>
  <c r="EL126" i="1"/>
  <c r="EK126" i="1"/>
  <c r="BY126" i="1"/>
  <c r="EP126" i="1" s="1"/>
  <c r="M126" i="1"/>
  <c r="EM25" i="1"/>
  <c r="EL25" i="1"/>
  <c r="EK25" i="1"/>
  <c r="CV25" i="1"/>
  <c r="CN25" i="1"/>
  <c r="BY25" i="1"/>
  <c r="EP25" i="1" s="1"/>
  <c r="M25" i="1"/>
  <c r="EM24" i="1"/>
  <c r="EL24" i="1"/>
  <c r="EK24" i="1"/>
  <c r="CV24" i="1"/>
  <c r="CN24" i="1"/>
  <c r="BY24" i="1"/>
  <c r="EP24" i="1" s="1"/>
  <c r="M24" i="1"/>
  <c r="EM23" i="1"/>
  <c r="EL23" i="1"/>
  <c r="EK23" i="1"/>
  <c r="CV23" i="1"/>
  <c r="CN23" i="1"/>
  <c r="BY23" i="1"/>
  <c r="EP23" i="1" s="1"/>
  <c r="M23" i="1"/>
  <c r="EM22" i="1"/>
  <c r="EL22" i="1"/>
  <c r="EK22" i="1"/>
  <c r="CV22" i="1"/>
  <c r="CN22" i="1"/>
  <c r="BY22" i="1"/>
  <c r="EP22" i="1" s="1"/>
  <c r="M22" i="1"/>
  <c r="EM21" i="1"/>
  <c r="EL21" i="1"/>
  <c r="EK21" i="1"/>
  <c r="CV21" i="1"/>
  <c r="CN21" i="1"/>
  <c r="BY21" i="1"/>
  <c r="EP21" i="1" s="1"/>
  <c r="M21" i="1"/>
  <c r="EM1014" i="1"/>
  <c r="EL1014" i="1"/>
  <c r="EK1014" i="1"/>
  <c r="BY1014" i="1"/>
  <c r="EP1014" i="1" s="1"/>
  <c r="M1014" i="1"/>
  <c r="EM201" i="1"/>
  <c r="EL201" i="1"/>
  <c r="EK201" i="1"/>
  <c r="BY201" i="1"/>
  <c r="EP201" i="1" s="1"/>
  <c r="M201" i="1"/>
  <c r="EM1677" i="1"/>
  <c r="EL1677" i="1"/>
  <c r="EK1677" i="1"/>
  <c r="BY1677" i="1"/>
  <c r="EP1677" i="1" s="1"/>
  <c r="M1677" i="1"/>
  <c r="EM1606" i="1"/>
  <c r="EL1606" i="1"/>
  <c r="EK1606" i="1"/>
  <c r="BY1606" i="1"/>
  <c r="EP1606" i="1" s="1"/>
  <c r="M1606" i="1"/>
  <c r="EM1579" i="1"/>
  <c r="EL1579" i="1"/>
  <c r="EK1579" i="1"/>
  <c r="BY1579" i="1"/>
  <c r="EP1579" i="1" s="1"/>
  <c r="M1579" i="1"/>
  <c r="EM1536" i="1"/>
  <c r="EL1536" i="1"/>
  <c r="EK1536" i="1"/>
  <c r="BY1536" i="1"/>
  <c r="EP1536" i="1" s="1"/>
  <c r="M1536" i="1"/>
  <c r="EM1515" i="1"/>
  <c r="EL1515" i="1"/>
  <c r="EK1515" i="1"/>
  <c r="BY1515" i="1"/>
  <c r="EP1515" i="1" s="1"/>
  <c r="M1515" i="1"/>
  <c r="EM1514" i="1"/>
  <c r="EL1514" i="1"/>
  <c r="EK1514" i="1"/>
  <c r="BY1514" i="1"/>
  <c r="EP1514" i="1" s="1"/>
  <c r="M1514" i="1"/>
  <c r="EM1497" i="1"/>
  <c r="EL1497" i="1"/>
  <c r="EK1497" i="1"/>
  <c r="BY1497" i="1"/>
  <c r="EP1497" i="1" s="1"/>
  <c r="M1497" i="1"/>
  <c r="EM1495" i="1"/>
  <c r="EL1495" i="1"/>
  <c r="EK1495" i="1"/>
  <c r="BY1495" i="1"/>
  <c r="EP1495" i="1" s="1"/>
  <c r="M1495" i="1"/>
  <c r="EM1443" i="1"/>
  <c r="EL1443" i="1"/>
  <c r="EK1443" i="1"/>
  <c r="BY1443" i="1"/>
  <c r="EP1443" i="1" s="1"/>
  <c r="M1443" i="1"/>
  <c r="EM1425" i="1"/>
  <c r="EL1425" i="1"/>
  <c r="EK1425" i="1"/>
  <c r="BY1425" i="1"/>
  <c r="EP1425" i="1" s="1"/>
  <c r="M1425" i="1"/>
  <c r="EM1316" i="1"/>
  <c r="EL1316" i="1"/>
  <c r="EK1316" i="1"/>
  <c r="BY1316" i="1"/>
  <c r="EP1316" i="1" s="1"/>
  <c r="M1316" i="1"/>
  <c r="EM1166" i="1"/>
  <c r="EL1166" i="1"/>
  <c r="EK1166" i="1"/>
  <c r="BY1166" i="1"/>
  <c r="EP1166" i="1" s="1"/>
  <c r="M1166" i="1"/>
  <c r="EM1101" i="1"/>
  <c r="EL1101" i="1"/>
  <c r="EK1101" i="1"/>
  <c r="BY1101" i="1"/>
  <c r="EP1101" i="1" s="1"/>
  <c r="M1101" i="1"/>
  <c r="EM1091" i="1"/>
  <c r="EL1091" i="1"/>
  <c r="EK1091" i="1"/>
  <c r="BY1091" i="1"/>
  <c r="EP1091" i="1" s="1"/>
  <c r="M1091" i="1"/>
  <c r="EM1035" i="1"/>
  <c r="EL1035" i="1"/>
  <c r="EK1035" i="1"/>
  <c r="BY1035" i="1"/>
  <c r="EP1035" i="1" s="1"/>
  <c r="M1035" i="1"/>
  <c r="EM1008" i="1"/>
  <c r="EL1008" i="1"/>
  <c r="EK1008" i="1"/>
  <c r="BY1008" i="1"/>
  <c r="EP1008" i="1" s="1"/>
  <c r="M1008" i="1"/>
  <c r="EM1007" i="1"/>
  <c r="EL1007" i="1"/>
  <c r="EK1007" i="1"/>
  <c r="BY1007" i="1"/>
  <c r="EP1007" i="1" s="1"/>
  <c r="AY1007" i="1"/>
  <c r="AX1007" i="1"/>
  <c r="M1007" i="1"/>
  <c r="EM988" i="1"/>
  <c r="EL988" i="1"/>
  <c r="EK988" i="1"/>
  <c r="BY988" i="1"/>
  <c r="EP988" i="1" s="1"/>
  <c r="M988" i="1"/>
  <c r="EM987" i="1"/>
  <c r="EL987" i="1"/>
  <c r="EK987" i="1"/>
  <c r="BY987" i="1"/>
  <c r="EP987" i="1" s="1"/>
  <c r="AY987" i="1"/>
  <c r="AX987" i="1"/>
  <c r="M987" i="1"/>
  <c r="EM986" i="1"/>
  <c r="EL986" i="1"/>
  <c r="EK986" i="1"/>
  <c r="BY986" i="1"/>
  <c r="EP986" i="1" s="1"/>
  <c r="M986" i="1"/>
  <c r="EM951" i="1"/>
  <c r="EL951" i="1"/>
  <c r="EK951" i="1"/>
  <c r="BY951" i="1"/>
  <c r="EP951" i="1" s="1"/>
  <c r="M951" i="1"/>
  <c r="EM950" i="1"/>
  <c r="EL950" i="1"/>
  <c r="EK950" i="1"/>
  <c r="BY950" i="1"/>
  <c r="EP950" i="1" s="1"/>
  <c r="M950" i="1"/>
  <c r="EM923" i="1"/>
  <c r="EL923" i="1"/>
  <c r="EK923" i="1"/>
  <c r="BY923" i="1"/>
  <c r="EP923" i="1" s="1"/>
  <c r="M923" i="1"/>
  <c r="EM884" i="1"/>
  <c r="EL884" i="1"/>
  <c r="EK884" i="1"/>
  <c r="BY884" i="1"/>
  <c r="EP884" i="1" s="1"/>
  <c r="M884" i="1"/>
  <c r="EM879" i="1"/>
  <c r="EL879" i="1"/>
  <c r="EK879" i="1"/>
  <c r="BY879" i="1"/>
  <c r="EP879" i="1" s="1"/>
  <c r="M879" i="1"/>
  <c r="EM815" i="1"/>
  <c r="EL815" i="1"/>
  <c r="EK815" i="1"/>
  <c r="BY815" i="1"/>
  <c r="EP815" i="1" s="1"/>
  <c r="M815" i="1"/>
  <c r="EM778" i="1"/>
  <c r="EL778" i="1"/>
  <c r="EK778" i="1"/>
  <c r="BY778" i="1"/>
  <c r="EP778" i="1" s="1"/>
  <c r="M778" i="1"/>
  <c r="EM768" i="1"/>
  <c r="EL768" i="1"/>
  <c r="EK768" i="1"/>
  <c r="BY768" i="1"/>
  <c r="EP768" i="1" s="1"/>
  <c r="M768" i="1"/>
  <c r="EM719" i="1"/>
  <c r="EL719" i="1"/>
  <c r="EK719" i="1"/>
  <c r="BY719" i="1"/>
  <c r="EP719" i="1" s="1"/>
  <c r="M719" i="1"/>
  <c r="EM718" i="1"/>
  <c r="EL718" i="1"/>
  <c r="EK718" i="1"/>
  <c r="BY718" i="1"/>
  <c r="EP718" i="1" s="1"/>
  <c r="M718" i="1"/>
  <c r="EM650" i="1"/>
  <c r="EL650" i="1"/>
  <c r="EK650" i="1"/>
  <c r="BY650" i="1"/>
  <c r="EP650" i="1" s="1"/>
  <c r="M650" i="1"/>
  <c r="EM640" i="1"/>
  <c r="EL640" i="1"/>
  <c r="EK640" i="1"/>
  <c r="BY640" i="1"/>
  <c r="EP640" i="1" s="1"/>
  <c r="M640" i="1"/>
  <c r="EM639" i="1"/>
  <c r="EL639" i="1"/>
  <c r="EK639" i="1"/>
  <c r="BY639" i="1"/>
  <c r="EP639" i="1" s="1"/>
  <c r="M639" i="1"/>
  <c r="EM540" i="1"/>
  <c r="EL540" i="1"/>
  <c r="EK540" i="1"/>
  <c r="BY540" i="1"/>
  <c r="EP540" i="1" s="1"/>
  <c r="M540" i="1"/>
  <c r="EM468" i="1"/>
  <c r="EL468" i="1"/>
  <c r="EK468" i="1"/>
  <c r="BY468" i="1"/>
  <c r="EP468" i="1" s="1"/>
  <c r="M468" i="1"/>
  <c r="EM467" i="1"/>
  <c r="EL467" i="1"/>
  <c r="EK467" i="1"/>
  <c r="BY467" i="1"/>
  <c r="EP467" i="1" s="1"/>
  <c r="M467" i="1"/>
  <c r="EM466" i="1"/>
  <c r="EL466" i="1"/>
  <c r="EK466" i="1"/>
  <c r="BY466" i="1"/>
  <c r="EP466" i="1" s="1"/>
  <c r="M466" i="1"/>
  <c r="EM340" i="1"/>
  <c r="EL340" i="1"/>
  <c r="EK340" i="1"/>
  <c r="BY340" i="1"/>
  <c r="EP340" i="1" s="1"/>
  <c r="M340" i="1"/>
  <c r="EM286" i="1"/>
  <c r="EL286" i="1"/>
  <c r="EK286" i="1"/>
  <c r="BY286" i="1"/>
  <c r="EP286" i="1" s="1"/>
  <c r="M286" i="1"/>
  <c r="EM273" i="1"/>
  <c r="EL273" i="1"/>
  <c r="EK273" i="1"/>
  <c r="BY273" i="1"/>
  <c r="EP273" i="1" s="1"/>
  <c r="M273" i="1"/>
  <c r="EM119" i="1"/>
  <c r="EL119" i="1"/>
  <c r="EK119" i="1"/>
  <c r="BY119" i="1"/>
  <c r="EP119" i="1" s="1"/>
  <c r="M119" i="1"/>
  <c r="EM1060" i="1"/>
  <c r="EL1060" i="1"/>
  <c r="EK1060" i="1"/>
  <c r="BY1060" i="1"/>
  <c r="EP1060" i="1" s="1"/>
  <c r="M1060" i="1"/>
  <c r="EM1676" i="1"/>
  <c r="EL1676" i="1"/>
  <c r="EK1676" i="1"/>
  <c r="BY1676" i="1"/>
  <c r="EP1676" i="1" s="1"/>
  <c r="M1676" i="1"/>
  <c r="EM1675" i="1"/>
  <c r="EL1675" i="1"/>
  <c r="EK1675" i="1"/>
  <c r="BY1675" i="1"/>
  <c r="EP1675" i="1" s="1"/>
  <c r="M1675" i="1"/>
  <c r="EM1431" i="1"/>
  <c r="EL1431" i="1"/>
  <c r="EK1431" i="1"/>
  <c r="BY1431" i="1"/>
  <c r="EP1431" i="1" s="1"/>
  <c r="M1431" i="1"/>
  <c r="EM807" i="1"/>
  <c r="EL807" i="1"/>
  <c r="EK807" i="1"/>
  <c r="BY807" i="1"/>
  <c r="EP807" i="1" s="1"/>
  <c r="M807" i="1"/>
  <c r="EM606" i="1"/>
  <c r="EL606" i="1"/>
  <c r="EK606" i="1"/>
  <c r="BY606" i="1"/>
  <c r="EP606" i="1" s="1"/>
  <c r="M606" i="1"/>
  <c r="EM423" i="1"/>
  <c r="EL423" i="1"/>
  <c r="EK423" i="1"/>
  <c r="BY423" i="1"/>
  <c r="EP423" i="1" s="1"/>
  <c r="M423" i="1"/>
  <c r="EM422" i="1"/>
  <c r="EL422" i="1"/>
  <c r="EK422" i="1"/>
  <c r="BY422" i="1"/>
  <c r="EP422" i="1" s="1"/>
  <c r="M422" i="1"/>
  <c r="EM114" i="1"/>
  <c r="EL114" i="1"/>
  <c r="EK114" i="1"/>
  <c r="DC114" i="1"/>
  <c r="BY114" i="1"/>
  <c r="EP114" i="1" s="1"/>
  <c r="M114" i="1"/>
  <c r="EM878" i="1"/>
  <c r="EL878" i="1"/>
  <c r="EK878" i="1"/>
  <c r="BY878" i="1"/>
  <c r="EP878" i="1" s="1"/>
  <c r="M878" i="1"/>
  <c r="EM294" i="1"/>
  <c r="EL294" i="1"/>
  <c r="EK294" i="1"/>
  <c r="BY294" i="1"/>
  <c r="EP294" i="1" s="1"/>
  <c r="M294" i="1"/>
  <c r="EM1684" i="1"/>
  <c r="EL1684" i="1"/>
  <c r="EK1684" i="1"/>
  <c r="DU1684" i="1"/>
  <c r="DT1684" i="1"/>
  <c r="DN1684" i="1"/>
  <c r="DM1684" i="1"/>
  <c r="DL1684" i="1"/>
  <c r="DK1684" i="1"/>
  <c r="DI1684" i="1"/>
  <c r="DJ1684" i="1" s="1"/>
  <c r="DB1684" i="1"/>
  <c r="DC1684" i="1" s="1"/>
  <c r="CX1684" i="1"/>
  <c r="CN1684" i="1"/>
  <c r="CR1684" i="1" s="1"/>
  <c r="BV1684" i="1"/>
  <c r="BX1684" i="1" s="1"/>
  <c r="BU1684" i="1"/>
  <c r="BD1684" i="1"/>
  <c r="BC1684" i="1"/>
  <c r="BB1684" i="1"/>
  <c r="BA1684" i="1"/>
  <c r="AZ1684" i="1"/>
  <c r="AY1684" i="1"/>
  <c r="AX1684" i="1"/>
  <c r="M1684" i="1"/>
  <c r="EM1683" i="1"/>
  <c r="EL1683" i="1"/>
  <c r="EK1683" i="1"/>
  <c r="DU1683" i="1"/>
  <c r="DT1683" i="1"/>
  <c r="DN1683" i="1"/>
  <c r="DM1683" i="1"/>
  <c r="DL1683" i="1"/>
  <c r="DK1683" i="1"/>
  <c r="DI1683" i="1"/>
  <c r="DJ1683" i="1" s="1"/>
  <c r="DB1683" i="1"/>
  <c r="DC1683" i="1" s="1"/>
  <c r="CX1683" i="1"/>
  <c r="CN1683" i="1"/>
  <c r="CR1683" i="1" s="1"/>
  <c r="BV1683" i="1"/>
  <c r="BX1683" i="1" s="1"/>
  <c r="BU1683" i="1"/>
  <c r="BD1683" i="1"/>
  <c r="BC1683" i="1"/>
  <c r="BB1683" i="1"/>
  <c r="BA1683" i="1"/>
  <c r="AZ1683" i="1"/>
  <c r="AY1683" i="1"/>
  <c r="AX1683" i="1"/>
  <c r="M1683" i="1"/>
  <c r="EM1682" i="1"/>
  <c r="EL1682" i="1"/>
  <c r="EK1682" i="1"/>
  <c r="DU1682" i="1"/>
  <c r="DT1682" i="1"/>
  <c r="DN1682" i="1"/>
  <c r="DM1682" i="1"/>
  <c r="DL1682" i="1"/>
  <c r="DK1682" i="1"/>
  <c r="DI1682" i="1"/>
  <c r="DJ1682" i="1" s="1"/>
  <c r="DB1682" i="1"/>
  <c r="DC1682" i="1" s="1"/>
  <c r="CX1682" i="1"/>
  <c r="CN1682" i="1"/>
  <c r="BV1682" i="1"/>
  <c r="BX1682" i="1" s="1"/>
  <c r="BY1682" i="1" s="1"/>
  <c r="BU1682" i="1"/>
  <c r="BD1682" i="1"/>
  <c r="BC1682" i="1"/>
  <c r="BB1682" i="1"/>
  <c r="BA1682" i="1"/>
  <c r="AZ1682" i="1"/>
  <c r="AY1682" i="1"/>
  <c r="BE1682" i="1" s="1" a="1"/>
  <c r="BE1682" i="1" s="1"/>
  <c r="AX1682" i="1"/>
  <c r="M1682" i="1"/>
  <c r="EM1681" i="1"/>
  <c r="EL1681" i="1"/>
  <c r="EK1681" i="1"/>
  <c r="DU1681" i="1"/>
  <c r="DT1681" i="1"/>
  <c r="DN1681" i="1"/>
  <c r="DM1681" i="1"/>
  <c r="DL1681" i="1"/>
  <c r="DK1681" i="1"/>
  <c r="DI1681" i="1"/>
  <c r="DJ1681" i="1" s="1"/>
  <c r="DB1681" i="1"/>
  <c r="DC1681" i="1" s="1"/>
  <c r="CX1681" i="1"/>
  <c r="CN1681" i="1"/>
  <c r="CR1681" i="1" s="1"/>
  <c r="BV1681" i="1"/>
  <c r="BX1681" i="1" s="1"/>
  <c r="BY1681" i="1" s="1"/>
  <c r="BU1681" i="1"/>
  <c r="BD1681" i="1"/>
  <c r="BC1681" i="1"/>
  <c r="BB1681" i="1"/>
  <c r="BA1681" i="1"/>
  <c r="AZ1681" i="1"/>
  <c r="AY1681" i="1"/>
  <c r="BE1681" i="1" s="1" a="1"/>
  <c r="BE1681" i="1" s="1"/>
  <c r="AX1681" i="1"/>
  <c r="M1681" i="1"/>
  <c r="EM1680" i="1"/>
  <c r="EL1680" i="1"/>
  <c r="EK1680" i="1"/>
  <c r="DU1680" i="1"/>
  <c r="DT1680" i="1"/>
  <c r="DN1680" i="1"/>
  <c r="DM1680" i="1"/>
  <c r="DL1680" i="1"/>
  <c r="DK1680" i="1"/>
  <c r="DI1680" i="1"/>
  <c r="DJ1680" i="1" s="1"/>
  <c r="DB1680" i="1"/>
  <c r="DC1680" i="1" s="1"/>
  <c r="CX1680" i="1"/>
  <c r="CN1680" i="1"/>
  <c r="CS1680" i="1" s="1"/>
  <c r="BV1680" i="1"/>
  <c r="BX1680" i="1" s="1"/>
  <c r="BY1680" i="1" s="1"/>
  <c r="BU1680" i="1"/>
  <c r="BD1680" i="1"/>
  <c r="BC1680" i="1"/>
  <c r="BB1680" i="1"/>
  <c r="BA1680" i="1"/>
  <c r="AZ1680" i="1"/>
  <c r="AY1680" i="1"/>
  <c r="BE1680" i="1" s="1" a="1"/>
  <c r="BE1680" i="1" s="1"/>
  <c r="AX1680" i="1"/>
  <c r="M1680" i="1"/>
  <c r="EM1679" i="1"/>
  <c r="EL1679" i="1"/>
  <c r="EK1679" i="1"/>
  <c r="DU1679" i="1"/>
  <c r="DT1679" i="1"/>
  <c r="DN1679" i="1"/>
  <c r="DM1679" i="1"/>
  <c r="DL1679" i="1"/>
  <c r="DK1679" i="1"/>
  <c r="DI1679" i="1"/>
  <c r="DJ1679" i="1" s="1"/>
  <c r="DB1679" i="1"/>
  <c r="DC1679" i="1" s="1"/>
  <c r="CX1679" i="1"/>
  <c r="CN1679" i="1"/>
  <c r="CS1679" i="1" s="1"/>
  <c r="BV1679" i="1"/>
  <c r="BX1679" i="1" s="1"/>
  <c r="BU1679" i="1"/>
  <c r="BD1679" i="1"/>
  <c r="BC1679" i="1"/>
  <c r="BB1679" i="1"/>
  <c r="BA1679" i="1"/>
  <c r="AZ1679" i="1"/>
  <c r="AY1679" i="1"/>
  <c r="BE1679" i="1" s="1" a="1"/>
  <c r="BE1679" i="1" s="1"/>
  <c r="AX1679" i="1"/>
  <c r="M1679" i="1"/>
  <c r="EM1674" i="1"/>
  <c r="EL1674" i="1"/>
  <c r="EK1674" i="1"/>
  <c r="DU1674" i="1"/>
  <c r="DT1674" i="1"/>
  <c r="DN1674" i="1"/>
  <c r="DM1674" i="1"/>
  <c r="DL1674" i="1"/>
  <c r="DK1674" i="1"/>
  <c r="DI1674" i="1"/>
  <c r="DJ1674" i="1" s="1"/>
  <c r="DB1674" i="1"/>
  <c r="DC1674" i="1" s="1"/>
  <c r="CX1674" i="1"/>
  <c r="CN1674" i="1"/>
  <c r="CS1674" i="1" s="1"/>
  <c r="BS1674" i="1"/>
  <c r="BD1674" i="1"/>
  <c r="BC1674" i="1"/>
  <c r="BB1674" i="1"/>
  <c r="BA1674" i="1"/>
  <c r="AZ1674" i="1"/>
  <c r="AY1674" i="1"/>
  <c r="BE1674" i="1" s="1" a="1"/>
  <c r="BE1674" i="1" s="1"/>
  <c r="AX1674" i="1"/>
  <c r="M1674" i="1"/>
  <c r="EM1673" i="1"/>
  <c r="EL1673" i="1"/>
  <c r="EK1673" i="1"/>
  <c r="DU1673" i="1"/>
  <c r="DT1673" i="1"/>
  <c r="DN1673" i="1"/>
  <c r="DM1673" i="1"/>
  <c r="DL1673" i="1"/>
  <c r="DK1673" i="1"/>
  <c r="DI1673" i="1"/>
  <c r="DJ1673" i="1" s="1"/>
  <c r="DB1673" i="1"/>
  <c r="DC1673" i="1" s="1"/>
  <c r="CX1673" i="1"/>
  <c r="CN1673" i="1"/>
  <c r="CS1673" i="1" s="1"/>
  <c r="BT1673" i="1"/>
  <c r="BS1673" i="1"/>
  <c r="BD1673" i="1"/>
  <c r="BC1673" i="1"/>
  <c r="BB1673" i="1"/>
  <c r="BA1673" i="1"/>
  <c r="AZ1673" i="1"/>
  <c r="AY1673" i="1"/>
  <c r="BE1673" i="1" s="1" a="1"/>
  <c r="BE1673" i="1" s="1"/>
  <c r="AX1673" i="1"/>
  <c r="M1673" i="1"/>
  <c r="EM1672" i="1"/>
  <c r="EL1672" i="1"/>
  <c r="EK1672" i="1"/>
  <c r="DU1672" i="1"/>
  <c r="DT1672" i="1"/>
  <c r="DN1672" i="1"/>
  <c r="DM1672" i="1"/>
  <c r="DL1672" i="1"/>
  <c r="DK1672" i="1"/>
  <c r="DI1672" i="1"/>
  <c r="DJ1672" i="1" s="1"/>
  <c r="DB1672" i="1"/>
  <c r="DC1672" i="1" s="1"/>
  <c r="CX1672" i="1"/>
  <c r="CN1672" i="1"/>
  <c r="CR1672" i="1" s="1"/>
  <c r="BV1672" i="1"/>
  <c r="BX1672" i="1" s="1"/>
  <c r="BY1672" i="1" s="1"/>
  <c r="BU1672" i="1"/>
  <c r="BS1672" i="1"/>
  <c r="BD1672" i="1"/>
  <c r="BC1672" i="1"/>
  <c r="BB1672" i="1"/>
  <c r="BA1672" i="1"/>
  <c r="AZ1672" i="1"/>
  <c r="AY1672" i="1"/>
  <c r="BE1672" i="1" s="1" a="1"/>
  <c r="BE1672" i="1" s="1"/>
  <c r="AX1672" i="1"/>
  <c r="M1672" i="1"/>
  <c r="EM1671" i="1"/>
  <c r="EL1671" i="1"/>
  <c r="EK1671" i="1"/>
  <c r="DU1671" i="1"/>
  <c r="DT1671" i="1"/>
  <c r="DN1671" i="1"/>
  <c r="DM1671" i="1"/>
  <c r="DL1671" i="1"/>
  <c r="DK1671" i="1"/>
  <c r="DI1671" i="1"/>
  <c r="DJ1671" i="1" s="1"/>
  <c r="DB1671" i="1"/>
  <c r="DC1671" i="1" s="1"/>
  <c r="CX1671" i="1"/>
  <c r="CN1671" i="1"/>
  <c r="CS1671" i="1" s="1"/>
  <c r="BS1671" i="1"/>
  <c r="BV1671" i="1" s="1"/>
  <c r="BX1671" i="1" s="1"/>
  <c r="BD1671" i="1"/>
  <c r="BC1671" i="1"/>
  <c r="BB1671" i="1"/>
  <c r="BA1671" i="1"/>
  <c r="AZ1671" i="1"/>
  <c r="AY1671" i="1"/>
  <c r="BE1671" i="1" s="1" a="1"/>
  <c r="BE1671" i="1" s="1"/>
  <c r="AX1671" i="1"/>
  <c r="M1671" i="1"/>
  <c r="EM1670" i="1"/>
  <c r="EL1670" i="1"/>
  <c r="EK1670" i="1"/>
  <c r="DU1670" i="1"/>
  <c r="DT1670" i="1"/>
  <c r="DN1670" i="1"/>
  <c r="DM1670" i="1"/>
  <c r="DL1670" i="1"/>
  <c r="DK1670" i="1"/>
  <c r="DI1670" i="1"/>
  <c r="DJ1670" i="1" s="1"/>
  <c r="DB1670" i="1"/>
  <c r="DC1670" i="1" s="1"/>
  <c r="CX1670" i="1"/>
  <c r="CN1670" i="1"/>
  <c r="CR1670" i="1" s="1"/>
  <c r="BV1670" i="1"/>
  <c r="BX1670" i="1" s="1"/>
  <c r="BU1670" i="1"/>
  <c r="BT1670" i="1"/>
  <c r="BS1670" i="1"/>
  <c r="BD1670" i="1"/>
  <c r="BC1670" i="1"/>
  <c r="BB1670" i="1"/>
  <c r="BA1670" i="1"/>
  <c r="AZ1670" i="1"/>
  <c r="AY1670" i="1"/>
  <c r="BE1670" i="1" s="1" a="1"/>
  <c r="BE1670" i="1" s="1"/>
  <c r="AX1670" i="1"/>
  <c r="M1670" i="1"/>
  <c r="EM1669" i="1"/>
  <c r="EL1669" i="1"/>
  <c r="EK1669" i="1"/>
  <c r="DU1669" i="1"/>
  <c r="DT1669" i="1"/>
  <c r="DN1669" i="1"/>
  <c r="DM1669" i="1"/>
  <c r="DL1669" i="1"/>
  <c r="DK1669" i="1"/>
  <c r="DI1669" i="1"/>
  <c r="DJ1669" i="1" s="1"/>
  <c r="DB1669" i="1"/>
  <c r="DC1669" i="1" s="1"/>
  <c r="CX1669" i="1"/>
  <c r="CN1669" i="1"/>
  <c r="BT1669" i="1"/>
  <c r="BV1669" i="1" s="1"/>
  <c r="BX1669" i="1" s="1"/>
  <c r="BY1669" i="1" s="1"/>
  <c r="BS1669" i="1"/>
  <c r="BD1669" i="1"/>
  <c r="BC1669" i="1"/>
  <c r="BB1669" i="1"/>
  <c r="BA1669" i="1"/>
  <c r="AZ1669" i="1"/>
  <c r="AY1669" i="1"/>
  <c r="BE1669" i="1" s="1" a="1"/>
  <c r="BE1669" i="1" s="1"/>
  <c r="AX1669" i="1"/>
  <c r="M1669" i="1"/>
  <c r="EM1667" i="1"/>
  <c r="EL1667" i="1"/>
  <c r="EK1667" i="1"/>
  <c r="DU1667" i="1"/>
  <c r="DT1667" i="1"/>
  <c r="DN1667" i="1"/>
  <c r="DM1667" i="1"/>
  <c r="DL1667" i="1"/>
  <c r="DK1667" i="1"/>
  <c r="DI1667" i="1"/>
  <c r="DJ1667" i="1" s="1"/>
  <c r="DB1667" i="1"/>
  <c r="DC1667" i="1" s="1"/>
  <c r="CX1667" i="1"/>
  <c r="CN1667" i="1"/>
  <c r="CO1667" i="1" s="1"/>
  <c r="BV1667" i="1"/>
  <c r="BX1667" i="1" s="1"/>
  <c r="BT1667" i="1"/>
  <c r="BS1667" i="1"/>
  <c r="BD1667" i="1"/>
  <c r="BC1667" i="1"/>
  <c r="BB1667" i="1"/>
  <c r="BA1667" i="1"/>
  <c r="AZ1667" i="1"/>
  <c r="AY1667" i="1"/>
  <c r="AX1667" i="1"/>
  <c r="M1667" i="1"/>
  <c r="EM1627" i="1"/>
  <c r="EL1627" i="1"/>
  <c r="EK1627" i="1"/>
  <c r="DU1627" i="1"/>
  <c r="DT1627" i="1"/>
  <c r="DN1627" i="1"/>
  <c r="DM1627" i="1"/>
  <c r="DL1627" i="1"/>
  <c r="DK1627" i="1"/>
  <c r="DI1627" i="1"/>
  <c r="DJ1627" i="1" s="1"/>
  <c r="DB1627" i="1"/>
  <c r="DC1627" i="1" s="1"/>
  <c r="CX1627" i="1"/>
  <c r="CN1627" i="1"/>
  <c r="CS1627" i="1" s="1"/>
  <c r="BT1627" i="1"/>
  <c r="BV1627" i="1" s="1"/>
  <c r="BX1627" i="1" s="1"/>
  <c r="BY1627" i="1" s="1"/>
  <c r="BS1627" i="1"/>
  <c r="BD1627" i="1"/>
  <c r="BC1627" i="1"/>
  <c r="BB1627" i="1"/>
  <c r="BA1627" i="1"/>
  <c r="AZ1627" i="1"/>
  <c r="AY1627" i="1"/>
  <c r="BE1627" i="1" s="1" a="1"/>
  <c r="BE1627" i="1" s="1"/>
  <c r="AX1627" i="1"/>
  <c r="M1627" i="1"/>
  <c r="EM1626" i="1"/>
  <c r="EL1626" i="1"/>
  <c r="EK1626" i="1"/>
  <c r="DU1626" i="1"/>
  <c r="DT1626" i="1"/>
  <c r="DN1626" i="1"/>
  <c r="DM1626" i="1"/>
  <c r="DL1626" i="1"/>
  <c r="DK1626" i="1"/>
  <c r="DI1626" i="1"/>
  <c r="DJ1626" i="1" s="1"/>
  <c r="DB1626" i="1"/>
  <c r="DC1626" i="1" s="1"/>
  <c r="CX1626" i="1"/>
  <c r="CN1626" i="1"/>
  <c r="CS1626" i="1" s="1"/>
  <c r="BT1626" i="1"/>
  <c r="BS1626" i="1"/>
  <c r="BD1626" i="1"/>
  <c r="BC1626" i="1"/>
  <c r="BB1626" i="1"/>
  <c r="BA1626" i="1"/>
  <c r="AZ1626" i="1"/>
  <c r="AY1626" i="1"/>
  <c r="BE1626" i="1" s="1" a="1"/>
  <c r="BE1626" i="1" s="1"/>
  <c r="AX1626" i="1"/>
  <c r="M1626" i="1"/>
  <c r="EM1625" i="1"/>
  <c r="EL1625" i="1"/>
  <c r="EK1625" i="1"/>
  <c r="DU1625" i="1"/>
  <c r="DT1625" i="1"/>
  <c r="DN1625" i="1"/>
  <c r="DM1625" i="1"/>
  <c r="DL1625" i="1"/>
  <c r="DK1625" i="1"/>
  <c r="DI1625" i="1"/>
  <c r="DJ1625" i="1" s="1"/>
  <c r="DB1625" i="1"/>
  <c r="DC1625" i="1" s="1"/>
  <c r="CX1625" i="1"/>
  <c r="CN1625" i="1"/>
  <c r="CR1625" i="1" s="1"/>
  <c r="BV1625" i="1"/>
  <c r="BX1625" i="1" s="1"/>
  <c r="BU1625" i="1"/>
  <c r="BN1625" i="1"/>
  <c r="BO1625" i="1" s="1"/>
  <c r="BD1625" i="1"/>
  <c r="BC1625" i="1"/>
  <c r="BB1625" i="1"/>
  <c r="BA1625" i="1"/>
  <c r="AZ1625" i="1"/>
  <c r="AY1625" i="1"/>
  <c r="BE1625" i="1" s="1" a="1"/>
  <c r="BE1625" i="1" s="1"/>
  <c r="AX1625" i="1"/>
  <c r="M1625" i="1"/>
  <c r="EM1624" i="1"/>
  <c r="EL1624" i="1"/>
  <c r="EK1624" i="1"/>
  <c r="DU1624" i="1"/>
  <c r="DT1624" i="1"/>
  <c r="DN1624" i="1"/>
  <c r="DM1624" i="1"/>
  <c r="DL1624" i="1"/>
  <c r="DK1624" i="1"/>
  <c r="DI1624" i="1"/>
  <c r="DJ1624" i="1" s="1"/>
  <c r="DB1624" i="1"/>
  <c r="DC1624" i="1" s="1"/>
  <c r="CX1624" i="1"/>
  <c r="CN1624" i="1"/>
  <c r="BV1624" i="1"/>
  <c r="BX1624" i="1" s="1"/>
  <c r="BU1624" i="1"/>
  <c r="BN1624" i="1"/>
  <c r="BO1624" i="1" s="1"/>
  <c r="BD1624" i="1"/>
  <c r="BC1624" i="1"/>
  <c r="BB1624" i="1"/>
  <c r="BA1624" i="1"/>
  <c r="AZ1624" i="1"/>
  <c r="AY1624" i="1"/>
  <c r="BE1624" i="1" s="1" a="1"/>
  <c r="BE1624" i="1" s="1"/>
  <c r="AX1624" i="1"/>
  <c r="M1624" i="1"/>
  <c r="EM1623" i="1"/>
  <c r="EL1623" i="1"/>
  <c r="EK1623" i="1"/>
  <c r="DU1623" i="1"/>
  <c r="DT1623" i="1"/>
  <c r="DN1623" i="1"/>
  <c r="DM1623" i="1"/>
  <c r="DL1623" i="1"/>
  <c r="DK1623" i="1"/>
  <c r="DI1623" i="1"/>
  <c r="DJ1623" i="1" s="1"/>
  <c r="DB1623" i="1"/>
  <c r="DC1623" i="1" s="1"/>
  <c r="CX1623" i="1"/>
  <c r="CN1623" i="1"/>
  <c r="BV1623" i="1"/>
  <c r="BX1623" i="1" s="1"/>
  <c r="BU1623" i="1"/>
  <c r="BN1623" i="1"/>
  <c r="BO1623" i="1" s="1"/>
  <c r="BD1623" i="1"/>
  <c r="BC1623" i="1"/>
  <c r="BB1623" i="1"/>
  <c r="BA1623" i="1"/>
  <c r="AZ1623" i="1"/>
  <c r="AY1623" i="1"/>
  <c r="BE1623" i="1" s="1" a="1"/>
  <c r="BE1623" i="1" s="1"/>
  <c r="AX1623" i="1"/>
  <c r="M1623" i="1"/>
  <c r="EM1622" i="1"/>
  <c r="EL1622" i="1"/>
  <c r="EK1622" i="1"/>
  <c r="DU1622" i="1"/>
  <c r="DT1622" i="1"/>
  <c r="DN1622" i="1"/>
  <c r="DM1622" i="1"/>
  <c r="DL1622" i="1"/>
  <c r="DK1622" i="1"/>
  <c r="DI1622" i="1"/>
  <c r="DJ1622" i="1" s="1"/>
  <c r="DB1622" i="1"/>
  <c r="DC1622" i="1" s="1"/>
  <c r="CX1622" i="1"/>
  <c r="CN1622" i="1"/>
  <c r="CS1622" i="1" s="1"/>
  <c r="BV1622" i="1"/>
  <c r="BX1622" i="1" s="1"/>
  <c r="BU1622" i="1"/>
  <c r="BN1622" i="1"/>
  <c r="BO1622" i="1" s="1"/>
  <c r="BD1622" i="1"/>
  <c r="BC1622" i="1"/>
  <c r="BB1622" i="1"/>
  <c r="BA1622" i="1"/>
  <c r="AZ1622" i="1"/>
  <c r="AY1622" i="1"/>
  <c r="BE1622" i="1" s="1" a="1"/>
  <c r="BE1622" i="1" s="1"/>
  <c r="AX1622" i="1"/>
  <c r="M1622" i="1"/>
  <c r="EM1621" i="1"/>
  <c r="EL1621" i="1"/>
  <c r="EK1621" i="1"/>
  <c r="DU1621" i="1"/>
  <c r="DT1621" i="1"/>
  <c r="DN1621" i="1"/>
  <c r="DM1621" i="1"/>
  <c r="DL1621" i="1"/>
  <c r="DK1621" i="1"/>
  <c r="DI1621" i="1"/>
  <c r="DJ1621" i="1" s="1"/>
  <c r="DB1621" i="1"/>
  <c r="DC1621" i="1" s="1"/>
  <c r="CX1621" i="1"/>
  <c r="CN1621" i="1"/>
  <c r="CS1621" i="1" s="1"/>
  <c r="BV1621" i="1"/>
  <c r="BX1621" i="1" s="1"/>
  <c r="BU1621" i="1"/>
  <c r="BN1621" i="1"/>
  <c r="BO1621" i="1" s="1"/>
  <c r="BD1621" i="1"/>
  <c r="BC1621" i="1"/>
  <c r="BB1621" i="1"/>
  <c r="BA1621" i="1"/>
  <c r="AZ1621" i="1"/>
  <c r="AY1621" i="1"/>
  <c r="BE1621" i="1" s="1" a="1"/>
  <c r="BE1621" i="1" s="1"/>
  <c r="AX1621" i="1"/>
  <c r="M1621" i="1"/>
  <c r="EM1620" i="1"/>
  <c r="EL1620" i="1"/>
  <c r="EK1620" i="1"/>
  <c r="DU1620" i="1"/>
  <c r="DT1620" i="1"/>
  <c r="DN1620" i="1"/>
  <c r="DM1620" i="1"/>
  <c r="DL1620" i="1"/>
  <c r="DK1620" i="1"/>
  <c r="DI1620" i="1"/>
  <c r="DJ1620" i="1" s="1"/>
  <c r="DB1620" i="1"/>
  <c r="DC1620" i="1" s="1"/>
  <c r="CX1620" i="1"/>
  <c r="CN1620" i="1"/>
  <c r="CS1620" i="1" s="1"/>
  <c r="BV1620" i="1"/>
  <c r="BX1620" i="1" s="1"/>
  <c r="BU1620" i="1"/>
  <c r="BN1620" i="1"/>
  <c r="BO1620" i="1" s="1"/>
  <c r="BD1620" i="1"/>
  <c r="BC1620" i="1"/>
  <c r="BB1620" i="1"/>
  <c r="BA1620" i="1"/>
  <c r="AZ1620" i="1"/>
  <c r="AY1620" i="1"/>
  <c r="BE1620" i="1" s="1" a="1"/>
  <c r="BE1620" i="1" s="1"/>
  <c r="AX1620" i="1"/>
  <c r="M1620" i="1"/>
  <c r="EM1619" i="1"/>
  <c r="EL1619" i="1"/>
  <c r="EK1619" i="1"/>
  <c r="DU1619" i="1"/>
  <c r="DT1619" i="1"/>
  <c r="DN1619" i="1"/>
  <c r="DM1619" i="1"/>
  <c r="DL1619" i="1"/>
  <c r="DK1619" i="1"/>
  <c r="DI1619" i="1"/>
  <c r="DJ1619" i="1" s="1"/>
  <c r="DB1619" i="1"/>
  <c r="DC1619" i="1" s="1"/>
  <c r="CX1619" i="1"/>
  <c r="CN1619" i="1"/>
  <c r="BV1619" i="1"/>
  <c r="BX1619" i="1" s="1"/>
  <c r="BU1619" i="1"/>
  <c r="BN1619" i="1"/>
  <c r="BO1619" i="1" s="1"/>
  <c r="BD1619" i="1"/>
  <c r="BC1619" i="1"/>
  <c r="BB1619" i="1"/>
  <c r="BA1619" i="1"/>
  <c r="AZ1619" i="1"/>
  <c r="AY1619" i="1"/>
  <c r="BE1619" i="1" s="1" a="1"/>
  <c r="BE1619" i="1" s="1"/>
  <c r="AX1619" i="1"/>
  <c r="M1619" i="1"/>
  <c r="EM1618" i="1"/>
  <c r="EL1618" i="1"/>
  <c r="EK1618" i="1"/>
  <c r="DU1618" i="1"/>
  <c r="DT1618" i="1"/>
  <c r="DN1618" i="1"/>
  <c r="DM1618" i="1"/>
  <c r="DL1618" i="1"/>
  <c r="DK1618" i="1"/>
  <c r="DI1618" i="1"/>
  <c r="DJ1618" i="1" s="1"/>
  <c r="DB1618" i="1"/>
  <c r="DC1618" i="1" s="1"/>
  <c r="CX1618" i="1"/>
  <c r="CN1618" i="1"/>
  <c r="CR1618" i="1" s="1"/>
  <c r="BV1618" i="1"/>
  <c r="BX1618" i="1" s="1"/>
  <c r="BU1618" i="1"/>
  <c r="BN1618" i="1"/>
  <c r="BO1618" i="1" s="1"/>
  <c r="BD1618" i="1"/>
  <c r="BC1618" i="1"/>
  <c r="BB1618" i="1"/>
  <c r="BA1618" i="1"/>
  <c r="AZ1618" i="1"/>
  <c r="AY1618" i="1"/>
  <c r="BE1618" i="1" s="1" a="1"/>
  <c r="BE1618" i="1" s="1"/>
  <c r="AX1618" i="1"/>
  <c r="M1618" i="1"/>
  <c r="EM1617" i="1"/>
  <c r="EL1617" i="1"/>
  <c r="EK1617" i="1"/>
  <c r="DU1617" i="1"/>
  <c r="DT1617" i="1"/>
  <c r="DN1617" i="1"/>
  <c r="DM1617" i="1"/>
  <c r="DL1617" i="1"/>
  <c r="DK1617" i="1"/>
  <c r="DI1617" i="1"/>
  <c r="DJ1617" i="1" s="1"/>
  <c r="DB1617" i="1"/>
  <c r="DC1617" i="1" s="1"/>
  <c r="CX1617" i="1"/>
  <c r="CN1617" i="1"/>
  <c r="CR1617" i="1" s="1"/>
  <c r="BV1617" i="1"/>
  <c r="BX1617" i="1" s="1"/>
  <c r="BU1617" i="1"/>
  <c r="BN1617" i="1"/>
  <c r="BO1617" i="1" s="1"/>
  <c r="BD1617" i="1"/>
  <c r="BC1617" i="1"/>
  <c r="BB1617" i="1"/>
  <c r="BA1617" i="1"/>
  <c r="AZ1617" i="1"/>
  <c r="AY1617" i="1"/>
  <c r="BE1617" i="1" s="1" a="1"/>
  <c r="BE1617" i="1" s="1"/>
  <c r="AX1617" i="1"/>
  <c r="M1617" i="1"/>
  <c r="EM1616" i="1"/>
  <c r="EL1616" i="1"/>
  <c r="EK1616" i="1"/>
  <c r="DU1616" i="1"/>
  <c r="DT1616" i="1"/>
  <c r="DN1616" i="1"/>
  <c r="DM1616" i="1"/>
  <c r="DL1616" i="1"/>
  <c r="DK1616" i="1"/>
  <c r="DI1616" i="1"/>
  <c r="DJ1616" i="1" s="1"/>
  <c r="DB1616" i="1"/>
  <c r="DC1616" i="1" s="1"/>
  <c r="CX1616" i="1"/>
  <c r="CN1616" i="1"/>
  <c r="BV1616" i="1"/>
  <c r="BX1616" i="1" s="1"/>
  <c r="BU1616" i="1"/>
  <c r="BN1616" i="1"/>
  <c r="BO1616" i="1" s="1"/>
  <c r="BD1616" i="1"/>
  <c r="BC1616" i="1"/>
  <c r="BB1616" i="1"/>
  <c r="BA1616" i="1"/>
  <c r="AZ1616" i="1"/>
  <c r="AY1616" i="1"/>
  <c r="BE1616" i="1" s="1" a="1"/>
  <c r="BE1616" i="1" s="1"/>
  <c r="AX1616" i="1"/>
  <c r="M1616" i="1"/>
  <c r="EM1615" i="1"/>
  <c r="EL1615" i="1"/>
  <c r="EK1615" i="1"/>
  <c r="DU1615" i="1"/>
  <c r="DT1615" i="1"/>
  <c r="DN1615" i="1"/>
  <c r="DM1615" i="1"/>
  <c r="DL1615" i="1"/>
  <c r="DK1615" i="1"/>
  <c r="DI1615" i="1"/>
  <c r="DJ1615" i="1" s="1"/>
  <c r="DB1615" i="1"/>
  <c r="DC1615" i="1" s="1"/>
  <c r="CX1615" i="1"/>
  <c r="CN1615" i="1"/>
  <c r="CR1615" i="1" s="1"/>
  <c r="BV1615" i="1"/>
  <c r="BX1615" i="1" s="1"/>
  <c r="BU1615" i="1"/>
  <c r="BN1615" i="1"/>
  <c r="BO1615" i="1" s="1"/>
  <c r="BD1615" i="1"/>
  <c r="BC1615" i="1"/>
  <c r="BB1615" i="1"/>
  <c r="BA1615" i="1"/>
  <c r="AZ1615" i="1"/>
  <c r="AY1615" i="1"/>
  <c r="BE1615" i="1" s="1" a="1"/>
  <c r="BE1615" i="1" s="1"/>
  <c r="AX1615" i="1"/>
  <c r="M1615" i="1"/>
  <c r="EM1614" i="1"/>
  <c r="EL1614" i="1"/>
  <c r="EK1614" i="1"/>
  <c r="DU1614" i="1"/>
  <c r="DT1614" i="1"/>
  <c r="DN1614" i="1"/>
  <c r="DM1614" i="1"/>
  <c r="DL1614" i="1"/>
  <c r="DK1614" i="1"/>
  <c r="DI1614" i="1"/>
  <c r="DJ1614" i="1" s="1"/>
  <c r="DB1614" i="1"/>
  <c r="DC1614" i="1" s="1"/>
  <c r="CX1614" i="1"/>
  <c r="CN1614" i="1"/>
  <c r="BV1614" i="1"/>
  <c r="BX1614" i="1" s="1"/>
  <c r="BU1614" i="1"/>
  <c r="BN1614" i="1"/>
  <c r="BO1614" i="1" s="1"/>
  <c r="BD1614" i="1"/>
  <c r="BC1614" i="1"/>
  <c r="BB1614" i="1"/>
  <c r="BA1614" i="1"/>
  <c r="AZ1614" i="1"/>
  <c r="AY1614" i="1"/>
  <c r="BE1614" i="1" s="1" a="1"/>
  <c r="BE1614" i="1" s="1"/>
  <c r="AX1614" i="1"/>
  <c r="M1614" i="1"/>
  <c r="EM1613" i="1"/>
  <c r="EL1613" i="1"/>
  <c r="EK1613" i="1"/>
  <c r="DU1613" i="1"/>
  <c r="DT1613" i="1"/>
  <c r="DN1613" i="1"/>
  <c r="DM1613" i="1"/>
  <c r="DL1613" i="1"/>
  <c r="DK1613" i="1"/>
  <c r="DI1613" i="1"/>
  <c r="DJ1613" i="1" s="1"/>
  <c r="DB1613" i="1"/>
  <c r="DC1613" i="1" s="1"/>
  <c r="CX1613" i="1"/>
  <c r="CN1613" i="1"/>
  <c r="CR1613" i="1" s="1"/>
  <c r="BV1613" i="1"/>
  <c r="BX1613" i="1" s="1"/>
  <c r="BU1613" i="1"/>
  <c r="BN1613" i="1"/>
  <c r="BO1613" i="1" s="1"/>
  <c r="BD1613" i="1"/>
  <c r="BC1613" i="1"/>
  <c r="BB1613" i="1"/>
  <c r="BA1613" i="1"/>
  <c r="AZ1613" i="1"/>
  <c r="AY1613" i="1"/>
  <c r="BE1613" i="1" s="1" a="1"/>
  <c r="BE1613" i="1" s="1"/>
  <c r="AX1613" i="1"/>
  <c r="M1613" i="1"/>
  <c r="EM1612" i="1"/>
  <c r="EL1612" i="1"/>
  <c r="EK1612" i="1"/>
  <c r="DU1612" i="1"/>
  <c r="DT1612" i="1"/>
  <c r="DN1612" i="1"/>
  <c r="DM1612" i="1"/>
  <c r="DL1612" i="1"/>
  <c r="DK1612" i="1"/>
  <c r="DI1612" i="1"/>
  <c r="DJ1612" i="1" s="1"/>
  <c r="DB1612" i="1"/>
  <c r="DC1612" i="1" s="1"/>
  <c r="CX1612" i="1"/>
  <c r="CN1612" i="1"/>
  <c r="BV1612" i="1"/>
  <c r="BX1612" i="1" s="1"/>
  <c r="BU1612" i="1"/>
  <c r="BN1612" i="1"/>
  <c r="BO1612" i="1" s="1"/>
  <c r="BD1612" i="1"/>
  <c r="BC1612" i="1"/>
  <c r="BB1612" i="1"/>
  <c r="BA1612" i="1"/>
  <c r="AZ1612" i="1"/>
  <c r="AY1612" i="1"/>
  <c r="BE1612" i="1" s="1" a="1"/>
  <c r="BE1612" i="1" s="1"/>
  <c r="AX1612" i="1"/>
  <c r="M1612" i="1"/>
  <c r="EM1611" i="1"/>
  <c r="EL1611" i="1"/>
  <c r="EK1611" i="1"/>
  <c r="DU1611" i="1"/>
  <c r="DT1611" i="1"/>
  <c r="DN1611" i="1"/>
  <c r="DM1611" i="1"/>
  <c r="DL1611" i="1"/>
  <c r="DK1611" i="1"/>
  <c r="DI1611" i="1"/>
  <c r="DJ1611" i="1" s="1"/>
  <c r="DB1611" i="1"/>
  <c r="DC1611" i="1" s="1"/>
  <c r="CX1611" i="1"/>
  <c r="CN1611" i="1"/>
  <c r="CR1611" i="1" s="1"/>
  <c r="BV1611" i="1"/>
  <c r="BX1611" i="1" s="1"/>
  <c r="BU1611" i="1"/>
  <c r="BN1611" i="1"/>
  <c r="BO1611" i="1" s="1"/>
  <c r="BD1611" i="1"/>
  <c r="BC1611" i="1"/>
  <c r="BB1611" i="1"/>
  <c r="BA1611" i="1"/>
  <c r="AZ1611" i="1"/>
  <c r="AY1611" i="1"/>
  <c r="BE1611" i="1" s="1" a="1"/>
  <c r="BE1611" i="1" s="1"/>
  <c r="AX1611" i="1"/>
  <c r="M1611" i="1"/>
  <c r="EM1610" i="1"/>
  <c r="EL1610" i="1"/>
  <c r="EK1610" i="1"/>
  <c r="DU1610" i="1"/>
  <c r="DT1610" i="1"/>
  <c r="DN1610" i="1"/>
  <c r="DM1610" i="1"/>
  <c r="DL1610" i="1"/>
  <c r="DK1610" i="1"/>
  <c r="DI1610" i="1"/>
  <c r="DJ1610" i="1" s="1"/>
  <c r="DC1610" i="1"/>
  <c r="CX1610" i="1"/>
  <c r="CN1610" i="1"/>
  <c r="BV1610" i="1"/>
  <c r="BX1610" i="1" s="1"/>
  <c r="BU1610" i="1"/>
  <c r="BN1610" i="1"/>
  <c r="BO1610" i="1" s="1"/>
  <c r="BD1610" i="1"/>
  <c r="BC1610" i="1"/>
  <c r="BB1610" i="1"/>
  <c r="BA1610" i="1"/>
  <c r="AZ1610" i="1"/>
  <c r="AY1610" i="1"/>
  <c r="BE1610" i="1" s="1" a="1"/>
  <c r="BE1610" i="1" s="1"/>
  <c r="AX1610" i="1"/>
  <c r="M1610" i="1"/>
  <c r="EM1609" i="1"/>
  <c r="EL1609" i="1"/>
  <c r="EK1609" i="1"/>
  <c r="DU1609" i="1"/>
  <c r="DT1609" i="1"/>
  <c r="DN1609" i="1"/>
  <c r="DM1609" i="1"/>
  <c r="DL1609" i="1"/>
  <c r="DK1609" i="1"/>
  <c r="DI1609" i="1"/>
  <c r="DJ1609" i="1" s="1"/>
  <c r="DC1609" i="1"/>
  <c r="CX1609" i="1"/>
  <c r="CN1609" i="1"/>
  <c r="CO1609" i="1" s="1"/>
  <c r="BV1609" i="1"/>
  <c r="BX1609" i="1" s="1"/>
  <c r="BU1609" i="1"/>
  <c r="BN1609" i="1"/>
  <c r="BO1609" i="1" s="1"/>
  <c r="BD1609" i="1"/>
  <c r="BC1609" i="1"/>
  <c r="BB1609" i="1"/>
  <c r="BA1609" i="1"/>
  <c r="AZ1609" i="1"/>
  <c r="AY1609" i="1"/>
  <c r="BE1609" i="1" s="1" a="1"/>
  <c r="BE1609" i="1" s="1"/>
  <c r="AX1609" i="1"/>
  <c r="M1609" i="1"/>
  <c r="EM1608" i="1"/>
  <c r="EL1608" i="1"/>
  <c r="EK1608" i="1"/>
  <c r="DU1608" i="1"/>
  <c r="DT1608" i="1"/>
  <c r="DN1608" i="1"/>
  <c r="DM1608" i="1"/>
  <c r="DL1608" i="1"/>
  <c r="DK1608" i="1"/>
  <c r="DI1608" i="1"/>
  <c r="DJ1608" i="1" s="1"/>
  <c r="DC1608" i="1"/>
  <c r="CX1608" i="1"/>
  <c r="CN1608" i="1"/>
  <c r="CP1608" i="1" s="1"/>
  <c r="BV1608" i="1"/>
  <c r="BX1608" i="1" s="1"/>
  <c r="BU1608" i="1"/>
  <c r="BN1608" i="1"/>
  <c r="BO1608" i="1" s="1"/>
  <c r="BD1608" i="1"/>
  <c r="BC1608" i="1"/>
  <c r="BB1608" i="1"/>
  <c r="BA1608" i="1"/>
  <c r="AZ1608" i="1"/>
  <c r="AY1608" i="1"/>
  <c r="BE1608" i="1" s="1" a="1"/>
  <c r="BE1608" i="1" s="1"/>
  <c r="AX1608" i="1"/>
  <c r="M1608" i="1"/>
  <c r="EM1607" i="1"/>
  <c r="EL1607" i="1"/>
  <c r="EK1607" i="1"/>
  <c r="DU1607" i="1"/>
  <c r="DT1607" i="1"/>
  <c r="DN1607" i="1"/>
  <c r="DM1607" i="1"/>
  <c r="DL1607" i="1"/>
  <c r="DK1607" i="1"/>
  <c r="DI1607" i="1"/>
  <c r="DJ1607" i="1" s="1"/>
  <c r="DC1607" i="1"/>
  <c r="CX1607" i="1"/>
  <c r="CN1607" i="1"/>
  <c r="CP1607" i="1" s="1"/>
  <c r="BV1607" i="1"/>
  <c r="BX1607" i="1" s="1"/>
  <c r="BU1607" i="1"/>
  <c r="BN1607" i="1"/>
  <c r="BO1607" i="1" s="1"/>
  <c r="BD1607" i="1"/>
  <c r="BC1607" i="1"/>
  <c r="BB1607" i="1"/>
  <c r="BA1607" i="1"/>
  <c r="AZ1607" i="1"/>
  <c r="AY1607" i="1"/>
  <c r="BE1607" i="1" s="1" a="1"/>
  <c r="BE1607" i="1" s="1"/>
  <c r="AX1607" i="1"/>
  <c r="M1607" i="1"/>
  <c r="EM1598" i="1"/>
  <c r="EL1598" i="1"/>
  <c r="EK1598" i="1"/>
  <c r="DU1598" i="1"/>
  <c r="DT1598" i="1"/>
  <c r="DN1598" i="1"/>
  <c r="DM1598" i="1"/>
  <c r="DL1598" i="1"/>
  <c r="DK1598" i="1"/>
  <c r="DI1598" i="1"/>
  <c r="DJ1598" i="1" s="1"/>
  <c r="DB1598" i="1"/>
  <c r="DC1598" i="1" s="1"/>
  <c r="CX1598" i="1"/>
  <c r="CN1598" i="1"/>
  <c r="CT1598" i="1" s="1"/>
  <c r="CU1598" i="1" s="1"/>
  <c r="BY1598" i="1"/>
  <c r="BV1598" i="1"/>
  <c r="BU1598" i="1"/>
  <c r="BD1598" i="1"/>
  <c r="BC1598" i="1"/>
  <c r="BB1598" i="1"/>
  <c r="BA1598" i="1"/>
  <c r="AZ1598" i="1"/>
  <c r="AY1598" i="1"/>
  <c r="BE1598" i="1" s="1" a="1"/>
  <c r="BE1598" i="1" s="1"/>
  <c r="AX1598" i="1"/>
  <c r="M1598" i="1"/>
  <c r="EM1597" i="1"/>
  <c r="EL1597" i="1"/>
  <c r="EK1597" i="1"/>
  <c r="DU1597" i="1"/>
  <c r="DT1597" i="1"/>
  <c r="DN1597" i="1"/>
  <c r="DM1597" i="1"/>
  <c r="DL1597" i="1"/>
  <c r="DK1597" i="1"/>
  <c r="DI1597" i="1"/>
  <c r="DJ1597" i="1" s="1"/>
  <c r="DB1597" i="1"/>
  <c r="DC1597" i="1" s="1"/>
  <c r="CX1597" i="1"/>
  <c r="CN1597" i="1"/>
  <c r="CS1597" i="1" s="1"/>
  <c r="BY1597" i="1"/>
  <c r="BV1597" i="1"/>
  <c r="BU1597" i="1"/>
  <c r="BD1597" i="1"/>
  <c r="BC1597" i="1"/>
  <c r="BB1597" i="1"/>
  <c r="BA1597" i="1"/>
  <c r="AZ1597" i="1"/>
  <c r="AY1597" i="1"/>
  <c r="BE1597" i="1" s="1" a="1"/>
  <c r="BE1597" i="1" s="1"/>
  <c r="AX1597" i="1"/>
  <c r="M1597" i="1"/>
  <c r="EM1596" i="1"/>
  <c r="EL1596" i="1"/>
  <c r="EK1596" i="1"/>
  <c r="DU1596" i="1"/>
  <c r="DT1596" i="1"/>
  <c r="DN1596" i="1"/>
  <c r="DM1596" i="1"/>
  <c r="DL1596" i="1"/>
  <c r="DK1596" i="1"/>
  <c r="DI1596" i="1"/>
  <c r="DJ1596" i="1" s="1"/>
  <c r="DB1596" i="1"/>
  <c r="DC1596" i="1" s="1"/>
  <c r="CX1596" i="1"/>
  <c r="CN1596" i="1"/>
  <c r="CT1596" i="1" s="1"/>
  <c r="CU1596" i="1" s="1"/>
  <c r="BY1596" i="1"/>
  <c r="BV1596" i="1"/>
  <c r="BU1596" i="1"/>
  <c r="BD1596" i="1"/>
  <c r="BC1596" i="1"/>
  <c r="BB1596" i="1"/>
  <c r="BA1596" i="1"/>
  <c r="AZ1596" i="1"/>
  <c r="AY1596" i="1"/>
  <c r="BE1596" i="1" s="1" a="1"/>
  <c r="BE1596" i="1" s="1"/>
  <c r="AX1596" i="1"/>
  <c r="M1596" i="1"/>
  <c r="EM1595" i="1"/>
  <c r="EL1595" i="1"/>
  <c r="EK1595" i="1"/>
  <c r="DU1595" i="1"/>
  <c r="DT1595" i="1"/>
  <c r="DN1595" i="1"/>
  <c r="DM1595" i="1"/>
  <c r="DL1595" i="1"/>
  <c r="DK1595" i="1"/>
  <c r="DI1595" i="1"/>
  <c r="DJ1595" i="1" s="1"/>
  <c r="DB1595" i="1"/>
  <c r="DC1595" i="1" s="1"/>
  <c r="CX1595" i="1"/>
  <c r="CN1595" i="1"/>
  <c r="CS1595" i="1" s="1"/>
  <c r="BY1595" i="1"/>
  <c r="BV1595" i="1"/>
  <c r="BU1595" i="1"/>
  <c r="BD1595" i="1"/>
  <c r="BC1595" i="1"/>
  <c r="BB1595" i="1"/>
  <c r="BA1595" i="1"/>
  <c r="AZ1595" i="1"/>
  <c r="AY1595" i="1"/>
  <c r="BE1595" i="1" s="1" a="1"/>
  <c r="BE1595" i="1" s="1"/>
  <c r="AX1595" i="1"/>
  <c r="M1595" i="1"/>
  <c r="EM1594" i="1"/>
  <c r="EL1594" i="1"/>
  <c r="EK1594" i="1"/>
  <c r="DU1594" i="1"/>
  <c r="DT1594" i="1"/>
  <c r="DN1594" i="1"/>
  <c r="DM1594" i="1"/>
  <c r="DL1594" i="1"/>
  <c r="DK1594" i="1"/>
  <c r="DI1594" i="1"/>
  <c r="DJ1594" i="1" s="1"/>
  <c r="DB1594" i="1"/>
  <c r="DC1594" i="1" s="1"/>
  <c r="CX1594" i="1"/>
  <c r="CN1594" i="1"/>
  <c r="CT1594" i="1" s="1"/>
  <c r="CU1594" i="1" s="1"/>
  <c r="BY1594" i="1"/>
  <c r="BV1594" i="1"/>
  <c r="BU1594" i="1"/>
  <c r="BD1594" i="1"/>
  <c r="BC1594" i="1"/>
  <c r="BB1594" i="1"/>
  <c r="BA1594" i="1"/>
  <c r="AZ1594" i="1"/>
  <c r="AY1594" i="1"/>
  <c r="BE1594" i="1" s="1" a="1"/>
  <c r="BE1594" i="1" s="1"/>
  <c r="AX1594" i="1"/>
  <c r="M1594" i="1"/>
  <c r="EM1593" i="1"/>
  <c r="EL1593" i="1"/>
  <c r="EK1593" i="1"/>
  <c r="DU1593" i="1"/>
  <c r="DT1593" i="1"/>
  <c r="DN1593" i="1"/>
  <c r="DM1593" i="1"/>
  <c r="DL1593" i="1"/>
  <c r="DK1593" i="1"/>
  <c r="DI1593" i="1"/>
  <c r="DJ1593" i="1" s="1"/>
  <c r="DB1593" i="1"/>
  <c r="DC1593" i="1" s="1"/>
  <c r="CX1593" i="1"/>
  <c r="CN1593" i="1"/>
  <c r="CR1593" i="1" s="1"/>
  <c r="BY1593" i="1"/>
  <c r="BV1593" i="1"/>
  <c r="BU1593" i="1"/>
  <c r="BD1593" i="1"/>
  <c r="BC1593" i="1"/>
  <c r="BB1593" i="1"/>
  <c r="BA1593" i="1"/>
  <c r="AZ1593" i="1"/>
  <c r="AY1593" i="1"/>
  <c r="BE1593" i="1" s="1" a="1"/>
  <c r="BE1593" i="1" s="1"/>
  <c r="AX1593" i="1"/>
  <c r="M1593" i="1"/>
  <c r="EM1573" i="1"/>
  <c r="EL1573" i="1"/>
  <c r="EK1573" i="1"/>
  <c r="DU1573" i="1"/>
  <c r="DT1573" i="1"/>
  <c r="DN1573" i="1"/>
  <c r="DM1573" i="1"/>
  <c r="DL1573" i="1"/>
  <c r="DK1573" i="1"/>
  <c r="DI1573" i="1"/>
  <c r="DJ1573" i="1" s="1"/>
  <c r="DB1573" i="1"/>
  <c r="DC1573" i="1" s="1"/>
  <c r="CX1573" i="1"/>
  <c r="CN1573" i="1"/>
  <c r="BV1573" i="1"/>
  <c r="BX1573" i="1" s="1"/>
  <c r="BY1573" i="1" s="1"/>
  <c r="BU1573" i="1"/>
  <c r="BD1573" i="1"/>
  <c r="BC1573" i="1"/>
  <c r="BB1573" i="1"/>
  <c r="BA1573" i="1"/>
  <c r="AZ1573" i="1"/>
  <c r="AY1573" i="1"/>
  <c r="BE1573" i="1" s="1" a="1"/>
  <c r="BE1573" i="1" s="1"/>
  <c r="AX1573" i="1"/>
  <c r="M1573" i="1"/>
  <c r="EM1572" i="1"/>
  <c r="EL1572" i="1"/>
  <c r="EK1572" i="1"/>
  <c r="DU1572" i="1"/>
  <c r="DT1572" i="1"/>
  <c r="DN1572" i="1"/>
  <c r="DM1572" i="1"/>
  <c r="DL1572" i="1"/>
  <c r="DK1572" i="1"/>
  <c r="DI1572" i="1"/>
  <c r="DJ1572" i="1" s="1"/>
  <c r="DB1572" i="1"/>
  <c r="DC1572" i="1" s="1"/>
  <c r="CX1572" i="1"/>
  <c r="CN1572" i="1"/>
  <c r="CS1572" i="1" s="1"/>
  <c r="BV1572" i="1"/>
  <c r="BX1572" i="1" s="1"/>
  <c r="BU1572" i="1"/>
  <c r="BD1572" i="1"/>
  <c r="BC1572" i="1"/>
  <c r="BB1572" i="1"/>
  <c r="BA1572" i="1"/>
  <c r="AZ1572" i="1"/>
  <c r="AY1572" i="1"/>
  <c r="BE1572" i="1" s="1" a="1"/>
  <c r="BE1572" i="1" s="1"/>
  <c r="AX1572" i="1"/>
  <c r="M1572" i="1"/>
  <c r="EM1571" i="1"/>
  <c r="EL1571" i="1"/>
  <c r="EK1571" i="1"/>
  <c r="DU1571" i="1"/>
  <c r="DT1571" i="1"/>
  <c r="DN1571" i="1"/>
  <c r="DM1571" i="1"/>
  <c r="DL1571" i="1"/>
  <c r="DK1571" i="1"/>
  <c r="DI1571" i="1"/>
  <c r="DJ1571" i="1" s="1"/>
  <c r="DB1571" i="1"/>
  <c r="DC1571" i="1" s="1"/>
  <c r="CX1571" i="1"/>
  <c r="CN1571" i="1"/>
  <c r="CS1571" i="1" s="1"/>
  <c r="BY1571" i="1"/>
  <c r="BV1571" i="1"/>
  <c r="BU1571" i="1"/>
  <c r="BD1571" i="1"/>
  <c r="BC1571" i="1"/>
  <c r="BB1571" i="1"/>
  <c r="BA1571" i="1"/>
  <c r="AZ1571" i="1"/>
  <c r="AY1571" i="1"/>
  <c r="BE1571" i="1" s="1" a="1"/>
  <c r="BE1571" i="1" s="1"/>
  <c r="AX1571" i="1"/>
  <c r="M1571" i="1"/>
  <c r="EM1570" i="1"/>
  <c r="EL1570" i="1"/>
  <c r="EK1570" i="1"/>
  <c r="DU1570" i="1"/>
  <c r="DT1570" i="1"/>
  <c r="DN1570" i="1"/>
  <c r="DM1570" i="1"/>
  <c r="DL1570" i="1"/>
  <c r="DK1570" i="1"/>
  <c r="DI1570" i="1"/>
  <c r="DJ1570" i="1" s="1"/>
  <c r="DB1570" i="1"/>
  <c r="DC1570" i="1" s="1"/>
  <c r="CX1570" i="1"/>
  <c r="CN1570" i="1"/>
  <c r="BY1570" i="1"/>
  <c r="BV1570" i="1"/>
  <c r="BU1570" i="1"/>
  <c r="BD1570" i="1"/>
  <c r="BC1570" i="1"/>
  <c r="BB1570" i="1"/>
  <c r="BA1570" i="1"/>
  <c r="AZ1570" i="1"/>
  <c r="AY1570" i="1"/>
  <c r="BE1570" i="1" s="1" a="1"/>
  <c r="BE1570" i="1" s="1"/>
  <c r="AX1570" i="1"/>
  <c r="M1570" i="1"/>
  <c r="EM1569" i="1"/>
  <c r="EL1569" i="1"/>
  <c r="EK1569" i="1"/>
  <c r="DU1569" i="1"/>
  <c r="DT1569" i="1"/>
  <c r="DN1569" i="1"/>
  <c r="DM1569" i="1"/>
  <c r="DL1569" i="1"/>
  <c r="DK1569" i="1"/>
  <c r="DI1569" i="1"/>
  <c r="DJ1569" i="1" s="1"/>
  <c r="DB1569" i="1"/>
  <c r="DC1569" i="1" s="1"/>
  <c r="CX1569" i="1"/>
  <c r="CN1569" i="1"/>
  <c r="CS1569" i="1" s="1"/>
  <c r="BY1569" i="1"/>
  <c r="BV1569" i="1"/>
  <c r="BU1569" i="1"/>
  <c r="BD1569" i="1"/>
  <c r="BC1569" i="1"/>
  <c r="BB1569" i="1"/>
  <c r="BA1569" i="1"/>
  <c r="AZ1569" i="1"/>
  <c r="AY1569" i="1"/>
  <c r="BE1569" i="1" s="1" a="1"/>
  <c r="BE1569" i="1" s="1"/>
  <c r="AX1569" i="1"/>
  <c r="M1569" i="1"/>
  <c r="EM1568" i="1"/>
  <c r="EL1568" i="1"/>
  <c r="EK1568" i="1"/>
  <c r="DU1568" i="1"/>
  <c r="DT1568" i="1"/>
  <c r="DN1568" i="1"/>
  <c r="DM1568" i="1"/>
  <c r="DL1568" i="1"/>
  <c r="DK1568" i="1"/>
  <c r="DI1568" i="1"/>
  <c r="DJ1568" i="1" s="1"/>
  <c r="DB1568" i="1"/>
  <c r="DC1568" i="1" s="1"/>
  <c r="CX1568" i="1"/>
  <c r="CN1568" i="1"/>
  <c r="BY1568" i="1"/>
  <c r="BV1568" i="1"/>
  <c r="BU1568" i="1"/>
  <c r="BD1568" i="1"/>
  <c r="BC1568" i="1"/>
  <c r="BB1568" i="1"/>
  <c r="BA1568" i="1"/>
  <c r="AZ1568" i="1"/>
  <c r="AY1568" i="1"/>
  <c r="BE1568" i="1" s="1" a="1"/>
  <c r="BE1568" i="1" s="1"/>
  <c r="AX1568" i="1"/>
  <c r="M1568" i="1"/>
  <c r="EM1567" i="1"/>
  <c r="EL1567" i="1"/>
  <c r="EK1567" i="1"/>
  <c r="DU1567" i="1"/>
  <c r="DT1567" i="1"/>
  <c r="DN1567" i="1"/>
  <c r="DM1567" i="1"/>
  <c r="DL1567" i="1"/>
  <c r="DK1567" i="1"/>
  <c r="DI1567" i="1"/>
  <c r="DJ1567" i="1" s="1"/>
  <c r="DB1567" i="1"/>
  <c r="DC1567" i="1" s="1"/>
  <c r="CX1567" i="1"/>
  <c r="CN1567" i="1"/>
  <c r="BY1567" i="1"/>
  <c r="BV1567" i="1"/>
  <c r="BU1567" i="1"/>
  <c r="BD1567" i="1"/>
  <c r="BC1567" i="1"/>
  <c r="BB1567" i="1"/>
  <c r="BA1567" i="1"/>
  <c r="AZ1567" i="1"/>
  <c r="AY1567" i="1"/>
  <c r="BE1567" i="1" s="1" a="1"/>
  <c r="BE1567" i="1" s="1"/>
  <c r="AX1567" i="1"/>
  <c r="M1567" i="1"/>
  <c r="EM1527" i="1"/>
  <c r="EL1527" i="1"/>
  <c r="EK1527" i="1"/>
  <c r="DU1527" i="1"/>
  <c r="DT1527" i="1"/>
  <c r="DN1527" i="1"/>
  <c r="DM1527" i="1"/>
  <c r="DL1527" i="1"/>
  <c r="DK1527" i="1"/>
  <c r="DI1527" i="1"/>
  <c r="DJ1527" i="1" s="1"/>
  <c r="DB1527" i="1"/>
  <c r="DC1527" i="1" s="1"/>
  <c r="CX1527" i="1"/>
  <c r="CN1527" i="1"/>
  <c r="CR1527" i="1" s="1"/>
  <c r="BV1527" i="1"/>
  <c r="BX1527" i="1" s="1"/>
  <c r="BY1527" i="1" s="1"/>
  <c r="BU1527" i="1"/>
  <c r="BD1527" i="1"/>
  <c r="BC1527" i="1"/>
  <c r="BB1527" i="1"/>
  <c r="BA1527" i="1"/>
  <c r="AZ1527" i="1"/>
  <c r="AY1527" i="1"/>
  <c r="BE1527" i="1" s="1" a="1"/>
  <c r="BE1527" i="1" s="1"/>
  <c r="AX1527" i="1"/>
  <c r="M1527" i="1"/>
  <c r="EM1526" i="1"/>
  <c r="EL1526" i="1"/>
  <c r="EK1526" i="1"/>
  <c r="DU1526" i="1"/>
  <c r="DT1526" i="1"/>
  <c r="DN1526" i="1"/>
  <c r="DM1526" i="1"/>
  <c r="DL1526" i="1"/>
  <c r="DK1526" i="1"/>
  <c r="DI1526" i="1"/>
  <c r="DJ1526" i="1" s="1"/>
  <c r="DB1526" i="1"/>
  <c r="DC1526" i="1" s="1"/>
  <c r="CX1526" i="1"/>
  <c r="CN1526" i="1"/>
  <c r="BV1526" i="1"/>
  <c r="BX1526" i="1" s="1"/>
  <c r="BY1526" i="1" s="1"/>
  <c r="BU1526" i="1"/>
  <c r="BD1526" i="1"/>
  <c r="BC1526" i="1"/>
  <c r="BB1526" i="1"/>
  <c r="BA1526" i="1"/>
  <c r="AZ1526" i="1"/>
  <c r="AY1526" i="1"/>
  <c r="BE1526" i="1" s="1" a="1"/>
  <c r="BE1526" i="1" s="1"/>
  <c r="AX1526" i="1"/>
  <c r="M1526" i="1"/>
  <c r="EM1525" i="1"/>
  <c r="EL1525" i="1"/>
  <c r="EK1525" i="1"/>
  <c r="DU1525" i="1"/>
  <c r="DT1525" i="1"/>
  <c r="DN1525" i="1"/>
  <c r="DM1525" i="1"/>
  <c r="DL1525" i="1"/>
  <c r="DK1525" i="1"/>
  <c r="DI1525" i="1"/>
  <c r="DJ1525" i="1" s="1"/>
  <c r="DB1525" i="1"/>
  <c r="DC1525" i="1" s="1"/>
  <c r="CX1525" i="1"/>
  <c r="CN1525" i="1"/>
  <c r="CS1525" i="1" s="1"/>
  <c r="BV1525" i="1"/>
  <c r="BX1525" i="1" s="1"/>
  <c r="BY1525" i="1" s="1"/>
  <c r="BU1525" i="1"/>
  <c r="BD1525" i="1"/>
  <c r="BC1525" i="1"/>
  <c r="BB1525" i="1"/>
  <c r="BA1525" i="1"/>
  <c r="AZ1525" i="1"/>
  <c r="AY1525" i="1"/>
  <c r="BE1525" i="1" s="1" a="1"/>
  <c r="BE1525" i="1" s="1"/>
  <c r="AX1525" i="1"/>
  <c r="M1525" i="1"/>
  <c r="EM1524" i="1"/>
  <c r="EL1524" i="1"/>
  <c r="EK1524" i="1"/>
  <c r="DU1524" i="1"/>
  <c r="DT1524" i="1"/>
  <c r="DN1524" i="1"/>
  <c r="DM1524" i="1"/>
  <c r="DL1524" i="1"/>
  <c r="DK1524" i="1"/>
  <c r="DI1524" i="1"/>
  <c r="DJ1524" i="1" s="1"/>
  <c r="DB1524" i="1"/>
  <c r="DC1524" i="1" s="1"/>
  <c r="CX1524" i="1"/>
  <c r="CN1524" i="1"/>
  <c r="CR1524" i="1" s="1"/>
  <c r="BV1524" i="1"/>
  <c r="BX1524" i="1" s="1"/>
  <c r="BY1524" i="1" s="1"/>
  <c r="BU1524" i="1"/>
  <c r="BD1524" i="1"/>
  <c r="BC1524" i="1"/>
  <c r="BB1524" i="1"/>
  <c r="BA1524" i="1"/>
  <c r="AZ1524" i="1"/>
  <c r="AY1524" i="1"/>
  <c r="BE1524" i="1" s="1" a="1"/>
  <c r="BE1524" i="1" s="1"/>
  <c r="AX1524" i="1"/>
  <c r="M1524" i="1"/>
  <c r="EM1523" i="1"/>
  <c r="EL1523" i="1"/>
  <c r="EK1523" i="1"/>
  <c r="DU1523" i="1"/>
  <c r="DT1523" i="1"/>
  <c r="DN1523" i="1"/>
  <c r="DM1523" i="1"/>
  <c r="DL1523" i="1"/>
  <c r="DK1523" i="1"/>
  <c r="DI1523" i="1"/>
  <c r="DJ1523" i="1" s="1"/>
  <c r="DB1523" i="1"/>
  <c r="DC1523" i="1" s="1"/>
  <c r="CX1523" i="1"/>
  <c r="CN1523" i="1"/>
  <c r="CS1523" i="1" s="1"/>
  <c r="BV1523" i="1"/>
  <c r="BX1523" i="1" s="1"/>
  <c r="BU1523" i="1"/>
  <c r="BD1523" i="1"/>
  <c r="BC1523" i="1"/>
  <c r="BB1523" i="1"/>
  <c r="BA1523" i="1"/>
  <c r="AZ1523" i="1"/>
  <c r="AY1523" i="1"/>
  <c r="BE1523" i="1" s="1" a="1"/>
  <c r="BE1523" i="1" s="1"/>
  <c r="AX1523" i="1"/>
  <c r="M1523" i="1"/>
  <c r="EM1522" i="1"/>
  <c r="EL1522" i="1"/>
  <c r="EK1522" i="1"/>
  <c r="DU1522" i="1"/>
  <c r="DT1522" i="1"/>
  <c r="DN1522" i="1"/>
  <c r="DM1522" i="1"/>
  <c r="DL1522" i="1"/>
  <c r="DK1522" i="1"/>
  <c r="DI1522" i="1"/>
  <c r="DJ1522" i="1" s="1"/>
  <c r="DB1522" i="1"/>
  <c r="DC1522" i="1" s="1"/>
  <c r="CX1522" i="1"/>
  <c r="CN1522" i="1"/>
  <c r="CR1522" i="1" s="1"/>
  <c r="BV1522" i="1"/>
  <c r="BX1522" i="1" s="1"/>
  <c r="BY1522" i="1" s="1"/>
  <c r="BU1522" i="1"/>
  <c r="BD1522" i="1"/>
  <c r="BC1522" i="1"/>
  <c r="BB1522" i="1"/>
  <c r="BA1522" i="1"/>
  <c r="AZ1522" i="1"/>
  <c r="AY1522" i="1"/>
  <c r="BE1522" i="1" s="1" a="1"/>
  <c r="BE1522" i="1" s="1"/>
  <c r="AX1522" i="1"/>
  <c r="M1522" i="1"/>
  <c r="EM1516" i="1"/>
  <c r="EL1516" i="1"/>
  <c r="EK1516" i="1"/>
  <c r="DU1516" i="1"/>
  <c r="DT1516" i="1"/>
  <c r="DN1516" i="1"/>
  <c r="DM1516" i="1"/>
  <c r="DL1516" i="1"/>
  <c r="DK1516" i="1"/>
  <c r="DI1516" i="1"/>
  <c r="DJ1516" i="1" s="1"/>
  <c r="DC1516" i="1"/>
  <c r="CX1516" i="1"/>
  <c r="CN1516" i="1"/>
  <c r="CQ1516" i="1" s="1"/>
  <c r="BY1516" i="1"/>
  <c r="EP1516" i="1" s="1"/>
  <c r="BD1516" i="1"/>
  <c r="BC1516" i="1"/>
  <c r="BB1516" i="1"/>
  <c r="BA1516" i="1"/>
  <c r="AZ1516" i="1"/>
  <c r="AY1516" i="1"/>
  <c r="BE1516" i="1" s="1" a="1"/>
  <c r="BE1516" i="1" s="1"/>
  <c r="AX1516" i="1"/>
  <c r="M1516" i="1"/>
  <c r="EM1508" i="1"/>
  <c r="EL1508" i="1"/>
  <c r="EK1508" i="1"/>
  <c r="DU1508" i="1"/>
  <c r="DT1508" i="1"/>
  <c r="DN1508" i="1"/>
  <c r="DM1508" i="1"/>
  <c r="DL1508" i="1"/>
  <c r="DK1508" i="1"/>
  <c r="DI1508" i="1"/>
  <c r="DJ1508" i="1" s="1"/>
  <c r="DC1508" i="1"/>
  <c r="CX1508" i="1"/>
  <c r="CN1508" i="1"/>
  <c r="BX1508" i="1"/>
  <c r="BY1508" i="1" s="1"/>
  <c r="EP1508" i="1" s="1"/>
  <c r="BD1508" i="1"/>
  <c r="BC1508" i="1"/>
  <c r="BB1508" i="1"/>
  <c r="BA1508" i="1"/>
  <c r="AZ1508" i="1"/>
  <c r="AY1508" i="1"/>
  <c r="BE1508" i="1" s="1" a="1"/>
  <c r="BE1508" i="1" s="1"/>
  <c r="AX1508" i="1"/>
  <c r="M1508" i="1"/>
  <c r="EM1507" i="1"/>
  <c r="EL1507" i="1"/>
  <c r="EK1507" i="1"/>
  <c r="DU1507" i="1"/>
  <c r="DT1507" i="1"/>
  <c r="DN1507" i="1"/>
  <c r="DM1507" i="1"/>
  <c r="DL1507" i="1"/>
  <c r="DK1507" i="1"/>
  <c r="DI1507" i="1"/>
  <c r="DJ1507" i="1" s="1"/>
  <c r="DC1507" i="1"/>
  <c r="CX1507" i="1"/>
  <c r="CN1507" i="1"/>
  <c r="CR1507" i="1" s="1"/>
  <c r="BX1507" i="1"/>
  <c r="BD1507" i="1"/>
  <c r="BC1507" i="1"/>
  <c r="BB1507" i="1"/>
  <c r="BA1507" i="1"/>
  <c r="AZ1507" i="1"/>
  <c r="AY1507" i="1"/>
  <c r="BE1507" i="1" s="1" a="1"/>
  <c r="BE1507" i="1" s="1"/>
  <c r="AX1507" i="1"/>
  <c r="M1507" i="1"/>
  <c r="EM1506" i="1"/>
  <c r="EL1506" i="1"/>
  <c r="EK1506" i="1"/>
  <c r="DU1506" i="1"/>
  <c r="DT1506" i="1"/>
  <c r="DN1506" i="1"/>
  <c r="DM1506" i="1"/>
  <c r="DL1506" i="1"/>
  <c r="DK1506" i="1"/>
  <c r="DI1506" i="1"/>
  <c r="DJ1506" i="1" s="1"/>
  <c r="DC1506" i="1"/>
  <c r="CX1506" i="1"/>
  <c r="CN1506" i="1"/>
  <c r="BX1506" i="1"/>
  <c r="BY1506" i="1" s="1"/>
  <c r="EP1506" i="1" s="1"/>
  <c r="BD1506" i="1"/>
  <c r="BC1506" i="1"/>
  <c r="BB1506" i="1"/>
  <c r="BA1506" i="1"/>
  <c r="AZ1506" i="1"/>
  <c r="AY1506" i="1"/>
  <c r="BE1506" i="1" s="1" a="1"/>
  <c r="BE1506" i="1" s="1"/>
  <c r="AX1506" i="1"/>
  <c r="M1506" i="1"/>
  <c r="EM1505" i="1"/>
  <c r="EL1505" i="1"/>
  <c r="EK1505" i="1"/>
  <c r="DU1505" i="1"/>
  <c r="DT1505" i="1"/>
  <c r="DN1505" i="1"/>
  <c r="DM1505" i="1"/>
  <c r="DL1505" i="1"/>
  <c r="DK1505" i="1"/>
  <c r="DI1505" i="1"/>
  <c r="DJ1505" i="1" s="1"/>
  <c r="DC1505" i="1"/>
  <c r="CX1505" i="1"/>
  <c r="CN1505" i="1"/>
  <c r="BX1505" i="1"/>
  <c r="BY1505" i="1" s="1"/>
  <c r="EP1505" i="1" s="1"/>
  <c r="BD1505" i="1"/>
  <c r="BC1505" i="1"/>
  <c r="BB1505" i="1"/>
  <c r="BA1505" i="1"/>
  <c r="AZ1505" i="1"/>
  <c r="AY1505" i="1"/>
  <c r="BE1505" i="1" s="1" a="1"/>
  <c r="BE1505" i="1" s="1"/>
  <c r="AX1505" i="1"/>
  <c r="M1505" i="1"/>
  <c r="EM1504" i="1"/>
  <c r="EL1504" i="1"/>
  <c r="EK1504" i="1"/>
  <c r="DU1504" i="1"/>
  <c r="DT1504" i="1"/>
  <c r="DN1504" i="1"/>
  <c r="DM1504" i="1"/>
  <c r="DL1504" i="1"/>
  <c r="DK1504" i="1"/>
  <c r="DI1504" i="1"/>
  <c r="DJ1504" i="1" s="1"/>
  <c r="DC1504" i="1"/>
  <c r="CX1504" i="1"/>
  <c r="CN1504" i="1"/>
  <c r="BX1504" i="1"/>
  <c r="BY1504" i="1" s="1"/>
  <c r="EP1504" i="1" s="1"/>
  <c r="BD1504" i="1"/>
  <c r="BC1504" i="1"/>
  <c r="BB1504" i="1"/>
  <c r="BA1504" i="1"/>
  <c r="AZ1504" i="1"/>
  <c r="AY1504" i="1"/>
  <c r="BE1504" i="1" s="1" a="1"/>
  <c r="BE1504" i="1" s="1"/>
  <c r="AX1504" i="1"/>
  <c r="M1504" i="1"/>
  <c r="EM1503" i="1"/>
  <c r="EL1503" i="1"/>
  <c r="EK1503" i="1"/>
  <c r="DU1503" i="1"/>
  <c r="DT1503" i="1"/>
  <c r="DN1503" i="1"/>
  <c r="DM1503" i="1"/>
  <c r="DL1503" i="1"/>
  <c r="DK1503" i="1"/>
  <c r="DI1503" i="1"/>
  <c r="DJ1503" i="1" s="1"/>
  <c r="DC1503" i="1"/>
  <c r="CX1503" i="1"/>
  <c r="CN1503" i="1"/>
  <c r="CR1503" i="1" s="1"/>
  <c r="BX1503" i="1"/>
  <c r="BY1503" i="1" s="1"/>
  <c r="EP1503" i="1" s="1"/>
  <c r="BD1503" i="1"/>
  <c r="BC1503" i="1"/>
  <c r="BB1503" i="1"/>
  <c r="BA1503" i="1"/>
  <c r="AZ1503" i="1"/>
  <c r="AY1503" i="1"/>
  <c r="BE1503" i="1" s="1" a="1"/>
  <c r="BE1503" i="1" s="1"/>
  <c r="AX1503" i="1"/>
  <c r="M1503" i="1"/>
  <c r="EM1502" i="1"/>
  <c r="EL1502" i="1"/>
  <c r="EK1502" i="1"/>
  <c r="DU1502" i="1"/>
  <c r="DT1502" i="1"/>
  <c r="DN1502" i="1"/>
  <c r="DM1502" i="1"/>
  <c r="DL1502" i="1"/>
  <c r="DK1502" i="1"/>
  <c r="DI1502" i="1"/>
  <c r="DJ1502" i="1" s="1"/>
  <c r="DC1502" i="1"/>
  <c r="CX1502" i="1"/>
  <c r="CN1502" i="1"/>
  <c r="BX1502" i="1"/>
  <c r="BY1502" i="1" s="1"/>
  <c r="EP1502" i="1" s="1"/>
  <c r="BD1502" i="1"/>
  <c r="BC1502" i="1"/>
  <c r="BB1502" i="1"/>
  <c r="BA1502" i="1"/>
  <c r="AZ1502" i="1"/>
  <c r="AY1502" i="1"/>
  <c r="BE1502" i="1" s="1" a="1"/>
  <c r="BE1502" i="1" s="1"/>
  <c r="AX1502" i="1"/>
  <c r="M1502" i="1"/>
  <c r="EM1501" i="1"/>
  <c r="EL1501" i="1"/>
  <c r="EK1501" i="1"/>
  <c r="DU1501" i="1"/>
  <c r="DT1501" i="1"/>
  <c r="DN1501" i="1"/>
  <c r="DM1501" i="1"/>
  <c r="DL1501" i="1"/>
  <c r="DK1501" i="1"/>
  <c r="DI1501" i="1"/>
  <c r="DJ1501" i="1" s="1"/>
  <c r="DC1501" i="1"/>
  <c r="CX1501" i="1"/>
  <c r="CN1501" i="1"/>
  <c r="BX1501" i="1"/>
  <c r="BY1501" i="1" s="1"/>
  <c r="EP1501" i="1" s="1"/>
  <c r="BD1501" i="1"/>
  <c r="BC1501" i="1"/>
  <c r="BB1501" i="1"/>
  <c r="BA1501" i="1"/>
  <c r="AZ1501" i="1"/>
  <c r="AY1501" i="1"/>
  <c r="BE1501" i="1" s="1" a="1"/>
  <c r="BE1501" i="1" s="1"/>
  <c r="AX1501" i="1"/>
  <c r="M1501" i="1"/>
  <c r="EM1500" i="1"/>
  <c r="EL1500" i="1"/>
  <c r="EK1500" i="1"/>
  <c r="DU1500" i="1"/>
  <c r="DT1500" i="1"/>
  <c r="DN1500" i="1"/>
  <c r="DM1500" i="1"/>
  <c r="DL1500" i="1"/>
  <c r="DK1500" i="1"/>
  <c r="DI1500" i="1"/>
  <c r="DJ1500" i="1" s="1"/>
  <c r="DC1500" i="1"/>
  <c r="CX1500" i="1"/>
  <c r="CN1500" i="1"/>
  <c r="BX1500" i="1"/>
  <c r="BY1500" i="1" s="1"/>
  <c r="EP1500" i="1" s="1"/>
  <c r="BD1500" i="1"/>
  <c r="BC1500" i="1"/>
  <c r="BB1500" i="1"/>
  <c r="BA1500" i="1"/>
  <c r="AZ1500" i="1"/>
  <c r="AY1500" i="1"/>
  <c r="BE1500" i="1" s="1" a="1"/>
  <c r="BE1500" i="1" s="1"/>
  <c r="AX1500" i="1"/>
  <c r="M1500" i="1"/>
  <c r="EM1499" i="1"/>
  <c r="EL1499" i="1"/>
  <c r="EK1499" i="1"/>
  <c r="DU1499" i="1"/>
  <c r="DT1499" i="1"/>
  <c r="DN1499" i="1"/>
  <c r="DM1499" i="1"/>
  <c r="DL1499" i="1"/>
  <c r="DK1499" i="1"/>
  <c r="DI1499" i="1"/>
  <c r="DJ1499" i="1" s="1"/>
  <c r="DC1499" i="1"/>
  <c r="CX1499" i="1"/>
  <c r="CN1499" i="1"/>
  <c r="CS1499" i="1" s="1"/>
  <c r="BX1499" i="1"/>
  <c r="BY1499" i="1" s="1"/>
  <c r="EP1499" i="1" s="1"/>
  <c r="BD1499" i="1"/>
  <c r="BC1499" i="1"/>
  <c r="BB1499" i="1"/>
  <c r="BA1499" i="1"/>
  <c r="AZ1499" i="1"/>
  <c r="AY1499" i="1"/>
  <c r="BE1499" i="1" s="1" a="1"/>
  <c r="BE1499" i="1" s="1"/>
  <c r="AX1499" i="1"/>
  <c r="M1499" i="1"/>
  <c r="EM1498" i="1"/>
  <c r="EL1498" i="1"/>
  <c r="EK1498" i="1"/>
  <c r="DU1498" i="1"/>
  <c r="DT1498" i="1"/>
  <c r="DN1498" i="1"/>
  <c r="DM1498" i="1"/>
  <c r="DL1498" i="1"/>
  <c r="DK1498" i="1"/>
  <c r="DI1498" i="1"/>
  <c r="DJ1498" i="1" s="1"/>
  <c r="DC1498" i="1"/>
  <c r="CX1498" i="1"/>
  <c r="CN1498" i="1"/>
  <c r="CS1498" i="1" s="1"/>
  <c r="BX1498" i="1"/>
  <c r="BY1498" i="1" s="1"/>
  <c r="EP1498" i="1" s="1"/>
  <c r="BD1498" i="1"/>
  <c r="BC1498" i="1"/>
  <c r="BB1498" i="1"/>
  <c r="BA1498" i="1"/>
  <c r="AZ1498" i="1"/>
  <c r="AY1498" i="1"/>
  <c r="AX1498" i="1"/>
  <c r="M1498" i="1"/>
  <c r="EM1494" i="1"/>
  <c r="EL1494" i="1"/>
  <c r="EK1494" i="1"/>
  <c r="DU1494" i="1"/>
  <c r="DN1494" i="1"/>
  <c r="DM1494" i="1"/>
  <c r="DL1494" i="1"/>
  <c r="DK1494" i="1"/>
  <c r="DI1494" i="1"/>
  <c r="DJ1494" i="1" s="1"/>
  <c r="DC1494" i="1"/>
  <c r="CX1494" i="1"/>
  <c r="CN1494" i="1"/>
  <c r="CR1494" i="1" s="1"/>
  <c r="BV1494" i="1"/>
  <c r="BX1494" i="1" s="1"/>
  <c r="BY1494" i="1" s="1"/>
  <c r="BU1494" i="1"/>
  <c r="BM1494" i="1"/>
  <c r="BD1494" i="1"/>
  <c r="BC1494" i="1"/>
  <c r="BB1494" i="1"/>
  <c r="BA1494" i="1"/>
  <c r="AZ1494" i="1"/>
  <c r="AY1494" i="1"/>
  <c r="BE1494" i="1" s="1" a="1"/>
  <c r="BE1494" i="1" s="1"/>
  <c r="AX1494" i="1"/>
  <c r="M1494" i="1"/>
  <c r="EM1493" i="1"/>
  <c r="EL1493" i="1"/>
  <c r="EK1493" i="1"/>
  <c r="DU1493" i="1"/>
  <c r="DN1493" i="1"/>
  <c r="DM1493" i="1"/>
  <c r="DL1493" i="1"/>
  <c r="DK1493" i="1"/>
  <c r="DI1493" i="1"/>
  <c r="DJ1493" i="1" s="1"/>
  <c r="DC1493" i="1"/>
  <c r="CX1493" i="1"/>
  <c r="CN1493" i="1"/>
  <c r="CR1493" i="1" s="1"/>
  <c r="BV1493" i="1"/>
  <c r="BX1493" i="1" s="1"/>
  <c r="BY1493" i="1" s="1"/>
  <c r="BU1493" i="1"/>
  <c r="BM1493" i="1"/>
  <c r="BD1493" i="1"/>
  <c r="BC1493" i="1"/>
  <c r="BB1493" i="1"/>
  <c r="BA1493" i="1"/>
  <c r="AZ1493" i="1"/>
  <c r="AY1493" i="1"/>
  <c r="BE1493" i="1" s="1" a="1"/>
  <c r="BE1493" i="1" s="1"/>
  <c r="AX1493" i="1"/>
  <c r="M1493" i="1"/>
  <c r="EM1492" i="1"/>
  <c r="EL1492" i="1"/>
  <c r="EK1492" i="1"/>
  <c r="DU1492" i="1"/>
  <c r="DN1492" i="1"/>
  <c r="DM1492" i="1"/>
  <c r="DL1492" i="1"/>
  <c r="DK1492" i="1"/>
  <c r="DI1492" i="1"/>
  <c r="DJ1492" i="1" s="1"/>
  <c r="DC1492" i="1"/>
  <c r="CX1492" i="1"/>
  <c r="CN1492" i="1"/>
  <c r="CS1492" i="1" s="1"/>
  <c r="BV1492" i="1"/>
  <c r="BX1492" i="1" s="1"/>
  <c r="BY1492" i="1" s="1"/>
  <c r="BU1492" i="1"/>
  <c r="BM1492" i="1"/>
  <c r="BD1492" i="1"/>
  <c r="BC1492" i="1"/>
  <c r="BB1492" i="1"/>
  <c r="BA1492" i="1"/>
  <c r="AZ1492" i="1"/>
  <c r="AY1492" i="1"/>
  <c r="BE1492" i="1" s="1" a="1"/>
  <c r="BE1492" i="1" s="1"/>
  <c r="AX1492" i="1"/>
  <c r="M1492" i="1"/>
  <c r="EM1491" i="1"/>
  <c r="EL1491" i="1"/>
  <c r="EK1491" i="1"/>
  <c r="DU1491" i="1"/>
  <c r="DN1491" i="1"/>
  <c r="DM1491" i="1"/>
  <c r="DL1491" i="1"/>
  <c r="DK1491" i="1"/>
  <c r="DI1491" i="1"/>
  <c r="DJ1491" i="1" s="1"/>
  <c r="DC1491" i="1"/>
  <c r="CX1491" i="1"/>
  <c r="CN1491" i="1"/>
  <c r="CS1491" i="1" s="1"/>
  <c r="BV1491" i="1"/>
  <c r="BX1491" i="1" s="1"/>
  <c r="BY1491" i="1" s="1"/>
  <c r="BU1491" i="1"/>
  <c r="BM1491" i="1"/>
  <c r="BD1491" i="1"/>
  <c r="BC1491" i="1"/>
  <c r="BB1491" i="1"/>
  <c r="BA1491" i="1"/>
  <c r="AZ1491" i="1"/>
  <c r="AY1491" i="1"/>
  <c r="BE1491" i="1" s="1" a="1"/>
  <c r="BE1491" i="1" s="1"/>
  <c r="AX1491" i="1"/>
  <c r="M1491" i="1"/>
  <c r="EM1490" i="1"/>
  <c r="EL1490" i="1"/>
  <c r="EK1490" i="1"/>
  <c r="DU1490" i="1"/>
  <c r="DN1490" i="1"/>
  <c r="DM1490" i="1"/>
  <c r="DL1490" i="1"/>
  <c r="DK1490" i="1"/>
  <c r="DI1490" i="1"/>
  <c r="DJ1490" i="1" s="1"/>
  <c r="DC1490" i="1"/>
  <c r="CX1490" i="1"/>
  <c r="CN1490" i="1"/>
  <c r="CS1490" i="1" s="1"/>
  <c r="BV1490" i="1"/>
  <c r="BX1490" i="1" s="1"/>
  <c r="BU1490" i="1"/>
  <c r="BM1490" i="1"/>
  <c r="BD1490" i="1"/>
  <c r="BC1490" i="1"/>
  <c r="BB1490" i="1"/>
  <c r="BA1490" i="1"/>
  <c r="AZ1490" i="1"/>
  <c r="AY1490" i="1"/>
  <c r="BE1490" i="1" s="1" a="1"/>
  <c r="BE1490" i="1" s="1"/>
  <c r="AX1490" i="1"/>
  <c r="M1490" i="1"/>
  <c r="EM1489" i="1"/>
  <c r="EL1489" i="1"/>
  <c r="EK1489" i="1"/>
  <c r="DU1489" i="1"/>
  <c r="DN1489" i="1"/>
  <c r="DM1489" i="1"/>
  <c r="DL1489" i="1"/>
  <c r="DK1489" i="1"/>
  <c r="DI1489" i="1"/>
  <c r="DJ1489" i="1" s="1"/>
  <c r="DC1489" i="1"/>
  <c r="CX1489" i="1"/>
  <c r="CN1489" i="1"/>
  <c r="BV1489" i="1"/>
  <c r="BX1489" i="1" s="1"/>
  <c r="BY1489" i="1" s="1"/>
  <c r="BU1489" i="1"/>
  <c r="BM1489" i="1"/>
  <c r="BD1489" i="1"/>
  <c r="BC1489" i="1"/>
  <c r="BB1489" i="1"/>
  <c r="BA1489" i="1"/>
  <c r="AZ1489" i="1"/>
  <c r="AY1489" i="1"/>
  <c r="BE1489" i="1" s="1" a="1"/>
  <c r="BE1489" i="1" s="1"/>
  <c r="AX1489" i="1"/>
  <c r="M1489" i="1"/>
  <c r="EM1488" i="1"/>
  <c r="EL1488" i="1"/>
  <c r="EK1488" i="1"/>
  <c r="DU1488" i="1"/>
  <c r="DN1488" i="1"/>
  <c r="DM1488" i="1"/>
  <c r="DL1488" i="1"/>
  <c r="DK1488" i="1"/>
  <c r="DI1488" i="1"/>
  <c r="DJ1488" i="1" s="1"/>
  <c r="DC1488" i="1"/>
  <c r="CX1488" i="1"/>
  <c r="CN1488" i="1"/>
  <c r="CR1488" i="1" s="1"/>
  <c r="BV1488" i="1"/>
  <c r="BX1488" i="1" s="1"/>
  <c r="BY1488" i="1" s="1"/>
  <c r="BU1488" i="1"/>
  <c r="BM1488" i="1"/>
  <c r="BD1488" i="1"/>
  <c r="BC1488" i="1"/>
  <c r="BB1488" i="1"/>
  <c r="BA1488" i="1"/>
  <c r="AZ1488" i="1"/>
  <c r="AY1488" i="1"/>
  <c r="BE1488" i="1" s="1" a="1"/>
  <c r="BE1488" i="1" s="1"/>
  <c r="AX1488" i="1"/>
  <c r="M1488" i="1"/>
  <c r="EM1472" i="1"/>
  <c r="EL1472" i="1"/>
  <c r="EK1472" i="1"/>
  <c r="DU1472" i="1"/>
  <c r="DT1472" i="1"/>
  <c r="DN1472" i="1"/>
  <c r="DM1472" i="1"/>
  <c r="DL1472" i="1"/>
  <c r="DK1472" i="1"/>
  <c r="DI1472" i="1"/>
  <c r="DJ1472" i="1" s="1"/>
  <c r="DB1472" i="1"/>
  <c r="DC1472" i="1" s="1"/>
  <c r="CX1472" i="1"/>
  <c r="CV1472" i="1"/>
  <c r="CN1472" i="1"/>
  <c r="CT1472" i="1" s="1"/>
  <c r="CU1472" i="1" s="1"/>
  <c r="BY1472" i="1"/>
  <c r="EP1472" i="1" s="1"/>
  <c r="BD1472" i="1"/>
  <c r="BC1472" i="1"/>
  <c r="BB1472" i="1"/>
  <c r="BA1472" i="1"/>
  <c r="AZ1472" i="1"/>
  <c r="AY1472" i="1"/>
  <c r="BE1472" i="1" s="1" a="1"/>
  <c r="BE1472" i="1" s="1"/>
  <c r="AX1472" i="1"/>
  <c r="M1472" i="1"/>
  <c r="EM1471" i="1"/>
  <c r="EL1471" i="1"/>
  <c r="EK1471" i="1"/>
  <c r="DU1471" i="1"/>
  <c r="DT1471" i="1"/>
  <c r="DN1471" i="1"/>
  <c r="DM1471" i="1"/>
  <c r="DL1471" i="1"/>
  <c r="DK1471" i="1"/>
  <c r="DI1471" i="1"/>
  <c r="DJ1471" i="1" s="1"/>
  <c r="DB1471" i="1"/>
  <c r="DC1471" i="1" s="1"/>
  <c r="CX1471" i="1"/>
  <c r="CV1471" i="1"/>
  <c r="CN1471" i="1"/>
  <c r="CT1471" i="1" s="1"/>
  <c r="CU1471" i="1" s="1"/>
  <c r="BY1471" i="1"/>
  <c r="EP1471" i="1" s="1"/>
  <c r="BD1471" i="1"/>
  <c r="BC1471" i="1"/>
  <c r="BB1471" i="1"/>
  <c r="BA1471" i="1"/>
  <c r="AZ1471" i="1"/>
  <c r="AY1471" i="1"/>
  <c r="BE1471" i="1" s="1" a="1"/>
  <c r="BE1471" i="1" s="1"/>
  <c r="AX1471" i="1"/>
  <c r="M1471" i="1"/>
  <c r="EM1470" i="1"/>
  <c r="EL1470" i="1"/>
  <c r="EK1470" i="1"/>
  <c r="DU1470" i="1"/>
  <c r="DT1470" i="1"/>
  <c r="DN1470" i="1"/>
  <c r="DM1470" i="1"/>
  <c r="DL1470" i="1"/>
  <c r="DK1470" i="1"/>
  <c r="DI1470" i="1"/>
  <c r="DJ1470" i="1" s="1"/>
  <c r="DB1470" i="1"/>
  <c r="DC1470" i="1" s="1"/>
  <c r="CX1470" i="1"/>
  <c r="CV1470" i="1"/>
  <c r="CN1470" i="1"/>
  <c r="CT1470" i="1" s="1"/>
  <c r="CU1470" i="1" s="1"/>
  <c r="BY1470" i="1"/>
  <c r="EP1470" i="1" s="1"/>
  <c r="BD1470" i="1"/>
  <c r="BC1470" i="1"/>
  <c r="BB1470" i="1"/>
  <c r="BA1470" i="1"/>
  <c r="AZ1470" i="1"/>
  <c r="AY1470" i="1"/>
  <c r="BE1470" i="1" s="1" a="1"/>
  <c r="BE1470" i="1" s="1"/>
  <c r="AX1470" i="1"/>
  <c r="M1470" i="1"/>
  <c r="EM1469" i="1"/>
  <c r="EL1469" i="1"/>
  <c r="EK1469" i="1"/>
  <c r="DU1469" i="1"/>
  <c r="DT1469" i="1"/>
  <c r="DN1469" i="1"/>
  <c r="DM1469" i="1"/>
  <c r="DL1469" i="1"/>
  <c r="DK1469" i="1"/>
  <c r="DI1469" i="1"/>
  <c r="DJ1469" i="1" s="1"/>
  <c r="DB1469" i="1"/>
  <c r="DC1469" i="1" s="1"/>
  <c r="CX1469" i="1"/>
  <c r="CV1469" i="1"/>
  <c r="CN1469" i="1"/>
  <c r="CT1469" i="1" s="1"/>
  <c r="CU1469" i="1" s="1"/>
  <c r="BY1469" i="1"/>
  <c r="EP1469" i="1" s="1"/>
  <c r="BD1469" i="1"/>
  <c r="BC1469" i="1"/>
  <c r="BB1469" i="1"/>
  <c r="BA1469" i="1"/>
  <c r="AZ1469" i="1"/>
  <c r="AY1469" i="1"/>
  <c r="BE1469" i="1" s="1" a="1"/>
  <c r="BE1469" i="1" s="1"/>
  <c r="AX1469" i="1"/>
  <c r="M1469" i="1"/>
  <c r="EM1468" i="1"/>
  <c r="EL1468" i="1"/>
  <c r="EK1468" i="1"/>
  <c r="DU1468" i="1"/>
  <c r="DT1468" i="1"/>
  <c r="DN1468" i="1"/>
  <c r="DM1468" i="1"/>
  <c r="DL1468" i="1"/>
  <c r="DK1468" i="1"/>
  <c r="DI1468" i="1"/>
  <c r="DJ1468" i="1" s="1"/>
  <c r="DB1468" i="1"/>
  <c r="DC1468" i="1" s="1"/>
  <c r="CX1468" i="1"/>
  <c r="CV1468" i="1"/>
  <c r="CN1468" i="1"/>
  <c r="CT1468" i="1" s="1"/>
  <c r="CU1468" i="1" s="1"/>
  <c r="BY1468" i="1"/>
  <c r="EP1468" i="1" s="1"/>
  <c r="BD1468" i="1"/>
  <c r="BC1468" i="1"/>
  <c r="BB1468" i="1"/>
  <c r="BA1468" i="1"/>
  <c r="AZ1468" i="1"/>
  <c r="AY1468" i="1"/>
  <c r="BE1468" i="1" s="1" a="1"/>
  <c r="BE1468" i="1" s="1"/>
  <c r="AX1468" i="1"/>
  <c r="M1468" i="1"/>
  <c r="EM1467" i="1"/>
  <c r="EL1467" i="1"/>
  <c r="EK1467" i="1"/>
  <c r="DU1467" i="1"/>
  <c r="DT1467" i="1"/>
  <c r="DN1467" i="1"/>
  <c r="DM1467" i="1"/>
  <c r="DL1467" i="1"/>
  <c r="DK1467" i="1"/>
  <c r="DI1467" i="1"/>
  <c r="DJ1467" i="1" s="1"/>
  <c r="DB1467" i="1"/>
  <c r="DC1467" i="1" s="1"/>
  <c r="CX1467" i="1"/>
  <c r="CV1467" i="1"/>
  <c r="CN1467" i="1"/>
  <c r="CT1467" i="1" s="1"/>
  <c r="CU1467" i="1" s="1"/>
  <c r="BY1467" i="1"/>
  <c r="EP1467" i="1" s="1"/>
  <c r="BD1467" i="1"/>
  <c r="BC1467" i="1"/>
  <c r="BB1467" i="1"/>
  <c r="BA1467" i="1"/>
  <c r="AZ1467" i="1"/>
  <c r="AY1467" i="1"/>
  <c r="BE1467" i="1" s="1" a="1"/>
  <c r="BE1467" i="1" s="1"/>
  <c r="AX1467" i="1"/>
  <c r="M1467" i="1"/>
  <c r="EM1466" i="1"/>
  <c r="EL1466" i="1"/>
  <c r="EK1466" i="1"/>
  <c r="DU1466" i="1"/>
  <c r="DT1466" i="1"/>
  <c r="DN1466" i="1"/>
  <c r="DM1466" i="1"/>
  <c r="DL1466" i="1"/>
  <c r="DK1466" i="1"/>
  <c r="DI1466" i="1"/>
  <c r="DJ1466" i="1" s="1"/>
  <c r="DB1466" i="1"/>
  <c r="DC1466" i="1" s="1"/>
  <c r="CX1466" i="1"/>
  <c r="CV1466" i="1"/>
  <c r="CN1466" i="1"/>
  <c r="CT1466" i="1" s="1"/>
  <c r="CU1466" i="1" s="1"/>
  <c r="BY1466" i="1"/>
  <c r="EP1466" i="1" s="1"/>
  <c r="BD1466" i="1"/>
  <c r="BC1466" i="1"/>
  <c r="BB1466" i="1"/>
  <c r="BA1466" i="1"/>
  <c r="AZ1466" i="1"/>
  <c r="AY1466" i="1"/>
  <c r="BE1466" i="1" s="1" a="1"/>
  <c r="BE1466" i="1" s="1"/>
  <c r="AX1466" i="1"/>
  <c r="M1466" i="1"/>
  <c r="EM1465" i="1"/>
  <c r="EL1465" i="1"/>
  <c r="EK1465" i="1"/>
  <c r="DU1465" i="1"/>
  <c r="DT1465" i="1"/>
  <c r="DN1465" i="1"/>
  <c r="DM1465" i="1"/>
  <c r="DL1465" i="1"/>
  <c r="DK1465" i="1"/>
  <c r="DI1465" i="1"/>
  <c r="DJ1465" i="1" s="1"/>
  <c r="DB1465" i="1"/>
  <c r="DC1465" i="1" s="1"/>
  <c r="CX1465" i="1"/>
  <c r="CV1465" i="1"/>
  <c r="CN1465" i="1"/>
  <c r="CT1465" i="1" s="1"/>
  <c r="CU1465" i="1" s="1"/>
  <c r="BY1465" i="1"/>
  <c r="EP1465" i="1" s="1"/>
  <c r="BD1465" i="1"/>
  <c r="BC1465" i="1"/>
  <c r="BB1465" i="1"/>
  <c r="BA1465" i="1"/>
  <c r="AZ1465" i="1"/>
  <c r="AY1465" i="1"/>
  <c r="BE1465" i="1" s="1" a="1"/>
  <c r="BE1465" i="1" s="1"/>
  <c r="AX1465" i="1"/>
  <c r="M1465" i="1"/>
  <c r="EM1464" i="1"/>
  <c r="EL1464" i="1"/>
  <c r="EK1464" i="1"/>
  <c r="DU1464" i="1"/>
  <c r="DT1464" i="1"/>
  <c r="DN1464" i="1"/>
  <c r="DM1464" i="1"/>
  <c r="DL1464" i="1"/>
  <c r="DK1464" i="1"/>
  <c r="DI1464" i="1"/>
  <c r="DJ1464" i="1" s="1"/>
  <c r="DB1464" i="1"/>
  <c r="DC1464" i="1" s="1"/>
  <c r="CX1464" i="1"/>
  <c r="CV1464" i="1"/>
  <c r="CN1464" i="1"/>
  <c r="CT1464" i="1" s="1"/>
  <c r="CU1464" i="1" s="1"/>
  <c r="BY1464" i="1"/>
  <c r="EP1464" i="1" s="1"/>
  <c r="BD1464" i="1"/>
  <c r="BC1464" i="1"/>
  <c r="BB1464" i="1"/>
  <c r="BA1464" i="1"/>
  <c r="AZ1464" i="1"/>
  <c r="AY1464" i="1"/>
  <c r="BE1464" i="1" s="1" a="1"/>
  <c r="BE1464" i="1" s="1"/>
  <c r="AX1464" i="1"/>
  <c r="M1464" i="1"/>
  <c r="EM1430" i="1"/>
  <c r="EL1430" i="1"/>
  <c r="EK1430" i="1"/>
  <c r="DU1430" i="1"/>
  <c r="DT1430" i="1"/>
  <c r="DN1430" i="1"/>
  <c r="DM1430" i="1"/>
  <c r="DL1430" i="1"/>
  <c r="DK1430" i="1"/>
  <c r="DI1430" i="1"/>
  <c r="DJ1430" i="1" s="1"/>
  <c r="DC1430" i="1"/>
  <c r="CX1430" i="1"/>
  <c r="CN1430" i="1"/>
  <c r="BV1430" i="1"/>
  <c r="BX1430" i="1" s="1"/>
  <c r="BY1430" i="1" s="1"/>
  <c r="BU1430" i="1"/>
  <c r="BD1430" i="1"/>
  <c r="BC1430" i="1"/>
  <c r="BB1430" i="1"/>
  <c r="BA1430" i="1"/>
  <c r="AZ1430" i="1"/>
  <c r="AY1430" i="1"/>
  <c r="AX1430" i="1"/>
  <c r="U1430" i="1"/>
  <c r="M1430" i="1"/>
  <c r="EM1429" i="1"/>
  <c r="EL1429" i="1"/>
  <c r="EK1429" i="1"/>
  <c r="DU1429" i="1"/>
  <c r="DT1429" i="1"/>
  <c r="DN1429" i="1"/>
  <c r="DM1429" i="1"/>
  <c r="DL1429" i="1"/>
  <c r="DK1429" i="1"/>
  <c r="DI1429" i="1"/>
  <c r="DJ1429" i="1" s="1"/>
  <c r="DC1429" i="1"/>
  <c r="CX1429" i="1"/>
  <c r="CN1429" i="1"/>
  <c r="CS1429" i="1" s="1"/>
  <c r="BV1429" i="1"/>
  <c r="BX1429" i="1" s="1"/>
  <c r="BY1429" i="1" s="1"/>
  <c r="BU1429" i="1"/>
  <c r="BD1429" i="1"/>
  <c r="BC1429" i="1"/>
  <c r="BB1429" i="1"/>
  <c r="BA1429" i="1"/>
  <c r="AZ1429" i="1"/>
  <c r="AY1429" i="1"/>
  <c r="AX1429" i="1"/>
  <c r="U1429" i="1"/>
  <c r="M1429" i="1"/>
  <c r="EM1428" i="1"/>
  <c r="EL1428" i="1"/>
  <c r="EK1428" i="1"/>
  <c r="DU1428" i="1"/>
  <c r="DT1428" i="1"/>
  <c r="DN1428" i="1"/>
  <c r="DM1428" i="1"/>
  <c r="DL1428" i="1"/>
  <c r="DK1428" i="1"/>
  <c r="DI1428" i="1"/>
  <c r="DJ1428" i="1" s="1"/>
  <c r="DC1428" i="1"/>
  <c r="CX1428" i="1"/>
  <c r="CN1428" i="1"/>
  <c r="CR1428" i="1" s="1"/>
  <c r="BV1428" i="1"/>
  <c r="BX1428" i="1" s="1"/>
  <c r="BY1428" i="1" s="1"/>
  <c r="BU1428" i="1"/>
  <c r="BD1428" i="1"/>
  <c r="BC1428" i="1"/>
  <c r="BB1428" i="1"/>
  <c r="BA1428" i="1"/>
  <c r="AZ1428" i="1"/>
  <c r="AY1428" i="1"/>
  <c r="AX1428" i="1"/>
  <c r="U1428" i="1"/>
  <c r="M1428" i="1"/>
  <c r="EM1427" i="1"/>
  <c r="EL1427" i="1"/>
  <c r="EK1427" i="1"/>
  <c r="DU1427" i="1"/>
  <c r="DT1427" i="1"/>
  <c r="DN1427" i="1"/>
  <c r="DM1427" i="1"/>
  <c r="DL1427" i="1"/>
  <c r="DK1427" i="1"/>
  <c r="DI1427" i="1"/>
  <c r="DJ1427" i="1" s="1"/>
  <c r="DC1427" i="1"/>
  <c r="CX1427" i="1"/>
  <c r="CN1427" i="1"/>
  <c r="CS1427" i="1" s="1"/>
  <c r="BV1427" i="1"/>
  <c r="BX1427" i="1" s="1"/>
  <c r="BY1427" i="1" s="1"/>
  <c r="BU1427" i="1"/>
  <c r="BD1427" i="1"/>
  <c r="BC1427" i="1"/>
  <c r="BB1427" i="1"/>
  <c r="BA1427" i="1"/>
  <c r="AZ1427" i="1"/>
  <c r="AY1427" i="1"/>
  <c r="AX1427" i="1"/>
  <c r="U1427" i="1"/>
  <c r="M1427" i="1"/>
  <c r="EM1426" i="1"/>
  <c r="EL1426" i="1"/>
  <c r="EK1426" i="1"/>
  <c r="DU1426" i="1"/>
  <c r="DT1426" i="1"/>
  <c r="DN1426" i="1"/>
  <c r="DM1426" i="1"/>
  <c r="DL1426" i="1"/>
  <c r="DK1426" i="1"/>
  <c r="DI1426" i="1"/>
  <c r="DJ1426" i="1" s="1"/>
  <c r="DC1426" i="1"/>
  <c r="CX1426" i="1"/>
  <c r="CN1426" i="1"/>
  <c r="BV1426" i="1"/>
  <c r="BX1426" i="1" s="1"/>
  <c r="BY1426" i="1" s="1"/>
  <c r="BU1426" i="1"/>
  <c r="BD1426" i="1"/>
  <c r="BC1426" i="1"/>
  <c r="BB1426" i="1"/>
  <c r="BA1426" i="1"/>
  <c r="AZ1426" i="1"/>
  <c r="AY1426" i="1"/>
  <c r="AX1426" i="1"/>
  <c r="U1426" i="1"/>
  <c r="M1426" i="1"/>
  <c r="EM1424" i="1"/>
  <c r="EL1424" i="1"/>
  <c r="EK1424" i="1"/>
  <c r="DU1424" i="1"/>
  <c r="DT1424" i="1"/>
  <c r="DN1424" i="1"/>
  <c r="DM1424" i="1"/>
  <c r="DL1424" i="1"/>
  <c r="DK1424" i="1"/>
  <c r="DI1424" i="1"/>
  <c r="DJ1424" i="1" s="1"/>
  <c r="DC1424" i="1"/>
  <c r="CX1424" i="1"/>
  <c r="CN1424" i="1"/>
  <c r="BX1424" i="1"/>
  <c r="BY1424" i="1" s="1"/>
  <c r="BD1424" i="1"/>
  <c r="BC1424" i="1"/>
  <c r="BB1424" i="1"/>
  <c r="BA1424" i="1"/>
  <c r="AZ1424" i="1"/>
  <c r="AY1424" i="1"/>
  <c r="BE1424" i="1" s="1" a="1"/>
  <c r="BE1424" i="1" s="1"/>
  <c r="AX1424" i="1"/>
  <c r="U1424" i="1"/>
  <c r="M1424" i="1"/>
  <c r="EM1422" i="1"/>
  <c r="EL1422" i="1"/>
  <c r="EK1422" i="1"/>
  <c r="DU1422" i="1"/>
  <c r="DT1422" i="1"/>
  <c r="DN1422" i="1"/>
  <c r="DM1422" i="1"/>
  <c r="DL1422" i="1"/>
  <c r="DK1422" i="1"/>
  <c r="DI1422" i="1"/>
  <c r="DJ1422" i="1" s="1"/>
  <c r="DC1422" i="1"/>
  <c r="CX1422" i="1"/>
  <c r="CN1422" i="1"/>
  <c r="BX1422" i="1"/>
  <c r="BY1422" i="1" s="1"/>
  <c r="BD1422" i="1"/>
  <c r="BC1422" i="1"/>
  <c r="BB1422" i="1"/>
  <c r="BA1422" i="1"/>
  <c r="AZ1422" i="1"/>
  <c r="AY1422" i="1"/>
  <c r="AX1422" i="1"/>
  <c r="U1422" i="1"/>
  <c r="M1422" i="1"/>
  <c r="EM1421" i="1"/>
  <c r="EL1421" i="1"/>
  <c r="EK1421" i="1"/>
  <c r="DU1421" i="1"/>
  <c r="DT1421" i="1"/>
  <c r="DN1421" i="1"/>
  <c r="DM1421" i="1"/>
  <c r="DL1421" i="1"/>
  <c r="DK1421" i="1"/>
  <c r="DI1421" i="1"/>
  <c r="DJ1421" i="1" s="1"/>
  <c r="DC1421" i="1"/>
  <c r="CX1421" i="1"/>
  <c r="CN1421" i="1"/>
  <c r="CR1421" i="1" s="1"/>
  <c r="BX1421" i="1"/>
  <c r="BY1421" i="1" s="1"/>
  <c r="BD1421" i="1"/>
  <c r="BC1421" i="1"/>
  <c r="BB1421" i="1"/>
  <c r="BA1421" i="1"/>
  <c r="AZ1421" i="1"/>
  <c r="AY1421" i="1"/>
  <c r="AX1421" i="1"/>
  <c r="U1421" i="1"/>
  <c r="M1421" i="1"/>
  <c r="EM1420" i="1"/>
  <c r="EL1420" i="1"/>
  <c r="EK1420" i="1"/>
  <c r="DU1420" i="1"/>
  <c r="DT1420" i="1"/>
  <c r="DN1420" i="1"/>
  <c r="DM1420" i="1"/>
  <c r="DL1420" i="1"/>
  <c r="DK1420" i="1"/>
  <c r="DI1420" i="1"/>
  <c r="DJ1420" i="1" s="1"/>
  <c r="DC1420" i="1"/>
  <c r="CX1420" i="1"/>
  <c r="CN1420" i="1"/>
  <c r="BX1420" i="1"/>
  <c r="BY1420" i="1" s="1"/>
  <c r="BD1420" i="1"/>
  <c r="BC1420" i="1"/>
  <c r="BB1420" i="1"/>
  <c r="BA1420" i="1"/>
  <c r="AZ1420" i="1"/>
  <c r="AY1420" i="1"/>
  <c r="AX1420" i="1"/>
  <c r="U1420" i="1"/>
  <c r="M1420" i="1"/>
  <c r="EM1419" i="1"/>
  <c r="EL1419" i="1"/>
  <c r="EK1419" i="1"/>
  <c r="DU1419" i="1"/>
  <c r="DT1419" i="1"/>
  <c r="DN1419" i="1"/>
  <c r="DM1419" i="1"/>
  <c r="DL1419" i="1"/>
  <c r="DK1419" i="1"/>
  <c r="DI1419" i="1"/>
  <c r="DJ1419" i="1" s="1"/>
  <c r="DC1419" i="1"/>
  <c r="CX1419" i="1"/>
  <c r="CN1419" i="1"/>
  <c r="BX1419" i="1"/>
  <c r="BY1419" i="1" s="1"/>
  <c r="BD1419" i="1"/>
  <c r="BC1419" i="1"/>
  <c r="BB1419" i="1"/>
  <c r="BA1419" i="1"/>
  <c r="AZ1419" i="1"/>
  <c r="AY1419" i="1"/>
  <c r="AX1419" i="1"/>
  <c r="U1419" i="1"/>
  <c r="M1419" i="1"/>
  <c r="EM1418" i="1"/>
  <c r="EL1418" i="1"/>
  <c r="EK1418" i="1"/>
  <c r="DU1418" i="1"/>
  <c r="DT1418" i="1"/>
  <c r="DN1418" i="1"/>
  <c r="DM1418" i="1"/>
  <c r="DL1418" i="1"/>
  <c r="DK1418" i="1"/>
  <c r="DI1418" i="1"/>
  <c r="DJ1418" i="1" s="1"/>
  <c r="DC1418" i="1"/>
  <c r="CX1418" i="1"/>
  <c r="CN1418" i="1"/>
  <c r="CS1418" i="1" s="1"/>
  <c r="BX1418" i="1"/>
  <c r="BY1418" i="1" s="1"/>
  <c r="BD1418" i="1"/>
  <c r="BC1418" i="1"/>
  <c r="BB1418" i="1"/>
  <c r="BA1418" i="1"/>
  <c r="AZ1418" i="1"/>
  <c r="AY1418" i="1"/>
  <c r="AX1418" i="1"/>
  <c r="U1418" i="1"/>
  <c r="M1418" i="1"/>
  <c r="EM1417" i="1"/>
  <c r="EL1417" i="1"/>
  <c r="EK1417" i="1"/>
  <c r="DU1417" i="1"/>
  <c r="DT1417" i="1"/>
  <c r="DN1417" i="1"/>
  <c r="DM1417" i="1"/>
  <c r="DL1417" i="1"/>
  <c r="DK1417" i="1"/>
  <c r="DI1417" i="1"/>
  <c r="DJ1417" i="1" s="1"/>
  <c r="DC1417" i="1"/>
  <c r="CX1417" i="1"/>
  <c r="CN1417" i="1"/>
  <c r="BX1417" i="1"/>
  <c r="BY1417" i="1" s="1"/>
  <c r="BD1417" i="1"/>
  <c r="BC1417" i="1"/>
  <c r="BB1417" i="1"/>
  <c r="BA1417" i="1"/>
  <c r="AZ1417" i="1"/>
  <c r="AY1417" i="1"/>
  <c r="AX1417" i="1"/>
  <c r="U1417" i="1"/>
  <c r="M1417" i="1"/>
  <c r="EM1416" i="1"/>
  <c r="EL1416" i="1"/>
  <c r="EK1416" i="1"/>
  <c r="DU1416" i="1"/>
  <c r="DT1416" i="1"/>
  <c r="DN1416" i="1"/>
  <c r="DM1416" i="1"/>
  <c r="DL1416" i="1"/>
  <c r="DK1416" i="1"/>
  <c r="DI1416" i="1"/>
  <c r="DJ1416" i="1" s="1"/>
  <c r="DC1416" i="1"/>
  <c r="CX1416" i="1"/>
  <c r="CN1416" i="1"/>
  <c r="BX1416" i="1"/>
  <c r="BY1416" i="1" s="1"/>
  <c r="BD1416" i="1"/>
  <c r="BC1416" i="1"/>
  <c r="BB1416" i="1"/>
  <c r="BA1416" i="1"/>
  <c r="AZ1416" i="1"/>
  <c r="AY1416" i="1"/>
  <c r="AX1416" i="1"/>
  <c r="U1416" i="1"/>
  <c r="M1416" i="1"/>
  <c r="EM1415" i="1"/>
  <c r="EL1415" i="1"/>
  <c r="EK1415" i="1"/>
  <c r="DU1415" i="1"/>
  <c r="DT1415" i="1"/>
  <c r="DN1415" i="1"/>
  <c r="DM1415" i="1"/>
  <c r="DL1415" i="1"/>
  <c r="DK1415" i="1"/>
  <c r="DI1415" i="1"/>
  <c r="DJ1415" i="1" s="1"/>
  <c r="DC1415" i="1"/>
  <c r="CX1415" i="1"/>
  <c r="CN1415" i="1"/>
  <c r="CS1415" i="1" s="1"/>
  <c r="BX1415" i="1"/>
  <c r="BY1415" i="1" s="1"/>
  <c r="BD1415" i="1"/>
  <c r="BC1415" i="1"/>
  <c r="BB1415" i="1"/>
  <c r="BA1415" i="1"/>
  <c r="AZ1415" i="1"/>
  <c r="AY1415" i="1"/>
  <c r="AX1415" i="1"/>
  <c r="U1415" i="1"/>
  <c r="M1415" i="1"/>
  <c r="EM1414" i="1"/>
  <c r="EL1414" i="1"/>
  <c r="EK1414" i="1"/>
  <c r="DU1414" i="1"/>
  <c r="DT1414" i="1"/>
  <c r="DN1414" i="1"/>
  <c r="DM1414" i="1"/>
  <c r="DL1414" i="1"/>
  <c r="DK1414" i="1"/>
  <c r="DI1414" i="1"/>
  <c r="DJ1414" i="1" s="1"/>
  <c r="DC1414" i="1"/>
  <c r="CX1414" i="1"/>
  <c r="CN1414" i="1"/>
  <c r="BX1414" i="1"/>
  <c r="BY1414" i="1" s="1"/>
  <c r="BD1414" i="1"/>
  <c r="BC1414" i="1"/>
  <c r="BB1414" i="1"/>
  <c r="BA1414" i="1"/>
  <c r="AZ1414" i="1"/>
  <c r="AY1414" i="1"/>
  <c r="AX1414" i="1"/>
  <c r="U1414" i="1"/>
  <c r="M1414" i="1"/>
  <c r="EM1402" i="1"/>
  <c r="EL1402" i="1"/>
  <c r="EK1402" i="1"/>
  <c r="DU1402" i="1"/>
  <c r="DT1402" i="1"/>
  <c r="DN1402" i="1"/>
  <c r="DM1402" i="1"/>
  <c r="DL1402" i="1"/>
  <c r="DK1402" i="1"/>
  <c r="DI1402" i="1"/>
  <c r="DJ1402" i="1" s="1"/>
  <c r="DC1402" i="1"/>
  <c r="CX1402" i="1"/>
  <c r="CN1402" i="1"/>
  <c r="BX1402" i="1"/>
  <c r="BY1402" i="1" s="1"/>
  <c r="BD1402" i="1"/>
  <c r="BC1402" i="1"/>
  <c r="BB1402" i="1"/>
  <c r="BA1402" i="1"/>
  <c r="AZ1402" i="1"/>
  <c r="AY1402" i="1"/>
  <c r="AX1402" i="1"/>
  <c r="U1402" i="1"/>
  <c r="M1402" i="1"/>
  <c r="EM1401" i="1"/>
  <c r="EL1401" i="1"/>
  <c r="EK1401" i="1"/>
  <c r="DU1401" i="1"/>
  <c r="DT1401" i="1"/>
  <c r="DN1401" i="1"/>
  <c r="DM1401" i="1"/>
  <c r="DL1401" i="1"/>
  <c r="DK1401" i="1"/>
  <c r="DI1401" i="1"/>
  <c r="DJ1401" i="1" s="1"/>
  <c r="DC1401" i="1"/>
  <c r="CX1401" i="1"/>
  <c r="CN1401" i="1"/>
  <c r="BX1401" i="1"/>
  <c r="BY1401" i="1" s="1"/>
  <c r="BD1401" i="1"/>
  <c r="BC1401" i="1"/>
  <c r="BB1401" i="1"/>
  <c r="BA1401" i="1"/>
  <c r="AZ1401" i="1"/>
  <c r="AY1401" i="1"/>
  <c r="AX1401" i="1"/>
  <c r="U1401" i="1"/>
  <c r="M1401" i="1"/>
  <c r="EM1400" i="1"/>
  <c r="EL1400" i="1"/>
  <c r="EK1400" i="1"/>
  <c r="DU1400" i="1"/>
  <c r="DT1400" i="1"/>
  <c r="DN1400" i="1"/>
  <c r="DM1400" i="1"/>
  <c r="DL1400" i="1"/>
  <c r="DK1400" i="1"/>
  <c r="DI1400" i="1"/>
  <c r="DJ1400" i="1" s="1"/>
  <c r="DC1400" i="1"/>
  <c r="CX1400" i="1"/>
  <c r="CN1400" i="1"/>
  <c r="BX1400" i="1"/>
  <c r="BY1400" i="1" s="1"/>
  <c r="BD1400" i="1"/>
  <c r="BC1400" i="1"/>
  <c r="BB1400" i="1"/>
  <c r="BA1400" i="1"/>
  <c r="AZ1400" i="1"/>
  <c r="AY1400" i="1"/>
  <c r="AX1400" i="1"/>
  <c r="U1400" i="1"/>
  <c r="M1400" i="1"/>
  <c r="EM1399" i="1"/>
  <c r="EL1399" i="1"/>
  <c r="EK1399" i="1"/>
  <c r="DU1399" i="1"/>
  <c r="DT1399" i="1"/>
  <c r="DN1399" i="1"/>
  <c r="DM1399" i="1"/>
  <c r="DL1399" i="1"/>
  <c r="DK1399" i="1"/>
  <c r="DI1399" i="1"/>
  <c r="DJ1399" i="1" s="1"/>
  <c r="DC1399" i="1"/>
  <c r="CX1399" i="1"/>
  <c r="CN1399" i="1"/>
  <c r="CS1399" i="1" s="1"/>
  <c r="BX1399" i="1"/>
  <c r="BD1399" i="1"/>
  <c r="BC1399" i="1"/>
  <c r="BB1399" i="1"/>
  <c r="BA1399" i="1"/>
  <c r="AZ1399" i="1"/>
  <c r="AY1399" i="1"/>
  <c r="AX1399" i="1"/>
  <c r="U1399" i="1"/>
  <c r="M1399" i="1"/>
  <c r="EM1398" i="1"/>
  <c r="EL1398" i="1"/>
  <c r="EK1398" i="1"/>
  <c r="DU1398" i="1"/>
  <c r="DT1398" i="1"/>
  <c r="DN1398" i="1"/>
  <c r="DM1398" i="1"/>
  <c r="DL1398" i="1"/>
  <c r="DK1398" i="1"/>
  <c r="DI1398" i="1"/>
  <c r="DJ1398" i="1" s="1"/>
  <c r="DC1398" i="1"/>
  <c r="CX1398" i="1"/>
  <c r="CN1398" i="1"/>
  <c r="CR1398" i="1" s="1"/>
  <c r="BX1398" i="1"/>
  <c r="BY1398" i="1" s="1"/>
  <c r="BD1398" i="1"/>
  <c r="BC1398" i="1"/>
  <c r="BB1398" i="1"/>
  <c r="BA1398" i="1"/>
  <c r="AZ1398" i="1"/>
  <c r="AY1398" i="1"/>
  <c r="AX1398" i="1"/>
  <c r="U1398" i="1"/>
  <c r="M1398" i="1"/>
  <c r="EM1397" i="1"/>
  <c r="EL1397" i="1"/>
  <c r="EK1397" i="1"/>
  <c r="DU1397" i="1"/>
  <c r="DT1397" i="1"/>
  <c r="DN1397" i="1"/>
  <c r="DM1397" i="1"/>
  <c r="DL1397" i="1"/>
  <c r="DK1397" i="1"/>
  <c r="DI1397" i="1"/>
  <c r="DJ1397" i="1" s="1"/>
  <c r="DC1397" i="1"/>
  <c r="CX1397" i="1"/>
  <c r="CN1397" i="1"/>
  <c r="BX1397" i="1"/>
  <c r="BY1397" i="1" s="1"/>
  <c r="BD1397" i="1"/>
  <c r="BC1397" i="1"/>
  <c r="BB1397" i="1"/>
  <c r="BA1397" i="1"/>
  <c r="AZ1397" i="1"/>
  <c r="AY1397" i="1"/>
  <c r="AX1397" i="1"/>
  <c r="U1397" i="1"/>
  <c r="M1397" i="1"/>
  <c r="EM1396" i="1"/>
  <c r="EL1396" i="1"/>
  <c r="EK1396" i="1"/>
  <c r="DU1396" i="1"/>
  <c r="DT1396" i="1"/>
  <c r="DN1396" i="1"/>
  <c r="DM1396" i="1"/>
  <c r="DL1396" i="1"/>
  <c r="DK1396" i="1"/>
  <c r="DI1396" i="1"/>
  <c r="DJ1396" i="1" s="1"/>
  <c r="DC1396" i="1"/>
  <c r="CX1396" i="1"/>
  <c r="CN1396" i="1"/>
  <c r="CS1396" i="1" s="1"/>
  <c r="BX1396" i="1"/>
  <c r="BY1396" i="1" s="1"/>
  <c r="BD1396" i="1"/>
  <c r="BC1396" i="1"/>
  <c r="BB1396" i="1"/>
  <c r="BA1396" i="1"/>
  <c r="AZ1396" i="1"/>
  <c r="AY1396" i="1"/>
  <c r="AX1396" i="1"/>
  <c r="U1396" i="1"/>
  <c r="M1396" i="1"/>
  <c r="EM1395" i="1"/>
  <c r="EL1395" i="1"/>
  <c r="EK1395" i="1"/>
  <c r="DU1395" i="1"/>
  <c r="DT1395" i="1"/>
  <c r="DN1395" i="1"/>
  <c r="DM1395" i="1"/>
  <c r="DL1395" i="1"/>
  <c r="DK1395" i="1"/>
  <c r="DI1395" i="1"/>
  <c r="DJ1395" i="1" s="1"/>
  <c r="DC1395" i="1"/>
  <c r="CX1395" i="1"/>
  <c r="CN1395" i="1"/>
  <c r="BX1395" i="1"/>
  <c r="BY1395" i="1" s="1"/>
  <c r="BD1395" i="1"/>
  <c r="BC1395" i="1"/>
  <c r="BB1395" i="1"/>
  <c r="BA1395" i="1"/>
  <c r="AZ1395" i="1"/>
  <c r="AY1395" i="1"/>
  <c r="AX1395" i="1"/>
  <c r="U1395" i="1"/>
  <c r="M1395" i="1"/>
  <c r="EM1394" i="1"/>
  <c r="EL1394" i="1"/>
  <c r="EK1394" i="1"/>
  <c r="DU1394" i="1"/>
  <c r="DT1394" i="1"/>
  <c r="DN1394" i="1"/>
  <c r="DM1394" i="1"/>
  <c r="DL1394" i="1"/>
  <c r="DK1394" i="1"/>
  <c r="DI1394" i="1"/>
  <c r="DJ1394" i="1" s="1"/>
  <c r="DC1394" i="1"/>
  <c r="CX1394" i="1"/>
  <c r="CN1394" i="1"/>
  <c r="CR1394" i="1" s="1"/>
  <c r="BX1394" i="1"/>
  <c r="BY1394" i="1" s="1"/>
  <c r="BD1394" i="1"/>
  <c r="BC1394" i="1"/>
  <c r="BB1394" i="1"/>
  <c r="BA1394" i="1"/>
  <c r="AZ1394" i="1"/>
  <c r="AY1394" i="1"/>
  <c r="AX1394" i="1"/>
  <c r="U1394" i="1"/>
  <c r="M1394" i="1"/>
  <c r="EM1393" i="1"/>
  <c r="EL1393" i="1"/>
  <c r="EK1393" i="1"/>
  <c r="DU1393" i="1"/>
  <c r="DT1393" i="1"/>
  <c r="DN1393" i="1"/>
  <c r="DM1393" i="1"/>
  <c r="DL1393" i="1"/>
  <c r="DK1393" i="1"/>
  <c r="DI1393" i="1"/>
  <c r="DJ1393" i="1" s="1"/>
  <c r="DC1393" i="1"/>
  <c r="CX1393" i="1"/>
  <c r="CN1393" i="1"/>
  <c r="BX1393" i="1"/>
  <c r="BD1393" i="1"/>
  <c r="BC1393" i="1"/>
  <c r="BB1393" i="1"/>
  <c r="BA1393" i="1"/>
  <c r="AZ1393" i="1"/>
  <c r="AY1393" i="1"/>
  <c r="AX1393" i="1"/>
  <c r="U1393" i="1"/>
  <c r="M1393" i="1"/>
  <c r="EM1392" i="1"/>
  <c r="EL1392" i="1"/>
  <c r="EK1392" i="1"/>
  <c r="DU1392" i="1"/>
  <c r="DT1392" i="1"/>
  <c r="DN1392" i="1"/>
  <c r="DM1392" i="1"/>
  <c r="DL1392" i="1"/>
  <c r="DK1392" i="1"/>
  <c r="DI1392" i="1"/>
  <c r="DJ1392" i="1" s="1"/>
  <c r="DC1392" i="1"/>
  <c r="CX1392" i="1"/>
  <c r="CN1392" i="1"/>
  <c r="CS1392" i="1" s="1"/>
  <c r="BX1392" i="1"/>
  <c r="BY1392" i="1" s="1"/>
  <c r="BD1392" i="1"/>
  <c r="BC1392" i="1"/>
  <c r="BB1392" i="1"/>
  <c r="BA1392" i="1"/>
  <c r="AZ1392" i="1"/>
  <c r="AY1392" i="1"/>
  <c r="AX1392" i="1"/>
  <c r="U1392" i="1"/>
  <c r="M1392" i="1"/>
  <c r="EM1391" i="1"/>
  <c r="EL1391" i="1"/>
  <c r="EK1391" i="1"/>
  <c r="DU1391" i="1"/>
  <c r="DT1391" i="1"/>
  <c r="DN1391" i="1"/>
  <c r="DM1391" i="1"/>
  <c r="DL1391" i="1"/>
  <c r="DK1391" i="1"/>
  <c r="DI1391" i="1"/>
  <c r="DJ1391" i="1" s="1"/>
  <c r="DC1391" i="1"/>
  <c r="CX1391" i="1"/>
  <c r="CN1391" i="1"/>
  <c r="CS1391" i="1" s="1"/>
  <c r="BX1391" i="1"/>
  <c r="BY1391" i="1" s="1"/>
  <c r="BD1391" i="1"/>
  <c r="BC1391" i="1"/>
  <c r="BB1391" i="1"/>
  <c r="BA1391" i="1"/>
  <c r="AZ1391" i="1"/>
  <c r="AY1391" i="1"/>
  <c r="AX1391" i="1"/>
  <c r="U1391" i="1"/>
  <c r="M1391" i="1"/>
  <c r="EM1390" i="1"/>
  <c r="EL1390" i="1"/>
  <c r="EK1390" i="1"/>
  <c r="DU1390" i="1"/>
  <c r="DT1390" i="1"/>
  <c r="DN1390" i="1"/>
  <c r="DM1390" i="1"/>
  <c r="DL1390" i="1"/>
  <c r="DK1390" i="1"/>
  <c r="DI1390" i="1"/>
  <c r="DJ1390" i="1" s="1"/>
  <c r="DC1390" i="1"/>
  <c r="CX1390" i="1"/>
  <c r="CN1390" i="1"/>
  <c r="CR1390" i="1" s="1"/>
  <c r="BX1390" i="1"/>
  <c r="BY1390" i="1" s="1"/>
  <c r="BD1390" i="1"/>
  <c r="BC1390" i="1"/>
  <c r="BB1390" i="1"/>
  <c r="BA1390" i="1"/>
  <c r="AZ1390" i="1"/>
  <c r="AY1390" i="1"/>
  <c r="AX1390" i="1"/>
  <c r="U1390" i="1"/>
  <c r="M1390" i="1"/>
  <c r="EM1389" i="1"/>
  <c r="EL1389" i="1"/>
  <c r="EK1389" i="1"/>
  <c r="DU1389" i="1"/>
  <c r="DT1389" i="1"/>
  <c r="DN1389" i="1"/>
  <c r="DM1389" i="1"/>
  <c r="DL1389" i="1"/>
  <c r="DK1389" i="1"/>
  <c r="DI1389" i="1"/>
  <c r="DJ1389" i="1" s="1"/>
  <c r="DC1389" i="1"/>
  <c r="CX1389" i="1"/>
  <c r="CN1389" i="1"/>
  <c r="CS1389" i="1" s="1"/>
  <c r="BX1389" i="1"/>
  <c r="BD1389" i="1"/>
  <c r="BC1389" i="1"/>
  <c r="BB1389" i="1"/>
  <c r="BA1389" i="1"/>
  <c r="AZ1389" i="1"/>
  <c r="AY1389" i="1"/>
  <c r="AX1389" i="1"/>
  <c r="U1389" i="1"/>
  <c r="M1389" i="1"/>
  <c r="EM1388" i="1"/>
  <c r="EL1388" i="1"/>
  <c r="EK1388" i="1"/>
  <c r="DU1388" i="1"/>
  <c r="DT1388" i="1"/>
  <c r="DN1388" i="1"/>
  <c r="DM1388" i="1"/>
  <c r="DL1388" i="1"/>
  <c r="DK1388" i="1"/>
  <c r="DI1388" i="1"/>
  <c r="DJ1388" i="1" s="1"/>
  <c r="DC1388" i="1"/>
  <c r="CX1388" i="1"/>
  <c r="CN1388" i="1"/>
  <c r="BX1388" i="1"/>
  <c r="BY1388" i="1" s="1"/>
  <c r="BD1388" i="1"/>
  <c r="BC1388" i="1"/>
  <c r="BB1388" i="1"/>
  <c r="BA1388" i="1"/>
  <c r="AZ1388" i="1"/>
  <c r="AY1388" i="1"/>
  <c r="AX1388" i="1"/>
  <c r="U1388" i="1"/>
  <c r="M1388" i="1"/>
  <c r="EM1387" i="1"/>
  <c r="EL1387" i="1"/>
  <c r="EK1387" i="1"/>
  <c r="DU1387" i="1"/>
  <c r="DT1387" i="1"/>
  <c r="DN1387" i="1"/>
  <c r="DM1387" i="1"/>
  <c r="DL1387" i="1"/>
  <c r="DK1387" i="1"/>
  <c r="DI1387" i="1"/>
  <c r="DJ1387" i="1" s="1"/>
  <c r="DC1387" i="1"/>
  <c r="CX1387" i="1"/>
  <c r="CN1387" i="1"/>
  <c r="BX1387" i="1"/>
  <c r="BY1387" i="1" s="1"/>
  <c r="BD1387" i="1"/>
  <c r="BC1387" i="1"/>
  <c r="BB1387" i="1"/>
  <c r="BA1387" i="1"/>
  <c r="AZ1387" i="1"/>
  <c r="AY1387" i="1"/>
  <c r="AX1387" i="1"/>
  <c r="U1387" i="1"/>
  <c r="M1387" i="1"/>
  <c r="EM1386" i="1"/>
  <c r="EL1386" i="1"/>
  <c r="EK1386" i="1"/>
  <c r="DU1386" i="1"/>
  <c r="DT1386" i="1"/>
  <c r="DN1386" i="1"/>
  <c r="DM1386" i="1"/>
  <c r="DL1386" i="1"/>
  <c r="DK1386" i="1"/>
  <c r="DI1386" i="1"/>
  <c r="DJ1386" i="1" s="1"/>
  <c r="DC1386" i="1"/>
  <c r="CX1386" i="1"/>
  <c r="CN1386" i="1"/>
  <c r="BX1386" i="1"/>
  <c r="BY1386" i="1" s="1"/>
  <c r="BD1386" i="1"/>
  <c r="BC1386" i="1"/>
  <c r="BB1386" i="1"/>
  <c r="BA1386" i="1"/>
  <c r="AZ1386" i="1"/>
  <c r="AY1386" i="1"/>
  <c r="AX1386" i="1"/>
  <c r="U1386" i="1"/>
  <c r="M1386" i="1"/>
  <c r="EM1385" i="1"/>
  <c r="EL1385" i="1"/>
  <c r="EK1385" i="1"/>
  <c r="DU1385" i="1"/>
  <c r="DT1385" i="1"/>
  <c r="DN1385" i="1"/>
  <c r="DM1385" i="1"/>
  <c r="DL1385" i="1"/>
  <c r="DK1385" i="1"/>
  <c r="DI1385" i="1"/>
  <c r="DJ1385" i="1" s="1"/>
  <c r="DC1385" i="1"/>
  <c r="CX1385" i="1"/>
  <c r="CN1385" i="1"/>
  <c r="BX1385" i="1"/>
  <c r="BY1385" i="1" s="1"/>
  <c r="BD1385" i="1"/>
  <c r="BC1385" i="1"/>
  <c r="BB1385" i="1"/>
  <c r="BA1385" i="1"/>
  <c r="AZ1385" i="1"/>
  <c r="AY1385" i="1"/>
  <c r="AX1385" i="1"/>
  <c r="U1385" i="1"/>
  <c r="M1385" i="1"/>
  <c r="EM1384" i="1"/>
  <c r="EL1384" i="1"/>
  <c r="EK1384" i="1"/>
  <c r="DU1384" i="1"/>
  <c r="DT1384" i="1"/>
  <c r="DN1384" i="1"/>
  <c r="DM1384" i="1"/>
  <c r="DL1384" i="1"/>
  <c r="DK1384" i="1"/>
  <c r="DI1384" i="1"/>
  <c r="DJ1384" i="1" s="1"/>
  <c r="DC1384" i="1"/>
  <c r="CX1384" i="1"/>
  <c r="CN1384" i="1"/>
  <c r="CR1384" i="1" s="1"/>
  <c r="BX1384" i="1"/>
  <c r="BY1384" i="1" s="1"/>
  <c r="BD1384" i="1"/>
  <c r="BC1384" i="1"/>
  <c r="BB1384" i="1"/>
  <c r="BA1384" i="1"/>
  <c r="AZ1384" i="1"/>
  <c r="AY1384" i="1"/>
  <c r="AX1384" i="1"/>
  <c r="U1384" i="1"/>
  <c r="M1384" i="1"/>
  <c r="EM1383" i="1"/>
  <c r="EL1383" i="1"/>
  <c r="EK1383" i="1"/>
  <c r="DU1383" i="1"/>
  <c r="DT1383" i="1"/>
  <c r="DN1383" i="1"/>
  <c r="DM1383" i="1"/>
  <c r="DL1383" i="1"/>
  <c r="DK1383" i="1"/>
  <c r="DI1383" i="1"/>
  <c r="DJ1383" i="1" s="1"/>
  <c r="DC1383" i="1"/>
  <c r="CX1383" i="1"/>
  <c r="CN1383" i="1"/>
  <c r="CS1383" i="1" s="1"/>
  <c r="BX1383" i="1"/>
  <c r="BD1383" i="1"/>
  <c r="BC1383" i="1"/>
  <c r="BB1383" i="1"/>
  <c r="BA1383" i="1"/>
  <c r="AZ1383" i="1"/>
  <c r="AY1383" i="1"/>
  <c r="AX1383" i="1"/>
  <c r="U1383" i="1"/>
  <c r="M1383" i="1"/>
  <c r="EM1382" i="1"/>
  <c r="EL1382" i="1"/>
  <c r="EK1382" i="1"/>
  <c r="DU1382" i="1"/>
  <c r="DT1382" i="1"/>
  <c r="DN1382" i="1"/>
  <c r="DM1382" i="1"/>
  <c r="DL1382" i="1"/>
  <c r="DK1382" i="1"/>
  <c r="DI1382" i="1"/>
  <c r="DJ1382" i="1" s="1"/>
  <c r="DC1382" i="1"/>
  <c r="CX1382" i="1"/>
  <c r="CN1382" i="1"/>
  <c r="BX1382" i="1"/>
  <c r="BY1382" i="1" s="1"/>
  <c r="BD1382" i="1"/>
  <c r="BC1382" i="1"/>
  <c r="BB1382" i="1"/>
  <c r="BA1382" i="1"/>
  <c r="AZ1382" i="1"/>
  <c r="AY1382" i="1"/>
  <c r="AX1382" i="1"/>
  <c r="U1382" i="1"/>
  <c r="M1382" i="1"/>
  <c r="EM1381" i="1"/>
  <c r="EL1381" i="1"/>
  <c r="EK1381" i="1"/>
  <c r="DU1381" i="1"/>
  <c r="DT1381" i="1"/>
  <c r="DN1381" i="1"/>
  <c r="DM1381" i="1"/>
  <c r="DL1381" i="1"/>
  <c r="DK1381" i="1"/>
  <c r="DI1381" i="1"/>
  <c r="DJ1381" i="1" s="1"/>
  <c r="DC1381" i="1"/>
  <c r="CX1381" i="1"/>
  <c r="CN1381" i="1"/>
  <c r="CS1381" i="1" s="1"/>
  <c r="BX1381" i="1"/>
  <c r="BD1381" i="1"/>
  <c r="BC1381" i="1"/>
  <c r="BB1381" i="1"/>
  <c r="BA1381" i="1"/>
  <c r="AZ1381" i="1"/>
  <c r="AY1381" i="1"/>
  <c r="AX1381" i="1"/>
  <c r="U1381" i="1"/>
  <c r="M1381" i="1"/>
  <c r="EM1380" i="1"/>
  <c r="EL1380" i="1"/>
  <c r="EK1380" i="1"/>
  <c r="DU1380" i="1"/>
  <c r="DT1380" i="1"/>
  <c r="DN1380" i="1"/>
  <c r="DM1380" i="1"/>
  <c r="DL1380" i="1"/>
  <c r="DK1380" i="1"/>
  <c r="DI1380" i="1"/>
  <c r="DJ1380" i="1" s="1"/>
  <c r="DC1380" i="1"/>
  <c r="CX1380" i="1"/>
  <c r="CN1380" i="1"/>
  <c r="BX1380" i="1"/>
  <c r="BY1380" i="1" s="1"/>
  <c r="BD1380" i="1"/>
  <c r="BC1380" i="1"/>
  <c r="BB1380" i="1"/>
  <c r="BA1380" i="1"/>
  <c r="AZ1380" i="1"/>
  <c r="AY1380" i="1"/>
  <c r="AX1380" i="1"/>
  <c r="U1380" i="1"/>
  <c r="M1380" i="1"/>
  <c r="EM1379" i="1"/>
  <c r="EL1379" i="1"/>
  <c r="EK1379" i="1"/>
  <c r="DU1379" i="1"/>
  <c r="DT1379" i="1"/>
  <c r="DN1379" i="1"/>
  <c r="DM1379" i="1"/>
  <c r="DL1379" i="1"/>
  <c r="DK1379" i="1"/>
  <c r="DI1379" i="1"/>
  <c r="DJ1379" i="1" s="1"/>
  <c r="DC1379" i="1"/>
  <c r="CX1379" i="1"/>
  <c r="CN1379" i="1"/>
  <c r="CR1379" i="1" s="1"/>
  <c r="BX1379" i="1"/>
  <c r="BY1379" i="1" s="1"/>
  <c r="BD1379" i="1"/>
  <c r="BC1379" i="1"/>
  <c r="BB1379" i="1"/>
  <c r="BA1379" i="1"/>
  <c r="AZ1379" i="1"/>
  <c r="AY1379" i="1"/>
  <c r="AX1379" i="1"/>
  <c r="U1379" i="1"/>
  <c r="M1379" i="1"/>
  <c r="EM1378" i="1"/>
  <c r="EL1378" i="1"/>
  <c r="EK1378" i="1"/>
  <c r="DU1378" i="1"/>
  <c r="DT1378" i="1"/>
  <c r="DN1378" i="1"/>
  <c r="DM1378" i="1"/>
  <c r="DL1378" i="1"/>
  <c r="DK1378" i="1"/>
  <c r="DI1378" i="1"/>
  <c r="DJ1378" i="1" s="1"/>
  <c r="DC1378" i="1"/>
  <c r="CX1378" i="1"/>
  <c r="CN1378" i="1"/>
  <c r="CR1378" i="1" s="1"/>
  <c r="BX1378" i="1"/>
  <c r="BY1378" i="1" s="1"/>
  <c r="BD1378" i="1"/>
  <c r="BC1378" i="1"/>
  <c r="BB1378" i="1"/>
  <c r="BA1378" i="1"/>
  <c r="AZ1378" i="1"/>
  <c r="AY1378" i="1"/>
  <c r="AX1378" i="1"/>
  <c r="U1378" i="1"/>
  <c r="M1378" i="1"/>
  <c r="EM1377" i="1"/>
  <c r="EL1377" i="1"/>
  <c r="EK1377" i="1"/>
  <c r="DU1377" i="1"/>
  <c r="DT1377" i="1"/>
  <c r="DN1377" i="1"/>
  <c r="DM1377" i="1"/>
  <c r="DL1377" i="1"/>
  <c r="DK1377" i="1"/>
  <c r="DI1377" i="1"/>
  <c r="DJ1377" i="1" s="1"/>
  <c r="DC1377" i="1"/>
  <c r="CX1377" i="1"/>
  <c r="CN1377" i="1"/>
  <c r="BX1377" i="1"/>
  <c r="BY1377" i="1" s="1"/>
  <c r="BD1377" i="1"/>
  <c r="BC1377" i="1"/>
  <c r="BB1377" i="1"/>
  <c r="BA1377" i="1"/>
  <c r="AZ1377" i="1"/>
  <c r="AY1377" i="1"/>
  <c r="AX1377" i="1"/>
  <c r="U1377" i="1"/>
  <c r="M1377" i="1"/>
  <c r="EM1376" i="1"/>
  <c r="EL1376" i="1"/>
  <c r="EK1376" i="1"/>
  <c r="DU1376" i="1"/>
  <c r="DT1376" i="1"/>
  <c r="DN1376" i="1"/>
  <c r="DM1376" i="1"/>
  <c r="DL1376" i="1"/>
  <c r="DK1376" i="1"/>
  <c r="DI1376" i="1"/>
  <c r="DJ1376" i="1" s="1"/>
  <c r="DC1376" i="1"/>
  <c r="CX1376" i="1"/>
  <c r="CN1376" i="1"/>
  <c r="CS1376" i="1" s="1"/>
  <c r="BX1376" i="1"/>
  <c r="BY1376" i="1" s="1"/>
  <c r="BD1376" i="1"/>
  <c r="BC1376" i="1"/>
  <c r="BB1376" i="1"/>
  <c r="BA1376" i="1"/>
  <c r="AZ1376" i="1"/>
  <c r="AY1376" i="1"/>
  <c r="AX1376" i="1"/>
  <c r="U1376" i="1"/>
  <c r="M1376" i="1"/>
  <c r="EM1375" i="1"/>
  <c r="EL1375" i="1"/>
  <c r="EK1375" i="1"/>
  <c r="DU1375" i="1"/>
  <c r="DT1375" i="1"/>
  <c r="DN1375" i="1"/>
  <c r="DM1375" i="1"/>
  <c r="DL1375" i="1"/>
  <c r="DK1375" i="1"/>
  <c r="DI1375" i="1"/>
  <c r="DJ1375" i="1" s="1"/>
  <c r="DC1375" i="1"/>
  <c r="CX1375" i="1"/>
  <c r="CN1375" i="1"/>
  <c r="CR1375" i="1" s="1"/>
  <c r="BX1375" i="1"/>
  <c r="BY1375" i="1" s="1"/>
  <c r="BD1375" i="1"/>
  <c r="BC1375" i="1"/>
  <c r="BB1375" i="1"/>
  <c r="BA1375" i="1"/>
  <c r="AZ1375" i="1"/>
  <c r="AY1375" i="1"/>
  <c r="AX1375" i="1"/>
  <c r="U1375" i="1"/>
  <c r="M1375" i="1"/>
  <c r="EM1374" i="1"/>
  <c r="EL1374" i="1"/>
  <c r="EK1374" i="1"/>
  <c r="DU1374" i="1"/>
  <c r="DT1374" i="1"/>
  <c r="DN1374" i="1"/>
  <c r="DM1374" i="1"/>
  <c r="DL1374" i="1"/>
  <c r="DK1374" i="1"/>
  <c r="DI1374" i="1"/>
  <c r="DJ1374" i="1" s="1"/>
  <c r="DC1374" i="1"/>
  <c r="CX1374" i="1"/>
  <c r="CN1374" i="1"/>
  <c r="BX1374" i="1"/>
  <c r="BY1374" i="1" s="1"/>
  <c r="BD1374" i="1"/>
  <c r="BC1374" i="1"/>
  <c r="BB1374" i="1"/>
  <c r="BA1374" i="1"/>
  <c r="AZ1374" i="1"/>
  <c r="AY1374" i="1"/>
  <c r="AX1374" i="1"/>
  <c r="U1374" i="1"/>
  <c r="M1374" i="1"/>
  <c r="EM1373" i="1"/>
  <c r="EL1373" i="1"/>
  <c r="EK1373" i="1"/>
  <c r="DU1373" i="1"/>
  <c r="DT1373" i="1"/>
  <c r="DN1373" i="1"/>
  <c r="DM1373" i="1"/>
  <c r="DL1373" i="1"/>
  <c r="DK1373" i="1"/>
  <c r="DI1373" i="1"/>
  <c r="DJ1373" i="1" s="1"/>
  <c r="DC1373" i="1"/>
  <c r="CX1373" i="1"/>
  <c r="CN1373" i="1"/>
  <c r="BX1373" i="1"/>
  <c r="BY1373" i="1" s="1"/>
  <c r="BD1373" i="1"/>
  <c r="BC1373" i="1"/>
  <c r="BB1373" i="1"/>
  <c r="BA1373" i="1"/>
  <c r="AZ1373" i="1"/>
  <c r="AY1373" i="1"/>
  <c r="AX1373" i="1"/>
  <c r="U1373" i="1"/>
  <c r="M1373" i="1"/>
  <c r="EM1372" i="1"/>
  <c r="EL1372" i="1"/>
  <c r="EK1372" i="1"/>
  <c r="DU1372" i="1"/>
  <c r="DT1372" i="1"/>
  <c r="DN1372" i="1"/>
  <c r="DM1372" i="1"/>
  <c r="DL1372" i="1"/>
  <c r="DK1372" i="1"/>
  <c r="DI1372" i="1"/>
  <c r="DJ1372" i="1" s="1"/>
  <c r="DC1372" i="1"/>
  <c r="CX1372" i="1"/>
  <c r="CN1372" i="1"/>
  <c r="CR1372" i="1" s="1"/>
  <c r="BX1372" i="1"/>
  <c r="BY1372" i="1" s="1"/>
  <c r="BD1372" i="1"/>
  <c r="BC1372" i="1"/>
  <c r="BB1372" i="1"/>
  <c r="BA1372" i="1"/>
  <c r="AZ1372" i="1"/>
  <c r="AY1372" i="1"/>
  <c r="AX1372" i="1"/>
  <c r="U1372" i="1"/>
  <c r="M1372" i="1"/>
  <c r="EM1371" i="1"/>
  <c r="EL1371" i="1"/>
  <c r="EK1371" i="1"/>
  <c r="DU1371" i="1"/>
  <c r="DT1371" i="1"/>
  <c r="DN1371" i="1"/>
  <c r="DM1371" i="1"/>
  <c r="DL1371" i="1"/>
  <c r="DK1371" i="1"/>
  <c r="DI1371" i="1"/>
  <c r="DJ1371" i="1" s="1"/>
  <c r="DC1371" i="1"/>
  <c r="CX1371" i="1"/>
  <c r="CN1371" i="1"/>
  <c r="CR1371" i="1" s="1"/>
  <c r="BX1371" i="1"/>
  <c r="BY1371" i="1" s="1"/>
  <c r="BD1371" i="1"/>
  <c r="BC1371" i="1"/>
  <c r="BB1371" i="1"/>
  <c r="BA1371" i="1"/>
  <c r="AZ1371" i="1"/>
  <c r="AY1371" i="1"/>
  <c r="AX1371" i="1"/>
  <c r="U1371" i="1"/>
  <c r="M1371" i="1"/>
  <c r="EM1369" i="1"/>
  <c r="EL1369" i="1"/>
  <c r="EK1369" i="1"/>
  <c r="DU1369" i="1"/>
  <c r="DT1369" i="1"/>
  <c r="DN1369" i="1"/>
  <c r="DM1369" i="1"/>
  <c r="DL1369" i="1"/>
  <c r="DK1369" i="1"/>
  <c r="DI1369" i="1"/>
  <c r="DJ1369" i="1" s="1"/>
  <c r="DC1369" i="1"/>
  <c r="CX1369" i="1"/>
  <c r="CN1369" i="1"/>
  <c r="BV1369" i="1"/>
  <c r="BX1369" i="1" s="1"/>
  <c r="BY1369" i="1" s="1"/>
  <c r="BU1369" i="1"/>
  <c r="BD1369" i="1"/>
  <c r="BC1369" i="1"/>
  <c r="BB1369" i="1"/>
  <c r="BA1369" i="1"/>
  <c r="AZ1369" i="1"/>
  <c r="AY1369" i="1"/>
  <c r="BE1369" i="1" s="1" a="1"/>
  <c r="BE1369" i="1" s="1"/>
  <c r="AX1369" i="1"/>
  <c r="U1369" i="1"/>
  <c r="M1369" i="1"/>
  <c r="EM1368" i="1"/>
  <c r="EL1368" i="1"/>
  <c r="EK1368" i="1"/>
  <c r="DU1368" i="1"/>
  <c r="DT1368" i="1"/>
  <c r="DN1368" i="1"/>
  <c r="DM1368" i="1"/>
  <c r="DL1368" i="1"/>
  <c r="DK1368" i="1"/>
  <c r="DI1368" i="1"/>
  <c r="DJ1368" i="1" s="1"/>
  <c r="DC1368" i="1"/>
  <c r="CX1368" i="1"/>
  <c r="CN1368" i="1"/>
  <c r="BV1368" i="1"/>
  <c r="BX1368" i="1" s="1"/>
  <c r="BY1368" i="1" s="1"/>
  <c r="BU1368" i="1"/>
  <c r="BD1368" i="1"/>
  <c r="BC1368" i="1"/>
  <c r="BB1368" i="1"/>
  <c r="BA1368" i="1"/>
  <c r="AZ1368" i="1"/>
  <c r="AY1368" i="1"/>
  <c r="BE1368" i="1" s="1" a="1"/>
  <c r="BE1368" i="1" s="1"/>
  <c r="AX1368" i="1"/>
  <c r="U1368" i="1"/>
  <c r="M1368" i="1"/>
  <c r="EM1367" i="1"/>
  <c r="EL1367" i="1"/>
  <c r="EK1367" i="1"/>
  <c r="DU1367" i="1"/>
  <c r="DT1367" i="1"/>
  <c r="DN1367" i="1"/>
  <c r="DM1367" i="1"/>
  <c r="DL1367" i="1"/>
  <c r="DK1367" i="1"/>
  <c r="DI1367" i="1"/>
  <c r="DJ1367" i="1" s="1"/>
  <c r="DC1367" i="1"/>
  <c r="CX1367" i="1"/>
  <c r="CN1367" i="1"/>
  <c r="BV1367" i="1"/>
  <c r="BX1367" i="1" s="1"/>
  <c r="BY1367" i="1" s="1"/>
  <c r="BU1367" i="1"/>
  <c r="BD1367" i="1"/>
  <c r="BC1367" i="1"/>
  <c r="BB1367" i="1"/>
  <c r="BA1367" i="1"/>
  <c r="AZ1367" i="1"/>
  <c r="AY1367" i="1"/>
  <c r="BE1367" i="1" s="1" a="1"/>
  <c r="BE1367" i="1" s="1"/>
  <c r="AX1367" i="1"/>
  <c r="U1367" i="1"/>
  <c r="M1367" i="1"/>
  <c r="EM1366" i="1"/>
  <c r="EL1366" i="1"/>
  <c r="EK1366" i="1"/>
  <c r="DU1366" i="1"/>
  <c r="DT1366" i="1"/>
  <c r="DN1366" i="1"/>
  <c r="DM1366" i="1"/>
  <c r="DL1366" i="1"/>
  <c r="DK1366" i="1"/>
  <c r="DI1366" i="1"/>
  <c r="DJ1366" i="1" s="1"/>
  <c r="DC1366" i="1"/>
  <c r="CX1366" i="1"/>
  <c r="CN1366" i="1"/>
  <c r="CR1366" i="1" s="1"/>
  <c r="BV1366" i="1"/>
  <c r="BX1366" i="1" s="1"/>
  <c r="BY1366" i="1" s="1"/>
  <c r="BU1366" i="1"/>
  <c r="BD1366" i="1"/>
  <c r="BC1366" i="1"/>
  <c r="BB1366" i="1"/>
  <c r="BA1366" i="1"/>
  <c r="AZ1366" i="1"/>
  <c r="AY1366" i="1"/>
  <c r="BE1366" i="1" s="1" a="1"/>
  <c r="BE1366" i="1" s="1"/>
  <c r="AX1366" i="1"/>
  <c r="U1366" i="1"/>
  <c r="M1366" i="1"/>
  <c r="EM1365" i="1"/>
  <c r="EL1365" i="1"/>
  <c r="EK1365" i="1"/>
  <c r="DU1365" i="1"/>
  <c r="DT1365" i="1"/>
  <c r="DN1365" i="1"/>
  <c r="DM1365" i="1"/>
  <c r="DL1365" i="1"/>
  <c r="DK1365" i="1"/>
  <c r="DI1365" i="1"/>
  <c r="DJ1365" i="1" s="1"/>
  <c r="DC1365" i="1"/>
  <c r="CX1365" i="1"/>
  <c r="CN1365" i="1"/>
  <c r="BV1365" i="1"/>
  <c r="BX1365" i="1" s="1"/>
  <c r="BY1365" i="1" s="1"/>
  <c r="BU1365" i="1"/>
  <c r="BD1365" i="1"/>
  <c r="BC1365" i="1"/>
  <c r="BB1365" i="1"/>
  <c r="BA1365" i="1"/>
  <c r="AZ1365" i="1"/>
  <c r="AY1365" i="1"/>
  <c r="BE1365" i="1" s="1" a="1"/>
  <c r="BE1365" i="1" s="1"/>
  <c r="AX1365" i="1"/>
  <c r="U1365" i="1"/>
  <c r="M1365" i="1"/>
  <c r="EM1364" i="1"/>
  <c r="EL1364" i="1"/>
  <c r="EK1364" i="1"/>
  <c r="DU1364" i="1"/>
  <c r="DT1364" i="1"/>
  <c r="DN1364" i="1"/>
  <c r="DM1364" i="1"/>
  <c r="DL1364" i="1"/>
  <c r="DK1364" i="1"/>
  <c r="DI1364" i="1"/>
  <c r="DJ1364" i="1" s="1"/>
  <c r="DC1364" i="1"/>
  <c r="CX1364" i="1"/>
  <c r="CN1364" i="1"/>
  <c r="BV1364" i="1"/>
  <c r="BX1364" i="1" s="1"/>
  <c r="BY1364" i="1" s="1"/>
  <c r="BU1364" i="1"/>
  <c r="BD1364" i="1"/>
  <c r="BC1364" i="1"/>
  <c r="BB1364" i="1"/>
  <c r="BA1364" i="1"/>
  <c r="AZ1364" i="1"/>
  <c r="AY1364" i="1"/>
  <c r="BE1364" i="1" s="1" a="1"/>
  <c r="BE1364" i="1" s="1"/>
  <c r="AX1364" i="1"/>
  <c r="U1364" i="1"/>
  <c r="M1364" i="1"/>
  <c r="EM1363" i="1"/>
  <c r="EL1363" i="1"/>
  <c r="EK1363" i="1"/>
  <c r="DU1363" i="1"/>
  <c r="DT1363" i="1"/>
  <c r="DN1363" i="1"/>
  <c r="DM1363" i="1"/>
  <c r="DL1363" i="1"/>
  <c r="DK1363" i="1"/>
  <c r="DI1363" i="1"/>
  <c r="DJ1363" i="1" s="1"/>
  <c r="DC1363" i="1"/>
  <c r="CX1363" i="1"/>
  <c r="CN1363" i="1"/>
  <c r="CR1363" i="1" s="1"/>
  <c r="BV1363" i="1"/>
  <c r="BX1363" i="1" s="1"/>
  <c r="BY1363" i="1" s="1"/>
  <c r="BU1363" i="1"/>
  <c r="BD1363" i="1"/>
  <c r="BC1363" i="1"/>
  <c r="BB1363" i="1"/>
  <c r="BA1363" i="1"/>
  <c r="AZ1363" i="1"/>
  <c r="AY1363" i="1"/>
  <c r="BE1363" i="1" s="1" a="1"/>
  <c r="BE1363" i="1" s="1"/>
  <c r="AX1363" i="1"/>
  <c r="U1363" i="1"/>
  <c r="M1363" i="1"/>
  <c r="EM1362" i="1"/>
  <c r="EL1362" i="1"/>
  <c r="EK1362" i="1"/>
  <c r="DU1362" i="1"/>
  <c r="DT1362" i="1"/>
  <c r="DN1362" i="1"/>
  <c r="DM1362" i="1"/>
  <c r="DL1362" i="1"/>
  <c r="DK1362" i="1"/>
  <c r="DI1362" i="1"/>
  <c r="DJ1362" i="1" s="1"/>
  <c r="DC1362" i="1"/>
  <c r="CX1362" i="1"/>
  <c r="CN1362" i="1"/>
  <c r="BV1362" i="1"/>
  <c r="BX1362" i="1" s="1"/>
  <c r="BY1362" i="1" s="1"/>
  <c r="BU1362" i="1"/>
  <c r="BD1362" i="1"/>
  <c r="BC1362" i="1"/>
  <c r="BB1362" i="1"/>
  <c r="BA1362" i="1"/>
  <c r="AZ1362" i="1"/>
  <c r="AY1362" i="1"/>
  <c r="BE1362" i="1" s="1" a="1"/>
  <c r="BE1362" i="1" s="1"/>
  <c r="AX1362" i="1"/>
  <c r="U1362" i="1"/>
  <c r="M1362" i="1"/>
  <c r="EM1361" i="1"/>
  <c r="EL1361" i="1"/>
  <c r="EK1361" i="1"/>
  <c r="DU1361" i="1"/>
  <c r="DT1361" i="1"/>
  <c r="DN1361" i="1"/>
  <c r="DM1361" i="1"/>
  <c r="DL1361" i="1"/>
  <c r="DK1361" i="1"/>
  <c r="DI1361" i="1"/>
  <c r="DJ1361" i="1" s="1"/>
  <c r="DC1361" i="1"/>
  <c r="CX1361" i="1"/>
  <c r="CN1361" i="1"/>
  <c r="BV1361" i="1"/>
  <c r="BX1361" i="1" s="1"/>
  <c r="BU1361" i="1"/>
  <c r="BD1361" i="1"/>
  <c r="BC1361" i="1"/>
  <c r="BB1361" i="1"/>
  <c r="BA1361" i="1"/>
  <c r="AZ1361" i="1"/>
  <c r="AY1361" i="1"/>
  <c r="BE1361" i="1" s="1" a="1"/>
  <c r="BE1361" i="1" s="1"/>
  <c r="AX1361" i="1"/>
  <c r="U1361" i="1"/>
  <c r="M1361" i="1"/>
  <c r="EM1360" i="1"/>
  <c r="EL1360" i="1"/>
  <c r="EK1360" i="1"/>
  <c r="DU1360" i="1"/>
  <c r="DT1360" i="1"/>
  <c r="DN1360" i="1"/>
  <c r="DM1360" i="1"/>
  <c r="DL1360" i="1"/>
  <c r="DK1360" i="1"/>
  <c r="DI1360" i="1"/>
  <c r="DJ1360" i="1" s="1"/>
  <c r="DC1360" i="1"/>
  <c r="CX1360" i="1"/>
  <c r="CN1360" i="1"/>
  <c r="CR1360" i="1" s="1"/>
  <c r="BV1360" i="1"/>
  <c r="BX1360" i="1" s="1"/>
  <c r="BY1360" i="1" s="1"/>
  <c r="BU1360" i="1"/>
  <c r="BD1360" i="1"/>
  <c r="BC1360" i="1"/>
  <c r="BB1360" i="1"/>
  <c r="BA1360" i="1"/>
  <c r="AZ1360" i="1"/>
  <c r="AY1360" i="1"/>
  <c r="BE1360" i="1" s="1" a="1"/>
  <c r="BE1360" i="1" s="1"/>
  <c r="AX1360" i="1"/>
  <c r="M1360" i="1"/>
  <c r="EM1359" i="1"/>
  <c r="EL1359" i="1"/>
  <c r="EK1359" i="1"/>
  <c r="DU1359" i="1"/>
  <c r="DT1359" i="1"/>
  <c r="DN1359" i="1"/>
  <c r="DM1359" i="1"/>
  <c r="DL1359" i="1"/>
  <c r="DK1359" i="1"/>
  <c r="DI1359" i="1"/>
  <c r="DJ1359" i="1" s="1"/>
  <c r="DC1359" i="1"/>
  <c r="CX1359" i="1"/>
  <c r="CN1359" i="1"/>
  <c r="CS1359" i="1" s="1"/>
  <c r="BV1359" i="1"/>
  <c r="BX1359" i="1" s="1"/>
  <c r="BY1359" i="1" s="1"/>
  <c r="BU1359" i="1"/>
  <c r="BD1359" i="1"/>
  <c r="BC1359" i="1"/>
  <c r="BB1359" i="1"/>
  <c r="BA1359" i="1"/>
  <c r="AZ1359" i="1"/>
  <c r="AY1359" i="1"/>
  <c r="BE1359" i="1" s="1" a="1"/>
  <c r="BE1359" i="1" s="1"/>
  <c r="AX1359" i="1"/>
  <c r="M1359" i="1"/>
  <c r="EM1358" i="1"/>
  <c r="EL1358" i="1"/>
  <c r="EK1358" i="1"/>
  <c r="DU1358" i="1"/>
  <c r="DT1358" i="1"/>
  <c r="DN1358" i="1"/>
  <c r="DM1358" i="1"/>
  <c r="DL1358" i="1"/>
  <c r="DK1358" i="1"/>
  <c r="DI1358" i="1"/>
  <c r="DJ1358" i="1" s="1"/>
  <c r="DC1358" i="1"/>
  <c r="CX1358" i="1"/>
  <c r="CN1358" i="1"/>
  <c r="BV1358" i="1"/>
  <c r="BX1358" i="1" s="1"/>
  <c r="BY1358" i="1" s="1"/>
  <c r="BU1358" i="1"/>
  <c r="BD1358" i="1"/>
  <c r="BC1358" i="1"/>
  <c r="BB1358" i="1"/>
  <c r="BA1358" i="1"/>
  <c r="AZ1358" i="1"/>
  <c r="AY1358" i="1"/>
  <c r="BE1358" i="1" s="1" a="1"/>
  <c r="BE1358" i="1" s="1"/>
  <c r="AX1358" i="1"/>
  <c r="M1358" i="1"/>
  <c r="EM1339" i="1"/>
  <c r="EL1339" i="1"/>
  <c r="EK1339" i="1"/>
  <c r="DU1339" i="1"/>
  <c r="DT1339" i="1"/>
  <c r="DN1339" i="1"/>
  <c r="DM1339" i="1"/>
  <c r="DL1339" i="1"/>
  <c r="DK1339" i="1"/>
  <c r="DI1339" i="1"/>
  <c r="DJ1339" i="1" s="1"/>
  <c r="DC1339" i="1"/>
  <c r="CX1339" i="1"/>
  <c r="CN1339" i="1"/>
  <c r="CR1339" i="1" s="1"/>
  <c r="BX1339" i="1"/>
  <c r="BY1339" i="1" s="1"/>
  <c r="BD1339" i="1"/>
  <c r="BC1339" i="1"/>
  <c r="BB1339" i="1"/>
  <c r="BA1339" i="1"/>
  <c r="AZ1339" i="1"/>
  <c r="AY1339" i="1"/>
  <c r="BE1339" i="1" s="1" a="1"/>
  <c r="BE1339" i="1" s="1"/>
  <c r="AX1339" i="1"/>
  <c r="M1339" i="1"/>
  <c r="EM1338" i="1"/>
  <c r="EL1338" i="1"/>
  <c r="EK1338" i="1"/>
  <c r="DU1338" i="1"/>
  <c r="DT1338" i="1"/>
  <c r="DN1338" i="1"/>
  <c r="DM1338" i="1"/>
  <c r="DL1338" i="1"/>
  <c r="DK1338" i="1"/>
  <c r="DI1338" i="1"/>
  <c r="DJ1338" i="1" s="1"/>
  <c r="DB1338" i="1"/>
  <c r="DC1338" i="1" s="1"/>
  <c r="CX1338" i="1"/>
  <c r="CN1338" i="1"/>
  <c r="BX1338" i="1"/>
  <c r="BD1338" i="1"/>
  <c r="BC1338" i="1"/>
  <c r="BB1338" i="1"/>
  <c r="BA1338" i="1"/>
  <c r="AZ1338" i="1"/>
  <c r="AY1338" i="1"/>
  <c r="BE1338" i="1" s="1" a="1"/>
  <c r="BE1338" i="1" s="1"/>
  <c r="AX1338" i="1"/>
  <c r="M1338" i="1"/>
  <c r="EM1337" i="1"/>
  <c r="EL1337" i="1"/>
  <c r="EK1337" i="1"/>
  <c r="DU1337" i="1"/>
  <c r="DT1337" i="1"/>
  <c r="DN1337" i="1"/>
  <c r="DM1337" i="1"/>
  <c r="DL1337" i="1"/>
  <c r="DK1337" i="1"/>
  <c r="DI1337" i="1"/>
  <c r="DJ1337" i="1" s="1"/>
  <c r="DB1337" i="1"/>
  <c r="DC1337" i="1" s="1"/>
  <c r="CX1337" i="1"/>
  <c r="CN1337" i="1"/>
  <c r="CS1337" i="1" s="1"/>
  <c r="BX1337" i="1"/>
  <c r="BY1337" i="1" s="1"/>
  <c r="BD1337" i="1"/>
  <c r="BC1337" i="1"/>
  <c r="BB1337" i="1"/>
  <c r="BA1337" i="1"/>
  <c r="AZ1337" i="1"/>
  <c r="AY1337" i="1"/>
  <c r="BE1337" i="1" s="1" a="1"/>
  <c r="BE1337" i="1" s="1"/>
  <c r="AX1337" i="1"/>
  <c r="M1337" i="1"/>
  <c r="EM1336" i="1"/>
  <c r="EL1336" i="1"/>
  <c r="EK1336" i="1"/>
  <c r="DU1336" i="1"/>
  <c r="DT1336" i="1"/>
  <c r="DN1336" i="1"/>
  <c r="DM1336" i="1"/>
  <c r="DL1336" i="1"/>
  <c r="DK1336" i="1"/>
  <c r="DI1336" i="1"/>
  <c r="DJ1336" i="1" s="1"/>
  <c r="DB1336" i="1"/>
  <c r="DC1336" i="1" s="1"/>
  <c r="CX1336" i="1"/>
  <c r="CN1336" i="1"/>
  <c r="BX1336" i="1"/>
  <c r="BY1336" i="1" s="1"/>
  <c r="BD1336" i="1"/>
  <c r="BC1336" i="1"/>
  <c r="BB1336" i="1"/>
  <c r="BA1336" i="1"/>
  <c r="AZ1336" i="1"/>
  <c r="AY1336" i="1"/>
  <c r="BE1336" i="1" s="1" a="1"/>
  <c r="BE1336" i="1" s="1"/>
  <c r="AX1336" i="1"/>
  <c r="M1336" i="1"/>
  <c r="EM1335" i="1"/>
  <c r="EL1335" i="1"/>
  <c r="EK1335" i="1"/>
  <c r="DU1335" i="1"/>
  <c r="DT1335" i="1"/>
  <c r="DN1335" i="1"/>
  <c r="DM1335" i="1"/>
  <c r="DL1335" i="1"/>
  <c r="DK1335" i="1"/>
  <c r="DI1335" i="1"/>
  <c r="DJ1335" i="1" s="1"/>
  <c r="DB1335" i="1"/>
  <c r="DC1335" i="1" s="1"/>
  <c r="CX1335" i="1"/>
  <c r="CN1335" i="1"/>
  <c r="CR1335" i="1" s="1"/>
  <c r="BX1335" i="1"/>
  <c r="BY1335" i="1" s="1"/>
  <c r="BD1335" i="1"/>
  <c r="BC1335" i="1"/>
  <c r="BB1335" i="1"/>
  <c r="BA1335" i="1"/>
  <c r="AZ1335" i="1"/>
  <c r="AY1335" i="1"/>
  <c r="BE1335" i="1" s="1" a="1"/>
  <c r="BE1335" i="1" s="1"/>
  <c r="AX1335" i="1"/>
  <c r="M1335" i="1"/>
  <c r="EM1334" i="1"/>
  <c r="EL1334" i="1"/>
  <c r="EK1334" i="1"/>
  <c r="DU1334" i="1"/>
  <c r="DT1334" i="1"/>
  <c r="DN1334" i="1"/>
  <c r="DM1334" i="1"/>
  <c r="DL1334" i="1"/>
  <c r="DK1334" i="1"/>
  <c r="DI1334" i="1"/>
  <c r="DJ1334" i="1" s="1"/>
  <c r="DB1334" i="1"/>
  <c r="DC1334" i="1" s="1"/>
  <c r="CX1334" i="1"/>
  <c r="CN1334" i="1"/>
  <c r="BX1334" i="1"/>
  <c r="BY1334" i="1" s="1"/>
  <c r="BD1334" i="1"/>
  <c r="BC1334" i="1"/>
  <c r="BB1334" i="1"/>
  <c r="BA1334" i="1"/>
  <c r="AZ1334" i="1"/>
  <c r="AY1334" i="1"/>
  <c r="BE1334" i="1" s="1" a="1"/>
  <c r="BE1334" i="1" s="1"/>
  <c r="AX1334" i="1"/>
  <c r="M1334" i="1"/>
  <c r="EM1333" i="1"/>
  <c r="EL1333" i="1"/>
  <c r="EK1333" i="1"/>
  <c r="DU1333" i="1"/>
  <c r="DT1333" i="1"/>
  <c r="DN1333" i="1"/>
  <c r="DM1333" i="1"/>
  <c r="DL1333" i="1"/>
  <c r="DK1333" i="1"/>
  <c r="DI1333" i="1"/>
  <c r="DJ1333" i="1" s="1"/>
  <c r="DB1333" i="1"/>
  <c r="DC1333" i="1" s="1"/>
  <c r="CX1333" i="1"/>
  <c r="CN1333" i="1"/>
  <c r="CR1333" i="1" s="1"/>
  <c r="BX1333" i="1"/>
  <c r="BY1333" i="1" s="1"/>
  <c r="BD1333" i="1"/>
  <c r="BC1333" i="1"/>
  <c r="BB1333" i="1"/>
  <c r="BA1333" i="1"/>
  <c r="AZ1333" i="1"/>
  <c r="AY1333" i="1"/>
  <c r="BE1333" i="1" s="1" a="1"/>
  <c r="BE1333" i="1" s="1"/>
  <c r="AX1333" i="1"/>
  <c r="M1333" i="1"/>
  <c r="EM1332" i="1"/>
  <c r="EL1332" i="1"/>
  <c r="EK1332" i="1"/>
  <c r="DU1332" i="1"/>
  <c r="DT1332" i="1"/>
  <c r="DN1332" i="1"/>
  <c r="DM1332" i="1"/>
  <c r="DL1332" i="1"/>
  <c r="DK1332" i="1"/>
  <c r="DI1332" i="1"/>
  <c r="DJ1332" i="1" s="1"/>
  <c r="DB1332" i="1"/>
  <c r="DC1332" i="1" s="1"/>
  <c r="CX1332" i="1"/>
  <c r="CN1332" i="1"/>
  <c r="CS1332" i="1" s="1"/>
  <c r="BX1332" i="1"/>
  <c r="BY1332" i="1" s="1"/>
  <c r="BD1332" i="1"/>
  <c r="BC1332" i="1"/>
  <c r="BB1332" i="1"/>
  <c r="BA1332" i="1"/>
  <c r="AZ1332" i="1"/>
  <c r="AY1332" i="1"/>
  <c r="BE1332" i="1" s="1" a="1"/>
  <c r="BE1332" i="1" s="1"/>
  <c r="AX1332" i="1"/>
  <c r="M1332" i="1"/>
  <c r="EM1331" i="1"/>
  <c r="EL1331" i="1"/>
  <c r="EK1331" i="1"/>
  <c r="DU1331" i="1"/>
  <c r="DT1331" i="1"/>
  <c r="DN1331" i="1"/>
  <c r="DM1331" i="1"/>
  <c r="DL1331" i="1"/>
  <c r="DK1331" i="1"/>
  <c r="DI1331" i="1"/>
  <c r="DJ1331" i="1" s="1"/>
  <c r="DB1331" i="1"/>
  <c r="DC1331" i="1" s="1"/>
  <c r="CX1331" i="1"/>
  <c r="CN1331" i="1"/>
  <c r="CR1331" i="1" s="1"/>
  <c r="BX1331" i="1"/>
  <c r="BY1331" i="1" s="1"/>
  <c r="BD1331" i="1"/>
  <c r="BC1331" i="1"/>
  <c r="BB1331" i="1"/>
  <c r="BA1331" i="1"/>
  <c r="AZ1331" i="1"/>
  <c r="AY1331" i="1"/>
  <c r="BE1331" i="1" s="1" a="1"/>
  <c r="BE1331" i="1" s="1"/>
  <c r="AX1331" i="1"/>
  <c r="M1331" i="1"/>
  <c r="EM1330" i="1"/>
  <c r="EL1330" i="1"/>
  <c r="EK1330" i="1"/>
  <c r="DU1330" i="1"/>
  <c r="DT1330" i="1"/>
  <c r="DN1330" i="1"/>
  <c r="DM1330" i="1"/>
  <c r="DL1330" i="1"/>
  <c r="DK1330" i="1"/>
  <c r="DI1330" i="1"/>
  <c r="DJ1330" i="1" s="1"/>
  <c r="DB1330" i="1"/>
  <c r="DC1330" i="1" s="1"/>
  <c r="CX1330" i="1"/>
  <c r="CN1330" i="1"/>
  <c r="CS1330" i="1" s="1"/>
  <c r="BX1330" i="1"/>
  <c r="BY1330" i="1" s="1"/>
  <c r="BD1330" i="1"/>
  <c r="BC1330" i="1"/>
  <c r="BB1330" i="1"/>
  <c r="BA1330" i="1"/>
  <c r="AZ1330" i="1"/>
  <c r="AY1330" i="1"/>
  <c r="BE1330" i="1" s="1" a="1"/>
  <c r="BE1330" i="1" s="1"/>
  <c r="AX1330" i="1"/>
  <c r="M1330" i="1"/>
  <c r="EM1329" i="1"/>
  <c r="EL1329" i="1"/>
  <c r="EK1329" i="1"/>
  <c r="DU1329" i="1"/>
  <c r="DT1329" i="1"/>
  <c r="DN1329" i="1"/>
  <c r="DM1329" i="1"/>
  <c r="DL1329" i="1"/>
  <c r="DK1329" i="1"/>
  <c r="DI1329" i="1"/>
  <c r="DJ1329" i="1" s="1"/>
  <c r="DB1329" i="1"/>
  <c r="DC1329" i="1" s="1"/>
  <c r="CX1329" i="1"/>
  <c r="CN1329" i="1"/>
  <c r="CS1329" i="1" s="1"/>
  <c r="BX1329" i="1"/>
  <c r="BD1329" i="1"/>
  <c r="BC1329" i="1"/>
  <c r="BB1329" i="1"/>
  <c r="BA1329" i="1"/>
  <c r="AZ1329" i="1"/>
  <c r="AY1329" i="1"/>
  <c r="BE1329" i="1" s="1" a="1"/>
  <c r="BE1329" i="1" s="1"/>
  <c r="AX1329" i="1"/>
  <c r="M1329" i="1"/>
  <c r="EM1328" i="1"/>
  <c r="EL1328" i="1"/>
  <c r="EK1328" i="1"/>
  <c r="DU1328" i="1"/>
  <c r="DT1328" i="1"/>
  <c r="DN1328" i="1"/>
  <c r="DM1328" i="1"/>
  <c r="DL1328" i="1"/>
  <c r="DK1328" i="1"/>
  <c r="DI1328" i="1"/>
  <c r="DJ1328" i="1" s="1"/>
  <c r="DB1328" i="1"/>
  <c r="DC1328" i="1" s="1"/>
  <c r="CX1328" i="1"/>
  <c r="CN1328" i="1"/>
  <c r="BX1328" i="1"/>
  <c r="BY1328" i="1" s="1"/>
  <c r="BD1328" i="1"/>
  <c r="BC1328" i="1"/>
  <c r="BB1328" i="1"/>
  <c r="BA1328" i="1"/>
  <c r="AZ1328" i="1"/>
  <c r="AY1328" i="1"/>
  <c r="BE1328" i="1" s="1" a="1"/>
  <c r="BE1328" i="1" s="1"/>
  <c r="AX1328" i="1"/>
  <c r="M1328" i="1"/>
  <c r="EM1327" i="1"/>
  <c r="EL1327" i="1"/>
  <c r="EK1327" i="1"/>
  <c r="DU1327" i="1"/>
  <c r="DT1327" i="1"/>
  <c r="DN1327" i="1"/>
  <c r="DM1327" i="1"/>
  <c r="DL1327" i="1"/>
  <c r="DK1327" i="1"/>
  <c r="DI1327" i="1"/>
  <c r="DJ1327" i="1" s="1"/>
  <c r="DC1327" i="1"/>
  <c r="CX1327" i="1"/>
  <c r="CN1327" i="1"/>
  <c r="BY1327" i="1"/>
  <c r="BV1327" i="1"/>
  <c r="BU1327" i="1"/>
  <c r="BM1327" i="1"/>
  <c r="BD1327" i="1"/>
  <c r="BC1327" i="1"/>
  <c r="BB1327" i="1"/>
  <c r="BA1327" i="1"/>
  <c r="AZ1327" i="1"/>
  <c r="AY1327" i="1"/>
  <c r="BE1327" i="1" s="1" a="1"/>
  <c r="BE1327" i="1" s="1"/>
  <c r="AX1327" i="1"/>
  <c r="M1327" i="1"/>
  <c r="EM1326" i="1"/>
  <c r="EL1326" i="1"/>
  <c r="EK1326" i="1"/>
  <c r="DU1326" i="1"/>
  <c r="DT1326" i="1"/>
  <c r="DN1326" i="1"/>
  <c r="DM1326" i="1"/>
  <c r="DL1326" i="1"/>
  <c r="DK1326" i="1"/>
  <c r="DI1326" i="1"/>
  <c r="DJ1326" i="1" s="1"/>
  <c r="DC1326" i="1"/>
  <c r="CX1326" i="1"/>
  <c r="CN1326" i="1"/>
  <c r="CR1326" i="1" s="1"/>
  <c r="BY1326" i="1"/>
  <c r="BV1326" i="1"/>
  <c r="BU1326" i="1"/>
  <c r="BM1326" i="1"/>
  <c r="BD1326" i="1"/>
  <c r="BC1326" i="1"/>
  <c r="BB1326" i="1"/>
  <c r="BA1326" i="1"/>
  <c r="AZ1326" i="1"/>
  <c r="AY1326" i="1"/>
  <c r="BE1326" i="1" s="1" a="1"/>
  <c r="BE1326" i="1" s="1"/>
  <c r="AX1326" i="1"/>
  <c r="M1326" i="1"/>
  <c r="EM1325" i="1"/>
  <c r="EL1325" i="1"/>
  <c r="EK1325" i="1"/>
  <c r="DU1325" i="1"/>
  <c r="DT1325" i="1"/>
  <c r="DN1325" i="1"/>
  <c r="DM1325" i="1"/>
  <c r="DL1325" i="1"/>
  <c r="DK1325" i="1"/>
  <c r="DI1325" i="1"/>
  <c r="DJ1325" i="1" s="1"/>
  <c r="DC1325" i="1"/>
  <c r="CX1325" i="1"/>
  <c r="CN1325" i="1"/>
  <c r="CS1325" i="1" s="1"/>
  <c r="BY1325" i="1"/>
  <c r="BV1325" i="1"/>
  <c r="BU1325" i="1"/>
  <c r="BM1325" i="1"/>
  <c r="BD1325" i="1"/>
  <c r="BC1325" i="1"/>
  <c r="BB1325" i="1"/>
  <c r="BA1325" i="1"/>
  <c r="AZ1325" i="1"/>
  <c r="AY1325" i="1"/>
  <c r="BE1325" i="1" s="1" a="1"/>
  <c r="BE1325" i="1" s="1"/>
  <c r="AX1325" i="1"/>
  <c r="M1325" i="1"/>
  <c r="EM1324" i="1"/>
  <c r="EL1324" i="1"/>
  <c r="EK1324" i="1"/>
  <c r="DU1324" i="1"/>
  <c r="DT1324" i="1"/>
  <c r="DN1324" i="1"/>
  <c r="DM1324" i="1"/>
  <c r="DL1324" i="1"/>
  <c r="DK1324" i="1"/>
  <c r="DI1324" i="1"/>
  <c r="DJ1324" i="1" s="1"/>
  <c r="DC1324" i="1"/>
  <c r="CX1324" i="1"/>
  <c r="CN1324" i="1"/>
  <c r="CR1324" i="1" s="1"/>
  <c r="BY1324" i="1"/>
  <c r="BV1324" i="1"/>
  <c r="BU1324" i="1"/>
  <c r="BM1324" i="1"/>
  <c r="BD1324" i="1"/>
  <c r="BC1324" i="1"/>
  <c r="BB1324" i="1"/>
  <c r="BA1324" i="1"/>
  <c r="AZ1324" i="1"/>
  <c r="AY1324" i="1"/>
  <c r="BE1324" i="1" s="1" a="1"/>
  <c r="BE1324" i="1" s="1"/>
  <c r="AX1324" i="1"/>
  <c r="M1324" i="1"/>
  <c r="EM1323" i="1"/>
  <c r="EL1323" i="1"/>
  <c r="EK1323" i="1"/>
  <c r="DU1323" i="1"/>
  <c r="DT1323" i="1"/>
  <c r="DN1323" i="1"/>
  <c r="DM1323" i="1"/>
  <c r="DL1323" i="1"/>
  <c r="DK1323" i="1"/>
  <c r="DI1323" i="1"/>
  <c r="DJ1323" i="1" s="1"/>
  <c r="DC1323" i="1"/>
  <c r="CX1323" i="1"/>
  <c r="CN1323" i="1"/>
  <c r="CR1323" i="1" s="1"/>
  <c r="BY1323" i="1"/>
  <c r="BV1323" i="1"/>
  <c r="BU1323" i="1"/>
  <c r="BM1323" i="1"/>
  <c r="BD1323" i="1"/>
  <c r="BC1323" i="1"/>
  <c r="BB1323" i="1"/>
  <c r="BA1323" i="1"/>
  <c r="AZ1323" i="1"/>
  <c r="AY1323" i="1"/>
  <c r="BE1323" i="1" s="1" a="1"/>
  <c r="BE1323" i="1" s="1"/>
  <c r="AX1323" i="1"/>
  <c r="M1323" i="1"/>
  <c r="EM1322" i="1"/>
  <c r="EL1322" i="1"/>
  <c r="EK1322" i="1"/>
  <c r="DU1322" i="1"/>
  <c r="DT1322" i="1"/>
  <c r="DN1322" i="1"/>
  <c r="DM1322" i="1"/>
  <c r="DL1322" i="1"/>
  <c r="DK1322" i="1"/>
  <c r="DI1322" i="1"/>
  <c r="DJ1322" i="1" s="1"/>
  <c r="DC1322" i="1"/>
  <c r="CX1322" i="1"/>
  <c r="CN1322" i="1"/>
  <c r="CR1322" i="1" s="1"/>
  <c r="BY1322" i="1"/>
  <c r="BV1322" i="1"/>
  <c r="BU1322" i="1"/>
  <c r="BM1322" i="1"/>
  <c r="BD1322" i="1"/>
  <c r="BC1322" i="1"/>
  <c r="BB1322" i="1"/>
  <c r="BA1322" i="1"/>
  <c r="AZ1322" i="1"/>
  <c r="AY1322" i="1"/>
  <c r="BE1322" i="1" s="1" a="1"/>
  <c r="BE1322" i="1" s="1"/>
  <c r="AX1322" i="1"/>
  <c r="M1322" i="1"/>
  <c r="EM1321" i="1"/>
  <c r="EL1321" i="1"/>
  <c r="EK1321" i="1"/>
  <c r="DU1321" i="1"/>
  <c r="DT1321" i="1"/>
  <c r="DN1321" i="1"/>
  <c r="DM1321" i="1"/>
  <c r="DL1321" i="1"/>
  <c r="DK1321" i="1"/>
  <c r="DI1321" i="1"/>
  <c r="DJ1321" i="1" s="1"/>
  <c r="DC1321" i="1"/>
  <c r="CX1321" i="1"/>
  <c r="CN1321" i="1"/>
  <c r="CS1321" i="1" s="1"/>
  <c r="BY1321" i="1"/>
  <c r="BV1321" i="1"/>
  <c r="BU1321" i="1"/>
  <c r="BM1321" i="1"/>
  <c r="BD1321" i="1"/>
  <c r="BC1321" i="1"/>
  <c r="BB1321" i="1"/>
  <c r="BA1321" i="1"/>
  <c r="AZ1321" i="1"/>
  <c r="AY1321" i="1"/>
  <c r="BE1321" i="1" s="1" a="1"/>
  <c r="BE1321" i="1" s="1"/>
  <c r="AX1321" i="1"/>
  <c r="M1321" i="1"/>
  <c r="EM1320" i="1"/>
  <c r="EL1320" i="1"/>
  <c r="EK1320" i="1"/>
  <c r="DU1320" i="1"/>
  <c r="DT1320" i="1"/>
  <c r="DN1320" i="1"/>
  <c r="DM1320" i="1"/>
  <c r="DL1320" i="1"/>
  <c r="DK1320" i="1"/>
  <c r="DI1320" i="1"/>
  <c r="DJ1320" i="1" s="1"/>
  <c r="DC1320" i="1"/>
  <c r="CX1320" i="1"/>
  <c r="CN1320" i="1"/>
  <c r="CR1320" i="1" s="1"/>
  <c r="BY1320" i="1"/>
  <c r="BV1320" i="1"/>
  <c r="BU1320" i="1"/>
  <c r="BM1320" i="1"/>
  <c r="BD1320" i="1"/>
  <c r="BC1320" i="1"/>
  <c r="BB1320" i="1"/>
  <c r="BA1320" i="1"/>
  <c r="AZ1320" i="1"/>
  <c r="AY1320" i="1"/>
  <c r="BE1320" i="1" s="1" a="1"/>
  <c r="BE1320" i="1" s="1"/>
  <c r="AX1320" i="1"/>
  <c r="M1320" i="1"/>
  <c r="EM1202" i="1"/>
  <c r="EL1202" i="1"/>
  <c r="EK1202" i="1"/>
  <c r="DU1202" i="1"/>
  <c r="DT1202" i="1"/>
  <c r="DN1202" i="1"/>
  <c r="DM1202" i="1"/>
  <c r="DL1202" i="1"/>
  <c r="DK1202" i="1"/>
  <c r="DI1202" i="1"/>
  <c r="DJ1202" i="1" s="1"/>
  <c r="DC1202" i="1"/>
  <c r="CX1202" i="1"/>
  <c r="CN1202" i="1"/>
  <c r="CR1202" i="1" s="1"/>
  <c r="BY1202" i="1"/>
  <c r="EP1202" i="1" s="1"/>
  <c r="BV1202" i="1"/>
  <c r="BM1202" i="1"/>
  <c r="BD1202" i="1"/>
  <c r="BC1202" i="1"/>
  <c r="BB1202" i="1"/>
  <c r="BA1202" i="1"/>
  <c r="AZ1202" i="1"/>
  <c r="AY1202" i="1"/>
  <c r="AX1202" i="1"/>
  <c r="M1202" i="1"/>
  <c r="EM1201" i="1"/>
  <c r="EL1201" i="1"/>
  <c r="EK1201" i="1"/>
  <c r="DU1201" i="1"/>
  <c r="DT1201" i="1"/>
  <c r="DN1201" i="1"/>
  <c r="DM1201" i="1"/>
  <c r="DL1201" i="1"/>
  <c r="DK1201" i="1"/>
  <c r="DI1201" i="1"/>
  <c r="DJ1201" i="1" s="1"/>
  <c r="DC1201" i="1"/>
  <c r="CX1201" i="1"/>
  <c r="CN1201" i="1"/>
  <c r="BX1201" i="1"/>
  <c r="BY1201" i="1" s="1"/>
  <c r="BD1201" i="1"/>
  <c r="BC1201" i="1"/>
  <c r="BB1201" i="1"/>
  <c r="BA1201" i="1"/>
  <c r="AZ1201" i="1"/>
  <c r="AY1201" i="1"/>
  <c r="AX1201" i="1"/>
  <c r="M1201" i="1"/>
  <c r="EM1200" i="1"/>
  <c r="EL1200" i="1"/>
  <c r="EK1200" i="1"/>
  <c r="DU1200" i="1"/>
  <c r="DT1200" i="1"/>
  <c r="DN1200" i="1"/>
  <c r="DM1200" i="1"/>
  <c r="DL1200" i="1"/>
  <c r="DK1200" i="1"/>
  <c r="DI1200" i="1"/>
  <c r="DJ1200" i="1" s="1"/>
  <c r="DC1200" i="1"/>
  <c r="CX1200" i="1"/>
  <c r="CN1200" i="1"/>
  <c r="CT1200" i="1" s="1"/>
  <c r="CU1200" i="1" s="1"/>
  <c r="BY1200" i="1"/>
  <c r="EP1200" i="1" s="1"/>
  <c r="BV1200" i="1"/>
  <c r="BD1200" i="1"/>
  <c r="BC1200" i="1"/>
  <c r="BB1200" i="1"/>
  <c r="BA1200" i="1"/>
  <c r="AZ1200" i="1"/>
  <c r="AY1200" i="1"/>
  <c r="BE1200" i="1" s="1" a="1"/>
  <c r="BE1200" i="1" s="1"/>
  <c r="AX1200" i="1"/>
  <c r="M1200" i="1"/>
  <c r="EM1199" i="1"/>
  <c r="EL1199" i="1"/>
  <c r="EK1199" i="1"/>
  <c r="DU1199" i="1"/>
  <c r="DT1199" i="1"/>
  <c r="DN1199" i="1"/>
  <c r="DM1199" i="1"/>
  <c r="DL1199" i="1"/>
  <c r="DK1199" i="1"/>
  <c r="DI1199" i="1"/>
  <c r="DJ1199" i="1" s="1"/>
  <c r="DC1199" i="1"/>
  <c r="CX1199" i="1"/>
  <c r="CN1199" i="1"/>
  <c r="CR1199" i="1" s="1"/>
  <c r="BY1199" i="1"/>
  <c r="EP1199" i="1" s="1"/>
  <c r="BV1199" i="1"/>
  <c r="BD1199" i="1"/>
  <c r="BC1199" i="1"/>
  <c r="BB1199" i="1"/>
  <c r="BA1199" i="1"/>
  <c r="AZ1199" i="1"/>
  <c r="AY1199" i="1"/>
  <c r="BE1199" i="1" s="1" a="1"/>
  <c r="BE1199" i="1" s="1"/>
  <c r="AX1199" i="1"/>
  <c r="M1199" i="1"/>
  <c r="EM1198" i="1"/>
  <c r="EL1198" i="1"/>
  <c r="EK1198" i="1"/>
  <c r="DU1198" i="1"/>
  <c r="DT1198" i="1"/>
  <c r="DN1198" i="1"/>
  <c r="DM1198" i="1"/>
  <c r="DL1198" i="1"/>
  <c r="DK1198" i="1"/>
  <c r="DI1198" i="1"/>
  <c r="DJ1198" i="1" s="1"/>
  <c r="DC1198" i="1"/>
  <c r="CX1198" i="1"/>
  <c r="CN1198" i="1"/>
  <c r="CR1198" i="1" s="1"/>
  <c r="BY1198" i="1"/>
  <c r="EP1198" i="1" s="1"/>
  <c r="BV1198" i="1"/>
  <c r="BD1198" i="1"/>
  <c r="BC1198" i="1"/>
  <c r="BB1198" i="1"/>
  <c r="BA1198" i="1"/>
  <c r="AZ1198" i="1"/>
  <c r="AY1198" i="1"/>
  <c r="BE1198" i="1" s="1" a="1"/>
  <c r="BE1198" i="1" s="1"/>
  <c r="AX1198" i="1"/>
  <c r="M1198" i="1"/>
  <c r="EM1197" i="1"/>
  <c r="EL1197" i="1"/>
  <c r="EK1197" i="1"/>
  <c r="DU1197" i="1"/>
  <c r="DT1197" i="1"/>
  <c r="DN1197" i="1"/>
  <c r="DM1197" i="1"/>
  <c r="DL1197" i="1"/>
  <c r="DK1197" i="1"/>
  <c r="DI1197" i="1"/>
  <c r="DJ1197" i="1" s="1"/>
  <c r="DC1197" i="1"/>
  <c r="CX1197" i="1"/>
  <c r="CN1197" i="1"/>
  <c r="CT1197" i="1" s="1"/>
  <c r="CU1197" i="1" s="1"/>
  <c r="BY1197" i="1"/>
  <c r="EP1197" i="1" s="1"/>
  <c r="BV1197" i="1"/>
  <c r="BD1197" i="1"/>
  <c r="BC1197" i="1"/>
  <c r="BB1197" i="1"/>
  <c r="BA1197" i="1"/>
  <c r="AZ1197" i="1"/>
  <c r="AY1197" i="1"/>
  <c r="BE1197" i="1" s="1" a="1"/>
  <c r="BE1197" i="1" s="1"/>
  <c r="AX1197" i="1"/>
  <c r="M1197" i="1"/>
  <c r="EM1196" i="1"/>
  <c r="EL1196" i="1"/>
  <c r="EK1196" i="1"/>
  <c r="DU1196" i="1"/>
  <c r="DT1196" i="1"/>
  <c r="DN1196" i="1"/>
  <c r="DM1196" i="1"/>
  <c r="DL1196" i="1"/>
  <c r="DK1196" i="1"/>
  <c r="DI1196" i="1"/>
  <c r="DJ1196" i="1" s="1"/>
  <c r="DC1196" i="1"/>
  <c r="CX1196" i="1"/>
  <c r="CN1196" i="1"/>
  <c r="CT1196" i="1" s="1"/>
  <c r="CU1196" i="1" s="1"/>
  <c r="BY1196" i="1"/>
  <c r="EP1196" i="1" s="1"/>
  <c r="BV1196" i="1"/>
  <c r="BM1196" i="1"/>
  <c r="BD1196" i="1"/>
  <c r="BC1196" i="1"/>
  <c r="BB1196" i="1"/>
  <c r="BA1196" i="1"/>
  <c r="AZ1196" i="1"/>
  <c r="AY1196" i="1"/>
  <c r="BE1196" i="1" s="1" a="1"/>
  <c r="BE1196" i="1" s="1"/>
  <c r="AX1196" i="1"/>
  <c r="M1196" i="1"/>
  <c r="EM1195" i="1"/>
  <c r="EL1195" i="1"/>
  <c r="EK1195" i="1"/>
  <c r="DU1195" i="1"/>
  <c r="DT1195" i="1"/>
  <c r="DN1195" i="1"/>
  <c r="DM1195" i="1"/>
  <c r="DL1195" i="1"/>
  <c r="DK1195" i="1"/>
  <c r="DI1195" i="1"/>
  <c r="DJ1195" i="1" s="1"/>
  <c r="DC1195" i="1"/>
  <c r="CX1195" i="1"/>
  <c r="CN1195" i="1"/>
  <c r="CT1195" i="1" s="1"/>
  <c r="CU1195" i="1" s="1"/>
  <c r="BY1195" i="1"/>
  <c r="EP1195" i="1" s="1"/>
  <c r="BV1195" i="1"/>
  <c r="BM1195" i="1"/>
  <c r="BD1195" i="1"/>
  <c r="BC1195" i="1"/>
  <c r="BB1195" i="1"/>
  <c r="BA1195" i="1"/>
  <c r="AZ1195" i="1"/>
  <c r="AY1195" i="1"/>
  <c r="BE1195" i="1" s="1" a="1"/>
  <c r="BE1195" i="1" s="1"/>
  <c r="AX1195" i="1"/>
  <c r="M1195" i="1"/>
  <c r="EM1194" i="1"/>
  <c r="EL1194" i="1"/>
  <c r="EK1194" i="1"/>
  <c r="DU1194" i="1"/>
  <c r="DT1194" i="1"/>
  <c r="DN1194" i="1"/>
  <c r="DM1194" i="1"/>
  <c r="DL1194" i="1"/>
  <c r="DK1194" i="1"/>
  <c r="DI1194" i="1"/>
  <c r="DJ1194" i="1" s="1"/>
  <c r="DC1194" i="1"/>
  <c r="CX1194" i="1"/>
  <c r="CN1194" i="1"/>
  <c r="CR1194" i="1" s="1"/>
  <c r="BY1194" i="1"/>
  <c r="EP1194" i="1" s="1"/>
  <c r="BV1194" i="1"/>
  <c r="BM1194" i="1"/>
  <c r="BD1194" i="1"/>
  <c r="BC1194" i="1"/>
  <c r="BB1194" i="1"/>
  <c r="BA1194" i="1"/>
  <c r="AZ1194" i="1"/>
  <c r="AY1194" i="1"/>
  <c r="AX1194" i="1"/>
  <c r="M1194" i="1"/>
  <c r="EM1193" i="1"/>
  <c r="EL1193" i="1"/>
  <c r="EK1193" i="1"/>
  <c r="DU1193" i="1"/>
  <c r="DT1193" i="1"/>
  <c r="DN1193" i="1"/>
  <c r="DM1193" i="1"/>
  <c r="DL1193" i="1"/>
  <c r="DK1193" i="1"/>
  <c r="DI1193" i="1"/>
  <c r="DJ1193" i="1" s="1"/>
  <c r="DC1193" i="1"/>
  <c r="CX1193" i="1"/>
  <c r="CN1193" i="1"/>
  <c r="CT1193" i="1" s="1"/>
  <c r="CU1193" i="1" s="1"/>
  <c r="BY1193" i="1"/>
  <c r="EP1193" i="1" s="1"/>
  <c r="BV1193" i="1"/>
  <c r="BD1193" i="1"/>
  <c r="BC1193" i="1"/>
  <c r="BB1193" i="1"/>
  <c r="BA1193" i="1"/>
  <c r="AZ1193" i="1"/>
  <c r="AY1193" i="1"/>
  <c r="AX1193" i="1"/>
  <c r="M1193" i="1"/>
  <c r="EM1192" i="1"/>
  <c r="EL1192" i="1"/>
  <c r="EK1192" i="1"/>
  <c r="DU1192" i="1"/>
  <c r="DT1192" i="1"/>
  <c r="DN1192" i="1"/>
  <c r="DM1192" i="1"/>
  <c r="DL1192" i="1"/>
  <c r="DK1192" i="1"/>
  <c r="DI1192" i="1"/>
  <c r="DJ1192" i="1" s="1"/>
  <c r="DC1192" i="1"/>
  <c r="CX1192" i="1"/>
  <c r="CN1192" i="1"/>
  <c r="BY1192" i="1"/>
  <c r="EP1192" i="1" s="1"/>
  <c r="BV1192" i="1"/>
  <c r="BD1192" i="1"/>
  <c r="BC1192" i="1"/>
  <c r="BB1192" i="1"/>
  <c r="BA1192" i="1"/>
  <c r="AZ1192" i="1"/>
  <c r="AY1192" i="1"/>
  <c r="AX1192" i="1"/>
  <c r="M1192" i="1"/>
  <c r="EM1191" i="1"/>
  <c r="EL1191" i="1"/>
  <c r="EK1191" i="1"/>
  <c r="DU1191" i="1"/>
  <c r="DT1191" i="1"/>
  <c r="DN1191" i="1"/>
  <c r="DM1191" i="1"/>
  <c r="DL1191" i="1"/>
  <c r="DK1191" i="1"/>
  <c r="DI1191" i="1"/>
  <c r="DJ1191" i="1" s="1"/>
  <c r="DC1191" i="1"/>
  <c r="CX1191" i="1"/>
  <c r="CN1191" i="1"/>
  <c r="CR1191" i="1" s="1"/>
  <c r="BY1191" i="1"/>
  <c r="EP1191" i="1" s="1"/>
  <c r="BV1191" i="1"/>
  <c r="BD1191" i="1"/>
  <c r="BC1191" i="1"/>
  <c r="BB1191" i="1"/>
  <c r="BA1191" i="1"/>
  <c r="AZ1191" i="1"/>
  <c r="AY1191" i="1"/>
  <c r="AX1191" i="1"/>
  <c r="M1191" i="1"/>
  <c r="EM1190" i="1"/>
  <c r="EL1190" i="1"/>
  <c r="EK1190" i="1"/>
  <c r="DU1190" i="1"/>
  <c r="DT1190" i="1"/>
  <c r="DN1190" i="1"/>
  <c r="DM1190" i="1"/>
  <c r="DL1190" i="1"/>
  <c r="DK1190" i="1"/>
  <c r="DI1190" i="1"/>
  <c r="DJ1190" i="1" s="1"/>
  <c r="DC1190" i="1"/>
  <c r="CX1190" i="1"/>
  <c r="CN1190" i="1"/>
  <c r="BY1190" i="1"/>
  <c r="EP1190" i="1" s="1"/>
  <c r="BV1190" i="1"/>
  <c r="BD1190" i="1"/>
  <c r="BC1190" i="1"/>
  <c r="BB1190" i="1"/>
  <c r="BA1190" i="1"/>
  <c r="AZ1190" i="1"/>
  <c r="AY1190" i="1"/>
  <c r="AX1190" i="1"/>
  <c r="M1190" i="1"/>
  <c r="EM1189" i="1"/>
  <c r="EL1189" i="1"/>
  <c r="EK1189" i="1"/>
  <c r="DU1189" i="1"/>
  <c r="DT1189" i="1"/>
  <c r="DN1189" i="1"/>
  <c r="DM1189" i="1"/>
  <c r="DL1189" i="1"/>
  <c r="DK1189" i="1"/>
  <c r="DI1189" i="1"/>
  <c r="DJ1189" i="1" s="1"/>
  <c r="DC1189" i="1"/>
  <c r="CX1189" i="1"/>
  <c r="CN1189" i="1"/>
  <c r="BY1189" i="1"/>
  <c r="EP1189" i="1" s="1"/>
  <c r="BV1189" i="1"/>
  <c r="BD1189" i="1"/>
  <c r="BC1189" i="1"/>
  <c r="BB1189" i="1"/>
  <c r="BA1189" i="1"/>
  <c r="AZ1189" i="1"/>
  <c r="AY1189" i="1"/>
  <c r="AX1189" i="1"/>
  <c r="M1189" i="1"/>
  <c r="EM1188" i="1"/>
  <c r="EL1188" i="1"/>
  <c r="EK1188" i="1"/>
  <c r="DU1188" i="1"/>
  <c r="DT1188" i="1"/>
  <c r="DN1188" i="1"/>
  <c r="DM1188" i="1"/>
  <c r="DL1188" i="1"/>
  <c r="DK1188" i="1"/>
  <c r="DI1188" i="1"/>
  <c r="DJ1188" i="1" s="1"/>
  <c r="DC1188" i="1"/>
  <c r="CX1188" i="1"/>
  <c r="CN1188" i="1"/>
  <c r="CT1188" i="1" s="1"/>
  <c r="CU1188" i="1" s="1"/>
  <c r="BY1188" i="1"/>
  <c r="EP1188" i="1" s="1"/>
  <c r="BV1188" i="1"/>
  <c r="BD1188" i="1"/>
  <c r="BC1188" i="1"/>
  <c r="BB1188" i="1"/>
  <c r="BA1188" i="1"/>
  <c r="AZ1188" i="1"/>
  <c r="AY1188" i="1"/>
  <c r="AX1188" i="1"/>
  <c r="M1188" i="1"/>
  <c r="EM1187" i="1"/>
  <c r="EL1187" i="1"/>
  <c r="EK1187" i="1"/>
  <c r="DU1187" i="1"/>
  <c r="DT1187" i="1"/>
  <c r="DN1187" i="1"/>
  <c r="DM1187" i="1"/>
  <c r="DL1187" i="1"/>
  <c r="DK1187" i="1"/>
  <c r="DI1187" i="1"/>
  <c r="DJ1187" i="1" s="1"/>
  <c r="DC1187" i="1"/>
  <c r="CX1187" i="1"/>
  <c r="CN1187" i="1"/>
  <c r="CT1187" i="1" s="1"/>
  <c r="CU1187" i="1" s="1"/>
  <c r="BY1187" i="1"/>
  <c r="EP1187" i="1" s="1"/>
  <c r="BV1187" i="1"/>
  <c r="BD1187" i="1"/>
  <c r="BC1187" i="1"/>
  <c r="BB1187" i="1"/>
  <c r="BA1187" i="1"/>
  <c r="AZ1187" i="1"/>
  <c r="AY1187" i="1"/>
  <c r="AX1187" i="1"/>
  <c r="M1187" i="1"/>
  <c r="EM1186" i="1"/>
  <c r="EL1186" i="1"/>
  <c r="EK1186" i="1"/>
  <c r="DU1186" i="1"/>
  <c r="DT1186" i="1"/>
  <c r="DN1186" i="1"/>
  <c r="DM1186" i="1"/>
  <c r="DL1186" i="1"/>
  <c r="DK1186" i="1"/>
  <c r="DI1186" i="1"/>
  <c r="DJ1186" i="1" s="1"/>
  <c r="DC1186" i="1"/>
  <c r="CX1186" i="1"/>
  <c r="CN1186" i="1"/>
  <c r="CS1186" i="1" s="1"/>
  <c r="BY1186" i="1"/>
  <c r="EP1186" i="1" s="1"/>
  <c r="BV1186" i="1"/>
  <c r="BM1186" i="1"/>
  <c r="BD1186" i="1"/>
  <c r="BC1186" i="1"/>
  <c r="BB1186" i="1"/>
  <c r="BA1186" i="1"/>
  <c r="AZ1186" i="1"/>
  <c r="AY1186" i="1"/>
  <c r="AX1186" i="1"/>
  <c r="M1186" i="1"/>
  <c r="EM1185" i="1"/>
  <c r="EL1185" i="1"/>
  <c r="EK1185" i="1"/>
  <c r="DU1185" i="1"/>
  <c r="DT1185" i="1"/>
  <c r="DN1185" i="1"/>
  <c r="DM1185" i="1"/>
  <c r="DL1185" i="1"/>
  <c r="DK1185" i="1"/>
  <c r="DI1185" i="1"/>
  <c r="DJ1185" i="1" s="1"/>
  <c r="DC1185" i="1"/>
  <c r="CX1185" i="1"/>
  <c r="CN1185" i="1"/>
  <c r="CS1185" i="1" s="1"/>
  <c r="BY1185" i="1"/>
  <c r="EP1185" i="1" s="1"/>
  <c r="BV1185" i="1"/>
  <c r="BM1185" i="1"/>
  <c r="BD1185" i="1"/>
  <c r="BC1185" i="1"/>
  <c r="BB1185" i="1"/>
  <c r="BA1185" i="1"/>
  <c r="AZ1185" i="1"/>
  <c r="AY1185" i="1"/>
  <c r="AX1185" i="1"/>
  <c r="M1185" i="1"/>
  <c r="EM1184" i="1"/>
  <c r="EL1184" i="1"/>
  <c r="EK1184" i="1"/>
  <c r="DU1184" i="1"/>
  <c r="DT1184" i="1"/>
  <c r="DN1184" i="1"/>
  <c r="DM1184" i="1"/>
  <c r="DL1184" i="1"/>
  <c r="DK1184" i="1"/>
  <c r="DI1184" i="1"/>
  <c r="DJ1184" i="1" s="1"/>
  <c r="DC1184" i="1"/>
  <c r="CX1184" i="1"/>
  <c r="CN1184" i="1"/>
  <c r="CS1184" i="1" s="1"/>
  <c r="BY1184" i="1"/>
  <c r="EP1184" i="1" s="1"/>
  <c r="BV1184" i="1"/>
  <c r="BM1184" i="1"/>
  <c r="BD1184" i="1"/>
  <c r="BC1184" i="1"/>
  <c r="BB1184" i="1"/>
  <c r="BA1184" i="1"/>
  <c r="AZ1184" i="1"/>
  <c r="AY1184" i="1"/>
  <c r="BE1184" i="1" s="1" a="1"/>
  <c r="BE1184" i="1" s="1"/>
  <c r="AX1184" i="1"/>
  <c r="M1184" i="1"/>
  <c r="EM1183" i="1"/>
  <c r="EL1183" i="1"/>
  <c r="EK1183" i="1"/>
  <c r="DU1183" i="1"/>
  <c r="DT1183" i="1"/>
  <c r="DN1183" i="1"/>
  <c r="DM1183" i="1"/>
  <c r="DL1183" i="1"/>
  <c r="DK1183" i="1"/>
  <c r="DI1183" i="1"/>
  <c r="DJ1183" i="1" s="1"/>
  <c r="DC1183" i="1"/>
  <c r="CX1183" i="1"/>
  <c r="CN1183" i="1"/>
  <c r="CT1183" i="1" s="1"/>
  <c r="CU1183" i="1" s="1"/>
  <c r="BY1183" i="1"/>
  <c r="EP1183" i="1" s="1"/>
  <c r="BV1183" i="1"/>
  <c r="BD1183" i="1"/>
  <c r="BC1183" i="1"/>
  <c r="BB1183" i="1"/>
  <c r="BA1183" i="1"/>
  <c r="AZ1183" i="1"/>
  <c r="AY1183" i="1"/>
  <c r="AX1183" i="1"/>
  <c r="M1183" i="1"/>
  <c r="EM1182" i="1"/>
  <c r="EL1182" i="1"/>
  <c r="EK1182" i="1"/>
  <c r="DU1182" i="1"/>
  <c r="DT1182" i="1"/>
  <c r="DN1182" i="1"/>
  <c r="DM1182" i="1"/>
  <c r="DL1182" i="1"/>
  <c r="DK1182" i="1"/>
  <c r="DI1182" i="1"/>
  <c r="DJ1182" i="1" s="1"/>
  <c r="DC1182" i="1"/>
  <c r="CX1182" i="1"/>
  <c r="CN1182" i="1"/>
  <c r="CT1182" i="1" s="1"/>
  <c r="CU1182" i="1" s="1"/>
  <c r="BY1182" i="1"/>
  <c r="EP1182" i="1" s="1"/>
  <c r="BV1182" i="1"/>
  <c r="BD1182" i="1"/>
  <c r="BC1182" i="1"/>
  <c r="BB1182" i="1"/>
  <c r="BA1182" i="1"/>
  <c r="AZ1182" i="1"/>
  <c r="AY1182" i="1"/>
  <c r="AX1182" i="1"/>
  <c r="M1182" i="1"/>
  <c r="EM1181" i="1"/>
  <c r="EL1181" i="1"/>
  <c r="EK1181" i="1"/>
  <c r="DT1181" i="1"/>
  <c r="DN1181" i="1"/>
  <c r="DM1181" i="1"/>
  <c r="DL1181" i="1"/>
  <c r="DK1181" i="1"/>
  <c r="DJ1181" i="1"/>
  <c r="DC1181" i="1"/>
  <c r="CX1181" i="1"/>
  <c r="CN1181" i="1"/>
  <c r="CT1181" i="1" s="1"/>
  <c r="CU1181" i="1" s="1"/>
  <c r="BY1181" i="1"/>
  <c r="EP1181" i="1" s="1"/>
  <c r="BV1181" i="1"/>
  <c r="BD1181" i="1"/>
  <c r="BC1181" i="1"/>
  <c r="BB1181" i="1"/>
  <c r="BA1181" i="1"/>
  <c r="AZ1181" i="1"/>
  <c r="AY1181" i="1"/>
  <c r="AX1181" i="1"/>
  <c r="M1181" i="1"/>
  <c r="EM1180" i="1"/>
  <c r="EL1180" i="1"/>
  <c r="EK1180" i="1"/>
  <c r="DT1180" i="1"/>
  <c r="DN1180" i="1"/>
  <c r="DM1180" i="1"/>
  <c r="DL1180" i="1"/>
  <c r="DK1180" i="1"/>
  <c r="DJ1180" i="1"/>
  <c r="DC1180" i="1"/>
  <c r="CX1180" i="1"/>
  <c r="CN1180" i="1"/>
  <c r="CS1180" i="1" s="1"/>
  <c r="BY1180" i="1"/>
  <c r="EP1180" i="1" s="1"/>
  <c r="BV1180" i="1"/>
  <c r="BD1180" i="1"/>
  <c r="BC1180" i="1"/>
  <c r="BB1180" i="1"/>
  <c r="BA1180" i="1"/>
  <c r="AZ1180" i="1"/>
  <c r="AY1180" i="1"/>
  <c r="AX1180" i="1"/>
  <c r="M1180" i="1"/>
  <c r="EM1179" i="1"/>
  <c r="EL1179" i="1"/>
  <c r="EK1179" i="1"/>
  <c r="DU1179" i="1"/>
  <c r="DT1179" i="1"/>
  <c r="DN1179" i="1"/>
  <c r="DM1179" i="1"/>
  <c r="DL1179" i="1"/>
  <c r="DK1179" i="1"/>
  <c r="DI1179" i="1"/>
  <c r="DJ1179" i="1" s="1"/>
  <c r="DC1179" i="1"/>
  <c r="CX1179" i="1"/>
  <c r="CN1179" i="1"/>
  <c r="BY1179" i="1"/>
  <c r="EP1179" i="1" s="1"/>
  <c r="BV1179" i="1"/>
  <c r="BD1179" i="1"/>
  <c r="BC1179" i="1"/>
  <c r="BB1179" i="1"/>
  <c r="BA1179" i="1"/>
  <c r="AZ1179" i="1"/>
  <c r="AY1179" i="1"/>
  <c r="AX1179" i="1"/>
  <c r="M1179" i="1"/>
  <c r="EM1178" i="1"/>
  <c r="EL1178" i="1"/>
  <c r="EK1178" i="1"/>
  <c r="DU1178" i="1"/>
  <c r="DT1178" i="1"/>
  <c r="DN1178" i="1"/>
  <c r="DM1178" i="1"/>
  <c r="DL1178" i="1"/>
  <c r="DK1178" i="1"/>
  <c r="DI1178" i="1"/>
  <c r="DJ1178" i="1" s="1"/>
  <c r="DC1178" i="1"/>
  <c r="CX1178" i="1"/>
  <c r="CN1178" i="1"/>
  <c r="CR1178" i="1" s="1"/>
  <c r="BY1178" i="1"/>
  <c r="EP1178" i="1" s="1"/>
  <c r="BV1178" i="1"/>
  <c r="BD1178" i="1"/>
  <c r="BC1178" i="1"/>
  <c r="BB1178" i="1"/>
  <c r="BA1178" i="1"/>
  <c r="AZ1178" i="1"/>
  <c r="AY1178" i="1"/>
  <c r="AX1178" i="1"/>
  <c r="M1178" i="1"/>
  <c r="EM1177" i="1"/>
  <c r="EL1177" i="1"/>
  <c r="EK1177" i="1"/>
  <c r="DU1177" i="1"/>
  <c r="DT1177" i="1"/>
  <c r="DN1177" i="1"/>
  <c r="DM1177" i="1"/>
  <c r="DL1177" i="1"/>
  <c r="DK1177" i="1"/>
  <c r="DI1177" i="1"/>
  <c r="DJ1177" i="1" s="1"/>
  <c r="DC1177" i="1"/>
  <c r="CX1177" i="1"/>
  <c r="CN1177" i="1"/>
  <c r="CT1177" i="1" s="1"/>
  <c r="CU1177" i="1" s="1"/>
  <c r="BY1177" i="1"/>
  <c r="EP1177" i="1" s="1"/>
  <c r="BV1177" i="1"/>
  <c r="BD1177" i="1"/>
  <c r="BC1177" i="1"/>
  <c r="BB1177" i="1"/>
  <c r="BA1177" i="1"/>
  <c r="AZ1177" i="1"/>
  <c r="AY1177" i="1"/>
  <c r="AX1177" i="1"/>
  <c r="M1177" i="1"/>
  <c r="EM1176" i="1"/>
  <c r="EL1176" i="1"/>
  <c r="EK1176" i="1"/>
  <c r="DU1176" i="1"/>
  <c r="DT1176" i="1"/>
  <c r="DN1176" i="1"/>
  <c r="DM1176" i="1"/>
  <c r="DL1176" i="1"/>
  <c r="DK1176" i="1"/>
  <c r="DI1176" i="1"/>
  <c r="DJ1176" i="1" s="1"/>
  <c r="DC1176" i="1"/>
  <c r="CX1176" i="1"/>
  <c r="CN1176" i="1"/>
  <c r="CR1176" i="1" s="1"/>
  <c r="BY1176" i="1"/>
  <c r="EP1176" i="1" s="1"/>
  <c r="BV1176" i="1"/>
  <c r="BD1176" i="1"/>
  <c r="BC1176" i="1"/>
  <c r="BB1176" i="1"/>
  <c r="BA1176" i="1"/>
  <c r="AZ1176" i="1"/>
  <c r="AY1176" i="1"/>
  <c r="AX1176" i="1"/>
  <c r="M1176" i="1"/>
  <c r="EM1175" i="1"/>
  <c r="EL1175" i="1"/>
  <c r="EK1175" i="1"/>
  <c r="DU1175" i="1"/>
  <c r="DT1175" i="1"/>
  <c r="DN1175" i="1"/>
  <c r="DM1175" i="1"/>
  <c r="DL1175" i="1"/>
  <c r="DK1175" i="1"/>
  <c r="DI1175" i="1"/>
  <c r="DJ1175" i="1" s="1"/>
  <c r="DC1175" i="1"/>
  <c r="CX1175" i="1"/>
  <c r="CN1175" i="1"/>
  <c r="CS1175" i="1" s="1"/>
  <c r="BY1175" i="1"/>
  <c r="EP1175" i="1" s="1"/>
  <c r="BV1175" i="1"/>
  <c r="BD1175" i="1"/>
  <c r="BC1175" i="1"/>
  <c r="BB1175" i="1"/>
  <c r="BA1175" i="1"/>
  <c r="AZ1175" i="1"/>
  <c r="AY1175" i="1"/>
  <c r="AX1175" i="1"/>
  <c r="M1175" i="1"/>
  <c r="EM1174" i="1"/>
  <c r="EL1174" i="1"/>
  <c r="EK1174" i="1"/>
  <c r="DU1174" i="1"/>
  <c r="DT1174" i="1"/>
  <c r="DN1174" i="1"/>
  <c r="DM1174" i="1"/>
  <c r="DL1174" i="1"/>
  <c r="DK1174" i="1"/>
  <c r="DI1174" i="1"/>
  <c r="DJ1174" i="1" s="1"/>
  <c r="DC1174" i="1"/>
  <c r="CX1174" i="1"/>
  <c r="CN1174" i="1"/>
  <c r="CT1174" i="1" s="1"/>
  <c r="CU1174" i="1" s="1"/>
  <c r="BY1174" i="1"/>
  <c r="EP1174" i="1" s="1"/>
  <c r="BV1174" i="1"/>
  <c r="BD1174" i="1"/>
  <c r="BC1174" i="1"/>
  <c r="BB1174" i="1"/>
  <c r="BA1174" i="1"/>
  <c r="AZ1174" i="1"/>
  <c r="AY1174" i="1"/>
  <c r="AX1174" i="1"/>
  <c r="M1174" i="1"/>
  <c r="EM1173" i="1"/>
  <c r="EL1173" i="1"/>
  <c r="EK1173" i="1"/>
  <c r="DU1173" i="1"/>
  <c r="DT1173" i="1"/>
  <c r="DN1173" i="1"/>
  <c r="DM1173" i="1"/>
  <c r="DL1173" i="1"/>
  <c r="DK1173" i="1"/>
  <c r="DI1173" i="1"/>
  <c r="DJ1173" i="1" s="1"/>
  <c r="DC1173" i="1"/>
  <c r="CX1173" i="1"/>
  <c r="CN1173" i="1"/>
  <c r="CS1173" i="1" s="1"/>
  <c r="BY1173" i="1"/>
  <c r="EP1173" i="1" s="1"/>
  <c r="BV1173" i="1"/>
  <c r="BM1173" i="1"/>
  <c r="BD1173" i="1"/>
  <c r="BC1173" i="1"/>
  <c r="BB1173" i="1"/>
  <c r="BA1173" i="1"/>
  <c r="AZ1173" i="1"/>
  <c r="AY1173" i="1"/>
  <c r="AX1173" i="1"/>
  <c r="M1173" i="1"/>
  <c r="EM1172" i="1"/>
  <c r="EL1172" i="1"/>
  <c r="EK1172" i="1"/>
  <c r="DU1172" i="1"/>
  <c r="DT1172" i="1"/>
  <c r="DN1172" i="1"/>
  <c r="DM1172" i="1"/>
  <c r="DL1172" i="1"/>
  <c r="DK1172" i="1"/>
  <c r="DI1172" i="1"/>
  <c r="DJ1172" i="1" s="1"/>
  <c r="DC1172" i="1"/>
  <c r="CX1172" i="1"/>
  <c r="CN1172" i="1"/>
  <c r="BY1172" i="1"/>
  <c r="EP1172" i="1" s="1"/>
  <c r="BV1172" i="1"/>
  <c r="BM1172" i="1"/>
  <c r="BD1172" i="1"/>
  <c r="BC1172" i="1"/>
  <c r="BB1172" i="1"/>
  <c r="BA1172" i="1"/>
  <c r="AZ1172" i="1"/>
  <c r="AY1172" i="1"/>
  <c r="AX1172" i="1"/>
  <c r="M1172" i="1"/>
  <c r="EM1171" i="1"/>
  <c r="EL1171" i="1"/>
  <c r="EK1171" i="1"/>
  <c r="DU1171" i="1"/>
  <c r="DT1171" i="1"/>
  <c r="DN1171" i="1"/>
  <c r="DM1171" i="1"/>
  <c r="DL1171" i="1"/>
  <c r="DK1171" i="1"/>
  <c r="DI1171" i="1"/>
  <c r="DJ1171" i="1" s="1"/>
  <c r="DC1171" i="1"/>
  <c r="CX1171" i="1"/>
  <c r="CN1171" i="1"/>
  <c r="CR1171" i="1" s="1"/>
  <c r="BY1171" i="1"/>
  <c r="EP1171" i="1" s="1"/>
  <c r="BV1171" i="1"/>
  <c r="BM1171" i="1"/>
  <c r="BD1171" i="1"/>
  <c r="BC1171" i="1"/>
  <c r="BB1171" i="1"/>
  <c r="BA1171" i="1"/>
  <c r="AZ1171" i="1"/>
  <c r="AY1171" i="1"/>
  <c r="AX1171" i="1"/>
  <c r="M1171" i="1"/>
  <c r="EM1170" i="1"/>
  <c r="EL1170" i="1"/>
  <c r="EK1170" i="1"/>
  <c r="DU1170" i="1"/>
  <c r="DT1170" i="1"/>
  <c r="DN1170" i="1"/>
  <c r="DM1170" i="1"/>
  <c r="DL1170" i="1"/>
  <c r="DK1170" i="1"/>
  <c r="DI1170" i="1"/>
  <c r="DJ1170" i="1" s="1"/>
  <c r="DC1170" i="1"/>
  <c r="CX1170" i="1"/>
  <c r="CN1170" i="1"/>
  <c r="CT1170" i="1" s="1"/>
  <c r="CU1170" i="1" s="1"/>
  <c r="BY1170" i="1"/>
  <c r="EP1170" i="1" s="1"/>
  <c r="BV1170" i="1"/>
  <c r="BM1170" i="1"/>
  <c r="BD1170" i="1"/>
  <c r="BC1170" i="1"/>
  <c r="BB1170" i="1"/>
  <c r="BA1170" i="1"/>
  <c r="AZ1170" i="1"/>
  <c r="AY1170" i="1"/>
  <c r="AX1170" i="1"/>
  <c r="M1170" i="1"/>
  <c r="EM1169" i="1"/>
  <c r="EL1169" i="1"/>
  <c r="EK1169" i="1"/>
  <c r="DU1169" i="1"/>
  <c r="DT1169" i="1"/>
  <c r="DN1169" i="1"/>
  <c r="DM1169" i="1"/>
  <c r="DL1169" i="1"/>
  <c r="DK1169" i="1"/>
  <c r="DI1169" i="1"/>
  <c r="DJ1169" i="1" s="1"/>
  <c r="DC1169" i="1"/>
  <c r="CX1169" i="1"/>
  <c r="CN1169" i="1"/>
  <c r="CS1169" i="1" s="1"/>
  <c r="BY1169" i="1"/>
  <c r="EP1169" i="1" s="1"/>
  <c r="BV1169" i="1"/>
  <c r="BD1169" i="1"/>
  <c r="BC1169" i="1"/>
  <c r="BB1169" i="1"/>
  <c r="BA1169" i="1"/>
  <c r="AZ1169" i="1"/>
  <c r="AY1169" i="1"/>
  <c r="BE1169" i="1" s="1" a="1"/>
  <c r="BE1169" i="1" s="1"/>
  <c r="AX1169" i="1"/>
  <c r="M1169" i="1"/>
  <c r="EM1168" i="1"/>
  <c r="EL1168" i="1"/>
  <c r="EK1168" i="1"/>
  <c r="DU1168" i="1"/>
  <c r="DT1168" i="1"/>
  <c r="DN1168" i="1"/>
  <c r="DM1168" i="1"/>
  <c r="DL1168" i="1"/>
  <c r="DK1168" i="1"/>
  <c r="DI1168" i="1"/>
  <c r="DJ1168" i="1" s="1"/>
  <c r="DC1168" i="1"/>
  <c r="CX1168" i="1"/>
  <c r="CN1168" i="1"/>
  <c r="CT1168" i="1" s="1"/>
  <c r="CU1168" i="1" s="1"/>
  <c r="BY1168" i="1"/>
  <c r="EP1168" i="1" s="1"/>
  <c r="BV1168" i="1"/>
  <c r="BM1168" i="1"/>
  <c r="BD1168" i="1"/>
  <c r="BC1168" i="1"/>
  <c r="BB1168" i="1"/>
  <c r="BA1168" i="1"/>
  <c r="AZ1168" i="1"/>
  <c r="AY1168" i="1"/>
  <c r="BE1168" i="1" s="1" a="1"/>
  <c r="BE1168" i="1" s="1"/>
  <c r="AX1168" i="1"/>
  <c r="M1168" i="1"/>
  <c r="EM1127" i="1"/>
  <c r="EL1127" i="1"/>
  <c r="EK1127" i="1"/>
  <c r="DU1127" i="1"/>
  <c r="DT1127" i="1"/>
  <c r="DN1127" i="1"/>
  <c r="DM1127" i="1"/>
  <c r="DL1127" i="1"/>
  <c r="DK1127" i="1"/>
  <c r="DI1127" i="1"/>
  <c r="DJ1127" i="1" s="1"/>
  <c r="DC1127" i="1"/>
  <c r="CX1127" i="1"/>
  <c r="CN1127" i="1"/>
  <c r="CR1127" i="1" s="1"/>
  <c r="BY1127" i="1"/>
  <c r="EP1127" i="1" s="1"/>
  <c r="BV1127" i="1"/>
  <c r="BD1127" i="1"/>
  <c r="BC1127" i="1"/>
  <c r="BB1127" i="1"/>
  <c r="BA1127" i="1"/>
  <c r="AZ1127" i="1"/>
  <c r="AY1127" i="1"/>
  <c r="BE1127" i="1" s="1" a="1"/>
  <c r="BE1127" i="1" s="1"/>
  <c r="AX1127" i="1"/>
  <c r="M1127" i="1"/>
  <c r="EM1126" i="1"/>
  <c r="EL1126" i="1"/>
  <c r="EK1126" i="1"/>
  <c r="DU1126" i="1"/>
  <c r="DT1126" i="1"/>
  <c r="DN1126" i="1"/>
  <c r="DM1126" i="1"/>
  <c r="DL1126" i="1"/>
  <c r="DK1126" i="1"/>
  <c r="DI1126" i="1"/>
  <c r="DJ1126" i="1" s="1"/>
  <c r="DC1126" i="1"/>
  <c r="CX1126" i="1"/>
  <c r="CN1126" i="1"/>
  <c r="BY1126" i="1"/>
  <c r="EP1126" i="1" s="1"/>
  <c r="BV1126" i="1"/>
  <c r="BD1126" i="1"/>
  <c r="BC1126" i="1"/>
  <c r="BB1126" i="1"/>
  <c r="BA1126" i="1"/>
  <c r="AZ1126" i="1"/>
  <c r="AY1126" i="1"/>
  <c r="BE1126" i="1" s="1" a="1"/>
  <c r="BE1126" i="1" s="1"/>
  <c r="AX1126" i="1"/>
  <c r="M1126" i="1"/>
  <c r="EM1125" i="1"/>
  <c r="EL1125" i="1"/>
  <c r="EK1125" i="1"/>
  <c r="DU1125" i="1"/>
  <c r="DT1125" i="1"/>
  <c r="DN1125" i="1"/>
  <c r="DM1125" i="1"/>
  <c r="DL1125" i="1"/>
  <c r="DK1125" i="1"/>
  <c r="DI1125" i="1"/>
  <c r="DJ1125" i="1" s="1"/>
  <c r="DC1125" i="1"/>
  <c r="CX1125" i="1"/>
  <c r="CN1125" i="1"/>
  <c r="CT1125" i="1" s="1"/>
  <c r="CU1125" i="1" s="1"/>
  <c r="BY1125" i="1"/>
  <c r="EP1125" i="1" s="1"/>
  <c r="BV1125" i="1"/>
  <c r="BD1125" i="1"/>
  <c r="BC1125" i="1"/>
  <c r="BB1125" i="1"/>
  <c r="BA1125" i="1"/>
  <c r="AZ1125" i="1"/>
  <c r="AY1125" i="1"/>
  <c r="BE1125" i="1" s="1" a="1"/>
  <c r="BE1125" i="1" s="1"/>
  <c r="AX1125" i="1"/>
  <c r="M1125" i="1"/>
  <c r="EM1124" i="1"/>
  <c r="EL1124" i="1"/>
  <c r="EK1124" i="1"/>
  <c r="DU1124" i="1"/>
  <c r="DT1124" i="1"/>
  <c r="DN1124" i="1"/>
  <c r="DM1124" i="1"/>
  <c r="DL1124" i="1"/>
  <c r="DK1124" i="1"/>
  <c r="DI1124" i="1"/>
  <c r="DJ1124" i="1" s="1"/>
  <c r="DC1124" i="1"/>
  <c r="CX1124" i="1"/>
  <c r="CN1124" i="1"/>
  <c r="BY1124" i="1"/>
  <c r="EP1124" i="1" s="1"/>
  <c r="BV1124" i="1"/>
  <c r="BD1124" i="1"/>
  <c r="BC1124" i="1"/>
  <c r="BB1124" i="1"/>
  <c r="BA1124" i="1"/>
  <c r="AZ1124" i="1"/>
  <c r="AY1124" i="1"/>
  <c r="BE1124" i="1" s="1" a="1"/>
  <c r="BE1124" i="1" s="1"/>
  <c r="AX1124" i="1"/>
  <c r="M1124" i="1"/>
  <c r="EM1123" i="1"/>
  <c r="EL1123" i="1"/>
  <c r="EK1123" i="1"/>
  <c r="DU1123" i="1"/>
  <c r="DT1123" i="1"/>
  <c r="DN1123" i="1"/>
  <c r="DM1123" i="1"/>
  <c r="DL1123" i="1"/>
  <c r="DK1123" i="1"/>
  <c r="DI1123" i="1"/>
  <c r="DJ1123" i="1" s="1"/>
  <c r="DC1123" i="1"/>
  <c r="CX1123" i="1"/>
  <c r="CN1123" i="1"/>
  <c r="CR1123" i="1" s="1"/>
  <c r="BY1123" i="1"/>
  <c r="EP1123" i="1" s="1"/>
  <c r="BV1123" i="1"/>
  <c r="BD1123" i="1"/>
  <c r="BC1123" i="1"/>
  <c r="BB1123" i="1"/>
  <c r="BA1123" i="1"/>
  <c r="AZ1123" i="1"/>
  <c r="AY1123" i="1"/>
  <c r="BE1123" i="1" s="1" a="1"/>
  <c r="BE1123" i="1" s="1"/>
  <c r="AX1123" i="1"/>
  <c r="M1123" i="1"/>
  <c r="EM1122" i="1"/>
  <c r="EL1122" i="1"/>
  <c r="EK1122" i="1"/>
  <c r="DU1122" i="1"/>
  <c r="DT1122" i="1"/>
  <c r="DN1122" i="1"/>
  <c r="DM1122" i="1"/>
  <c r="DL1122" i="1"/>
  <c r="DK1122" i="1"/>
  <c r="DI1122" i="1"/>
  <c r="DJ1122" i="1" s="1"/>
  <c r="DC1122" i="1"/>
  <c r="CX1122" i="1"/>
  <c r="CN1122" i="1"/>
  <c r="BY1122" i="1"/>
  <c r="EP1122" i="1" s="1"/>
  <c r="BV1122" i="1"/>
  <c r="BD1122" i="1"/>
  <c r="BC1122" i="1"/>
  <c r="BB1122" i="1"/>
  <c r="BA1122" i="1"/>
  <c r="AZ1122" i="1"/>
  <c r="AY1122" i="1"/>
  <c r="BE1122" i="1" s="1" a="1"/>
  <c r="BE1122" i="1" s="1"/>
  <c r="AX1122" i="1"/>
  <c r="M1122" i="1"/>
  <c r="EM1121" i="1"/>
  <c r="EL1121" i="1"/>
  <c r="EK1121" i="1"/>
  <c r="DU1121" i="1"/>
  <c r="DT1121" i="1"/>
  <c r="DN1121" i="1"/>
  <c r="DM1121" i="1"/>
  <c r="DL1121" i="1"/>
  <c r="DK1121" i="1"/>
  <c r="DI1121" i="1"/>
  <c r="DJ1121" i="1" s="1"/>
  <c r="DC1121" i="1"/>
  <c r="CX1121" i="1"/>
  <c r="CN1121" i="1"/>
  <c r="CS1121" i="1" s="1"/>
  <c r="BY1121" i="1"/>
  <c r="EP1121" i="1" s="1"/>
  <c r="BV1121" i="1"/>
  <c r="BD1121" i="1"/>
  <c r="BC1121" i="1"/>
  <c r="BB1121" i="1"/>
  <c r="BA1121" i="1"/>
  <c r="AZ1121" i="1"/>
  <c r="AY1121" i="1"/>
  <c r="BE1121" i="1" s="1" a="1"/>
  <c r="BE1121" i="1" s="1"/>
  <c r="AX1121" i="1"/>
  <c r="M1121" i="1"/>
  <c r="EM1120" i="1"/>
  <c r="EL1120" i="1"/>
  <c r="EK1120" i="1"/>
  <c r="DU1120" i="1"/>
  <c r="DT1120" i="1"/>
  <c r="DN1120" i="1"/>
  <c r="DM1120" i="1"/>
  <c r="DL1120" i="1"/>
  <c r="DK1120" i="1"/>
  <c r="DI1120" i="1"/>
  <c r="DJ1120" i="1" s="1"/>
  <c r="DC1120" i="1"/>
  <c r="CX1120" i="1"/>
  <c r="CN1120" i="1"/>
  <c r="CS1120" i="1" s="1"/>
  <c r="BY1120" i="1"/>
  <c r="EP1120" i="1" s="1"/>
  <c r="BV1120" i="1"/>
  <c r="BD1120" i="1"/>
  <c r="BC1120" i="1"/>
  <c r="BB1120" i="1"/>
  <c r="BA1120" i="1"/>
  <c r="AZ1120" i="1"/>
  <c r="AY1120" i="1"/>
  <c r="BE1120" i="1" s="1" a="1"/>
  <c r="BE1120" i="1" s="1"/>
  <c r="AX1120" i="1"/>
  <c r="M1120" i="1"/>
  <c r="EM1119" i="1"/>
  <c r="EL1119" i="1"/>
  <c r="EK1119" i="1"/>
  <c r="DU1119" i="1"/>
  <c r="DT1119" i="1"/>
  <c r="DN1119" i="1"/>
  <c r="DM1119" i="1"/>
  <c r="DL1119" i="1"/>
  <c r="DK1119" i="1"/>
  <c r="DI1119" i="1"/>
  <c r="DJ1119" i="1" s="1"/>
  <c r="DC1119" i="1"/>
  <c r="CX1119" i="1"/>
  <c r="CN1119" i="1"/>
  <c r="CT1119" i="1" s="1"/>
  <c r="CU1119" i="1" s="1"/>
  <c r="BY1119" i="1"/>
  <c r="EP1119" i="1" s="1"/>
  <c r="BV1119" i="1"/>
  <c r="BD1119" i="1"/>
  <c r="BC1119" i="1"/>
  <c r="BB1119" i="1"/>
  <c r="BA1119" i="1"/>
  <c r="AZ1119" i="1"/>
  <c r="AY1119" i="1"/>
  <c r="BE1119" i="1" s="1" a="1"/>
  <c r="BE1119" i="1" s="1"/>
  <c r="AX1119" i="1"/>
  <c r="M1119" i="1"/>
  <c r="EM1118" i="1"/>
  <c r="EL1118" i="1"/>
  <c r="EK1118" i="1"/>
  <c r="DU1118" i="1"/>
  <c r="DT1118" i="1"/>
  <c r="DN1118" i="1"/>
  <c r="DM1118" i="1"/>
  <c r="DL1118" i="1"/>
  <c r="DK1118" i="1"/>
  <c r="DI1118" i="1"/>
  <c r="DJ1118" i="1" s="1"/>
  <c r="DC1118" i="1"/>
  <c r="CX1118" i="1"/>
  <c r="CN1118" i="1"/>
  <c r="CT1118" i="1" s="1"/>
  <c r="CU1118" i="1" s="1"/>
  <c r="BY1118" i="1"/>
  <c r="EP1118" i="1" s="1"/>
  <c r="BV1118" i="1"/>
  <c r="BD1118" i="1"/>
  <c r="BC1118" i="1"/>
  <c r="BB1118" i="1"/>
  <c r="BA1118" i="1"/>
  <c r="AZ1118" i="1"/>
  <c r="AY1118" i="1"/>
  <c r="BE1118" i="1" s="1" a="1"/>
  <c r="BE1118" i="1" s="1"/>
  <c r="AX1118" i="1"/>
  <c r="M1118" i="1"/>
  <c r="EM1117" i="1"/>
  <c r="EL1117" i="1"/>
  <c r="EK1117" i="1"/>
  <c r="DU1117" i="1"/>
  <c r="DN1117" i="1"/>
  <c r="DM1117" i="1"/>
  <c r="DL1117" i="1"/>
  <c r="DK1117" i="1"/>
  <c r="DI1117" i="1"/>
  <c r="DJ1117" i="1" s="1"/>
  <c r="DC1117" i="1"/>
  <c r="CX1117" i="1"/>
  <c r="CN1117" i="1"/>
  <c r="BV1117" i="1"/>
  <c r="BX1117" i="1" s="1"/>
  <c r="BY1117" i="1" s="1"/>
  <c r="BU1117" i="1"/>
  <c r="BM1117" i="1"/>
  <c r="BD1117" i="1"/>
  <c r="BC1117" i="1"/>
  <c r="BB1117" i="1"/>
  <c r="BA1117" i="1"/>
  <c r="AZ1117" i="1"/>
  <c r="AY1117" i="1"/>
  <c r="BE1117" i="1" s="1" a="1"/>
  <c r="BE1117" i="1" s="1"/>
  <c r="AX1117" i="1"/>
  <c r="M1117" i="1"/>
  <c r="EM1116" i="1"/>
  <c r="EL1116" i="1"/>
  <c r="EK1116" i="1"/>
  <c r="DU1116" i="1"/>
  <c r="DN1116" i="1"/>
  <c r="DM1116" i="1"/>
  <c r="DL1116" i="1"/>
  <c r="DK1116" i="1"/>
  <c r="DI1116" i="1"/>
  <c r="DJ1116" i="1" s="1"/>
  <c r="DC1116" i="1"/>
  <c r="CX1116" i="1"/>
  <c r="CN1116" i="1"/>
  <c r="CS1116" i="1" s="1"/>
  <c r="BV1116" i="1"/>
  <c r="BX1116" i="1" s="1"/>
  <c r="BU1116" i="1"/>
  <c r="BM1116" i="1"/>
  <c r="BD1116" i="1"/>
  <c r="BC1116" i="1"/>
  <c r="BB1116" i="1"/>
  <c r="BA1116" i="1"/>
  <c r="AZ1116" i="1"/>
  <c r="AY1116" i="1"/>
  <c r="BE1116" i="1" s="1" a="1"/>
  <c r="BE1116" i="1" s="1"/>
  <c r="AX1116" i="1"/>
  <c r="M1116" i="1"/>
  <c r="EM1115" i="1"/>
  <c r="EL1115" i="1"/>
  <c r="EK1115" i="1"/>
  <c r="DU1115" i="1"/>
  <c r="DN1115" i="1"/>
  <c r="DM1115" i="1"/>
  <c r="DL1115" i="1"/>
  <c r="DK1115" i="1"/>
  <c r="DI1115" i="1"/>
  <c r="DJ1115" i="1" s="1"/>
  <c r="DC1115" i="1"/>
  <c r="CX1115" i="1"/>
  <c r="CN1115" i="1"/>
  <c r="BV1115" i="1"/>
  <c r="BX1115" i="1" s="1"/>
  <c r="BU1115" i="1"/>
  <c r="BM1115" i="1"/>
  <c r="BD1115" i="1"/>
  <c r="BC1115" i="1"/>
  <c r="BB1115" i="1"/>
  <c r="BA1115" i="1"/>
  <c r="AZ1115" i="1"/>
  <c r="AY1115" i="1"/>
  <c r="BE1115" i="1" s="1" a="1"/>
  <c r="BE1115" i="1" s="1"/>
  <c r="AX1115" i="1"/>
  <c r="M1115" i="1"/>
  <c r="EM1114" i="1"/>
  <c r="EL1114" i="1"/>
  <c r="EK1114" i="1"/>
  <c r="DU1114" i="1"/>
  <c r="DN1114" i="1"/>
  <c r="DM1114" i="1"/>
  <c r="DL1114" i="1"/>
  <c r="DK1114" i="1"/>
  <c r="DI1114" i="1"/>
  <c r="DJ1114" i="1" s="1"/>
  <c r="DC1114" i="1"/>
  <c r="CX1114" i="1"/>
  <c r="CN1114" i="1"/>
  <c r="CR1114" i="1" s="1"/>
  <c r="CV1114" i="1" s="1"/>
  <c r="BV1114" i="1"/>
  <c r="BX1114" i="1" s="1"/>
  <c r="BY1114" i="1" s="1"/>
  <c r="BU1114" i="1"/>
  <c r="BM1114" i="1"/>
  <c r="BD1114" i="1"/>
  <c r="BC1114" i="1"/>
  <c r="BB1114" i="1"/>
  <c r="BA1114" i="1"/>
  <c r="AZ1114" i="1"/>
  <c r="AY1114" i="1"/>
  <c r="BE1114" i="1" s="1" a="1"/>
  <c r="BE1114" i="1" s="1"/>
  <c r="AX1114" i="1"/>
  <c r="M1114" i="1"/>
  <c r="EM1113" i="1"/>
  <c r="EL1113" i="1"/>
  <c r="EK1113" i="1"/>
  <c r="DU1113" i="1"/>
  <c r="DN1113" i="1"/>
  <c r="DM1113" i="1"/>
  <c r="DL1113" i="1"/>
  <c r="DK1113" i="1"/>
  <c r="DI1113" i="1"/>
  <c r="DJ1113" i="1" s="1"/>
  <c r="DC1113" i="1"/>
  <c r="CX1113" i="1"/>
  <c r="CN1113" i="1"/>
  <c r="CS1113" i="1" s="1"/>
  <c r="BV1113" i="1"/>
  <c r="BX1113" i="1" s="1"/>
  <c r="BY1113" i="1" s="1"/>
  <c r="BU1113" i="1"/>
  <c r="BM1113" i="1"/>
  <c r="BD1113" i="1"/>
  <c r="BC1113" i="1"/>
  <c r="BB1113" i="1"/>
  <c r="BA1113" i="1"/>
  <c r="AZ1113" i="1"/>
  <c r="AY1113" i="1"/>
  <c r="BE1113" i="1" s="1" a="1"/>
  <c r="BE1113" i="1" s="1"/>
  <c r="AX1113" i="1"/>
  <c r="M1113" i="1"/>
  <c r="EM1112" i="1"/>
  <c r="EL1112" i="1"/>
  <c r="EK1112" i="1"/>
  <c r="DU1112" i="1"/>
  <c r="DN1112" i="1"/>
  <c r="DM1112" i="1"/>
  <c r="DL1112" i="1"/>
  <c r="DK1112" i="1"/>
  <c r="DI1112" i="1"/>
  <c r="DJ1112" i="1" s="1"/>
  <c r="DC1112" i="1"/>
  <c r="CX1112" i="1"/>
  <c r="CN1112" i="1"/>
  <c r="BV1112" i="1"/>
  <c r="BX1112" i="1" s="1"/>
  <c r="BY1112" i="1" s="1"/>
  <c r="BU1112" i="1"/>
  <c r="BM1112" i="1"/>
  <c r="BD1112" i="1"/>
  <c r="BC1112" i="1"/>
  <c r="BB1112" i="1"/>
  <c r="BA1112" i="1"/>
  <c r="AZ1112" i="1"/>
  <c r="AY1112" i="1"/>
  <c r="BE1112" i="1" s="1" a="1"/>
  <c r="BE1112" i="1" s="1"/>
  <c r="AX1112" i="1"/>
  <c r="M1112" i="1"/>
  <c r="EM1111" i="1"/>
  <c r="EL1111" i="1"/>
  <c r="EK1111" i="1"/>
  <c r="DU1111" i="1"/>
  <c r="DN1111" i="1"/>
  <c r="DM1111" i="1"/>
  <c r="DL1111" i="1"/>
  <c r="DK1111" i="1"/>
  <c r="DI1111" i="1"/>
  <c r="DJ1111" i="1" s="1"/>
  <c r="DC1111" i="1"/>
  <c r="CX1111" i="1"/>
  <c r="CN1111" i="1"/>
  <c r="CS1111" i="1" s="1"/>
  <c r="BV1111" i="1"/>
  <c r="BX1111" i="1" s="1"/>
  <c r="BY1111" i="1" s="1"/>
  <c r="BU1111" i="1"/>
  <c r="BM1111" i="1"/>
  <c r="BD1111" i="1"/>
  <c r="BC1111" i="1"/>
  <c r="BB1111" i="1"/>
  <c r="BA1111" i="1"/>
  <c r="AZ1111" i="1"/>
  <c r="AY1111" i="1"/>
  <c r="BE1111" i="1" s="1" a="1"/>
  <c r="BE1111" i="1" s="1"/>
  <c r="AX1111" i="1"/>
  <c r="M1111" i="1"/>
  <c r="EM1110" i="1"/>
  <c r="EL1110" i="1"/>
  <c r="EK1110" i="1"/>
  <c r="DU1110" i="1"/>
  <c r="DN1110" i="1"/>
  <c r="DM1110" i="1"/>
  <c r="DL1110" i="1"/>
  <c r="DK1110" i="1"/>
  <c r="DI1110" i="1"/>
  <c r="DJ1110" i="1" s="1"/>
  <c r="DC1110" i="1"/>
  <c r="CX1110" i="1"/>
  <c r="CN1110" i="1"/>
  <c r="CS1110" i="1" s="1"/>
  <c r="BV1110" i="1"/>
  <c r="BX1110" i="1" s="1"/>
  <c r="BU1110" i="1"/>
  <c r="BM1110" i="1"/>
  <c r="BD1110" i="1"/>
  <c r="BC1110" i="1"/>
  <c r="BB1110" i="1"/>
  <c r="BA1110" i="1"/>
  <c r="AZ1110" i="1"/>
  <c r="AY1110" i="1"/>
  <c r="BE1110" i="1" s="1" a="1"/>
  <c r="BE1110" i="1" s="1"/>
  <c r="AX1110" i="1"/>
  <c r="M1110" i="1"/>
  <c r="EM1109" i="1"/>
  <c r="EL1109" i="1"/>
  <c r="EK1109" i="1"/>
  <c r="DU1109" i="1"/>
  <c r="DN1109" i="1"/>
  <c r="DM1109" i="1"/>
  <c r="DL1109" i="1"/>
  <c r="DK1109" i="1"/>
  <c r="DI1109" i="1"/>
  <c r="DJ1109" i="1" s="1"/>
  <c r="DC1109" i="1"/>
  <c r="CX1109" i="1"/>
  <c r="CN1109" i="1"/>
  <c r="CR1109" i="1" s="1"/>
  <c r="BV1109" i="1"/>
  <c r="BX1109" i="1" s="1"/>
  <c r="BY1109" i="1" s="1"/>
  <c r="BU1109" i="1"/>
  <c r="BM1109" i="1"/>
  <c r="BD1109" i="1"/>
  <c r="BC1109" i="1"/>
  <c r="BB1109" i="1"/>
  <c r="BA1109" i="1"/>
  <c r="AZ1109" i="1"/>
  <c r="AY1109" i="1"/>
  <c r="AX1109" i="1"/>
  <c r="M1109" i="1"/>
  <c r="EM1108" i="1"/>
  <c r="EL1108" i="1"/>
  <c r="EK1108" i="1"/>
  <c r="DU1108" i="1"/>
  <c r="DN1108" i="1"/>
  <c r="DM1108" i="1"/>
  <c r="DL1108" i="1"/>
  <c r="DK1108" i="1"/>
  <c r="DI1108" i="1"/>
  <c r="DJ1108" i="1" s="1"/>
  <c r="DC1108" i="1"/>
  <c r="CX1108" i="1"/>
  <c r="CN1108" i="1"/>
  <c r="CR1108" i="1" s="1"/>
  <c r="CV1108" i="1" s="1"/>
  <c r="BV1108" i="1"/>
  <c r="BX1108" i="1" s="1"/>
  <c r="BU1108" i="1"/>
  <c r="BM1108" i="1"/>
  <c r="BD1108" i="1"/>
  <c r="BC1108" i="1"/>
  <c r="BB1108" i="1"/>
  <c r="BA1108" i="1"/>
  <c r="AZ1108" i="1"/>
  <c r="AY1108" i="1"/>
  <c r="AX1108" i="1"/>
  <c r="M1108" i="1"/>
  <c r="EM1107" i="1"/>
  <c r="EL1107" i="1"/>
  <c r="EK1107" i="1"/>
  <c r="DU1107" i="1"/>
  <c r="DN1107" i="1"/>
  <c r="DM1107" i="1"/>
  <c r="DL1107" i="1"/>
  <c r="DK1107" i="1"/>
  <c r="DI1107" i="1"/>
  <c r="DJ1107" i="1" s="1"/>
  <c r="DC1107" i="1"/>
  <c r="CX1107" i="1"/>
  <c r="CN1107" i="1"/>
  <c r="BV1107" i="1"/>
  <c r="BX1107" i="1" s="1"/>
  <c r="BY1107" i="1" s="1"/>
  <c r="BU1107" i="1"/>
  <c r="BM1107" i="1"/>
  <c r="BD1107" i="1"/>
  <c r="BC1107" i="1"/>
  <c r="BB1107" i="1"/>
  <c r="BA1107" i="1"/>
  <c r="AZ1107" i="1"/>
  <c r="AY1107" i="1"/>
  <c r="AX1107" i="1"/>
  <c r="M1107" i="1"/>
  <c r="EM1106" i="1"/>
  <c r="EL1106" i="1"/>
  <c r="EK1106" i="1"/>
  <c r="DU1106" i="1"/>
  <c r="DN1106" i="1"/>
  <c r="DM1106" i="1"/>
  <c r="DL1106" i="1"/>
  <c r="DK1106" i="1"/>
  <c r="DI1106" i="1"/>
  <c r="DJ1106" i="1" s="1"/>
  <c r="DC1106" i="1"/>
  <c r="CX1106" i="1"/>
  <c r="CN1106" i="1"/>
  <c r="BV1106" i="1"/>
  <c r="BX1106" i="1" s="1"/>
  <c r="BY1106" i="1" s="1"/>
  <c r="BU1106" i="1"/>
  <c r="BM1106" i="1"/>
  <c r="BD1106" i="1"/>
  <c r="BC1106" i="1"/>
  <c r="BB1106" i="1"/>
  <c r="BA1106" i="1"/>
  <c r="AZ1106" i="1"/>
  <c r="AY1106" i="1"/>
  <c r="AX1106" i="1"/>
  <c r="M1106" i="1"/>
  <c r="EM1105" i="1"/>
  <c r="EL1105" i="1"/>
  <c r="EK1105" i="1"/>
  <c r="DU1105" i="1"/>
  <c r="DN1105" i="1"/>
  <c r="DM1105" i="1"/>
  <c r="DL1105" i="1"/>
  <c r="DK1105" i="1"/>
  <c r="DI1105" i="1"/>
  <c r="DJ1105" i="1" s="1"/>
  <c r="DC1105" i="1"/>
  <c r="CX1105" i="1"/>
  <c r="CN1105" i="1"/>
  <c r="BV1105" i="1"/>
  <c r="BX1105" i="1" s="1"/>
  <c r="BY1105" i="1" s="1"/>
  <c r="BU1105" i="1"/>
  <c r="BM1105" i="1"/>
  <c r="BD1105" i="1"/>
  <c r="BC1105" i="1"/>
  <c r="BB1105" i="1"/>
  <c r="BA1105" i="1"/>
  <c r="AZ1105" i="1"/>
  <c r="AY1105" i="1"/>
  <c r="AX1105" i="1"/>
  <c r="M1105" i="1"/>
  <c r="EM1104" i="1"/>
  <c r="EL1104" i="1"/>
  <c r="EK1104" i="1"/>
  <c r="DU1104" i="1"/>
  <c r="DN1104" i="1"/>
  <c r="DM1104" i="1"/>
  <c r="DL1104" i="1"/>
  <c r="DK1104" i="1"/>
  <c r="DI1104" i="1"/>
  <c r="DJ1104" i="1" s="1"/>
  <c r="DC1104" i="1"/>
  <c r="CX1104" i="1"/>
  <c r="CN1104" i="1"/>
  <c r="CS1104" i="1" s="1"/>
  <c r="BV1104" i="1"/>
  <c r="BX1104" i="1" s="1"/>
  <c r="BY1104" i="1" s="1"/>
  <c r="BU1104" i="1"/>
  <c r="BM1104" i="1"/>
  <c r="BD1104" i="1"/>
  <c r="BC1104" i="1"/>
  <c r="BB1104" i="1"/>
  <c r="BA1104" i="1"/>
  <c r="AZ1104" i="1"/>
  <c r="AY1104" i="1"/>
  <c r="AX1104" i="1"/>
  <c r="M1104" i="1"/>
  <c r="EM1103" i="1"/>
  <c r="EL1103" i="1"/>
  <c r="EK1103" i="1"/>
  <c r="DU1103" i="1"/>
  <c r="DN1103" i="1"/>
  <c r="DM1103" i="1"/>
  <c r="DL1103" i="1"/>
  <c r="DK1103" i="1"/>
  <c r="DI1103" i="1"/>
  <c r="DJ1103" i="1" s="1"/>
  <c r="DC1103" i="1"/>
  <c r="CX1103" i="1"/>
  <c r="CN1103" i="1"/>
  <c r="CS1103" i="1" s="1"/>
  <c r="BV1103" i="1"/>
  <c r="BX1103" i="1" s="1"/>
  <c r="BY1103" i="1" s="1"/>
  <c r="BU1103" i="1"/>
  <c r="BM1103" i="1"/>
  <c r="BD1103" i="1"/>
  <c r="BC1103" i="1"/>
  <c r="BB1103" i="1"/>
  <c r="BA1103" i="1"/>
  <c r="AZ1103" i="1"/>
  <c r="AY1103" i="1"/>
  <c r="AX1103" i="1"/>
  <c r="M1103" i="1"/>
  <c r="EM1102" i="1"/>
  <c r="EL1102" i="1"/>
  <c r="EK1102" i="1"/>
  <c r="DU1102" i="1"/>
  <c r="DN1102" i="1"/>
  <c r="DM1102" i="1"/>
  <c r="DL1102" i="1"/>
  <c r="DK1102" i="1"/>
  <c r="DI1102" i="1"/>
  <c r="DJ1102" i="1" s="1"/>
  <c r="DC1102" i="1"/>
  <c r="CX1102" i="1"/>
  <c r="CN1102" i="1"/>
  <c r="CS1102" i="1" s="1"/>
  <c r="BV1102" i="1"/>
  <c r="BX1102" i="1" s="1"/>
  <c r="BY1102" i="1" s="1"/>
  <c r="BU1102" i="1"/>
  <c r="BM1102" i="1"/>
  <c r="BD1102" i="1"/>
  <c r="BC1102" i="1"/>
  <c r="BB1102" i="1"/>
  <c r="BA1102" i="1"/>
  <c r="AZ1102" i="1"/>
  <c r="AY1102" i="1"/>
  <c r="AX1102" i="1"/>
  <c r="M1102" i="1"/>
  <c r="EM1059" i="1"/>
  <c r="EL1059" i="1"/>
  <c r="EK1059" i="1"/>
  <c r="DT1059" i="1"/>
  <c r="DN1059" i="1"/>
  <c r="DM1059" i="1"/>
  <c r="DL1059" i="1"/>
  <c r="DK1059" i="1"/>
  <c r="DJ1059" i="1"/>
  <c r="DC1059" i="1"/>
  <c r="CN1059" i="1"/>
  <c r="CT1059" i="1" s="1"/>
  <c r="BN1059" i="1"/>
  <c r="BO1059" i="1" s="1"/>
  <c r="BY1059" i="1" s="1"/>
  <c r="BD1059" i="1"/>
  <c r="BC1059" i="1"/>
  <c r="BB1059" i="1"/>
  <c r="BA1059" i="1"/>
  <c r="AZ1059" i="1"/>
  <c r="AY1059" i="1"/>
  <c r="AX1059" i="1"/>
  <c r="M1059" i="1"/>
  <c r="EM1058" i="1"/>
  <c r="EL1058" i="1"/>
  <c r="EK1058" i="1"/>
  <c r="DT1058" i="1"/>
  <c r="DN1058" i="1"/>
  <c r="DM1058" i="1"/>
  <c r="DL1058" i="1"/>
  <c r="DK1058" i="1"/>
  <c r="DJ1058" i="1"/>
  <c r="DC1058" i="1"/>
  <c r="CN1058" i="1"/>
  <c r="BN1058" i="1"/>
  <c r="BO1058" i="1" s="1"/>
  <c r="BY1058" i="1" s="1"/>
  <c r="BD1058" i="1"/>
  <c r="BC1058" i="1"/>
  <c r="BB1058" i="1"/>
  <c r="BA1058" i="1"/>
  <c r="AZ1058" i="1"/>
  <c r="AY1058" i="1"/>
  <c r="AX1058" i="1"/>
  <c r="M1058" i="1"/>
  <c r="EM1057" i="1"/>
  <c r="EL1057" i="1"/>
  <c r="EK1057" i="1"/>
  <c r="DT1057" i="1"/>
  <c r="DN1057" i="1"/>
  <c r="DM1057" i="1"/>
  <c r="DL1057" i="1"/>
  <c r="DK1057" i="1"/>
  <c r="DJ1057" i="1"/>
  <c r="DC1057" i="1"/>
  <c r="CN1057" i="1"/>
  <c r="BN1057" i="1"/>
  <c r="BO1057" i="1" s="1"/>
  <c r="BD1057" i="1"/>
  <c r="BC1057" i="1"/>
  <c r="BB1057" i="1"/>
  <c r="BA1057" i="1"/>
  <c r="AZ1057" i="1"/>
  <c r="AY1057" i="1"/>
  <c r="AX1057" i="1"/>
  <c r="M1057" i="1"/>
  <c r="EM1056" i="1"/>
  <c r="EL1056" i="1"/>
  <c r="EK1056" i="1"/>
  <c r="DT1056" i="1"/>
  <c r="DN1056" i="1"/>
  <c r="DM1056" i="1"/>
  <c r="DL1056" i="1"/>
  <c r="DK1056" i="1"/>
  <c r="DJ1056" i="1"/>
  <c r="DC1056" i="1"/>
  <c r="CN1056" i="1"/>
  <c r="CR1056" i="1" s="1"/>
  <c r="BN1056" i="1"/>
  <c r="BO1056" i="1" s="1"/>
  <c r="BY1056" i="1" s="1"/>
  <c r="BD1056" i="1"/>
  <c r="BC1056" i="1"/>
  <c r="BB1056" i="1"/>
  <c r="BA1056" i="1"/>
  <c r="AZ1056" i="1"/>
  <c r="AY1056" i="1"/>
  <c r="AX1056" i="1"/>
  <c r="M1056" i="1"/>
  <c r="EM1055" i="1"/>
  <c r="EL1055" i="1"/>
  <c r="EK1055" i="1"/>
  <c r="DT1055" i="1"/>
  <c r="DN1055" i="1"/>
  <c r="DM1055" i="1"/>
  <c r="DL1055" i="1"/>
  <c r="DK1055" i="1"/>
  <c r="DJ1055" i="1"/>
  <c r="DC1055" i="1"/>
  <c r="CX1055" i="1"/>
  <c r="CN1055" i="1"/>
  <c r="CO1055" i="1" s="1"/>
  <c r="BN1055" i="1"/>
  <c r="BO1055" i="1" s="1"/>
  <c r="BD1055" i="1"/>
  <c r="BC1055" i="1"/>
  <c r="BB1055" i="1"/>
  <c r="BA1055" i="1"/>
  <c r="AZ1055" i="1"/>
  <c r="AY1055" i="1"/>
  <c r="AX1055" i="1"/>
  <c r="M1055" i="1"/>
  <c r="EM1054" i="1"/>
  <c r="EL1054" i="1"/>
  <c r="EK1054" i="1"/>
  <c r="DT1054" i="1"/>
  <c r="DN1054" i="1"/>
  <c r="DM1054" i="1"/>
  <c r="DL1054" i="1"/>
  <c r="DK1054" i="1"/>
  <c r="DJ1054" i="1"/>
  <c r="DC1054" i="1"/>
  <c r="CX1054" i="1"/>
  <c r="CN1054" i="1"/>
  <c r="CP1054" i="1" s="1"/>
  <c r="BN1054" i="1"/>
  <c r="BO1054" i="1" s="1"/>
  <c r="BY1054" i="1" s="1"/>
  <c r="BD1054" i="1"/>
  <c r="BC1054" i="1"/>
  <c r="BB1054" i="1"/>
  <c r="BA1054" i="1"/>
  <c r="AZ1054" i="1"/>
  <c r="AY1054" i="1"/>
  <c r="AX1054" i="1"/>
  <c r="M1054" i="1"/>
  <c r="EM1053" i="1"/>
  <c r="EL1053" i="1"/>
  <c r="EK1053" i="1"/>
  <c r="DT1053" i="1"/>
  <c r="DN1053" i="1"/>
  <c r="DM1053" i="1"/>
  <c r="DL1053" i="1"/>
  <c r="DK1053" i="1"/>
  <c r="DJ1053" i="1"/>
  <c r="DC1053" i="1"/>
  <c r="CX1053" i="1"/>
  <c r="CN1053" i="1"/>
  <c r="CO1053" i="1" s="1"/>
  <c r="BN1053" i="1"/>
  <c r="BO1053" i="1" s="1"/>
  <c r="BD1053" i="1"/>
  <c r="BC1053" i="1"/>
  <c r="BB1053" i="1"/>
  <c r="BA1053" i="1"/>
  <c r="AZ1053" i="1"/>
  <c r="AY1053" i="1"/>
  <c r="BE1053" i="1" s="1" a="1"/>
  <c r="BE1053" i="1" s="1"/>
  <c r="AX1053" i="1"/>
  <c r="M1053" i="1"/>
  <c r="EM1052" i="1"/>
  <c r="EL1052" i="1"/>
  <c r="EK1052" i="1"/>
  <c r="DT1052" i="1"/>
  <c r="DN1052" i="1"/>
  <c r="DM1052" i="1"/>
  <c r="DL1052" i="1"/>
  <c r="DK1052" i="1"/>
  <c r="DJ1052" i="1"/>
  <c r="DC1052" i="1"/>
  <c r="CX1052" i="1"/>
  <c r="CN1052" i="1"/>
  <c r="CR1052" i="1" s="1"/>
  <c r="BN1052" i="1"/>
  <c r="BO1052" i="1" s="1"/>
  <c r="BY1052" i="1" s="1"/>
  <c r="BD1052" i="1"/>
  <c r="BC1052" i="1"/>
  <c r="BB1052" i="1"/>
  <c r="BA1052" i="1"/>
  <c r="AZ1052" i="1"/>
  <c r="AY1052" i="1"/>
  <c r="BE1052" i="1" s="1" a="1"/>
  <c r="BE1052" i="1" s="1"/>
  <c r="AX1052" i="1"/>
  <c r="M1052" i="1"/>
  <c r="EM1048" i="1"/>
  <c r="EL1048" i="1"/>
  <c r="EK1048" i="1"/>
  <c r="DT1048" i="1"/>
  <c r="DN1048" i="1"/>
  <c r="DM1048" i="1"/>
  <c r="DL1048" i="1"/>
  <c r="DK1048" i="1"/>
  <c r="DJ1048" i="1"/>
  <c r="DC1048" i="1"/>
  <c r="CX1048" i="1"/>
  <c r="CN1048" i="1"/>
  <c r="CS1048" i="1" s="1"/>
  <c r="BY1048" i="1"/>
  <c r="BD1048" i="1"/>
  <c r="BC1048" i="1"/>
  <c r="BB1048" i="1"/>
  <c r="BA1048" i="1"/>
  <c r="AZ1048" i="1"/>
  <c r="AY1048" i="1"/>
  <c r="BE1048" i="1" s="1" a="1"/>
  <c r="BE1048" i="1" s="1"/>
  <c r="AX1048" i="1"/>
  <c r="M1048" i="1"/>
  <c r="EM1002" i="1"/>
  <c r="EL1002" i="1"/>
  <c r="EK1002" i="1"/>
  <c r="DU1002" i="1"/>
  <c r="DT1002" i="1"/>
  <c r="DN1002" i="1"/>
  <c r="DM1002" i="1"/>
  <c r="DL1002" i="1"/>
  <c r="DK1002" i="1"/>
  <c r="DI1002" i="1"/>
  <c r="DJ1002" i="1" s="1"/>
  <c r="DB1002" i="1"/>
  <c r="DC1002" i="1" s="1"/>
  <c r="CX1002" i="1"/>
  <c r="CN1002" i="1"/>
  <c r="CS1002" i="1" s="1"/>
  <c r="BX1002" i="1"/>
  <c r="BY1002" i="1" s="1"/>
  <c r="BD1002" i="1"/>
  <c r="BC1002" i="1"/>
  <c r="BB1002" i="1"/>
  <c r="BA1002" i="1"/>
  <c r="AZ1002" i="1"/>
  <c r="AY1002" i="1"/>
  <c r="BE1002" i="1" s="1" a="1"/>
  <c r="BE1002" i="1" s="1"/>
  <c r="AX1002" i="1"/>
  <c r="M1002" i="1"/>
  <c r="EM1001" i="1"/>
  <c r="EL1001" i="1"/>
  <c r="EK1001" i="1"/>
  <c r="DU1001" i="1"/>
  <c r="DT1001" i="1"/>
  <c r="DN1001" i="1"/>
  <c r="DM1001" i="1"/>
  <c r="DL1001" i="1"/>
  <c r="DK1001" i="1"/>
  <c r="DI1001" i="1"/>
  <c r="DJ1001" i="1" s="1"/>
  <c r="DB1001" i="1"/>
  <c r="DC1001" i="1" s="1"/>
  <c r="CX1001" i="1"/>
  <c r="CN1001" i="1"/>
  <c r="CS1001" i="1" s="1"/>
  <c r="BX1001" i="1"/>
  <c r="BY1001" i="1" s="1"/>
  <c r="BD1001" i="1"/>
  <c r="BC1001" i="1"/>
  <c r="BB1001" i="1"/>
  <c r="BA1001" i="1"/>
  <c r="AZ1001" i="1"/>
  <c r="AY1001" i="1"/>
  <c r="BE1001" i="1" s="1" a="1"/>
  <c r="BE1001" i="1" s="1"/>
  <c r="AX1001" i="1"/>
  <c r="M1001" i="1"/>
  <c r="EM996" i="1"/>
  <c r="EL996" i="1"/>
  <c r="EK996" i="1"/>
  <c r="DU996" i="1"/>
  <c r="DT996" i="1"/>
  <c r="DN996" i="1"/>
  <c r="DM996" i="1"/>
  <c r="DL996" i="1"/>
  <c r="DK996" i="1"/>
  <c r="DI996" i="1"/>
  <c r="DJ996" i="1" s="1"/>
  <c r="DB996" i="1"/>
  <c r="DC996" i="1" s="1"/>
  <c r="CX996" i="1"/>
  <c r="CN996" i="1"/>
  <c r="CS996" i="1" s="1"/>
  <c r="BV996" i="1"/>
  <c r="BX996" i="1" s="1"/>
  <c r="BY996" i="1" s="1"/>
  <c r="BU996" i="1"/>
  <c r="BD996" i="1"/>
  <c r="BC996" i="1"/>
  <c r="BB996" i="1"/>
  <c r="BA996" i="1"/>
  <c r="AZ996" i="1"/>
  <c r="AY996" i="1"/>
  <c r="BE996" i="1" s="1" a="1"/>
  <c r="BE996" i="1" s="1"/>
  <c r="AX996" i="1"/>
  <c r="M996" i="1"/>
  <c r="EM995" i="1"/>
  <c r="EL995" i="1"/>
  <c r="EK995" i="1"/>
  <c r="DU995" i="1"/>
  <c r="DT995" i="1"/>
  <c r="DN995" i="1"/>
  <c r="DM995" i="1"/>
  <c r="DL995" i="1"/>
  <c r="DK995" i="1"/>
  <c r="DI995" i="1"/>
  <c r="DJ995" i="1" s="1"/>
  <c r="DB995" i="1"/>
  <c r="DC995" i="1" s="1"/>
  <c r="CX995" i="1"/>
  <c r="CN995" i="1"/>
  <c r="BV995" i="1"/>
  <c r="BX995" i="1" s="1"/>
  <c r="BY995" i="1" s="1"/>
  <c r="BU995" i="1"/>
  <c r="BD995" i="1"/>
  <c r="BC995" i="1"/>
  <c r="BB995" i="1"/>
  <c r="BA995" i="1"/>
  <c r="AZ995" i="1"/>
  <c r="AY995" i="1"/>
  <c r="BE995" i="1" s="1" a="1"/>
  <c r="BE995" i="1" s="1"/>
  <c r="AX995" i="1"/>
  <c r="M995" i="1"/>
  <c r="EM961" i="1"/>
  <c r="EL961" i="1"/>
  <c r="EK961" i="1"/>
  <c r="DU961" i="1"/>
  <c r="DT961" i="1"/>
  <c r="DN961" i="1"/>
  <c r="DM961" i="1"/>
  <c r="DL961" i="1"/>
  <c r="DK961" i="1"/>
  <c r="DI961" i="1"/>
  <c r="DJ961" i="1" s="1"/>
  <c r="DC961" i="1"/>
  <c r="CX961" i="1"/>
  <c r="CN961" i="1"/>
  <c r="BY961" i="1"/>
  <c r="BD961" i="1"/>
  <c r="BC961" i="1"/>
  <c r="BB961" i="1"/>
  <c r="BA961" i="1"/>
  <c r="AZ961" i="1"/>
  <c r="AY961" i="1"/>
  <c r="BE961" i="1" s="1" a="1"/>
  <c r="BE961" i="1" s="1"/>
  <c r="AX961" i="1"/>
  <c r="M961" i="1"/>
  <c r="EM960" i="1"/>
  <c r="EL960" i="1"/>
  <c r="EK960" i="1"/>
  <c r="DU960" i="1"/>
  <c r="DT960" i="1"/>
  <c r="DN960" i="1"/>
  <c r="DM960" i="1"/>
  <c r="DL960" i="1"/>
  <c r="DK960" i="1"/>
  <c r="DI960" i="1"/>
  <c r="DJ960" i="1" s="1"/>
  <c r="DC960" i="1"/>
  <c r="CX960" i="1"/>
  <c r="CN960" i="1"/>
  <c r="CS960" i="1" s="1"/>
  <c r="BY960" i="1"/>
  <c r="BD960" i="1"/>
  <c r="BC960" i="1"/>
  <c r="BB960" i="1"/>
  <c r="BA960" i="1"/>
  <c r="AZ960" i="1"/>
  <c r="AY960" i="1"/>
  <c r="BE960" i="1" s="1" a="1"/>
  <c r="BE960" i="1" s="1"/>
  <c r="AX960" i="1"/>
  <c r="M960" i="1"/>
  <c r="EM959" i="1"/>
  <c r="EL959" i="1"/>
  <c r="EK959" i="1"/>
  <c r="DU959" i="1"/>
  <c r="DT959" i="1"/>
  <c r="DN959" i="1"/>
  <c r="DM959" i="1"/>
  <c r="DL959" i="1"/>
  <c r="DK959" i="1"/>
  <c r="DI959" i="1"/>
  <c r="DJ959" i="1" s="1"/>
  <c r="DC959" i="1"/>
  <c r="CX959" i="1"/>
  <c r="CN959" i="1"/>
  <c r="BY959" i="1"/>
  <c r="BD959" i="1"/>
  <c r="BC959" i="1"/>
  <c r="BB959" i="1"/>
  <c r="BA959" i="1"/>
  <c r="AZ959" i="1"/>
  <c r="AY959" i="1"/>
  <c r="BE959" i="1" s="1" a="1"/>
  <c r="BE959" i="1" s="1"/>
  <c r="AX959" i="1"/>
  <c r="M959" i="1"/>
  <c r="EM958" i="1"/>
  <c r="EL958" i="1"/>
  <c r="EK958" i="1"/>
  <c r="DU958" i="1"/>
  <c r="DT958" i="1"/>
  <c r="DN958" i="1"/>
  <c r="DM958" i="1"/>
  <c r="DL958" i="1"/>
  <c r="DK958" i="1"/>
  <c r="DI958" i="1"/>
  <c r="DJ958" i="1" s="1"/>
  <c r="DC958" i="1"/>
  <c r="CX958" i="1"/>
  <c r="CN958" i="1"/>
  <c r="CT958" i="1" s="1"/>
  <c r="CU958" i="1" s="1"/>
  <c r="BY958" i="1"/>
  <c r="BD958" i="1"/>
  <c r="BC958" i="1"/>
  <c r="BB958" i="1"/>
  <c r="BA958" i="1"/>
  <c r="AZ958" i="1"/>
  <c r="AY958" i="1"/>
  <c r="BE958" i="1" s="1" a="1"/>
  <c r="BE958" i="1" s="1"/>
  <c r="AX958" i="1"/>
  <c r="M958" i="1"/>
  <c r="EM957" i="1"/>
  <c r="EL957" i="1"/>
  <c r="EK957" i="1"/>
  <c r="DU957" i="1"/>
  <c r="DT957" i="1"/>
  <c r="DN957" i="1"/>
  <c r="DM957" i="1"/>
  <c r="DL957" i="1"/>
  <c r="DK957" i="1"/>
  <c r="DI957" i="1"/>
  <c r="DJ957" i="1" s="1"/>
  <c r="DC957" i="1"/>
  <c r="CX957" i="1"/>
  <c r="CN957" i="1"/>
  <c r="CS957" i="1" s="1"/>
  <c r="BY957" i="1"/>
  <c r="BD957" i="1"/>
  <c r="BC957" i="1"/>
  <c r="BB957" i="1"/>
  <c r="BA957" i="1"/>
  <c r="AZ957" i="1"/>
  <c r="AY957" i="1"/>
  <c r="BE957" i="1" s="1" a="1"/>
  <c r="BE957" i="1" s="1"/>
  <c r="AX957" i="1"/>
  <c r="M957" i="1"/>
  <c r="EM956" i="1"/>
  <c r="EL956" i="1"/>
  <c r="EK956" i="1"/>
  <c r="DU956" i="1"/>
  <c r="DT956" i="1"/>
  <c r="DN956" i="1"/>
  <c r="DM956" i="1"/>
  <c r="DL956" i="1"/>
  <c r="DK956" i="1"/>
  <c r="DI956" i="1"/>
  <c r="DJ956" i="1" s="1"/>
  <c r="DC956" i="1"/>
  <c r="CX956" i="1"/>
  <c r="CN956" i="1"/>
  <c r="CR956" i="1" s="1"/>
  <c r="BY956" i="1"/>
  <c r="BD956" i="1"/>
  <c r="BC956" i="1"/>
  <c r="BB956" i="1"/>
  <c r="BA956" i="1"/>
  <c r="AZ956" i="1"/>
  <c r="AY956" i="1"/>
  <c r="BE956" i="1" s="1" a="1"/>
  <c r="BE956" i="1" s="1"/>
  <c r="AX956" i="1"/>
  <c r="M956" i="1"/>
  <c r="EM955" i="1"/>
  <c r="EL955" i="1"/>
  <c r="EK955" i="1"/>
  <c r="DU955" i="1"/>
  <c r="DT955" i="1"/>
  <c r="DN955" i="1"/>
  <c r="DM955" i="1"/>
  <c r="DL955" i="1"/>
  <c r="DK955" i="1"/>
  <c r="DI955" i="1"/>
  <c r="DJ955" i="1" s="1"/>
  <c r="DC955" i="1"/>
  <c r="CX955" i="1"/>
  <c r="CN955" i="1"/>
  <c r="CS955" i="1" s="1"/>
  <c r="BY955" i="1"/>
  <c r="BD955" i="1"/>
  <c r="BC955" i="1"/>
  <c r="BB955" i="1"/>
  <c r="BA955" i="1"/>
  <c r="AZ955" i="1"/>
  <c r="AY955" i="1"/>
  <c r="BE955" i="1" s="1" a="1"/>
  <c r="BE955" i="1" s="1"/>
  <c r="AX955" i="1"/>
  <c r="M955" i="1"/>
  <c r="EM954" i="1"/>
  <c r="EL954" i="1"/>
  <c r="EK954" i="1"/>
  <c r="DU954" i="1"/>
  <c r="DT954" i="1"/>
  <c r="DN954" i="1"/>
  <c r="DM954" i="1"/>
  <c r="DL954" i="1"/>
  <c r="DK954" i="1"/>
  <c r="DI954" i="1"/>
  <c r="DJ954" i="1" s="1"/>
  <c r="DC954" i="1"/>
  <c r="CX954" i="1"/>
  <c r="CN954" i="1"/>
  <c r="CS954" i="1" s="1"/>
  <c r="BY954" i="1"/>
  <c r="BD954" i="1"/>
  <c r="BC954" i="1"/>
  <c r="BB954" i="1"/>
  <c r="BA954" i="1"/>
  <c r="AZ954" i="1"/>
  <c r="AY954" i="1"/>
  <c r="BE954" i="1" s="1" a="1"/>
  <c r="BE954" i="1" s="1"/>
  <c r="AX954" i="1"/>
  <c r="M954" i="1"/>
  <c r="EM925" i="1"/>
  <c r="EL925" i="1"/>
  <c r="EK925" i="1"/>
  <c r="DU925" i="1"/>
  <c r="DT925" i="1"/>
  <c r="DN925" i="1"/>
  <c r="DM925" i="1"/>
  <c r="DL925" i="1"/>
  <c r="DK925" i="1"/>
  <c r="DI925" i="1"/>
  <c r="DJ925" i="1" s="1"/>
  <c r="DC925" i="1"/>
  <c r="CX925" i="1"/>
  <c r="CN925" i="1"/>
  <c r="CS925" i="1" s="1"/>
  <c r="BV925" i="1"/>
  <c r="BX925" i="1" s="1"/>
  <c r="BY925" i="1" s="1"/>
  <c r="BD925" i="1"/>
  <c r="BC925" i="1"/>
  <c r="BB925" i="1"/>
  <c r="BA925" i="1"/>
  <c r="AZ925" i="1"/>
  <c r="AY925" i="1"/>
  <c r="BE925" i="1" s="1" a="1"/>
  <c r="BE925" i="1" s="1"/>
  <c r="AX925" i="1"/>
  <c r="M925" i="1"/>
  <c r="EM924" i="1"/>
  <c r="EL924" i="1"/>
  <c r="EK924" i="1"/>
  <c r="DU924" i="1"/>
  <c r="DT924" i="1"/>
  <c r="DN924" i="1"/>
  <c r="DM924" i="1"/>
  <c r="DL924" i="1"/>
  <c r="DK924" i="1"/>
  <c r="DI924" i="1"/>
  <c r="DJ924" i="1" s="1"/>
  <c r="DC924" i="1"/>
  <c r="CX924" i="1"/>
  <c r="CN924" i="1"/>
  <c r="CS924" i="1" s="1"/>
  <c r="BV924" i="1"/>
  <c r="BX924" i="1" s="1"/>
  <c r="BY924" i="1" s="1"/>
  <c r="BD924" i="1"/>
  <c r="BC924" i="1"/>
  <c r="BB924" i="1"/>
  <c r="BA924" i="1"/>
  <c r="AZ924" i="1"/>
  <c r="AY924" i="1"/>
  <c r="BE924" i="1" s="1" a="1"/>
  <c r="BE924" i="1" s="1"/>
  <c r="AX924" i="1"/>
  <c r="M924" i="1"/>
  <c r="EM907" i="1"/>
  <c r="EL907" i="1"/>
  <c r="EK907" i="1"/>
  <c r="DU907" i="1"/>
  <c r="DN907" i="1"/>
  <c r="DM907" i="1"/>
  <c r="DL907" i="1"/>
  <c r="DK907" i="1"/>
  <c r="DI907" i="1"/>
  <c r="DJ907" i="1" s="1"/>
  <c r="DC907" i="1"/>
  <c r="CX907" i="1"/>
  <c r="CN907" i="1"/>
  <c r="CR907" i="1" s="1"/>
  <c r="BV907" i="1"/>
  <c r="BX907" i="1" s="1"/>
  <c r="BY907" i="1" s="1"/>
  <c r="BU907" i="1"/>
  <c r="BM907" i="1"/>
  <c r="BD907" i="1"/>
  <c r="BC907" i="1"/>
  <c r="BB907" i="1"/>
  <c r="BA907" i="1"/>
  <c r="AZ907" i="1"/>
  <c r="AY907" i="1"/>
  <c r="BE907" i="1" s="1" a="1"/>
  <c r="BE907" i="1" s="1"/>
  <c r="AX907" i="1"/>
  <c r="M907" i="1"/>
  <c r="EM906" i="1"/>
  <c r="EL906" i="1"/>
  <c r="EK906" i="1"/>
  <c r="DU906" i="1"/>
  <c r="DN906" i="1"/>
  <c r="DM906" i="1"/>
  <c r="DL906" i="1"/>
  <c r="DK906" i="1"/>
  <c r="DI906" i="1"/>
  <c r="DJ906" i="1" s="1"/>
  <c r="DC906" i="1"/>
  <c r="CX906" i="1"/>
  <c r="CN906" i="1"/>
  <c r="BV906" i="1"/>
  <c r="BX906" i="1" s="1"/>
  <c r="BU906" i="1"/>
  <c r="BM906" i="1"/>
  <c r="BD906" i="1"/>
  <c r="BC906" i="1"/>
  <c r="BB906" i="1"/>
  <c r="BA906" i="1"/>
  <c r="AZ906" i="1"/>
  <c r="AY906" i="1"/>
  <c r="BE906" i="1" s="1" a="1"/>
  <c r="BE906" i="1" s="1"/>
  <c r="AX906" i="1"/>
  <c r="M906" i="1"/>
  <c r="EM905" i="1"/>
  <c r="EL905" i="1"/>
  <c r="EK905" i="1"/>
  <c r="DU905" i="1"/>
  <c r="DN905" i="1"/>
  <c r="DM905" i="1"/>
  <c r="DL905" i="1"/>
  <c r="DK905" i="1"/>
  <c r="DI905" i="1"/>
  <c r="DJ905" i="1" s="1"/>
  <c r="DC905" i="1"/>
  <c r="CX905" i="1"/>
  <c r="CN905" i="1"/>
  <c r="CR905" i="1" s="1"/>
  <c r="BV905" i="1"/>
  <c r="BX905" i="1" s="1"/>
  <c r="BY905" i="1" s="1"/>
  <c r="BU905" i="1"/>
  <c r="BM905" i="1"/>
  <c r="BD905" i="1"/>
  <c r="BC905" i="1"/>
  <c r="BB905" i="1"/>
  <c r="BA905" i="1"/>
  <c r="AZ905" i="1"/>
  <c r="AY905" i="1"/>
  <c r="BE905" i="1" s="1" a="1"/>
  <c r="BE905" i="1" s="1"/>
  <c r="AX905" i="1"/>
  <c r="M905" i="1"/>
  <c r="EM844" i="1"/>
  <c r="EL844" i="1"/>
  <c r="EK844" i="1"/>
  <c r="DU844" i="1"/>
  <c r="DT844" i="1"/>
  <c r="DN844" i="1"/>
  <c r="DM844" i="1"/>
  <c r="DL844" i="1"/>
  <c r="DK844" i="1"/>
  <c r="DI844" i="1"/>
  <c r="DJ844" i="1" s="1"/>
  <c r="DC844" i="1"/>
  <c r="CX844" i="1"/>
  <c r="CN844" i="1"/>
  <c r="BY844" i="1"/>
  <c r="EP844" i="1" s="1"/>
  <c r="BV844" i="1"/>
  <c r="BD844" i="1"/>
  <c r="BC844" i="1"/>
  <c r="BB844" i="1"/>
  <c r="BA844" i="1"/>
  <c r="AZ844" i="1"/>
  <c r="AY844" i="1"/>
  <c r="AX844" i="1"/>
  <c r="M844" i="1"/>
  <c r="EM843" i="1"/>
  <c r="EL843" i="1"/>
  <c r="EK843" i="1"/>
  <c r="DU843" i="1"/>
  <c r="DT843" i="1"/>
  <c r="DN843" i="1"/>
  <c r="DM843" i="1"/>
  <c r="DL843" i="1"/>
  <c r="DK843" i="1"/>
  <c r="DI843" i="1"/>
  <c r="DJ843" i="1" s="1"/>
  <c r="DC843" i="1"/>
  <c r="CX843" i="1"/>
  <c r="CN843" i="1"/>
  <c r="CR843" i="1" s="1"/>
  <c r="BY843" i="1"/>
  <c r="EP843" i="1" s="1"/>
  <c r="BV843" i="1"/>
  <c r="BD843" i="1"/>
  <c r="BC843" i="1"/>
  <c r="BB843" i="1"/>
  <c r="BA843" i="1"/>
  <c r="AZ843" i="1"/>
  <c r="AY843" i="1"/>
  <c r="AX843" i="1"/>
  <c r="M843" i="1"/>
  <c r="EM842" i="1"/>
  <c r="EL842" i="1"/>
  <c r="EK842" i="1"/>
  <c r="DU842" i="1"/>
  <c r="DT842" i="1"/>
  <c r="DN842" i="1"/>
  <c r="DM842" i="1"/>
  <c r="DL842" i="1"/>
  <c r="DK842" i="1"/>
  <c r="DI842" i="1"/>
  <c r="DJ842" i="1" s="1"/>
  <c r="DC842" i="1"/>
  <c r="CX842" i="1"/>
  <c r="CN842" i="1"/>
  <c r="CR842" i="1" s="1"/>
  <c r="BY842" i="1"/>
  <c r="EP842" i="1" s="1"/>
  <c r="BV842" i="1"/>
  <c r="BM842" i="1"/>
  <c r="BD842" i="1"/>
  <c r="BC842" i="1"/>
  <c r="BB842" i="1"/>
  <c r="BA842" i="1"/>
  <c r="AZ842" i="1"/>
  <c r="AY842" i="1"/>
  <c r="AX842" i="1"/>
  <c r="M842" i="1"/>
  <c r="EM835" i="1"/>
  <c r="EL835" i="1"/>
  <c r="EK835" i="1"/>
  <c r="DU835" i="1"/>
  <c r="DT835" i="1"/>
  <c r="DN835" i="1"/>
  <c r="DM835" i="1"/>
  <c r="DL835" i="1"/>
  <c r="DK835" i="1"/>
  <c r="DI835" i="1"/>
  <c r="DJ835" i="1" s="1"/>
  <c r="DC835" i="1"/>
  <c r="CX835" i="1"/>
  <c r="CN835" i="1"/>
  <c r="BX835" i="1"/>
  <c r="BY835" i="1" s="1"/>
  <c r="BD835" i="1"/>
  <c r="BC835" i="1"/>
  <c r="BB835" i="1"/>
  <c r="BA835" i="1"/>
  <c r="AZ835" i="1"/>
  <c r="AY835" i="1"/>
  <c r="BE835" i="1" s="1" a="1"/>
  <c r="BE835" i="1" s="1"/>
  <c r="AX835" i="1"/>
  <c r="M835" i="1"/>
  <c r="EM834" i="1"/>
  <c r="EL834" i="1"/>
  <c r="EK834" i="1"/>
  <c r="DU834" i="1"/>
  <c r="DT834" i="1"/>
  <c r="DN834" i="1"/>
  <c r="DM834" i="1"/>
  <c r="DL834" i="1"/>
  <c r="DK834" i="1"/>
  <c r="DI834" i="1"/>
  <c r="DJ834" i="1" s="1"/>
  <c r="DC834" i="1"/>
  <c r="CX834" i="1"/>
  <c r="CN834" i="1"/>
  <c r="BX834" i="1"/>
  <c r="BY834" i="1" s="1"/>
  <c r="BD834" i="1"/>
  <c r="BC834" i="1"/>
  <c r="BB834" i="1"/>
  <c r="BA834" i="1"/>
  <c r="AZ834" i="1"/>
  <c r="AY834" i="1"/>
  <c r="BE834" i="1" s="1" a="1"/>
  <c r="BE834" i="1" s="1"/>
  <c r="AX834" i="1"/>
  <c r="M834" i="1"/>
  <c r="EM828" i="1"/>
  <c r="EL828" i="1"/>
  <c r="EK828" i="1"/>
  <c r="DU828" i="1"/>
  <c r="DT828" i="1"/>
  <c r="DN828" i="1"/>
  <c r="DM828" i="1"/>
  <c r="DL828" i="1"/>
  <c r="DK828" i="1"/>
  <c r="DI828" i="1"/>
  <c r="DJ828" i="1" s="1"/>
  <c r="DB828" i="1"/>
  <c r="DC828" i="1" s="1"/>
  <c r="CX828" i="1"/>
  <c r="CN828" i="1"/>
  <c r="CO828" i="1" s="1"/>
  <c r="BV828" i="1"/>
  <c r="BX828" i="1" s="1"/>
  <c r="BY828" i="1" s="1"/>
  <c r="BU828" i="1"/>
  <c r="BD828" i="1"/>
  <c r="BC828" i="1"/>
  <c r="BB828" i="1"/>
  <c r="BA828" i="1"/>
  <c r="AZ828" i="1"/>
  <c r="AY828" i="1"/>
  <c r="BE828" i="1" s="1" a="1"/>
  <c r="BE828" i="1" s="1"/>
  <c r="AX828" i="1"/>
  <c r="M828" i="1"/>
  <c r="EM822" i="1"/>
  <c r="EL822" i="1"/>
  <c r="EK822" i="1"/>
  <c r="DU822" i="1"/>
  <c r="DT822" i="1"/>
  <c r="DN822" i="1"/>
  <c r="DM822" i="1"/>
  <c r="DL822" i="1"/>
  <c r="DK822" i="1"/>
  <c r="DI822" i="1"/>
  <c r="DJ822" i="1" s="1"/>
  <c r="DC822" i="1"/>
  <c r="CX822" i="1"/>
  <c r="CN822" i="1"/>
  <c r="BN822" i="1"/>
  <c r="BO822" i="1" s="1"/>
  <c r="BY822" i="1" s="1"/>
  <c r="EP822" i="1" s="1"/>
  <c r="BD822" i="1"/>
  <c r="BC822" i="1"/>
  <c r="BB822" i="1"/>
  <c r="BA822" i="1"/>
  <c r="AZ822" i="1"/>
  <c r="AY822" i="1"/>
  <c r="BE822" i="1" s="1" a="1"/>
  <c r="BE822" i="1" s="1"/>
  <c r="AX822" i="1"/>
  <c r="M822" i="1"/>
  <c r="EM821" i="1"/>
  <c r="EL821" i="1"/>
  <c r="EK821" i="1"/>
  <c r="DU821" i="1"/>
  <c r="DT821" i="1"/>
  <c r="DN821" i="1"/>
  <c r="DM821" i="1"/>
  <c r="DL821" i="1"/>
  <c r="DK821" i="1"/>
  <c r="DI821" i="1"/>
  <c r="DJ821" i="1" s="1"/>
  <c r="DC821" i="1"/>
  <c r="CX821" i="1"/>
  <c r="CN821" i="1"/>
  <c r="CT821" i="1" s="1"/>
  <c r="BN821" i="1"/>
  <c r="BO821" i="1" s="1"/>
  <c r="BY821" i="1" s="1"/>
  <c r="EP821" i="1" s="1"/>
  <c r="BD821" i="1"/>
  <c r="BC821" i="1"/>
  <c r="BB821" i="1"/>
  <c r="BA821" i="1"/>
  <c r="AZ821" i="1"/>
  <c r="AY821" i="1"/>
  <c r="BE821" i="1" s="1" a="1"/>
  <c r="BE821" i="1" s="1"/>
  <c r="AX821" i="1"/>
  <c r="M821" i="1"/>
  <c r="EM820" i="1"/>
  <c r="EL820" i="1"/>
  <c r="EK820" i="1"/>
  <c r="DU820" i="1"/>
  <c r="DT820" i="1"/>
  <c r="DN820" i="1"/>
  <c r="DM820" i="1"/>
  <c r="DL820" i="1"/>
  <c r="DK820" i="1"/>
  <c r="DI820" i="1"/>
  <c r="DJ820" i="1" s="1"/>
  <c r="DC820" i="1"/>
  <c r="CX820" i="1"/>
  <c r="CN820" i="1"/>
  <c r="CO820" i="1" s="1"/>
  <c r="BN820" i="1"/>
  <c r="BO820" i="1" s="1"/>
  <c r="BY820" i="1" s="1"/>
  <c r="EP820" i="1" s="1"/>
  <c r="BD820" i="1"/>
  <c r="BC820" i="1"/>
  <c r="BB820" i="1"/>
  <c r="BA820" i="1"/>
  <c r="AZ820" i="1"/>
  <c r="AY820" i="1"/>
  <c r="BE820" i="1" s="1" a="1"/>
  <c r="BE820" i="1" s="1"/>
  <c r="AX820" i="1"/>
  <c r="M820" i="1"/>
  <c r="EM819" i="1"/>
  <c r="EL819" i="1"/>
  <c r="EK819" i="1"/>
  <c r="DU819" i="1"/>
  <c r="DT819" i="1"/>
  <c r="DN819" i="1"/>
  <c r="DM819" i="1"/>
  <c r="DL819" i="1"/>
  <c r="DK819" i="1"/>
  <c r="DI819" i="1"/>
  <c r="DJ819" i="1" s="1"/>
  <c r="DC819" i="1"/>
  <c r="CX819" i="1"/>
  <c r="CN819" i="1"/>
  <c r="CT819" i="1" s="1"/>
  <c r="BN819" i="1"/>
  <c r="BO819" i="1" s="1"/>
  <c r="BD819" i="1"/>
  <c r="BC819" i="1"/>
  <c r="BB819" i="1"/>
  <c r="BA819" i="1"/>
  <c r="AZ819" i="1"/>
  <c r="AY819" i="1"/>
  <c r="BE819" i="1" s="1" a="1"/>
  <c r="BE819" i="1" s="1"/>
  <c r="AX819" i="1"/>
  <c r="M819" i="1"/>
  <c r="EM818" i="1"/>
  <c r="EL818" i="1"/>
  <c r="EK818" i="1"/>
  <c r="DU818" i="1"/>
  <c r="DT818" i="1"/>
  <c r="DN818" i="1"/>
  <c r="DM818" i="1"/>
  <c r="DL818" i="1"/>
  <c r="DK818" i="1"/>
  <c r="DI818" i="1"/>
  <c r="DJ818" i="1" s="1"/>
  <c r="DC818" i="1"/>
  <c r="CX818" i="1"/>
  <c r="CN818" i="1"/>
  <c r="CS818" i="1" s="1"/>
  <c r="BV818" i="1"/>
  <c r="BX818" i="1" s="1"/>
  <c r="BU818" i="1"/>
  <c r="BD818" i="1"/>
  <c r="BC818" i="1"/>
  <c r="BB818" i="1"/>
  <c r="BA818" i="1"/>
  <c r="AZ818" i="1"/>
  <c r="AY818" i="1"/>
  <c r="BE818" i="1" s="1" a="1"/>
  <c r="BE818" i="1" s="1"/>
  <c r="AX818" i="1"/>
  <c r="M818" i="1"/>
  <c r="EM817" i="1"/>
  <c r="EL817" i="1"/>
  <c r="EK817" i="1"/>
  <c r="DU817" i="1"/>
  <c r="DT817" i="1"/>
  <c r="DN817" i="1"/>
  <c r="DM817" i="1"/>
  <c r="DL817" i="1"/>
  <c r="DK817" i="1"/>
  <c r="DI817" i="1"/>
  <c r="DJ817" i="1" s="1"/>
  <c r="DC817" i="1"/>
  <c r="CX817" i="1"/>
  <c r="CN817" i="1"/>
  <c r="BV817" i="1"/>
  <c r="BX817" i="1" s="1"/>
  <c r="BY817" i="1" s="1"/>
  <c r="BU817" i="1"/>
  <c r="BD817" i="1"/>
  <c r="BC817" i="1"/>
  <c r="BB817" i="1"/>
  <c r="BA817" i="1"/>
  <c r="AZ817" i="1"/>
  <c r="AY817" i="1"/>
  <c r="BE817" i="1" s="1" a="1"/>
  <c r="BE817" i="1" s="1"/>
  <c r="AX817" i="1"/>
  <c r="M817" i="1"/>
  <c r="EM814" i="1"/>
  <c r="EL814" i="1"/>
  <c r="EK814" i="1"/>
  <c r="DU814" i="1"/>
  <c r="DT814" i="1"/>
  <c r="DN814" i="1"/>
  <c r="DM814" i="1"/>
  <c r="DL814" i="1"/>
  <c r="DK814" i="1"/>
  <c r="DI814" i="1"/>
  <c r="DJ814" i="1" s="1"/>
  <c r="DC814" i="1"/>
  <c r="CX814" i="1"/>
  <c r="CN814" i="1"/>
  <c r="CS814" i="1" s="1"/>
  <c r="BX814" i="1"/>
  <c r="BU814" i="1"/>
  <c r="BD814" i="1"/>
  <c r="BC814" i="1"/>
  <c r="BB814" i="1"/>
  <c r="BA814" i="1"/>
  <c r="AZ814" i="1"/>
  <c r="AY814" i="1"/>
  <c r="AX814" i="1"/>
  <c r="M814" i="1"/>
  <c r="EM813" i="1"/>
  <c r="EL813" i="1"/>
  <c r="EK813" i="1"/>
  <c r="DU813" i="1"/>
  <c r="DT813" i="1"/>
  <c r="DN813" i="1"/>
  <c r="DM813" i="1"/>
  <c r="DL813" i="1"/>
  <c r="DK813" i="1"/>
  <c r="DI813" i="1"/>
  <c r="DJ813" i="1" s="1"/>
  <c r="DC813" i="1"/>
  <c r="CX813" i="1"/>
  <c r="CN813" i="1"/>
  <c r="BX813" i="1"/>
  <c r="BY813" i="1" s="1"/>
  <c r="BU813" i="1"/>
  <c r="BD813" i="1"/>
  <c r="BC813" i="1"/>
  <c r="BB813" i="1"/>
  <c r="BA813" i="1"/>
  <c r="AZ813" i="1"/>
  <c r="AY813" i="1"/>
  <c r="AX813" i="1"/>
  <c r="M813" i="1"/>
  <c r="EM812" i="1"/>
  <c r="EL812" i="1"/>
  <c r="EK812" i="1"/>
  <c r="DU812" i="1"/>
  <c r="DT812" i="1"/>
  <c r="DN812" i="1"/>
  <c r="DM812" i="1"/>
  <c r="DL812" i="1"/>
  <c r="DK812" i="1"/>
  <c r="DI812" i="1"/>
  <c r="DJ812" i="1" s="1"/>
  <c r="DC812" i="1"/>
  <c r="CX812" i="1"/>
  <c r="CN812" i="1"/>
  <c r="CR812" i="1" s="1"/>
  <c r="BV812" i="1"/>
  <c r="BX812" i="1" s="1"/>
  <c r="BY812" i="1" s="1"/>
  <c r="BU812" i="1"/>
  <c r="BD812" i="1"/>
  <c r="BC812" i="1"/>
  <c r="BB812" i="1"/>
  <c r="BA812" i="1"/>
  <c r="AZ812" i="1"/>
  <c r="AY812" i="1"/>
  <c r="AX812" i="1"/>
  <c r="M812" i="1"/>
  <c r="EM811" i="1"/>
  <c r="EL811" i="1"/>
  <c r="EK811" i="1"/>
  <c r="DU811" i="1"/>
  <c r="DT811" i="1"/>
  <c r="DN811" i="1"/>
  <c r="DM811" i="1"/>
  <c r="DL811" i="1"/>
  <c r="DK811" i="1"/>
  <c r="DI811" i="1"/>
  <c r="DJ811" i="1" s="1"/>
  <c r="DC811" i="1"/>
  <c r="CX811" i="1"/>
  <c r="CN811" i="1"/>
  <c r="BV811" i="1"/>
  <c r="BX811" i="1" s="1"/>
  <c r="BY811" i="1" s="1"/>
  <c r="BU811" i="1"/>
  <c r="BD811" i="1"/>
  <c r="BC811" i="1"/>
  <c r="BB811" i="1"/>
  <c r="BA811" i="1"/>
  <c r="AZ811" i="1"/>
  <c r="AY811" i="1"/>
  <c r="AX811" i="1"/>
  <c r="M811" i="1"/>
  <c r="EM810" i="1"/>
  <c r="EL810" i="1"/>
  <c r="EK810" i="1"/>
  <c r="DU810" i="1"/>
  <c r="DT810" i="1"/>
  <c r="DN810" i="1"/>
  <c r="DM810" i="1"/>
  <c r="DL810" i="1"/>
  <c r="DK810" i="1"/>
  <c r="DI810" i="1"/>
  <c r="DJ810" i="1" s="1"/>
  <c r="DC810" i="1"/>
  <c r="CX810" i="1"/>
  <c r="CN810" i="1"/>
  <c r="CR810" i="1" s="1"/>
  <c r="BV810" i="1"/>
  <c r="BX810" i="1" s="1"/>
  <c r="BY810" i="1" s="1"/>
  <c r="BU810" i="1"/>
  <c r="BD810" i="1"/>
  <c r="BC810" i="1"/>
  <c r="BB810" i="1"/>
  <c r="BA810" i="1"/>
  <c r="AZ810" i="1"/>
  <c r="AY810" i="1"/>
  <c r="AX810" i="1"/>
  <c r="M810" i="1"/>
  <c r="EM809" i="1"/>
  <c r="EL809" i="1"/>
  <c r="EK809" i="1"/>
  <c r="DU809" i="1"/>
  <c r="DT809" i="1"/>
  <c r="DN809" i="1"/>
  <c r="DM809" i="1"/>
  <c r="DL809" i="1"/>
  <c r="DK809" i="1"/>
  <c r="DI809" i="1"/>
  <c r="DJ809" i="1" s="1"/>
  <c r="DC809" i="1"/>
  <c r="CX809" i="1"/>
  <c r="CN809" i="1"/>
  <c r="BV809" i="1"/>
  <c r="BX809" i="1" s="1"/>
  <c r="BY809" i="1" s="1"/>
  <c r="BU809" i="1"/>
  <c r="BD809" i="1"/>
  <c r="BC809" i="1"/>
  <c r="BB809" i="1"/>
  <c r="BA809" i="1"/>
  <c r="AZ809" i="1"/>
  <c r="AY809" i="1"/>
  <c r="AX809" i="1"/>
  <c r="M809" i="1"/>
  <c r="EM780" i="1"/>
  <c r="EL780" i="1"/>
  <c r="EK780" i="1"/>
  <c r="DU780" i="1"/>
  <c r="DT780" i="1"/>
  <c r="DN780" i="1"/>
  <c r="DM780" i="1"/>
  <c r="DL780" i="1"/>
  <c r="DK780" i="1"/>
  <c r="DI780" i="1"/>
  <c r="DJ780" i="1" s="1"/>
  <c r="DC780" i="1"/>
  <c r="CX780" i="1"/>
  <c r="CN780" i="1"/>
  <c r="CP780" i="1" s="1"/>
  <c r="BV780" i="1"/>
  <c r="BX780" i="1" s="1"/>
  <c r="BU780" i="1"/>
  <c r="BN780" i="1"/>
  <c r="BO780" i="1" s="1"/>
  <c r="BM780" i="1"/>
  <c r="BD780" i="1"/>
  <c r="BC780" i="1"/>
  <c r="BB780" i="1"/>
  <c r="BA780" i="1"/>
  <c r="AZ780" i="1"/>
  <c r="AY780" i="1"/>
  <c r="BE780" i="1" s="1" a="1"/>
  <c r="BE780" i="1" s="1"/>
  <c r="AX780" i="1"/>
  <c r="M780" i="1"/>
  <c r="EM791" i="1"/>
  <c r="EL791" i="1"/>
  <c r="EK791" i="1"/>
  <c r="DU791" i="1"/>
  <c r="DT791" i="1"/>
  <c r="DN791" i="1"/>
  <c r="DM791" i="1"/>
  <c r="DL791" i="1"/>
  <c r="DK791" i="1"/>
  <c r="DI791" i="1"/>
  <c r="DJ791" i="1" s="1"/>
  <c r="DC791" i="1"/>
  <c r="CX791" i="1"/>
  <c r="CN791" i="1"/>
  <c r="CS791" i="1" s="1"/>
  <c r="BV791" i="1"/>
  <c r="BX791" i="1" s="1"/>
  <c r="BU791" i="1"/>
  <c r="BD791" i="1"/>
  <c r="BC791" i="1"/>
  <c r="BB791" i="1"/>
  <c r="BA791" i="1"/>
  <c r="AZ791" i="1"/>
  <c r="AY791" i="1"/>
  <c r="BE791" i="1" s="1" a="1"/>
  <c r="BE791" i="1" s="1"/>
  <c r="AX791" i="1"/>
  <c r="M791" i="1"/>
  <c r="EM790" i="1"/>
  <c r="EL790" i="1"/>
  <c r="EK790" i="1"/>
  <c r="DU790" i="1"/>
  <c r="DT790" i="1"/>
  <c r="DN790" i="1"/>
  <c r="DM790" i="1"/>
  <c r="DL790" i="1"/>
  <c r="DK790" i="1"/>
  <c r="DI790" i="1"/>
  <c r="DJ790" i="1" s="1"/>
  <c r="DC790" i="1"/>
  <c r="CX790" i="1"/>
  <c r="CN790" i="1"/>
  <c r="BV790" i="1"/>
  <c r="BX790" i="1" s="1"/>
  <c r="BY790" i="1" s="1"/>
  <c r="BU790" i="1"/>
  <c r="BD790" i="1"/>
  <c r="BC790" i="1"/>
  <c r="BB790" i="1"/>
  <c r="BA790" i="1"/>
  <c r="AZ790" i="1"/>
  <c r="AY790" i="1"/>
  <c r="BE790" i="1" s="1" a="1"/>
  <c r="BE790" i="1" s="1"/>
  <c r="AX790" i="1"/>
  <c r="M790" i="1"/>
  <c r="EM789" i="1"/>
  <c r="EL789" i="1"/>
  <c r="EK789" i="1"/>
  <c r="DU789" i="1"/>
  <c r="DT789" i="1"/>
  <c r="DN789" i="1"/>
  <c r="DM789" i="1"/>
  <c r="DL789" i="1"/>
  <c r="DK789" i="1"/>
  <c r="DI789" i="1"/>
  <c r="DJ789" i="1" s="1"/>
  <c r="DC789" i="1"/>
  <c r="CX789" i="1"/>
  <c r="CN789" i="1"/>
  <c r="CS789" i="1" s="1"/>
  <c r="BV789" i="1"/>
  <c r="BX789" i="1" s="1"/>
  <c r="BU789" i="1"/>
  <c r="BD789" i="1"/>
  <c r="BC789" i="1"/>
  <c r="BB789" i="1"/>
  <c r="BA789" i="1"/>
  <c r="AZ789" i="1"/>
  <c r="AY789" i="1"/>
  <c r="BE789" i="1" s="1" a="1"/>
  <c r="BE789" i="1" s="1"/>
  <c r="AX789" i="1"/>
  <c r="M789" i="1"/>
  <c r="EM788" i="1"/>
  <c r="EL788" i="1"/>
  <c r="EK788" i="1"/>
  <c r="DU788" i="1"/>
  <c r="DT788" i="1"/>
  <c r="DN788" i="1"/>
  <c r="DM788" i="1"/>
  <c r="DL788" i="1"/>
  <c r="DK788" i="1"/>
  <c r="DI788" i="1"/>
  <c r="DJ788" i="1" s="1"/>
  <c r="DC788" i="1"/>
  <c r="CX788" i="1"/>
  <c r="CN788" i="1"/>
  <c r="BV788" i="1"/>
  <c r="BX788" i="1" s="1"/>
  <c r="BY788" i="1" s="1"/>
  <c r="BU788" i="1"/>
  <c r="BD788" i="1"/>
  <c r="BC788" i="1"/>
  <c r="BB788" i="1"/>
  <c r="BA788" i="1"/>
  <c r="AZ788" i="1"/>
  <c r="AY788" i="1"/>
  <c r="BE788" i="1" s="1" a="1"/>
  <c r="BE788" i="1" s="1"/>
  <c r="AX788" i="1"/>
  <c r="M788" i="1"/>
  <c r="EM787" i="1"/>
  <c r="EL787" i="1"/>
  <c r="EK787" i="1"/>
  <c r="DU787" i="1"/>
  <c r="DT787" i="1"/>
  <c r="DN787" i="1"/>
  <c r="DM787" i="1"/>
  <c r="DL787" i="1"/>
  <c r="DK787" i="1"/>
  <c r="DI787" i="1"/>
  <c r="DJ787" i="1" s="1"/>
  <c r="DC787" i="1"/>
  <c r="CX787" i="1"/>
  <c r="CN787" i="1"/>
  <c r="CS787" i="1" s="1"/>
  <c r="BV787" i="1"/>
  <c r="BX787" i="1" s="1"/>
  <c r="BU787" i="1"/>
  <c r="BD787" i="1"/>
  <c r="BC787" i="1"/>
  <c r="BB787" i="1"/>
  <c r="BA787" i="1"/>
  <c r="AZ787" i="1"/>
  <c r="AY787" i="1"/>
  <c r="BE787" i="1" s="1" a="1"/>
  <c r="BE787" i="1" s="1"/>
  <c r="AX787" i="1"/>
  <c r="M787" i="1"/>
  <c r="EM786" i="1"/>
  <c r="EL786" i="1"/>
  <c r="EK786" i="1"/>
  <c r="DU786" i="1"/>
  <c r="DT786" i="1"/>
  <c r="DN786" i="1"/>
  <c r="DM786" i="1"/>
  <c r="DL786" i="1"/>
  <c r="DK786" i="1"/>
  <c r="DI786" i="1"/>
  <c r="DJ786" i="1" s="1"/>
  <c r="DC786" i="1"/>
  <c r="CX786" i="1"/>
  <c r="CN786" i="1"/>
  <c r="BV786" i="1"/>
  <c r="BX786" i="1" s="1"/>
  <c r="BY786" i="1" s="1"/>
  <c r="BU786" i="1"/>
  <c r="BD786" i="1"/>
  <c r="BC786" i="1"/>
  <c r="BB786" i="1"/>
  <c r="BA786" i="1"/>
  <c r="AZ786" i="1"/>
  <c r="AY786" i="1"/>
  <c r="BE786" i="1" s="1" a="1"/>
  <c r="BE786" i="1" s="1"/>
  <c r="AX786" i="1"/>
  <c r="M786" i="1"/>
  <c r="EM785" i="1"/>
  <c r="EL785" i="1"/>
  <c r="EK785" i="1"/>
  <c r="DU785" i="1"/>
  <c r="DT785" i="1"/>
  <c r="DN785" i="1"/>
  <c r="DM785" i="1"/>
  <c r="DL785" i="1"/>
  <c r="DK785" i="1"/>
  <c r="DI785" i="1"/>
  <c r="DJ785" i="1" s="1"/>
  <c r="DC785" i="1"/>
  <c r="CX785" i="1"/>
  <c r="CN785" i="1"/>
  <c r="CS785" i="1" s="1"/>
  <c r="BV785" i="1"/>
  <c r="BX785" i="1" s="1"/>
  <c r="BU785" i="1"/>
  <c r="BD785" i="1"/>
  <c r="BC785" i="1"/>
  <c r="BB785" i="1"/>
  <c r="BA785" i="1"/>
  <c r="AZ785" i="1"/>
  <c r="AY785" i="1"/>
  <c r="BE785" i="1" s="1" a="1"/>
  <c r="BE785" i="1" s="1"/>
  <c r="AX785" i="1"/>
  <c r="M785" i="1"/>
  <c r="EM784" i="1"/>
  <c r="EL784" i="1"/>
  <c r="EK784" i="1"/>
  <c r="DU784" i="1"/>
  <c r="DT784" i="1"/>
  <c r="DN784" i="1"/>
  <c r="DM784" i="1"/>
  <c r="DL784" i="1"/>
  <c r="DK784" i="1"/>
  <c r="DI784" i="1"/>
  <c r="DJ784" i="1" s="1"/>
  <c r="DC784" i="1"/>
  <c r="CX784" i="1"/>
  <c r="CN784" i="1"/>
  <c r="CR784" i="1" s="1"/>
  <c r="BV784" i="1"/>
  <c r="BX784" i="1" s="1"/>
  <c r="BY784" i="1" s="1"/>
  <c r="BU784" i="1"/>
  <c r="BD784" i="1"/>
  <c r="BC784" i="1"/>
  <c r="BB784" i="1"/>
  <c r="BA784" i="1"/>
  <c r="AZ784" i="1"/>
  <c r="AY784" i="1"/>
  <c r="BE784" i="1" s="1" a="1"/>
  <c r="BE784" i="1" s="1"/>
  <c r="AX784" i="1"/>
  <c r="M784" i="1"/>
  <c r="EM783" i="1"/>
  <c r="EL783" i="1"/>
  <c r="EK783" i="1"/>
  <c r="DU783" i="1"/>
  <c r="DT783" i="1"/>
  <c r="DN783" i="1"/>
  <c r="DM783" i="1"/>
  <c r="DL783" i="1"/>
  <c r="DK783" i="1"/>
  <c r="DI783" i="1"/>
  <c r="DJ783" i="1" s="1"/>
  <c r="DC783" i="1"/>
  <c r="CX783" i="1"/>
  <c r="CN783" i="1"/>
  <c r="BV783" i="1"/>
  <c r="BX783" i="1" s="1"/>
  <c r="BY783" i="1" s="1"/>
  <c r="BU783" i="1"/>
  <c r="BD783" i="1"/>
  <c r="BC783" i="1"/>
  <c r="BB783" i="1"/>
  <c r="BA783" i="1"/>
  <c r="AZ783" i="1"/>
  <c r="AY783" i="1"/>
  <c r="BE783" i="1" s="1" a="1"/>
  <c r="BE783" i="1" s="1"/>
  <c r="AX783" i="1"/>
  <c r="M783" i="1"/>
  <c r="EM782" i="1"/>
  <c r="EL782" i="1"/>
  <c r="EK782" i="1"/>
  <c r="DU782" i="1"/>
  <c r="DT782" i="1"/>
  <c r="DN782" i="1"/>
  <c r="DM782" i="1"/>
  <c r="DL782" i="1"/>
  <c r="DK782" i="1"/>
  <c r="DI782" i="1"/>
  <c r="DJ782" i="1" s="1"/>
  <c r="DC782" i="1"/>
  <c r="CX782" i="1"/>
  <c r="CN782" i="1"/>
  <c r="BV782" i="1"/>
  <c r="BX782" i="1" s="1"/>
  <c r="BY782" i="1" s="1"/>
  <c r="BU782" i="1"/>
  <c r="BD782" i="1"/>
  <c r="BC782" i="1"/>
  <c r="BB782" i="1"/>
  <c r="BA782" i="1"/>
  <c r="AZ782" i="1"/>
  <c r="AY782" i="1"/>
  <c r="BE782" i="1" s="1" a="1"/>
  <c r="BE782" i="1" s="1"/>
  <c r="AX782" i="1"/>
  <c r="M782" i="1"/>
  <c r="EM781" i="1"/>
  <c r="EL781" i="1"/>
  <c r="EK781" i="1"/>
  <c r="DU781" i="1"/>
  <c r="DT781" i="1"/>
  <c r="DN781" i="1"/>
  <c r="DM781" i="1"/>
  <c r="DL781" i="1"/>
  <c r="DK781" i="1"/>
  <c r="DI781" i="1"/>
  <c r="DJ781" i="1" s="1"/>
  <c r="DC781" i="1"/>
  <c r="CX781" i="1"/>
  <c r="CN781" i="1"/>
  <c r="BV781" i="1"/>
  <c r="BX781" i="1" s="1"/>
  <c r="BY781" i="1" s="1"/>
  <c r="BU781" i="1"/>
  <c r="BD781" i="1"/>
  <c r="BC781" i="1"/>
  <c r="BB781" i="1"/>
  <c r="BA781" i="1"/>
  <c r="AZ781" i="1"/>
  <c r="AY781" i="1"/>
  <c r="BE781" i="1" s="1" a="1"/>
  <c r="BE781" i="1" s="1"/>
  <c r="AX781" i="1"/>
  <c r="M781" i="1"/>
  <c r="EM717" i="1"/>
  <c r="EL717" i="1"/>
  <c r="EK717" i="1"/>
  <c r="DU717" i="1"/>
  <c r="DN717" i="1"/>
  <c r="DM717" i="1"/>
  <c r="DL717" i="1"/>
  <c r="DK717" i="1"/>
  <c r="DI717" i="1"/>
  <c r="DJ717" i="1" s="1"/>
  <c r="DC717" i="1"/>
  <c r="CX717" i="1"/>
  <c r="CN717" i="1"/>
  <c r="BT717" i="1"/>
  <c r="BS717" i="1"/>
  <c r="BN717" i="1"/>
  <c r="BO717" i="1" s="1"/>
  <c r="BD717" i="1"/>
  <c r="BC717" i="1"/>
  <c r="BB717" i="1"/>
  <c r="BA717" i="1"/>
  <c r="AZ717" i="1"/>
  <c r="AY717" i="1"/>
  <c r="BE717" i="1" s="1" a="1"/>
  <c r="BE717" i="1" s="1"/>
  <c r="AX717" i="1"/>
  <c r="M717" i="1"/>
  <c r="EM716" i="1"/>
  <c r="EL716" i="1"/>
  <c r="EK716" i="1"/>
  <c r="DU716" i="1"/>
  <c r="DN716" i="1"/>
  <c r="DM716" i="1"/>
  <c r="DL716" i="1"/>
  <c r="DK716" i="1"/>
  <c r="DI716" i="1"/>
  <c r="DJ716" i="1" s="1"/>
  <c r="DC716" i="1"/>
  <c r="CX716" i="1"/>
  <c r="CN716" i="1"/>
  <c r="BS716" i="1"/>
  <c r="BV716" i="1" s="1"/>
  <c r="BX716" i="1" s="1"/>
  <c r="BN716" i="1"/>
  <c r="BO716" i="1" s="1"/>
  <c r="BD716" i="1"/>
  <c r="BC716" i="1"/>
  <c r="BB716" i="1"/>
  <c r="BA716" i="1"/>
  <c r="AZ716" i="1"/>
  <c r="AY716" i="1"/>
  <c r="BE716" i="1" s="1" a="1"/>
  <c r="BE716" i="1" s="1"/>
  <c r="AX716" i="1"/>
  <c r="M716" i="1"/>
  <c r="EM715" i="1"/>
  <c r="EL715" i="1"/>
  <c r="EK715" i="1"/>
  <c r="DU715" i="1"/>
  <c r="DN715" i="1"/>
  <c r="DM715" i="1"/>
  <c r="DL715" i="1"/>
  <c r="DK715" i="1"/>
  <c r="DI715" i="1"/>
  <c r="DJ715" i="1" s="1"/>
  <c r="DC715" i="1"/>
  <c r="CX715" i="1"/>
  <c r="CN715" i="1"/>
  <c r="BS715" i="1"/>
  <c r="BV715" i="1" s="1"/>
  <c r="BX715" i="1" s="1"/>
  <c r="BN715" i="1"/>
  <c r="BO715" i="1" s="1"/>
  <c r="BD715" i="1"/>
  <c r="BC715" i="1"/>
  <c r="BB715" i="1"/>
  <c r="BA715" i="1"/>
  <c r="AZ715" i="1"/>
  <c r="AY715" i="1"/>
  <c r="BE715" i="1" s="1" a="1"/>
  <c r="BE715" i="1" s="1"/>
  <c r="AX715" i="1"/>
  <c r="M715" i="1"/>
  <c r="EM714" i="1"/>
  <c r="EL714" i="1"/>
  <c r="EK714" i="1"/>
  <c r="DU714" i="1"/>
  <c r="DN714" i="1"/>
  <c r="DM714" i="1"/>
  <c r="DL714" i="1"/>
  <c r="DK714" i="1"/>
  <c r="DI714" i="1"/>
  <c r="DJ714" i="1" s="1"/>
  <c r="DC714" i="1"/>
  <c r="CX714" i="1"/>
  <c r="CN714" i="1"/>
  <c r="BT714" i="1"/>
  <c r="BS714" i="1"/>
  <c r="BN714" i="1"/>
  <c r="BO714" i="1" s="1"/>
  <c r="BD714" i="1"/>
  <c r="BC714" i="1"/>
  <c r="BB714" i="1"/>
  <c r="BA714" i="1"/>
  <c r="AZ714" i="1"/>
  <c r="AY714" i="1"/>
  <c r="BE714" i="1" s="1" a="1"/>
  <c r="BE714" i="1" s="1"/>
  <c r="AX714" i="1"/>
  <c r="M714" i="1"/>
  <c r="EM713" i="1"/>
  <c r="EL713" i="1"/>
  <c r="EK713" i="1"/>
  <c r="DU713" i="1"/>
  <c r="DN713" i="1"/>
  <c r="DM713" i="1"/>
  <c r="DL713" i="1"/>
  <c r="DK713" i="1"/>
  <c r="DI713" i="1"/>
  <c r="DJ713" i="1" s="1"/>
  <c r="DC713" i="1"/>
  <c r="CX713" i="1"/>
  <c r="CN713" i="1"/>
  <c r="BV713" i="1"/>
  <c r="BX713" i="1" s="1"/>
  <c r="BU713" i="1"/>
  <c r="BN713" i="1"/>
  <c r="BO713" i="1" s="1"/>
  <c r="BD713" i="1"/>
  <c r="BC713" i="1"/>
  <c r="BB713" i="1"/>
  <c r="BA713" i="1"/>
  <c r="AZ713" i="1"/>
  <c r="AY713" i="1"/>
  <c r="BE713" i="1" s="1" a="1"/>
  <c r="BE713" i="1" s="1"/>
  <c r="AX713" i="1"/>
  <c r="M713" i="1"/>
  <c r="EM712" i="1"/>
  <c r="EL712" i="1"/>
  <c r="EK712" i="1"/>
  <c r="DU712" i="1"/>
  <c r="DN712" i="1"/>
  <c r="DM712" i="1"/>
  <c r="DL712" i="1"/>
  <c r="DK712" i="1"/>
  <c r="DI712" i="1"/>
  <c r="DJ712" i="1" s="1"/>
  <c r="DC712" i="1"/>
  <c r="CX712" i="1"/>
  <c r="CN712" i="1"/>
  <c r="BV712" i="1"/>
  <c r="BX712" i="1" s="1"/>
  <c r="BT712" i="1"/>
  <c r="BS712" i="1"/>
  <c r="BN712" i="1"/>
  <c r="BO712" i="1" s="1"/>
  <c r="BD712" i="1"/>
  <c r="BC712" i="1"/>
  <c r="BB712" i="1"/>
  <c r="BA712" i="1"/>
  <c r="AZ712" i="1"/>
  <c r="AY712" i="1"/>
  <c r="BE712" i="1" s="1" a="1"/>
  <c r="BE712" i="1" s="1"/>
  <c r="AX712" i="1"/>
  <c r="M712" i="1"/>
  <c r="EM711" i="1"/>
  <c r="EL711" i="1"/>
  <c r="EK711" i="1"/>
  <c r="DU711" i="1"/>
  <c r="DN711" i="1"/>
  <c r="DM711" i="1"/>
  <c r="DL711" i="1"/>
  <c r="DK711" i="1"/>
  <c r="DI711" i="1"/>
  <c r="DJ711" i="1" s="1"/>
  <c r="DC711" i="1"/>
  <c r="CX711" i="1"/>
  <c r="CN711" i="1"/>
  <c r="CS711" i="1" s="1"/>
  <c r="BV711" i="1"/>
  <c r="BX711" i="1" s="1"/>
  <c r="BU711" i="1"/>
  <c r="BN711" i="1"/>
  <c r="BO711" i="1" s="1"/>
  <c r="BD711" i="1"/>
  <c r="BC711" i="1"/>
  <c r="BB711" i="1"/>
  <c r="BA711" i="1"/>
  <c r="AZ711" i="1"/>
  <c r="AY711" i="1"/>
  <c r="BE711" i="1" s="1" a="1"/>
  <c r="BE711" i="1" s="1"/>
  <c r="AX711" i="1"/>
  <c r="M711" i="1"/>
  <c r="EM699" i="1"/>
  <c r="EL699" i="1"/>
  <c r="EK699" i="1"/>
  <c r="DU699" i="1"/>
  <c r="DT699" i="1"/>
  <c r="DN699" i="1"/>
  <c r="DM699" i="1"/>
  <c r="DL699" i="1"/>
  <c r="DK699" i="1"/>
  <c r="DI699" i="1"/>
  <c r="DJ699" i="1" s="1"/>
  <c r="DB699" i="1"/>
  <c r="DC699" i="1" s="1"/>
  <c r="CX699" i="1"/>
  <c r="CN699" i="1"/>
  <c r="BS699" i="1"/>
  <c r="BD699" i="1"/>
  <c r="BC699" i="1"/>
  <c r="BB699" i="1"/>
  <c r="BA699" i="1"/>
  <c r="AZ699" i="1"/>
  <c r="AY699" i="1"/>
  <c r="BE699" i="1" s="1" a="1"/>
  <c r="BE699" i="1" s="1"/>
  <c r="AX699" i="1"/>
  <c r="M699" i="1"/>
  <c r="EM698" i="1"/>
  <c r="EL698" i="1"/>
  <c r="EK698" i="1"/>
  <c r="DU698" i="1"/>
  <c r="DT698" i="1"/>
  <c r="DN698" i="1"/>
  <c r="DM698" i="1"/>
  <c r="DL698" i="1"/>
  <c r="DK698" i="1"/>
  <c r="DI698" i="1"/>
  <c r="DJ698" i="1" s="1"/>
  <c r="DB698" i="1"/>
  <c r="DC698" i="1" s="1"/>
  <c r="CX698" i="1"/>
  <c r="CN698" i="1"/>
  <c r="CS698" i="1" s="1"/>
  <c r="BS698" i="1"/>
  <c r="BV698" i="1" s="1"/>
  <c r="BX698" i="1" s="1"/>
  <c r="BY698" i="1" s="1"/>
  <c r="BD698" i="1"/>
  <c r="BC698" i="1"/>
  <c r="BB698" i="1"/>
  <c r="BA698" i="1"/>
  <c r="AZ698" i="1"/>
  <c r="AY698" i="1"/>
  <c r="BE698" i="1" s="1" a="1"/>
  <c r="BE698" i="1" s="1"/>
  <c r="AX698" i="1"/>
  <c r="M698" i="1"/>
  <c r="EM697" i="1"/>
  <c r="EL697" i="1"/>
  <c r="EK697" i="1"/>
  <c r="DU697" i="1"/>
  <c r="DT697" i="1"/>
  <c r="DN697" i="1"/>
  <c r="DM697" i="1"/>
  <c r="DL697" i="1"/>
  <c r="DK697" i="1"/>
  <c r="DI697" i="1"/>
  <c r="DJ697" i="1" s="1"/>
  <c r="DB697" i="1"/>
  <c r="DC697" i="1" s="1"/>
  <c r="CX697" i="1"/>
  <c r="CN697" i="1"/>
  <c r="CS697" i="1" s="1"/>
  <c r="BS697" i="1"/>
  <c r="BV697" i="1" s="1"/>
  <c r="BX697" i="1" s="1"/>
  <c r="BM697" i="1"/>
  <c r="BD697" i="1"/>
  <c r="BC697" i="1"/>
  <c r="BB697" i="1"/>
  <c r="BA697" i="1"/>
  <c r="AZ697" i="1"/>
  <c r="AY697" i="1"/>
  <c r="BE697" i="1" s="1" a="1"/>
  <c r="BE697" i="1" s="1"/>
  <c r="AX697" i="1"/>
  <c r="M697" i="1"/>
  <c r="EM696" i="1"/>
  <c r="EL696" i="1"/>
  <c r="EK696" i="1"/>
  <c r="DU696" i="1"/>
  <c r="DT696" i="1"/>
  <c r="DN696" i="1"/>
  <c r="DM696" i="1"/>
  <c r="DL696" i="1"/>
  <c r="DK696" i="1"/>
  <c r="DI696" i="1"/>
  <c r="DJ696" i="1" s="1"/>
  <c r="DB696" i="1"/>
  <c r="DC696" i="1" s="1"/>
  <c r="CX696" i="1"/>
  <c r="CN696" i="1"/>
  <c r="BS696" i="1"/>
  <c r="BM696" i="1"/>
  <c r="BD696" i="1"/>
  <c r="BC696" i="1"/>
  <c r="BB696" i="1"/>
  <c r="BA696" i="1"/>
  <c r="AZ696" i="1"/>
  <c r="AY696" i="1"/>
  <c r="BE696" i="1" s="1" a="1"/>
  <c r="BE696" i="1" s="1"/>
  <c r="AX696" i="1"/>
  <c r="M696" i="1"/>
  <c r="EM695" i="1"/>
  <c r="EL695" i="1"/>
  <c r="EK695" i="1"/>
  <c r="DU695" i="1"/>
  <c r="DT695" i="1"/>
  <c r="DN695" i="1"/>
  <c r="DM695" i="1"/>
  <c r="DL695" i="1"/>
  <c r="DK695" i="1"/>
  <c r="DI695" i="1"/>
  <c r="DJ695" i="1" s="1"/>
  <c r="DB695" i="1"/>
  <c r="DC695" i="1" s="1"/>
  <c r="CX695" i="1"/>
  <c r="CN695" i="1"/>
  <c r="BS695" i="1"/>
  <c r="BV695" i="1" s="1"/>
  <c r="BX695" i="1" s="1"/>
  <c r="BY695" i="1" s="1"/>
  <c r="BD695" i="1"/>
  <c r="BC695" i="1"/>
  <c r="BB695" i="1"/>
  <c r="BA695" i="1"/>
  <c r="AZ695" i="1"/>
  <c r="AY695" i="1"/>
  <c r="BE695" i="1" s="1" a="1"/>
  <c r="BE695" i="1" s="1"/>
  <c r="AX695" i="1"/>
  <c r="M695" i="1"/>
  <c r="EM694" i="1"/>
  <c r="EL694" i="1"/>
  <c r="EK694" i="1"/>
  <c r="DU694" i="1"/>
  <c r="DT694" i="1"/>
  <c r="DN694" i="1"/>
  <c r="DM694" i="1"/>
  <c r="DL694" i="1"/>
  <c r="DK694" i="1"/>
  <c r="DI694" i="1"/>
  <c r="DJ694" i="1" s="1"/>
  <c r="DB694" i="1"/>
  <c r="DC694" i="1" s="1"/>
  <c r="CX694" i="1"/>
  <c r="CN694" i="1"/>
  <c r="CS694" i="1" s="1"/>
  <c r="BS694" i="1"/>
  <c r="BD694" i="1"/>
  <c r="BC694" i="1"/>
  <c r="BB694" i="1"/>
  <c r="BA694" i="1"/>
  <c r="AZ694" i="1"/>
  <c r="AY694" i="1"/>
  <c r="BE694" i="1" s="1" a="1"/>
  <c r="BE694" i="1" s="1"/>
  <c r="AX694" i="1"/>
  <c r="M694" i="1"/>
  <c r="EM693" i="1"/>
  <c r="EL693" i="1"/>
  <c r="EK693" i="1"/>
  <c r="DU693" i="1"/>
  <c r="DT693" i="1"/>
  <c r="DN693" i="1"/>
  <c r="DM693" i="1"/>
  <c r="DL693" i="1"/>
  <c r="DK693" i="1"/>
  <c r="DI693" i="1"/>
  <c r="DJ693" i="1" s="1"/>
  <c r="DB693" i="1"/>
  <c r="DC693" i="1" s="1"/>
  <c r="CX693" i="1"/>
  <c r="CN693" i="1"/>
  <c r="CS693" i="1" s="1"/>
  <c r="BS693" i="1"/>
  <c r="BU693" i="1" s="1"/>
  <c r="BD693" i="1"/>
  <c r="BC693" i="1"/>
  <c r="BB693" i="1"/>
  <c r="BA693" i="1"/>
  <c r="AZ693" i="1"/>
  <c r="AY693" i="1"/>
  <c r="BE693" i="1" s="1" a="1"/>
  <c r="BE693" i="1" s="1"/>
  <c r="AX693" i="1"/>
  <c r="M693" i="1"/>
  <c r="EM692" i="1"/>
  <c r="EL692" i="1"/>
  <c r="EK692" i="1"/>
  <c r="DU692" i="1"/>
  <c r="DT692" i="1"/>
  <c r="DN692" i="1"/>
  <c r="DM692" i="1"/>
  <c r="DL692" i="1"/>
  <c r="DK692" i="1"/>
  <c r="DI692" i="1"/>
  <c r="DJ692" i="1" s="1"/>
  <c r="DB692" i="1"/>
  <c r="DC692" i="1" s="1"/>
  <c r="CX692" i="1"/>
  <c r="CN692" i="1"/>
  <c r="CS692" i="1" s="1"/>
  <c r="BS692" i="1"/>
  <c r="BD692" i="1"/>
  <c r="BC692" i="1"/>
  <c r="BB692" i="1"/>
  <c r="BA692" i="1"/>
  <c r="AZ692" i="1"/>
  <c r="AY692" i="1"/>
  <c r="BE692" i="1" s="1" a="1"/>
  <c r="BE692" i="1" s="1"/>
  <c r="AX692" i="1"/>
  <c r="M692" i="1"/>
  <c r="EM691" i="1"/>
  <c r="EL691" i="1"/>
  <c r="EK691" i="1"/>
  <c r="DU691" i="1"/>
  <c r="DT691" i="1"/>
  <c r="DN691" i="1"/>
  <c r="DM691" i="1"/>
  <c r="DL691" i="1"/>
  <c r="DK691" i="1"/>
  <c r="DI691" i="1"/>
  <c r="DJ691" i="1" s="1"/>
  <c r="DB691" i="1"/>
  <c r="DC691" i="1" s="1"/>
  <c r="CX691" i="1"/>
  <c r="CN691" i="1"/>
  <c r="BS691" i="1"/>
  <c r="BV691" i="1" s="1"/>
  <c r="BX691" i="1" s="1"/>
  <c r="BY691" i="1" s="1"/>
  <c r="BD691" i="1"/>
  <c r="BC691" i="1"/>
  <c r="BB691" i="1"/>
  <c r="BA691" i="1"/>
  <c r="AZ691" i="1"/>
  <c r="AY691" i="1"/>
  <c r="BE691" i="1" s="1" a="1"/>
  <c r="BE691" i="1" s="1"/>
  <c r="AX691" i="1"/>
  <c r="M691" i="1"/>
  <c r="EM690" i="1"/>
  <c r="EL690" i="1"/>
  <c r="EK690" i="1"/>
  <c r="DU690" i="1"/>
  <c r="DT690" i="1"/>
  <c r="DN690" i="1"/>
  <c r="DM690" i="1"/>
  <c r="DL690" i="1"/>
  <c r="DK690" i="1"/>
  <c r="DI690" i="1"/>
  <c r="DJ690" i="1" s="1"/>
  <c r="DB690" i="1"/>
  <c r="DC690" i="1" s="1"/>
  <c r="CX690" i="1"/>
  <c r="CN690" i="1"/>
  <c r="CS690" i="1" s="1"/>
  <c r="BS690" i="1"/>
  <c r="BD690" i="1"/>
  <c r="BC690" i="1"/>
  <c r="BB690" i="1"/>
  <c r="BA690" i="1"/>
  <c r="AZ690" i="1"/>
  <c r="AY690" i="1"/>
  <c r="BE690" i="1" s="1" a="1"/>
  <c r="BE690" i="1" s="1"/>
  <c r="AX690" i="1"/>
  <c r="M690" i="1"/>
  <c r="EM689" i="1"/>
  <c r="EL689" i="1"/>
  <c r="EK689" i="1"/>
  <c r="DU689" i="1"/>
  <c r="DT689" i="1"/>
  <c r="DN689" i="1"/>
  <c r="DM689" i="1"/>
  <c r="DL689" i="1"/>
  <c r="DK689" i="1"/>
  <c r="DI689" i="1"/>
  <c r="DJ689" i="1" s="1"/>
  <c r="DB689" i="1"/>
  <c r="DC689" i="1" s="1"/>
  <c r="CX689" i="1"/>
  <c r="CN689" i="1"/>
  <c r="CS689" i="1" s="1"/>
  <c r="BS689" i="1"/>
  <c r="BV689" i="1" s="1"/>
  <c r="BX689" i="1" s="1"/>
  <c r="BD689" i="1"/>
  <c r="BC689" i="1"/>
  <c r="BB689" i="1"/>
  <c r="BA689" i="1"/>
  <c r="AZ689" i="1"/>
  <c r="AY689" i="1"/>
  <c r="BE689" i="1" s="1" a="1"/>
  <c r="BE689" i="1" s="1"/>
  <c r="AX689" i="1"/>
  <c r="M689" i="1"/>
  <c r="EM688" i="1"/>
  <c r="EL688" i="1"/>
  <c r="EK688" i="1"/>
  <c r="DU688" i="1"/>
  <c r="DT688" i="1"/>
  <c r="DN688" i="1"/>
  <c r="DM688" i="1"/>
  <c r="DL688" i="1"/>
  <c r="DK688" i="1"/>
  <c r="DI688" i="1"/>
  <c r="DJ688" i="1" s="1"/>
  <c r="DB688" i="1"/>
  <c r="DC688" i="1" s="1"/>
  <c r="CX688" i="1"/>
  <c r="CN688" i="1"/>
  <c r="BS688" i="1"/>
  <c r="BD688" i="1"/>
  <c r="BC688" i="1"/>
  <c r="BB688" i="1"/>
  <c r="BA688" i="1"/>
  <c r="AZ688" i="1"/>
  <c r="AY688" i="1"/>
  <c r="BE688" i="1" s="1" a="1"/>
  <c r="BE688" i="1" s="1"/>
  <c r="AX688" i="1"/>
  <c r="M688" i="1"/>
  <c r="EM686" i="1"/>
  <c r="EL686" i="1"/>
  <c r="EK686" i="1"/>
  <c r="DU686" i="1"/>
  <c r="DT686" i="1"/>
  <c r="DN686" i="1"/>
  <c r="DM686" i="1"/>
  <c r="DL686" i="1"/>
  <c r="DK686" i="1"/>
  <c r="DI686" i="1"/>
  <c r="DJ686" i="1" s="1"/>
  <c r="DC686" i="1"/>
  <c r="CX686" i="1"/>
  <c r="CN686" i="1"/>
  <c r="BY686" i="1"/>
  <c r="EP686" i="1" s="1"/>
  <c r="BD686" i="1"/>
  <c r="BC686" i="1"/>
  <c r="BB686" i="1"/>
  <c r="BA686" i="1"/>
  <c r="AZ686" i="1"/>
  <c r="AY686" i="1"/>
  <c r="BE686" i="1" s="1" a="1"/>
  <c r="BE686" i="1" s="1"/>
  <c r="AX686" i="1"/>
  <c r="M686" i="1"/>
  <c r="EM685" i="1"/>
  <c r="EL685" i="1"/>
  <c r="EK685" i="1"/>
  <c r="DU685" i="1"/>
  <c r="DT685" i="1"/>
  <c r="DN685" i="1"/>
  <c r="DM685" i="1"/>
  <c r="DL685" i="1"/>
  <c r="DK685" i="1"/>
  <c r="DI685" i="1"/>
  <c r="DJ685" i="1" s="1"/>
  <c r="DC685" i="1"/>
  <c r="CX685" i="1"/>
  <c r="CN685" i="1"/>
  <c r="BY685" i="1"/>
  <c r="EP685" i="1" s="1"/>
  <c r="BD685" i="1"/>
  <c r="BC685" i="1"/>
  <c r="BB685" i="1"/>
  <c r="BA685" i="1"/>
  <c r="AZ685" i="1"/>
  <c r="AY685" i="1"/>
  <c r="BE685" i="1" s="1" a="1"/>
  <c r="BE685" i="1" s="1"/>
  <c r="AX685" i="1"/>
  <c r="M685" i="1"/>
  <c r="EM684" i="1"/>
  <c r="EL684" i="1"/>
  <c r="EK684" i="1"/>
  <c r="DU684" i="1"/>
  <c r="DT684" i="1"/>
  <c r="DN684" i="1"/>
  <c r="DM684" i="1"/>
  <c r="DL684" i="1"/>
  <c r="DK684" i="1"/>
  <c r="DI684" i="1"/>
  <c r="DJ684" i="1" s="1"/>
  <c r="DC684" i="1"/>
  <c r="CX684" i="1"/>
  <c r="CN684" i="1"/>
  <c r="CR684" i="1" s="1"/>
  <c r="BY684" i="1"/>
  <c r="EP684" i="1" s="1"/>
  <c r="BD684" i="1"/>
  <c r="BC684" i="1"/>
  <c r="BB684" i="1"/>
  <c r="BA684" i="1"/>
  <c r="AZ684" i="1"/>
  <c r="AY684" i="1"/>
  <c r="BE684" i="1" s="1" a="1"/>
  <c r="BE684" i="1" s="1"/>
  <c r="AX684" i="1"/>
  <c r="M684" i="1"/>
  <c r="EM683" i="1"/>
  <c r="EL683" i="1"/>
  <c r="EK683" i="1"/>
  <c r="DU683" i="1"/>
  <c r="DT683" i="1"/>
  <c r="DN683" i="1"/>
  <c r="DM683" i="1"/>
  <c r="DL683" i="1"/>
  <c r="DK683" i="1"/>
  <c r="DI683" i="1"/>
  <c r="DJ683" i="1" s="1"/>
  <c r="DC683" i="1"/>
  <c r="CX683" i="1"/>
  <c r="CN683" i="1"/>
  <c r="CT683" i="1" s="1"/>
  <c r="CU683" i="1" s="1"/>
  <c r="BY683" i="1"/>
  <c r="EP683" i="1" s="1"/>
  <c r="BD683" i="1"/>
  <c r="BC683" i="1"/>
  <c r="BB683" i="1"/>
  <c r="BA683" i="1"/>
  <c r="AZ683" i="1"/>
  <c r="AY683" i="1"/>
  <c r="BE683" i="1" s="1" a="1"/>
  <c r="BE683" i="1" s="1"/>
  <c r="AX683" i="1"/>
  <c r="M683" i="1"/>
  <c r="EM682" i="1"/>
  <c r="EL682" i="1"/>
  <c r="EK682" i="1"/>
  <c r="DU682" i="1"/>
  <c r="DT682" i="1"/>
  <c r="DN682" i="1"/>
  <c r="DM682" i="1"/>
  <c r="DL682" i="1"/>
  <c r="DK682" i="1"/>
  <c r="DI682" i="1"/>
  <c r="DJ682" i="1" s="1"/>
  <c r="DC682" i="1"/>
  <c r="CX682" i="1"/>
  <c r="CN682" i="1"/>
  <c r="CR682" i="1" s="1"/>
  <c r="BY682" i="1"/>
  <c r="EP682" i="1" s="1"/>
  <c r="BD682" i="1"/>
  <c r="BC682" i="1"/>
  <c r="BB682" i="1"/>
  <c r="BA682" i="1"/>
  <c r="AZ682" i="1"/>
  <c r="AY682" i="1"/>
  <c r="BE682" i="1" s="1" a="1"/>
  <c r="BE682" i="1" s="1"/>
  <c r="AX682" i="1"/>
  <c r="M682" i="1"/>
  <c r="EM681" i="1"/>
  <c r="EL681" i="1"/>
  <c r="EK681" i="1"/>
  <c r="DU681" i="1"/>
  <c r="DT681" i="1"/>
  <c r="DN681" i="1"/>
  <c r="DM681" i="1"/>
  <c r="DL681" i="1"/>
  <c r="DK681" i="1"/>
  <c r="DI681" i="1"/>
  <c r="DJ681" i="1" s="1"/>
  <c r="DC681" i="1"/>
  <c r="CX681" i="1"/>
  <c r="CN681" i="1"/>
  <c r="CR681" i="1" s="1"/>
  <c r="BY681" i="1"/>
  <c r="EP681" i="1" s="1"/>
  <c r="BD681" i="1"/>
  <c r="BC681" i="1"/>
  <c r="BB681" i="1"/>
  <c r="BA681" i="1"/>
  <c r="AZ681" i="1"/>
  <c r="AY681" i="1"/>
  <c r="BE681" i="1" s="1" a="1"/>
  <c r="BE681" i="1" s="1"/>
  <c r="AX681" i="1"/>
  <c r="M681" i="1"/>
  <c r="EM680" i="1"/>
  <c r="EL680" i="1"/>
  <c r="EK680" i="1"/>
  <c r="DU680" i="1"/>
  <c r="DT680" i="1"/>
  <c r="DN680" i="1"/>
  <c r="DM680" i="1"/>
  <c r="DL680" i="1"/>
  <c r="DK680" i="1"/>
  <c r="DI680" i="1"/>
  <c r="DJ680" i="1" s="1"/>
  <c r="DC680" i="1"/>
  <c r="CX680" i="1"/>
  <c r="CN680" i="1"/>
  <c r="CT680" i="1" s="1"/>
  <c r="CU680" i="1" s="1"/>
  <c r="BY680" i="1"/>
  <c r="EP680" i="1" s="1"/>
  <c r="BM680" i="1"/>
  <c r="BD680" i="1"/>
  <c r="BC680" i="1"/>
  <c r="BB680" i="1"/>
  <c r="BA680" i="1"/>
  <c r="AZ680" i="1"/>
  <c r="AY680" i="1"/>
  <c r="BE680" i="1" s="1" a="1"/>
  <c r="BE680" i="1" s="1"/>
  <c r="AX680" i="1"/>
  <c r="M680" i="1"/>
  <c r="EM657" i="1"/>
  <c r="EL657" i="1"/>
  <c r="EK657" i="1"/>
  <c r="DU657" i="1"/>
  <c r="DT657" i="1"/>
  <c r="DN657" i="1"/>
  <c r="DM657" i="1"/>
  <c r="DL657" i="1"/>
  <c r="DK657" i="1"/>
  <c r="DI657" i="1"/>
  <c r="DJ657" i="1" s="1"/>
  <c r="DC657" i="1"/>
  <c r="CX657" i="1"/>
  <c r="CN657" i="1"/>
  <c r="BY657" i="1"/>
  <c r="EP657" i="1" s="1"/>
  <c r="BD657" i="1"/>
  <c r="BC657" i="1"/>
  <c r="BB657" i="1"/>
  <c r="BA657" i="1"/>
  <c r="AZ657" i="1"/>
  <c r="AY657" i="1"/>
  <c r="AX657" i="1"/>
  <c r="M657" i="1"/>
  <c r="EM656" i="1"/>
  <c r="EL656" i="1"/>
  <c r="EK656" i="1"/>
  <c r="DU656" i="1"/>
  <c r="DT656" i="1"/>
  <c r="DN656" i="1"/>
  <c r="DM656" i="1"/>
  <c r="DL656" i="1"/>
  <c r="DK656" i="1"/>
  <c r="DI656" i="1"/>
  <c r="DJ656" i="1" s="1"/>
  <c r="DC656" i="1"/>
  <c r="CX656" i="1"/>
  <c r="CN656" i="1"/>
  <c r="BY656" i="1"/>
  <c r="EP656" i="1" s="1"/>
  <c r="BM656" i="1"/>
  <c r="BD656" i="1"/>
  <c r="BC656" i="1"/>
  <c r="BB656" i="1"/>
  <c r="BA656" i="1"/>
  <c r="AZ656" i="1"/>
  <c r="AY656" i="1"/>
  <c r="AX656" i="1"/>
  <c r="M656" i="1"/>
  <c r="EM655" i="1"/>
  <c r="EL655" i="1"/>
  <c r="EK655" i="1"/>
  <c r="DU655" i="1"/>
  <c r="DT655" i="1"/>
  <c r="DN655" i="1"/>
  <c r="DM655" i="1"/>
  <c r="DL655" i="1"/>
  <c r="DK655" i="1"/>
  <c r="DI655" i="1"/>
  <c r="DJ655" i="1" s="1"/>
  <c r="DC655" i="1"/>
  <c r="CX655" i="1"/>
  <c r="CN655" i="1"/>
  <c r="CS655" i="1" s="1"/>
  <c r="BX655" i="1"/>
  <c r="BY655" i="1" s="1"/>
  <c r="BD655" i="1"/>
  <c r="BC655" i="1"/>
  <c r="BB655" i="1"/>
  <c r="BA655" i="1"/>
  <c r="AZ655" i="1"/>
  <c r="AY655" i="1"/>
  <c r="BE655" i="1" s="1" a="1"/>
  <c r="BE655" i="1" s="1"/>
  <c r="AX655" i="1"/>
  <c r="M655" i="1"/>
  <c r="EM654" i="1"/>
  <c r="EL654" i="1"/>
  <c r="EK654" i="1"/>
  <c r="DU654" i="1"/>
  <c r="DT654" i="1"/>
  <c r="DN654" i="1"/>
  <c r="DM654" i="1"/>
  <c r="DL654" i="1"/>
  <c r="DK654" i="1"/>
  <c r="DI654" i="1"/>
  <c r="DJ654" i="1" s="1"/>
  <c r="DC654" i="1"/>
  <c r="CX654" i="1"/>
  <c r="CN654" i="1"/>
  <c r="CR654" i="1" s="1"/>
  <c r="BX654" i="1"/>
  <c r="BY654" i="1" s="1"/>
  <c r="BD654" i="1"/>
  <c r="BC654" i="1"/>
  <c r="BB654" i="1"/>
  <c r="BA654" i="1"/>
  <c r="AZ654" i="1"/>
  <c r="AY654" i="1"/>
  <c r="BE654" i="1" s="1" a="1"/>
  <c r="BE654" i="1" s="1"/>
  <c r="AX654" i="1"/>
  <c r="M654" i="1"/>
  <c r="EM653" i="1"/>
  <c r="EL653" i="1"/>
  <c r="EK653" i="1"/>
  <c r="DU653" i="1"/>
  <c r="DT653" i="1"/>
  <c r="DN653" i="1"/>
  <c r="DM653" i="1"/>
  <c r="DL653" i="1"/>
  <c r="DK653" i="1"/>
  <c r="DI653" i="1"/>
  <c r="DJ653" i="1" s="1"/>
  <c r="DC653" i="1"/>
  <c r="CX653" i="1"/>
  <c r="CN653" i="1"/>
  <c r="CS653" i="1" s="1"/>
  <c r="BX653" i="1"/>
  <c r="BY653" i="1" s="1"/>
  <c r="BD653" i="1"/>
  <c r="BC653" i="1"/>
  <c r="BB653" i="1"/>
  <c r="BA653" i="1"/>
  <c r="AZ653" i="1"/>
  <c r="AY653" i="1"/>
  <c r="BE653" i="1" s="1" a="1"/>
  <c r="BE653" i="1" s="1"/>
  <c r="AX653" i="1"/>
  <c r="M653" i="1"/>
  <c r="EM652" i="1"/>
  <c r="EL652" i="1"/>
  <c r="EK652" i="1"/>
  <c r="DU652" i="1"/>
  <c r="DT652" i="1"/>
  <c r="DN652" i="1"/>
  <c r="DM652" i="1"/>
  <c r="DL652" i="1"/>
  <c r="DK652" i="1"/>
  <c r="DI652" i="1"/>
  <c r="DJ652" i="1" s="1"/>
  <c r="DC652" i="1"/>
  <c r="CX652" i="1"/>
  <c r="CN652" i="1"/>
  <c r="CR652" i="1" s="1"/>
  <c r="BX652" i="1"/>
  <c r="BY652" i="1" s="1"/>
  <c r="BD652" i="1"/>
  <c r="BC652" i="1"/>
  <c r="BB652" i="1"/>
  <c r="BA652" i="1"/>
  <c r="AZ652" i="1"/>
  <c r="AY652" i="1"/>
  <c r="BE652" i="1" s="1" a="1"/>
  <c r="BE652" i="1" s="1"/>
  <c r="AX652" i="1"/>
  <c r="M652" i="1"/>
  <c r="EM604" i="1"/>
  <c r="EL604" i="1"/>
  <c r="EK604" i="1"/>
  <c r="DU604" i="1"/>
  <c r="DT604" i="1"/>
  <c r="DN604" i="1"/>
  <c r="DM604" i="1"/>
  <c r="DL604" i="1"/>
  <c r="DK604" i="1"/>
  <c r="DI604" i="1"/>
  <c r="DJ604" i="1" s="1"/>
  <c r="DC604" i="1"/>
  <c r="CX604" i="1"/>
  <c r="CN604" i="1"/>
  <c r="CS604" i="1" s="1"/>
  <c r="BV604" i="1"/>
  <c r="BX604" i="1" s="1"/>
  <c r="BU604" i="1"/>
  <c r="BN604" i="1"/>
  <c r="BO604" i="1" s="1"/>
  <c r="BM604" i="1"/>
  <c r="BD604" i="1"/>
  <c r="BC604" i="1"/>
  <c r="BB604" i="1"/>
  <c r="BA604" i="1"/>
  <c r="AZ604" i="1"/>
  <c r="AY604" i="1"/>
  <c r="BE604" i="1" s="1" a="1"/>
  <c r="BE604" i="1" s="1"/>
  <c r="AX604" i="1"/>
  <c r="M604" i="1"/>
  <c r="EM603" i="1"/>
  <c r="EL603" i="1"/>
  <c r="EK603" i="1"/>
  <c r="DU603" i="1"/>
  <c r="DT603" i="1"/>
  <c r="DN603" i="1"/>
  <c r="DM603" i="1"/>
  <c r="DL603" i="1"/>
  <c r="DK603" i="1"/>
  <c r="DI603" i="1"/>
  <c r="DJ603" i="1" s="1"/>
  <c r="DC603" i="1"/>
  <c r="CX603" i="1"/>
  <c r="CN603" i="1"/>
  <c r="BV603" i="1"/>
  <c r="BX603" i="1" s="1"/>
  <c r="BU603" i="1"/>
  <c r="BN603" i="1"/>
  <c r="BO603" i="1" s="1"/>
  <c r="BM603" i="1"/>
  <c r="BD603" i="1"/>
  <c r="BC603" i="1"/>
  <c r="BB603" i="1"/>
  <c r="BA603" i="1"/>
  <c r="AZ603" i="1"/>
  <c r="AY603" i="1"/>
  <c r="BE603" i="1" s="1" a="1"/>
  <c r="BE603" i="1" s="1"/>
  <c r="AX603" i="1"/>
  <c r="M603" i="1"/>
  <c r="EM602" i="1"/>
  <c r="EL602" i="1"/>
  <c r="EK602" i="1"/>
  <c r="DU602" i="1"/>
  <c r="DT602" i="1"/>
  <c r="DN602" i="1"/>
  <c r="DM602" i="1"/>
  <c r="DL602" i="1"/>
  <c r="DK602" i="1"/>
  <c r="DI602" i="1"/>
  <c r="DJ602" i="1" s="1"/>
  <c r="DC602" i="1"/>
  <c r="CX602" i="1"/>
  <c r="CN602" i="1"/>
  <c r="CP602" i="1" s="1"/>
  <c r="BV602" i="1"/>
  <c r="BX602" i="1" s="1"/>
  <c r="BU602" i="1"/>
  <c r="BN602" i="1"/>
  <c r="BO602" i="1" s="1"/>
  <c r="BM602" i="1"/>
  <c r="BD602" i="1"/>
  <c r="BC602" i="1"/>
  <c r="BB602" i="1"/>
  <c r="BA602" i="1"/>
  <c r="AZ602" i="1"/>
  <c r="AY602" i="1"/>
  <c r="BE602" i="1" s="1" a="1"/>
  <c r="BE602" i="1" s="1"/>
  <c r="AX602" i="1"/>
  <c r="M602" i="1"/>
  <c r="EM512" i="1"/>
  <c r="EL512" i="1"/>
  <c r="EK512" i="1"/>
  <c r="DU512" i="1"/>
  <c r="DT512" i="1"/>
  <c r="DN512" i="1"/>
  <c r="DM512" i="1"/>
  <c r="DL512" i="1"/>
  <c r="DK512" i="1"/>
  <c r="DI512" i="1"/>
  <c r="DJ512" i="1" s="1"/>
  <c r="DB512" i="1"/>
  <c r="DC512" i="1" s="1"/>
  <c r="CX512" i="1"/>
  <c r="CN512" i="1"/>
  <c r="BX512" i="1"/>
  <c r="BO512" i="1"/>
  <c r="BD512" i="1"/>
  <c r="BC512" i="1"/>
  <c r="BB512" i="1"/>
  <c r="BA512" i="1"/>
  <c r="AZ512" i="1"/>
  <c r="AY512" i="1"/>
  <c r="BE512" i="1" s="1" a="1"/>
  <c r="BE512" i="1" s="1"/>
  <c r="AX512" i="1"/>
  <c r="M512" i="1"/>
  <c r="EM511" i="1"/>
  <c r="EL511" i="1"/>
  <c r="EK511" i="1"/>
  <c r="DU511" i="1"/>
  <c r="DT511" i="1"/>
  <c r="DN511" i="1"/>
  <c r="DM511" i="1"/>
  <c r="DL511" i="1"/>
  <c r="DK511" i="1"/>
  <c r="DI511" i="1"/>
  <c r="DJ511" i="1" s="1"/>
  <c r="DB511" i="1"/>
  <c r="DC511" i="1" s="1"/>
  <c r="CX511" i="1"/>
  <c r="CN511" i="1"/>
  <c r="BX511" i="1"/>
  <c r="BO511" i="1"/>
  <c r="BD511" i="1"/>
  <c r="BC511" i="1"/>
  <c r="BB511" i="1"/>
  <c r="BA511" i="1"/>
  <c r="AZ511" i="1"/>
  <c r="AY511" i="1"/>
  <c r="BE511" i="1" s="1" a="1"/>
  <c r="BE511" i="1" s="1"/>
  <c r="AX511" i="1"/>
  <c r="M511" i="1"/>
  <c r="EM515" i="1"/>
  <c r="EL515" i="1"/>
  <c r="EK515" i="1"/>
  <c r="DU515" i="1"/>
  <c r="DT515" i="1"/>
  <c r="DN515" i="1"/>
  <c r="DM515" i="1"/>
  <c r="DL515" i="1"/>
  <c r="DK515" i="1"/>
  <c r="DI515" i="1"/>
  <c r="DJ515" i="1" s="1"/>
  <c r="DB515" i="1"/>
  <c r="DC515" i="1" s="1"/>
  <c r="CX515" i="1"/>
  <c r="CN515" i="1"/>
  <c r="BX515" i="1"/>
  <c r="BY515" i="1" s="1"/>
  <c r="EP515" i="1" s="1"/>
  <c r="BD515" i="1"/>
  <c r="BC515" i="1"/>
  <c r="BB515" i="1"/>
  <c r="BA515" i="1"/>
  <c r="AZ515" i="1"/>
  <c r="AY515" i="1"/>
  <c r="AX515" i="1"/>
  <c r="M515" i="1"/>
  <c r="EM514" i="1"/>
  <c r="EL514" i="1"/>
  <c r="EK514" i="1"/>
  <c r="DU514" i="1"/>
  <c r="DT514" i="1"/>
  <c r="DN514" i="1"/>
  <c r="DM514" i="1"/>
  <c r="DL514" i="1"/>
  <c r="DK514" i="1"/>
  <c r="DI514" i="1"/>
  <c r="DJ514" i="1" s="1"/>
  <c r="DB514" i="1"/>
  <c r="DC514" i="1" s="1"/>
  <c r="CX514" i="1"/>
  <c r="CN514" i="1"/>
  <c r="CS514" i="1" s="1"/>
  <c r="BX514" i="1"/>
  <c r="BY514" i="1" s="1"/>
  <c r="EP514" i="1" s="1"/>
  <c r="BD514" i="1"/>
  <c r="BC514" i="1"/>
  <c r="BB514" i="1"/>
  <c r="BA514" i="1"/>
  <c r="AZ514" i="1"/>
  <c r="AY514" i="1"/>
  <c r="AX514" i="1"/>
  <c r="M514" i="1"/>
  <c r="EM513" i="1"/>
  <c r="EL513" i="1"/>
  <c r="EK513" i="1"/>
  <c r="DU513" i="1"/>
  <c r="DT513" i="1"/>
  <c r="DN513" i="1"/>
  <c r="DM513" i="1"/>
  <c r="DL513" i="1"/>
  <c r="DK513" i="1"/>
  <c r="DI513" i="1"/>
  <c r="DJ513" i="1" s="1"/>
  <c r="DB513" i="1"/>
  <c r="DC513" i="1" s="1"/>
  <c r="CX513" i="1"/>
  <c r="CN513" i="1"/>
  <c r="BX513" i="1"/>
  <c r="BY513" i="1" s="1"/>
  <c r="EP513" i="1" s="1"/>
  <c r="BD513" i="1"/>
  <c r="BC513" i="1"/>
  <c r="BB513" i="1"/>
  <c r="BA513" i="1"/>
  <c r="AZ513" i="1"/>
  <c r="AY513" i="1"/>
  <c r="AX513" i="1"/>
  <c r="M513" i="1"/>
  <c r="EM460" i="1"/>
  <c r="EL460" i="1"/>
  <c r="EK460" i="1"/>
  <c r="DU460" i="1"/>
  <c r="DT460" i="1"/>
  <c r="DN460" i="1"/>
  <c r="DM460" i="1"/>
  <c r="DL460" i="1"/>
  <c r="DK460" i="1"/>
  <c r="DI460" i="1"/>
  <c r="DJ460" i="1" s="1"/>
  <c r="DB460" i="1"/>
  <c r="DC460" i="1" s="1"/>
  <c r="CX460" i="1"/>
  <c r="CN460" i="1"/>
  <c r="CS460" i="1" s="1"/>
  <c r="BV460" i="1"/>
  <c r="BX460" i="1" s="1"/>
  <c r="BY460" i="1" s="1"/>
  <c r="BU460" i="1"/>
  <c r="BD460" i="1"/>
  <c r="BC460" i="1"/>
  <c r="BB460" i="1"/>
  <c r="BA460" i="1"/>
  <c r="AZ460" i="1"/>
  <c r="AY460" i="1"/>
  <c r="BE460" i="1" s="1" a="1"/>
  <c r="BE460" i="1" s="1"/>
  <c r="AX460" i="1"/>
  <c r="M460" i="1"/>
  <c r="EM459" i="1"/>
  <c r="EL459" i="1"/>
  <c r="EK459" i="1"/>
  <c r="DU459" i="1"/>
  <c r="DT459" i="1"/>
  <c r="DN459" i="1"/>
  <c r="DM459" i="1"/>
  <c r="DL459" i="1"/>
  <c r="DK459" i="1"/>
  <c r="DI459" i="1"/>
  <c r="DJ459" i="1" s="1"/>
  <c r="DB459" i="1"/>
  <c r="DC459" i="1" s="1"/>
  <c r="CX459" i="1"/>
  <c r="CN459" i="1"/>
  <c r="BV459" i="1"/>
  <c r="BX459" i="1" s="1"/>
  <c r="BY459" i="1" s="1"/>
  <c r="BU459" i="1"/>
  <c r="BD459" i="1"/>
  <c r="BC459" i="1"/>
  <c r="BB459" i="1"/>
  <c r="BA459" i="1"/>
  <c r="AZ459" i="1"/>
  <c r="AY459" i="1"/>
  <c r="BE459" i="1" s="1" a="1"/>
  <c r="BE459" i="1" s="1"/>
  <c r="AX459" i="1"/>
  <c r="M459" i="1"/>
  <c r="EM427" i="1"/>
  <c r="EL427" i="1"/>
  <c r="EK427" i="1"/>
  <c r="DU427" i="1"/>
  <c r="DT427" i="1"/>
  <c r="DN427" i="1"/>
  <c r="DM427" i="1"/>
  <c r="DL427" i="1"/>
  <c r="DK427" i="1"/>
  <c r="DI427" i="1"/>
  <c r="DJ427" i="1" s="1"/>
  <c r="DC427" i="1"/>
  <c r="CX427" i="1"/>
  <c r="CN427" i="1"/>
  <c r="BX427" i="1"/>
  <c r="BY427" i="1" s="1"/>
  <c r="BD427" i="1"/>
  <c r="BC427" i="1"/>
  <c r="BB427" i="1"/>
  <c r="BA427" i="1"/>
  <c r="AZ427" i="1"/>
  <c r="AY427" i="1"/>
  <c r="BE427" i="1" s="1" a="1"/>
  <c r="BE427" i="1" s="1"/>
  <c r="AX427" i="1"/>
  <c r="M427" i="1"/>
  <c r="EM426" i="1"/>
  <c r="EL426" i="1"/>
  <c r="EK426" i="1"/>
  <c r="DU426" i="1"/>
  <c r="DT426" i="1"/>
  <c r="DN426" i="1"/>
  <c r="DM426" i="1"/>
  <c r="DL426" i="1"/>
  <c r="DK426" i="1"/>
  <c r="DI426" i="1"/>
  <c r="DJ426" i="1" s="1"/>
  <c r="DC426" i="1"/>
  <c r="CX426" i="1"/>
  <c r="CN426" i="1"/>
  <c r="BX426" i="1"/>
  <c r="BY426" i="1" s="1"/>
  <c r="BD426" i="1"/>
  <c r="BC426" i="1"/>
  <c r="BB426" i="1"/>
  <c r="BA426" i="1"/>
  <c r="AZ426" i="1"/>
  <c r="AY426" i="1"/>
  <c r="BE426" i="1" s="1" a="1"/>
  <c r="BE426" i="1" s="1"/>
  <c r="AX426" i="1"/>
  <c r="M426" i="1"/>
  <c r="EM425" i="1"/>
  <c r="EL425" i="1"/>
  <c r="EK425" i="1"/>
  <c r="DU425" i="1"/>
  <c r="DT425" i="1"/>
  <c r="DN425" i="1"/>
  <c r="DM425" i="1"/>
  <c r="DL425" i="1"/>
  <c r="DK425" i="1"/>
  <c r="DI425" i="1"/>
  <c r="DJ425" i="1" s="1"/>
  <c r="DC425" i="1"/>
  <c r="CX425" i="1"/>
  <c r="CN425" i="1"/>
  <c r="BX425" i="1"/>
  <c r="BY425" i="1" s="1"/>
  <c r="EP425" i="1" s="1"/>
  <c r="BD425" i="1"/>
  <c r="BC425" i="1"/>
  <c r="BB425" i="1"/>
  <c r="BA425" i="1"/>
  <c r="AZ425" i="1"/>
  <c r="AY425" i="1"/>
  <c r="BE425" i="1" s="1" a="1"/>
  <c r="BE425" i="1" s="1"/>
  <c r="AX425" i="1"/>
  <c r="M425" i="1"/>
  <c r="EM424" i="1"/>
  <c r="EL424" i="1"/>
  <c r="EK424" i="1"/>
  <c r="DU424" i="1"/>
  <c r="DT424" i="1"/>
  <c r="DN424" i="1"/>
  <c r="DM424" i="1"/>
  <c r="DL424" i="1"/>
  <c r="DK424" i="1"/>
  <c r="DI424" i="1"/>
  <c r="DJ424" i="1" s="1"/>
  <c r="DC424" i="1"/>
  <c r="CX424" i="1"/>
  <c r="CN424" i="1"/>
  <c r="BX424" i="1"/>
  <c r="BY424" i="1" s="1"/>
  <c r="EP424" i="1" s="1"/>
  <c r="BD424" i="1"/>
  <c r="BC424" i="1"/>
  <c r="BB424" i="1"/>
  <c r="BA424" i="1"/>
  <c r="AZ424" i="1"/>
  <c r="AY424" i="1"/>
  <c r="BE424" i="1" s="1" a="1"/>
  <c r="BE424" i="1" s="1"/>
  <c r="AX424" i="1"/>
  <c r="M424" i="1"/>
  <c r="EM421" i="1"/>
  <c r="EL421" i="1"/>
  <c r="EK421" i="1"/>
  <c r="DU421" i="1"/>
  <c r="DT421" i="1"/>
  <c r="DN421" i="1"/>
  <c r="DM421" i="1"/>
  <c r="DL421" i="1"/>
  <c r="DK421" i="1"/>
  <c r="DI421" i="1"/>
  <c r="DJ421" i="1" s="1"/>
  <c r="DB421" i="1"/>
  <c r="DC421" i="1" s="1"/>
  <c r="CX421" i="1"/>
  <c r="CN421" i="1"/>
  <c r="BX421" i="1"/>
  <c r="BY421" i="1" s="1"/>
  <c r="BN421" i="1"/>
  <c r="BD421" i="1"/>
  <c r="BC421" i="1"/>
  <c r="BB421" i="1"/>
  <c r="BA421" i="1"/>
  <c r="AZ421" i="1"/>
  <c r="AY421" i="1"/>
  <c r="BE421" i="1" s="1" a="1"/>
  <c r="BE421" i="1" s="1"/>
  <c r="AX421" i="1"/>
  <c r="M421" i="1"/>
  <c r="EM420" i="1"/>
  <c r="EL420" i="1"/>
  <c r="EK420" i="1"/>
  <c r="DU420" i="1"/>
  <c r="DT420" i="1"/>
  <c r="DN420" i="1"/>
  <c r="DM420" i="1"/>
  <c r="DL420" i="1"/>
  <c r="DK420" i="1"/>
  <c r="DI420" i="1"/>
  <c r="DJ420" i="1" s="1"/>
  <c r="DB420" i="1"/>
  <c r="DC420" i="1" s="1"/>
  <c r="CX420" i="1"/>
  <c r="CN420" i="1"/>
  <c r="CO420" i="1" s="1"/>
  <c r="BX420" i="1"/>
  <c r="BY420" i="1" s="1"/>
  <c r="BN420" i="1"/>
  <c r="BD420" i="1"/>
  <c r="BC420" i="1"/>
  <c r="BB420" i="1"/>
  <c r="BA420" i="1"/>
  <c r="AZ420" i="1"/>
  <c r="AY420" i="1"/>
  <c r="BE420" i="1" s="1" a="1"/>
  <c r="BE420" i="1" s="1"/>
  <c r="AX420" i="1"/>
  <c r="M420" i="1"/>
  <c r="EM419" i="1"/>
  <c r="EL419" i="1"/>
  <c r="EK419" i="1"/>
  <c r="DU419" i="1"/>
  <c r="DT419" i="1"/>
  <c r="DN419" i="1"/>
  <c r="DM419" i="1"/>
  <c r="DL419" i="1"/>
  <c r="DK419" i="1"/>
  <c r="DI419" i="1"/>
  <c r="DJ419" i="1" s="1"/>
  <c r="DB419" i="1"/>
  <c r="DC419" i="1" s="1"/>
  <c r="CX419" i="1"/>
  <c r="CN419" i="1"/>
  <c r="CS419" i="1" s="1"/>
  <c r="BX419" i="1"/>
  <c r="BY419" i="1" s="1"/>
  <c r="BN419" i="1"/>
  <c r="BD419" i="1"/>
  <c r="BC419" i="1"/>
  <c r="BB419" i="1"/>
  <c r="BA419" i="1"/>
  <c r="AZ419" i="1"/>
  <c r="AY419" i="1"/>
  <c r="BE419" i="1" s="1" a="1"/>
  <c r="BE419" i="1" s="1"/>
  <c r="AX419" i="1"/>
  <c r="M419" i="1"/>
  <c r="EM418" i="1"/>
  <c r="EL418" i="1"/>
  <c r="EK418" i="1"/>
  <c r="DU418" i="1"/>
  <c r="DT418" i="1"/>
  <c r="DN418" i="1"/>
  <c r="DM418" i="1"/>
  <c r="DL418" i="1"/>
  <c r="DK418" i="1"/>
  <c r="DI418" i="1"/>
  <c r="DJ418" i="1" s="1"/>
  <c r="DB418" i="1"/>
  <c r="DC418" i="1" s="1"/>
  <c r="CX418" i="1"/>
  <c r="CN418" i="1"/>
  <c r="BX418" i="1"/>
  <c r="BN418" i="1"/>
  <c r="BO418" i="1" s="1"/>
  <c r="BD418" i="1"/>
  <c r="BC418" i="1"/>
  <c r="BB418" i="1"/>
  <c r="BA418" i="1"/>
  <c r="AZ418" i="1"/>
  <c r="AY418" i="1"/>
  <c r="BE418" i="1" s="1" a="1"/>
  <c r="BE418" i="1" s="1"/>
  <c r="AX418" i="1"/>
  <c r="M418" i="1"/>
  <c r="EM417" i="1"/>
  <c r="EL417" i="1"/>
  <c r="EK417" i="1"/>
  <c r="DU417" i="1"/>
  <c r="DT417" i="1"/>
  <c r="DN417" i="1"/>
  <c r="DM417" i="1"/>
  <c r="DL417" i="1"/>
  <c r="DK417" i="1"/>
  <c r="DI417" i="1"/>
  <c r="DJ417" i="1" s="1"/>
  <c r="DB417" i="1"/>
  <c r="DC417" i="1" s="1"/>
  <c r="CX417" i="1"/>
  <c r="CN417" i="1"/>
  <c r="CS417" i="1" s="1"/>
  <c r="BX417" i="1"/>
  <c r="BN417" i="1"/>
  <c r="BO417" i="1" s="1"/>
  <c r="BD417" i="1"/>
  <c r="BC417" i="1"/>
  <c r="BB417" i="1"/>
  <c r="BA417" i="1"/>
  <c r="AZ417" i="1"/>
  <c r="AY417" i="1"/>
  <c r="BE417" i="1" s="1" a="1"/>
  <c r="BE417" i="1" s="1"/>
  <c r="AX417" i="1"/>
  <c r="M417" i="1"/>
  <c r="EM416" i="1"/>
  <c r="EL416" i="1"/>
  <c r="EK416" i="1"/>
  <c r="DU416" i="1"/>
  <c r="DT416" i="1"/>
  <c r="DN416" i="1"/>
  <c r="DM416" i="1"/>
  <c r="DL416" i="1"/>
  <c r="DK416" i="1"/>
  <c r="DI416" i="1"/>
  <c r="DJ416" i="1" s="1"/>
  <c r="DC416" i="1"/>
  <c r="CX416" i="1"/>
  <c r="CN416" i="1"/>
  <c r="CO416" i="1" s="1"/>
  <c r="BX416" i="1"/>
  <c r="BN416" i="1"/>
  <c r="BO416" i="1" s="1"/>
  <c r="BD416" i="1"/>
  <c r="BC416" i="1"/>
  <c r="BB416" i="1"/>
  <c r="BA416" i="1"/>
  <c r="AZ416" i="1"/>
  <c r="AY416" i="1"/>
  <c r="BE416" i="1" s="1" a="1"/>
  <c r="BE416" i="1" s="1"/>
  <c r="AX416" i="1"/>
  <c r="M416" i="1"/>
  <c r="EM415" i="1"/>
  <c r="EL415" i="1"/>
  <c r="EK415" i="1"/>
  <c r="DU415" i="1"/>
  <c r="DT415" i="1"/>
  <c r="DN415" i="1"/>
  <c r="DM415" i="1"/>
  <c r="DL415" i="1"/>
  <c r="DK415" i="1"/>
  <c r="DI415" i="1"/>
  <c r="DJ415" i="1" s="1"/>
  <c r="DC415" i="1"/>
  <c r="CX415" i="1"/>
  <c r="CN415" i="1"/>
  <c r="BX415" i="1"/>
  <c r="BN415" i="1"/>
  <c r="BO415" i="1" s="1"/>
  <c r="BD415" i="1"/>
  <c r="BC415" i="1"/>
  <c r="BB415" i="1"/>
  <c r="BA415" i="1"/>
  <c r="AZ415" i="1"/>
  <c r="AY415" i="1"/>
  <c r="BE415" i="1" s="1" a="1"/>
  <c r="BE415" i="1" s="1"/>
  <c r="AX415" i="1"/>
  <c r="M415" i="1"/>
  <c r="EM408" i="1"/>
  <c r="EL408" i="1"/>
  <c r="EK408" i="1"/>
  <c r="DU408" i="1"/>
  <c r="DT408" i="1"/>
  <c r="DN408" i="1"/>
  <c r="DM408" i="1"/>
  <c r="DL408" i="1"/>
  <c r="DK408" i="1"/>
  <c r="DI408" i="1"/>
  <c r="DJ408" i="1" s="1"/>
  <c r="DC408" i="1"/>
  <c r="CX408" i="1"/>
  <c r="CN408" i="1"/>
  <c r="CR408" i="1" s="1"/>
  <c r="BX408" i="1"/>
  <c r="BY408" i="1" s="1"/>
  <c r="BD408" i="1"/>
  <c r="BC408" i="1"/>
  <c r="BB408" i="1"/>
  <c r="BA408" i="1"/>
  <c r="AZ408" i="1"/>
  <c r="AY408" i="1"/>
  <c r="BE408" i="1" s="1" a="1"/>
  <c r="BE408" i="1" s="1"/>
  <c r="AX408" i="1"/>
  <c r="M408" i="1"/>
  <c r="EM407" i="1"/>
  <c r="EL407" i="1"/>
  <c r="EK407" i="1"/>
  <c r="DU407" i="1"/>
  <c r="DT407" i="1"/>
  <c r="DN407" i="1"/>
  <c r="DM407" i="1"/>
  <c r="DL407" i="1"/>
  <c r="DK407" i="1"/>
  <c r="DI407" i="1"/>
  <c r="DJ407" i="1" s="1"/>
  <c r="DC407" i="1"/>
  <c r="CX407" i="1"/>
  <c r="CN407" i="1"/>
  <c r="CR407" i="1" s="1"/>
  <c r="BX407" i="1"/>
  <c r="BY407" i="1" s="1"/>
  <c r="BD407" i="1"/>
  <c r="BC407" i="1"/>
  <c r="BB407" i="1"/>
  <c r="BA407" i="1"/>
  <c r="AZ407" i="1"/>
  <c r="AY407" i="1"/>
  <c r="BE407" i="1" s="1" a="1"/>
  <c r="BE407" i="1" s="1"/>
  <c r="AX407" i="1"/>
  <c r="M407" i="1"/>
  <c r="EM368" i="1"/>
  <c r="EL368" i="1"/>
  <c r="EK368" i="1"/>
  <c r="DU368" i="1"/>
  <c r="DT368" i="1"/>
  <c r="DN368" i="1"/>
  <c r="DM368" i="1"/>
  <c r="DL368" i="1"/>
  <c r="DK368" i="1"/>
  <c r="DI368" i="1"/>
  <c r="DJ368" i="1" s="1"/>
  <c r="DB368" i="1"/>
  <c r="DC368" i="1" s="1"/>
  <c r="CX368" i="1"/>
  <c r="CN368" i="1"/>
  <c r="CR368" i="1" s="1"/>
  <c r="BV368" i="1"/>
  <c r="BX368" i="1" s="1"/>
  <c r="BY368" i="1" s="1"/>
  <c r="BU368" i="1"/>
  <c r="BD368" i="1"/>
  <c r="BC368" i="1"/>
  <c r="BB368" i="1"/>
  <c r="BA368" i="1"/>
  <c r="AZ368" i="1"/>
  <c r="AY368" i="1"/>
  <c r="BE368" i="1" s="1" a="1"/>
  <c r="BE368" i="1" s="1"/>
  <c r="AX368" i="1"/>
  <c r="M368" i="1"/>
  <c r="EM367" i="1"/>
  <c r="EL367" i="1"/>
  <c r="EK367" i="1"/>
  <c r="DU367" i="1"/>
  <c r="DT367" i="1"/>
  <c r="DN367" i="1"/>
  <c r="DM367" i="1"/>
  <c r="DL367" i="1"/>
  <c r="DK367" i="1"/>
  <c r="DI367" i="1"/>
  <c r="DJ367" i="1" s="1"/>
  <c r="DB367" i="1"/>
  <c r="DC367" i="1" s="1"/>
  <c r="CX367" i="1"/>
  <c r="CN367" i="1"/>
  <c r="CR367" i="1" s="1"/>
  <c r="BV367" i="1"/>
  <c r="BX367" i="1" s="1"/>
  <c r="BU367" i="1"/>
  <c r="BD367" i="1"/>
  <c r="BC367" i="1"/>
  <c r="BB367" i="1"/>
  <c r="BA367" i="1"/>
  <c r="AZ367" i="1"/>
  <c r="AY367" i="1"/>
  <c r="BE367" i="1" s="1" a="1"/>
  <c r="BE367" i="1" s="1"/>
  <c r="AX367" i="1"/>
  <c r="M367" i="1"/>
  <c r="EM366" i="1"/>
  <c r="EL366" i="1"/>
  <c r="EK366" i="1"/>
  <c r="DU366" i="1"/>
  <c r="DT366" i="1"/>
  <c r="DN366" i="1"/>
  <c r="DM366" i="1"/>
  <c r="DL366" i="1"/>
  <c r="DK366" i="1"/>
  <c r="DI366" i="1"/>
  <c r="DJ366" i="1" s="1"/>
  <c r="DB366" i="1"/>
  <c r="DC366" i="1" s="1"/>
  <c r="CX366" i="1"/>
  <c r="CN366" i="1"/>
  <c r="CR366" i="1" s="1"/>
  <c r="BV366" i="1"/>
  <c r="BX366" i="1" s="1"/>
  <c r="BU366" i="1"/>
  <c r="BD366" i="1"/>
  <c r="BC366" i="1"/>
  <c r="BB366" i="1"/>
  <c r="BA366" i="1"/>
  <c r="AZ366" i="1"/>
  <c r="AY366" i="1"/>
  <c r="BE366" i="1" s="1" a="1"/>
  <c r="BE366" i="1" s="1"/>
  <c r="AX366" i="1"/>
  <c r="M366" i="1"/>
  <c r="EM365" i="1"/>
  <c r="EL365" i="1"/>
  <c r="EK365" i="1"/>
  <c r="DU365" i="1"/>
  <c r="DT365" i="1"/>
  <c r="DN365" i="1"/>
  <c r="DM365" i="1"/>
  <c r="DL365" i="1"/>
  <c r="DK365" i="1"/>
  <c r="DI365" i="1"/>
  <c r="DJ365" i="1" s="1"/>
  <c r="DB365" i="1"/>
  <c r="DC365" i="1" s="1"/>
  <c r="CX365" i="1"/>
  <c r="CN365" i="1"/>
  <c r="CS365" i="1" s="1"/>
  <c r="BV365" i="1"/>
  <c r="BX365" i="1" s="1"/>
  <c r="BY365" i="1" s="1"/>
  <c r="BU365" i="1"/>
  <c r="BD365" i="1"/>
  <c r="BC365" i="1"/>
  <c r="BB365" i="1"/>
  <c r="BA365" i="1"/>
  <c r="AZ365" i="1"/>
  <c r="AY365" i="1"/>
  <c r="BE365" i="1" s="1" a="1"/>
  <c r="BE365" i="1" s="1"/>
  <c r="AX365" i="1"/>
  <c r="M365" i="1"/>
  <c r="EM364" i="1"/>
  <c r="EL364" i="1"/>
  <c r="EK364" i="1"/>
  <c r="DU364" i="1"/>
  <c r="DT364" i="1"/>
  <c r="DN364" i="1"/>
  <c r="DM364" i="1"/>
  <c r="DL364" i="1"/>
  <c r="DK364" i="1"/>
  <c r="DI364" i="1"/>
  <c r="DJ364" i="1" s="1"/>
  <c r="DB364" i="1"/>
  <c r="DC364" i="1" s="1"/>
  <c r="CX364" i="1"/>
  <c r="CN364" i="1"/>
  <c r="CR364" i="1" s="1"/>
  <c r="BV364" i="1"/>
  <c r="BX364" i="1" s="1"/>
  <c r="BU364" i="1"/>
  <c r="BD364" i="1"/>
  <c r="BC364" i="1"/>
  <c r="BB364" i="1"/>
  <c r="BA364" i="1"/>
  <c r="AZ364" i="1"/>
  <c r="AY364" i="1"/>
  <c r="AX364" i="1"/>
  <c r="M364" i="1"/>
  <c r="EM363" i="1"/>
  <c r="EL363" i="1"/>
  <c r="EK363" i="1"/>
  <c r="DU363" i="1"/>
  <c r="DT363" i="1"/>
  <c r="DN363" i="1"/>
  <c r="DM363" i="1"/>
  <c r="DL363" i="1"/>
  <c r="DK363" i="1"/>
  <c r="DI363" i="1"/>
  <c r="DJ363" i="1" s="1"/>
  <c r="DB363" i="1"/>
  <c r="DC363" i="1" s="1"/>
  <c r="CX363" i="1"/>
  <c r="CN363" i="1"/>
  <c r="CR363" i="1" s="1"/>
  <c r="BV363" i="1"/>
  <c r="BX363" i="1" s="1"/>
  <c r="BY363" i="1" s="1"/>
  <c r="BU363" i="1"/>
  <c r="BD363" i="1"/>
  <c r="BC363" i="1"/>
  <c r="BB363" i="1"/>
  <c r="BA363" i="1"/>
  <c r="AZ363" i="1"/>
  <c r="AY363" i="1"/>
  <c r="AX363" i="1"/>
  <c r="M363" i="1"/>
  <c r="EM362" i="1"/>
  <c r="EL362" i="1"/>
  <c r="EK362" i="1"/>
  <c r="DU362" i="1"/>
  <c r="DT362" i="1"/>
  <c r="DN362" i="1"/>
  <c r="DM362" i="1"/>
  <c r="DL362" i="1"/>
  <c r="DK362" i="1"/>
  <c r="DI362" i="1"/>
  <c r="DJ362" i="1" s="1"/>
  <c r="DB362" i="1"/>
  <c r="DC362" i="1" s="1"/>
  <c r="CX362" i="1"/>
  <c r="CN362" i="1"/>
  <c r="CR362" i="1" s="1"/>
  <c r="BV362" i="1"/>
  <c r="BX362" i="1" s="1"/>
  <c r="BU362" i="1"/>
  <c r="BD362" i="1"/>
  <c r="BC362" i="1"/>
  <c r="BB362" i="1"/>
  <c r="BA362" i="1"/>
  <c r="AZ362" i="1"/>
  <c r="AY362" i="1"/>
  <c r="AX362" i="1"/>
  <c r="M362" i="1"/>
  <c r="EM361" i="1"/>
  <c r="EL361" i="1"/>
  <c r="EK361" i="1"/>
  <c r="DU361" i="1"/>
  <c r="DT361" i="1"/>
  <c r="DN361" i="1"/>
  <c r="DM361" i="1"/>
  <c r="DL361" i="1"/>
  <c r="DK361" i="1"/>
  <c r="DI361" i="1"/>
  <c r="DJ361" i="1" s="1"/>
  <c r="DB361" i="1"/>
  <c r="DC361" i="1" s="1"/>
  <c r="CX361" i="1"/>
  <c r="CN361" i="1"/>
  <c r="BV361" i="1"/>
  <c r="BX361" i="1" s="1"/>
  <c r="BY361" i="1" s="1"/>
  <c r="BU361" i="1"/>
  <c r="BD361" i="1"/>
  <c r="BC361" i="1"/>
  <c r="BB361" i="1"/>
  <c r="BA361" i="1"/>
  <c r="AZ361" i="1"/>
  <c r="AY361" i="1"/>
  <c r="AX361" i="1"/>
  <c r="M361" i="1"/>
  <c r="EM360" i="1"/>
  <c r="EL360" i="1"/>
  <c r="EK360" i="1"/>
  <c r="DU360" i="1"/>
  <c r="DT360" i="1"/>
  <c r="DN360" i="1"/>
  <c r="DM360" i="1"/>
  <c r="DL360" i="1"/>
  <c r="DK360" i="1"/>
  <c r="DI360" i="1"/>
  <c r="DJ360" i="1" s="1"/>
  <c r="DB360" i="1"/>
  <c r="DC360" i="1" s="1"/>
  <c r="CX360" i="1"/>
  <c r="CN360" i="1"/>
  <c r="BV360" i="1"/>
  <c r="BX360" i="1" s="1"/>
  <c r="BY360" i="1" s="1"/>
  <c r="BU360" i="1"/>
  <c r="BD360" i="1"/>
  <c r="BC360" i="1"/>
  <c r="BB360" i="1"/>
  <c r="BA360" i="1"/>
  <c r="AZ360" i="1"/>
  <c r="AY360" i="1"/>
  <c r="AX360" i="1"/>
  <c r="M360" i="1"/>
  <c r="EM359" i="1"/>
  <c r="EL359" i="1"/>
  <c r="EK359" i="1"/>
  <c r="DU359" i="1"/>
  <c r="DT359" i="1"/>
  <c r="DN359" i="1"/>
  <c r="DM359" i="1"/>
  <c r="DL359" i="1"/>
  <c r="DK359" i="1"/>
  <c r="DI359" i="1"/>
  <c r="DJ359" i="1" s="1"/>
  <c r="DB359" i="1"/>
  <c r="DC359" i="1" s="1"/>
  <c r="CX359" i="1"/>
  <c r="CN359" i="1"/>
  <c r="CS359" i="1" s="1"/>
  <c r="BV359" i="1"/>
  <c r="BX359" i="1" s="1"/>
  <c r="BY359" i="1" s="1"/>
  <c r="BU359" i="1"/>
  <c r="BD359" i="1"/>
  <c r="BC359" i="1"/>
  <c r="BB359" i="1"/>
  <c r="BA359" i="1"/>
  <c r="AZ359" i="1"/>
  <c r="AY359" i="1"/>
  <c r="AX359" i="1"/>
  <c r="M359" i="1"/>
  <c r="EM122" i="1"/>
  <c r="EL122" i="1"/>
  <c r="EK122" i="1"/>
  <c r="DU122" i="1"/>
  <c r="DT122" i="1"/>
  <c r="DN122" i="1"/>
  <c r="DM122" i="1"/>
  <c r="DL122" i="1"/>
  <c r="DK122" i="1"/>
  <c r="DI122" i="1"/>
  <c r="DJ122" i="1" s="1"/>
  <c r="DB122" i="1"/>
  <c r="DC122" i="1" s="1"/>
  <c r="CX122" i="1"/>
  <c r="CN122" i="1"/>
  <c r="CP122" i="1" s="1"/>
  <c r="BT122" i="1"/>
  <c r="BD122" i="1"/>
  <c r="BC122" i="1"/>
  <c r="BB122" i="1"/>
  <c r="BA122" i="1"/>
  <c r="AZ122" i="1"/>
  <c r="AY122" i="1"/>
  <c r="BE122" i="1" s="1" a="1"/>
  <c r="BE122" i="1" s="1"/>
  <c r="AX122" i="1"/>
  <c r="M122" i="1"/>
  <c r="EM121" i="1"/>
  <c r="EL121" i="1"/>
  <c r="EK121" i="1"/>
  <c r="DU121" i="1"/>
  <c r="DT121" i="1"/>
  <c r="DN121" i="1"/>
  <c r="DM121" i="1"/>
  <c r="DL121" i="1"/>
  <c r="DK121" i="1"/>
  <c r="DI121" i="1"/>
  <c r="DJ121" i="1" s="1"/>
  <c r="DB121" i="1"/>
  <c r="DC121" i="1" s="1"/>
  <c r="CX121" i="1"/>
  <c r="CN121" i="1"/>
  <c r="CQ121" i="1" s="1"/>
  <c r="BV121" i="1"/>
  <c r="BX121" i="1" s="1"/>
  <c r="BU121" i="1"/>
  <c r="BD121" i="1"/>
  <c r="BC121" i="1"/>
  <c r="BB121" i="1"/>
  <c r="BA121" i="1"/>
  <c r="AZ121" i="1"/>
  <c r="AY121" i="1"/>
  <c r="BE121" i="1" s="1" a="1"/>
  <c r="BE121" i="1" s="1"/>
  <c r="AX121" i="1"/>
  <c r="M121" i="1"/>
  <c r="EM120" i="1"/>
  <c r="EL120" i="1"/>
  <c r="EK120" i="1"/>
  <c r="DU120" i="1"/>
  <c r="DT120" i="1"/>
  <c r="DN120" i="1"/>
  <c r="DM120" i="1"/>
  <c r="DL120" i="1"/>
  <c r="DK120" i="1"/>
  <c r="DI120" i="1"/>
  <c r="DJ120" i="1" s="1"/>
  <c r="DB120" i="1"/>
  <c r="DC120" i="1" s="1"/>
  <c r="CX120" i="1"/>
  <c r="CN120" i="1"/>
  <c r="CS120" i="1" s="1"/>
  <c r="BV120" i="1"/>
  <c r="BX120" i="1" s="1"/>
  <c r="BU120" i="1"/>
  <c r="BD120" i="1"/>
  <c r="BC120" i="1"/>
  <c r="BB120" i="1"/>
  <c r="BA120" i="1"/>
  <c r="AZ120" i="1"/>
  <c r="AY120" i="1"/>
  <c r="BE120" i="1" s="1" a="1"/>
  <c r="BE120" i="1" s="1"/>
  <c r="AX120" i="1"/>
  <c r="M120" i="1"/>
  <c r="EM118" i="1"/>
  <c r="EL118" i="1"/>
  <c r="EK118" i="1"/>
  <c r="DU118" i="1"/>
  <c r="DT118" i="1"/>
  <c r="DN118" i="1"/>
  <c r="DM118" i="1"/>
  <c r="DL118" i="1"/>
  <c r="DK118" i="1"/>
  <c r="DI118" i="1"/>
  <c r="DJ118" i="1" s="1"/>
  <c r="DB118" i="1"/>
  <c r="DC118" i="1" s="1"/>
  <c r="CX118" i="1"/>
  <c r="CN118" i="1"/>
  <c r="CR118" i="1" s="1"/>
  <c r="BX118" i="1"/>
  <c r="BY118" i="1" s="1"/>
  <c r="BD118" i="1"/>
  <c r="BC118" i="1"/>
  <c r="BB118" i="1"/>
  <c r="BA118" i="1"/>
  <c r="AZ118" i="1"/>
  <c r="AY118" i="1"/>
  <c r="BE118" i="1" s="1" a="1"/>
  <c r="BE118" i="1" s="1"/>
  <c r="AX118" i="1"/>
  <c r="M118" i="1"/>
  <c r="EM117" i="1"/>
  <c r="EL117" i="1"/>
  <c r="EK117" i="1"/>
  <c r="DU117" i="1"/>
  <c r="DT117" i="1"/>
  <c r="DN117" i="1"/>
  <c r="DM117" i="1"/>
  <c r="DL117" i="1"/>
  <c r="DK117" i="1"/>
  <c r="DI117" i="1"/>
  <c r="DJ117" i="1" s="1"/>
  <c r="DB117" i="1"/>
  <c r="DC117" i="1" s="1"/>
  <c r="CX117" i="1"/>
  <c r="CN117" i="1"/>
  <c r="CS117" i="1" s="1"/>
  <c r="BX117" i="1"/>
  <c r="BD117" i="1"/>
  <c r="BC117" i="1"/>
  <c r="BB117" i="1"/>
  <c r="BA117" i="1"/>
  <c r="AZ117" i="1"/>
  <c r="AY117" i="1"/>
  <c r="BE117" i="1" s="1" a="1"/>
  <c r="BE117" i="1" s="1"/>
  <c r="AX117" i="1"/>
  <c r="M117" i="1"/>
  <c r="EM116" i="1"/>
  <c r="EL116" i="1"/>
  <c r="EK116" i="1"/>
  <c r="DU116" i="1"/>
  <c r="DT116" i="1"/>
  <c r="DN116" i="1"/>
  <c r="DM116" i="1"/>
  <c r="DL116" i="1"/>
  <c r="DK116" i="1"/>
  <c r="DI116" i="1"/>
  <c r="DJ116" i="1" s="1"/>
  <c r="DB116" i="1"/>
  <c r="DC116" i="1" s="1"/>
  <c r="CX116" i="1"/>
  <c r="CN116" i="1"/>
  <c r="CS116" i="1" s="1"/>
  <c r="BX116" i="1"/>
  <c r="BY116" i="1" s="1"/>
  <c r="BD116" i="1"/>
  <c r="BC116" i="1"/>
  <c r="BB116" i="1"/>
  <c r="BA116" i="1"/>
  <c r="AZ116" i="1"/>
  <c r="AY116" i="1"/>
  <c r="BE116" i="1" s="1" a="1"/>
  <c r="BE116" i="1" s="1"/>
  <c r="AX116" i="1"/>
  <c r="M116" i="1"/>
  <c r="EM115" i="1"/>
  <c r="EL115" i="1"/>
  <c r="EK115" i="1"/>
  <c r="DU115" i="1"/>
  <c r="DT115" i="1"/>
  <c r="DN115" i="1"/>
  <c r="DM115" i="1"/>
  <c r="DL115" i="1"/>
  <c r="DK115" i="1"/>
  <c r="DI115" i="1"/>
  <c r="DJ115" i="1" s="1"/>
  <c r="DB115" i="1"/>
  <c r="DC115" i="1" s="1"/>
  <c r="CX115" i="1"/>
  <c r="CN115" i="1"/>
  <c r="CR115" i="1" s="1"/>
  <c r="BX115" i="1"/>
  <c r="BY115" i="1" s="1"/>
  <c r="BD115" i="1"/>
  <c r="BC115" i="1"/>
  <c r="BB115" i="1"/>
  <c r="BA115" i="1"/>
  <c r="AZ115" i="1"/>
  <c r="AY115" i="1"/>
  <c r="BE115" i="1" s="1" a="1"/>
  <c r="BE115" i="1" s="1"/>
  <c r="AX115" i="1"/>
  <c r="M115" i="1"/>
  <c r="EM113" i="1"/>
  <c r="EL113" i="1"/>
  <c r="EK113" i="1"/>
  <c r="DU113" i="1"/>
  <c r="DT113" i="1"/>
  <c r="DN113" i="1"/>
  <c r="DM113" i="1"/>
  <c r="DL113" i="1"/>
  <c r="DK113" i="1"/>
  <c r="DI113" i="1"/>
  <c r="DJ113" i="1" s="1"/>
  <c r="DC113" i="1"/>
  <c r="CX113" i="1"/>
  <c r="CN113" i="1"/>
  <c r="CS113" i="1" s="1"/>
  <c r="BV113" i="1"/>
  <c r="BX113" i="1" s="1"/>
  <c r="BU113" i="1"/>
  <c r="BD113" i="1"/>
  <c r="BC113" i="1"/>
  <c r="BB113" i="1"/>
  <c r="BA113" i="1"/>
  <c r="AZ113" i="1"/>
  <c r="AY113" i="1"/>
  <c r="BE113" i="1" s="1" a="1"/>
  <c r="BE113" i="1" s="1"/>
  <c r="AX113" i="1"/>
  <c r="M113" i="1"/>
  <c r="EM112" i="1"/>
  <c r="EL112" i="1"/>
  <c r="EK112" i="1"/>
  <c r="DU112" i="1"/>
  <c r="DT112" i="1"/>
  <c r="DN112" i="1"/>
  <c r="DM112" i="1"/>
  <c r="DL112" i="1"/>
  <c r="DK112" i="1"/>
  <c r="DI112" i="1"/>
  <c r="DJ112" i="1" s="1"/>
  <c r="DC112" i="1"/>
  <c r="CX112" i="1"/>
  <c r="CN112" i="1"/>
  <c r="BV112" i="1"/>
  <c r="BX112" i="1" s="1"/>
  <c r="BY112" i="1" s="1"/>
  <c r="BU112" i="1"/>
  <c r="BD112" i="1"/>
  <c r="BC112" i="1"/>
  <c r="BB112" i="1"/>
  <c r="BA112" i="1"/>
  <c r="AZ112" i="1"/>
  <c r="AY112" i="1"/>
  <c r="BE112" i="1" s="1" a="1"/>
  <c r="BE112" i="1" s="1"/>
  <c r="AX112" i="1"/>
  <c r="M112" i="1"/>
  <c r="EM111" i="1"/>
  <c r="EL111" i="1"/>
  <c r="EK111" i="1"/>
  <c r="DU111" i="1"/>
  <c r="DT111" i="1"/>
  <c r="DN111" i="1"/>
  <c r="DM111" i="1"/>
  <c r="DL111" i="1"/>
  <c r="DK111" i="1"/>
  <c r="DI111" i="1"/>
  <c r="DJ111" i="1" s="1"/>
  <c r="DC111" i="1"/>
  <c r="CX111" i="1"/>
  <c r="CN111" i="1"/>
  <c r="CR111" i="1" s="1"/>
  <c r="BV111" i="1"/>
  <c r="BX111" i="1" s="1"/>
  <c r="BU111" i="1"/>
  <c r="BD111" i="1"/>
  <c r="BC111" i="1"/>
  <c r="BB111" i="1"/>
  <c r="BA111" i="1"/>
  <c r="AZ111" i="1"/>
  <c r="AY111" i="1"/>
  <c r="BE111" i="1" s="1" a="1"/>
  <c r="BE111" i="1" s="1"/>
  <c r="AX111" i="1"/>
  <c r="M111" i="1"/>
  <c r="EM110" i="1"/>
  <c r="EL110" i="1"/>
  <c r="EK110" i="1"/>
  <c r="DU110" i="1"/>
  <c r="DT110" i="1"/>
  <c r="DN110" i="1"/>
  <c r="DM110" i="1"/>
  <c r="DL110" i="1"/>
  <c r="DK110" i="1"/>
  <c r="DI110" i="1"/>
  <c r="DJ110" i="1" s="1"/>
  <c r="DC110" i="1"/>
  <c r="CX110" i="1"/>
  <c r="CN110" i="1"/>
  <c r="BV110" i="1"/>
  <c r="BX110" i="1" s="1"/>
  <c r="BY110" i="1" s="1"/>
  <c r="BU110" i="1"/>
  <c r="BD110" i="1"/>
  <c r="BC110" i="1"/>
  <c r="BB110" i="1"/>
  <c r="BA110" i="1"/>
  <c r="AZ110" i="1"/>
  <c r="AY110" i="1"/>
  <c r="BE110" i="1" s="1" a="1"/>
  <c r="BE110" i="1" s="1"/>
  <c r="AX110" i="1"/>
  <c r="M110" i="1"/>
  <c r="EM109" i="1"/>
  <c r="EL109" i="1"/>
  <c r="EK109" i="1"/>
  <c r="DU109" i="1"/>
  <c r="DT109" i="1"/>
  <c r="DN109" i="1"/>
  <c r="DM109" i="1"/>
  <c r="DL109" i="1"/>
  <c r="DK109" i="1"/>
  <c r="DI109" i="1"/>
  <c r="DJ109" i="1" s="1"/>
  <c r="DC109" i="1"/>
  <c r="CX109" i="1"/>
  <c r="CN109" i="1"/>
  <c r="CS109" i="1" s="1"/>
  <c r="BV109" i="1"/>
  <c r="BX109" i="1" s="1"/>
  <c r="BU109" i="1"/>
  <c r="BD109" i="1"/>
  <c r="BC109" i="1"/>
  <c r="BB109" i="1"/>
  <c r="BA109" i="1"/>
  <c r="AZ109" i="1"/>
  <c r="AY109" i="1"/>
  <c r="BE109" i="1" s="1" a="1"/>
  <c r="BE109" i="1" s="1"/>
  <c r="AX109" i="1"/>
  <c r="M109" i="1"/>
  <c r="EM108" i="1"/>
  <c r="EL108" i="1"/>
  <c r="EK108" i="1"/>
  <c r="DU108" i="1"/>
  <c r="DT108" i="1"/>
  <c r="DN108" i="1"/>
  <c r="DM108" i="1"/>
  <c r="DL108" i="1"/>
  <c r="DK108" i="1"/>
  <c r="DI108" i="1"/>
  <c r="DJ108" i="1" s="1"/>
  <c r="DC108" i="1"/>
  <c r="CX108" i="1"/>
  <c r="CN108" i="1"/>
  <c r="BV108" i="1"/>
  <c r="BX108" i="1" s="1"/>
  <c r="BY108" i="1" s="1"/>
  <c r="BU108" i="1"/>
  <c r="BD108" i="1"/>
  <c r="BC108" i="1"/>
  <c r="BB108" i="1"/>
  <c r="BA108" i="1"/>
  <c r="AZ108" i="1"/>
  <c r="AY108" i="1"/>
  <c r="BE108" i="1" s="1" a="1"/>
  <c r="BE108" i="1" s="1"/>
  <c r="AX108" i="1"/>
  <c r="M108" i="1"/>
  <c r="EM20" i="1"/>
  <c r="EL20" i="1"/>
  <c r="EK20" i="1"/>
  <c r="DU20" i="1"/>
  <c r="DT20" i="1"/>
  <c r="DN20" i="1"/>
  <c r="DM20" i="1"/>
  <c r="DL20" i="1"/>
  <c r="DK20" i="1"/>
  <c r="DI20" i="1"/>
  <c r="DJ20" i="1" s="1"/>
  <c r="DC20" i="1"/>
  <c r="CX20" i="1"/>
  <c r="CN20" i="1"/>
  <c r="BX20" i="1"/>
  <c r="BN20" i="1"/>
  <c r="BO20" i="1" s="1"/>
  <c r="BD20" i="1"/>
  <c r="BC20" i="1"/>
  <c r="BB20" i="1"/>
  <c r="BA20" i="1"/>
  <c r="AZ20" i="1"/>
  <c r="AY20" i="1"/>
  <c r="BE20" i="1" s="1" a="1"/>
  <c r="BE20" i="1" s="1"/>
  <c r="AX20" i="1"/>
  <c r="M20" i="1"/>
  <c r="EM19" i="1"/>
  <c r="EL19" i="1"/>
  <c r="EK19" i="1"/>
  <c r="DU19" i="1"/>
  <c r="DT19" i="1"/>
  <c r="DN19" i="1"/>
  <c r="DM19" i="1"/>
  <c r="DL19" i="1"/>
  <c r="DK19" i="1"/>
  <c r="DI19" i="1"/>
  <c r="DJ19" i="1" s="1"/>
  <c r="DC19" i="1"/>
  <c r="CX19" i="1"/>
  <c r="CN19" i="1"/>
  <c r="CS19" i="1" s="1"/>
  <c r="BX19" i="1"/>
  <c r="BN19" i="1"/>
  <c r="BO19" i="1" s="1"/>
  <c r="BD19" i="1"/>
  <c r="BC19" i="1"/>
  <c r="BB19" i="1"/>
  <c r="BA19" i="1"/>
  <c r="AZ19" i="1"/>
  <c r="AY19" i="1"/>
  <c r="BE19" i="1" s="1" a="1"/>
  <c r="BE19" i="1" s="1"/>
  <c r="AX19" i="1"/>
  <c r="M19" i="1"/>
  <c r="EM18" i="1"/>
  <c r="EL18" i="1"/>
  <c r="EK18" i="1"/>
  <c r="DU18" i="1"/>
  <c r="DT18" i="1"/>
  <c r="DN18" i="1"/>
  <c r="DM18" i="1"/>
  <c r="DL18" i="1"/>
  <c r="DK18" i="1"/>
  <c r="DI18" i="1"/>
  <c r="DJ18" i="1" s="1"/>
  <c r="DC18" i="1"/>
  <c r="CX18" i="1"/>
  <c r="CN18" i="1"/>
  <c r="CR18" i="1" s="1"/>
  <c r="BX18" i="1"/>
  <c r="BN18" i="1"/>
  <c r="BO18" i="1" s="1"/>
  <c r="BD18" i="1"/>
  <c r="BC18" i="1"/>
  <c r="BB18" i="1"/>
  <c r="BA18" i="1"/>
  <c r="AZ18" i="1"/>
  <c r="AY18" i="1"/>
  <c r="BE18" i="1" s="1" a="1"/>
  <c r="BE18" i="1" s="1"/>
  <c r="AX18" i="1"/>
  <c r="M18" i="1"/>
  <c r="EM17" i="1"/>
  <c r="EL17" i="1"/>
  <c r="EK17" i="1"/>
  <c r="DU17" i="1"/>
  <c r="DT17" i="1"/>
  <c r="DN17" i="1"/>
  <c r="DM17" i="1"/>
  <c r="DL17" i="1"/>
  <c r="DK17" i="1"/>
  <c r="DI17" i="1"/>
  <c r="DJ17" i="1" s="1"/>
  <c r="DC17" i="1"/>
  <c r="CX17" i="1"/>
  <c r="CN17" i="1"/>
  <c r="CS17" i="1" s="1"/>
  <c r="BX17" i="1"/>
  <c r="BN17" i="1"/>
  <c r="BO17" i="1" s="1"/>
  <c r="BD17" i="1"/>
  <c r="BC17" i="1"/>
  <c r="BB17" i="1"/>
  <c r="BA17" i="1"/>
  <c r="AZ17" i="1"/>
  <c r="AY17" i="1"/>
  <c r="BE17" i="1" s="1" a="1"/>
  <c r="BE17" i="1" s="1"/>
  <c r="AX17" i="1"/>
  <c r="M17" i="1"/>
  <c r="EM16" i="1"/>
  <c r="EL16" i="1"/>
  <c r="EK16" i="1"/>
  <c r="DU16" i="1"/>
  <c r="DT16" i="1"/>
  <c r="DN16" i="1"/>
  <c r="DM16" i="1"/>
  <c r="DL16" i="1"/>
  <c r="DK16" i="1"/>
  <c r="DI16" i="1"/>
  <c r="DJ16" i="1" s="1"/>
  <c r="DC16" i="1"/>
  <c r="CX16" i="1"/>
  <c r="CN16" i="1"/>
  <c r="CP16" i="1" s="1"/>
  <c r="BX16" i="1"/>
  <c r="BN16" i="1"/>
  <c r="BO16" i="1" s="1"/>
  <c r="BD16" i="1"/>
  <c r="BC16" i="1"/>
  <c r="BB16" i="1"/>
  <c r="BA16" i="1"/>
  <c r="AZ16" i="1"/>
  <c r="AY16" i="1"/>
  <c r="BE16" i="1" s="1" a="1"/>
  <c r="BE16" i="1" s="1"/>
  <c r="AX16" i="1"/>
  <c r="M16" i="1"/>
  <c r="EM15" i="1"/>
  <c r="EL15" i="1"/>
  <c r="EK15" i="1"/>
  <c r="DU15" i="1"/>
  <c r="DT15" i="1"/>
  <c r="DN15" i="1"/>
  <c r="DM15" i="1"/>
  <c r="DL15" i="1"/>
  <c r="DK15" i="1"/>
  <c r="DI15" i="1"/>
  <c r="DJ15" i="1" s="1"/>
  <c r="DC15" i="1"/>
  <c r="CX15" i="1"/>
  <c r="CN15" i="1"/>
  <c r="CO15" i="1" s="1"/>
  <c r="BX15" i="1"/>
  <c r="BN15" i="1"/>
  <c r="BO15" i="1" s="1"/>
  <c r="BD15" i="1"/>
  <c r="BC15" i="1"/>
  <c r="BB15" i="1"/>
  <c r="BA15" i="1"/>
  <c r="AZ15" i="1"/>
  <c r="AY15" i="1"/>
  <c r="BE15" i="1" s="1" a="1"/>
  <c r="BE15" i="1" s="1"/>
  <c r="AX15" i="1"/>
  <c r="M15" i="1"/>
  <c r="EM14" i="1"/>
  <c r="EL14" i="1"/>
  <c r="EK14" i="1"/>
  <c r="DU14" i="1"/>
  <c r="DT14" i="1"/>
  <c r="DN14" i="1"/>
  <c r="DM14" i="1"/>
  <c r="DL14" i="1"/>
  <c r="DK14" i="1"/>
  <c r="DI14" i="1"/>
  <c r="DJ14" i="1" s="1"/>
  <c r="DC14" i="1"/>
  <c r="CX14" i="1"/>
  <c r="CN14" i="1"/>
  <c r="CS14" i="1" s="1"/>
  <c r="BX14" i="1"/>
  <c r="BN14" i="1"/>
  <c r="BO14" i="1" s="1"/>
  <c r="BD14" i="1"/>
  <c r="BC14" i="1"/>
  <c r="BB14" i="1"/>
  <c r="BA14" i="1"/>
  <c r="AZ14" i="1"/>
  <c r="AY14" i="1"/>
  <c r="BE14" i="1" s="1" a="1"/>
  <c r="BE14" i="1" s="1"/>
  <c r="AX14" i="1"/>
  <c r="M14" i="1"/>
  <c r="EM13" i="1"/>
  <c r="EL13" i="1"/>
  <c r="EK13" i="1"/>
  <c r="DU13" i="1"/>
  <c r="DT13" i="1"/>
  <c r="DN13" i="1"/>
  <c r="DM13" i="1"/>
  <c r="DL13" i="1"/>
  <c r="DK13" i="1"/>
  <c r="DI13" i="1"/>
  <c r="DJ13" i="1" s="1"/>
  <c r="DC13" i="1"/>
  <c r="CX13" i="1"/>
  <c r="CN13" i="1"/>
  <c r="BX13" i="1"/>
  <c r="BN13" i="1"/>
  <c r="BO13" i="1" s="1"/>
  <c r="BD13" i="1"/>
  <c r="BC13" i="1"/>
  <c r="BB13" i="1"/>
  <c r="BA13" i="1"/>
  <c r="AZ13" i="1"/>
  <c r="AY13" i="1"/>
  <c r="BE13" i="1" s="1" a="1"/>
  <c r="BE13" i="1" s="1"/>
  <c r="AX13" i="1"/>
  <c r="M13" i="1"/>
  <c r="EM12" i="1"/>
  <c r="EL12" i="1"/>
  <c r="EK12" i="1"/>
  <c r="DU12" i="1"/>
  <c r="DT12" i="1"/>
  <c r="DN12" i="1"/>
  <c r="DM12" i="1"/>
  <c r="DL12" i="1"/>
  <c r="DK12" i="1"/>
  <c r="DI12" i="1"/>
  <c r="DJ12" i="1" s="1"/>
  <c r="DC12" i="1"/>
  <c r="CX12" i="1"/>
  <c r="CN12" i="1"/>
  <c r="BX12" i="1"/>
  <c r="BN12" i="1"/>
  <c r="BO12" i="1" s="1"/>
  <c r="BD12" i="1"/>
  <c r="BC12" i="1"/>
  <c r="BB12" i="1"/>
  <c r="BA12" i="1"/>
  <c r="AZ12" i="1"/>
  <c r="AY12" i="1"/>
  <c r="BE12" i="1" s="1" a="1"/>
  <c r="BE12" i="1" s="1"/>
  <c r="AX12" i="1"/>
  <c r="M12" i="1"/>
  <c r="EM11" i="1"/>
  <c r="EL11" i="1"/>
  <c r="EK11" i="1"/>
  <c r="DU11" i="1"/>
  <c r="DT11" i="1"/>
  <c r="DN11" i="1"/>
  <c r="DM11" i="1"/>
  <c r="DL11" i="1"/>
  <c r="DK11" i="1"/>
  <c r="DI11" i="1"/>
  <c r="DJ11" i="1" s="1"/>
  <c r="DC11" i="1"/>
  <c r="CX11" i="1"/>
  <c r="CN11" i="1"/>
  <c r="CS11" i="1" s="1"/>
  <c r="BX11" i="1"/>
  <c r="BN11" i="1"/>
  <c r="BO11" i="1" s="1"/>
  <c r="BD11" i="1"/>
  <c r="BC11" i="1"/>
  <c r="BB11" i="1"/>
  <c r="BA11" i="1"/>
  <c r="AZ11" i="1"/>
  <c r="AY11" i="1"/>
  <c r="BE11" i="1" s="1" a="1"/>
  <c r="BE11" i="1" s="1"/>
  <c r="AX11" i="1"/>
  <c r="M11" i="1"/>
  <c r="EM10" i="1"/>
  <c r="EL10" i="1"/>
  <c r="EK10" i="1"/>
  <c r="DU10" i="1"/>
  <c r="DT10" i="1"/>
  <c r="DN10" i="1"/>
  <c r="DM10" i="1"/>
  <c r="DL10" i="1"/>
  <c r="DK10" i="1"/>
  <c r="DI10" i="1"/>
  <c r="DJ10" i="1" s="1"/>
  <c r="DC10" i="1"/>
  <c r="CX10" i="1"/>
  <c r="CN10" i="1"/>
  <c r="CR10" i="1" s="1"/>
  <c r="BX10" i="1"/>
  <c r="BN10" i="1"/>
  <c r="BO10" i="1" s="1"/>
  <c r="BD10" i="1"/>
  <c r="BC10" i="1"/>
  <c r="BB10" i="1"/>
  <c r="BA10" i="1"/>
  <c r="AZ10" i="1"/>
  <c r="AY10" i="1"/>
  <c r="BE10" i="1" s="1" a="1"/>
  <c r="BE10" i="1" s="1"/>
  <c r="AX10" i="1"/>
  <c r="M10" i="1"/>
  <c r="EM9" i="1"/>
  <c r="EL9" i="1"/>
  <c r="EK9" i="1"/>
  <c r="DU9" i="1"/>
  <c r="DT9" i="1"/>
  <c r="DN9" i="1"/>
  <c r="DM9" i="1"/>
  <c r="DL9" i="1"/>
  <c r="DK9" i="1"/>
  <c r="DI9" i="1"/>
  <c r="DJ9" i="1" s="1"/>
  <c r="DC9" i="1"/>
  <c r="CX9" i="1"/>
  <c r="CN9" i="1"/>
  <c r="CR9" i="1" s="1"/>
  <c r="BX9" i="1"/>
  <c r="BN9" i="1"/>
  <c r="BO9" i="1" s="1"/>
  <c r="BD9" i="1"/>
  <c r="BC9" i="1"/>
  <c r="BB9" i="1"/>
  <c r="BA9" i="1"/>
  <c r="AZ9" i="1"/>
  <c r="AY9" i="1"/>
  <c r="BE9" i="1" s="1" a="1"/>
  <c r="BE9" i="1" s="1"/>
  <c r="AX9" i="1"/>
  <c r="M9" i="1"/>
  <c r="EM8" i="1"/>
  <c r="EL8" i="1"/>
  <c r="EK8" i="1"/>
  <c r="DU8" i="1"/>
  <c r="DT8" i="1"/>
  <c r="DN8" i="1"/>
  <c r="DM8" i="1"/>
  <c r="DL8" i="1"/>
  <c r="DK8" i="1"/>
  <c r="DI8" i="1"/>
  <c r="DJ8" i="1" s="1"/>
  <c r="DC8" i="1"/>
  <c r="CX8" i="1"/>
  <c r="CN8" i="1"/>
  <c r="CP8" i="1" s="1"/>
  <c r="BX8" i="1"/>
  <c r="BN8" i="1"/>
  <c r="BO8" i="1" s="1"/>
  <c r="BD8" i="1"/>
  <c r="BC8" i="1"/>
  <c r="BB8" i="1"/>
  <c r="BA8" i="1"/>
  <c r="AZ8" i="1"/>
  <c r="AY8" i="1"/>
  <c r="BE8" i="1" s="1" a="1"/>
  <c r="BE8" i="1" s="1"/>
  <c r="AX8" i="1"/>
  <c r="M8" i="1"/>
  <c r="BF19" i="1" l="1" a="1"/>
  <c r="BF19" i="1" s="1"/>
  <c r="BF115" i="1" a="1"/>
  <c r="BF115" i="1" s="1"/>
  <c r="BF683" i="1" a="1"/>
  <c r="BF683" i="1" s="1"/>
  <c r="BF688" i="1" a="1"/>
  <c r="BF688" i="1" s="1"/>
  <c r="BF828" i="1" a="1"/>
  <c r="BF828" i="1" s="1"/>
  <c r="BF906" i="1" a="1"/>
  <c r="BF906" i="1" s="1"/>
  <c r="BF955" i="1" a="1"/>
  <c r="BF955" i="1" s="1"/>
  <c r="BF959" i="1" a="1"/>
  <c r="BF959" i="1" s="1"/>
  <c r="BF1123" i="1" a="1"/>
  <c r="BF1123" i="1" s="1"/>
  <c r="BF1176" i="1" a="1"/>
  <c r="BF1176" i="1" s="1"/>
  <c r="BF1182" i="1" a="1"/>
  <c r="BF1182" i="1" s="1"/>
  <c r="CT366" i="1"/>
  <c r="CU366" i="1" s="1"/>
  <c r="BF1525" i="1" a="1"/>
  <c r="BF1525" i="1" s="1"/>
  <c r="BF924" i="1" a="1"/>
  <c r="BF924" i="1" s="1"/>
  <c r="BF956" i="1" a="1"/>
  <c r="BF956" i="1" s="1"/>
  <c r="BF960" i="1" a="1"/>
  <c r="BF960" i="1" s="1"/>
  <c r="BF1108" i="1" a="1"/>
  <c r="BF1108" i="1" s="1"/>
  <c r="BE1108" i="1" s="1" a="1"/>
  <c r="BE1108" i="1" s="1"/>
  <c r="BF1116" i="1" a="1"/>
  <c r="BF1116" i="1" s="1"/>
  <c r="BF1680" i="1" a="1"/>
  <c r="BF1680" i="1" s="1"/>
  <c r="BF1053" i="1" a="1"/>
  <c r="BF1053" i="1" s="1"/>
  <c r="CT1115" i="1"/>
  <c r="CU1115" i="1" s="1"/>
  <c r="BF1620" i="1" a="1"/>
  <c r="BF1620" i="1" s="1"/>
  <c r="BF1621" i="1" a="1"/>
  <c r="BF1621" i="1" s="1"/>
  <c r="BF1622" i="1" a="1"/>
  <c r="BF1622" i="1" s="1"/>
  <c r="BF1623" i="1" a="1"/>
  <c r="BF1623" i="1" s="1"/>
  <c r="BF1624" i="1" a="1"/>
  <c r="BF1624" i="1" s="1"/>
  <c r="CT1414" i="1"/>
  <c r="CU1414" i="1" s="1"/>
  <c r="CR690" i="1"/>
  <c r="CV690" i="1" s="1"/>
  <c r="CR694" i="1"/>
  <c r="CT1338" i="1"/>
  <c r="CU1338" i="1" s="1"/>
  <c r="BF1419" i="1" a="1"/>
  <c r="BF1419" i="1" s="1"/>
  <c r="BF1466" i="1" a="1"/>
  <c r="BF1466" i="1" s="1"/>
  <c r="BF1489" i="1" a="1"/>
  <c r="BF1489" i="1" s="1"/>
  <c r="BF1499" i="1" a="1"/>
  <c r="BF1499" i="1" s="1"/>
  <c r="BF416" i="1" a="1"/>
  <c r="BF416" i="1" s="1"/>
  <c r="BF425" i="1" a="1"/>
  <c r="BF425" i="1" s="1"/>
  <c r="BF513" i="1" a="1"/>
  <c r="BF513" i="1" s="1"/>
  <c r="BF602" i="1" a="1"/>
  <c r="BF602" i="1" s="1"/>
  <c r="BF680" i="1" a="1"/>
  <c r="BF680" i="1" s="1"/>
  <c r="BF1058" i="1" a="1"/>
  <c r="BF1058" i="1" s="1"/>
  <c r="BE1058" i="1" s="1" a="1"/>
  <c r="BE1058" i="1" s="1"/>
  <c r="BF1102" i="1" a="1"/>
  <c r="BF1102" i="1" s="1"/>
  <c r="BE1102" i="1" s="1" a="1"/>
  <c r="BE1102" i="1" s="1"/>
  <c r="BF1391" i="1" a="1"/>
  <c r="BF1391" i="1" s="1"/>
  <c r="BE1391" i="1" s="1" a="1"/>
  <c r="BE1391" i="1" s="1"/>
  <c r="BF1399" i="1" a="1"/>
  <c r="BF1399" i="1" s="1"/>
  <c r="BE1399" i="1" s="1" a="1"/>
  <c r="BE1399" i="1" s="1"/>
  <c r="CR1187" i="1"/>
  <c r="CR1188" i="1"/>
  <c r="BF10" i="1" a="1"/>
  <c r="BF10" i="1" s="1"/>
  <c r="BF18" i="1" a="1"/>
  <c r="BF18" i="1" s="1"/>
  <c r="BF362" i="1" a="1"/>
  <c r="BF362" i="1" s="1"/>
  <c r="BE362" i="1" s="1" a="1"/>
  <c r="BE362" i="1" s="1"/>
  <c r="BF420" i="1" a="1"/>
  <c r="BF420" i="1" s="1"/>
  <c r="BF427" i="1" a="1"/>
  <c r="BF427" i="1" s="1"/>
  <c r="BF515" i="1" a="1"/>
  <c r="BF515" i="1" s="1"/>
  <c r="BE515" i="1" s="1" a="1"/>
  <c r="BE515" i="1" s="1"/>
  <c r="BF118" i="1" a="1"/>
  <c r="BF118" i="1" s="1"/>
  <c r="EP1365" i="1"/>
  <c r="BF1125" i="1" a="1"/>
  <c r="BF1125" i="1" s="1"/>
  <c r="BF1180" i="1" a="1"/>
  <c r="BF1180" i="1" s="1"/>
  <c r="BE1180" i="1" s="1" a="1"/>
  <c r="BE1180" i="1" s="1"/>
  <c r="BF1191" i="1" a="1"/>
  <c r="BF1191" i="1" s="1"/>
  <c r="BE1191" i="1" s="1" a="1"/>
  <c r="BE1191" i="1" s="1"/>
  <c r="BF1327" i="1" a="1"/>
  <c r="BF1327" i="1" s="1"/>
  <c r="BF1359" i="1" a="1"/>
  <c r="BF1359" i="1" s="1"/>
  <c r="BF1364" i="1" a="1"/>
  <c r="BF1364" i="1" s="1"/>
  <c r="BF1365" i="1" a="1"/>
  <c r="BF1365" i="1" s="1"/>
  <c r="BF1366" i="1" a="1"/>
  <c r="BF1366" i="1" s="1"/>
  <c r="BF1367" i="1" a="1"/>
  <c r="BF1367" i="1" s="1"/>
  <c r="BF1368" i="1" a="1"/>
  <c r="BF1368" i="1" s="1"/>
  <c r="BF1369" i="1" a="1"/>
  <c r="BF1369" i="1" s="1"/>
  <c r="BF1374" i="1" a="1"/>
  <c r="BF1374" i="1" s="1"/>
  <c r="BE1374" i="1" s="1" a="1"/>
  <c r="BE1374" i="1" s="1"/>
  <c r="BF1382" i="1" a="1"/>
  <c r="BF1382" i="1" s="1"/>
  <c r="BE1382" i="1" s="1" a="1"/>
  <c r="BE1382" i="1" s="1"/>
  <c r="BF1679" i="1" a="1"/>
  <c r="BF1679" i="1" s="1"/>
  <c r="BF111" i="1" a="1"/>
  <c r="BF111" i="1" s="1"/>
  <c r="BF717" i="1" a="1"/>
  <c r="BF717" i="1" s="1"/>
  <c r="BF790" i="1" a="1"/>
  <c r="BF790" i="1" s="1"/>
  <c r="BF818" i="1" a="1"/>
  <c r="BF818" i="1" s="1"/>
  <c r="BF905" i="1" a="1"/>
  <c r="BF905" i="1" s="1"/>
  <c r="BF685" i="1" a="1"/>
  <c r="BF685" i="1" s="1"/>
  <c r="BF690" i="1" a="1"/>
  <c r="BF690" i="1" s="1"/>
  <c r="BF694" i="1" a="1"/>
  <c r="BF694" i="1" s="1"/>
  <c r="BF699" i="1" a="1"/>
  <c r="BF699" i="1" s="1"/>
  <c r="BF789" i="1" a="1"/>
  <c r="BF789" i="1" s="1"/>
  <c r="BF817" i="1" a="1"/>
  <c r="BF817" i="1" s="1"/>
  <c r="BF822" i="1" a="1"/>
  <c r="BF822" i="1" s="1"/>
  <c r="BF1057" i="1" a="1"/>
  <c r="BF1057" i="1" s="1"/>
  <c r="BE1057" i="1" s="1" a="1"/>
  <c r="BE1057" i="1" s="1"/>
  <c r="BF1059" i="1" a="1"/>
  <c r="BF1059" i="1" s="1"/>
  <c r="BE1059" i="1" s="1" a="1"/>
  <c r="BE1059" i="1" s="1"/>
  <c r="BF1114" i="1" a="1"/>
  <c r="BF1114" i="1" s="1"/>
  <c r="BF1395" i="1" a="1"/>
  <c r="BF1395" i="1" s="1"/>
  <c r="BE1395" i="1" s="1" a="1"/>
  <c r="BE1395" i="1" s="1"/>
  <c r="BF1414" i="1" a="1"/>
  <c r="BF1414" i="1" s="1"/>
  <c r="BE1414" i="1" s="1" a="1"/>
  <c r="BE1414" i="1" s="1"/>
  <c r="BF1415" i="1" a="1"/>
  <c r="BF1415" i="1" s="1"/>
  <c r="BF1424" i="1" a="1"/>
  <c r="BF1424" i="1" s="1"/>
  <c r="BF1470" i="1" a="1"/>
  <c r="BF1470" i="1" s="1"/>
  <c r="BF1493" i="1" a="1"/>
  <c r="BF1493" i="1" s="1"/>
  <c r="BF1672" i="1" a="1"/>
  <c r="BF1672" i="1" s="1"/>
  <c r="BF1673" i="1" a="1"/>
  <c r="BF1673" i="1" s="1"/>
  <c r="BF1198" i="1" a="1"/>
  <c r="BF1198" i="1" s="1"/>
  <c r="BF1200" i="1" a="1"/>
  <c r="BF1200" i="1" s="1"/>
  <c r="BF1323" i="1" a="1"/>
  <c r="BF1323" i="1" s="1"/>
  <c r="BF1378" i="1" a="1"/>
  <c r="BF1378" i="1" s="1"/>
  <c r="BF1386" i="1" a="1"/>
  <c r="BF1386" i="1" s="1"/>
  <c r="BE1386" i="1" s="1" a="1"/>
  <c r="BE1386" i="1" s="1"/>
  <c r="BF1593" i="1" a="1"/>
  <c r="BF1593" i="1" s="1"/>
  <c r="BF1594" i="1" a="1"/>
  <c r="BF1594" i="1" s="1"/>
  <c r="BF1595" i="1" a="1"/>
  <c r="BF1595" i="1" s="1"/>
  <c r="BF116" i="1" a="1"/>
  <c r="BF116" i="1" s="1"/>
  <c r="BF365" i="1" a="1"/>
  <c r="BF365" i="1" s="1"/>
  <c r="BF415" i="1" a="1"/>
  <c r="BF415" i="1" s="1"/>
  <c r="BF460" i="1" a="1"/>
  <c r="BF460" i="1" s="1"/>
  <c r="BF512" i="1" a="1"/>
  <c r="BF512" i="1" s="1"/>
  <c r="BF603" i="1" a="1"/>
  <c r="BF603" i="1" s="1"/>
  <c r="BF653" i="1" a="1"/>
  <c r="BF653" i="1" s="1"/>
  <c r="BF925" i="1" a="1"/>
  <c r="BF925" i="1" s="1"/>
  <c r="BF957" i="1" a="1"/>
  <c r="BF957" i="1" s="1"/>
  <c r="CT1056" i="1"/>
  <c r="BF1104" i="1" a="1"/>
  <c r="BF1104" i="1" s="1"/>
  <c r="BF1112" i="1" a="1"/>
  <c r="BF1112" i="1" s="1"/>
  <c r="BF1120" i="1" a="1"/>
  <c r="BF1120" i="1" s="1"/>
  <c r="CT1571" i="1"/>
  <c r="CU1571" i="1" s="1"/>
  <c r="BF1572" i="1" a="1"/>
  <c r="BF1572" i="1" s="1"/>
  <c r="CR1572" i="1"/>
  <c r="CV1572" i="1" s="1"/>
  <c r="BF1682" i="1" a="1"/>
  <c r="BF1682" i="1" s="1"/>
  <c r="BF122" i="1" a="1"/>
  <c r="BF122" i="1" s="1"/>
  <c r="BF121" i="1" a="1"/>
  <c r="BF121" i="1" s="1"/>
  <c r="BF697" i="1" a="1"/>
  <c r="BF697" i="1" s="1"/>
  <c r="BF715" i="1" a="1"/>
  <c r="BF715" i="1" s="1"/>
  <c r="BF786" i="1" a="1"/>
  <c r="BF786" i="1" s="1"/>
  <c r="BF812" i="1" a="1"/>
  <c r="BF812" i="1" s="1"/>
  <c r="BE812" i="1" s="1" a="1"/>
  <c r="BE812" i="1" s="1"/>
  <c r="CT1381" i="1"/>
  <c r="CU1381" i="1" s="1"/>
  <c r="BY1625" i="1"/>
  <c r="BF1681" i="1" a="1"/>
  <c r="BF1681" i="1" s="1"/>
  <c r="BF14" i="1" a="1"/>
  <c r="BF14" i="1" s="1"/>
  <c r="BF110" i="1" a="1"/>
  <c r="BF110" i="1" s="1"/>
  <c r="BF361" i="1" a="1"/>
  <c r="BF361" i="1" s="1"/>
  <c r="BE361" i="1" s="1" a="1"/>
  <c r="BE361" i="1" s="1"/>
  <c r="BF407" i="1" a="1"/>
  <c r="BF407" i="1" s="1"/>
  <c r="BY416" i="1"/>
  <c r="BF419" i="1" a="1"/>
  <c r="BF419" i="1" s="1"/>
  <c r="BF655" i="1" a="1"/>
  <c r="BF655" i="1" s="1"/>
  <c r="BF682" i="1" a="1"/>
  <c r="BF682" i="1" s="1"/>
  <c r="BF692" i="1" a="1"/>
  <c r="BF692" i="1" s="1"/>
  <c r="BF696" i="1" a="1"/>
  <c r="BF696" i="1" s="1"/>
  <c r="BF714" i="1" a="1"/>
  <c r="BF714" i="1" s="1"/>
  <c r="BF785" i="1" a="1"/>
  <c r="BF785" i="1" s="1"/>
  <c r="BF811" i="1" a="1"/>
  <c r="BF811" i="1" s="1"/>
  <c r="BE811" i="1" s="1" a="1"/>
  <c r="BE811" i="1" s="1"/>
  <c r="BF820" i="1" a="1"/>
  <c r="BF820" i="1" s="1"/>
  <c r="CT834" i="1"/>
  <c r="CU834" i="1" s="1"/>
  <c r="BF835" i="1" a="1"/>
  <c r="BF835" i="1" s="1"/>
  <c r="BF961" i="1" a="1"/>
  <c r="BF961" i="1" s="1"/>
  <c r="BF1048" i="1" a="1"/>
  <c r="BF1048" i="1" s="1"/>
  <c r="BF1054" i="1" a="1"/>
  <c r="BF1054" i="1" s="1"/>
  <c r="BE1054" i="1" s="1" a="1"/>
  <c r="BE1054" i="1" s="1"/>
  <c r="BF1105" i="1" a="1"/>
  <c r="BF1105" i="1" s="1"/>
  <c r="BE1105" i="1" s="1" a="1"/>
  <c r="BE1105" i="1" s="1"/>
  <c r="BF1106" i="1" a="1"/>
  <c r="BF1106" i="1" s="1"/>
  <c r="BF1107" i="1" a="1"/>
  <c r="BF1107" i="1" s="1"/>
  <c r="BE1107" i="1" s="1" a="1"/>
  <c r="BE1107" i="1" s="1"/>
  <c r="BF1115" i="1" a="1"/>
  <c r="BF1115" i="1" s="1"/>
  <c r="BF1124" i="1" a="1"/>
  <c r="BF1124" i="1" s="1"/>
  <c r="BF1179" i="1" a="1"/>
  <c r="BF1179" i="1" s="1"/>
  <c r="BF1190" i="1" a="1"/>
  <c r="BF1190" i="1" s="1"/>
  <c r="BF1202" i="1" a="1"/>
  <c r="BF1202" i="1" s="1"/>
  <c r="BE1202" i="1" s="1" a="1"/>
  <c r="BE1202" i="1" s="1"/>
  <c r="BF1320" i="1" a="1"/>
  <c r="BF1320" i="1" s="1"/>
  <c r="BF1328" i="1" a="1"/>
  <c r="BF1328" i="1" s="1"/>
  <c r="BF1332" i="1" a="1"/>
  <c r="BF1332" i="1" s="1"/>
  <c r="BF1336" i="1" a="1"/>
  <c r="BF1336" i="1" s="1"/>
  <c r="BF1358" i="1" a="1"/>
  <c r="BF1358" i="1" s="1"/>
  <c r="BF1371" i="1" a="1"/>
  <c r="BF1371" i="1" s="1"/>
  <c r="BF1372" i="1" a="1"/>
  <c r="BF1372" i="1" s="1"/>
  <c r="BF1373" i="1" a="1"/>
  <c r="BF1373" i="1" s="1"/>
  <c r="BE1373" i="1" s="1" a="1"/>
  <c r="BE1373" i="1" s="1"/>
  <c r="BF1381" i="1" a="1"/>
  <c r="BF1381" i="1" s="1"/>
  <c r="BE1381" i="1" s="1" a="1"/>
  <c r="BE1381" i="1" s="1"/>
  <c r="BF1390" i="1" a="1"/>
  <c r="BF1390" i="1" s="1"/>
  <c r="BE1390" i="1" s="1" a="1"/>
  <c r="BE1390" i="1" s="1"/>
  <c r="BF1398" i="1" a="1"/>
  <c r="BF1398" i="1" s="1"/>
  <c r="BE1398" i="1" s="1" a="1"/>
  <c r="BE1398" i="1" s="1"/>
  <c r="BF1418" i="1" a="1"/>
  <c r="BF1418" i="1" s="1"/>
  <c r="BE1418" i="1" s="1" a="1"/>
  <c r="BE1418" i="1" s="1"/>
  <c r="BF1465" i="1" a="1"/>
  <c r="BF1465" i="1" s="1"/>
  <c r="BF1488" i="1" a="1"/>
  <c r="BF1488" i="1" s="1"/>
  <c r="BF1503" i="1" a="1"/>
  <c r="BF1503" i="1" s="1"/>
  <c r="BF1507" i="1" a="1"/>
  <c r="BF1507" i="1" s="1"/>
  <c r="BF1524" i="1" a="1"/>
  <c r="BF1524" i="1" s="1"/>
  <c r="BF1573" i="1" a="1"/>
  <c r="BF1573" i="1" s="1"/>
  <c r="BF1596" i="1" a="1"/>
  <c r="BF1596" i="1" s="1"/>
  <c r="BF1597" i="1" a="1"/>
  <c r="BF1597" i="1" s="1"/>
  <c r="BF1598" i="1" a="1"/>
  <c r="BF1598" i="1" s="1"/>
  <c r="BF1607" i="1" a="1"/>
  <c r="BF1607" i="1" s="1"/>
  <c r="BF1608" i="1" a="1"/>
  <c r="BF1608" i="1" s="1"/>
  <c r="BF1609" i="1" a="1"/>
  <c r="BF1609" i="1" s="1"/>
  <c r="BF1670" i="1" a="1"/>
  <c r="BF1670" i="1" s="1"/>
  <c r="BF13" i="1" a="1"/>
  <c r="BF13" i="1" s="1"/>
  <c r="BF109" i="1" a="1"/>
  <c r="BF109" i="1" s="1"/>
  <c r="BF117" i="1" a="1"/>
  <c r="BF117" i="1" s="1"/>
  <c r="BF368" i="1" a="1"/>
  <c r="BF368" i="1" s="1"/>
  <c r="BF418" i="1" a="1"/>
  <c r="BF418" i="1" s="1"/>
  <c r="BF686" i="1" a="1"/>
  <c r="BF686" i="1" s="1"/>
  <c r="BF712" i="1" a="1"/>
  <c r="BF712" i="1" s="1"/>
  <c r="BF713" i="1" a="1"/>
  <c r="BF713" i="1" s="1"/>
  <c r="BF784" i="1" a="1"/>
  <c r="BF784" i="1" s="1"/>
  <c r="BF780" i="1" a="1"/>
  <c r="BF780" i="1" s="1"/>
  <c r="BF810" i="1" a="1"/>
  <c r="BF810" i="1" s="1"/>
  <c r="BE810" i="1" s="1" a="1"/>
  <c r="BE810" i="1" s="1"/>
  <c r="BF1178" i="1" a="1"/>
  <c r="BF1178" i="1" s="1"/>
  <c r="BE1178" i="1" s="1" a="1"/>
  <c r="BE1178" i="1" s="1"/>
  <c r="BF1184" i="1" a="1"/>
  <c r="BF1184" i="1" s="1"/>
  <c r="BF1185" i="1" a="1"/>
  <c r="BF1185" i="1" s="1"/>
  <c r="BF1186" i="1" a="1"/>
  <c r="BF1186" i="1" s="1"/>
  <c r="BE1186" i="1" s="1" a="1"/>
  <c r="BE1186" i="1" s="1"/>
  <c r="BF1187" i="1" a="1"/>
  <c r="BF1187" i="1" s="1"/>
  <c r="BE1187" i="1" s="1" a="1"/>
  <c r="BE1187" i="1" s="1"/>
  <c r="BF1188" i="1" a="1"/>
  <c r="BF1188" i="1" s="1"/>
  <c r="BE1188" i="1" s="1" a="1"/>
  <c r="BE1188" i="1" s="1"/>
  <c r="BF1189" i="1" a="1"/>
  <c r="BF1189" i="1" s="1"/>
  <c r="BE1189" i="1" s="1" a="1"/>
  <c r="BE1189" i="1" s="1"/>
  <c r="BF1321" i="1" a="1"/>
  <c r="BF1321" i="1" s="1"/>
  <c r="BF1380" i="1" a="1"/>
  <c r="BF1380" i="1" s="1"/>
  <c r="BE1380" i="1" s="1" a="1"/>
  <c r="BE1380" i="1" s="1"/>
  <c r="BF1389" i="1" a="1"/>
  <c r="BF1389" i="1" s="1"/>
  <c r="BE1389" i="1" s="1" a="1"/>
  <c r="BE1389" i="1" s="1"/>
  <c r="BF1397" i="1" a="1"/>
  <c r="BF1397" i="1" s="1"/>
  <c r="BF1417" i="1" a="1"/>
  <c r="BF1417" i="1" s="1"/>
  <c r="BE1417" i="1" s="1" a="1"/>
  <c r="BE1417" i="1" s="1"/>
  <c r="BF1464" i="1" a="1"/>
  <c r="BF1464" i="1" s="1"/>
  <c r="BF1472" i="1" a="1"/>
  <c r="BF1472" i="1" s="1"/>
  <c r="BF1498" i="1" a="1"/>
  <c r="BF1498" i="1" s="1"/>
  <c r="BE1498" i="1" s="1" a="1"/>
  <c r="BE1498" i="1" s="1"/>
  <c r="BF1523" i="1" a="1"/>
  <c r="BF1523" i="1" s="1"/>
  <c r="BF1667" i="1" a="1"/>
  <c r="BF1667" i="1" s="1"/>
  <c r="BE1667" i="1" s="1" a="1"/>
  <c r="BE1667" i="1" s="1"/>
  <c r="BF1669" i="1" a="1"/>
  <c r="BF1669" i="1" s="1"/>
  <c r="BF1671" i="1" a="1"/>
  <c r="BF1671" i="1" s="1"/>
  <c r="BF1684" i="1" a="1"/>
  <c r="BF1684" i="1" s="1"/>
  <c r="BE1684" i="1" s="1" a="1"/>
  <c r="BE1684" i="1" s="1"/>
  <c r="BF360" i="1" a="1"/>
  <c r="BF360" i="1" s="1"/>
  <c r="BE360" i="1" s="1" a="1"/>
  <c r="BE360" i="1" s="1"/>
  <c r="BF426" i="1" a="1"/>
  <c r="BF426" i="1" s="1"/>
  <c r="BF514" i="1" a="1"/>
  <c r="BF514" i="1" s="1"/>
  <c r="BE514" i="1" s="1" a="1"/>
  <c r="BE514" i="1" s="1"/>
  <c r="CT10" i="1"/>
  <c r="BF12" i="1" a="1"/>
  <c r="BF12" i="1" s="1"/>
  <c r="CT19" i="1"/>
  <c r="BF108" i="1" a="1"/>
  <c r="BF108" i="1" s="1"/>
  <c r="BF359" i="1" a="1"/>
  <c r="BF359" i="1" s="1"/>
  <c r="BE359" i="1" s="1" a="1"/>
  <c r="BE359" i="1" s="1"/>
  <c r="BF367" i="1" a="1"/>
  <c r="BF367" i="1" s="1"/>
  <c r="BF417" i="1" a="1"/>
  <c r="BF417" i="1" s="1"/>
  <c r="BF654" i="1" a="1"/>
  <c r="BF654" i="1" s="1"/>
  <c r="BF681" i="1" a="1"/>
  <c r="BF681" i="1" s="1"/>
  <c r="BF691" i="1" a="1"/>
  <c r="BF691" i="1" s="1"/>
  <c r="BF695" i="1" a="1"/>
  <c r="BF695" i="1" s="1"/>
  <c r="BF711" i="1" a="1"/>
  <c r="BF711" i="1" s="1"/>
  <c r="BF781" i="1" a="1"/>
  <c r="BF781" i="1" s="1"/>
  <c r="BF782" i="1" a="1"/>
  <c r="BF782" i="1" s="1"/>
  <c r="BF783" i="1" a="1"/>
  <c r="BF783" i="1" s="1"/>
  <c r="BF791" i="1" a="1"/>
  <c r="BF791" i="1" s="1"/>
  <c r="BF809" i="1" a="1"/>
  <c r="BF809" i="1" s="1"/>
  <c r="BE809" i="1" s="1" a="1"/>
  <c r="BE809" i="1" s="1"/>
  <c r="BF819" i="1" a="1"/>
  <c r="BF819" i="1" s="1"/>
  <c r="BF834" i="1" a="1"/>
  <c r="BF834" i="1" s="1"/>
  <c r="BF907" i="1" a="1"/>
  <c r="BF907" i="1" s="1"/>
  <c r="BF1002" i="1" a="1"/>
  <c r="BF1002" i="1" s="1"/>
  <c r="BF1056" i="1" a="1"/>
  <c r="BF1056" i="1" s="1"/>
  <c r="BE1056" i="1" s="1" a="1"/>
  <c r="BE1056" i="1" s="1"/>
  <c r="BF1103" i="1" a="1"/>
  <c r="BF1103" i="1" s="1"/>
  <c r="BE1103" i="1" s="1" a="1"/>
  <c r="BE1103" i="1" s="1"/>
  <c r="BF1113" i="1" a="1"/>
  <c r="BF1113" i="1" s="1"/>
  <c r="BF1121" i="1" a="1"/>
  <c r="BF1121" i="1" s="1"/>
  <c r="CT1121" i="1"/>
  <c r="CU1121" i="1" s="1"/>
  <c r="BF1122" i="1" a="1"/>
  <c r="BF1122" i="1" s="1"/>
  <c r="BF1177" i="1" a="1"/>
  <c r="BF1177" i="1" s="1"/>
  <c r="BF1183" i="1" a="1"/>
  <c r="BF1183" i="1" s="1"/>
  <c r="BE1183" i="1" s="1" a="1"/>
  <c r="BE1183" i="1" s="1"/>
  <c r="BF1201" i="1" a="1"/>
  <c r="BF1201" i="1" s="1"/>
  <c r="BE1201" i="1" s="1" a="1"/>
  <c r="BE1201" i="1" s="1"/>
  <c r="BF1322" i="1" a="1"/>
  <c r="BF1322" i="1" s="1"/>
  <c r="BF1331" i="1" a="1"/>
  <c r="BF1331" i="1" s="1"/>
  <c r="BF1335" i="1" a="1"/>
  <c r="BF1335" i="1" s="1"/>
  <c r="BF1339" i="1" a="1"/>
  <c r="BF1339" i="1" s="1"/>
  <c r="BF1379" i="1" a="1"/>
  <c r="BF1379" i="1" s="1"/>
  <c r="BE1379" i="1" s="1" a="1"/>
  <c r="BE1379" i="1" s="1"/>
  <c r="BF1387" i="1" a="1"/>
  <c r="BF1387" i="1" s="1"/>
  <c r="BF1388" i="1" a="1"/>
  <c r="BF1388" i="1" s="1"/>
  <c r="BE1388" i="1" s="1" a="1"/>
  <c r="BE1388" i="1" s="1"/>
  <c r="BF1396" i="1" a="1"/>
  <c r="BF1396" i="1" s="1"/>
  <c r="BE1396" i="1" s="1" a="1"/>
  <c r="BE1396" i="1" s="1"/>
  <c r="BF1416" i="1" a="1"/>
  <c r="BF1416" i="1" s="1"/>
  <c r="BE1416" i="1" s="1" a="1"/>
  <c r="BE1416" i="1" s="1"/>
  <c r="BF1426" i="1" a="1"/>
  <c r="BF1426" i="1" s="1"/>
  <c r="BE1426" i="1" s="1" a="1"/>
  <c r="BE1426" i="1" s="1"/>
  <c r="BF1427" i="1" a="1"/>
  <c r="BF1427" i="1" s="1"/>
  <c r="BE1427" i="1" s="1" a="1"/>
  <c r="BE1427" i="1" s="1"/>
  <c r="BF1428" i="1" a="1"/>
  <c r="BF1428" i="1" s="1"/>
  <c r="BE1428" i="1" s="1" a="1"/>
  <c r="BE1428" i="1" s="1"/>
  <c r="BF1429" i="1" a="1"/>
  <c r="BF1429" i="1" s="1"/>
  <c r="BE1429" i="1" s="1" a="1"/>
  <c r="BE1429" i="1" s="1"/>
  <c r="BF1430" i="1" a="1"/>
  <c r="BF1430" i="1" s="1"/>
  <c r="BE1430" i="1" s="1" a="1"/>
  <c r="BE1430" i="1" s="1"/>
  <c r="BF1471" i="1" a="1"/>
  <c r="BF1471" i="1" s="1"/>
  <c r="BF1494" i="1" a="1"/>
  <c r="BF1494" i="1" s="1"/>
  <c r="BF1502" i="1" a="1"/>
  <c r="BF1502" i="1" s="1"/>
  <c r="BF1506" i="1" a="1"/>
  <c r="BF1506" i="1" s="1"/>
  <c r="BF1522" i="1" a="1"/>
  <c r="BF1522" i="1" s="1"/>
  <c r="BF1610" i="1" a="1"/>
  <c r="BF1610" i="1" s="1"/>
  <c r="BF1611" i="1" a="1"/>
  <c r="BF1611" i="1" s="1"/>
  <c r="BF1612" i="1" a="1"/>
  <c r="BF1612" i="1" s="1"/>
  <c r="BF1613" i="1" a="1"/>
  <c r="BF1613" i="1" s="1"/>
  <c r="BF1614" i="1" a="1"/>
  <c r="BF1614" i="1" s="1"/>
  <c r="BF1615" i="1" a="1"/>
  <c r="BF1615" i="1" s="1"/>
  <c r="BF1616" i="1" a="1"/>
  <c r="BF1616" i="1" s="1"/>
  <c r="BF1617" i="1" a="1"/>
  <c r="BF1617" i="1" s="1"/>
  <c r="BF1618" i="1" a="1"/>
  <c r="BF1618" i="1" s="1"/>
  <c r="BF1619" i="1" a="1"/>
  <c r="BF1619" i="1" s="1"/>
  <c r="BF1627" i="1" a="1"/>
  <c r="BF1627" i="1" s="1"/>
  <c r="BF1683" i="1" a="1"/>
  <c r="BF1683" i="1" s="1"/>
  <c r="BE1683" i="1" s="1" a="1"/>
  <c r="BE1683" i="1" s="1"/>
  <c r="BF1625" i="1" a="1"/>
  <c r="BF1625" i="1" s="1"/>
  <c r="BF1626" i="1" a="1"/>
  <c r="BF1626" i="1" s="1"/>
  <c r="BF1001" i="1" a="1"/>
  <c r="BF1001" i="1" s="1"/>
  <c r="BF1111" i="1" a="1"/>
  <c r="BF1111" i="1" s="1"/>
  <c r="BF1119" i="1" a="1"/>
  <c r="BF1119" i="1" s="1"/>
  <c r="BF1175" i="1" a="1"/>
  <c r="BF1175" i="1" s="1"/>
  <c r="BE1175" i="1" s="1" a="1"/>
  <c r="BE1175" i="1" s="1"/>
  <c r="BF1194" i="1" a="1"/>
  <c r="BF1194" i="1" s="1"/>
  <c r="BE1194" i="1" s="1" a="1"/>
  <c r="BE1194" i="1" s="1"/>
  <c r="BF1195" i="1" a="1"/>
  <c r="BF1195" i="1" s="1"/>
  <c r="BF1196" i="1" a="1"/>
  <c r="BF1196" i="1" s="1"/>
  <c r="BF1197" i="1" a="1"/>
  <c r="BF1197" i="1" s="1"/>
  <c r="BF1199" i="1" a="1"/>
  <c r="BF1199" i="1" s="1"/>
  <c r="BF1324" i="1" a="1"/>
  <c r="BF1324" i="1" s="1"/>
  <c r="BF1330" i="1" a="1"/>
  <c r="BF1330" i="1" s="1"/>
  <c r="BF1334" i="1" a="1"/>
  <c r="BF1334" i="1" s="1"/>
  <c r="BF1338" i="1" a="1"/>
  <c r="BF1338" i="1" s="1"/>
  <c r="EP1359" i="1"/>
  <c r="BF1377" i="1" a="1"/>
  <c r="BF1377" i="1" s="1"/>
  <c r="BE1377" i="1" s="1" a="1"/>
  <c r="BE1377" i="1" s="1"/>
  <c r="BF1385" i="1" a="1"/>
  <c r="BF1385" i="1" s="1"/>
  <c r="BE1385" i="1" s="1" a="1"/>
  <c r="BE1385" i="1" s="1"/>
  <c r="BF1394" i="1" a="1"/>
  <c r="BF1394" i="1" s="1"/>
  <c r="BE1394" i="1" s="1" a="1"/>
  <c r="BE1394" i="1" s="1"/>
  <c r="BF1402" i="1" a="1"/>
  <c r="BF1402" i="1" s="1"/>
  <c r="BE1402" i="1" s="1" a="1"/>
  <c r="BE1402" i="1" s="1"/>
  <c r="BF1422" i="1" a="1"/>
  <c r="BF1422" i="1" s="1"/>
  <c r="BE1422" i="1" s="1" a="1"/>
  <c r="BE1422" i="1" s="1"/>
  <c r="BF1469" i="1" a="1"/>
  <c r="BF1469" i="1" s="1"/>
  <c r="BF1492" i="1" a="1"/>
  <c r="BF1492" i="1" s="1"/>
  <c r="BF1501" i="1" a="1"/>
  <c r="BF1501" i="1" s="1"/>
  <c r="BF1505" i="1" a="1"/>
  <c r="BF1505" i="1" s="1"/>
  <c r="BF1516" i="1" a="1"/>
  <c r="BF1516" i="1" s="1"/>
  <c r="BF1567" i="1" a="1"/>
  <c r="BF1567" i="1" s="1"/>
  <c r="BF1568" i="1" a="1"/>
  <c r="BF1568" i="1" s="1"/>
  <c r="BF1569" i="1" a="1"/>
  <c r="BF1569" i="1" s="1"/>
  <c r="BF9" i="1" a="1"/>
  <c r="BF9" i="1" s="1"/>
  <c r="BF17" i="1" a="1"/>
  <c r="BF17" i="1" s="1"/>
  <c r="BF113" i="1" a="1"/>
  <c r="BF113" i="1" s="1"/>
  <c r="BF120" i="1" a="1"/>
  <c r="BF120" i="1" s="1"/>
  <c r="BF364" i="1" a="1"/>
  <c r="BF364" i="1" s="1"/>
  <c r="BE364" i="1" s="1" a="1"/>
  <c r="BE364" i="1" s="1"/>
  <c r="BF424" i="1" a="1"/>
  <c r="BF424" i="1" s="1"/>
  <c r="BF459" i="1" a="1"/>
  <c r="BF459" i="1" s="1"/>
  <c r="BF511" i="1" a="1"/>
  <c r="BF511" i="1" s="1"/>
  <c r="BF604" i="1" a="1"/>
  <c r="BF604" i="1" s="1"/>
  <c r="BF657" i="1" a="1"/>
  <c r="BF657" i="1" s="1"/>
  <c r="BE657" i="1" s="1" a="1"/>
  <c r="BE657" i="1" s="1"/>
  <c r="BF684" i="1" a="1"/>
  <c r="BF684" i="1" s="1"/>
  <c r="BF716" i="1" a="1"/>
  <c r="BF716" i="1" s="1"/>
  <c r="BF788" i="1" a="1"/>
  <c r="BF788" i="1" s="1"/>
  <c r="BF814" i="1" a="1"/>
  <c r="BF814" i="1" s="1"/>
  <c r="BE814" i="1" s="1" a="1"/>
  <c r="BE814" i="1" s="1"/>
  <c r="BF844" i="1" a="1"/>
  <c r="BF844" i="1" s="1"/>
  <c r="BE844" i="1" s="1" a="1"/>
  <c r="BE844" i="1" s="1"/>
  <c r="BF954" i="1" a="1"/>
  <c r="BF954" i="1" s="1"/>
  <c r="BF958" i="1" a="1"/>
  <c r="BF958" i="1" s="1"/>
  <c r="BF996" i="1" a="1"/>
  <c r="BF996" i="1" s="1"/>
  <c r="BF1052" i="1" a="1"/>
  <c r="BF1052" i="1" s="1"/>
  <c r="BF1055" i="1" a="1"/>
  <c r="BF1055" i="1" s="1"/>
  <c r="BE1055" i="1" s="1" a="1"/>
  <c r="BE1055" i="1" s="1"/>
  <c r="BF1110" i="1" a="1"/>
  <c r="BF1110" i="1" s="1"/>
  <c r="BF1118" i="1" a="1"/>
  <c r="BF1118" i="1" s="1"/>
  <c r="BF1170" i="1" a="1"/>
  <c r="BF1170" i="1" s="1"/>
  <c r="BE1170" i="1" s="1" a="1"/>
  <c r="BE1170" i="1" s="1"/>
  <c r="BF1171" i="1" a="1"/>
  <c r="BF1171" i="1" s="1"/>
  <c r="BE1171" i="1" s="1" a="1"/>
  <c r="BE1171" i="1" s="1"/>
  <c r="BF1172" i="1" a="1"/>
  <c r="BF1172" i="1" s="1"/>
  <c r="BE1172" i="1" s="1" a="1"/>
  <c r="BE1172" i="1" s="1"/>
  <c r="BF1173" i="1" a="1"/>
  <c r="BF1173" i="1" s="1"/>
  <c r="BF1174" i="1" a="1"/>
  <c r="BF1174" i="1" s="1"/>
  <c r="BE1174" i="1" s="1" a="1"/>
  <c r="BE1174" i="1" s="1"/>
  <c r="BF1181" i="1" a="1"/>
  <c r="BF1181" i="1" s="1"/>
  <c r="BE1181" i="1" s="1" a="1"/>
  <c r="BE1181" i="1" s="1"/>
  <c r="BF1193" i="1" a="1"/>
  <c r="BF1193" i="1" s="1"/>
  <c r="BE1193" i="1" s="1" a="1"/>
  <c r="BE1193" i="1" s="1"/>
  <c r="BF1325" i="1" a="1"/>
  <c r="BF1325" i="1" s="1"/>
  <c r="BF1376" i="1" a="1"/>
  <c r="BF1376" i="1" s="1"/>
  <c r="BE1376" i="1" s="1" a="1"/>
  <c r="BE1376" i="1" s="1"/>
  <c r="BF1384" i="1" a="1"/>
  <c r="BF1384" i="1" s="1"/>
  <c r="BE1384" i="1" s="1" a="1"/>
  <c r="BE1384" i="1" s="1"/>
  <c r="BF1393" i="1" a="1"/>
  <c r="BF1393" i="1" s="1"/>
  <c r="BE1393" i="1" s="1" a="1"/>
  <c r="BE1393" i="1" s="1"/>
  <c r="BF1401" i="1" a="1"/>
  <c r="BF1401" i="1" s="1"/>
  <c r="BE1401" i="1" s="1" a="1"/>
  <c r="BE1401" i="1" s="1"/>
  <c r="BF1421" i="1" a="1"/>
  <c r="BF1421" i="1" s="1"/>
  <c r="BE1421" i="1" s="1" a="1"/>
  <c r="BE1421" i="1" s="1"/>
  <c r="BF1468" i="1" a="1"/>
  <c r="BF1468" i="1" s="1"/>
  <c r="BF1491" i="1" a="1"/>
  <c r="BF1491" i="1" s="1"/>
  <c r="BF1527" i="1" a="1"/>
  <c r="BF1527" i="1" s="1"/>
  <c r="BF1570" i="1" a="1"/>
  <c r="BF1570" i="1" s="1"/>
  <c r="BF8" i="1" a="1"/>
  <c r="BF8" i="1" s="1"/>
  <c r="BF16" i="1" a="1"/>
  <c r="BF16" i="1" s="1"/>
  <c r="BF363" i="1" a="1"/>
  <c r="BF363" i="1" s="1"/>
  <c r="BE363" i="1" s="1" a="1"/>
  <c r="BE363" i="1" s="1"/>
  <c r="BF408" i="1" a="1"/>
  <c r="BF408" i="1" s="1"/>
  <c r="BF421" i="1" a="1"/>
  <c r="BF421" i="1" s="1"/>
  <c r="BF652" i="1" a="1"/>
  <c r="BF652" i="1" s="1"/>
  <c r="BF656" i="1" a="1"/>
  <c r="BF656" i="1" s="1"/>
  <c r="BE656" i="1" s="1" a="1"/>
  <c r="BE656" i="1" s="1"/>
  <c r="BF689" i="1" a="1"/>
  <c r="BF689" i="1" s="1"/>
  <c r="BF693" i="1" a="1"/>
  <c r="BF693" i="1" s="1"/>
  <c r="BF698" i="1" a="1"/>
  <c r="BF698" i="1" s="1"/>
  <c r="BF787" i="1" a="1"/>
  <c r="BF787" i="1" s="1"/>
  <c r="BF813" i="1" a="1"/>
  <c r="BF813" i="1" s="1"/>
  <c r="BE813" i="1" s="1" a="1"/>
  <c r="BE813" i="1" s="1"/>
  <c r="BF821" i="1" a="1"/>
  <c r="BF821" i="1" s="1"/>
  <c r="BF842" i="1" a="1"/>
  <c r="BF842" i="1" s="1"/>
  <c r="BE842" i="1" s="1" a="1"/>
  <c r="BE842" i="1" s="1"/>
  <c r="BF843" i="1" a="1"/>
  <c r="BF843" i="1" s="1"/>
  <c r="BE843" i="1" s="1" a="1"/>
  <c r="BE843" i="1" s="1"/>
  <c r="BF995" i="1" a="1"/>
  <c r="BF995" i="1" s="1"/>
  <c r="BF1109" i="1" a="1"/>
  <c r="BF1109" i="1" s="1"/>
  <c r="BE1109" i="1" s="1" a="1"/>
  <c r="BE1109" i="1" s="1"/>
  <c r="BF1117" i="1" a="1"/>
  <c r="BF1117" i="1" s="1"/>
  <c r="BF1126" i="1" a="1"/>
  <c r="BF1126" i="1" s="1"/>
  <c r="BF1127" i="1" a="1"/>
  <c r="BF1127" i="1" s="1"/>
  <c r="BF1168" i="1" a="1"/>
  <c r="BF1168" i="1" s="1"/>
  <c r="BF1169" i="1" a="1"/>
  <c r="BF1169" i="1" s="1"/>
  <c r="BF1192" i="1" a="1"/>
  <c r="BF1192" i="1" s="1"/>
  <c r="BE1192" i="1" s="1" a="1"/>
  <c r="BE1192" i="1" s="1"/>
  <c r="BF1326" i="1" a="1"/>
  <c r="BF1326" i="1" s="1"/>
  <c r="BF1329" i="1" a="1"/>
  <c r="BF1329" i="1" s="1"/>
  <c r="BF1333" i="1" a="1"/>
  <c r="BF1333" i="1" s="1"/>
  <c r="BF1337" i="1" a="1"/>
  <c r="BF1337" i="1" s="1"/>
  <c r="BF1360" i="1" a="1"/>
  <c r="BF1360" i="1" s="1"/>
  <c r="BF1361" i="1" a="1"/>
  <c r="BF1361" i="1" s="1"/>
  <c r="BF1362" i="1" a="1"/>
  <c r="BF1362" i="1" s="1"/>
  <c r="BF1363" i="1" a="1"/>
  <c r="BF1363" i="1" s="1"/>
  <c r="BF1375" i="1" a="1"/>
  <c r="BF1375" i="1" s="1"/>
  <c r="BE1375" i="1" s="1" a="1"/>
  <c r="BE1375" i="1" s="1"/>
  <c r="BF1383" i="1" a="1"/>
  <c r="BF1383" i="1" s="1"/>
  <c r="BE1383" i="1" s="1" a="1"/>
  <c r="BE1383" i="1" s="1"/>
  <c r="BF1392" i="1" a="1"/>
  <c r="BF1392" i="1" s="1"/>
  <c r="BE1392" i="1" s="1" a="1"/>
  <c r="BE1392" i="1" s="1"/>
  <c r="BF1400" i="1" a="1"/>
  <c r="BF1400" i="1" s="1"/>
  <c r="BE1400" i="1" s="1" a="1"/>
  <c r="BE1400" i="1" s="1"/>
  <c r="BF1420" i="1" a="1"/>
  <c r="BF1420" i="1" s="1"/>
  <c r="BE1420" i="1" s="1" a="1"/>
  <c r="BE1420" i="1" s="1"/>
  <c r="BF1467" i="1" a="1"/>
  <c r="BF1467" i="1" s="1"/>
  <c r="BF1490" i="1" a="1"/>
  <c r="BF1490" i="1" s="1"/>
  <c r="BF1500" i="1" a="1"/>
  <c r="BF1500" i="1" s="1"/>
  <c r="BF1504" i="1" a="1"/>
  <c r="BF1504" i="1" s="1"/>
  <c r="BF1508" i="1" a="1"/>
  <c r="BF1508" i="1" s="1"/>
  <c r="BF1526" i="1" a="1"/>
  <c r="BF1526" i="1" s="1"/>
  <c r="BF1571" i="1" a="1"/>
  <c r="BF1571" i="1" s="1"/>
  <c r="BF1674" i="1" a="1"/>
  <c r="BF1674" i="1" s="1"/>
  <c r="CS821" i="1"/>
  <c r="CT1402" i="1"/>
  <c r="CU1402" i="1" s="1"/>
  <c r="CS1503" i="1"/>
  <c r="CV1503" i="1" s="1"/>
  <c r="BF11" i="1" a="1"/>
  <c r="BF11" i="1" s="1"/>
  <c r="CT18" i="1"/>
  <c r="BF20" i="1" a="1"/>
  <c r="BF20" i="1" s="1"/>
  <c r="BF366" i="1" a="1"/>
  <c r="BF366" i="1" s="1"/>
  <c r="EP1367" i="1"/>
  <c r="CT1523" i="1"/>
  <c r="CU1523" i="1" s="1"/>
  <c r="CT1359" i="1"/>
  <c r="CU1359" i="1" s="1"/>
  <c r="BF112" i="1" a="1"/>
  <c r="BF112" i="1" s="1"/>
  <c r="CQ512" i="1"/>
  <c r="CT711" i="1"/>
  <c r="CS1202" i="1"/>
  <c r="CV1202" i="1" s="1"/>
  <c r="CS1593" i="1"/>
  <c r="CV1593" i="1" s="1"/>
  <c r="CT1117" i="1"/>
  <c r="CU1117" i="1" s="1"/>
  <c r="BF15" i="1" a="1"/>
  <c r="BF15" i="1" s="1"/>
  <c r="CR1597" i="1"/>
  <c r="CV1597" i="1" s="1"/>
  <c r="EP1366" i="1"/>
  <c r="CT1489" i="1"/>
  <c r="CU1489" i="1" s="1"/>
  <c r="CR1525" i="1"/>
  <c r="CV1525" i="1" s="1"/>
  <c r="CS1527" i="1"/>
  <c r="CV1527" i="1" s="1"/>
  <c r="CP17" i="1"/>
  <c r="CS1182" i="1"/>
  <c r="CR1337" i="1"/>
  <c r="CV1337" i="1" s="1"/>
  <c r="CS1421" i="1"/>
  <c r="CV1421" i="1" s="1"/>
  <c r="CT1422" i="1"/>
  <c r="CU1422" i="1" s="1"/>
  <c r="CT1424" i="1"/>
  <c r="CU1424" i="1" s="1"/>
  <c r="CT1500" i="1"/>
  <c r="CU1500" i="1" s="1"/>
  <c r="CT1527" i="1"/>
  <c r="CU1527" i="1" s="1"/>
  <c r="CS8" i="1"/>
  <c r="BV690" i="1"/>
  <c r="BX690" i="1" s="1"/>
  <c r="BY690" i="1" s="1"/>
  <c r="CR17" i="1"/>
  <c r="CV17" i="1" s="1"/>
  <c r="CS602" i="1"/>
  <c r="CS956" i="1"/>
  <c r="CV956" i="1" s="1"/>
  <c r="CR1110" i="1"/>
  <c r="CV1110" i="1" s="1"/>
  <c r="CR697" i="1"/>
  <c r="CV697" i="1" s="1"/>
  <c r="CT956" i="1"/>
  <c r="CU956" i="1" s="1"/>
  <c r="CS1059" i="1"/>
  <c r="BE1176" i="1" a="1"/>
  <c r="BE1176" i="1" s="1"/>
  <c r="CT1176" i="1"/>
  <c r="CU1176" i="1" s="1"/>
  <c r="CS1177" i="1"/>
  <c r="CT1184" i="1"/>
  <c r="CU1184" i="1" s="1"/>
  <c r="CS1378" i="1"/>
  <c r="CV1378" i="1" s="1"/>
  <c r="CT1419" i="1"/>
  <c r="CU1419" i="1" s="1"/>
  <c r="CT1421" i="1"/>
  <c r="CU1421" i="1" s="1"/>
  <c r="CR1500" i="1"/>
  <c r="CS1683" i="1"/>
  <c r="CV1683" i="1" s="1"/>
  <c r="CR8" i="1"/>
  <c r="BY9" i="1"/>
  <c r="CP14" i="1"/>
  <c r="CP15" i="1"/>
  <c r="BY1115" i="1"/>
  <c r="CS10" i="1"/>
  <c r="CV10" i="1" s="1"/>
  <c r="CR15" i="1"/>
  <c r="CR691" i="1"/>
  <c r="CO1059" i="1"/>
  <c r="CR1104" i="1"/>
  <c r="CV1104" i="1" s="1"/>
  <c r="CR122" i="1"/>
  <c r="CT421" i="1"/>
  <c r="CT459" i="1"/>
  <c r="CU459" i="1" s="1"/>
  <c r="CS682" i="1"/>
  <c r="CV682" i="1" s="1"/>
  <c r="BV694" i="1"/>
  <c r="BX694" i="1" s="1"/>
  <c r="BY694" i="1" s="1"/>
  <c r="CS812" i="1"/>
  <c r="CV812" i="1" s="1"/>
  <c r="CR1048" i="1"/>
  <c r="CV1048" i="1" s="1"/>
  <c r="CP1052" i="1"/>
  <c r="CT1335" i="1"/>
  <c r="CU1335" i="1" s="1"/>
  <c r="EP1362" i="1"/>
  <c r="CT1597" i="1"/>
  <c r="CU1597" i="1" s="1"/>
  <c r="BY20" i="1"/>
  <c r="CO819" i="1"/>
  <c r="CS820" i="1"/>
  <c r="CR1181" i="1"/>
  <c r="CR1182" i="1"/>
  <c r="CT1595" i="1"/>
  <c r="CU1595" i="1" s="1"/>
  <c r="CS1181" i="1"/>
  <c r="CR1184" i="1"/>
  <c r="CV1184" i="1" s="1"/>
  <c r="CS1598" i="1"/>
  <c r="CS512" i="1"/>
  <c r="CS1611" i="1"/>
  <c r="CV1611" i="1" s="1"/>
  <c r="CR16" i="1"/>
  <c r="CP819" i="1"/>
  <c r="CR996" i="1"/>
  <c r="CV996" i="1" s="1"/>
  <c r="CT8" i="1"/>
  <c r="CS1053" i="1"/>
  <c r="CT1112" i="1"/>
  <c r="CU1112" i="1" s="1"/>
  <c r="CS1176" i="1"/>
  <c r="CV1176" i="1" s="1"/>
  <c r="CR1330" i="1"/>
  <c r="CV1330" i="1" s="1"/>
  <c r="CR514" i="1"/>
  <c r="CV514" i="1" s="1"/>
  <c r="CR653" i="1"/>
  <c r="CV653" i="1" s="1"/>
  <c r="CQ8" i="1"/>
  <c r="CQ420" i="1"/>
  <c r="CT682" i="1"/>
  <c r="CU682" i="1" s="1"/>
  <c r="CT1048" i="1"/>
  <c r="CU1048" i="1" s="1"/>
  <c r="CQ16" i="1"/>
  <c r="CQ17" i="1"/>
  <c r="CQ602" i="1"/>
  <c r="CP1055" i="1"/>
  <c r="CS1188" i="1"/>
  <c r="CV1188" i="1" s="1"/>
  <c r="CR1196" i="1"/>
  <c r="CT1202" i="1"/>
  <c r="CU1202" i="1" s="1"/>
  <c r="CR1359" i="1"/>
  <c r="CV1359" i="1" s="1"/>
  <c r="EP1364" i="1"/>
  <c r="BY1615" i="1"/>
  <c r="CR117" i="1"/>
  <c r="CV117" i="1" s="1"/>
  <c r="CS368" i="1"/>
  <c r="CV368" i="1" s="1"/>
  <c r="CS407" i="1"/>
  <c r="CV407" i="1" s="1"/>
  <c r="CP416" i="1"/>
  <c r="CO419" i="1"/>
  <c r="CT426" i="1"/>
  <c r="CU426" i="1" s="1"/>
  <c r="CS654" i="1"/>
  <c r="CV654" i="1" s="1"/>
  <c r="CR655" i="1"/>
  <c r="CV655" i="1" s="1"/>
  <c r="CR688" i="1"/>
  <c r="CS688" i="1"/>
  <c r="CT1372" i="1"/>
  <c r="CU1372" i="1" s="1"/>
  <c r="CS1372" i="1"/>
  <c r="CV1372" i="1" s="1"/>
  <c r="CR1386" i="1"/>
  <c r="CT1386" i="1"/>
  <c r="CU1386" i="1" s="1"/>
  <c r="CS1386" i="1"/>
  <c r="CS1323" i="1"/>
  <c r="CV1323" i="1" s="1"/>
  <c r="CP9" i="1"/>
  <c r="BY11" i="1"/>
  <c r="CR113" i="1"/>
  <c r="CV113" i="1" s="1"/>
  <c r="CS115" i="1"/>
  <c r="CV115" i="1" s="1"/>
  <c r="CT118" i="1"/>
  <c r="CU118" i="1" s="1"/>
  <c r="CO120" i="1"/>
  <c r="CP419" i="1"/>
  <c r="CT1191" i="1"/>
  <c r="CU1191" i="1" s="1"/>
  <c r="CS1191" i="1"/>
  <c r="CV1191" i="1" s="1"/>
  <c r="CT1369" i="1"/>
  <c r="CU1369" i="1" s="1"/>
  <c r="CR1376" i="1"/>
  <c r="CV1376" i="1" s="1"/>
  <c r="BY14" i="1"/>
  <c r="CT20" i="1"/>
  <c r="CS111" i="1"/>
  <c r="CV111" i="1" s="1"/>
  <c r="CS9" i="1"/>
  <c r="CV9" i="1" s="1"/>
  <c r="CP120" i="1"/>
  <c r="CT361" i="1"/>
  <c r="CU361" i="1" s="1"/>
  <c r="CR419" i="1"/>
  <c r="CV419" i="1" s="1"/>
  <c r="BY511" i="1"/>
  <c r="EP511" i="1" s="1"/>
  <c r="BU694" i="1"/>
  <c r="BV696" i="1"/>
  <c r="BX696" i="1" s="1"/>
  <c r="BY696" i="1" s="1"/>
  <c r="BU696" i="1"/>
  <c r="CQ120" i="1"/>
  <c r="CO715" i="1"/>
  <c r="CR715" i="1"/>
  <c r="CR1418" i="1"/>
  <c r="CV1418" i="1" s="1"/>
  <c r="CT655" i="1"/>
  <c r="CU655" i="1" s="1"/>
  <c r="CT681" i="1"/>
  <c r="CU681" i="1" s="1"/>
  <c r="CS1361" i="1"/>
  <c r="CR1361" i="1"/>
  <c r="CS420" i="1"/>
  <c r="CR821" i="1"/>
  <c r="CP821" i="1"/>
  <c r="CO1057" i="1"/>
  <c r="CT1057" i="1"/>
  <c r="CT1179" i="1"/>
  <c r="CU1179" i="1" s="1"/>
  <c r="CS1179" i="1"/>
  <c r="CR1179" i="1"/>
  <c r="CS1327" i="1"/>
  <c r="CT1327" i="1"/>
  <c r="CU1327" i="1" s="1"/>
  <c r="CS1328" i="1"/>
  <c r="CR1328" i="1"/>
  <c r="CS1367" i="1"/>
  <c r="CT1367" i="1"/>
  <c r="CU1367" i="1" s="1"/>
  <c r="CS1416" i="1"/>
  <c r="CT1416" i="1"/>
  <c r="CU1416" i="1" s="1"/>
  <c r="CS780" i="1"/>
  <c r="CO780" i="1"/>
  <c r="CS367" i="1"/>
  <c r="CV367" i="1" s="1"/>
  <c r="CT427" i="1"/>
  <c r="CU427" i="1" s="1"/>
  <c r="CO9" i="1"/>
  <c r="CS16" i="1"/>
  <c r="CT17" i="1"/>
  <c r="CR120" i="1"/>
  <c r="CV120" i="1" s="1"/>
  <c r="CS121" i="1"/>
  <c r="CS421" i="1"/>
  <c r="CO714" i="1"/>
  <c r="CP714" i="1"/>
  <c r="CT16" i="1"/>
  <c r="CO17" i="1"/>
  <c r="CT117" i="1"/>
  <c r="CU117" i="1" s="1"/>
  <c r="CT513" i="1"/>
  <c r="CS513" i="1"/>
  <c r="CT684" i="1"/>
  <c r="CU684" i="1" s="1"/>
  <c r="CS684" i="1"/>
  <c r="CV684" i="1" s="1"/>
  <c r="BU690" i="1"/>
  <c r="CR714" i="1"/>
  <c r="CT810" i="1"/>
  <c r="CU810" i="1" s="1"/>
  <c r="CP820" i="1"/>
  <c r="CO821" i="1"/>
  <c r="CT961" i="1"/>
  <c r="CU961" i="1" s="1"/>
  <c r="CS961" i="1"/>
  <c r="CR961" i="1"/>
  <c r="CP1057" i="1"/>
  <c r="CS1115" i="1"/>
  <c r="CR1115" i="1"/>
  <c r="CT1171" i="1"/>
  <c r="CU1171" i="1" s="1"/>
  <c r="CT1172" i="1"/>
  <c r="CU1172" i="1" s="1"/>
  <c r="CS1172" i="1"/>
  <c r="CR1172" i="1"/>
  <c r="CS1178" i="1"/>
  <c r="CV1178" i="1" s="1"/>
  <c r="CR1327" i="1"/>
  <c r="CS1380" i="1"/>
  <c r="CR1380" i="1"/>
  <c r="CT1389" i="1"/>
  <c r="CU1389" i="1" s="1"/>
  <c r="BY1389" i="1"/>
  <c r="CT1607" i="1"/>
  <c r="CT1679" i="1"/>
  <c r="CU1679" i="1" s="1"/>
  <c r="CR1489" i="1"/>
  <c r="CS1500" i="1"/>
  <c r="CT1501" i="1"/>
  <c r="CU1501" i="1" s="1"/>
  <c r="CT1503" i="1"/>
  <c r="CU1503" i="1" s="1"/>
  <c r="CT1569" i="1"/>
  <c r="CU1569" i="1" s="1"/>
  <c r="BY1608" i="1"/>
  <c r="CS1625" i="1"/>
  <c r="CV1625" i="1" s="1"/>
  <c r="CQ714" i="1"/>
  <c r="EP813" i="1"/>
  <c r="BE1372" i="1" a="1"/>
  <c r="BE1372" i="1" s="1"/>
  <c r="CT1385" i="1"/>
  <c r="CU1385" i="1" s="1"/>
  <c r="CT1397" i="1"/>
  <c r="CU1397" i="1" s="1"/>
  <c r="BE1415" i="1" a="1"/>
  <c r="BE1415" i="1" s="1"/>
  <c r="BE1419" i="1" a="1"/>
  <c r="BE1419" i="1" s="1"/>
  <c r="CT1426" i="1"/>
  <c r="CU1426" i="1" s="1"/>
  <c r="CT1427" i="1"/>
  <c r="CU1427" i="1" s="1"/>
  <c r="CS1489" i="1"/>
  <c r="CS1501" i="1"/>
  <c r="CS1596" i="1"/>
  <c r="CR1680" i="1"/>
  <c r="CV1680" i="1" s="1"/>
  <c r="CQ715" i="1"/>
  <c r="CT1329" i="1"/>
  <c r="CU1329" i="1" s="1"/>
  <c r="CT1387" i="1"/>
  <c r="CU1387" i="1" s="1"/>
  <c r="CR1427" i="1"/>
  <c r="CV1427" i="1" s="1"/>
  <c r="CP1053" i="1"/>
  <c r="CT1106" i="1"/>
  <c r="CU1106" i="1" s="1"/>
  <c r="CT1123" i="1"/>
  <c r="CU1123" i="1" s="1"/>
  <c r="CS1127" i="1"/>
  <c r="CV1127" i="1" s="1"/>
  <c r="CS1199" i="1"/>
  <c r="CV1199" i="1" s="1"/>
  <c r="CS1326" i="1"/>
  <c r="CV1326" i="1" s="1"/>
  <c r="EP1369" i="1"/>
  <c r="CR1391" i="1"/>
  <c r="CV1391" i="1" s="1"/>
  <c r="CT1525" i="1"/>
  <c r="CU1525" i="1" s="1"/>
  <c r="CQ1607" i="1"/>
  <c r="CR924" i="1"/>
  <c r="CV924" i="1" s="1"/>
  <c r="CR954" i="1"/>
  <c r="CV954" i="1" s="1"/>
  <c r="CS958" i="1"/>
  <c r="CR1053" i="1"/>
  <c r="CT1109" i="1"/>
  <c r="CU1109" i="1" s="1"/>
  <c r="CT1199" i="1"/>
  <c r="CU1199" i="1" s="1"/>
  <c r="CS1322" i="1"/>
  <c r="CV1322" i="1" s="1"/>
  <c r="CT1326" i="1"/>
  <c r="CU1326" i="1" s="1"/>
  <c r="CS1335" i="1"/>
  <c r="CV1335" i="1" s="1"/>
  <c r="CT1339" i="1"/>
  <c r="CU1339" i="1" s="1"/>
  <c r="CT1391" i="1"/>
  <c r="CU1391" i="1" s="1"/>
  <c r="CT1593" i="1"/>
  <c r="CU1593" i="1" s="1"/>
  <c r="CR1609" i="1"/>
  <c r="BY603" i="1"/>
  <c r="CQ9" i="1"/>
  <c r="CO14" i="1"/>
  <c r="CS18" i="1"/>
  <c r="CV18" i="1" s="1"/>
  <c r="CS118" i="1"/>
  <c r="CV118" i="1" s="1"/>
  <c r="CR121" i="1"/>
  <c r="CV121" i="1" s="1"/>
  <c r="CQ122" i="1"/>
  <c r="CS362" i="1"/>
  <c r="CV362" i="1" s="1"/>
  <c r="CS366" i="1"/>
  <c r="CV366" i="1" s="1"/>
  <c r="CT408" i="1"/>
  <c r="CU408" i="1" s="1"/>
  <c r="BY418" i="1"/>
  <c r="CP420" i="1"/>
  <c r="BE513" i="1" a="1"/>
  <c r="BE513" i="1" s="1"/>
  <c r="CR512" i="1"/>
  <c r="CS681" i="1"/>
  <c r="CV681" i="1" s="1"/>
  <c r="CS683" i="1"/>
  <c r="CV694" i="1"/>
  <c r="CQ418" i="1"/>
  <c r="BV699" i="1"/>
  <c r="BX699" i="1" s="1"/>
  <c r="BY699" i="1" s="1"/>
  <c r="BU699" i="1"/>
  <c r="BY12" i="1"/>
  <c r="CR14" i="1"/>
  <c r="CV14" i="1" s="1"/>
  <c r="CT115" i="1"/>
  <c r="CU115" i="1" s="1"/>
  <c r="CT359" i="1"/>
  <c r="CU359" i="1" s="1"/>
  <c r="CS364" i="1"/>
  <c r="CV364" i="1" s="1"/>
  <c r="CR420" i="1"/>
  <c r="CR427" i="1"/>
  <c r="CO604" i="1"/>
  <c r="CS699" i="1"/>
  <c r="CR699" i="1"/>
  <c r="CT360" i="1"/>
  <c r="CU360" i="1" s="1"/>
  <c r="BY417" i="1"/>
  <c r="CS427" i="1"/>
  <c r="CP604" i="1"/>
  <c r="CR604" i="1"/>
  <c r="CV604" i="1" s="1"/>
  <c r="CQ712" i="1"/>
  <c r="CS712" i="1"/>
  <c r="CR712" i="1"/>
  <c r="CP712" i="1"/>
  <c r="CO712" i="1"/>
  <c r="CQ713" i="1"/>
  <c r="CS713" i="1"/>
  <c r="CR713" i="1"/>
  <c r="CP713" i="1"/>
  <c r="CO713" i="1"/>
  <c r="CO716" i="1"/>
  <c r="CS716" i="1"/>
  <c r="CQ716" i="1"/>
  <c r="CP716" i="1"/>
  <c r="CQ717" i="1"/>
  <c r="CT905" i="1"/>
  <c r="CU905" i="1" s="1"/>
  <c r="CT12" i="1"/>
  <c r="CR109" i="1"/>
  <c r="CV109" i="1" s="1"/>
  <c r="CQ14" i="1"/>
  <c r="CS15" i="1"/>
  <c r="CO121" i="1"/>
  <c r="CR361" i="1"/>
  <c r="CP417" i="1"/>
  <c r="CQ419" i="1"/>
  <c r="CR426" i="1"/>
  <c r="CT514" i="1"/>
  <c r="BY512" i="1"/>
  <c r="EP512" i="1" s="1"/>
  <c r="CT654" i="1"/>
  <c r="CU654" i="1" s="1"/>
  <c r="CT907" i="1"/>
  <c r="CU907" i="1" s="1"/>
  <c r="BY13" i="1"/>
  <c r="CP121" i="1"/>
  <c r="CS361" i="1"/>
  <c r="CQ417" i="1"/>
  <c r="CS426" i="1"/>
  <c r="CT603" i="1"/>
  <c r="CT653" i="1"/>
  <c r="CU653" i="1" s="1"/>
  <c r="CT11" i="1"/>
  <c r="CS408" i="1"/>
  <c r="CV408" i="1" s="1"/>
  <c r="BY415" i="1"/>
  <c r="CT419" i="1"/>
  <c r="CR683" i="1"/>
  <c r="CS1333" i="1"/>
  <c r="CV1333" i="1" s="1"/>
  <c r="CR1362" i="1"/>
  <c r="CS1362" i="1"/>
  <c r="CT1683" i="1"/>
  <c r="CU1683" i="1" s="1"/>
  <c r="BY1683" i="1"/>
  <c r="CS715" i="1"/>
  <c r="CR717" i="1"/>
  <c r="CS810" i="1"/>
  <c r="CV810" i="1" s="1"/>
  <c r="CS905" i="1"/>
  <c r="CV905" i="1" s="1"/>
  <c r="CS907" i="1"/>
  <c r="CV907" i="1" s="1"/>
  <c r="CR925" i="1"/>
  <c r="CV925" i="1" s="1"/>
  <c r="CT1002" i="1"/>
  <c r="CU1002" i="1" s="1"/>
  <c r="CT1053" i="1"/>
  <c r="CR1055" i="1"/>
  <c r="CP1059" i="1"/>
  <c r="CR1103" i="1"/>
  <c r="CV1103" i="1" s="1"/>
  <c r="BE1106" i="1" a="1"/>
  <c r="BE1106" i="1" s="1"/>
  <c r="CR1106" i="1"/>
  <c r="CS1109" i="1"/>
  <c r="CV1109" i="1" s="1"/>
  <c r="CR1112" i="1"/>
  <c r="CV1112" i="1" s="1"/>
  <c r="CR1120" i="1"/>
  <c r="CV1120" i="1" s="1"/>
  <c r="CR1125" i="1"/>
  <c r="CT1127" i="1"/>
  <c r="CU1127" i="1" s="1"/>
  <c r="CR1183" i="1"/>
  <c r="CS1187" i="1"/>
  <c r="CR1193" i="1"/>
  <c r="CS1196" i="1"/>
  <c r="CT1201" i="1"/>
  <c r="CT1323" i="1"/>
  <c r="CU1323" i="1" s="1"/>
  <c r="CS1338" i="1"/>
  <c r="CR1338" i="1"/>
  <c r="CS717" i="1"/>
  <c r="CT960" i="1"/>
  <c r="CU960" i="1" s="1"/>
  <c r="CS1055" i="1"/>
  <c r="CR1059" i="1"/>
  <c r="CT1103" i="1"/>
  <c r="CU1103" i="1" s="1"/>
  <c r="CS1106" i="1"/>
  <c r="CT1120" i="1"/>
  <c r="CU1120" i="1" s="1"/>
  <c r="CS1125" i="1"/>
  <c r="CS1183" i="1"/>
  <c r="CR1195" i="1"/>
  <c r="CP1201" i="1"/>
  <c r="CR1329" i="1"/>
  <c r="CV1329" i="1" s="1"/>
  <c r="CS1336" i="1"/>
  <c r="CR1336" i="1"/>
  <c r="CT1622" i="1"/>
  <c r="CU1622" i="1" s="1"/>
  <c r="BY1622" i="1"/>
  <c r="CT1055" i="1"/>
  <c r="BE1182" i="1" a="1"/>
  <c r="BE1182" i="1" s="1"/>
  <c r="CS1195" i="1"/>
  <c r="CS1201" i="1"/>
  <c r="BY1609" i="1"/>
  <c r="BY1617" i="1"/>
  <c r="CO717" i="1"/>
  <c r="CR780" i="1"/>
  <c r="CQ820" i="1"/>
  <c r="CT954" i="1"/>
  <c r="CU954" i="1" s="1"/>
  <c r="CS1052" i="1"/>
  <c r="CV1052" i="1" s="1"/>
  <c r="CP1056" i="1"/>
  <c r="CR1057" i="1"/>
  <c r="CT1102" i="1"/>
  <c r="CU1102" i="1" s="1"/>
  <c r="CT1104" i="1"/>
  <c r="CU1104" i="1" s="1"/>
  <c r="CR1121" i="1"/>
  <c r="CV1121" i="1" s="1"/>
  <c r="CT1178" i="1"/>
  <c r="CU1178" i="1" s="1"/>
  <c r="BE1185" i="1" a="1"/>
  <c r="BE1185" i="1" s="1"/>
  <c r="CS1320" i="1"/>
  <c r="CV1320" i="1" s="1"/>
  <c r="CT1322" i="1"/>
  <c r="CU1322" i="1" s="1"/>
  <c r="CR1332" i="1"/>
  <c r="CV1332" i="1" s="1"/>
  <c r="CT1361" i="1"/>
  <c r="CU1361" i="1" s="1"/>
  <c r="BY1361" i="1"/>
  <c r="EP1361" i="1" s="1"/>
  <c r="BY1623" i="1"/>
  <c r="CP717" i="1"/>
  <c r="CT781" i="1"/>
  <c r="CU781" i="1" s="1"/>
  <c r="CR820" i="1"/>
  <c r="CT1052" i="1"/>
  <c r="CS1056" i="1"/>
  <c r="CV1056" i="1" s="1"/>
  <c r="CS1057" i="1"/>
  <c r="CV1057" i="1" s="1"/>
  <c r="CR1102" i="1"/>
  <c r="CV1102" i="1" s="1"/>
  <c r="CR1111" i="1"/>
  <c r="CV1111" i="1" s="1"/>
  <c r="CR1116" i="1"/>
  <c r="CV1116" i="1" s="1"/>
  <c r="CT1328" i="1"/>
  <c r="CU1328" i="1" s="1"/>
  <c r="CT1332" i="1"/>
  <c r="CU1332" i="1" s="1"/>
  <c r="CT1113" i="1"/>
  <c r="CU1113" i="1" s="1"/>
  <c r="CR1334" i="1"/>
  <c r="CT1334" i="1"/>
  <c r="CU1334" i="1" s="1"/>
  <c r="CS1334" i="1"/>
  <c r="CP715" i="1"/>
  <c r="BY716" i="1"/>
  <c r="EP716" i="1" s="1"/>
  <c r="CT783" i="1"/>
  <c r="CU783" i="1" s="1"/>
  <c r="CT812" i="1"/>
  <c r="CU812" i="1" s="1"/>
  <c r="CT814" i="1"/>
  <c r="CU814" i="1" s="1"/>
  <c r="CR958" i="1"/>
  <c r="CR1113" i="1"/>
  <c r="CV1113" i="1" s="1"/>
  <c r="BE1177" i="1" a="1"/>
  <c r="BE1177" i="1" s="1"/>
  <c r="CR1177" i="1"/>
  <c r="BE1179" i="1" a="1"/>
  <c r="BE1179" i="1" s="1"/>
  <c r="CR1186" i="1"/>
  <c r="CV1186" i="1" s="1"/>
  <c r="CR1321" i="1"/>
  <c r="CV1321" i="1" s="1"/>
  <c r="CS1373" i="1"/>
  <c r="CR1373" i="1"/>
  <c r="CT1373" i="1"/>
  <c r="CU1373" i="1" s="1"/>
  <c r="CT1377" i="1"/>
  <c r="CU1377" i="1" s="1"/>
  <c r="CT1490" i="1"/>
  <c r="CU1490" i="1" s="1"/>
  <c r="BY1490" i="1"/>
  <c r="CS1384" i="1"/>
  <c r="CV1384" i="1" s="1"/>
  <c r="CR1389" i="1"/>
  <c r="CV1389" i="1" s="1"/>
  <c r="CR1392" i="1"/>
  <c r="CV1392" i="1" s="1"/>
  <c r="CT1393" i="1"/>
  <c r="CU1393" i="1" s="1"/>
  <c r="CR1416" i="1"/>
  <c r="CT1491" i="1"/>
  <c r="CU1491" i="1" s="1"/>
  <c r="CS1493" i="1"/>
  <c r="CV1493" i="1" s="1"/>
  <c r="CT1522" i="1"/>
  <c r="CU1522" i="1" s="1"/>
  <c r="CR1569" i="1"/>
  <c r="CV1569" i="1" s="1"/>
  <c r="CR1571" i="1"/>
  <c r="CV1571" i="1" s="1"/>
  <c r="CS1617" i="1"/>
  <c r="CV1617" i="1" s="1"/>
  <c r="CR1621" i="1"/>
  <c r="CV1621" i="1" s="1"/>
  <c r="CR1626" i="1"/>
  <c r="CV1626" i="1" s="1"/>
  <c r="CP1667" i="1"/>
  <c r="CS1681" i="1"/>
  <c r="CV1681" i="1" s="1"/>
  <c r="CS1684" i="1"/>
  <c r="CV1684" i="1" s="1"/>
  <c r="CT1366" i="1"/>
  <c r="CU1366" i="1" s="1"/>
  <c r="CT1376" i="1"/>
  <c r="CU1376" i="1" s="1"/>
  <c r="CT1380" i="1"/>
  <c r="CU1380" i="1" s="1"/>
  <c r="CT1384" i="1"/>
  <c r="CU1384" i="1" s="1"/>
  <c r="CT1396" i="1"/>
  <c r="CU1396" i="1" s="1"/>
  <c r="CT1493" i="1"/>
  <c r="CU1493" i="1" s="1"/>
  <c r="CT1617" i="1"/>
  <c r="CU1617" i="1" s="1"/>
  <c r="CQ1667" i="1"/>
  <c r="CT1392" i="1"/>
  <c r="CU1392" i="1" s="1"/>
  <c r="BY1613" i="1"/>
  <c r="CR1667" i="1"/>
  <c r="CR1397" i="1"/>
  <c r="CR1414" i="1"/>
  <c r="CR1426" i="1"/>
  <c r="CR1491" i="1"/>
  <c r="CV1491" i="1" s="1"/>
  <c r="CT1504" i="1"/>
  <c r="CU1504" i="1" s="1"/>
  <c r="CS1507" i="1"/>
  <c r="CV1507" i="1" s="1"/>
  <c r="CT1508" i="1"/>
  <c r="CU1508" i="1" s="1"/>
  <c r="CT1609" i="1"/>
  <c r="CQ1614" i="1"/>
  <c r="CR1620" i="1"/>
  <c r="CV1620" i="1" s="1"/>
  <c r="CS1667" i="1"/>
  <c r="CT1362" i="1"/>
  <c r="CU1362" i="1" s="1"/>
  <c r="CR1367" i="1"/>
  <c r="BE1378" i="1" a="1"/>
  <c r="BE1378" i="1" s="1"/>
  <c r="CR1381" i="1"/>
  <c r="CV1381" i="1" s="1"/>
  <c r="CS1385" i="1"/>
  <c r="CS1397" i="1"/>
  <c r="CS1414" i="1"/>
  <c r="CR1523" i="1"/>
  <c r="CV1523" i="1" s="1"/>
  <c r="CR1595" i="1"/>
  <c r="CV1595" i="1" s="1"/>
  <c r="BY1619" i="1"/>
  <c r="CT1627" i="1"/>
  <c r="CU1627" i="1" s="1"/>
  <c r="CT1669" i="1"/>
  <c r="CU1669" i="1" s="1"/>
  <c r="BE1397" i="1" a="1"/>
  <c r="BE1397" i="1" s="1"/>
  <c r="BY1610" i="1"/>
  <c r="BY1614" i="1"/>
  <c r="CS1670" i="1"/>
  <c r="CV1670" i="1" s="1"/>
  <c r="CR1673" i="1"/>
  <c r="CV1673" i="1" s="1"/>
  <c r="BY1612" i="1"/>
  <c r="CR1399" i="1"/>
  <c r="CV1399" i="1" s="1"/>
  <c r="CS1424" i="1"/>
  <c r="CT1492" i="1"/>
  <c r="CU1492" i="1" s="1"/>
  <c r="CS1522" i="1"/>
  <c r="CV1522" i="1" s="1"/>
  <c r="BU122" i="1"/>
  <c r="CS122" i="1"/>
  <c r="BV122" i="1"/>
  <c r="BX122" i="1" s="1"/>
  <c r="BY120" i="1"/>
  <c r="CT120" i="1"/>
  <c r="CT362" i="1"/>
  <c r="CU362" i="1" s="1"/>
  <c r="BY362" i="1"/>
  <c r="BY689" i="1"/>
  <c r="CT689" i="1"/>
  <c r="CU689" i="1" s="1"/>
  <c r="BY713" i="1"/>
  <c r="CT713" i="1"/>
  <c r="CT364" i="1"/>
  <c r="CU364" i="1" s="1"/>
  <c r="BY364" i="1"/>
  <c r="BY604" i="1"/>
  <c r="CT604" i="1"/>
  <c r="BY8" i="1"/>
  <c r="BY10" i="1"/>
  <c r="CT112" i="1"/>
  <c r="CU112" i="1" s="1"/>
  <c r="CS112" i="1"/>
  <c r="CR112" i="1"/>
  <c r="BY780" i="1"/>
  <c r="CT780" i="1"/>
  <c r="BY17" i="1"/>
  <c r="BY19" i="1"/>
  <c r="CT111" i="1"/>
  <c r="CU111" i="1" s="1"/>
  <c r="BY111" i="1"/>
  <c r="BY712" i="1"/>
  <c r="EP712" i="1" s="1"/>
  <c r="CT712" i="1"/>
  <c r="CT109" i="1"/>
  <c r="CU109" i="1" s="1"/>
  <c r="BY109" i="1"/>
  <c r="BY15" i="1"/>
  <c r="CQ15" i="1"/>
  <c r="CR108" i="1"/>
  <c r="CT108" i="1"/>
  <c r="CU108" i="1" s="1"/>
  <c r="CS108" i="1"/>
  <c r="CT113" i="1"/>
  <c r="CU113" i="1" s="1"/>
  <c r="BY113" i="1"/>
  <c r="CT13" i="1"/>
  <c r="CQ13" i="1"/>
  <c r="CO13" i="1"/>
  <c r="CS13" i="1"/>
  <c r="CR13" i="1"/>
  <c r="CP13" i="1"/>
  <c r="BY16" i="1"/>
  <c r="CT110" i="1"/>
  <c r="CU110" i="1" s="1"/>
  <c r="CS110" i="1"/>
  <c r="CR110" i="1"/>
  <c r="CT121" i="1"/>
  <c r="CU121" i="1" s="1"/>
  <c r="BY121" i="1"/>
  <c r="CT367" i="1"/>
  <c r="CU367" i="1" s="1"/>
  <c r="BY367" i="1"/>
  <c r="CT787" i="1"/>
  <c r="CU787" i="1" s="1"/>
  <c r="BY787" i="1"/>
  <c r="CT906" i="1"/>
  <c r="CU906" i="1" s="1"/>
  <c r="BY906" i="1"/>
  <c r="BY18" i="1"/>
  <c r="BY366" i="1"/>
  <c r="CT695" i="1"/>
  <c r="CU695" i="1" s="1"/>
  <c r="CS695" i="1"/>
  <c r="CR695" i="1"/>
  <c r="CO11" i="1"/>
  <c r="CP12" i="1"/>
  <c r="CO19" i="1"/>
  <c r="CS363" i="1"/>
  <c r="CV363" i="1" s="1"/>
  <c r="CP418" i="1"/>
  <c r="CR515" i="1"/>
  <c r="CQ515" i="1"/>
  <c r="CT511" i="1"/>
  <c r="CR511" i="1"/>
  <c r="CO603" i="1"/>
  <c r="BU689" i="1"/>
  <c r="BV693" i="1"/>
  <c r="BX693" i="1" s="1"/>
  <c r="BU698" i="1"/>
  <c r="BY711" i="1"/>
  <c r="CT785" i="1"/>
  <c r="CU785" i="1" s="1"/>
  <c r="BY785" i="1"/>
  <c r="CR995" i="1"/>
  <c r="CT995" i="1"/>
  <c r="CU995" i="1" s="1"/>
  <c r="CT1058" i="1"/>
  <c r="CQ1058" i="1"/>
  <c r="CO1058" i="1"/>
  <c r="CS1058" i="1"/>
  <c r="CR1058" i="1"/>
  <c r="CP1058" i="1"/>
  <c r="CT1110" i="1"/>
  <c r="CU1110" i="1" s="1"/>
  <c r="BY1110" i="1"/>
  <c r="CT817" i="1"/>
  <c r="CU817" i="1" s="1"/>
  <c r="CS817" i="1"/>
  <c r="CT9" i="1"/>
  <c r="CO20" i="1"/>
  <c r="CR116" i="1"/>
  <c r="CV116" i="1" s="1"/>
  <c r="CR957" i="1"/>
  <c r="CV957" i="1" s="1"/>
  <c r="CT957" i="1"/>
  <c r="CU957" i="1" s="1"/>
  <c r="CR360" i="1"/>
  <c r="CR365" i="1"/>
  <c r="CV365" i="1" s="1"/>
  <c r="CT407" i="1"/>
  <c r="CU407" i="1" s="1"/>
  <c r="CS415" i="1"/>
  <c r="CR415" i="1"/>
  <c r="CP415" i="1"/>
  <c r="CO10" i="1"/>
  <c r="CP11" i="1"/>
  <c r="CQ12" i="1"/>
  <c r="CT15" i="1"/>
  <c r="CO18" i="1"/>
  <c r="CP19" i="1"/>
  <c r="CQ20" i="1"/>
  <c r="CT116" i="1"/>
  <c r="CU116" i="1" s="1"/>
  <c r="CS360" i="1"/>
  <c r="CT363" i="1"/>
  <c r="CU363" i="1" s="1"/>
  <c r="CT365" i="1"/>
  <c r="CU365" i="1" s="1"/>
  <c r="CT368" i="1"/>
  <c r="CU368" i="1" s="1"/>
  <c r="CO415" i="1"/>
  <c r="CT416" i="1"/>
  <c r="CS416" i="1"/>
  <c r="CQ416" i="1"/>
  <c r="CR460" i="1"/>
  <c r="CV460" i="1" s="1"/>
  <c r="CS515" i="1"/>
  <c r="CQ511" i="1"/>
  <c r="CQ603" i="1"/>
  <c r="CT691" i="1"/>
  <c r="CU691" i="1" s="1"/>
  <c r="CS691" i="1"/>
  <c r="CR693" i="1"/>
  <c r="CV693" i="1" s="1"/>
  <c r="CR698" i="1"/>
  <c r="CV698" i="1" s="1"/>
  <c r="BY715" i="1"/>
  <c r="EP715" i="1" s="1"/>
  <c r="CR716" i="1"/>
  <c r="CT782" i="1"/>
  <c r="CU782" i="1" s="1"/>
  <c r="CS782" i="1"/>
  <c r="CT790" i="1"/>
  <c r="CU790" i="1" s="1"/>
  <c r="CS790" i="1"/>
  <c r="CT813" i="1"/>
  <c r="CU813" i="1" s="1"/>
  <c r="CS813" i="1"/>
  <c r="CR813" i="1"/>
  <c r="BY819" i="1"/>
  <c r="EP819" i="1" s="1"/>
  <c r="CQ819" i="1"/>
  <c r="CU819" i="1" s="1"/>
  <c r="CQ821" i="1"/>
  <c r="CU821" i="1" s="1"/>
  <c r="CS995" i="1"/>
  <c r="CS425" i="1"/>
  <c r="CR425" i="1"/>
  <c r="CT656" i="1"/>
  <c r="CU656" i="1" s="1"/>
  <c r="CS656" i="1"/>
  <c r="CT786" i="1"/>
  <c r="CU786" i="1" s="1"/>
  <c r="CS786" i="1"/>
  <c r="CT418" i="1"/>
  <c r="CR418" i="1"/>
  <c r="CR656" i="1"/>
  <c r="CO12" i="1"/>
  <c r="CT784" i="1"/>
  <c r="CU784" i="1" s="1"/>
  <c r="CS784" i="1"/>
  <c r="CV784" i="1" s="1"/>
  <c r="CP20" i="1"/>
  <c r="BY117" i="1"/>
  <c r="CQ11" i="1"/>
  <c r="CP18" i="1"/>
  <c r="CQ19" i="1"/>
  <c r="CR20" i="1"/>
  <c r="CQ415" i="1"/>
  <c r="CS418" i="1"/>
  <c r="CP421" i="1"/>
  <c r="CO421" i="1"/>
  <c r="CT424" i="1"/>
  <c r="CU424" i="1" s="1"/>
  <c r="CR424" i="1"/>
  <c r="CT460" i="1"/>
  <c r="CU460" i="1" s="1"/>
  <c r="CT515" i="1"/>
  <c r="CS511" i="1"/>
  <c r="BY602" i="1"/>
  <c r="CR689" i="1"/>
  <c r="CV689" i="1" s="1"/>
  <c r="BV692" i="1"/>
  <c r="BX692" i="1" s="1"/>
  <c r="BU692" i="1"/>
  <c r="CR782" i="1"/>
  <c r="CR790" i="1"/>
  <c r="CT791" i="1"/>
  <c r="CU791" i="1" s="1"/>
  <c r="BY791" i="1"/>
  <c r="CQ780" i="1"/>
  <c r="CT809" i="1"/>
  <c r="CU809" i="1" s="1"/>
  <c r="CT811" i="1"/>
  <c r="CU811" i="1" s="1"/>
  <c r="CT822" i="1"/>
  <c r="CS822" i="1"/>
  <c r="CR822" i="1"/>
  <c r="CQ822" i="1"/>
  <c r="CP822" i="1"/>
  <c r="CO822" i="1"/>
  <c r="CS714" i="1"/>
  <c r="BV714" i="1"/>
  <c r="BX714" i="1" s="1"/>
  <c r="BY714" i="1" s="1"/>
  <c r="CT425" i="1"/>
  <c r="CU425" i="1" s="1"/>
  <c r="BU714" i="1"/>
  <c r="CR786" i="1"/>
  <c r="CS1122" i="1"/>
  <c r="CR1122" i="1"/>
  <c r="CT1122" i="1"/>
  <c r="CU1122" i="1" s="1"/>
  <c r="CS603" i="1"/>
  <c r="CR603" i="1"/>
  <c r="CP603" i="1"/>
  <c r="BY1108" i="1"/>
  <c r="CT1108" i="1"/>
  <c r="CU1108" i="1" s="1"/>
  <c r="CT14" i="1"/>
  <c r="CO8" i="1"/>
  <c r="CO16" i="1"/>
  <c r="CQ18" i="1"/>
  <c r="CO122" i="1"/>
  <c r="CR359" i="1"/>
  <c r="CV359" i="1" s="1"/>
  <c r="CT415" i="1"/>
  <c r="CT417" i="1"/>
  <c r="CR417" i="1"/>
  <c r="CV417" i="1" s="1"/>
  <c r="CQ421" i="1"/>
  <c r="CS424" i="1"/>
  <c r="CT602" i="1"/>
  <c r="CR602" i="1"/>
  <c r="CQ604" i="1"/>
  <c r="CT652" i="1"/>
  <c r="CS652" i="1"/>
  <c r="CV652" i="1" s="1"/>
  <c r="CT685" i="1"/>
  <c r="CU685" i="1" s="1"/>
  <c r="CS685" i="1"/>
  <c r="BV688" i="1"/>
  <c r="BX688" i="1" s="1"/>
  <c r="BU688" i="1"/>
  <c r="CS696" i="1"/>
  <c r="CT698" i="1"/>
  <c r="CU698" i="1" s="1"/>
  <c r="CT788" i="1"/>
  <c r="CU788" i="1" s="1"/>
  <c r="CS788" i="1"/>
  <c r="CT657" i="1"/>
  <c r="CU657" i="1" s="1"/>
  <c r="CS657" i="1"/>
  <c r="CR657" i="1"/>
  <c r="CR817" i="1"/>
  <c r="CT818" i="1"/>
  <c r="CU818" i="1" s="1"/>
  <c r="BY818" i="1"/>
  <c r="CT828" i="1"/>
  <c r="CS828" i="1"/>
  <c r="CR828" i="1"/>
  <c r="CQ828" i="1"/>
  <c r="CP828" i="1"/>
  <c r="CO418" i="1"/>
  <c r="CS459" i="1"/>
  <c r="CR459" i="1"/>
  <c r="CP10" i="1"/>
  <c r="CR12" i="1"/>
  <c r="CQ10" i="1"/>
  <c r="CR11" i="1"/>
  <c r="CV11" i="1" s="1"/>
  <c r="CS12" i="1"/>
  <c r="CR19" i="1"/>
  <c r="CV19" i="1" s="1"/>
  <c r="CS20" i="1"/>
  <c r="CR416" i="1"/>
  <c r="CO417" i="1"/>
  <c r="CR421" i="1"/>
  <c r="CR513" i="1"/>
  <c r="CQ513" i="1"/>
  <c r="CQ514" i="1"/>
  <c r="CT512" i="1"/>
  <c r="CO602" i="1"/>
  <c r="CQ652" i="1"/>
  <c r="CR685" i="1"/>
  <c r="CT686" i="1"/>
  <c r="CU686" i="1" s="1"/>
  <c r="CS686" i="1"/>
  <c r="CR686" i="1"/>
  <c r="CR692" i="1"/>
  <c r="CV692" i="1" s="1"/>
  <c r="CR696" i="1"/>
  <c r="BY697" i="1"/>
  <c r="CT697" i="1"/>
  <c r="CU697" i="1" s="1"/>
  <c r="CR788" i="1"/>
  <c r="CT789" i="1"/>
  <c r="CU789" i="1" s="1"/>
  <c r="BY789" i="1"/>
  <c r="CT843" i="1"/>
  <c r="CU843" i="1" s="1"/>
  <c r="CS843" i="1"/>
  <c r="CV843" i="1" s="1"/>
  <c r="CQ1053" i="1"/>
  <c r="BY1053" i="1"/>
  <c r="CT420" i="1"/>
  <c r="BU697" i="1"/>
  <c r="CO711" i="1"/>
  <c r="CT715" i="1"/>
  <c r="CT716" i="1"/>
  <c r="BV717" i="1"/>
  <c r="BX717" i="1" s="1"/>
  <c r="CR809" i="1"/>
  <c r="CR811" i="1"/>
  <c r="BY814" i="1"/>
  <c r="EP814" i="1" s="1"/>
  <c r="CR819" i="1"/>
  <c r="CT820" i="1"/>
  <c r="CS842" i="1"/>
  <c r="CV842" i="1" s="1"/>
  <c r="CS906" i="1"/>
  <c r="CR906" i="1"/>
  <c r="CP711" i="1"/>
  <c r="CS809" i="1"/>
  <c r="CS811" i="1"/>
  <c r="CS819" i="1"/>
  <c r="CV819" i="1" s="1"/>
  <c r="CS835" i="1"/>
  <c r="CR835" i="1"/>
  <c r="CT842" i="1"/>
  <c r="CU842" i="1" s="1"/>
  <c r="CT925" i="1"/>
  <c r="CU925" i="1" s="1"/>
  <c r="CR680" i="1"/>
  <c r="BU691" i="1"/>
  <c r="BU695" i="1"/>
  <c r="CQ711" i="1"/>
  <c r="CR781" i="1"/>
  <c r="CR783" i="1"/>
  <c r="CR785" i="1"/>
  <c r="CV785" i="1" s="1"/>
  <c r="CR787" i="1"/>
  <c r="CV787" i="1" s="1"/>
  <c r="CR789" i="1"/>
  <c r="CV789" i="1" s="1"/>
  <c r="CR791" i="1"/>
  <c r="CV791" i="1" s="1"/>
  <c r="CR814" i="1"/>
  <c r="CV814" i="1" s="1"/>
  <c r="CR818" i="1"/>
  <c r="CV818" i="1" s="1"/>
  <c r="CT835" i="1"/>
  <c r="CU835" i="1" s="1"/>
  <c r="CT844" i="1"/>
  <c r="CU844" i="1" s="1"/>
  <c r="CS844" i="1"/>
  <c r="CT924" i="1"/>
  <c r="CU924" i="1" s="1"/>
  <c r="BY1116" i="1"/>
  <c r="CT1116" i="1"/>
  <c r="CU1116" i="1" s="1"/>
  <c r="CS680" i="1"/>
  <c r="CR711" i="1"/>
  <c r="CV711" i="1" s="1"/>
  <c r="CS781" i="1"/>
  <c r="CS783" i="1"/>
  <c r="CR834" i="1"/>
  <c r="CR844" i="1"/>
  <c r="CT955" i="1"/>
  <c r="CU955" i="1" s="1"/>
  <c r="CR955" i="1"/>
  <c r="CV955" i="1" s="1"/>
  <c r="CT959" i="1"/>
  <c r="CU959" i="1" s="1"/>
  <c r="CS959" i="1"/>
  <c r="CR959" i="1"/>
  <c r="CQ1057" i="1"/>
  <c r="BY1057" i="1"/>
  <c r="CS1105" i="1"/>
  <c r="CR1105" i="1"/>
  <c r="CT1105" i="1"/>
  <c r="CU1105" i="1" s="1"/>
  <c r="CS834" i="1"/>
  <c r="CT996" i="1"/>
  <c r="CU996" i="1" s="1"/>
  <c r="CR1001" i="1"/>
  <c r="CV1001" i="1" s="1"/>
  <c r="CT1001" i="1"/>
  <c r="CU1001" i="1" s="1"/>
  <c r="CR1054" i="1"/>
  <c r="CO1054" i="1"/>
  <c r="CT1054" i="1"/>
  <c r="CS1054" i="1"/>
  <c r="CQ1054" i="1"/>
  <c r="BY1055" i="1"/>
  <c r="CQ1055" i="1"/>
  <c r="BE1104" i="1" a="1"/>
  <c r="BE1104" i="1" s="1"/>
  <c r="CT1111" i="1"/>
  <c r="CU1111" i="1" s="1"/>
  <c r="CR1117" i="1"/>
  <c r="CV1117" i="1" s="1"/>
  <c r="CR1118" i="1"/>
  <c r="CR1119" i="1"/>
  <c r="CS1124" i="1"/>
  <c r="CR1124" i="1"/>
  <c r="CR960" i="1"/>
  <c r="CV960" i="1" s="1"/>
  <c r="CR1002" i="1"/>
  <c r="CV1002" i="1" s="1"/>
  <c r="CT1107" i="1"/>
  <c r="CU1107" i="1" s="1"/>
  <c r="CT1114" i="1"/>
  <c r="CU1114" i="1" s="1"/>
  <c r="CS1118" i="1"/>
  <c r="CS1119" i="1"/>
  <c r="CT1124" i="1"/>
  <c r="CU1124" i="1" s="1"/>
  <c r="CR1168" i="1"/>
  <c r="CS1168" i="1"/>
  <c r="CS1170" i="1"/>
  <c r="CR1170" i="1"/>
  <c r="CT1175" i="1"/>
  <c r="CU1175" i="1" s="1"/>
  <c r="CR1175" i="1"/>
  <c r="CV1175" i="1" s="1"/>
  <c r="CT1185" i="1"/>
  <c r="CU1185" i="1" s="1"/>
  <c r="CR1185" i="1"/>
  <c r="CV1185" i="1" s="1"/>
  <c r="CO1052" i="1"/>
  <c r="CO1056" i="1"/>
  <c r="CR1107" i="1"/>
  <c r="CV1107" i="1" s="1"/>
  <c r="CT1173" i="1"/>
  <c r="CU1173" i="1" s="1"/>
  <c r="CR1173" i="1"/>
  <c r="CV1173" i="1" s="1"/>
  <c r="CT1126" i="1"/>
  <c r="CU1126" i="1" s="1"/>
  <c r="CR1126" i="1"/>
  <c r="CR1189" i="1"/>
  <c r="CS1189" i="1"/>
  <c r="CQ1052" i="1"/>
  <c r="CQ1056" i="1"/>
  <c r="CQ1059" i="1"/>
  <c r="CU1059" i="1" s="1"/>
  <c r="CS1123" i="1"/>
  <c r="CV1123" i="1" s="1"/>
  <c r="CS1126" i="1"/>
  <c r="CT1169" i="1"/>
  <c r="CU1169" i="1" s="1"/>
  <c r="CR1169" i="1"/>
  <c r="CV1169" i="1" s="1"/>
  <c r="CT1180" i="1"/>
  <c r="CU1180" i="1" s="1"/>
  <c r="CR1180" i="1"/>
  <c r="CV1180" i="1" s="1"/>
  <c r="CT1189" i="1"/>
  <c r="CU1189" i="1" s="1"/>
  <c r="CR1174" i="1"/>
  <c r="CS1174" i="1"/>
  <c r="CS1190" i="1"/>
  <c r="CR1190" i="1"/>
  <c r="CT1190" i="1"/>
  <c r="CU1190" i="1" s="1"/>
  <c r="CT1192" i="1"/>
  <c r="CU1192" i="1" s="1"/>
  <c r="CS1192" i="1"/>
  <c r="CR1192" i="1"/>
  <c r="CS1200" i="1"/>
  <c r="CT1324" i="1"/>
  <c r="CU1324" i="1" s="1"/>
  <c r="CT1325" i="1"/>
  <c r="CU1325" i="1" s="1"/>
  <c r="BY1329" i="1"/>
  <c r="CT1330" i="1"/>
  <c r="CU1330" i="1" s="1"/>
  <c r="CT1333" i="1"/>
  <c r="CU1333" i="1" s="1"/>
  <c r="CT1337" i="1"/>
  <c r="CU1337" i="1" s="1"/>
  <c r="CT1371" i="1"/>
  <c r="CU1371" i="1" s="1"/>
  <c r="CS1371" i="1"/>
  <c r="CV1371" i="1" s="1"/>
  <c r="CS1377" i="1"/>
  <c r="CR1377" i="1"/>
  <c r="CT1429" i="1"/>
  <c r="CU1429" i="1" s="1"/>
  <c r="EP1363" i="1"/>
  <c r="CT1383" i="1"/>
  <c r="CU1383" i="1" s="1"/>
  <c r="BY1383" i="1"/>
  <c r="CT1671" i="1"/>
  <c r="CU1671" i="1" s="1"/>
  <c r="BY1671" i="1"/>
  <c r="CS1198" i="1"/>
  <c r="CV1198" i="1" s="1"/>
  <c r="EP1360" i="1"/>
  <c r="CS1365" i="1"/>
  <c r="CR1365" i="1"/>
  <c r="CT1365" i="1"/>
  <c r="CU1365" i="1" s="1"/>
  <c r="CT1368" i="1"/>
  <c r="CU1368" i="1" s="1"/>
  <c r="CS1368" i="1"/>
  <c r="CR1368" i="1"/>
  <c r="BE1371" i="1" a="1"/>
  <c r="BE1371" i="1" s="1"/>
  <c r="BY1381" i="1"/>
  <c r="CR1387" i="1"/>
  <c r="CT1390" i="1"/>
  <c r="CU1390" i="1" s="1"/>
  <c r="CS1390" i="1"/>
  <c r="CV1390" i="1" s="1"/>
  <c r="CT1621" i="1"/>
  <c r="CU1621" i="1" s="1"/>
  <c r="BY1621" i="1"/>
  <c r="BE1190" i="1" a="1"/>
  <c r="BE1190" i="1" s="1"/>
  <c r="CT1198" i="1"/>
  <c r="CU1198" i="1" s="1"/>
  <c r="CT1358" i="1"/>
  <c r="CU1358" i="1" s="1"/>
  <c r="CS1358" i="1"/>
  <c r="CR1358" i="1"/>
  <c r="CS1364" i="1"/>
  <c r="CT1364" i="1"/>
  <c r="CU1364" i="1" s="1"/>
  <c r="CS1387" i="1"/>
  <c r="CS1401" i="1"/>
  <c r="CR1401" i="1"/>
  <c r="CR1430" i="1"/>
  <c r="CT1430" i="1"/>
  <c r="CU1430" i="1" s="1"/>
  <c r="CT1572" i="1"/>
  <c r="CU1572" i="1" s="1"/>
  <c r="BY1572" i="1"/>
  <c r="BE1173" i="1" a="1"/>
  <c r="BE1173" i="1" s="1"/>
  <c r="CT1186" i="1"/>
  <c r="CU1186" i="1" s="1"/>
  <c r="CS1193" i="1"/>
  <c r="CS1194" i="1"/>
  <c r="CV1194" i="1" s="1"/>
  <c r="CR1197" i="1"/>
  <c r="CQ1201" i="1"/>
  <c r="CR1201" i="1"/>
  <c r="CT1320" i="1"/>
  <c r="CU1320" i="1" s="1"/>
  <c r="CT1321" i="1"/>
  <c r="CU1321" i="1" s="1"/>
  <c r="BY1338" i="1"/>
  <c r="CR1364" i="1"/>
  <c r="CS1366" i="1"/>
  <c r="CV1366" i="1" s="1"/>
  <c r="CR1369" i="1"/>
  <c r="CS1374" i="1"/>
  <c r="CR1374" i="1"/>
  <c r="CT1374" i="1"/>
  <c r="CU1374" i="1" s="1"/>
  <c r="CS1375" i="1"/>
  <c r="CV1375" i="1" s="1"/>
  <c r="CS1379" i="1"/>
  <c r="CV1379" i="1" s="1"/>
  <c r="CT1401" i="1"/>
  <c r="CU1401" i="1" s="1"/>
  <c r="CS1426" i="1"/>
  <c r="CS1430" i="1"/>
  <c r="CT1526" i="1"/>
  <c r="CU1526" i="1" s="1"/>
  <c r="CS1526" i="1"/>
  <c r="CR1526" i="1"/>
  <c r="CS1171" i="1"/>
  <c r="CV1171" i="1" s="1"/>
  <c r="CT1194" i="1"/>
  <c r="CU1194" i="1" s="1"/>
  <c r="CS1197" i="1"/>
  <c r="CO1201" i="1"/>
  <c r="CT1336" i="1"/>
  <c r="CU1336" i="1" s="1"/>
  <c r="CS1339" i="1"/>
  <c r="CV1339" i="1" s="1"/>
  <c r="CS1369" i="1"/>
  <c r="CT1375" i="1"/>
  <c r="CU1375" i="1" s="1"/>
  <c r="CT1379" i="1"/>
  <c r="CU1379" i="1" s="1"/>
  <c r="CR1385" i="1"/>
  <c r="CR1402" i="1"/>
  <c r="CS1402" i="1"/>
  <c r="CT1420" i="1"/>
  <c r="CU1420" i="1" s="1"/>
  <c r="CS1420" i="1"/>
  <c r="CR1420" i="1"/>
  <c r="CR1508" i="1"/>
  <c r="CT1524" i="1"/>
  <c r="CU1524" i="1" s="1"/>
  <c r="CS1524" i="1"/>
  <c r="CV1524" i="1" s="1"/>
  <c r="CT1360" i="1"/>
  <c r="CU1360" i="1" s="1"/>
  <c r="CS1360" i="1"/>
  <c r="CV1360" i="1" s="1"/>
  <c r="EP1368" i="1"/>
  <c r="CT1378" i="1"/>
  <c r="CU1378" i="1" s="1"/>
  <c r="CT1395" i="1"/>
  <c r="CU1395" i="1" s="1"/>
  <c r="CS1395" i="1"/>
  <c r="CR1395" i="1"/>
  <c r="BY1399" i="1"/>
  <c r="CT1399" i="1"/>
  <c r="CU1399" i="1" s="1"/>
  <c r="CT1417" i="1"/>
  <c r="CU1417" i="1" s="1"/>
  <c r="CS1417" i="1"/>
  <c r="CS1508" i="1"/>
  <c r="CR1200" i="1"/>
  <c r="CS1324" i="1"/>
  <c r="CV1324" i="1" s="1"/>
  <c r="CR1325" i="1"/>
  <c r="CV1325" i="1" s="1"/>
  <c r="CS1331" i="1"/>
  <c r="CV1331" i="1" s="1"/>
  <c r="CT1331" i="1"/>
  <c r="CU1331" i="1" s="1"/>
  <c r="EP1358" i="1"/>
  <c r="CR1417" i="1"/>
  <c r="BY1523" i="1"/>
  <c r="CT1363" i="1"/>
  <c r="CU1363" i="1" s="1"/>
  <c r="CS1363" i="1"/>
  <c r="CV1363" i="1" s="1"/>
  <c r="CT1382" i="1"/>
  <c r="CU1382" i="1" s="1"/>
  <c r="CT1388" i="1"/>
  <c r="CU1388" i="1" s="1"/>
  <c r="CR1388" i="1"/>
  <c r="CS1388" i="1"/>
  <c r="CT1400" i="1"/>
  <c r="CU1400" i="1" s="1"/>
  <c r="CS1400" i="1"/>
  <c r="CR1400" i="1"/>
  <c r="CS1494" i="1"/>
  <c r="CV1494" i="1" s="1"/>
  <c r="CT1494" i="1"/>
  <c r="CU1494" i="1" s="1"/>
  <c r="CT1502" i="1"/>
  <c r="CU1502" i="1" s="1"/>
  <c r="CS1502" i="1"/>
  <c r="CR1502" i="1"/>
  <c r="CT1505" i="1"/>
  <c r="CU1505" i="1" s="1"/>
  <c r="CS1505" i="1"/>
  <c r="CR1610" i="1"/>
  <c r="CP1610" i="1"/>
  <c r="CO1610" i="1"/>
  <c r="CT1610" i="1"/>
  <c r="CS1610" i="1"/>
  <c r="CQ1610" i="1"/>
  <c r="CT1620" i="1"/>
  <c r="CU1620" i="1" s="1"/>
  <c r="BY1620" i="1"/>
  <c r="CT1682" i="1"/>
  <c r="CU1682" i="1" s="1"/>
  <c r="CS1682" i="1"/>
  <c r="CR1682" i="1"/>
  <c r="CR1505" i="1"/>
  <c r="CR1568" i="1"/>
  <c r="CT1568" i="1"/>
  <c r="CU1568" i="1" s="1"/>
  <c r="CS1570" i="1"/>
  <c r="CR1570" i="1"/>
  <c r="CT1611" i="1"/>
  <c r="CU1611" i="1" s="1"/>
  <c r="BY1611" i="1"/>
  <c r="CR1382" i="1"/>
  <c r="BY1393" i="1"/>
  <c r="CS1394" i="1"/>
  <c r="CV1394" i="1" s="1"/>
  <c r="CT1415" i="1"/>
  <c r="CU1415" i="1" s="1"/>
  <c r="CR1419" i="1"/>
  <c r="CR1422" i="1"/>
  <c r="BY1507" i="1"/>
  <c r="EP1507" i="1" s="1"/>
  <c r="CT1507" i="1"/>
  <c r="CU1507" i="1" s="1"/>
  <c r="CS1568" i="1"/>
  <c r="CT1570" i="1"/>
  <c r="CU1570" i="1" s="1"/>
  <c r="CS1382" i="1"/>
  <c r="CR1383" i="1"/>
  <c r="CV1383" i="1" s="1"/>
  <c r="CS1393" i="1"/>
  <c r="CR1393" i="1"/>
  <c r="CT1394" i="1"/>
  <c r="CU1394" i="1" s="1"/>
  <c r="CS1419" i="1"/>
  <c r="CS1422" i="1"/>
  <c r="CT1623" i="1"/>
  <c r="CU1623" i="1" s="1"/>
  <c r="CS1623" i="1"/>
  <c r="CR1623" i="1"/>
  <c r="BV1673" i="1"/>
  <c r="BX1673" i="1" s="1"/>
  <c r="BY1673" i="1" s="1"/>
  <c r="BE1387" i="1" a="1"/>
  <c r="BE1387" i="1" s="1"/>
  <c r="CT1398" i="1"/>
  <c r="CU1398" i="1" s="1"/>
  <c r="CS1398" i="1"/>
  <c r="CV1398" i="1" s="1"/>
  <c r="CT1418" i="1"/>
  <c r="CU1418" i="1" s="1"/>
  <c r="CT1428" i="1"/>
  <c r="CU1428" i="1" s="1"/>
  <c r="CS1428" i="1"/>
  <c r="CV1428" i="1" s="1"/>
  <c r="CS1488" i="1"/>
  <c r="CV1488" i="1" s="1"/>
  <c r="CT1488" i="1"/>
  <c r="CU1488" i="1" s="1"/>
  <c r="CR1499" i="1"/>
  <c r="CV1499" i="1" s="1"/>
  <c r="CT1499" i="1"/>
  <c r="CU1499" i="1" s="1"/>
  <c r="CT1573" i="1"/>
  <c r="CU1573" i="1" s="1"/>
  <c r="CS1573" i="1"/>
  <c r="CR1573" i="1"/>
  <c r="CS1612" i="1"/>
  <c r="CR1612" i="1"/>
  <c r="CS1619" i="1"/>
  <c r="CR1619" i="1"/>
  <c r="BY1667" i="1"/>
  <c r="EP1667" i="1" s="1"/>
  <c r="CT1667" i="1"/>
  <c r="BV1674" i="1"/>
  <c r="BX1674" i="1" s="1"/>
  <c r="BU1674" i="1"/>
  <c r="CR1396" i="1"/>
  <c r="CV1396" i="1" s="1"/>
  <c r="CR1415" i="1"/>
  <c r="CV1415" i="1" s="1"/>
  <c r="CR1424" i="1"/>
  <c r="CR1429" i="1"/>
  <c r="CV1429" i="1" s="1"/>
  <c r="CR1490" i="1"/>
  <c r="CV1490" i="1" s="1"/>
  <c r="CT1498" i="1"/>
  <c r="CU1498" i="1" s="1"/>
  <c r="CR1498" i="1"/>
  <c r="CV1498" i="1" s="1"/>
  <c r="CR1504" i="1"/>
  <c r="CT1516" i="1"/>
  <c r="CU1516" i="1" s="1"/>
  <c r="CS1516" i="1"/>
  <c r="CR1516" i="1"/>
  <c r="CT1612" i="1"/>
  <c r="CU1612" i="1" s="1"/>
  <c r="BY1616" i="1"/>
  <c r="CT1619" i="1"/>
  <c r="CU1619" i="1" s="1"/>
  <c r="CT1681" i="1"/>
  <c r="CU1681" i="1" s="1"/>
  <c r="CS1504" i="1"/>
  <c r="CT1506" i="1"/>
  <c r="CU1506" i="1" s="1"/>
  <c r="CS1506" i="1"/>
  <c r="CR1506" i="1"/>
  <c r="CO1516" i="1"/>
  <c r="CT1567" i="1"/>
  <c r="CU1567" i="1" s="1"/>
  <c r="CS1567" i="1"/>
  <c r="CS1607" i="1"/>
  <c r="CR1607" i="1"/>
  <c r="CT1608" i="1"/>
  <c r="CR1608" i="1"/>
  <c r="CQ1608" i="1"/>
  <c r="CS1608" i="1"/>
  <c r="CT1616" i="1"/>
  <c r="CU1616" i="1" s="1"/>
  <c r="CS1616" i="1"/>
  <c r="CR1616" i="1"/>
  <c r="CR1492" i="1"/>
  <c r="CV1492" i="1" s="1"/>
  <c r="CR1501" i="1"/>
  <c r="CP1516" i="1"/>
  <c r="CR1567" i="1"/>
  <c r="CO1607" i="1"/>
  <c r="CO1608" i="1"/>
  <c r="BY1618" i="1"/>
  <c r="CQ1618" i="1"/>
  <c r="CT1618" i="1"/>
  <c r="CS1618" i="1"/>
  <c r="CV1618" i="1" s="1"/>
  <c r="BU1627" i="1"/>
  <c r="BY1679" i="1"/>
  <c r="CT1625" i="1"/>
  <c r="CU1625" i="1" s="1"/>
  <c r="CT1613" i="1"/>
  <c r="CU1613" i="1" s="1"/>
  <c r="CS1613" i="1"/>
  <c r="CV1613" i="1" s="1"/>
  <c r="CT1614" i="1"/>
  <c r="CS1614" i="1"/>
  <c r="CR1614" i="1"/>
  <c r="CT1615" i="1"/>
  <c r="CU1615" i="1" s="1"/>
  <c r="CS1615" i="1"/>
  <c r="CV1615" i="1" s="1"/>
  <c r="BY1624" i="1"/>
  <c r="CT1670" i="1"/>
  <c r="CU1670" i="1" s="1"/>
  <c r="BY1670" i="1"/>
  <c r="CR1594" i="1"/>
  <c r="CT1624" i="1"/>
  <c r="CU1624" i="1" s="1"/>
  <c r="CS1624" i="1"/>
  <c r="BV1626" i="1"/>
  <c r="BX1626" i="1" s="1"/>
  <c r="BU1626" i="1"/>
  <c r="BU1669" i="1"/>
  <c r="CT1684" i="1"/>
  <c r="CU1684" i="1" s="1"/>
  <c r="BY1684" i="1"/>
  <c r="CS1594" i="1"/>
  <c r="CR1596" i="1"/>
  <c r="CR1598" i="1"/>
  <c r="BY1607" i="1"/>
  <c r="CS1609" i="1"/>
  <c r="CQ1609" i="1"/>
  <c r="CP1609" i="1"/>
  <c r="CR1624" i="1"/>
  <c r="CS1669" i="1"/>
  <c r="CT1672" i="1"/>
  <c r="CU1672" i="1" s="1"/>
  <c r="CS1672" i="1"/>
  <c r="CV1672" i="1" s="1"/>
  <c r="CT1680" i="1"/>
  <c r="CU1680" i="1" s="1"/>
  <c r="CR1622" i="1"/>
  <c r="CV1622" i="1" s="1"/>
  <c r="CR1671" i="1"/>
  <c r="CV1671" i="1" s="1"/>
  <c r="BU1673" i="1"/>
  <c r="CR1679" i="1"/>
  <c r="CV1679" i="1" s="1"/>
  <c r="CR1627" i="1"/>
  <c r="CV1627" i="1" s="1"/>
  <c r="CR1669" i="1"/>
  <c r="BU1671" i="1"/>
  <c r="CR1674" i="1"/>
  <c r="CV1674" i="1" s="1"/>
  <c r="CV1501" i="1" l="1"/>
  <c r="CU1052" i="1"/>
  <c r="CV1424" i="1"/>
  <c r="CV361" i="1"/>
  <c r="CU1201" i="1"/>
  <c r="CV1416" i="1"/>
  <c r="CV688" i="1"/>
  <c r="CV1196" i="1"/>
  <c r="CV1055" i="1"/>
  <c r="CV717" i="1"/>
  <c r="CV1187" i="1"/>
  <c r="CU11" i="1"/>
  <c r="CV715" i="1"/>
  <c r="CU711" i="1"/>
  <c r="CU1607" i="1"/>
  <c r="CU12" i="1"/>
  <c r="CU18" i="1"/>
  <c r="CU1056" i="1"/>
  <c r="CV16" i="1"/>
  <c r="CV1327" i="1"/>
  <c r="CU16" i="1"/>
  <c r="CU513" i="1"/>
  <c r="CV1053" i="1"/>
  <c r="CU1667" i="1"/>
  <c r="CV513" i="1"/>
  <c r="CV1328" i="1"/>
  <c r="CV683" i="1"/>
  <c r="CV421" i="1"/>
  <c r="CU417" i="1"/>
  <c r="CU20" i="1"/>
  <c r="CV1489" i="1"/>
  <c r="CV714" i="1"/>
  <c r="CU713" i="1"/>
  <c r="CV1179" i="1"/>
  <c r="CV1361" i="1"/>
  <c r="CV716" i="1"/>
  <c r="CU716" i="1"/>
  <c r="CV1367" i="1"/>
  <c r="CV1380" i="1"/>
  <c r="CU10" i="1"/>
  <c r="CV1385" i="1"/>
  <c r="CU512" i="1"/>
  <c r="CV602" i="1"/>
  <c r="CV1182" i="1"/>
  <c r="CV1115" i="1"/>
  <c r="CU1614" i="1"/>
  <c r="CV1609" i="1"/>
  <c r="CU715" i="1"/>
  <c r="CT696" i="1"/>
  <c r="CU696" i="1" s="1"/>
  <c r="CV820" i="1"/>
  <c r="CV1598" i="1"/>
  <c r="CV1193" i="1"/>
  <c r="CU514" i="1"/>
  <c r="CT694" i="1"/>
  <c r="CU694" i="1" s="1"/>
  <c r="CV691" i="1"/>
  <c r="CV1177" i="1"/>
  <c r="CV512" i="1"/>
  <c r="CU421" i="1"/>
  <c r="CU9" i="1"/>
  <c r="CV958" i="1"/>
  <c r="CT714" i="1"/>
  <c r="CU714" i="1" s="1"/>
  <c r="CU14" i="1"/>
  <c r="CV1414" i="1"/>
  <c r="CV1201" i="1"/>
  <c r="CU1055" i="1"/>
  <c r="CU1057" i="1"/>
  <c r="CU603" i="1"/>
  <c r="CV122" i="1"/>
  <c r="CV1397" i="1"/>
  <c r="CV780" i="1"/>
  <c r="CV15" i="1"/>
  <c r="CV420" i="1"/>
  <c r="CV821" i="1"/>
  <c r="CV1596" i="1"/>
  <c r="CU420" i="1"/>
  <c r="CT690" i="1"/>
  <c r="CU690" i="1" s="1"/>
  <c r="CU602" i="1"/>
  <c r="CV515" i="1"/>
  <c r="CU8" i="1"/>
  <c r="CV1181" i="1"/>
  <c r="CV1500" i="1"/>
  <c r="CV8" i="1"/>
  <c r="CU19" i="1"/>
  <c r="CT699" i="1"/>
  <c r="CU699" i="1" s="1"/>
  <c r="CU17" i="1"/>
  <c r="CU820" i="1"/>
  <c r="CV1336" i="1"/>
  <c r="CV1386" i="1"/>
  <c r="CV427" i="1"/>
  <c r="CV686" i="1"/>
  <c r="CU120" i="1"/>
  <c r="CV1059" i="1"/>
  <c r="CV1190" i="1"/>
  <c r="CV1369" i="1"/>
  <c r="CV1526" i="1"/>
  <c r="CV1616" i="1"/>
  <c r="CV1168" i="1"/>
  <c r="CU419" i="1"/>
  <c r="CV1105" i="1"/>
  <c r="CV1669" i="1"/>
  <c r="CV1508" i="1"/>
  <c r="CV835" i="1"/>
  <c r="CV1365" i="1"/>
  <c r="CV790" i="1"/>
  <c r="CV712" i="1"/>
  <c r="CV108" i="1"/>
  <c r="CV811" i="1"/>
  <c r="CV1106" i="1"/>
  <c r="CU1618" i="1"/>
  <c r="CV1568" i="1"/>
  <c r="CV1505" i="1"/>
  <c r="CU1609" i="1"/>
  <c r="CV1334" i="1"/>
  <c r="CU15" i="1"/>
  <c r="CV1172" i="1"/>
  <c r="CV961" i="1"/>
  <c r="CV1125" i="1"/>
  <c r="CV426" i="1"/>
  <c r="CV1170" i="1"/>
  <c r="CV1506" i="1"/>
  <c r="CV1516" i="1"/>
  <c r="CV1430" i="1"/>
  <c r="CV1387" i="1"/>
  <c r="CV1422" i="1"/>
  <c r="CV20" i="1"/>
  <c r="CV459" i="1"/>
  <c r="CV782" i="1"/>
  <c r="CV1382" i="1"/>
  <c r="CU652" i="1"/>
  <c r="CV1195" i="1"/>
  <c r="CV1570" i="1"/>
  <c r="CV12" i="1"/>
  <c r="CV696" i="1"/>
  <c r="CU415" i="1"/>
  <c r="CV1419" i="1"/>
  <c r="CV1401" i="1"/>
  <c r="CV1174" i="1"/>
  <c r="CV656" i="1"/>
  <c r="CV699" i="1"/>
  <c r="CV713" i="1"/>
  <c r="CV1567" i="1"/>
  <c r="CU1053" i="1"/>
  <c r="CV1058" i="1"/>
  <c r="CU712" i="1"/>
  <c r="CV1420" i="1"/>
  <c r="CV1426" i="1"/>
  <c r="CV1364" i="1"/>
  <c r="CU416" i="1"/>
  <c r="CV415" i="1"/>
  <c r="CV13" i="1"/>
  <c r="CV1362" i="1"/>
  <c r="CV1608" i="1"/>
  <c r="CU1054" i="1"/>
  <c r="CV781" i="1"/>
  <c r="CU828" i="1"/>
  <c r="CV418" i="1"/>
  <c r="CU418" i="1"/>
  <c r="CV995" i="1"/>
  <c r="CV1667" i="1"/>
  <c r="CV1338" i="1"/>
  <c r="CV1183" i="1"/>
  <c r="CV1619" i="1"/>
  <c r="CV1502" i="1"/>
  <c r="CV1400" i="1"/>
  <c r="CV1402" i="1"/>
  <c r="CV1126" i="1"/>
  <c r="CV1189" i="1"/>
  <c r="CV844" i="1"/>
  <c r="CV809" i="1"/>
  <c r="CV1373" i="1"/>
  <c r="CV1594" i="1"/>
  <c r="BY1674" i="1"/>
  <c r="CT1674" i="1"/>
  <c r="CU1674" i="1" s="1"/>
  <c r="CV1393" i="1"/>
  <c r="CV1395" i="1"/>
  <c r="CV1358" i="1"/>
  <c r="CV1192" i="1"/>
  <c r="CV680" i="1"/>
  <c r="CV817" i="1"/>
  <c r="CU604" i="1"/>
  <c r="CV1624" i="1"/>
  <c r="CV1614" i="1"/>
  <c r="CT1673" i="1"/>
  <c r="CU1673" i="1" s="1"/>
  <c r="CV1610" i="1"/>
  <c r="CV1417" i="1"/>
  <c r="CV1377" i="1"/>
  <c r="CV657" i="1"/>
  <c r="BY688" i="1"/>
  <c r="CT688" i="1"/>
  <c r="CU688" i="1" s="1"/>
  <c r="CV822" i="1"/>
  <c r="CV813" i="1"/>
  <c r="CV360" i="1"/>
  <c r="CU1058" i="1"/>
  <c r="CV695" i="1"/>
  <c r="CU13" i="1"/>
  <c r="CV112" i="1"/>
  <c r="BY1626" i="1"/>
  <c r="CT1626" i="1"/>
  <c r="CU1626" i="1" s="1"/>
  <c r="CV1612" i="1"/>
  <c r="CV1374" i="1"/>
  <c r="CU511" i="1"/>
  <c r="CU1608" i="1"/>
  <c r="CU1610" i="1"/>
  <c r="CV1119" i="1"/>
  <c r="CV788" i="1"/>
  <c r="CV685" i="1"/>
  <c r="CV424" i="1"/>
  <c r="CV603" i="1"/>
  <c r="CU822" i="1"/>
  <c r="CV511" i="1"/>
  <c r="CV425" i="1"/>
  <c r="BY693" i="1"/>
  <c r="CT693" i="1"/>
  <c r="CU693" i="1" s="1"/>
  <c r="CV1118" i="1"/>
  <c r="CV1054" i="1"/>
  <c r="CV834" i="1"/>
  <c r="CV828" i="1"/>
  <c r="CU515" i="1"/>
  <c r="CV416" i="1"/>
  <c r="CU780" i="1"/>
  <c r="CV1607" i="1"/>
  <c r="CV1504" i="1"/>
  <c r="CV1573" i="1"/>
  <c r="CV1623" i="1"/>
  <c r="CV1682" i="1"/>
  <c r="CV1200" i="1"/>
  <c r="BY717" i="1"/>
  <c r="EP717" i="1" s="1"/>
  <c r="CT717" i="1"/>
  <c r="CU717" i="1" s="1"/>
  <c r="CV786" i="1"/>
  <c r="BY122" i="1"/>
  <c r="CT122" i="1"/>
  <c r="CU122" i="1" s="1"/>
  <c r="CV1368" i="1"/>
  <c r="BY692" i="1"/>
  <c r="CT692" i="1"/>
  <c r="CU692" i="1" s="1"/>
  <c r="CV110" i="1"/>
  <c r="CV1388" i="1"/>
  <c r="CV1197" i="1"/>
  <c r="CV1124" i="1"/>
  <c r="CV959" i="1"/>
  <c r="CV783" i="1"/>
  <c r="CV906" i="1"/>
  <c r="CV1122" i="1"/>
  <c r="EP1609" i="1" l="1"/>
  <c r="EP1522" i="1"/>
  <c r="EP1421" i="1"/>
  <c r="EP1109" i="1"/>
  <c r="EP115" i="1"/>
  <c r="EP1334" i="1"/>
  <c r="EP955" i="1"/>
  <c r="EP420" i="1"/>
  <c r="EP954" i="1"/>
  <c r="EP1427" i="1"/>
  <c r="EP1416" i="1"/>
  <c r="EP1397" i="1"/>
  <c r="EP1391" i="1"/>
  <c r="EP1384" i="1"/>
  <c r="EP1117" i="1"/>
  <c r="EP118" i="1"/>
  <c r="EP1623" i="1"/>
  <c r="EP1430" i="1"/>
  <c r="EP1372" i="1"/>
  <c r="EP1327" i="1"/>
  <c r="EP957" i="1"/>
  <c r="EP654" i="1"/>
  <c r="EP1387" i="1"/>
  <c r="EP810" i="1"/>
  <c r="EP1402" i="1"/>
  <c r="EP1379" i="1"/>
  <c r="EP1328" i="1"/>
  <c r="EP1385" i="1"/>
  <c r="EP1597" i="1"/>
  <c r="EP1527" i="1"/>
  <c r="EP1525" i="1"/>
  <c r="EP1375" i="1"/>
  <c r="EP1332" i="1"/>
  <c r="EP812" i="1"/>
  <c r="EP1595" i="1"/>
  <c r="EP1392" i="1"/>
  <c r="EP1373" i="1"/>
  <c r="EP415" i="1"/>
  <c r="EP419" i="1"/>
  <c r="EP1488" i="1"/>
  <c r="EP1323" i="1"/>
  <c r="EP1390" i="1"/>
  <c r="EP1672" i="1"/>
  <c r="EP459" i="1"/>
  <c r="EP1401" i="1"/>
  <c r="EP783" i="1"/>
  <c r="EP925" i="1"/>
  <c r="EP1494" i="1"/>
  <c r="EP1371" i="1"/>
  <c r="EP1112" i="1"/>
  <c r="EP1420" i="1"/>
  <c r="EP603" i="1"/>
  <c r="EP924" i="1"/>
  <c r="EP113" i="1"/>
  <c r="EP363" i="1"/>
  <c r="EP1617" i="1"/>
  <c r="EP1621" i="1"/>
  <c r="EP1608" i="1"/>
  <c r="EP1426" i="1"/>
  <c r="EP427" i="1"/>
  <c r="EP1490" i="1"/>
  <c r="EP784" i="1"/>
  <c r="EP1394" i="1"/>
  <c r="EP20" i="1"/>
  <c r="EP786" i="1"/>
  <c r="EP1424" i="1"/>
  <c r="EP1415" i="1"/>
  <c r="EP1111" i="1"/>
  <c r="EP1568" i="1"/>
  <c r="EP110" i="1"/>
  <c r="EP1325" i="1"/>
  <c r="EP1492" i="1"/>
  <c r="EP652" i="1"/>
  <c r="EP1054" i="1"/>
  <c r="EP120" i="1"/>
  <c r="EP364" i="1"/>
  <c r="EP109" i="1"/>
  <c r="EP828" i="1"/>
  <c r="EP1105" i="1"/>
  <c r="EP1625" i="1"/>
  <c r="EP1622" i="1"/>
  <c r="EP905" i="1"/>
  <c r="EP959" i="1"/>
  <c r="EP1569" i="1"/>
  <c r="EP1001" i="1"/>
  <c r="EP1395" i="1"/>
  <c r="EP1398" i="1"/>
  <c r="EP834" i="1"/>
  <c r="EP1593" i="1"/>
  <c r="EP13" i="1"/>
  <c r="EP1320" i="1"/>
  <c r="EP1681" i="1"/>
  <c r="EP408" i="1"/>
  <c r="EP1330" i="1"/>
  <c r="EP1526" i="1"/>
  <c r="EP653" i="1"/>
  <c r="EP1059" i="1"/>
  <c r="EP360" i="1"/>
  <c r="EP787" i="1"/>
  <c r="EP1104" i="1"/>
  <c r="EP1115" i="1"/>
  <c r="EP1493" i="1"/>
  <c r="EP1491" i="1"/>
  <c r="EP1679" i="1"/>
  <c r="EP1524" i="1"/>
  <c r="EP1417" i="1"/>
  <c r="EP1052" i="1"/>
  <c r="EP1571" i="1"/>
  <c r="EP1056" i="1"/>
  <c r="EP1396" i="1"/>
  <c r="EP12" i="1"/>
  <c r="EP956" i="1"/>
  <c r="EP1598" i="1"/>
  <c r="EP14" i="1"/>
  <c r="EP1326" i="1"/>
  <c r="EP11" i="1"/>
  <c r="EP690" i="1"/>
  <c r="EP1339" i="1"/>
  <c r="EP1567" i="1"/>
  <c r="EP655" i="1"/>
  <c r="EP1113" i="1"/>
  <c r="EP121" i="1"/>
  <c r="EP1116" i="1"/>
  <c r="EP1615" i="1"/>
  <c r="EP1682" i="1"/>
  <c r="EP108" i="1"/>
  <c r="EP1324" i="1"/>
  <c r="EP1680" i="1"/>
  <c r="EP1058" i="1"/>
  <c r="EP1422" i="1"/>
  <c r="EP782" i="1"/>
  <c r="EP995" i="1"/>
  <c r="EP1610" i="1"/>
  <c r="EP365" i="1"/>
  <c r="EP1333" i="1"/>
  <c r="EP1321" i="1"/>
  <c r="EP835" i="1"/>
  <c r="EP1380" i="1"/>
  <c r="EP9" i="1"/>
  <c r="EP696" i="1"/>
  <c r="EP1377" i="1"/>
  <c r="EP359" i="1"/>
  <c r="EP460" i="1"/>
  <c r="EP1107" i="1"/>
  <c r="EP1616" i="1"/>
  <c r="EP1429" i="1"/>
  <c r="EP1428" i="1"/>
  <c r="EP1624" i="1"/>
  <c r="EP112" i="1"/>
  <c r="EP1331" i="1"/>
  <c r="EP1378" i="1"/>
  <c r="EP1201" i="1"/>
  <c r="EP1594" i="1"/>
  <c r="EP996" i="1"/>
  <c r="EP1322" i="1"/>
  <c r="EP1614" i="1"/>
  <c r="EP426" i="1"/>
  <c r="EP1376" i="1"/>
  <c r="EP418" i="1"/>
  <c r="EP958" i="1"/>
  <c r="EP1388" i="1"/>
  <c r="EP1336" i="1"/>
  <c r="EP781" i="1"/>
  <c r="EP1389" i="1"/>
  <c r="EP699" i="1"/>
  <c r="EP1570" i="1"/>
  <c r="EP116" i="1"/>
  <c r="EP1337" i="1"/>
  <c r="EP809" i="1"/>
  <c r="EP1374" i="1"/>
  <c r="EP1596" i="1"/>
  <c r="EP417" i="1"/>
  <c r="EP1335" i="1"/>
  <c r="EP1002" i="1"/>
  <c r="EP788" i="1"/>
  <c r="EP1400" i="1"/>
  <c r="EP961" i="1"/>
  <c r="EP1103" i="1"/>
  <c r="EP1414" i="1"/>
  <c r="EP960" i="1"/>
  <c r="EP790" i="1"/>
  <c r="EP1613" i="1"/>
  <c r="EP694" i="1"/>
  <c r="EP1102" i="1"/>
  <c r="EP1114" i="1"/>
  <c r="EP1573" i="1"/>
  <c r="EP407" i="1"/>
  <c r="EP1418" i="1"/>
  <c r="EP907" i="1"/>
  <c r="EP1386" i="1"/>
  <c r="EP1619" i="1"/>
  <c r="EP421" i="1"/>
  <c r="EP1382" i="1"/>
  <c r="EP368" i="1"/>
  <c r="EP817" i="1"/>
  <c r="EP1489" i="1"/>
  <c r="EP1048" i="1"/>
  <c r="EP1106" i="1"/>
  <c r="EP1419" i="1"/>
  <c r="EP416" i="1"/>
  <c r="EP811" i="1"/>
  <c r="EP1683" i="1"/>
  <c r="EP361" i="1"/>
  <c r="EP1684" i="1"/>
  <c r="EP1612" i="1"/>
  <c r="EP1607" i="1"/>
  <c r="EP1053" i="1"/>
  <c r="EP689" i="1"/>
  <c r="EP791" i="1"/>
  <c r="EP714" i="1"/>
  <c r="EP1057" i="1"/>
  <c r="EP111" i="1"/>
  <c r="EP1669" i="1"/>
  <c r="EP1110" i="1"/>
  <c r="EP1399" i="1"/>
  <c r="EP18" i="1"/>
  <c r="EP117" i="1"/>
  <c r="EP602" i="1"/>
  <c r="EP1620" i="1"/>
  <c r="EP780" i="1"/>
  <c r="EP1572" i="1"/>
  <c r="EP17" i="1"/>
  <c r="EP785" i="1"/>
  <c r="EP1523" i="1"/>
  <c r="EP1338" i="1"/>
  <c r="EP8" i="1"/>
  <c r="EP366" i="1"/>
  <c r="EP1670" i="1"/>
  <c r="EP906" i="1"/>
  <c r="EP1381" i="1"/>
  <c r="EP1626" i="1"/>
  <c r="EP698" i="1"/>
  <c r="EP713" i="1"/>
  <c r="EP19" i="1"/>
  <c r="EP1627" i="1"/>
  <c r="EP367" i="1"/>
  <c r="EP1055" i="1"/>
  <c r="EP122" i="1"/>
  <c r="EP16" i="1"/>
  <c r="EP1673" i="1"/>
  <c r="EP604" i="1"/>
  <c r="EP1611" i="1"/>
  <c r="EP15" i="1"/>
  <c r="EP789" i="1"/>
  <c r="EP10" i="1"/>
  <c r="EP1393" i="1"/>
  <c r="EP1329" i="1"/>
  <c r="EP1383" i="1"/>
  <c r="EP362" i="1"/>
  <c r="EP818" i="1"/>
  <c r="EP1671" i="1"/>
  <c r="EP695" i="1"/>
  <c r="EP691" i="1"/>
  <c r="EP697" i="1"/>
  <c r="EP1108" i="1"/>
  <c r="EP1618" i="1"/>
  <c r="EP711" i="1"/>
  <c r="EP693" i="1"/>
  <c r="EP692" i="1"/>
  <c r="EP688" i="1"/>
  <c r="EP1674" i="1"/>
  <c r="EK1346" i="1" l="1"/>
  <c r="EL1346" i="1"/>
  <c r="EK1347" i="1"/>
  <c r="EL1347" i="1"/>
  <c r="EK1348" i="1"/>
  <c r="EL1348" i="1"/>
  <c r="EK1314" i="1"/>
  <c r="EL1314" i="1"/>
  <c r="EK1313" i="1"/>
  <c r="EL1313" i="1"/>
  <c r="EK1312" i="1"/>
  <c r="EL1312" i="1"/>
  <c r="EK1315" i="1"/>
  <c r="EL1315" i="1"/>
  <c r="EK358" i="1"/>
  <c r="EL358" i="1"/>
  <c r="EK849" i="1"/>
  <c r="EL849" i="1"/>
  <c r="EK848" i="1"/>
  <c r="EL848" i="1"/>
  <c r="EK850" i="1"/>
  <c r="EL850" i="1"/>
  <c r="EK847" i="1"/>
  <c r="EL847" i="1"/>
  <c r="EK846" i="1"/>
  <c r="EL846" i="1"/>
  <c r="EK845" i="1"/>
  <c r="EL845" i="1"/>
  <c r="EK1530" i="1"/>
  <c r="EL1530" i="1"/>
  <c r="EK1531" i="1"/>
  <c r="EL1531" i="1"/>
  <c r="EK1532" i="1"/>
  <c r="EL1532" i="1"/>
  <c r="EK1533" i="1"/>
  <c r="EL1533" i="1"/>
  <c r="EK1528" i="1"/>
  <c r="EL1528" i="1"/>
  <c r="EK1529" i="1"/>
  <c r="EL1529" i="1"/>
  <c r="EK274" i="1"/>
  <c r="EL274" i="1"/>
  <c r="EK276" i="1"/>
  <c r="EL276" i="1"/>
  <c r="EK280" i="1"/>
  <c r="EL280" i="1"/>
  <c r="EK285" i="1"/>
  <c r="EL285" i="1"/>
  <c r="EK275" i="1"/>
  <c r="EL275" i="1"/>
  <c r="EK284" i="1"/>
  <c r="EL284" i="1"/>
  <c r="EK278" i="1"/>
  <c r="EL278" i="1"/>
  <c r="EK279" i="1"/>
  <c r="EL279" i="1"/>
  <c r="EK282" i="1"/>
  <c r="EL282" i="1"/>
  <c r="EK283" i="1"/>
  <c r="EL283" i="1"/>
  <c r="EK277" i="1"/>
  <c r="EL277" i="1"/>
  <c r="EK281" i="1"/>
  <c r="EL281" i="1"/>
  <c r="EK523" i="1"/>
  <c r="EL523" i="1"/>
  <c r="EK524" i="1"/>
  <c r="EL524" i="1"/>
  <c r="EK525" i="1"/>
  <c r="EL525" i="1"/>
  <c r="EK1403" i="1"/>
  <c r="EL1403" i="1"/>
  <c r="EK1404" i="1"/>
  <c r="EL1404" i="1"/>
  <c r="EK1405" i="1"/>
  <c r="EL1405" i="1"/>
  <c r="EK1406" i="1"/>
  <c r="EL1406" i="1"/>
  <c r="EK1407" i="1"/>
  <c r="EL1407" i="1"/>
  <c r="EK1408" i="1"/>
  <c r="EL1408" i="1"/>
  <c r="EK1409" i="1"/>
  <c r="EL1409" i="1"/>
  <c r="EK1410" i="1"/>
  <c r="EL1410" i="1"/>
  <c r="EK1411" i="1"/>
  <c r="EL1411" i="1"/>
  <c r="EK1412" i="1"/>
  <c r="EL1412" i="1"/>
  <c r="EK1413" i="1"/>
  <c r="EL1413" i="1"/>
  <c r="EK1317" i="1"/>
  <c r="EL1317" i="1"/>
  <c r="EK1318" i="1"/>
  <c r="EL1318" i="1"/>
  <c r="EK1041" i="1"/>
  <c r="EL1041" i="1"/>
  <c r="EK1042" i="1"/>
  <c r="EL1042" i="1"/>
  <c r="EK1043" i="1"/>
  <c r="EL1043" i="1"/>
  <c r="EK541" i="1"/>
  <c r="EL541" i="1"/>
  <c r="EK542" i="1"/>
  <c r="EL542" i="1"/>
  <c r="EK71" i="1"/>
  <c r="EL71" i="1"/>
  <c r="EK72" i="1"/>
  <c r="EL72" i="1"/>
  <c r="EK89" i="1"/>
  <c r="EL89" i="1"/>
  <c r="EK86" i="1"/>
  <c r="EL86" i="1"/>
  <c r="EK87" i="1"/>
  <c r="EL87" i="1"/>
  <c r="EK84" i="1"/>
  <c r="EL84" i="1"/>
  <c r="EK93" i="1"/>
  <c r="EL93" i="1"/>
  <c r="EK95" i="1"/>
  <c r="EL95" i="1"/>
  <c r="EK96" i="1"/>
  <c r="EL96" i="1"/>
  <c r="EK103" i="1"/>
  <c r="EL103" i="1"/>
  <c r="EK521" i="1"/>
  <c r="EL521" i="1"/>
  <c r="EK526" i="1"/>
  <c r="EL526" i="1"/>
  <c r="EK527" i="1"/>
  <c r="EL527" i="1"/>
  <c r="EK444" i="1"/>
  <c r="EL444" i="1"/>
  <c r="EK445" i="1"/>
  <c r="EL445" i="1"/>
  <c r="EK446" i="1"/>
  <c r="EL446" i="1"/>
  <c r="EK447" i="1"/>
  <c r="EL447" i="1"/>
  <c r="EK880" i="1"/>
  <c r="EL880" i="1"/>
  <c r="EK881" i="1"/>
  <c r="EL881" i="1"/>
  <c r="EK883" i="1"/>
  <c r="EL883" i="1"/>
  <c r="EK909" i="1"/>
  <c r="EL909" i="1"/>
  <c r="EK910" i="1"/>
  <c r="EL910" i="1"/>
  <c r="EK911" i="1"/>
  <c r="EL911" i="1"/>
  <c r="EK912" i="1"/>
  <c r="EL912" i="1"/>
  <c r="EK477" i="1"/>
  <c r="EL477" i="1"/>
  <c r="EK703" i="1"/>
  <c r="EL703" i="1"/>
  <c r="EK705" i="1"/>
  <c r="EL705" i="1"/>
  <c r="EK700" i="1"/>
  <c r="EL700" i="1"/>
  <c r="EK701" i="1"/>
  <c r="EL701" i="1"/>
  <c r="EK617" i="1"/>
  <c r="EL617" i="1"/>
  <c r="EK613" i="1"/>
  <c r="EL613" i="1"/>
  <c r="EK619" i="1"/>
  <c r="EL619" i="1"/>
  <c r="EK618" i="1"/>
  <c r="EL618" i="1"/>
  <c r="EK614" i="1"/>
  <c r="EL614" i="1"/>
  <c r="EK608" i="1"/>
  <c r="EL608" i="1"/>
  <c r="EK615" i="1"/>
  <c r="EL615" i="1"/>
  <c r="EK610" i="1"/>
  <c r="EL610" i="1"/>
  <c r="EK1163" i="1"/>
  <c r="EL1163" i="1"/>
  <c r="EK1164" i="1"/>
  <c r="EL1164" i="1"/>
  <c r="EK1165" i="1"/>
  <c r="EL1165" i="1"/>
  <c r="EK1521" i="1"/>
  <c r="EL1521" i="1"/>
  <c r="EK824" i="1"/>
  <c r="EL824" i="1"/>
  <c r="EK825" i="1"/>
  <c r="EL825" i="1"/>
  <c r="EK1519" i="1"/>
  <c r="EL1519" i="1"/>
  <c r="EK1518" i="1"/>
  <c r="EL1518" i="1"/>
  <c r="EK1520" i="1"/>
  <c r="EL1520" i="1"/>
  <c r="EK621" i="1"/>
  <c r="EL621" i="1"/>
  <c r="EK611" i="1"/>
  <c r="EL611" i="1"/>
  <c r="EK623" i="1"/>
  <c r="EL623" i="1"/>
  <c r="EK616" i="1"/>
  <c r="EL616" i="1"/>
  <c r="EK609" i="1"/>
  <c r="EL609" i="1"/>
  <c r="EK212" i="1"/>
  <c r="EL212" i="1"/>
  <c r="EK213" i="1"/>
  <c r="EL213" i="1"/>
  <c r="EK970" i="1"/>
  <c r="EL970" i="1"/>
  <c r="EK971" i="1"/>
  <c r="EL971" i="1"/>
  <c r="EK930" i="1"/>
  <c r="EL930" i="1"/>
  <c r="EK931" i="1"/>
  <c r="EL931" i="1"/>
  <c r="EK932" i="1"/>
  <c r="EL932" i="1"/>
  <c r="EK933" i="1"/>
  <c r="EL933" i="1"/>
  <c r="EK926" i="1"/>
  <c r="EL926" i="1"/>
  <c r="EK927" i="1"/>
  <c r="EL927" i="1"/>
  <c r="EK928" i="1"/>
  <c r="EL928" i="1"/>
  <c r="EK929" i="1"/>
  <c r="EL929" i="1"/>
  <c r="EK934" i="1"/>
  <c r="EL934" i="1"/>
  <c r="EK935" i="1"/>
  <c r="EL935" i="1"/>
  <c r="EK936" i="1"/>
  <c r="EL936" i="1"/>
  <c r="EK937" i="1"/>
  <c r="EL937" i="1"/>
  <c r="EK138" i="1"/>
  <c r="EL138" i="1"/>
  <c r="EK146" i="1"/>
  <c r="EL146" i="1"/>
  <c r="EK150" i="1"/>
  <c r="EL150" i="1"/>
  <c r="EK172" i="1"/>
  <c r="EL172" i="1"/>
  <c r="EK182" i="1"/>
  <c r="EL182" i="1"/>
  <c r="EK183" i="1"/>
  <c r="EL183" i="1"/>
  <c r="EK184" i="1"/>
  <c r="EL184" i="1"/>
  <c r="EK185" i="1"/>
  <c r="EL185" i="1"/>
  <c r="EK186" i="1"/>
  <c r="EL186" i="1"/>
  <c r="EK131" i="1"/>
  <c r="EL131" i="1"/>
  <c r="EK135" i="1"/>
  <c r="EL135" i="1"/>
  <c r="EK133" i="1"/>
  <c r="EL133" i="1"/>
  <c r="EK137" i="1"/>
  <c r="EL137" i="1"/>
  <c r="EK145" i="1"/>
  <c r="EL145" i="1"/>
  <c r="EK154" i="1"/>
  <c r="EL154" i="1"/>
  <c r="EK155" i="1"/>
  <c r="EL155" i="1"/>
  <c r="EK161" i="1"/>
  <c r="EL161" i="1"/>
  <c r="EK163" i="1"/>
  <c r="EL163" i="1"/>
  <c r="EK165" i="1"/>
  <c r="EL165" i="1"/>
  <c r="EK169" i="1"/>
  <c r="EL169" i="1"/>
  <c r="EK175" i="1"/>
  <c r="EL175" i="1"/>
  <c r="EK177" i="1"/>
  <c r="EL177" i="1"/>
  <c r="EK181" i="1"/>
  <c r="EL181" i="1"/>
  <c r="EK187" i="1"/>
  <c r="EL187" i="1"/>
  <c r="EK630" i="1"/>
  <c r="EL630" i="1"/>
  <c r="EK633" i="1"/>
  <c r="EL633" i="1"/>
  <c r="EK631" i="1"/>
  <c r="EL631" i="1"/>
  <c r="EK629" i="1"/>
  <c r="EL629" i="1"/>
  <c r="EK632" i="1"/>
  <c r="EL632" i="1"/>
  <c r="EK634" i="1"/>
  <c r="EL634" i="1"/>
  <c r="EK635" i="1"/>
  <c r="EL635" i="1"/>
  <c r="EK625" i="1"/>
  <c r="EL625" i="1"/>
  <c r="EK612" i="1"/>
  <c r="EL612" i="1"/>
  <c r="EK1576" i="1"/>
  <c r="EL1576" i="1"/>
  <c r="EK1575" i="1"/>
  <c r="EL1575" i="1"/>
  <c r="EK1577" i="1"/>
  <c r="EL1577" i="1"/>
  <c r="EK1578" i="1"/>
  <c r="EL1578" i="1"/>
  <c r="EK1341" i="1"/>
  <c r="EL1341" i="1"/>
  <c r="EK1340" i="1"/>
  <c r="EL1340" i="1"/>
  <c r="EK1342" i="1"/>
  <c r="EL1342" i="1"/>
  <c r="EK1343" i="1"/>
  <c r="EL1343" i="1"/>
  <c r="EK1004" i="1"/>
  <c r="EL1004" i="1"/>
  <c r="EK1003" i="1"/>
  <c r="EL1003" i="1"/>
  <c r="EK1005" i="1"/>
  <c r="EL1005" i="1"/>
  <c r="EK1656" i="1"/>
  <c r="EL1656" i="1"/>
  <c r="EK1658" i="1"/>
  <c r="EL1658" i="1"/>
  <c r="EK1660" i="1"/>
  <c r="EL1660" i="1"/>
  <c r="EK1661" i="1"/>
  <c r="EL1661" i="1"/>
  <c r="EK240" i="1"/>
  <c r="EL240" i="1"/>
  <c r="EK238" i="1"/>
  <c r="EL238" i="1"/>
  <c r="EK234" i="1"/>
  <c r="EL234" i="1"/>
  <c r="EK231" i="1"/>
  <c r="EL231" i="1"/>
  <c r="EK230" i="1"/>
  <c r="EL230" i="1"/>
  <c r="EK225" i="1"/>
  <c r="EL225" i="1"/>
  <c r="EK219" i="1"/>
  <c r="EL219" i="1"/>
  <c r="EK218" i="1"/>
  <c r="EL218" i="1"/>
  <c r="EK215" i="1"/>
  <c r="EL215" i="1"/>
  <c r="EK269" i="1"/>
  <c r="EL269" i="1"/>
  <c r="EK256" i="1"/>
  <c r="EL256" i="1"/>
  <c r="EK242" i="1"/>
  <c r="EL242" i="1"/>
  <c r="EK245" i="1"/>
  <c r="EL245" i="1"/>
  <c r="EK265" i="1"/>
  <c r="EL265" i="1"/>
  <c r="EK266" i="1"/>
  <c r="EL266" i="1"/>
  <c r="EK255" i="1"/>
  <c r="EL255" i="1"/>
  <c r="EK248" i="1"/>
  <c r="EL248" i="1"/>
  <c r="EK251" i="1"/>
  <c r="EL251" i="1"/>
  <c r="EK261" i="1"/>
  <c r="EL261" i="1"/>
  <c r="EK202" i="1"/>
  <c r="EL202" i="1"/>
  <c r="EK203" i="1"/>
  <c r="EL203" i="1"/>
  <c r="EK204" i="1"/>
  <c r="EL204" i="1"/>
  <c r="EK205" i="1"/>
  <c r="EL205" i="1"/>
  <c r="EK206" i="1"/>
  <c r="EL206" i="1"/>
  <c r="EK207" i="1"/>
  <c r="EL207" i="1"/>
  <c r="EK208" i="1"/>
  <c r="EL208" i="1"/>
  <c r="EK209" i="1"/>
  <c r="EL209" i="1"/>
  <c r="EK210" i="1"/>
  <c r="EL210" i="1"/>
  <c r="EK211" i="1"/>
  <c r="EL211" i="1"/>
  <c r="EK976" i="1"/>
  <c r="EL976" i="1"/>
  <c r="EK975" i="1"/>
  <c r="EL975" i="1"/>
  <c r="EK979" i="1"/>
  <c r="EL979" i="1"/>
  <c r="EK983" i="1"/>
  <c r="EL983" i="1"/>
  <c r="EK977" i="1"/>
  <c r="EL977" i="1"/>
  <c r="EK978" i="1"/>
  <c r="EL978" i="1"/>
  <c r="EK980" i="1"/>
  <c r="EL980" i="1"/>
  <c r="EK974" i="1"/>
  <c r="EL974" i="1"/>
  <c r="EK973" i="1"/>
  <c r="EL973" i="1"/>
  <c r="EK981" i="1"/>
  <c r="EL981" i="1"/>
  <c r="EK984" i="1"/>
  <c r="EL984" i="1"/>
  <c r="EK972" i="1"/>
  <c r="EL972" i="1"/>
  <c r="EK982" i="1"/>
  <c r="EL982" i="1"/>
  <c r="EK985" i="1"/>
  <c r="EL985" i="1"/>
  <c r="EK620" i="1"/>
  <c r="EL620" i="1"/>
  <c r="EK624" i="1"/>
  <c r="EL624" i="1"/>
  <c r="EK989" i="1"/>
  <c r="EL989" i="1"/>
  <c r="EK990" i="1"/>
  <c r="EL990" i="1"/>
  <c r="EK991" i="1"/>
  <c r="EL991" i="1"/>
  <c r="EK992" i="1"/>
  <c r="EL992" i="1"/>
  <c r="EK993" i="1"/>
  <c r="EL993" i="1"/>
  <c r="EK994" i="1"/>
  <c r="EL994" i="1"/>
  <c r="EK1638" i="1"/>
  <c r="EL1638" i="1"/>
  <c r="EK1649" i="1"/>
  <c r="EL1649" i="1"/>
  <c r="EK1651" i="1"/>
  <c r="EL1651" i="1"/>
  <c r="EK1644" i="1"/>
  <c r="EL1644" i="1"/>
  <c r="EK1652" i="1"/>
  <c r="EL1652" i="1"/>
  <c r="EK1654" i="1"/>
  <c r="EL1654" i="1"/>
  <c r="EK1655" i="1"/>
  <c r="EL1655" i="1"/>
  <c r="EK1159" i="1"/>
  <c r="EL1159" i="1"/>
  <c r="EK1158" i="1"/>
  <c r="EL1158" i="1"/>
  <c r="EK1162" i="1"/>
  <c r="EL1162" i="1"/>
  <c r="EK1161" i="1"/>
  <c r="EL1161" i="1"/>
  <c r="EK1160" i="1"/>
  <c r="EL1160" i="1"/>
  <c r="EK139" i="1"/>
  <c r="EL139" i="1"/>
  <c r="EK147" i="1"/>
  <c r="EL147" i="1"/>
  <c r="EK148" i="1"/>
  <c r="EL148" i="1"/>
  <c r="EK173" i="1"/>
  <c r="EL173" i="1"/>
  <c r="EK188" i="1"/>
  <c r="EL188" i="1"/>
  <c r="EK189" i="1"/>
  <c r="EL189" i="1"/>
  <c r="EK190" i="1"/>
  <c r="EL190" i="1"/>
  <c r="EK191" i="1"/>
  <c r="EL191" i="1"/>
  <c r="EK192" i="1"/>
  <c r="EL192" i="1"/>
  <c r="EK129" i="1"/>
  <c r="EL129" i="1"/>
  <c r="EK134" i="1"/>
  <c r="EL134" i="1"/>
  <c r="EK127" i="1"/>
  <c r="EL127" i="1"/>
  <c r="EK141" i="1"/>
  <c r="EL141" i="1"/>
  <c r="EK144" i="1"/>
  <c r="EL144" i="1"/>
  <c r="EK151" i="1"/>
  <c r="EL151" i="1"/>
  <c r="EK152" i="1"/>
  <c r="EL152" i="1"/>
  <c r="EK153" i="1"/>
  <c r="EL153" i="1"/>
  <c r="EK159" i="1"/>
  <c r="EL159" i="1"/>
  <c r="EK167" i="1"/>
  <c r="EL167" i="1"/>
  <c r="EK168" i="1"/>
  <c r="EL168" i="1"/>
  <c r="EK174" i="1"/>
  <c r="EL174" i="1"/>
  <c r="EK176" i="1"/>
  <c r="EL176" i="1"/>
  <c r="EK179" i="1"/>
  <c r="EL179" i="1"/>
  <c r="EK193" i="1"/>
  <c r="EL193" i="1"/>
  <c r="EK200" i="1"/>
  <c r="EL200" i="1"/>
  <c r="EK1459" i="1"/>
  <c r="EL1459" i="1"/>
  <c r="EK1460" i="1"/>
  <c r="EL1460" i="1"/>
  <c r="EK1461" i="1"/>
  <c r="EL1461" i="1"/>
  <c r="EK1462" i="1"/>
  <c r="EL1462" i="1"/>
  <c r="EK1457" i="1"/>
  <c r="EL1457" i="1"/>
  <c r="EK1446" i="1"/>
  <c r="EL1446" i="1"/>
  <c r="EK1453" i="1"/>
  <c r="EL1453" i="1"/>
  <c r="EK1450" i="1"/>
  <c r="EL1450" i="1"/>
  <c r="EK1449" i="1"/>
  <c r="EL1449" i="1"/>
  <c r="EK1456" i="1"/>
  <c r="EL1456" i="1"/>
  <c r="EK1444" i="1"/>
  <c r="EL1444" i="1"/>
  <c r="EK1451" i="1"/>
  <c r="EL1451" i="1"/>
  <c r="EK1448" i="1"/>
  <c r="EL1448" i="1"/>
  <c r="EK1447" i="1"/>
  <c r="EL1447" i="1"/>
  <c r="EK1463" i="1"/>
  <c r="EL1463" i="1"/>
  <c r="EK1645" i="1"/>
  <c r="EL1645" i="1"/>
  <c r="EK1657" i="1"/>
  <c r="EL1657" i="1"/>
  <c r="EK1659" i="1"/>
  <c r="EL1659" i="1"/>
  <c r="EK1143" i="1"/>
  <c r="EL1143" i="1"/>
  <c r="EK1144" i="1"/>
  <c r="EL1144" i="1"/>
  <c r="EK1145" i="1"/>
  <c r="EL1145" i="1"/>
  <c r="EK1149" i="1"/>
  <c r="EL1149" i="1"/>
  <c r="EK1152" i="1"/>
  <c r="EL1152" i="1"/>
  <c r="EK1153" i="1"/>
  <c r="EL1153" i="1"/>
  <c r="EK1142" i="1"/>
  <c r="EL1142" i="1"/>
  <c r="EK1146" i="1"/>
  <c r="EL1146" i="1"/>
  <c r="EK1147" i="1"/>
  <c r="EL1147" i="1"/>
  <c r="EK1148" i="1"/>
  <c r="EL1148" i="1"/>
  <c r="EK1150" i="1"/>
  <c r="EL1150" i="1"/>
  <c r="EK1151" i="1"/>
  <c r="EL1151" i="1"/>
  <c r="EK1154" i="1"/>
  <c r="EL1154" i="1"/>
  <c r="EK1566" i="1"/>
  <c r="EL1566" i="1"/>
  <c r="EK1695" i="1"/>
  <c r="EL1695" i="1"/>
  <c r="EK1696" i="1"/>
  <c r="EL1696" i="1"/>
  <c r="EK1698" i="1"/>
  <c r="EL1698" i="1"/>
  <c r="EK1701" i="1"/>
  <c r="EL1701" i="1"/>
  <c r="EK1702" i="1"/>
  <c r="EL1702" i="1"/>
  <c r="EK1712" i="1"/>
  <c r="EL1712" i="1"/>
  <c r="EK1713" i="1"/>
  <c r="EL1713" i="1"/>
  <c r="EK1706" i="1"/>
  <c r="EL1706" i="1"/>
  <c r="EK1709" i="1"/>
  <c r="EL1709" i="1"/>
  <c r="EK1704" i="1"/>
  <c r="EL1704" i="1"/>
  <c r="EK1705" i="1"/>
  <c r="EL1705" i="1"/>
  <c r="EK1707" i="1"/>
  <c r="EL1707" i="1"/>
  <c r="EK1710" i="1"/>
  <c r="EL1710" i="1"/>
  <c r="EK1687" i="1"/>
  <c r="EL1687" i="1"/>
  <c r="EK1686" i="1"/>
  <c r="EL1686" i="1"/>
  <c r="EK1715" i="1"/>
  <c r="EL1715" i="1"/>
  <c r="EK1691" i="1"/>
  <c r="EL1691" i="1"/>
  <c r="EK1693" i="1"/>
  <c r="EL1693" i="1"/>
  <c r="EK1694" i="1"/>
  <c r="EL1694" i="1"/>
  <c r="EK1700" i="1"/>
  <c r="EL1700" i="1"/>
  <c r="EK1703" i="1"/>
  <c r="EL1703" i="1"/>
  <c r="EK1708" i="1"/>
  <c r="EL1708" i="1"/>
  <c r="EK1711" i="1"/>
  <c r="EL1711" i="1"/>
  <c r="EK1688" i="1"/>
  <c r="EL1688" i="1"/>
  <c r="EK1689" i="1"/>
  <c r="EL1689" i="1"/>
  <c r="EK1690" i="1"/>
  <c r="EL1690" i="1"/>
  <c r="EK1692" i="1"/>
  <c r="EL1692" i="1"/>
  <c r="EK1697" i="1"/>
  <c r="EL1697" i="1"/>
  <c r="EK1699" i="1"/>
  <c r="EL1699" i="1"/>
  <c r="EK1714" i="1"/>
  <c r="EL1714" i="1"/>
  <c r="EK1458" i="1"/>
  <c r="EL1458" i="1"/>
  <c r="EK1445" i="1"/>
  <c r="EL1445" i="1"/>
  <c r="EK1455" i="1"/>
  <c r="EL1455" i="1"/>
  <c r="EK1454" i="1"/>
  <c r="EL1454" i="1"/>
  <c r="EK1452" i="1"/>
  <c r="EL1452" i="1"/>
  <c r="EK1632" i="1"/>
  <c r="EL1632" i="1"/>
  <c r="EK1641" i="1"/>
  <c r="EL1641" i="1"/>
  <c r="EK1642" i="1"/>
  <c r="EL1642" i="1"/>
  <c r="EK1643" i="1"/>
  <c r="EL1643" i="1"/>
  <c r="EK1634" i="1"/>
  <c r="EL1634" i="1"/>
  <c r="EK1647" i="1"/>
  <c r="EL1647" i="1"/>
  <c r="EK1648" i="1"/>
  <c r="EL1648" i="1"/>
  <c r="EK1738" i="1"/>
  <c r="EL1738" i="1"/>
  <c r="EK1739" i="1"/>
  <c r="EL1739" i="1"/>
  <c r="EK1734" i="1"/>
  <c r="EL1734" i="1"/>
  <c r="EK1740" i="1"/>
  <c r="EL1740" i="1"/>
  <c r="EK1741" i="1"/>
  <c r="EL1741" i="1"/>
  <c r="EK1735" i="1"/>
  <c r="EL1735" i="1"/>
  <c r="EK1716" i="1"/>
  <c r="EL1716" i="1"/>
  <c r="EK1717" i="1"/>
  <c r="EL1717" i="1"/>
  <c r="EK1718" i="1"/>
  <c r="EL1718" i="1"/>
  <c r="EK1719" i="1"/>
  <c r="EL1719" i="1"/>
  <c r="EK1742" i="1"/>
  <c r="EL1742" i="1"/>
  <c r="EK1743" i="1"/>
  <c r="EL1743" i="1"/>
  <c r="EK1720" i="1"/>
  <c r="EL1720" i="1"/>
  <c r="EK1721" i="1"/>
  <c r="EL1721" i="1"/>
  <c r="EK1722" i="1"/>
  <c r="EL1722" i="1"/>
  <c r="EK1723" i="1"/>
  <c r="EL1723" i="1"/>
  <c r="EK1724" i="1"/>
  <c r="EL1724" i="1"/>
  <c r="EK1725" i="1"/>
  <c r="EL1725" i="1"/>
  <c r="EK1744" i="1"/>
  <c r="EL1744" i="1"/>
  <c r="EK1745" i="1"/>
  <c r="EL1745" i="1"/>
  <c r="EK1726" i="1"/>
  <c r="EL1726" i="1"/>
  <c r="EK1727" i="1"/>
  <c r="EL1727" i="1"/>
  <c r="EK1728" i="1"/>
  <c r="EL1728" i="1"/>
  <c r="EK1729" i="1"/>
  <c r="EL1729" i="1"/>
  <c r="EK1736" i="1"/>
  <c r="EL1736" i="1"/>
  <c r="EK1730" i="1"/>
  <c r="EL1730" i="1"/>
  <c r="EK1731" i="1"/>
  <c r="EL1731" i="1"/>
  <c r="EK1732" i="1"/>
  <c r="EL1732" i="1"/>
  <c r="EK1737" i="1"/>
  <c r="EL1737" i="1"/>
  <c r="EK1733" i="1"/>
  <c r="EL1733" i="1"/>
  <c r="EK1214" i="1"/>
  <c r="EL1214" i="1"/>
  <c r="EK1213" i="1"/>
  <c r="EL1213" i="1"/>
  <c r="EK1209" i="1"/>
  <c r="EL1209" i="1"/>
  <c r="EK1204" i="1"/>
  <c r="EL1204" i="1"/>
  <c r="EK1208" i="1"/>
  <c r="EL1208" i="1"/>
  <c r="EK1206" i="1"/>
  <c r="EL1206" i="1"/>
  <c r="EK1212" i="1"/>
  <c r="EL1212" i="1"/>
  <c r="EK1210" i="1"/>
  <c r="EL1210" i="1"/>
  <c r="EK1630" i="1"/>
  <c r="EL1630" i="1"/>
  <c r="EK1637" i="1"/>
  <c r="EL1637" i="1"/>
  <c r="EK1639" i="1"/>
  <c r="EL1639" i="1"/>
  <c r="EK1640" i="1"/>
  <c r="EL1640" i="1"/>
  <c r="EK1631" i="1"/>
  <c r="EL1631" i="1"/>
  <c r="EK1646" i="1"/>
  <c r="EL1646" i="1"/>
  <c r="EK1650" i="1"/>
  <c r="EL1650" i="1"/>
  <c r="EK1653" i="1"/>
  <c r="EL1653" i="1"/>
  <c r="EK1080" i="1"/>
  <c r="EL1080" i="1"/>
  <c r="EK1086" i="1"/>
  <c r="EL1086" i="1"/>
  <c r="EK1088" i="1"/>
  <c r="EL1088" i="1"/>
  <c r="EK1083" i="1"/>
  <c r="EL1083" i="1"/>
  <c r="EK1082" i="1"/>
  <c r="EL1082" i="1"/>
  <c r="EK1087" i="1"/>
  <c r="EL1087" i="1"/>
  <c r="EK1067" i="1"/>
  <c r="EL1067" i="1"/>
  <c r="EK1090" i="1"/>
  <c r="EL1090" i="1"/>
  <c r="EK1089" i="1"/>
  <c r="EL1089" i="1"/>
  <c r="EK1075" i="1"/>
  <c r="EL1075" i="1"/>
  <c r="EK1071" i="1"/>
  <c r="EL1071" i="1"/>
  <c r="EK1074" i="1"/>
  <c r="EL1074" i="1"/>
  <c r="EK1079" i="1"/>
  <c r="EL1079" i="1"/>
  <c r="EK1072" i="1"/>
  <c r="EL1072" i="1"/>
  <c r="EK1084" i="1"/>
  <c r="EL1084" i="1"/>
  <c r="EK1077" i="1"/>
  <c r="EL1077" i="1"/>
  <c r="EK1076" i="1"/>
  <c r="EL1076" i="1"/>
  <c r="EK1068" i="1"/>
  <c r="EL1068" i="1"/>
  <c r="EK1081" i="1"/>
  <c r="EL1081" i="1"/>
  <c r="EK1070" i="1"/>
  <c r="EL1070" i="1"/>
  <c r="EK1078" i="1"/>
  <c r="EL1078" i="1"/>
  <c r="EK1069" i="1"/>
  <c r="EL1069" i="1"/>
  <c r="EK1085" i="1"/>
  <c r="EL1085" i="1"/>
  <c r="EK1073" i="1"/>
  <c r="EL1073" i="1"/>
  <c r="EK1049" i="1"/>
  <c r="EL1049" i="1"/>
  <c r="EK1050" i="1"/>
  <c r="EL1050" i="1"/>
  <c r="EK1051" i="1"/>
  <c r="EL1051" i="1"/>
  <c r="EK873" i="1"/>
  <c r="EL873" i="1"/>
  <c r="EK872" i="1"/>
  <c r="EL872" i="1"/>
  <c r="EK874" i="1"/>
  <c r="EL874" i="1"/>
  <c r="EK871" i="1"/>
  <c r="EL871" i="1"/>
  <c r="EK239" i="1"/>
  <c r="EL239" i="1"/>
  <c r="EK237" i="1"/>
  <c r="EL237" i="1"/>
  <c r="EK233" i="1"/>
  <c r="EL233" i="1"/>
  <c r="EK229" i="1"/>
  <c r="EL229" i="1"/>
  <c r="EK228" i="1"/>
  <c r="EL228" i="1"/>
  <c r="EK224" i="1"/>
  <c r="EL224" i="1"/>
  <c r="EK216" i="1"/>
  <c r="EL216" i="1"/>
  <c r="EK217" i="1"/>
  <c r="EL217" i="1"/>
  <c r="EK214" i="1"/>
  <c r="EL214" i="1"/>
  <c r="EK270" i="1"/>
  <c r="EL270" i="1"/>
  <c r="EK258" i="1"/>
  <c r="EL258" i="1"/>
  <c r="EK243" i="1"/>
  <c r="EL243" i="1"/>
  <c r="EK246" i="1"/>
  <c r="EL246" i="1"/>
  <c r="EK267" i="1"/>
  <c r="EL267" i="1"/>
  <c r="EK268" i="1"/>
  <c r="EL268" i="1"/>
  <c r="EK257" i="1"/>
  <c r="EL257" i="1"/>
  <c r="EK250" i="1"/>
  <c r="EL250" i="1"/>
  <c r="EK252" i="1"/>
  <c r="EL252" i="1"/>
  <c r="EK263" i="1"/>
  <c r="EL263" i="1"/>
  <c r="EK1211" i="1"/>
  <c r="EL1211" i="1"/>
  <c r="EK1203" i="1"/>
  <c r="EL1203" i="1"/>
  <c r="EK1205" i="1"/>
  <c r="EL1205" i="1"/>
  <c r="EK1207" i="1"/>
  <c r="EL1207" i="1"/>
  <c r="EK1629" i="1"/>
  <c r="EL1629" i="1"/>
  <c r="EK1633" i="1"/>
  <c r="EL1633" i="1"/>
  <c r="EK1635" i="1"/>
  <c r="EL1635" i="1"/>
  <c r="EK1636" i="1"/>
  <c r="EL1636" i="1"/>
  <c r="EK504" i="1"/>
  <c r="EL504" i="1"/>
  <c r="EK505" i="1"/>
  <c r="EL505" i="1"/>
  <c r="EK651" i="1"/>
  <c r="EL651" i="1"/>
  <c r="EK1044" i="1"/>
  <c r="EL1044" i="1"/>
  <c r="EK1045" i="1"/>
  <c r="EL1045" i="1"/>
  <c r="EK1046" i="1"/>
  <c r="EL1046" i="1"/>
  <c r="EK1047" i="1"/>
  <c r="EL1047" i="1"/>
  <c r="EK890" i="1"/>
  <c r="EL890" i="1"/>
  <c r="EK891" i="1"/>
  <c r="EL891" i="1"/>
  <c r="EK901" i="1"/>
  <c r="EL901" i="1"/>
  <c r="EK902" i="1"/>
  <c r="EL902" i="1"/>
  <c r="EK892" i="1"/>
  <c r="EL892" i="1"/>
  <c r="EK899" i="1"/>
  <c r="EL899" i="1"/>
  <c r="EK903" i="1"/>
  <c r="EL903" i="1"/>
  <c r="EK886" i="1"/>
  <c r="EL886" i="1"/>
  <c r="EK896" i="1"/>
  <c r="EL896" i="1"/>
  <c r="EK897" i="1"/>
  <c r="EL897" i="1"/>
  <c r="EK893" i="1"/>
  <c r="EL893" i="1"/>
  <c r="EK894" i="1"/>
  <c r="EL894" i="1"/>
  <c r="EK898" i="1"/>
  <c r="EL898" i="1"/>
  <c r="EK888" i="1"/>
  <c r="EL888" i="1"/>
  <c r="EK895" i="1"/>
  <c r="EL895" i="1"/>
  <c r="EK887" i="1"/>
  <c r="EL887" i="1"/>
  <c r="EK889" i="1"/>
  <c r="EL889" i="1"/>
  <c r="EK900" i="1"/>
  <c r="EL900" i="1"/>
  <c r="EK856" i="1"/>
  <c r="EL856" i="1"/>
  <c r="EK855" i="1"/>
  <c r="EL855" i="1"/>
  <c r="EK1423" i="1"/>
  <c r="EL1423" i="1"/>
  <c r="EK952" i="1"/>
  <c r="EL952" i="1"/>
  <c r="EK953" i="1"/>
  <c r="EL953" i="1"/>
  <c r="EK136" i="1"/>
  <c r="EL136" i="1"/>
  <c r="EK140" i="1"/>
  <c r="EL140" i="1"/>
  <c r="EK156" i="1"/>
  <c r="EL156" i="1"/>
  <c r="EK170" i="1"/>
  <c r="EL170" i="1"/>
  <c r="EK194" i="1"/>
  <c r="EL194" i="1"/>
  <c r="EK195" i="1"/>
  <c r="EL195" i="1"/>
  <c r="EK196" i="1"/>
  <c r="EL196" i="1"/>
  <c r="EK197" i="1"/>
  <c r="EL197" i="1"/>
  <c r="EK198" i="1"/>
  <c r="EL198" i="1"/>
  <c r="EK142" i="1"/>
  <c r="EL142" i="1"/>
  <c r="EK143" i="1"/>
  <c r="EL143" i="1"/>
  <c r="EK128" i="1"/>
  <c r="EL128" i="1"/>
  <c r="EK130" i="1"/>
  <c r="EL130" i="1"/>
  <c r="EK132" i="1"/>
  <c r="EL132" i="1"/>
  <c r="EK149" i="1"/>
  <c r="EL149" i="1"/>
  <c r="EK157" i="1"/>
  <c r="EL157" i="1"/>
  <c r="EK158" i="1"/>
  <c r="EL158" i="1"/>
  <c r="EK160" i="1"/>
  <c r="EL160" i="1"/>
  <c r="EK162" i="1"/>
  <c r="EL162" i="1"/>
  <c r="EK164" i="1"/>
  <c r="EL164" i="1"/>
  <c r="EK166" i="1"/>
  <c r="EL166" i="1"/>
  <c r="EK171" i="1"/>
  <c r="EL171" i="1"/>
  <c r="EK178" i="1"/>
  <c r="EL178" i="1"/>
  <c r="EK180" i="1"/>
  <c r="EL180" i="1"/>
  <c r="EK199" i="1"/>
  <c r="EL199" i="1"/>
  <c r="EK626" i="1"/>
  <c r="EL626" i="1"/>
  <c r="EK628" i="1"/>
  <c r="EL628" i="1"/>
  <c r="EK622" i="1"/>
  <c r="EL622" i="1"/>
  <c r="EK636" i="1"/>
  <c r="EL636" i="1"/>
  <c r="EK637" i="1"/>
  <c r="EL637" i="1"/>
  <c r="EK627" i="1"/>
  <c r="EL627" i="1"/>
  <c r="EK607" i="1"/>
  <c r="EL607" i="1"/>
  <c r="EK1013" i="1"/>
  <c r="EL1013" i="1"/>
  <c r="EK965" i="1"/>
  <c r="EL965" i="1"/>
  <c r="EK966" i="1"/>
  <c r="EL966" i="1"/>
  <c r="EK967" i="1"/>
  <c r="EL967" i="1"/>
  <c r="EK236" i="1"/>
  <c r="EL236" i="1"/>
  <c r="EK235" i="1"/>
  <c r="EL235" i="1"/>
  <c r="EK232" i="1"/>
  <c r="EL232" i="1"/>
  <c r="EK227" i="1"/>
  <c r="EL227" i="1"/>
  <c r="EK226" i="1"/>
  <c r="EL226" i="1"/>
  <c r="EK223" i="1"/>
  <c r="EL223" i="1"/>
  <c r="EK222" i="1"/>
  <c r="EL222" i="1"/>
  <c r="EK221" i="1"/>
  <c r="EL221" i="1"/>
  <c r="EK220" i="1"/>
  <c r="EL220" i="1"/>
  <c r="EK262" i="1"/>
  <c r="EL262" i="1"/>
  <c r="EK254" i="1"/>
  <c r="EL254" i="1"/>
  <c r="EK241" i="1"/>
  <c r="EL241" i="1"/>
  <c r="EK244" i="1"/>
  <c r="EL244" i="1"/>
  <c r="EK264" i="1"/>
  <c r="EL264" i="1"/>
  <c r="EK259" i="1"/>
  <c r="EL259" i="1"/>
  <c r="EK253" i="1"/>
  <c r="EL253" i="1"/>
  <c r="EK247" i="1"/>
  <c r="EL247" i="1"/>
  <c r="EK249" i="1"/>
  <c r="EL249" i="1"/>
  <c r="EK260" i="1"/>
  <c r="EL260" i="1"/>
  <c r="EK1628" i="1"/>
  <c r="EL1628" i="1"/>
  <c r="EK1063" i="1"/>
  <c r="EL1063" i="1"/>
  <c r="EK1064" i="1"/>
  <c r="EL1064" i="1"/>
  <c r="EK1065" i="1"/>
  <c r="EL1065" i="1"/>
  <c r="EK1066" i="1"/>
  <c r="EL1066" i="1"/>
  <c r="EK1092" i="1"/>
  <c r="EL1092" i="1"/>
  <c r="EK1093" i="1"/>
  <c r="EL1093" i="1"/>
  <c r="EK798" i="1"/>
  <c r="EL798" i="1"/>
  <c r="EK123" i="1"/>
  <c r="EL123" i="1"/>
  <c r="EK124" i="1"/>
  <c r="EL124" i="1"/>
  <c r="EK801" i="1"/>
  <c r="EL801" i="1"/>
  <c r="EK792" i="1"/>
  <c r="EL792" i="1"/>
  <c r="EK793" i="1"/>
  <c r="EL793" i="1"/>
  <c r="EK434" i="1"/>
  <c r="EL434" i="1"/>
  <c r="EK432" i="1"/>
  <c r="EL432" i="1"/>
  <c r="EK433" i="1"/>
  <c r="EL433" i="1"/>
  <c r="EK1157" i="1"/>
  <c r="EL1157" i="1"/>
  <c r="EK1156" i="1"/>
  <c r="EL1156" i="1"/>
  <c r="EK799" i="1"/>
  <c r="EL799" i="1"/>
  <c r="EK1599" i="1"/>
  <c r="EL1599" i="1"/>
  <c r="EK1602" i="1"/>
  <c r="EL1602" i="1"/>
  <c r="EK1604" i="1"/>
  <c r="EL1604" i="1"/>
  <c r="EK1600" i="1"/>
  <c r="EL1600" i="1"/>
  <c r="EK1601" i="1"/>
  <c r="EL1601" i="1"/>
  <c r="EK1603" i="1"/>
  <c r="EL1603" i="1"/>
  <c r="EK802" i="1"/>
  <c r="EL802" i="1"/>
  <c r="EK795" i="1"/>
  <c r="EL795" i="1"/>
  <c r="EK797" i="1"/>
  <c r="EL797" i="1"/>
  <c r="EK435" i="1"/>
  <c r="EL435" i="1"/>
  <c r="EK430" i="1"/>
  <c r="EL430" i="1"/>
  <c r="EK431" i="1"/>
  <c r="EL431" i="1"/>
  <c r="EK800" i="1"/>
  <c r="EL800" i="1"/>
  <c r="EK803" i="1"/>
  <c r="EL803" i="1"/>
  <c r="EK794" i="1"/>
  <c r="EL794" i="1"/>
  <c r="EK796" i="1"/>
  <c r="EL796" i="1"/>
  <c r="EK761" i="1"/>
  <c r="EL761" i="1"/>
  <c r="EK762" i="1"/>
  <c r="EL762" i="1"/>
  <c r="EK744" i="1"/>
  <c r="EL744" i="1"/>
  <c r="EK746" i="1"/>
  <c r="EL746" i="1"/>
  <c r="EK747" i="1"/>
  <c r="EL747" i="1"/>
  <c r="EK748" i="1"/>
  <c r="EL748" i="1"/>
  <c r="EK749" i="1"/>
  <c r="EL749" i="1"/>
  <c r="EK750" i="1"/>
  <c r="EL750" i="1"/>
  <c r="EK751" i="1"/>
  <c r="EL751" i="1"/>
  <c r="EK752" i="1"/>
  <c r="EL752" i="1"/>
  <c r="EK753" i="1"/>
  <c r="EL753" i="1"/>
  <c r="EK754" i="1"/>
  <c r="EL754" i="1"/>
  <c r="EK755" i="1"/>
  <c r="EL755" i="1"/>
  <c r="EK756" i="1"/>
  <c r="EL756" i="1"/>
  <c r="EK757" i="1"/>
  <c r="EL757" i="1"/>
  <c r="EK758" i="1"/>
  <c r="EL758" i="1"/>
  <c r="EK759" i="1"/>
  <c r="EL759" i="1"/>
  <c r="EK760" i="1"/>
  <c r="EL760" i="1"/>
  <c r="EK745" i="1"/>
  <c r="EL745" i="1"/>
  <c r="EK272" i="1"/>
  <c r="EL272" i="1"/>
  <c r="EK481" i="1"/>
  <c r="EL481" i="1"/>
  <c r="EK482" i="1"/>
  <c r="EL482" i="1"/>
  <c r="EK483" i="1"/>
  <c r="EL483" i="1"/>
  <c r="EK484" i="1"/>
  <c r="EL484" i="1"/>
  <c r="EK804" i="1"/>
  <c r="EL804" i="1"/>
  <c r="EK805" i="1"/>
  <c r="EL805" i="1"/>
  <c r="EK839" i="1"/>
  <c r="EL839" i="1"/>
  <c r="EK840" i="1"/>
  <c r="EL840" i="1"/>
  <c r="EK841" i="1"/>
  <c r="EL841" i="1"/>
  <c r="EK836" i="1"/>
  <c r="EL836" i="1"/>
  <c r="EK838" i="1"/>
  <c r="EL838" i="1"/>
  <c r="EK837" i="1"/>
  <c r="EL837" i="1"/>
  <c r="EK310" i="1"/>
  <c r="EL310" i="1"/>
  <c r="EK319" i="1"/>
  <c r="EL319" i="1"/>
  <c r="EK320" i="1"/>
  <c r="EL320" i="1"/>
  <c r="EK321" i="1"/>
  <c r="EL321" i="1"/>
  <c r="EK647" i="1"/>
  <c r="EL647" i="1"/>
  <c r="EK644" i="1"/>
  <c r="EL644" i="1"/>
  <c r="EK646" i="1"/>
  <c r="EL646" i="1"/>
  <c r="EK645" i="1"/>
  <c r="EL645" i="1"/>
  <c r="EK380" i="1"/>
  <c r="EL380" i="1"/>
  <c r="EK376" i="1"/>
  <c r="EL376" i="1"/>
  <c r="EK375" i="1"/>
  <c r="EL375" i="1"/>
  <c r="EK378" i="1"/>
  <c r="EL378" i="1"/>
  <c r="EK371" i="1"/>
  <c r="EL371" i="1"/>
  <c r="EK372" i="1"/>
  <c r="EL372" i="1"/>
  <c r="EK377" i="1"/>
  <c r="EL377" i="1"/>
  <c r="EK379" i="1"/>
  <c r="EL379" i="1"/>
  <c r="EK876" i="1"/>
  <c r="EL876" i="1"/>
  <c r="EK875" i="1"/>
  <c r="EL875" i="1"/>
  <c r="EK501" i="1"/>
  <c r="EL501" i="1"/>
  <c r="EK503" i="1"/>
  <c r="EL503" i="1"/>
  <c r="EK502" i="1"/>
  <c r="EL502" i="1"/>
  <c r="EK648" i="1"/>
  <c r="EL648" i="1"/>
  <c r="EK373" i="1"/>
  <c r="EL373" i="1"/>
  <c r="EK374" i="1"/>
  <c r="EL374" i="1"/>
  <c r="EK369" i="1"/>
  <c r="EL369" i="1"/>
  <c r="EK370" i="1"/>
  <c r="EL370" i="1"/>
  <c r="EK57" i="1"/>
  <c r="EL57" i="1"/>
  <c r="EK51" i="1"/>
  <c r="EL51" i="1"/>
  <c r="EK82" i="1"/>
  <c r="EL82" i="1"/>
  <c r="EK99" i="1"/>
  <c r="EL99" i="1"/>
  <c r="EK59" i="1"/>
  <c r="EL59" i="1"/>
  <c r="EK70" i="1"/>
  <c r="EL70" i="1"/>
  <c r="EK67" i="1"/>
  <c r="EL67" i="1"/>
  <c r="EK50" i="1"/>
  <c r="EL50" i="1"/>
  <c r="EK61" i="1"/>
  <c r="EL61" i="1"/>
  <c r="EK49" i="1"/>
  <c r="EL49" i="1"/>
  <c r="EK60" i="1"/>
  <c r="EL60" i="1"/>
  <c r="EK48" i="1"/>
  <c r="EL48" i="1"/>
  <c r="EK36" i="1"/>
  <c r="EL36" i="1"/>
  <c r="EK80" i="1"/>
  <c r="EL80" i="1"/>
  <c r="EK46" i="1"/>
  <c r="EL46" i="1"/>
  <c r="EK83" i="1"/>
  <c r="EL83" i="1"/>
  <c r="EK68" i="1"/>
  <c r="EL68" i="1"/>
  <c r="EK55" i="1"/>
  <c r="EL55" i="1"/>
  <c r="EK88" i="1"/>
  <c r="EL88" i="1"/>
  <c r="EK54" i="1"/>
  <c r="EL54" i="1"/>
  <c r="EK81" i="1"/>
  <c r="EL81" i="1"/>
  <c r="EK90" i="1"/>
  <c r="EL90" i="1"/>
  <c r="EK40" i="1"/>
  <c r="EL40" i="1"/>
  <c r="EK106" i="1"/>
  <c r="EL106" i="1"/>
  <c r="EK65" i="1"/>
  <c r="EL65" i="1"/>
  <c r="EK44" i="1"/>
  <c r="EL44" i="1"/>
  <c r="EK107" i="1"/>
  <c r="EL107" i="1"/>
  <c r="EK74" i="1"/>
  <c r="EL74" i="1"/>
  <c r="EK63" i="1"/>
  <c r="EL63" i="1"/>
  <c r="EK73" i="1"/>
  <c r="EL73" i="1"/>
  <c r="EK52" i="1"/>
  <c r="EL52" i="1"/>
  <c r="EK41" i="1"/>
  <c r="EL41" i="1"/>
  <c r="EK64" i="1"/>
  <c r="EL64" i="1"/>
  <c r="EK102" i="1"/>
  <c r="EL102" i="1"/>
  <c r="EK77" i="1"/>
  <c r="EL77" i="1"/>
  <c r="EK104" i="1"/>
  <c r="EL104" i="1"/>
  <c r="EK43" i="1"/>
  <c r="EL43" i="1"/>
  <c r="EK105" i="1"/>
  <c r="EL105" i="1"/>
  <c r="EK42" i="1"/>
  <c r="EL42" i="1"/>
  <c r="EK98" i="1"/>
  <c r="EL98" i="1"/>
  <c r="EK79" i="1"/>
  <c r="EL79" i="1"/>
  <c r="EK78" i="1"/>
  <c r="EL78" i="1"/>
  <c r="EK53" i="1"/>
  <c r="EL53" i="1"/>
  <c r="EK38" i="1"/>
  <c r="EL38" i="1"/>
  <c r="EK37" i="1"/>
  <c r="EL37" i="1"/>
  <c r="EK100" i="1"/>
  <c r="EL100" i="1"/>
  <c r="EK94" i="1"/>
  <c r="EL94" i="1"/>
  <c r="EK56" i="1"/>
  <c r="EL56" i="1"/>
  <c r="EK39" i="1"/>
  <c r="EL39" i="1"/>
  <c r="EK45" i="1"/>
  <c r="EL45" i="1"/>
  <c r="EK47" i="1"/>
  <c r="EL47" i="1"/>
  <c r="EK76" i="1"/>
  <c r="EL76" i="1"/>
  <c r="EK69" i="1"/>
  <c r="EL69" i="1"/>
  <c r="EK97" i="1"/>
  <c r="EL97" i="1"/>
  <c r="EK91" i="1"/>
  <c r="EL91" i="1"/>
  <c r="EK85" i="1"/>
  <c r="EL85" i="1"/>
  <c r="EK101" i="1"/>
  <c r="EL101" i="1"/>
  <c r="EK92" i="1"/>
  <c r="EL92" i="1"/>
  <c r="EK26" i="1"/>
  <c r="EL26" i="1"/>
  <c r="EK58" i="1"/>
  <c r="EL58" i="1"/>
  <c r="EK35" i="1"/>
  <c r="EL35" i="1"/>
  <c r="EK34" i="1"/>
  <c r="EL34" i="1"/>
  <c r="EK30" i="1"/>
  <c r="EL30" i="1"/>
  <c r="EK62" i="1"/>
  <c r="EL62" i="1"/>
  <c r="EK27" i="1"/>
  <c r="EL27" i="1"/>
  <c r="EK75" i="1"/>
  <c r="EL75" i="1"/>
  <c r="EK66" i="1"/>
  <c r="EL66" i="1"/>
  <c r="EK28" i="1"/>
  <c r="EL28" i="1"/>
  <c r="EK32" i="1"/>
  <c r="EL32" i="1"/>
  <c r="EK29" i="1"/>
  <c r="EL29" i="1"/>
  <c r="EK33" i="1"/>
  <c r="EL33" i="1"/>
  <c r="EK31" i="1"/>
  <c r="EL31" i="1"/>
  <c r="EK763" i="1"/>
  <c r="EL763" i="1"/>
  <c r="EK1473" i="1"/>
  <c r="EL1473" i="1"/>
  <c r="EK1474" i="1"/>
  <c r="EL1474" i="1"/>
  <c r="EK1475" i="1"/>
  <c r="EL1475" i="1"/>
  <c r="EK1476" i="1"/>
  <c r="EL1476" i="1"/>
  <c r="EK1481" i="1"/>
  <c r="EL1481" i="1"/>
  <c r="EK1479" i="1"/>
  <c r="EL1479" i="1"/>
  <c r="EK1482" i="1"/>
  <c r="EL1482" i="1"/>
  <c r="EK1483" i="1"/>
  <c r="EL1483" i="1"/>
  <c r="EK1484" i="1"/>
  <c r="EL1484" i="1"/>
  <c r="EK1477" i="1"/>
  <c r="EL1477" i="1"/>
  <c r="EK1478" i="1"/>
  <c r="EL1478" i="1"/>
  <c r="EK1480" i="1"/>
  <c r="EL1480" i="1"/>
  <c r="EK487" i="1"/>
  <c r="EL487" i="1"/>
  <c r="EK488" i="1"/>
  <c r="EL488" i="1"/>
  <c r="EK489" i="1"/>
  <c r="EL489" i="1"/>
  <c r="EK491" i="1"/>
  <c r="EL491" i="1"/>
  <c r="EK490" i="1"/>
  <c r="EL490" i="1"/>
  <c r="EK492" i="1"/>
  <c r="EL492" i="1"/>
  <c r="EK493" i="1"/>
  <c r="EL493" i="1"/>
  <c r="EK494" i="1"/>
  <c r="EL494" i="1"/>
  <c r="EK496" i="1"/>
  <c r="EL496" i="1"/>
  <c r="EK498" i="1"/>
  <c r="EL498" i="1"/>
  <c r="EK495" i="1"/>
  <c r="EL495" i="1"/>
  <c r="EK497" i="1"/>
  <c r="EL497" i="1"/>
  <c r="EK851" i="1"/>
  <c r="EL851" i="1"/>
  <c r="EK852" i="1"/>
  <c r="EL852" i="1"/>
  <c r="EK863" i="1"/>
  <c r="EL863" i="1"/>
  <c r="EK867" i="1"/>
  <c r="EL867" i="1"/>
  <c r="EK868" i="1"/>
  <c r="EL868" i="1"/>
  <c r="EK860" i="1"/>
  <c r="EL860" i="1"/>
  <c r="EK864" i="1"/>
  <c r="EL864" i="1"/>
  <c r="EK865" i="1"/>
  <c r="EL865" i="1"/>
  <c r="EK866" i="1"/>
  <c r="EL866" i="1"/>
  <c r="EK1098" i="1"/>
  <c r="EL1098" i="1"/>
  <c r="EK1095" i="1"/>
  <c r="EL1095" i="1"/>
  <c r="EK1097" i="1"/>
  <c r="EL1097" i="1"/>
  <c r="EK1590" i="1"/>
  <c r="EL1590" i="1"/>
  <c r="EK1584" i="1"/>
  <c r="EL1584" i="1"/>
  <c r="EK1583" i="1"/>
  <c r="EL1583" i="1"/>
  <c r="EK1588" i="1"/>
  <c r="EL1588" i="1"/>
  <c r="EK1589" i="1"/>
  <c r="EL1589" i="1"/>
  <c r="EK1586" i="1"/>
  <c r="EL1586" i="1"/>
  <c r="EK1587" i="1"/>
  <c r="EL1587" i="1"/>
  <c r="EK1591" i="1"/>
  <c r="EL1591" i="1"/>
  <c r="EK1592" i="1"/>
  <c r="EL1592" i="1"/>
  <c r="EK1485" i="1"/>
  <c r="EL1485" i="1"/>
  <c r="EK1486" i="1"/>
  <c r="EL1486" i="1"/>
  <c r="EK858" i="1"/>
  <c r="EL858" i="1"/>
  <c r="EK861" i="1"/>
  <c r="EL861" i="1"/>
  <c r="EK869" i="1"/>
  <c r="EL869" i="1"/>
  <c r="EK870" i="1"/>
  <c r="EL870" i="1"/>
  <c r="EK857" i="1"/>
  <c r="EL857" i="1"/>
  <c r="EK859" i="1"/>
  <c r="EL859" i="1"/>
  <c r="EK862" i="1"/>
  <c r="EL862" i="1"/>
  <c r="EK1581" i="1"/>
  <c r="EL1581" i="1"/>
  <c r="EK1580" i="1"/>
  <c r="EL1580" i="1"/>
  <c r="EK1582" i="1"/>
  <c r="EL1582" i="1"/>
  <c r="EK1585" i="1"/>
  <c r="EL1585" i="1"/>
  <c r="EK516" i="1"/>
  <c r="EL516" i="1"/>
  <c r="EK517" i="1"/>
  <c r="EL517" i="1"/>
  <c r="EK518" i="1"/>
  <c r="EL518" i="1"/>
  <c r="EK519" i="1"/>
  <c r="EL519" i="1"/>
  <c r="EK520" i="1"/>
  <c r="EL520" i="1"/>
  <c r="EK522" i="1"/>
  <c r="EL522" i="1"/>
  <c r="EK536" i="1"/>
  <c r="EL536" i="1"/>
  <c r="EK531" i="1"/>
  <c r="EL531" i="1"/>
  <c r="EK532" i="1"/>
  <c r="EL532" i="1"/>
  <c r="EK533" i="1"/>
  <c r="EL533" i="1"/>
  <c r="EK534" i="1"/>
  <c r="EL534" i="1"/>
  <c r="EK538" i="1"/>
  <c r="EL538" i="1"/>
  <c r="EK529" i="1"/>
  <c r="EL529" i="1"/>
  <c r="EK528" i="1"/>
  <c r="EL528" i="1"/>
  <c r="EK530" i="1"/>
  <c r="EL530" i="1"/>
  <c r="EK535" i="1"/>
  <c r="EL535" i="1"/>
  <c r="EK539" i="1"/>
  <c r="EL539" i="1"/>
  <c r="EK537" i="1"/>
  <c r="EL537" i="1"/>
  <c r="EK766" i="1"/>
  <c r="EL766" i="1"/>
  <c r="EK767" i="1"/>
  <c r="EL767" i="1"/>
  <c r="EK764" i="1"/>
  <c r="EL764" i="1"/>
  <c r="EK765" i="1"/>
  <c r="EL765" i="1"/>
  <c r="EK290" i="1"/>
  <c r="EL290" i="1"/>
  <c r="EK291" i="1"/>
  <c r="EL291" i="1"/>
  <c r="EK292" i="1"/>
  <c r="EL292" i="1"/>
  <c r="EK293" i="1"/>
  <c r="EL293" i="1"/>
  <c r="EK399" i="1"/>
  <c r="EL399" i="1"/>
  <c r="EK400" i="1"/>
  <c r="EL400" i="1"/>
  <c r="EK401" i="1"/>
  <c r="EL401" i="1"/>
  <c r="EK402" i="1"/>
  <c r="EL402" i="1"/>
  <c r="EK404" i="1"/>
  <c r="EL404" i="1"/>
  <c r="EK405" i="1"/>
  <c r="EL405" i="1"/>
  <c r="EK403" i="1"/>
  <c r="EL403" i="1"/>
  <c r="EK436" i="1"/>
  <c r="EL436" i="1"/>
  <c r="EK437" i="1"/>
  <c r="EL437" i="1"/>
  <c r="EK438" i="1"/>
  <c r="EL438" i="1"/>
  <c r="EK439" i="1"/>
  <c r="EL439" i="1"/>
  <c r="EK1099" i="1"/>
  <c r="EL1099" i="1"/>
  <c r="EK1094" i="1"/>
  <c r="EL1094" i="1"/>
  <c r="EK1096" i="1"/>
  <c r="EL1096" i="1"/>
  <c r="EK406" i="1"/>
  <c r="EL406" i="1"/>
  <c r="EK440" i="1"/>
  <c r="EL440" i="1"/>
  <c r="EK441" i="1"/>
  <c r="EL441" i="1"/>
  <c r="EK442" i="1"/>
  <c r="EL442" i="1"/>
  <c r="EK443" i="1"/>
  <c r="EL443" i="1"/>
  <c r="EK461" i="1"/>
  <c r="EL461" i="1"/>
  <c r="EK462" i="1"/>
  <c r="EL462" i="1"/>
  <c r="EK463" i="1"/>
  <c r="EL463" i="1"/>
  <c r="EK464" i="1"/>
  <c r="EL464" i="1"/>
  <c r="EK465" i="1"/>
  <c r="EL465" i="1"/>
  <c r="EK485" i="1"/>
  <c r="EL485" i="1"/>
  <c r="EK486" i="1"/>
  <c r="EL486" i="1"/>
  <c r="EK506" i="1"/>
  <c r="EL506" i="1"/>
  <c r="EK507" i="1"/>
  <c r="EL507" i="1"/>
  <c r="EK508" i="1"/>
  <c r="EL508" i="1"/>
  <c r="EK509" i="1"/>
  <c r="EL509" i="1"/>
  <c r="EK721" i="1"/>
  <c r="EL721" i="1"/>
  <c r="EK720" i="1"/>
  <c r="EL720" i="1"/>
  <c r="EK722" i="1"/>
  <c r="EL722" i="1"/>
  <c r="EK728" i="1"/>
  <c r="EL728" i="1"/>
  <c r="EK727" i="1"/>
  <c r="EL727" i="1"/>
  <c r="EK723" i="1"/>
  <c r="EL723" i="1"/>
  <c r="EK724" i="1"/>
  <c r="EL724" i="1"/>
  <c r="EK725" i="1"/>
  <c r="EL725" i="1"/>
  <c r="EK726" i="1"/>
  <c r="EL726" i="1"/>
  <c r="EK833" i="1"/>
  <c r="EL833" i="1"/>
  <c r="EK829" i="1"/>
  <c r="EL829" i="1"/>
  <c r="EK830" i="1"/>
  <c r="EL830" i="1"/>
  <c r="EK831" i="1"/>
  <c r="EL831" i="1"/>
  <c r="EK832" i="1"/>
  <c r="EL832" i="1"/>
  <c r="EK885" i="1"/>
  <c r="EL885" i="1"/>
  <c r="EK963" i="1"/>
  <c r="EL963" i="1"/>
  <c r="EK964" i="1"/>
  <c r="EL964" i="1"/>
  <c r="EK1027" i="1"/>
  <c r="EL1027" i="1"/>
  <c r="EK1028" i="1"/>
  <c r="EL1028" i="1"/>
  <c r="EK1029" i="1"/>
  <c r="EL1029" i="1"/>
  <c r="EK1030" i="1"/>
  <c r="EL1030" i="1"/>
  <c r="EK1031" i="1"/>
  <c r="EL1031" i="1"/>
  <c r="EK1032" i="1"/>
  <c r="EL1032" i="1"/>
  <c r="EK1033" i="1"/>
  <c r="EL1033" i="1"/>
  <c r="EK1034" i="1"/>
  <c r="EL1034" i="1"/>
  <c r="EK1015" i="1"/>
  <c r="EL1015" i="1"/>
  <c r="EK1016" i="1"/>
  <c r="EL1016" i="1"/>
  <c r="EK1017" i="1"/>
  <c r="EL1017" i="1"/>
  <c r="EK1018" i="1"/>
  <c r="EL1018" i="1"/>
  <c r="EK1019" i="1"/>
  <c r="EL1019" i="1"/>
  <c r="EK1020" i="1"/>
  <c r="EL1020" i="1"/>
  <c r="EK1021" i="1"/>
  <c r="EL1021" i="1"/>
  <c r="EK1022" i="1"/>
  <c r="EL1022" i="1"/>
  <c r="EK1023" i="1"/>
  <c r="EL1023" i="1"/>
  <c r="EK1024" i="1"/>
  <c r="EL1024" i="1"/>
  <c r="EK1025" i="1"/>
  <c r="EL1025" i="1"/>
  <c r="EK1026" i="1"/>
  <c r="EL1026" i="1"/>
  <c r="EK1037" i="1"/>
  <c r="EL1037" i="1"/>
  <c r="EK1038" i="1"/>
  <c r="EL1038" i="1"/>
  <c r="EK1039" i="1"/>
  <c r="EL1039" i="1"/>
  <c r="EK1040" i="1"/>
  <c r="EL1040" i="1"/>
  <c r="EK1663" i="1"/>
  <c r="EL1663" i="1"/>
  <c r="EK1664" i="1"/>
  <c r="EL1664" i="1"/>
  <c r="EK296" i="1"/>
  <c r="EL296" i="1"/>
  <c r="EK297" i="1"/>
  <c r="EL297" i="1"/>
  <c r="EK298" i="1"/>
  <c r="EL298" i="1"/>
  <c r="EK301" i="1"/>
  <c r="EL301" i="1"/>
  <c r="EK302" i="1"/>
  <c r="EL302" i="1"/>
  <c r="EK303" i="1"/>
  <c r="EL303" i="1"/>
  <c r="EK306" i="1"/>
  <c r="EL306" i="1"/>
  <c r="EK307" i="1"/>
  <c r="EL307" i="1"/>
  <c r="EK308" i="1"/>
  <c r="EL308" i="1"/>
  <c r="EK309" i="1"/>
  <c r="EL309" i="1"/>
  <c r="EK311" i="1"/>
  <c r="EL311" i="1"/>
  <c r="EK312" i="1"/>
  <c r="EL312" i="1"/>
  <c r="EK313" i="1"/>
  <c r="EL313" i="1"/>
  <c r="EK316" i="1"/>
  <c r="EL316" i="1"/>
  <c r="EK317" i="1"/>
  <c r="EL317" i="1"/>
  <c r="EK318" i="1"/>
  <c r="EL318" i="1"/>
  <c r="EK322" i="1"/>
  <c r="EL322" i="1"/>
  <c r="EK323" i="1"/>
  <c r="EL323" i="1"/>
  <c r="EK324" i="1"/>
  <c r="EL324" i="1"/>
  <c r="EK325" i="1"/>
  <c r="EL325" i="1"/>
  <c r="EK326" i="1"/>
  <c r="EL326" i="1"/>
  <c r="EK327" i="1"/>
  <c r="EL327" i="1"/>
  <c r="EK328" i="1"/>
  <c r="EL328" i="1"/>
  <c r="EK329" i="1"/>
  <c r="EL329" i="1"/>
  <c r="EK330" i="1"/>
  <c r="EL330" i="1"/>
  <c r="EK331" i="1"/>
  <c r="EL331" i="1"/>
  <c r="EK332" i="1"/>
  <c r="EL332" i="1"/>
  <c r="EK333" i="1"/>
  <c r="EL333" i="1"/>
  <c r="EK334" i="1"/>
  <c r="EL334" i="1"/>
  <c r="EK335" i="1"/>
  <c r="EL335" i="1"/>
  <c r="EK336" i="1"/>
  <c r="EL336" i="1"/>
  <c r="EK337" i="1"/>
  <c r="EL337" i="1"/>
  <c r="EK338" i="1"/>
  <c r="EL338" i="1"/>
  <c r="EK339" i="1"/>
  <c r="EL339" i="1"/>
  <c r="EK300" i="1"/>
  <c r="EL300" i="1"/>
  <c r="EK299" i="1"/>
  <c r="EL299" i="1"/>
  <c r="EK305" i="1"/>
  <c r="EL305" i="1"/>
  <c r="EK304" i="1"/>
  <c r="EL304" i="1"/>
  <c r="EK315" i="1"/>
  <c r="EL315" i="1"/>
  <c r="EK314" i="1"/>
  <c r="EL314" i="1"/>
  <c r="EK882" i="1"/>
  <c r="EL882" i="1"/>
  <c r="EK271" i="1"/>
  <c r="EL271" i="1"/>
  <c r="EK642" i="1"/>
  <c r="EL642" i="1"/>
  <c r="EK643" i="1"/>
  <c r="EL643" i="1"/>
  <c r="EK658" i="1"/>
  <c r="EL658" i="1"/>
  <c r="EK659" i="1"/>
  <c r="EL659" i="1"/>
  <c r="EK660" i="1"/>
  <c r="EL660" i="1"/>
  <c r="EK661" i="1"/>
  <c r="EL661" i="1"/>
  <c r="EK939" i="1"/>
  <c r="EL939" i="1"/>
  <c r="EK943" i="1"/>
  <c r="EL943" i="1"/>
  <c r="EK944" i="1"/>
  <c r="EL944" i="1"/>
  <c r="EK940" i="1"/>
  <c r="EL940" i="1"/>
  <c r="EK941" i="1"/>
  <c r="EL941" i="1"/>
  <c r="EK942" i="1"/>
  <c r="EL942" i="1"/>
  <c r="EK1546" i="1"/>
  <c r="EL1546" i="1"/>
  <c r="EK1545" i="1"/>
  <c r="EL1545" i="1"/>
  <c r="EK1542" i="1"/>
  <c r="EL1542" i="1"/>
  <c r="EK1541" i="1"/>
  <c r="EL1541" i="1"/>
  <c r="EK1540" i="1"/>
  <c r="EL1540" i="1"/>
  <c r="EK1564" i="1"/>
  <c r="EL1564" i="1"/>
  <c r="EK1547" i="1"/>
  <c r="EL1547" i="1"/>
  <c r="EK1544" i="1"/>
  <c r="EL1544" i="1"/>
  <c r="EK1563" i="1"/>
  <c r="EL1563" i="1"/>
  <c r="EK1561" i="1"/>
  <c r="EL1561" i="1"/>
  <c r="EK1552" i="1"/>
  <c r="EL1552" i="1"/>
  <c r="EK1558" i="1"/>
  <c r="EL1558" i="1"/>
  <c r="EK1554" i="1"/>
  <c r="EL1554" i="1"/>
  <c r="EK1555" i="1"/>
  <c r="EL1555" i="1"/>
  <c r="EK1548" i="1"/>
  <c r="EL1548" i="1"/>
  <c r="EK1553" i="1"/>
  <c r="EL1553" i="1"/>
  <c r="EK1549" i="1"/>
  <c r="EL1549" i="1"/>
  <c r="EK1538" i="1"/>
  <c r="EL1538" i="1"/>
  <c r="EK1539" i="1"/>
  <c r="EL1539" i="1"/>
  <c r="EK1543" i="1"/>
  <c r="EL1543" i="1"/>
  <c r="EK1565" i="1"/>
  <c r="EL1565" i="1"/>
  <c r="EK1562" i="1"/>
  <c r="EL1562" i="1"/>
  <c r="EK1560" i="1"/>
  <c r="EL1560" i="1"/>
  <c r="EK1551" i="1"/>
  <c r="EL1551" i="1"/>
  <c r="EK1557" i="1"/>
  <c r="EL1557" i="1"/>
  <c r="EK1556" i="1"/>
  <c r="EL1556" i="1"/>
  <c r="EK1559" i="1"/>
  <c r="EL1559" i="1"/>
  <c r="EK1550" i="1"/>
  <c r="EL1550" i="1"/>
  <c r="EK454" i="1"/>
  <c r="EL454" i="1"/>
  <c r="EK455" i="1"/>
  <c r="EL455" i="1"/>
  <c r="EK456" i="1"/>
  <c r="EL456" i="1"/>
  <c r="EK448" i="1"/>
  <c r="EL448" i="1"/>
  <c r="EK449" i="1"/>
  <c r="EL449" i="1"/>
  <c r="EK450" i="1"/>
  <c r="EL450" i="1"/>
  <c r="EK451" i="1"/>
  <c r="EL451" i="1"/>
  <c r="EK452" i="1"/>
  <c r="EL452" i="1"/>
  <c r="EK453" i="1"/>
  <c r="EL453" i="1"/>
  <c r="EK457" i="1"/>
  <c r="EL457" i="1"/>
  <c r="EK1433" i="1"/>
  <c r="EL1433" i="1"/>
  <c r="EK1434" i="1"/>
  <c r="EL1434" i="1"/>
  <c r="EK1435" i="1"/>
  <c r="EL1435" i="1"/>
  <c r="EK1436" i="1"/>
  <c r="EL1436" i="1"/>
  <c r="EK1437" i="1"/>
  <c r="EL1437" i="1"/>
  <c r="EK1438" i="1"/>
  <c r="EL1438" i="1"/>
  <c r="EK1439" i="1"/>
  <c r="EL1439" i="1"/>
  <c r="EK1440" i="1"/>
  <c r="EL1440" i="1"/>
  <c r="EK1441" i="1"/>
  <c r="EL1441" i="1"/>
  <c r="EK997" i="1"/>
  <c r="EL997" i="1"/>
  <c r="EK998" i="1"/>
  <c r="EL998" i="1"/>
  <c r="EK999" i="1"/>
  <c r="EL999" i="1"/>
  <c r="EK1234" i="1"/>
  <c r="EL1234" i="1"/>
  <c r="EK1253" i="1"/>
  <c r="EL1253" i="1"/>
  <c r="EK1255" i="1"/>
  <c r="EL1255" i="1"/>
  <c r="EK1261" i="1"/>
  <c r="EL1261" i="1"/>
  <c r="EK1219" i="1"/>
  <c r="EL1219" i="1"/>
  <c r="EK1238" i="1"/>
  <c r="EL1238" i="1"/>
  <c r="EK1222" i="1"/>
  <c r="EL1222" i="1"/>
  <c r="EK1245" i="1"/>
  <c r="EL1245" i="1"/>
  <c r="EK1263" i="1"/>
  <c r="EL1263" i="1"/>
  <c r="EK1264" i="1"/>
  <c r="EL1264" i="1"/>
  <c r="EK1265" i="1"/>
  <c r="EL1265" i="1"/>
  <c r="EK1266" i="1"/>
  <c r="EL1266" i="1"/>
  <c r="EK1267" i="1"/>
  <c r="EL1267" i="1"/>
  <c r="EK1268" i="1"/>
  <c r="EL1268" i="1"/>
  <c r="EK1269" i="1"/>
  <c r="EL1269" i="1"/>
  <c r="EK1270" i="1"/>
  <c r="EL1270" i="1"/>
  <c r="EK1271" i="1"/>
  <c r="EL1271" i="1"/>
  <c r="EK1272" i="1"/>
  <c r="EL1272" i="1"/>
  <c r="EK1273" i="1"/>
  <c r="EL1273" i="1"/>
  <c r="EK1274" i="1"/>
  <c r="EL1274" i="1"/>
  <c r="EK1275" i="1"/>
  <c r="EL1275" i="1"/>
  <c r="EK1276" i="1"/>
  <c r="EL1276" i="1"/>
  <c r="EK1277" i="1"/>
  <c r="EL1277" i="1"/>
  <c r="EK1278" i="1"/>
  <c r="EL1278" i="1"/>
  <c r="EK1279" i="1"/>
  <c r="EL1279" i="1"/>
  <c r="EK1280" i="1"/>
  <c r="EL1280" i="1"/>
  <c r="EK735" i="1"/>
  <c r="EL735" i="1"/>
  <c r="EK741" i="1"/>
  <c r="EL741" i="1"/>
  <c r="EK913" i="1"/>
  <c r="EL913" i="1"/>
  <c r="EK915" i="1"/>
  <c r="EL915" i="1"/>
  <c r="EK916" i="1"/>
  <c r="EL916" i="1"/>
  <c r="EK917" i="1"/>
  <c r="EL917" i="1"/>
  <c r="EK918" i="1"/>
  <c r="EL918" i="1"/>
  <c r="EK919" i="1"/>
  <c r="EL919" i="1"/>
  <c r="EK920" i="1"/>
  <c r="EL920" i="1"/>
  <c r="EK921" i="1"/>
  <c r="EL921" i="1"/>
  <c r="EK914" i="1"/>
  <c r="EL914" i="1"/>
  <c r="EK1138" i="1"/>
  <c r="EL1138" i="1"/>
  <c r="EK478" i="1"/>
  <c r="EL478" i="1"/>
  <c r="EK475" i="1"/>
  <c r="EL475" i="1"/>
  <c r="EK480" i="1"/>
  <c r="EL480" i="1"/>
  <c r="EK471" i="1"/>
  <c r="EL471" i="1"/>
  <c r="EK472" i="1"/>
  <c r="EL472" i="1"/>
  <c r="EK473" i="1"/>
  <c r="EL473" i="1"/>
  <c r="EK474" i="1"/>
  <c r="EL474" i="1"/>
  <c r="EK476" i="1"/>
  <c r="EL476" i="1"/>
  <c r="EK479" i="1"/>
  <c r="EL479" i="1"/>
  <c r="EK737" i="1"/>
  <c r="EL737" i="1"/>
  <c r="EK739" i="1"/>
  <c r="EL739" i="1"/>
  <c r="EK945" i="1"/>
  <c r="EL945" i="1"/>
  <c r="EK706" i="1"/>
  <c r="EL706" i="1"/>
  <c r="EK877" i="1"/>
  <c r="EL877" i="1"/>
  <c r="EK1215" i="1"/>
  <c r="EL1215" i="1"/>
  <c r="EK1217" i="1"/>
  <c r="EL1217" i="1"/>
  <c r="EK1225" i="1"/>
  <c r="EL1225" i="1"/>
  <c r="EK1226" i="1"/>
  <c r="EL1226" i="1"/>
  <c r="EK1242" i="1"/>
  <c r="EL1242" i="1"/>
  <c r="EK1247" i="1"/>
  <c r="EL1247" i="1"/>
  <c r="EK1254" i="1"/>
  <c r="EL1254" i="1"/>
  <c r="EK1258" i="1"/>
  <c r="EL1258" i="1"/>
  <c r="EK1229" i="1"/>
  <c r="EL1229" i="1"/>
  <c r="EK1232" i="1"/>
  <c r="EL1232" i="1"/>
  <c r="EK1243" i="1"/>
  <c r="EL1243" i="1"/>
  <c r="EK1249" i="1"/>
  <c r="EL1249" i="1"/>
  <c r="EK1231" i="1"/>
  <c r="EL1231" i="1"/>
  <c r="EK1233" i="1"/>
  <c r="EL1233" i="1"/>
  <c r="EK1248" i="1"/>
  <c r="EL1248" i="1"/>
  <c r="EK1251" i="1"/>
  <c r="EL1251" i="1"/>
  <c r="EK1308" i="1"/>
  <c r="EL1308" i="1"/>
  <c r="EK1307" i="1"/>
  <c r="EL1307" i="1"/>
  <c r="EK1306" i="1"/>
  <c r="EL1306" i="1"/>
  <c r="EK1305" i="1"/>
  <c r="EL1305" i="1"/>
  <c r="EK1304" i="1"/>
  <c r="EL1304" i="1"/>
  <c r="EK1300" i="1"/>
  <c r="EL1300" i="1"/>
  <c r="EK1218" i="1"/>
  <c r="EL1218" i="1"/>
  <c r="EK1220" i="1"/>
  <c r="EL1220" i="1"/>
  <c r="EK1236" i="1"/>
  <c r="EL1236" i="1"/>
  <c r="EK1240" i="1"/>
  <c r="EL1240" i="1"/>
  <c r="EK1237" i="1"/>
  <c r="EL1237" i="1"/>
  <c r="EK1244" i="1"/>
  <c r="EL1244" i="1"/>
  <c r="EK1235" i="1"/>
  <c r="EL1235" i="1"/>
  <c r="EK1239" i="1"/>
  <c r="EL1239" i="1"/>
  <c r="EK968" i="1"/>
  <c r="EL968" i="1"/>
  <c r="EK969" i="1"/>
  <c r="EL969" i="1"/>
  <c r="EK1131" i="1"/>
  <c r="EL1131" i="1"/>
  <c r="EK1132" i="1"/>
  <c r="EL1132" i="1"/>
  <c r="EK1129" i="1"/>
  <c r="EL1129" i="1"/>
  <c r="EK1130" i="1"/>
  <c r="EL1130" i="1"/>
  <c r="EK1133" i="1"/>
  <c r="EL1133" i="1"/>
  <c r="EK1134" i="1"/>
  <c r="EL1134" i="1"/>
  <c r="EK1135" i="1"/>
  <c r="EL1135" i="1"/>
  <c r="EK1137" i="1"/>
  <c r="EL1137" i="1"/>
  <c r="EK1136" i="1"/>
  <c r="EL1136" i="1"/>
  <c r="EK1139" i="1"/>
  <c r="EL1139" i="1"/>
  <c r="EK1140" i="1"/>
  <c r="EL1140" i="1"/>
  <c r="EK1141" i="1"/>
  <c r="EL1141" i="1"/>
  <c r="EK687" i="1"/>
  <c r="EL687" i="1"/>
  <c r="EK386" i="1"/>
  <c r="EL386" i="1"/>
  <c r="EK387" i="1"/>
  <c r="EL387" i="1"/>
  <c r="EK388" i="1"/>
  <c r="EL388" i="1"/>
  <c r="EK383" i="1"/>
  <c r="EL383" i="1"/>
  <c r="EK384" i="1"/>
  <c r="EL384" i="1"/>
  <c r="EK385" i="1"/>
  <c r="EL385" i="1"/>
  <c r="EK1216" i="1"/>
  <c r="EL1216" i="1"/>
  <c r="EK1221" i="1"/>
  <c r="EL1221" i="1"/>
  <c r="EK1223" i="1"/>
  <c r="EL1223" i="1"/>
  <c r="EK1224" i="1"/>
  <c r="EL1224" i="1"/>
  <c r="EK1241" i="1"/>
  <c r="EL1241" i="1"/>
  <c r="EK1259" i="1"/>
  <c r="EL1259" i="1"/>
  <c r="EK1260" i="1"/>
  <c r="EL1260" i="1"/>
  <c r="EK1262" i="1"/>
  <c r="EL1262" i="1"/>
  <c r="EK1227" i="1"/>
  <c r="EL1227" i="1"/>
  <c r="EK1230" i="1"/>
  <c r="EL1230" i="1"/>
  <c r="EK1250" i="1"/>
  <c r="EL1250" i="1"/>
  <c r="EK1252" i="1"/>
  <c r="EL1252" i="1"/>
  <c r="EK1228" i="1"/>
  <c r="EL1228" i="1"/>
  <c r="EK1246" i="1"/>
  <c r="EL1246" i="1"/>
  <c r="EK1256" i="1"/>
  <c r="EL1256" i="1"/>
  <c r="EK1257" i="1"/>
  <c r="EL1257" i="1"/>
  <c r="EK1311" i="1"/>
  <c r="EL1311" i="1"/>
  <c r="EK1310" i="1"/>
  <c r="EL1310" i="1"/>
  <c r="EK1309" i="1"/>
  <c r="EL1309" i="1"/>
  <c r="EK1303" i="1"/>
  <c r="EL1303" i="1"/>
  <c r="EK1299" i="1"/>
  <c r="EL1299" i="1"/>
  <c r="EK1301" i="1"/>
  <c r="EL1301" i="1"/>
  <c r="EK1302" i="1"/>
  <c r="EL1302" i="1"/>
  <c r="EK343" i="1"/>
  <c r="EL343" i="1"/>
  <c r="EK344" i="1"/>
  <c r="EL344" i="1"/>
  <c r="EK347" i="1"/>
  <c r="EL347" i="1"/>
  <c r="EK348" i="1"/>
  <c r="EL348" i="1"/>
  <c r="EK1281" i="1"/>
  <c r="EL1281" i="1"/>
  <c r="EK1282" i="1"/>
  <c r="EL1282" i="1"/>
  <c r="EK1283" i="1"/>
  <c r="EL1283" i="1"/>
  <c r="EK1284" i="1"/>
  <c r="EL1284" i="1"/>
  <c r="EK1285" i="1"/>
  <c r="EL1285" i="1"/>
  <c r="EK1286" i="1"/>
  <c r="EL1286" i="1"/>
  <c r="EK1287" i="1"/>
  <c r="EL1287" i="1"/>
  <c r="EK1288" i="1"/>
  <c r="EL1288" i="1"/>
  <c r="EK1289" i="1"/>
  <c r="EL1289" i="1"/>
  <c r="EK1290" i="1"/>
  <c r="EL1290" i="1"/>
  <c r="EK1291" i="1"/>
  <c r="EL1291" i="1"/>
  <c r="EK1292" i="1"/>
  <c r="EL1292" i="1"/>
  <c r="EK1293" i="1"/>
  <c r="EL1293" i="1"/>
  <c r="EK1294" i="1"/>
  <c r="EL1294" i="1"/>
  <c r="EK1295" i="1"/>
  <c r="EL1295" i="1"/>
  <c r="EK1296" i="1"/>
  <c r="EL1296" i="1"/>
  <c r="EK1297" i="1"/>
  <c r="EL1297" i="1"/>
  <c r="EK1298" i="1"/>
  <c r="EL1298" i="1"/>
  <c r="EK357" i="1"/>
  <c r="EL357" i="1"/>
  <c r="EK458" i="1"/>
  <c r="EL458" i="1"/>
  <c r="EK341" i="1"/>
  <c r="EL341" i="1"/>
  <c r="EK342" i="1"/>
  <c r="EL342" i="1"/>
  <c r="EK345" i="1"/>
  <c r="EL345" i="1"/>
  <c r="EK346" i="1"/>
  <c r="EL346" i="1"/>
  <c r="EK1100" i="1"/>
  <c r="EL1100" i="1"/>
  <c r="EK349" i="1"/>
  <c r="EL349" i="1"/>
  <c r="EK350" i="1"/>
  <c r="EL350" i="1"/>
  <c r="EK352" i="1"/>
  <c r="EL352" i="1"/>
  <c r="EK353" i="1"/>
  <c r="EL353" i="1"/>
  <c r="EK351" i="1"/>
  <c r="EL351" i="1"/>
  <c r="EK354" i="1"/>
  <c r="EL354" i="1"/>
  <c r="EK355" i="1"/>
  <c r="EL355" i="1"/>
  <c r="EK356" i="1"/>
  <c r="EL356" i="1"/>
  <c r="EK391" i="1"/>
  <c r="EL391" i="1"/>
  <c r="EK392" i="1"/>
  <c r="EL392" i="1"/>
  <c r="EK393" i="1"/>
  <c r="EL393" i="1"/>
  <c r="EK394" i="1"/>
  <c r="EL394" i="1"/>
  <c r="EK390" i="1"/>
  <c r="EL390" i="1"/>
  <c r="EK947" i="1"/>
  <c r="EL947" i="1"/>
  <c r="EK1355" i="1"/>
  <c r="EL1355" i="1"/>
  <c r="EK1356" i="1"/>
  <c r="EL1356" i="1"/>
  <c r="EK1357" i="1"/>
  <c r="EL1357" i="1"/>
  <c r="EK1351" i="1"/>
  <c r="EL1351" i="1"/>
  <c r="EK1352" i="1"/>
  <c r="EL1352" i="1"/>
  <c r="EK1354" i="1"/>
  <c r="EL1354" i="1"/>
  <c r="EK395" i="1"/>
  <c r="EL395" i="1"/>
  <c r="EK396" i="1"/>
  <c r="EL396" i="1"/>
  <c r="EK397" i="1"/>
  <c r="EL397" i="1"/>
  <c r="EK398" i="1"/>
  <c r="EL398" i="1"/>
  <c r="EK389" i="1"/>
  <c r="EL389" i="1"/>
  <c r="EK546" i="1"/>
  <c r="EL546" i="1"/>
  <c r="EK547" i="1"/>
  <c r="EL547" i="1"/>
  <c r="EK548" i="1"/>
  <c r="EL548" i="1"/>
  <c r="EK549" i="1"/>
  <c r="EL549" i="1"/>
  <c r="EK552" i="1"/>
  <c r="EL552" i="1"/>
  <c r="EK553" i="1"/>
  <c r="EL553" i="1"/>
  <c r="EK554" i="1"/>
  <c r="EL554" i="1"/>
  <c r="EK555" i="1"/>
  <c r="EL555" i="1"/>
  <c r="EK556" i="1"/>
  <c r="EL556" i="1"/>
  <c r="EK557" i="1"/>
  <c r="EL557" i="1"/>
  <c r="EK576" i="1"/>
  <c r="EL576" i="1"/>
  <c r="EK583" i="1"/>
  <c r="EL583" i="1"/>
  <c r="EK584" i="1"/>
  <c r="EL584" i="1"/>
  <c r="EK585" i="1"/>
  <c r="EL585" i="1"/>
  <c r="EK588" i="1"/>
  <c r="EL588" i="1"/>
  <c r="EK550" i="1"/>
  <c r="EL550" i="1"/>
  <c r="EK551" i="1"/>
  <c r="EL551" i="1"/>
  <c r="EK558" i="1"/>
  <c r="EL558" i="1"/>
  <c r="EK559" i="1"/>
  <c r="EL559" i="1"/>
  <c r="EK560" i="1"/>
  <c r="EL560" i="1"/>
  <c r="EK561" i="1"/>
  <c r="EL561" i="1"/>
  <c r="EK562" i="1"/>
  <c r="EL562" i="1"/>
  <c r="EK563" i="1"/>
  <c r="EL563" i="1"/>
  <c r="EK564" i="1"/>
  <c r="EL564" i="1"/>
  <c r="EK565" i="1"/>
  <c r="EL565" i="1"/>
  <c r="EK566" i="1"/>
  <c r="EL566" i="1"/>
  <c r="EK567" i="1"/>
  <c r="EL567" i="1"/>
  <c r="EK568" i="1"/>
  <c r="EL568" i="1"/>
  <c r="EK569" i="1"/>
  <c r="EL569" i="1"/>
  <c r="EK570" i="1"/>
  <c r="EL570" i="1"/>
  <c r="EK571" i="1"/>
  <c r="EL571" i="1"/>
  <c r="EK572" i="1"/>
  <c r="EL572" i="1"/>
  <c r="EK573" i="1"/>
  <c r="EL573" i="1"/>
  <c r="EK574" i="1"/>
  <c r="EL574" i="1"/>
  <c r="EK575" i="1"/>
  <c r="EL575" i="1"/>
  <c r="EK577" i="1"/>
  <c r="EL577" i="1"/>
  <c r="EK578" i="1"/>
  <c r="EL578" i="1"/>
  <c r="EK579" i="1"/>
  <c r="EL579" i="1"/>
  <c r="EK580" i="1"/>
  <c r="EL580" i="1"/>
  <c r="EK581" i="1"/>
  <c r="EL581" i="1"/>
  <c r="EK582" i="1"/>
  <c r="EL582" i="1"/>
  <c r="EK586" i="1"/>
  <c r="EL586" i="1"/>
  <c r="EK587" i="1"/>
  <c r="EL587" i="1"/>
  <c r="EK589" i="1"/>
  <c r="EL589" i="1"/>
  <c r="EK590" i="1"/>
  <c r="EL590" i="1"/>
  <c r="EK591" i="1"/>
  <c r="EL591" i="1"/>
  <c r="EK592" i="1"/>
  <c r="EL592" i="1"/>
  <c r="EK593" i="1"/>
  <c r="EL593" i="1"/>
  <c r="EK594" i="1"/>
  <c r="EL594" i="1"/>
  <c r="EK595" i="1"/>
  <c r="EL595" i="1"/>
  <c r="EK596" i="1"/>
  <c r="EL596" i="1"/>
  <c r="EK638" i="1"/>
  <c r="EL638" i="1"/>
  <c r="EK664" i="1"/>
  <c r="EL664" i="1"/>
  <c r="EK665" i="1"/>
  <c r="EL665" i="1"/>
  <c r="EK666" i="1"/>
  <c r="EL666" i="1"/>
  <c r="EK667" i="1"/>
  <c r="EL667" i="1"/>
  <c r="EK668" i="1"/>
  <c r="EL668" i="1"/>
  <c r="EK669" i="1"/>
  <c r="EL669" i="1"/>
  <c r="EK670" i="1"/>
  <c r="EL670" i="1"/>
  <c r="EK671" i="1"/>
  <c r="EL671" i="1"/>
  <c r="EK672" i="1"/>
  <c r="EL672" i="1"/>
  <c r="EK673" i="1"/>
  <c r="EL673" i="1"/>
  <c r="EK674" i="1"/>
  <c r="EL674" i="1"/>
  <c r="EK675" i="1"/>
  <c r="EL675" i="1"/>
  <c r="EK676" i="1"/>
  <c r="EL676" i="1"/>
  <c r="EK677" i="1"/>
  <c r="EL677" i="1"/>
  <c r="EK678" i="1"/>
  <c r="EL678" i="1"/>
  <c r="EK679" i="1"/>
  <c r="EL679" i="1"/>
  <c r="EK731" i="1"/>
  <c r="EL731" i="1"/>
  <c r="EK732" i="1"/>
  <c r="EL732" i="1"/>
  <c r="EK734" i="1"/>
  <c r="EL734" i="1"/>
  <c r="EK736" i="1"/>
  <c r="EL736" i="1"/>
  <c r="EK740" i="1"/>
  <c r="EL740" i="1"/>
  <c r="EK743" i="1"/>
  <c r="EL743" i="1"/>
  <c r="EK771" i="1"/>
  <c r="EL771" i="1"/>
  <c r="EK772" i="1"/>
  <c r="EL772" i="1"/>
  <c r="EK773" i="1"/>
  <c r="EL773" i="1"/>
  <c r="EK774" i="1"/>
  <c r="EL774" i="1"/>
  <c r="EK775" i="1"/>
  <c r="EL775" i="1"/>
  <c r="EK776" i="1"/>
  <c r="EL776" i="1"/>
  <c r="EK1349" i="1"/>
  <c r="EL1349" i="1"/>
  <c r="EK1350" i="1"/>
  <c r="EL1350" i="1"/>
  <c r="EK1353" i="1"/>
  <c r="EL1353" i="1"/>
  <c r="EK1511" i="1"/>
  <c r="EL1511" i="1"/>
  <c r="EK1512" i="1"/>
  <c r="EL1512" i="1"/>
  <c r="EK729" i="1"/>
  <c r="EL729" i="1"/>
  <c r="EK730" i="1"/>
  <c r="EL730" i="1"/>
  <c r="EK733" i="1"/>
  <c r="EL733" i="1"/>
  <c r="EK738" i="1"/>
  <c r="EL738" i="1"/>
  <c r="EK742" i="1"/>
  <c r="EL742" i="1"/>
  <c r="EK1009" i="1"/>
  <c r="EL1009" i="1"/>
  <c r="EK1010" i="1"/>
  <c r="EL1010" i="1"/>
  <c r="EK1011" i="1"/>
  <c r="EL1011" i="1"/>
  <c r="EK1012" i="1"/>
  <c r="EL1012" i="1"/>
  <c r="EK702" i="1"/>
  <c r="EL702" i="1"/>
  <c r="EK707" i="1"/>
  <c r="EL707" i="1"/>
  <c r="EK708" i="1"/>
  <c r="EL708" i="1"/>
  <c r="EK1062" i="1"/>
  <c r="EL1062" i="1"/>
  <c r="EK543" i="1"/>
  <c r="EL543" i="1"/>
  <c r="EK544" i="1"/>
  <c r="EL544" i="1"/>
  <c r="EK545" i="1"/>
  <c r="EL545" i="1"/>
  <c r="EK600" i="1"/>
  <c r="EL600" i="1"/>
  <c r="EK599" i="1"/>
  <c r="EL599" i="1"/>
  <c r="EK597" i="1"/>
  <c r="EL597" i="1"/>
  <c r="EK598" i="1"/>
  <c r="EL598" i="1"/>
  <c r="EK704" i="1"/>
  <c r="EL704" i="1"/>
  <c r="EK709" i="1"/>
  <c r="EL709" i="1"/>
  <c r="EK1345" i="1"/>
  <c r="EL1345" i="1"/>
  <c r="BN1538" i="1"/>
  <c r="BO1538" i="1" s="1"/>
  <c r="BN1539" i="1"/>
  <c r="BO1539" i="1" s="1"/>
  <c r="BN1552" i="1"/>
  <c r="BO1552" i="1" s="1"/>
  <c r="BN1558" i="1"/>
  <c r="BO1558" i="1" s="1"/>
  <c r="BN1554" i="1"/>
  <c r="BO1554" i="1" s="1"/>
  <c r="BN1555" i="1"/>
  <c r="BO1555" i="1" s="1"/>
  <c r="BN1548" i="1"/>
  <c r="BO1548" i="1" s="1"/>
  <c r="BN1553" i="1"/>
  <c r="BO1553" i="1" s="1"/>
  <c r="BN1549" i="1"/>
  <c r="BO1549" i="1" s="1"/>
  <c r="BN1543" i="1"/>
  <c r="BO1543" i="1" s="1"/>
  <c r="BN1565" i="1"/>
  <c r="BO1565" i="1" s="1"/>
  <c r="BN1562" i="1"/>
  <c r="BO1562" i="1" s="1"/>
  <c r="BN1560" i="1"/>
  <c r="BO1560" i="1" s="1"/>
  <c r="BN1551" i="1"/>
  <c r="BO1551" i="1" s="1"/>
  <c r="BN1557" i="1"/>
  <c r="BO1557" i="1" s="1"/>
  <c r="BN1556" i="1"/>
  <c r="BO1556" i="1" s="1"/>
  <c r="BN1559" i="1"/>
  <c r="BO1559" i="1" s="1"/>
  <c r="BN1550" i="1"/>
  <c r="BO1550" i="1" s="1"/>
  <c r="EM1563" i="1"/>
  <c r="DU1563" i="1"/>
  <c r="DT1563" i="1"/>
  <c r="DN1563" i="1"/>
  <c r="DM1563" i="1"/>
  <c r="DL1563" i="1"/>
  <c r="DK1563" i="1"/>
  <c r="DI1563" i="1"/>
  <c r="DJ1563" i="1" s="1"/>
  <c r="DB1563" i="1"/>
  <c r="DC1563" i="1" s="1"/>
  <c r="CX1563" i="1"/>
  <c r="CN1563" i="1"/>
  <c r="BV1563" i="1"/>
  <c r="BX1563" i="1" s="1"/>
  <c r="BN1563" i="1"/>
  <c r="BO1563" i="1" s="1"/>
  <c r="BM1563" i="1"/>
  <c r="BD1563" i="1"/>
  <c r="BC1563" i="1"/>
  <c r="BB1563" i="1"/>
  <c r="BA1563" i="1"/>
  <c r="AZ1563" i="1"/>
  <c r="AY1563" i="1"/>
  <c r="AX1563" i="1"/>
  <c r="M1563" i="1"/>
  <c r="EM1544" i="1"/>
  <c r="DU1544" i="1"/>
  <c r="DT1544" i="1"/>
  <c r="DN1544" i="1"/>
  <c r="DM1544" i="1"/>
  <c r="DL1544" i="1"/>
  <c r="DK1544" i="1"/>
  <c r="DI1544" i="1"/>
  <c r="DJ1544" i="1" s="1"/>
  <c r="DB1544" i="1"/>
  <c r="DC1544" i="1" s="1"/>
  <c r="CX1544" i="1"/>
  <c r="CN1544" i="1"/>
  <c r="CO1544" i="1" s="1"/>
  <c r="BV1544" i="1"/>
  <c r="BX1544" i="1" s="1"/>
  <c r="BN1544" i="1"/>
  <c r="BO1544" i="1" s="1"/>
  <c r="BM1544" i="1"/>
  <c r="BD1544" i="1"/>
  <c r="BC1544" i="1"/>
  <c r="BB1544" i="1"/>
  <c r="BA1544" i="1"/>
  <c r="AZ1544" i="1"/>
  <c r="BF1544" i="1" s="1" a="1"/>
  <c r="BF1544" i="1" s="1"/>
  <c r="AY1544" i="1"/>
  <c r="BE1544" i="1" s="1" a="1"/>
  <c r="BE1544" i="1" s="1"/>
  <c r="M1544" i="1"/>
  <c r="EM1547" i="1"/>
  <c r="DU1547" i="1"/>
  <c r="DT1547" i="1"/>
  <c r="DN1547" i="1"/>
  <c r="DM1547" i="1"/>
  <c r="DL1547" i="1"/>
  <c r="DK1547" i="1"/>
  <c r="DI1547" i="1"/>
  <c r="DJ1547" i="1" s="1"/>
  <c r="DB1547" i="1"/>
  <c r="DC1547" i="1" s="1"/>
  <c r="CX1547" i="1"/>
  <c r="CN1547" i="1"/>
  <c r="CP1547" i="1" s="1"/>
  <c r="BV1547" i="1"/>
  <c r="BX1547" i="1" s="1"/>
  <c r="BN1547" i="1"/>
  <c r="BO1547" i="1" s="1"/>
  <c r="BM1547" i="1"/>
  <c r="BD1547" i="1"/>
  <c r="BC1547" i="1"/>
  <c r="BB1547" i="1"/>
  <c r="BA1547" i="1"/>
  <c r="AZ1547" i="1"/>
  <c r="AY1547" i="1"/>
  <c r="BE1547" i="1" s="1" a="1"/>
  <c r="BE1547" i="1" s="1"/>
  <c r="AX1547" i="1"/>
  <c r="M1547" i="1"/>
  <c r="EM1564" i="1"/>
  <c r="DU1564" i="1"/>
  <c r="DT1564" i="1"/>
  <c r="DN1564" i="1"/>
  <c r="DM1564" i="1"/>
  <c r="DL1564" i="1"/>
  <c r="DK1564" i="1"/>
  <c r="DI1564" i="1"/>
  <c r="DJ1564" i="1" s="1"/>
  <c r="DB1564" i="1"/>
  <c r="DC1564" i="1" s="1"/>
  <c r="CX1564" i="1"/>
  <c r="CN1564" i="1"/>
  <c r="CR1564" i="1" s="1"/>
  <c r="BV1564" i="1"/>
  <c r="BX1564" i="1" s="1"/>
  <c r="BN1564" i="1"/>
  <c r="BO1564" i="1" s="1"/>
  <c r="BM1564" i="1"/>
  <c r="BD1564" i="1"/>
  <c r="BC1564" i="1"/>
  <c r="BB1564" i="1"/>
  <c r="BA1564" i="1"/>
  <c r="AZ1564" i="1"/>
  <c r="AY1564" i="1"/>
  <c r="BE1564" i="1" s="1" a="1"/>
  <c r="BE1564" i="1" s="1"/>
  <c r="AX1564" i="1"/>
  <c r="M1564" i="1"/>
  <c r="BV939" i="1"/>
  <c r="BV943" i="1"/>
  <c r="BV944" i="1"/>
  <c r="BV940" i="1"/>
  <c r="BV941" i="1"/>
  <c r="BV942" i="1"/>
  <c r="BF1563" i="1" l="1" a="1"/>
  <c r="BF1563" i="1" s="1"/>
  <c r="BE1563" i="1" s="1" a="1"/>
  <c r="BE1563" i="1" s="1"/>
  <c r="BF1547" i="1" a="1"/>
  <c r="BF1547" i="1" s="1"/>
  <c r="BF1564" i="1" a="1"/>
  <c r="BF1564" i="1" s="1"/>
  <c r="CS1547" i="1"/>
  <c r="BY1564" i="1"/>
  <c r="EP1564" i="1" s="1"/>
  <c r="BY1544" i="1"/>
  <c r="EP1544" i="1" s="1"/>
  <c r="BY1563" i="1"/>
  <c r="EP1563" i="1" s="1"/>
  <c r="CQ1547" i="1"/>
  <c r="CR1547" i="1"/>
  <c r="CP1544" i="1"/>
  <c r="CQ1544" i="1"/>
  <c r="CS1564" i="1"/>
  <c r="CV1564" i="1" s="1"/>
  <c r="CT1563" i="1"/>
  <c r="CR1544" i="1"/>
  <c r="CS1544" i="1"/>
  <c r="CT1564" i="1"/>
  <c r="CT1547" i="1"/>
  <c r="BY1547" i="1"/>
  <c r="EP1547" i="1" s="1"/>
  <c r="CO1563" i="1"/>
  <c r="CO1564" i="1"/>
  <c r="CT1544" i="1"/>
  <c r="CP1563" i="1"/>
  <c r="CQ1563" i="1"/>
  <c r="CQ1564" i="1"/>
  <c r="CR1563" i="1"/>
  <c r="CP1564" i="1"/>
  <c r="CO1547" i="1"/>
  <c r="CS1563" i="1"/>
  <c r="CV1547" i="1" l="1"/>
  <c r="CU1547" i="1"/>
  <c r="CU1544" i="1"/>
  <c r="CV1544" i="1"/>
  <c r="CU1564" i="1"/>
  <c r="CU1563" i="1"/>
  <c r="CV1563" i="1"/>
  <c r="BL939" i="1" l="1"/>
  <c r="DC1093" i="1" l="1"/>
  <c r="DC1092" i="1"/>
  <c r="EM1550" i="1" l="1"/>
  <c r="DU1550" i="1"/>
  <c r="DT1550" i="1"/>
  <c r="DN1550" i="1"/>
  <c r="DM1550" i="1"/>
  <c r="DL1550" i="1"/>
  <c r="DK1550" i="1"/>
  <c r="DI1550" i="1"/>
  <c r="DJ1550" i="1" s="1"/>
  <c r="DB1550" i="1"/>
  <c r="DC1550" i="1" s="1"/>
  <c r="CX1550" i="1"/>
  <c r="CN1550" i="1"/>
  <c r="BV1550" i="1"/>
  <c r="BX1550" i="1" s="1"/>
  <c r="BM1550" i="1"/>
  <c r="BD1550" i="1"/>
  <c r="BC1550" i="1"/>
  <c r="BB1550" i="1"/>
  <c r="BA1550" i="1"/>
  <c r="AZ1550" i="1"/>
  <c r="AY1550" i="1"/>
  <c r="AX1550" i="1"/>
  <c r="M1550" i="1"/>
  <c r="EM1559" i="1"/>
  <c r="DU1559" i="1"/>
  <c r="DT1559" i="1"/>
  <c r="DN1559" i="1"/>
  <c r="DM1559" i="1"/>
  <c r="DL1559" i="1"/>
  <c r="DK1559" i="1"/>
  <c r="DI1559" i="1"/>
  <c r="DJ1559" i="1" s="1"/>
  <c r="DB1559" i="1"/>
  <c r="DC1559" i="1" s="1"/>
  <c r="CX1559" i="1"/>
  <c r="CN1559" i="1"/>
  <c r="CO1559" i="1" s="1"/>
  <c r="BV1559" i="1"/>
  <c r="BX1559" i="1" s="1"/>
  <c r="BM1559" i="1"/>
  <c r="BD1559" i="1"/>
  <c r="BC1559" i="1"/>
  <c r="BB1559" i="1"/>
  <c r="BA1559" i="1"/>
  <c r="AZ1559" i="1"/>
  <c r="AY1559" i="1"/>
  <c r="AX1559" i="1"/>
  <c r="M1559" i="1"/>
  <c r="EM1556" i="1"/>
  <c r="DU1556" i="1"/>
  <c r="DT1556" i="1"/>
  <c r="DN1556" i="1"/>
  <c r="DM1556" i="1"/>
  <c r="DL1556" i="1"/>
  <c r="DK1556" i="1"/>
  <c r="DI1556" i="1"/>
  <c r="DJ1556" i="1" s="1"/>
  <c r="DB1556" i="1"/>
  <c r="DC1556" i="1" s="1"/>
  <c r="CX1556" i="1"/>
  <c r="CN1556" i="1"/>
  <c r="CR1556" i="1" s="1"/>
  <c r="BV1556" i="1"/>
  <c r="BX1556" i="1" s="1"/>
  <c r="BM1556" i="1"/>
  <c r="BD1556" i="1"/>
  <c r="BC1556" i="1"/>
  <c r="BB1556" i="1"/>
  <c r="BA1556" i="1"/>
  <c r="AZ1556" i="1"/>
  <c r="AY1556" i="1"/>
  <c r="AX1556" i="1"/>
  <c r="M1556" i="1"/>
  <c r="EM1557" i="1"/>
  <c r="DU1557" i="1"/>
  <c r="DT1557" i="1"/>
  <c r="DN1557" i="1"/>
  <c r="DM1557" i="1"/>
  <c r="DL1557" i="1"/>
  <c r="DK1557" i="1"/>
  <c r="DI1557" i="1"/>
  <c r="DJ1557" i="1" s="1"/>
  <c r="DB1557" i="1"/>
  <c r="DC1557" i="1" s="1"/>
  <c r="CX1557" i="1"/>
  <c r="CN1557" i="1"/>
  <c r="CS1557" i="1" s="1"/>
  <c r="BV1557" i="1"/>
  <c r="BX1557" i="1" s="1"/>
  <c r="BM1557" i="1"/>
  <c r="BD1557" i="1"/>
  <c r="BC1557" i="1"/>
  <c r="BB1557" i="1"/>
  <c r="BA1557" i="1"/>
  <c r="AZ1557" i="1"/>
  <c r="AY1557" i="1"/>
  <c r="AX1557" i="1"/>
  <c r="M1557" i="1"/>
  <c r="EM1551" i="1"/>
  <c r="DU1551" i="1"/>
  <c r="DT1551" i="1"/>
  <c r="DN1551" i="1"/>
  <c r="DM1551" i="1"/>
  <c r="DL1551" i="1"/>
  <c r="DK1551" i="1"/>
  <c r="DI1551" i="1"/>
  <c r="DJ1551" i="1" s="1"/>
  <c r="DB1551" i="1"/>
  <c r="DC1551" i="1" s="1"/>
  <c r="CX1551" i="1"/>
  <c r="CN1551" i="1"/>
  <c r="BV1551" i="1"/>
  <c r="BX1551" i="1" s="1"/>
  <c r="BM1551" i="1"/>
  <c r="BD1551" i="1"/>
  <c r="BC1551" i="1"/>
  <c r="BB1551" i="1"/>
  <c r="BA1551" i="1"/>
  <c r="AZ1551" i="1"/>
  <c r="AY1551" i="1"/>
  <c r="AX1551" i="1"/>
  <c r="M1551" i="1"/>
  <c r="EM1560" i="1"/>
  <c r="DU1560" i="1"/>
  <c r="DT1560" i="1"/>
  <c r="DN1560" i="1"/>
  <c r="DM1560" i="1"/>
  <c r="DL1560" i="1"/>
  <c r="DK1560" i="1"/>
  <c r="DI1560" i="1"/>
  <c r="DJ1560" i="1" s="1"/>
  <c r="DB1560" i="1"/>
  <c r="DC1560" i="1" s="1"/>
  <c r="CX1560" i="1"/>
  <c r="CN1560" i="1"/>
  <c r="CO1560" i="1" s="1"/>
  <c r="BV1560" i="1"/>
  <c r="BX1560" i="1" s="1"/>
  <c r="BM1560" i="1"/>
  <c r="BD1560" i="1"/>
  <c r="BC1560" i="1"/>
  <c r="BB1560" i="1"/>
  <c r="BA1560" i="1"/>
  <c r="AZ1560" i="1"/>
  <c r="AY1560" i="1"/>
  <c r="AX1560" i="1"/>
  <c r="M1560" i="1"/>
  <c r="EM1562" i="1"/>
  <c r="DU1562" i="1"/>
  <c r="DT1562" i="1"/>
  <c r="DN1562" i="1"/>
  <c r="DM1562" i="1"/>
  <c r="DL1562" i="1"/>
  <c r="DK1562" i="1"/>
  <c r="DI1562" i="1"/>
  <c r="DJ1562" i="1" s="1"/>
  <c r="DB1562" i="1"/>
  <c r="DC1562" i="1" s="1"/>
  <c r="CX1562" i="1"/>
  <c r="CN1562" i="1"/>
  <c r="CR1562" i="1" s="1"/>
  <c r="BV1562" i="1"/>
  <c r="BX1562" i="1" s="1"/>
  <c r="BM1562" i="1"/>
  <c r="BD1562" i="1"/>
  <c r="BC1562" i="1"/>
  <c r="BB1562" i="1"/>
  <c r="BA1562" i="1"/>
  <c r="AZ1562" i="1"/>
  <c r="AY1562" i="1"/>
  <c r="AX1562" i="1"/>
  <c r="M1562" i="1"/>
  <c r="EM1565" i="1"/>
  <c r="DU1565" i="1"/>
  <c r="DT1565" i="1"/>
  <c r="DN1565" i="1"/>
  <c r="DM1565" i="1"/>
  <c r="DL1565" i="1"/>
  <c r="DK1565" i="1"/>
  <c r="DI1565" i="1"/>
  <c r="DJ1565" i="1" s="1"/>
  <c r="DB1565" i="1"/>
  <c r="DC1565" i="1" s="1"/>
  <c r="CX1565" i="1"/>
  <c r="CN1565" i="1"/>
  <c r="CS1565" i="1" s="1"/>
  <c r="BV1565" i="1"/>
  <c r="BX1565" i="1" s="1"/>
  <c r="BM1565" i="1"/>
  <c r="BD1565" i="1"/>
  <c r="BC1565" i="1"/>
  <c r="BB1565" i="1"/>
  <c r="BA1565" i="1"/>
  <c r="AZ1565" i="1"/>
  <c r="AY1565" i="1"/>
  <c r="AX1565" i="1"/>
  <c r="M1565" i="1"/>
  <c r="EM1543" i="1"/>
  <c r="DU1543" i="1"/>
  <c r="DT1543" i="1"/>
  <c r="DN1543" i="1"/>
  <c r="DM1543" i="1"/>
  <c r="DL1543" i="1"/>
  <c r="DK1543" i="1"/>
  <c r="DI1543" i="1"/>
  <c r="DJ1543" i="1" s="1"/>
  <c r="DB1543" i="1"/>
  <c r="DC1543" i="1" s="1"/>
  <c r="CX1543" i="1"/>
  <c r="CN1543" i="1"/>
  <c r="BV1543" i="1"/>
  <c r="BX1543" i="1" s="1"/>
  <c r="BM1543" i="1"/>
  <c r="BD1543" i="1"/>
  <c r="BC1543" i="1"/>
  <c r="BB1543" i="1"/>
  <c r="BA1543" i="1"/>
  <c r="AZ1543" i="1"/>
  <c r="AY1543" i="1"/>
  <c r="BE1543" i="1" s="1" a="1"/>
  <c r="BE1543" i="1" s="1"/>
  <c r="AX1543" i="1"/>
  <c r="M1543" i="1"/>
  <c r="EM1539" i="1"/>
  <c r="DU1539" i="1"/>
  <c r="DT1539" i="1"/>
  <c r="DN1539" i="1"/>
  <c r="DM1539" i="1"/>
  <c r="DL1539" i="1"/>
  <c r="DK1539" i="1"/>
  <c r="DI1539" i="1"/>
  <c r="DJ1539" i="1" s="1"/>
  <c r="DB1539" i="1"/>
  <c r="DC1539" i="1" s="1"/>
  <c r="CX1539" i="1"/>
  <c r="CN1539" i="1"/>
  <c r="CO1539" i="1" s="1"/>
  <c r="BV1539" i="1"/>
  <c r="BX1539" i="1" s="1"/>
  <c r="BM1539" i="1"/>
  <c r="BD1539" i="1"/>
  <c r="BC1539" i="1"/>
  <c r="BB1539" i="1"/>
  <c r="BA1539" i="1"/>
  <c r="AZ1539" i="1"/>
  <c r="AY1539" i="1"/>
  <c r="BE1539" i="1" s="1" a="1"/>
  <c r="BE1539" i="1" s="1"/>
  <c r="AX1539" i="1"/>
  <c r="M1539" i="1"/>
  <c r="EM1538" i="1"/>
  <c r="DU1538" i="1"/>
  <c r="DT1538" i="1"/>
  <c r="DN1538" i="1"/>
  <c r="DM1538" i="1"/>
  <c r="DL1538" i="1"/>
  <c r="DK1538" i="1"/>
  <c r="DI1538" i="1"/>
  <c r="DJ1538" i="1" s="1"/>
  <c r="DB1538" i="1"/>
  <c r="DC1538" i="1" s="1"/>
  <c r="CX1538" i="1"/>
  <c r="CN1538" i="1"/>
  <c r="CR1538" i="1" s="1"/>
  <c r="BV1538" i="1"/>
  <c r="BX1538" i="1" s="1"/>
  <c r="BM1538" i="1"/>
  <c r="BD1538" i="1"/>
  <c r="BC1538" i="1"/>
  <c r="BB1538" i="1"/>
  <c r="BA1538" i="1"/>
  <c r="AZ1538" i="1"/>
  <c r="AY1538" i="1"/>
  <c r="BE1538" i="1" s="1" a="1"/>
  <c r="BE1538" i="1" s="1"/>
  <c r="AX1538" i="1"/>
  <c r="M1538" i="1"/>
  <c r="EM1549" i="1"/>
  <c r="DU1549" i="1"/>
  <c r="DT1549" i="1"/>
  <c r="DN1549" i="1"/>
  <c r="DM1549" i="1"/>
  <c r="DL1549" i="1"/>
  <c r="DK1549" i="1"/>
  <c r="DI1549" i="1"/>
  <c r="DJ1549" i="1" s="1"/>
  <c r="DB1549" i="1"/>
  <c r="DC1549" i="1" s="1"/>
  <c r="CX1549" i="1"/>
  <c r="CN1549" i="1"/>
  <c r="CS1549" i="1" s="1"/>
  <c r="BV1549" i="1"/>
  <c r="BX1549" i="1" s="1"/>
  <c r="BM1549" i="1"/>
  <c r="BD1549" i="1"/>
  <c r="BC1549" i="1"/>
  <c r="BB1549" i="1"/>
  <c r="BA1549" i="1"/>
  <c r="AZ1549" i="1"/>
  <c r="AY1549" i="1"/>
  <c r="BE1549" i="1" s="1" a="1"/>
  <c r="BE1549" i="1" s="1"/>
  <c r="AX1549" i="1"/>
  <c r="M1549" i="1"/>
  <c r="EM1553" i="1"/>
  <c r="DU1553" i="1"/>
  <c r="DT1553" i="1"/>
  <c r="DN1553" i="1"/>
  <c r="DM1553" i="1"/>
  <c r="DL1553" i="1"/>
  <c r="DK1553" i="1"/>
  <c r="DI1553" i="1"/>
  <c r="DJ1553" i="1" s="1"/>
  <c r="DB1553" i="1"/>
  <c r="DC1553" i="1" s="1"/>
  <c r="CX1553" i="1"/>
  <c r="CN1553" i="1"/>
  <c r="BV1553" i="1"/>
  <c r="BX1553" i="1" s="1"/>
  <c r="BM1553" i="1"/>
  <c r="BD1553" i="1"/>
  <c r="BC1553" i="1"/>
  <c r="BB1553" i="1"/>
  <c r="BA1553" i="1"/>
  <c r="AZ1553" i="1"/>
  <c r="AY1553" i="1"/>
  <c r="BE1553" i="1" s="1" a="1"/>
  <c r="BE1553" i="1" s="1"/>
  <c r="AX1553" i="1"/>
  <c r="M1553" i="1"/>
  <c r="EM1548" i="1"/>
  <c r="DU1548" i="1"/>
  <c r="DT1548" i="1"/>
  <c r="DN1548" i="1"/>
  <c r="DM1548" i="1"/>
  <c r="DL1548" i="1"/>
  <c r="DK1548" i="1"/>
  <c r="DI1548" i="1"/>
  <c r="DJ1548" i="1" s="1"/>
  <c r="DB1548" i="1"/>
  <c r="DC1548" i="1" s="1"/>
  <c r="CX1548" i="1"/>
  <c r="CN1548" i="1"/>
  <c r="CO1548" i="1" s="1"/>
  <c r="BV1548" i="1"/>
  <c r="BX1548" i="1" s="1"/>
  <c r="BM1548" i="1"/>
  <c r="BD1548" i="1"/>
  <c r="BC1548" i="1"/>
  <c r="BB1548" i="1"/>
  <c r="BA1548" i="1"/>
  <c r="AZ1548" i="1"/>
  <c r="AY1548" i="1"/>
  <c r="BE1548" i="1" s="1" a="1"/>
  <c r="BE1548" i="1" s="1"/>
  <c r="AX1548" i="1"/>
  <c r="M1548" i="1"/>
  <c r="EM1555" i="1"/>
  <c r="DU1555" i="1"/>
  <c r="DT1555" i="1"/>
  <c r="DN1555" i="1"/>
  <c r="DM1555" i="1"/>
  <c r="DL1555" i="1"/>
  <c r="DK1555" i="1"/>
  <c r="DI1555" i="1"/>
  <c r="DJ1555" i="1" s="1"/>
  <c r="DB1555" i="1"/>
  <c r="DC1555" i="1" s="1"/>
  <c r="CX1555" i="1"/>
  <c r="CN1555" i="1"/>
  <c r="CR1555" i="1" s="1"/>
  <c r="BV1555" i="1"/>
  <c r="BX1555" i="1" s="1"/>
  <c r="BM1555" i="1"/>
  <c r="BD1555" i="1"/>
  <c r="BC1555" i="1"/>
  <c r="BB1555" i="1"/>
  <c r="BA1555" i="1"/>
  <c r="AZ1555" i="1"/>
  <c r="BF1555" i="1" s="1" a="1"/>
  <c r="BF1555" i="1" s="1"/>
  <c r="AY1555" i="1"/>
  <c r="BE1555" i="1" s="1" a="1"/>
  <c r="BE1555" i="1" s="1"/>
  <c r="AX1555" i="1"/>
  <c r="M1555" i="1"/>
  <c r="EM1554" i="1"/>
  <c r="DU1554" i="1"/>
  <c r="DT1554" i="1"/>
  <c r="DN1554" i="1"/>
  <c r="DM1554" i="1"/>
  <c r="DL1554" i="1"/>
  <c r="DK1554" i="1"/>
  <c r="DI1554" i="1"/>
  <c r="DJ1554" i="1" s="1"/>
  <c r="DB1554" i="1"/>
  <c r="DC1554" i="1" s="1"/>
  <c r="CX1554" i="1"/>
  <c r="CN1554" i="1"/>
  <c r="CS1554" i="1" s="1"/>
  <c r="BV1554" i="1"/>
  <c r="BX1554" i="1" s="1"/>
  <c r="BM1554" i="1"/>
  <c r="BD1554" i="1"/>
  <c r="BC1554" i="1"/>
  <c r="BB1554" i="1"/>
  <c r="BA1554" i="1"/>
  <c r="AZ1554" i="1"/>
  <c r="AY1554" i="1"/>
  <c r="BE1554" i="1" s="1" a="1"/>
  <c r="BE1554" i="1" s="1"/>
  <c r="AX1554" i="1"/>
  <c r="M1554" i="1"/>
  <c r="EM1558" i="1"/>
  <c r="DU1558" i="1"/>
  <c r="DT1558" i="1"/>
  <c r="DN1558" i="1"/>
  <c r="DM1558" i="1"/>
  <c r="DL1558" i="1"/>
  <c r="DK1558" i="1"/>
  <c r="DI1558" i="1"/>
  <c r="DJ1558" i="1" s="1"/>
  <c r="DB1558" i="1"/>
  <c r="DC1558" i="1" s="1"/>
  <c r="CX1558" i="1"/>
  <c r="CN1558" i="1"/>
  <c r="BV1558" i="1"/>
  <c r="BX1558" i="1" s="1"/>
  <c r="BM1558" i="1"/>
  <c r="BD1558" i="1"/>
  <c r="BC1558" i="1"/>
  <c r="BB1558" i="1"/>
  <c r="BA1558" i="1"/>
  <c r="AZ1558" i="1"/>
  <c r="AY1558" i="1"/>
  <c r="BE1558" i="1" s="1" a="1"/>
  <c r="BE1558" i="1" s="1"/>
  <c r="AX1558" i="1"/>
  <c r="M1558" i="1"/>
  <c r="EM1552" i="1"/>
  <c r="DU1552" i="1"/>
  <c r="DT1552" i="1"/>
  <c r="DN1552" i="1"/>
  <c r="DM1552" i="1"/>
  <c r="DL1552" i="1"/>
  <c r="DK1552" i="1"/>
  <c r="DI1552" i="1"/>
  <c r="DJ1552" i="1" s="1"/>
  <c r="DB1552" i="1"/>
  <c r="DC1552" i="1" s="1"/>
  <c r="CX1552" i="1"/>
  <c r="CN1552" i="1"/>
  <c r="CO1552" i="1" s="1"/>
  <c r="BV1552" i="1"/>
  <c r="BX1552" i="1" s="1"/>
  <c r="BM1552" i="1"/>
  <c r="BD1552" i="1"/>
  <c r="BC1552" i="1"/>
  <c r="BB1552" i="1"/>
  <c r="BA1552" i="1"/>
  <c r="AZ1552" i="1"/>
  <c r="AY1552" i="1"/>
  <c r="BE1552" i="1" s="1" a="1"/>
  <c r="BE1552" i="1" s="1"/>
  <c r="AX1552" i="1"/>
  <c r="M1552" i="1"/>
  <c r="EM1561" i="1"/>
  <c r="DU1561" i="1"/>
  <c r="DT1561" i="1"/>
  <c r="DN1561" i="1"/>
  <c r="DM1561" i="1"/>
  <c r="DL1561" i="1"/>
  <c r="DK1561" i="1"/>
  <c r="DI1561" i="1"/>
  <c r="DJ1561" i="1" s="1"/>
  <c r="DB1561" i="1"/>
  <c r="DC1561" i="1" s="1"/>
  <c r="CX1561" i="1"/>
  <c r="CN1561" i="1"/>
  <c r="BV1561" i="1"/>
  <c r="BX1561" i="1" s="1"/>
  <c r="BN1561" i="1"/>
  <c r="BO1561" i="1" s="1"/>
  <c r="BM1561" i="1"/>
  <c r="BD1561" i="1"/>
  <c r="BC1561" i="1"/>
  <c r="BB1561" i="1"/>
  <c r="BA1561" i="1"/>
  <c r="AZ1561" i="1"/>
  <c r="AY1561" i="1"/>
  <c r="BE1561" i="1" s="1" a="1"/>
  <c r="BE1561" i="1" s="1"/>
  <c r="AX1561" i="1"/>
  <c r="M1561" i="1"/>
  <c r="EM1540" i="1"/>
  <c r="DU1540" i="1"/>
  <c r="DT1540" i="1"/>
  <c r="DN1540" i="1"/>
  <c r="DM1540" i="1"/>
  <c r="DL1540" i="1"/>
  <c r="DK1540" i="1"/>
  <c r="DI1540" i="1"/>
  <c r="DJ1540" i="1" s="1"/>
  <c r="DB1540" i="1"/>
  <c r="DC1540" i="1" s="1"/>
  <c r="CX1540" i="1"/>
  <c r="CN1540" i="1"/>
  <c r="CS1540" i="1" s="1"/>
  <c r="BV1540" i="1"/>
  <c r="BX1540" i="1" s="1"/>
  <c r="BO1540" i="1"/>
  <c r="BN1540" i="1"/>
  <c r="BM1540" i="1"/>
  <c r="BD1540" i="1"/>
  <c r="BC1540" i="1"/>
  <c r="BB1540" i="1"/>
  <c r="BA1540" i="1"/>
  <c r="AZ1540" i="1"/>
  <c r="AY1540" i="1"/>
  <c r="AX1540" i="1"/>
  <c r="M1540" i="1"/>
  <c r="EM1541" i="1"/>
  <c r="DU1541" i="1"/>
  <c r="DT1541" i="1"/>
  <c r="DN1541" i="1"/>
  <c r="DM1541" i="1"/>
  <c r="DL1541" i="1"/>
  <c r="DK1541" i="1"/>
  <c r="DI1541" i="1"/>
  <c r="DJ1541" i="1" s="1"/>
  <c r="DB1541" i="1"/>
  <c r="DC1541" i="1" s="1"/>
  <c r="CX1541" i="1"/>
  <c r="CN1541" i="1"/>
  <c r="BV1541" i="1"/>
  <c r="BX1541" i="1" s="1"/>
  <c r="BO1541" i="1"/>
  <c r="BN1541" i="1"/>
  <c r="BM1541" i="1"/>
  <c r="BD1541" i="1"/>
  <c r="BC1541" i="1"/>
  <c r="BB1541" i="1"/>
  <c r="BA1541" i="1"/>
  <c r="AZ1541" i="1"/>
  <c r="AY1541" i="1"/>
  <c r="BE1541" i="1" s="1" a="1"/>
  <c r="BE1541" i="1" s="1"/>
  <c r="AX1541" i="1"/>
  <c r="M1541" i="1"/>
  <c r="EM1542" i="1"/>
  <c r="DU1542" i="1"/>
  <c r="DT1542" i="1"/>
  <c r="DN1542" i="1"/>
  <c r="DM1542" i="1"/>
  <c r="DL1542" i="1"/>
  <c r="DK1542" i="1"/>
  <c r="DI1542" i="1"/>
  <c r="DJ1542" i="1" s="1"/>
  <c r="DB1542" i="1"/>
  <c r="DC1542" i="1" s="1"/>
  <c r="CX1542" i="1"/>
  <c r="CN1542" i="1"/>
  <c r="CO1542" i="1" s="1"/>
  <c r="BV1542" i="1"/>
  <c r="BX1542" i="1" s="1"/>
  <c r="BO1542" i="1"/>
  <c r="BN1542" i="1"/>
  <c r="BM1542" i="1"/>
  <c r="BD1542" i="1"/>
  <c r="BC1542" i="1"/>
  <c r="BB1542" i="1"/>
  <c r="BA1542" i="1"/>
  <c r="AZ1542" i="1"/>
  <c r="AY1542" i="1"/>
  <c r="BE1542" i="1" s="1" a="1"/>
  <c r="BE1542" i="1" s="1"/>
  <c r="M1542" i="1"/>
  <c r="EM1545" i="1"/>
  <c r="DU1545" i="1"/>
  <c r="DT1545" i="1"/>
  <c r="DN1545" i="1"/>
  <c r="DM1545" i="1"/>
  <c r="DL1545" i="1"/>
  <c r="DK1545" i="1"/>
  <c r="DI1545" i="1"/>
  <c r="DJ1545" i="1" s="1"/>
  <c r="DB1545" i="1"/>
  <c r="DC1545" i="1" s="1"/>
  <c r="CX1545" i="1"/>
  <c r="CN1545" i="1"/>
  <c r="CP1545" i="1" s="1"/>
  <c r="BV1545" i="1"/>
  <c r="BX1545" i="1" s="1"/>
  <c r="BO1545" i="1"/>
  <c r="BN1545" i="1"/>
  <c r="BM1545" i="1"/>
  <c r="BD1545" i="1"/>
  <c r="BC1545" i="1"/>
  <c r="BB1545" i="1"/>
  <c r="BA1545" i="1"/>
  <c r="AZ1545" i="1"/>
  <c r="BF1545" i="1" s="1" a="1"/>
  <c r="BF1545" i="1" s="1"/>
  <c r="AY1545" i="1"/>
  <c r="BE1545" i="1" s="1" a="1"/>
  <c r="BE1545" i="1" s="1"/>
  <c r="AX1545" i="1"/>
  <c r="M1545" i="1"/>
  <c r="EM1546" i="1"/>
  <c r="DU1546" i="1"/>
  <c r="DT1546" i="1"/>
  <c r="DN1546" i="1"/>
  <c r="DM1546" i="1"/>
  <c r="DL1546" i="1"/>
  <c r="DK1546" i="1"/>
  <c r="DI1546" i="1"/>
  <c r="DJ1546" i="1" s="1"/>
  <c r="DB1546" i="1"/>
  <c r="DC1546" i="1" s="1"/>
  <c r="CX1546" i="1"/>
  <c r="CN1546" i="1"/>
  <c r="CR1546" i="1" s="1"/>
  <c r="BV1546" i="1"/>
  <c r="BX1546" i="1" s="1"/>
  <c r="BO1546" i="1"/>
  <c r="BN1546" i="1"/>
  <c r="BM1546" i="1"/>
  <c r="BD1546" i="1"/>
  <c r="BC1546" i="1"/>
  <c r="BB1546" i="1"/>
  <c r="BA1546" i="1"/>
  <c r="AZ1546" i="1"/>
  <c r="AY1546" i="1"/>
  <c r="BE1546" i="1" s="1" a="1"/>
  <c r="BE1546" i="1" s="1"/>
  <c r="AX1546" i="1"/>
  <c r="M1546" i="1"/>
  <c r="EM942" i="1"/>
  <c r="DU942" i="1"/>
  <c r="DT942" i="1"/>
  <c r="DN942" i="1"/>
  <c r="DM942" i="1"/>
  <c r="DL942" i="1"/>
  <c r="DK942" i="1"/>
  <c r="DI942" i="1"/>
  <c r="DJ942" i="1" s="1"/>
  <c r="DB942" i="1"/>
  <c r="DC942" i="1" s="1"/>
  <c r="CX942" i="1"/>
  <c r="CN942" i="1"/>
  <c r="BX942" i="1"/>
  <c r="BD942" i="1"/>
  <c r="BC942" i="1"/>
  <c r="BB942" i="1"/>
  <c r="BA942" i="1"/>
  <c r="AZ942" i="1"/>
  <c r="AY942" i="1"/>
  <c r="BE942" i="1" s="1" a="1"/>
  <c r="BE942" i="1" s="1"/>
  <c r="AX942" i="1"/>
  <c r="M942" i="1"/>
  <c r="EM941" i="1"/>
  <c r="DU941" i="1"/>
  <c r="DT941" i="1"/>
  <c r="DN941" i="1"/>
  <c r="DM941" i="1"/>
  <c r="DL941" i="1"/>
  <c r="DK941" i="1"/>
  <c r="DI941" i="1"/>
  <c r="DJ941" i="1" s="1"/>
  <c r="DB941" i="1"/>
  <c r="DC941" i="1" s="1"/>
  <c r="CX941" i="1"/>
  <c r="CN941" i="1"/>
  <c r="BX941" i="1"/>
  <c r="BD941" i="1"/>
  <c r="BC941" i="1"/>
  <c r="BB941" i="1"/>
  <c r="BA941" i="1"/>
  <c r="AZ941" i="1"/>
  <c r="AY941" i="1"/>
  <c r="BE941" i="1" s="1" a="1"/>
  <c r="BE941" i="1" s="1"/>
  <c r="AX941" i="1"/>
  <c r="M941" i="1"/>
  <c r="EM940" i="1"/>
  <c r="DU940" i="1"/>
  <c r="DT940" i="1"/>
  <c r="DN940" i="1"/>
  <c r="DM940" i="1"/>
  <c r="DL940" i="1"/>
  <c r="DK940" i="1"/>
  <c r="DI940" i="1"/>
  <c r="DJ940" i="1" s="1"/>
  <c r="DB940" i="1"/>
  <c r="DC940" i="1" s="1"/>
  <c r="CX940" i="1"/>
  <c r="CN940" i="1"/>
  <c r="BX940" i="1"/>
  <c r="BD940" i="1"/>
  <c r="BC940" i="1"/>
  <c r="BB940" i="1"/>
  <c r="BA940" i="1"/>
  <c r="AZ940" i="1"/>
  <c r="AY940" i="1"/>
  <c r="BE940" i="1" s="1" a="1"/>
  <c r="BE940" i="1" s="1"/>
  <c r="AX940" i="1"/>
  <c r="M940" i="1"/>
  <c r="EM944" i="1"/>
  <c r="DU944" i="1"/>
  <c r="DT944" i="1"/>
  <c r="DN944" i="1"/>
  <c r="DM944" i="1"/>
  <c r="DL944" i="1"/>
  <c r="DK944" i="1"/>
  <c r="DI944" i="1"/>
  <c r="DJ944" i="1" s="1"/>
  <c r="DB944" i="1"/>
  <c r="DC944" i="1" s="1"/>
  <c r="CX944" i="1"/>
  <c r="CN944" i="1"/>
  <c r="BX944" i="1"/>
  <c r="BD944" i="1"/>
  <c r="BC944" i="1"/>
  <c r="BB944" i="1"/>
  <c r="BA944" i="1"/>
  <c r="AZ944" i="1"/>
  <c r="BF944" i="1" s="1" a="1"/>
  <c r="BF944" i="1" s="1"/>
  <c r="AY944" i="1"/>
  <c r="BE944" i="1" s="1" a="1"/>
  <c r="BE944" i="1" s="1"/>
  <c r="AX944" i="1"/>
  <c r="M944" i="1"/>
  <c r="EM943" i="1"/>
  <c r="DU943" i="1"/>
  <c r="DT943" i="1"/>
  <c r="DN943" i="1"/>
  <c r="DM943" i="1"/>
  <c r="DL943" i="1"/>
  <c r="DK943" i="1"/>
  <c r="DI943" i="1"/>
  <c r="DJ943" i="1" s="1"/>
  <c r="DB943" i="1"/>
  <c r="DC943" i="1" s="1"/>
  <c r="CX943" i="1"/>
  <c r="CN943" i="1"/>
  <c r="BX943" i="1"/>
  <c r="BD943" i="1"/>
  <c r="BC943" i="1"/>
  <c r="BB943" i="1"/>
  <c r="BA943" i="1"/>
  <c r="AZ943" i="1"/>
  <c r="AY943" i="1"/>
  <c r="BE943" i="1" s="1" a="1"/>
  <c r="BE943" i="1" s="1"/>
  <c r="AX943" i="1"/>
  <c r="M943" i="1"/>
  <c r="EM939" i="1"/>
  <c r="DU939" i="1"/>
  <c r="DT939" i="1"/>
  <c r="DN939" i="1"/>
  <c r="DM939" i="1"/>
  <c r="DL939" i="1"/>
  <c r="DK939" i="1"/>
  <c r="DI939" i="1"/>
  <c r="DJ939" i="1" s="1"/>
  <c r="DB939" i="1"/>
  <c r="DC939" i="1" s="1"/>
  <c r="CX939" i="1"/>
  <c r="BX939" i="1"/>
  <c r="BD939" i="1"/>
  <c r="BC939" i="1"/>
  <c r="BB939" i="1"/>
  <c r="BA939" i="1"/>
  <c r="AZ939" i="1"/>
  <c r="AY939" i="1"/>
  <c r="BE939" i="1" s="1" a="1"/>
  <c r="BE939" i="1" s="1"/>
  <c r="AX939" i="1"/>
  <c r="M939" i="1"/>
  <c r="EM661" i="1"/>
  <c r="DU661" i="1"/>
  <c r="DT661" i="1"/>
  <c r="DN661" i="1"/>
  <c r="DM661" i="1"/>
  <c r="DL661" i="1"/>
  <c r="DK661" i="1"/>
  <c r="DI661" i="1"/>
  <c r="DJ661" i="1" s="1"/>
  <c r="DC661" i="1"/>
  <c r="CX661" i="1"/>
  <c r="CN661" i="1"/>
  <c r="CS661" i="1" s="1"/>
  <c r="BV661" i="1"/>
  <c r="BX661" i="1" s="1"/>
  <c r="BU661" i="1"/>
  <c r="BN661" i="1"/>
  <c r="BO661" i="1" s="1"/>
  <c r="BM661" i="1"/>
  <c r="BD661" i="1"/>
  <c r="BC661" i="1"/>
  <c r="BB661" i="1"/>
  <c r="BA661" i="1"/>
  <c r="AZ661" i="1"/>
  <c r="AY661" i="1"/>
  <c r="BE661" i="1" s="1" a="1"/>
  <c r="BE661" i="1" s="1"/>
  <c r="AX661" i="1"/>
  <c r="M661" i="1"/>
  <c r="EM660" i="1"/>
  <c r="DU660" i="1"/>
  <c r="DT660" i="1"/>
  <c r="DN660" i="1"/>
  <c r="DM660" i="1"/>
  <c r="DL660" i="1"/>
  <c r="DK660" i="1"/>
  <c r="DI660" i="1"/>
  <c r="DJ660" i="1" s="1"/>
  <c r="DC660" i="1"/>
  <c r="CX660" i="1"/>
  <c r="CN660" i="1"/>
  <c r="BV660" i="1"/>
  <c r="BX660" i="1" s="1"/>
  <c r="BU660" i="1"/>
  <c r="BN660" i="1"/>
  <c r="BO660" i="1" s="1"/>
  <c r="BM660" i="1"/>
  <c r="BD660" i="1"/>
  <c r="BC660" i="1"/>
  <c r="BB660" i="1"/>
  <c r="BA660" i="1"/>
  <c r="AZ660" i="1"/>
  <c r="AY660" i="1"/>
  <c r="BE660" i="1" s="1" a="1"/>
  <c r="BE660" i="1" s="1"/>
  <c r="AX660" i="1"/>
  <c r="M660" i="1"/>
  <c r="EM659" i="1"/>
  <c r="DU659" i="1"/>
  <c r="DT659" i="1"/>
  <c r="DN659" i="1"/>
  <c r="DM659" i="1"/>
  <c r="DL659" i="1"/>
  <c r="DK659" i="1"/>
  <c r="DI659" i="1"/>
  <c r="DJ659" i="1" s="1"/>
  <c r="DC659" i="1"/>
  <c r="CX659" i="1"/>
  <c r="CN659" i="1"/>
  <c r="CO659" i="1" s="1"/>
  <c r="BV659" i="1"/>
  <c r="BX659" i="1" s="1"/>
  <c r="BU659" i="1"/>
  <c r="BN659" i="1"/>
  <c r="BO659" i="1" s="1"/>
  <c r="BM659" i="1"/>
  <c r="BD659" i="1"/>
  <c r="BC659" i="1"/>
  <c r="BB659" i="1"/>
  <c r="BA659" i="1"/>
  <c r="AZ659" i="1"/>
  <c r="AY659" i="1"/>
  <c r="BE659" i="1" s="1" a="1"/>
  <c r="BE659" i="1" s="1"/>
  <c r="AX659" i="1"/>
  <c r="M659" i="1"/>
  <c r="EM658" i="1"/>
  <c r="DU658" i="1"/>
  <c r="DT658" i="1"/>
  <c r="DN658" i="1"/>
  <c r="DM658" i="1"/>
  <c r="DL658" i="1"/>
  <c r="DK658" i="1"/>
  <c r="DI658" i="1"/>
  <c r="DJ658" i="1" s="1"/>
  <c r="DC658" i="1"/>
  <c r="CX658" i="1"/>
  <c r="CN658" i="1"/>
  <c r="BV658" i="1"/>
  <c r="BX658" i="1" s="1"/>
  <c r="BU658" i="1"/>
  <c r="BN658" i="1"/>
  <c r="BO658" i="1" s="1"/>
  <c r="BM658" i="1"/>
  <c r="BD658" i="1"/>
  <c r="BC658" i="1"/>
  <c r="BB658" i="1"/>
  <c r="BA658" i="1"/>
  <c r="AZ658" i="1"/>
  <c r="AY658" i="1"/>
  <c r="BE658" i="1" s="1" a="1"/>
  <c r="BE658" i="1" s="1"/>
  <c r="AX658" i="1"/>
  <c r="M658" i="1"/>
  <c r="EM643" i="1"/>
  <c r="DU643" i="1"/>
  <c r="DT643" i="1"/>
  <c r="DN643" i="1"/>
  <c r="DM643" i="1"/>
  <c r="DL643" i="1"/>
  <c r="DK643" i="1"/>
  <c r="DI643" i="1"/>
  <c r="DJ643" i="1" s="1"/>
  <c r="DC643" i="1"/>
  <c r="CX643" i="1"/>
  <c r="CN643" i="1"/>
  <c r="BV643" i="1"/>
  <c r="BX643" i="1" s="1"/>
  <c r="BU643" i="1"/>
  <c r="BN643" i="1"/>
  <c r="BO643" i="1" s="1"/>
  <c r="BM643" i="1"/>
  <c r="BD643" i="1"/>
  <c r="BC643" i="1"/>
  <c r="BB643" i="1"/>
  <c r="BA643" i="1"/>
  <c r="AZ643" i="1"/>
  <c r="AY643" i="1"/>
  <c r="BE643" i="1" s="1" a="1"/>
  <c r="BE643" i="1" s="1"/>
  <c r="AX643" i="1"/>
  <c r="M643" i="1"/>
  <c r="EM642" i="1"/>
  <c r="DU642" i="1"/>
  <c r="DT642" i="1"/>
  <c r="DN642" i="1"/>
  <c r="DM642" i="1"/>
  <c r="DL642" i="1"/>
  <c r="DK642" i="1"/>
  <c r="DI642" i="1"/>
  <c r="DJ642" i="1" s="1"/>
  <c r="DC642" i="1"/>
  <c r="CX642" i="1"/>
  <c r="CN642" i="1"/>
  <c r="BV642" i="1"/>
  <c r="BX642" i="1" s="1"/>
  <c r="BU642" i="1"/>
  <c r="BN642" i="1"/>
  <c r="BO642" i="1" s="1"/>
  <c r="BM642" i="1"/>
  <c r="BD642" i="1"/>
  <c r="BC642" i="1"/>
  <c r="BB642" i="1"/>
  <c r="BA642" i="1"/>
  <c r="AZ642" i="1"/>
  <c r="BF642" i="1" s="1" a="1"/>
  <c r="BF642" i="1" s="1"/>
  <c r="AY642" i="1"/>
  <c r="BE642" i="1" s="1" a="1"/>
  <c r="BE642" i="1" s="1"/>
  <c r="AX642" i="1"/>
  <c r="M642" i="1"/>
  <c r="EM271" i="1"/>
  <c r="DU271" i="1"/>
  <c r="DT271" i="1"/>
  <c r="DN271" i="1"/>
  <c r="DM271" i="1"/>
  <c r="DL271" i="1"/>
  <c r="DK271" i="1"/>
  <c r="DI271" i="1"/>
  <c r="DJ271" i="1" s="1"/>
  <c r="DC271" i="1"/>
  <c r="CX271" i="1"/>
  <c r="BV271" i="1"/>
  <c r="BX271" i="1" s="1"/>
  <c r="BU271" i="1"/>
  <c r="BL271" i="1"/>
  <c r="CN271" i="1" s="1"/>
  <c r="BD271" i="1"/>
  <c r="BC271" i="1"/>
  <c r="BB271" i="1"/>
  <c r="BA271" i="1"/>
  <c r="AZ271" i="1"/>
  <c r="AY271" i="1"/>
  <c r="BE271" i="1" s="1" a="1"/>
  <c r="BE271" i="1" s="1"/>
  <c r="AX271" i="1"/>
  <c r="M271" i="1"/>
  <c r="EP71" i="1"/>
  <c r="EP57" i="1"/>
  <c r="EP51" i="1"/>
  <c r="EP82" i="1"/>
  <c r="EP99" i="1"/>
  <c r="EP72" i="1"/>
  <c r="EP59" i="1"/>
  <c r="EP70" i="1"/>
  <c r="EP67" i="1"/>
  <c r="EP50" i="1"/>
  <c r="EP61" i="1"/>
  <c r="EP89" i="1"/>
  <c r="EP49" i="1"/>
  <c r="EP60" i="1"/>
  <c r="EP48" i="1"/>
  <c r="EP36" i="1"/>
  <c r="EP80" i="1"/>
  <c r="EP46" i="1"/>
  <c r="EP86" i="1"/>
  <c r="EP83" i="1"/>
  <c r="EP68" i="1"/>
  <c r="EP55" i="1"/>
  <c r="EP87" i="1"/>
  <c r="EP84" i="1"/>
  <c r="EP88" i="1"/>
  <c r="EP93" i="1"/>
  <c r="EP54" i="1"/>
  <c r="EP95" i="1"/>
  <c r="EP81" i="1"/>
  <c r="EP90" i="1"/>
  <c r="EP40" i="1"/>
  <c r="EP106" i="1"/>
  <c r="EP65" i="1"/>
  <c r="EP44" i="1"/>
  <c r="EP107" i="1"/>
  <c r="EP74" i="1"/>
  <c r="EP63" i="1"/>
  <c r="EP73" i="1"/>
  <c r="EP52" i="1"/>
  <c r="EP41" i="1"/>
  <c r="EP96" i="1"/>
  <c r="EP64" i="1"/>
  <c r="EP102" i="1"/>
  <c r="EP77" i="1"/>
  <c r="EP104" i="1"/>
  <c r="EP43" i="1"/>
  <c r="EP105" i="1"/>
  <c r="EP42" i="1"/>
  <c r="EP98" i="1"/>
  <c r="EP79" i="1"/>
  <c r="EP78" i="1"/>
  <c r="EP53" i="1"/>
  <c r="EP38" i="1"/>
  <c r="EP37" i="1"/>
  <c r="EP103" i="1"/>
  <c r="EP100" i="1"/>
  <c r="EP94" i="1"/>
  <c r="EP56" i="1"/>
  <c r="EP39" i="1"/>
  <c r="EP45" i="1"/>
  <c r="EP47" i="1"/>
  <c r="EP76" i="1"/>
  <c r="EP69" i="1"/>
  <c r="EP97" i="1"/>
  <c r="EP91" i="1"/>
  <c r="EP85" i="1"/>
  <c r="EP101" i="1"/>
  <c r="EP92" i="1"/>
  <c r="EP26" i="1"/>
  <c r="EP58" i="1"/>
  <c r="EP35" i="1"/>
  <c r="EP34" i="1"/>
  <c r="EP30" i="1"/>
  <c r="EP62" i="1"/>
  <c r="EP27" i="1"/>
  <c r="EP75" i="1"/>
  <c r="EP66" i="1"/>
  <c r="EP28" i="1"/>
  <c r="EP32" i="1"/>
  <c r="EP29" i="1"/>
  <c r="EP33" i="1"/>
  <c r="EP31" i="1"/>
  <c r="EM1512" i="1"/>
  <c r="DU1512" i="1"/>
  <c r="DT1512" i="1"/>
  <c r="DN1512" i="1"/>
  <c r="DM1512" i="1"/>
  <c r="DL1512" i="1"/>
  <c r="DK1512" i="1"/>
  <c r="DI1512" i="1"/>
  <c r="DJ1512" i="1" s="1"/>
  <c r="DC1512" i="1"/>
  <c r="CX1512" i="1"/>
  <c r="BV1512" i="1"/>
  <c r="BX1512" i="1" s="1"/>
  <c r="BL1512" i="1"/>
  <c r="CN1512" i="1" s="1"/>
  <c r="BK1512" i="1"/>
  <c r="BD1512" i="1"/>
  <c r="BC1512" i="1"/>
  <c r="BB1512" i="1"/>
  <c r="BA1512" i="1"/>
  <c r="AZ1512" i="1"/>
  <c r="AY1512" i="1"/>
  <c r="BE1512" i="1" s="1" a="1"/>
  <c r="BE1512" i="1" s="1"/>
  <c r="AX1512" i="1"/>
  <c r="M1512" i="1"/>
  <c r="EM1511" i="1"/>
  <c r="DU1511" i="1"/>
  <c r="DT1511" i="1"/>
  <c r="DN1511" i="1"/>
  <c r="DM1511" i="1"/>
  <c r="DL1511" i="1"/>
  <c r="DK1511" i="1"/>
  <c r="DI1511" i="1"/>
  <c r="DJ1511" i="1" s="1"/>
  <c r="DC1511" i="1"/>
  <c r="CX1511" i="1"/>
  <c r="BV1511" i="1"/>
  <c r="BX1511" i="1" s="1"/>
  <c r="BL1511" i="1"/>
  <c r="BK1511" i="1"/>
  <c r="BD1511" i="1"/>
  <c r="BC1511" i="1"/>
  <c r="BB1511" i="1"/>
  <c r="BA1511" i="1"/>
  <c r="AZ1511" i="1"/>
  <c r="AY1511" i="1"/>
  <c r="BE1511" i="1" s="1" a="1"/>
  <c r="BE1511" i="1" s="1"/>
  <c r="AX1511" i="1"/>
  <c r="M1511" i="1"/>
  <c r="EM1441" i="1"/>
  <c r="DU1441" i="1"/>
  <c r="DT1441" i="1"/>
  <c r="DN1441" i="1"/>
  <c r="DM1441" i="1"/>
  <c r="DL1441" i="1"/>
  <c r="DK1441" i="1"/>
  <c r="DI1441" i="1"/>
  <c r="DJ1441" i="1" s="1"/>
  <c r="DC1441" i="1"/>
  <c r="CX1441" i="1"/>
  <c r="CN1441" i="1"/>
  <c r="CP1441" i="1" s="1"/>
  <c r="BX1441" i="1"/>
  <c r="BN1441" i="1"/>
  <c r="BO1441" i="1" s="1"/>
  <c r="BD1441" i="1"/>
  <c r="BC1441" i="1"/>
  <c r="BB1441" i="1"/>
  <c r="BA1441" i="1"/>
  <c r="AZ1441" i="1"/>
  <c r="AY1441" i="1"/>
  <c r="AX1441" i="1"/>
  <c r="U1441" i="1"/>
  <c r="M1441" i="1"/>
  <c r="EM1440" i="1"/>
  <c r="DU1440" i="1"/>
  <c r="DT1440" i="1"/>
  <c r="DN1440" i="1"/>
  <c r="DM1440" i="1"/>
  <c r="DL1440" i="1"/>
  <c r="DK1440" i="1"/>
  <c r="DI1440" i="1"/>
  <c r="DJ1440" i="1" s="1"/>
  <c r="DC1440" i="1"/>
  <c r="CX1440" i="1"/>
  <c r="CN1440" i="1"/>
  <c r="CP1440" i="1" s="1"/>
  <c r="BX1440" i="1"/>
  <c r="BN1440" i="1"/>
  <c r="BO1440" i="1" s="1"/>
  <c r="BD1440" i="1"/>
  <c r="BC1440" i="1"/>
  <c r="BB1440" i="1"/>
  <c r="BA1440" i="1"/>
  <c r="AZ1440" i="1"/>
  <c r="AY1440" i="1"/>
  <c r="AX1440" i="1"/>
  <c r="U1440" i="1"/>
  <c r="M1440" i="1"/>
  <c r="EM1439" i="1"/>
  <c r="DU1439" i="1"/>
  <c r="DT1439" i="1"/>
  <c r="DN1439" i="1"/>
  <c r="DM1439" i="1"/>
  <c r="DL1439" i="1"/>
  <c r="DK1439" i="1"/>
  <c r="DI1439" i="1"/>
  <c r="DJ1439" i="1" s="1"/>
  <c r="DC1439" i="1"/>
  <c r="CX1439" i="1"/>
  <c r="CN1439" i="1"/>
  <c r="CP1439" i="1" s="1"/>
  <c r="BX1439" i="1"/>
  <c r="BN1439" i="1"/>
  <c r="BO1439" i="1" s="1"/>
  <c r="BD1439" i="1"/>
  <c r="BC1439" i="1"/>
  <c r="BB1439" i="1"/>
  <c r="BA1439" i="1"/>
  <c r="AZ1439" i="1"/>
  <c r="AY1439" i="1"/>
  <c r="AX1439" i="1"/>
  <c r="U1439" i="1"/>
  <c r="M1439" i="1"/>
  <c r="EM1438" i="1"/>
  <c r="DU1438" i="1"/>
  <c r="DT1438" i="1"/>
  <c r="DN1438" i="1"/>
  <c r="DM1438" i="1"/>
  <c r="DL1438" i="1"/>
  <c r="DK1438" i="1"/>
  <c r="DI1438" i="1"/>
  <c r="DJ1438" i="1" s="1"/>
  <c r="DC1438" i="1"/>
  <c r="CX1438" i="1"/>
  <c r="CN1438" i="1"/>
  <c r="CO1438" i="1" s="1"/>
  <c r="BX1438" i="1"/>
  <c r="BN1438" i="1"/>
  <c r="BO1438" i="1" s="1"/>
  <c r="BD1438" i="1"/>
  <c r="BC1438" i="1"/>
  <c r="BB1438" i="1"/>
  <c r="BA1438" i="1"/>
  <c r="AZ1438" i="1"/>
  <c r="AY1438" i="1"/>
  <c r="AX1438" i="1"/>
  <c r="U1438" i="1"/>
  <c r="M1438" i="1"/>
  <c r="EM1437" i="1"/>
  <c r="DU1437" i="1"/>
  <c r="DT1437" i="1"/>
  <c r="DN1437" i="1"/>
  <c r="DM1437" i="1"/>
  <c r="DL1437" i="1"/>
  <c r="DK1437" i="1"/>
  <c r="DI1437" i="1"/>
  <c r="DJ1437" i="1" s="1"/>
  <c r="DC1437" i="1"/>
  <c r="CX1437" i="1"/>
  <c r="CN1437" i="1"/>
  <c r="CS1437" i="1" s="1"/>
  <c r="BX1437" i="1"/>
  <c r="BN1437" i="1"/>
  <c r="BO1437" i="1" s="1"/>
  <c r="BD1437" i="1"/>
  <c r="BC1437" i="1"/>
  <c r="BB1437" i="1"/>
  <c r="BA1437" i="1"/>
  <c r="AZ1437" i="1"/>
  <c r="AY1437" i="1"/>
  <c r="AX1437" i="1"/>
  <c r="U1437" i="1"/>
  <c r="M1437" i="1"/>
  <c r="EM1436" i="1"/>
  <c r="DU1436" i="1"/>
  <c r="DT1436" i="1"/>
  <c r="DN1436" i="1"/>
  <c r="DM1436" i="1"/>
  <c r="DL1436" i="1"/>
  <c r="DK1436" i="1"/>
  <c r="DI1436" i="1"/>
  <c r="DJ1436" i="1" s="1"/>
  <c r="DC1436" i="1"/>
  <c r="CX1436" i="1"/>
  <c r="CN1436" i="1"/>
  <c r="CR1436" i="1" s="1"/>
  <c r="BX1436" i="1"/>
  <c r="BN1436" i="1"/>
  <c r="BO1436" i="1" s="1"/>
  <c r="BD1436" i="1"/>
  <c r="BC1436" i="1"/>
  <c r="BB1436" i="1"/>
  <c r="BA1436" i="1"/>
  <c r="AZ1436" i="1"/>
  <c r="AY1436" i="1"/>
  <c r="AX1436" i="1"/>
  <c r="U1436" i="1"/>
  <c r="M1436" i="1"/>
  <c r="EM1435" i="1"/>
  <c r="DU1435" i="1"/>
  <c r="DT1435" i="1"/>
  <c r="DN1435" i="1"/>
  <c r="DM1435" i="1"/>
  <c r="DL1435" i="1"/>
  <c r="DK1435" i="1"/>
  <c r="DI1435" i="1"/>
  <c r="DJ1435" i="1" s="1"/>
  <c r="DC1435" i="1"/>
  <c r="CX1435" i="1"/>
  <c r="CN1435" i="1"/>
  <c r="CS1435" i="1" s="1"/>
  <c r="BX1435" i="1"/>
  <c r="BN1435" i="1"/>
  <c r="BO1435" i="1" s="1"/>
  <c r="BD1435" i="1"/>
  <c r="BC1435" i="1"/>
  <c r="BB1435" i="1"/>
  <c r="BA1435" i="1"/>
  <c r="AZ1435" i="1"/>
  <c r="AY1435" i="1"/>
  <c r="AX1435" i="1"/>
  <c r="U1435" i="1"/>
  <c r="M1435" i="1"/>
  <c r="EM1434" i="1"/>
  <c r="DU1434" i="1"/>
  <c r="DT1434" i="1"/>
  <c r="DN1434" i="1"/>
  <c r="DM1434" i="1"/>
  <c r="DL1434" i="1"/>
  <c r="DK1434" i="1"/>
  <c r="DI1434" i="1"/>
  <c r="DJ1434" i="1" s="1"/>
  <c r="DC1434" i="1"/>
  <c r="CX1434" i="1"/>
  <c r="CN1434" i="1"/>
  <c r="CS1434" i="1" s="1"/>
  <c r="BX1434" i="1"/>
  <c r="BN1434" i="1"/>
  <c r="BO1434" i="1" s="1"/>
  <c r="BD1434" i="1"/>
  <c r="BC1434" i="1"/>
  <c r="BB1434" i="1"/>
  <c r="BA1434" i="1"/>
  <c r="AZ1434" i="1"/>
  <c r="AY1434" i="1"/>
  <c r="AX1434" i="1"/>
  <c r="U1434" i="1"/>
  <c r="M1434" i="1"/>
  <c r="EM1433" i="1"/>
  <c r="DU1433" i="1"/>
  <c r="DT1433" i="1"/>
  <c r="DN1433" i="1"/>
  <c r="DM1433" i="1"/>
  <c r="DL1433" i="1"/>
  <c r="DK1433" i="1"/>
  <c r="DI1433" i="1"/>
  <c r="DJ1433" i="1" s="1"/>
  <c r="DC1433" i="1"/>
  <c r="CX1433" i="1"/>
  <c r="CN1433" i="1"/>
  <c r="CP1433" i="1" s="1"/>
  <c r="BX1433" i="1"/>
  <c r="BN1433" i="1"/>
  <c r="BO1433" i="1" s="1"/>
  <c r="BD1433" i="1"/>
  <c r="BC1433" i="1"/>
  <c r="BB1433" i="1"/>
  <c r="BA1433" i="1"/>
  <c r="AZ1433" i="1"/>
  <c r="AY1433" i="1"/>
  <c r="AX1433" i="1"/>
  <c r="U1433" i="1"/>
  <c r="M1433" i="1"/>
  <c r="EM1413" i="1"/>
  <c r="DU1413" i="1"/>
  <c r="DT1413" i="1"/>
  <c r="DN1413" i="1"/>
  <c r="DM1413" i="1"/>
  <c r="DL1413" i="1"/>
  <c r="DK1413" i="1"/>
  <c r="DI1413" i="1"/>
  <c r="DJ1413" i="1" s="1"/>
  <c r="DC1413" i="1"/>
  <c r="CX1413" i="1"/>
  <c r="CN1413" i="1"/>
  <c r="CS1413" i="1" s="1"/>
  <c r="BX1413" i="1"/>
  <c r="BN1413" i="1"/>
  <c r="BO1413" i="1" s="1"/>
  <c r="BD1413" i="1"/>
  <c r="BC1413" i="1"/>
  <c r="BB1413" i="1"/>
  <c r="BA1413" i="1"/>
  <c r="AZ1413" i="1"/>
  <c r="AY1413" i="1"/>
  <c r="AX1413" i="1"/>
  <c r="U1413" i="1"/>
  <c r="M1413" i="1"/>
  <c r="EM1412" i="1"/>
  <c r="DU1412" i="1"/>
  <c r="DT1412" i="1"/>
  <c r="DN1412" i="1"/>
  <c r="DM1412" i="1"/>
  <c r="DL1412" i="1"/>
  <c r="DK1412" i="1"/>
  <c r="DI1412" i="1"/>
  <c r="DJ1412" i="1" s="1"/>
  <c r="DC1412" i="1"/>
  <c r="CX1412" i="1"/>
  <c r="CN1412" i="1"/>
  <c r="CR1412" i="1" s="1"/>
  <c r="BX1412" i="1"/>
  <c r="BN1412" i="1"/>
  <c r="BO1412" i="1" s="1"/>
  <c r="BD1412" i="1"/>
  <c r="BC1412" i="1"/>
  <c r="BB1412" i="1"/>
  <c r="BA1412" i="1"/>
  <c r="AZ1412" i="1"/>
  <c r="AY1412" i="1"/>
  <c r="AX1412" i="1"/>
  <c r="U1412" i="1"/>
  <c r="M1412" i="1"/>
  <c r="EM1411" i="1"/>
  <c r="DU1411" i="1"/>
  <c r="DT1411" i="1"/>
  <c r="DN1411" i="1"/>
  <c r="DM1411" i="1"/>
  <c r="DL1411" i="1"/>
  <c r="DK1411" i="1"/>
  <c r="DI1411" i="1"/>
  <c r="DJ1411" i="1" s="1"/>
  <c r="DC1411" i="1"/>
  <c r="CX1411" i="1"/>
  <c r="CN1411" i="1"/>
  <c r="CO1411" i="1" s="1"/>
  <c r="BX1411" i="1"/>
  <c r="BN1411" i="1"/>
  <c r="BO1411" i="1" s="1"/>
  <c r="BD1411" i="1"/>
  <c r="BC1411" i="1"/>
  <c r="BB1411" i="1"/>
  <c r="BA1411" i="1"/>
  <c r="AZ1411" i="1"/>
  <c r="AY1411" i="1"/>
  <c r="AX1411" i="1"/>
  <c r="U1411" i="1"/>
  <c r="M1411" i="1"/>
  <c r="EM1410" i="1"/>
  <c r="DU1410" i="1"/>
  <c r="DT1410" i="1"/>
  <c r="DN1410" i="1"/>
  <c r="DM1410" i="1"/>
  <c r="DL1410" i="1"/>
  <c r="DK1410" i="1"/>
  <c r="DI1410" i="1"/>
  <c r="DJ1410" i="1" s="1"/>
  <c r="DC1410" i="1"/>
  <c r="CX1410" i="1"/>
  <c r="CN1410" i="1"/>
  <c r="CS1410" i="1" s="1"/>
  <c r="BX1410" i="1"/>
  <c r="BN1410" i="1"/>
  <c r="BO1410" i="1" s="1"/>
  <c r="BD1410" i="1"/>
  <c r="BC1410" i="1"/>
  <c r="BB1410" i="1"/>
  <c r="BA1410" i="1"/>
  <c r="AZ1410" i="1"/>
  <c r="AY1410" i="1"/>
  <c r="AX1410" i="1"/>
  <c r="U1410" i="1"/>
  <c r="M1410" i="1"/>
  <c r="EM1409" i="1"/>
  <c r="DU1409" i="1"/>
  <c r="DT1409" i="1"/>
  <c r="DN1409" i="1"/>
  <c r="DM1409" i="1"/>
  <c r="DL1409" i="1"/>
  <c r="DK1409" i="1"/>
  <c r="DI1409" i="1"/>
  <c r="DJ1409" i="1" s="1"/>
  <c r="DC1409" i="1"/>
  <c r="CX1409" i="1"/>
  <c r="CN1409" i="1"/>
  <c r="CR1409" i="1" s="1"/>
  <c r="BX1409" i="1"/>
  <c r="BN1409" i="1"/>
  <c r="BO1409" i="1" s="1"/>
  <c r="BD1409" i="1"/>
  <c r="BC1409" i="1"/>
  <c r="BB1409" i="1"/>
  <c r="BA1409" i="1"/>
  <c r="AZ1409" i="1"/>
  <c r="AY1409" i="1"/>
  <c r="AX1409" i="1"/>
  <c r="U1409" i="1"/>
  <c r="M1409" i="1"/>
  <c r="EM1408" i="1"/>
  <c r="DU1408" i="1"/>
  <c r="DT1408" i="1"/>
  <c r="DN1408" i="1"/>
  <c r="DM1408" i="1"/>
  <c r="DL1408" i="1"/>
  <c r="DK1408" i="1"/>
  <c r="DI1408" i="1"/>
  <c r="DJ1408" i="1" s="1"/>
  <c r="DC1408" i="1"/>
  <c r="CX1408" i="1"/>
  <c r="CN1408" i="1"/>
  <c r="CO1408" i="1" s="1"/>
  <c r="BV1408" i="1"/>
  <c r="BX1408" i="1" s="1"/>
  <c r="BU1408" i="1"/>
  <c r="BN1408" i="1"/>
  <c r="BO1408" i="1" s="1"/>
  <c r="BM1408" i="1"/>
  <c r="BD1408" i="1"/>
  <c r="BC1408" i="1"/>
  <c r="BB1408" i="1"/>
  <c r="BA1408" i="1"/>
  <c r="AZ1408" i="1"/>
  <c r="AY1408" i="1"/>
  <c r="AX1408" i="1"/>
  <c r="T1408" i="1"/>
  <c r="M1408" i="1"/>
  <c r="EM1407" i="1"/>
  <c r="DU1407" i="1"/>
  <c r="DT1407" i="1"/>
  <c r="DN1407" i="1"/>
  <c r="DM1407" i="1"/>
  <c r="DL1407" i="1"/>
  <c r="DK1407" i="1"/>
  <c r="DI1407" i="1"/>
  <c r="DJ1407" i="1" s="1"/>
  <c r="DC1407" i="1"/>
  <c r="CX1407" i="1"/>
  <c r="CN1407" i="1"/>
  <c r="CS1407" i="1" s="1"/>
  <c r="BV1407" i="1"/>
  <c r="BX1407" i="1" s="1"/>
  <c r="BU1407" i="1"/>
  <c r="BN1407" i="1"/>
  <c r="BO1407" i="1" s="1"/>
  <c r="BM1407" i="1"/>
  <c r="BD1407" i="1"/>
  <c r="BC1407" i="1"/>
  <c r="BB1407" i="1"/>
  <c r="BA1407" i="1"/>
  <c r="AZ1407" i="1"/>
  <c r="AY1407" i="1"/>
  <c r="AX1407" i="1"/>
  <c r="T1407" i="1"/>
  <c r="M1407" i="1"/>
  <c r="EM1406" i="1"/>
  <c r="DU1406" i="1"/>
  <c r="DT1406" i="1"/>
  <c r="DN1406" i="1"/>
  <c r="DM1406" i="1"/>
  <c r="DL1406" i="1"/>
  <c r="DK1406" i="1"/>
  <c r="DI1406" i="1"/>
  <c r="DJ1406" i="1" s="1"/>
  <c r="DC1406" i="1"/>
  <c r="CX1406" i="1"/>
  <c r="CN1406" i="1"/>
  <c r="BV1406" i="1"/>
  <c r="BX1406" i="1" s="1"/>
  <c r="BU1406" i="1"/>
  <c r="BN1406" i="1"/>
  <c r="BO1406" i="1" s="1"/>
  <c r="BM1406" i="1"/>
  <c r="BD1406" i="1"/>
  <c r="BC1406" i="1"/>
  <c r="BB1406" i="1"/>
  <c r="BA1406" i="1"/>
  <c r="AZ1406" i="1"/>
  <c r="AY1406" i="1"/>
  <c r="AX1406" i="1"/>
  <c r="T1406" i="1"/>
  <c r="M1406" i="1"/>
  <c r="EM1405" i="1"/>
  <c r="DU1405" i="1"/>
  <c r="DT1405" i="1"/>
  <c r="DN1405" i="1"/>
  <c r="DM1405" i="1"/>
  <c r="DL1405" i="1"/>
  <c r="DK1405" i="1"/>
  <c r="DI1405" i="1"/>
  <c r="DJ1405" i="1" s="1"/>
  <c r="DC1405" i="1"/>
  <c r="CX1405" i="1"/>
  <c r="CN1405" i="1"/>
  <c r="CS1405" i="1" s="1"/>
  <c r="BV1405" i="1"/>
  <c r="BX1405" i="1" s="1"/>
  <c r="BU1405" i="1"/>
  <c r="BN1405" i="1"/>
  <c r="BO1405" i="1" s="1"/>
  <c r="BM1405" i="1"/>
  <c r="BD1405" i="1"/>
  <c r="BC1405" i="1"/>
  <c r="BB1405" i="1"/>
  <c r="BA1405" i="1"/>
  <c r="AZ1405" i="1"/>
  <c r="AY1405" i="1"/>
  <c r="AX1405" i="1"/>
  <c r="T1405" i="1"/>
  <c r="M1405" i="1"/>
  <c r="EM1404" i="1"/>
  <c r="DU1404" i="1"/>
  <c r="DT1404" i="1"/>
  <c r="DN1404" i="1"/>
  <c r="DM1404" i="1"/>
  <c r="DL1404" i="1"/>
  <c r="DK1404" i="1"/>
  <c r="DI1404" i="1"/>
  <c r="DJ1404" i="1" s="1"/>
  <c r="DC1404" i="1"/>
  <c r="CX1404" i="1"/>
  <c r="CN1404" i="1"/>
  <c r="BV1404" i="1"/>
  <c r="BX1404" i="1" s="1"/>
  <c r="BU1404" i="1"/>
  <c r="BN1404" i="1"/>
  <c r="BO1404" i="1" s="1"/>
  <c r="BM1404" i="1"/>
  <c r="BD1404" i="1"/>
  <c r="BC1404" i="1"/>
  <c r="BB1404" i="1"/>
  <c r="BA1404" i="1"/>
  <c r="AZ1404" i="1"/>
  <c r="AY1404" i="1"/>
  <c r="AX1404" i="1"/>
  <c r="T1404" i="1"/>
  <c r="M1404" i="1"/>
  <c r="EM1403" i="1"/>
  <c r="DU1403" i="1"/>
  <c r="DT1403" i="1"/>
  <c r="DN1403" i="1"/>
  <c r="DM1403" i="1"/>
  <c r="DL1403" i="1"/>
  <c r="DK1403" i="1"/>
  <c r="DI1403" i="1"/>
  <c r="DJ1403" i="1" s="1"/>
  <c r="DC1403" i="1"/>
  <c r="CX1403" i="1"/>
  <c r="CN1403" i="1"/>
  <c r="CO1403" i="1" s="1"/>
  <c r="BV1403" i="1"/>
  <c r="BX1403" i="1" s="1"/>
  <c r="BU1403" i="1"/>
  <c r="BN1403" i="1"/>
  <c r="BO1403" i="1" s="1"/>
  <c r="BM1403" i="1"/>
  <c r="BD1403" i="1"/>
  <c r="BC1403" i="1"/>
  <c r="BB1403" i="1"/>
  <c r="BA1403" i="1"/>
  <c r="AZ1403" i="1"/>
  <c r="AY1403" i="1"/>
  <c r="AX1403" i="1"/>
  <c r="T1403" i="1"/>
  <c r="M1403" i="1"/>
  <c r="EM1354" i="1"/>
  <c r="DU1354" i="1"/>
  <c r="DT1354" i="1"/>
  <c r="DN1354" i="1"/>
  <c r="DM1354" i="1"/>
  <c r="DL1354" i="1"/>
  <c r="DK1354" i="1"/>
  <c r="DI1354" i="1"/>
  <c r="DJ1354" i="1" s="1"/>
  <c r="DC1354" i="1"/>
  <c r="CX1354" i="1"/>
  <c r="BV1354" i="1"/>
  <c r="BX1354" i="1" s="1"/>
  <c r="BU1354" i="1"/>
  <c r="BL1354" i="1"/>
  <c r="BO1354" i="1" s="1"/>
  <c r="BK1354" i="1"/>
  <c r="BD1354" i="1"/>
  <c r="BC1354" i="1"/>
  <c r="BB1354" i="1"/>
  <c r="BA1354" i="1"/>
  <c r="AZ1354" i="1"/>
  <c r="AY1354" i="1"/>
  <c r="BE1354" i="1" s="1" a="1"/>
  <c r="BE1354" i="1" s="1"/>
  <c r="AX1354" i="1"/>
  <c r="M1354" i="1"/>
  <c r="EM1353" i="1"/>
  <c r="DU1353" i="1"/>
  <c r="DT1353" i="1"/>
  <c r="DN1353" i="1"/>
  <c r="DM1353" i="1"/>
  <c r="DL1353" i="1"/>
  <c r="DK1353" i="1"/>
  <c r="DI1353" i="1"/>
  <c r="DJ1353" i="1" s="1"/>
  <c r="DC1353" i="1"/>
  <c r="CX1353" i="1"/>
  <c r="BT1353" i="1"/>
  <c r="BS1353" i="1"/>
  <c r="BL1353" i="1"/>
  <c r="BK1353" i="1"/>
  <c r="BD1353" i="1"/>
  <c r="BC1353" i="1"/>
  <c r="BB1353" i="1"/>
  <c r="BA1353" i="1"/>
  <c r="AZ1353" i="1"/>
  <c r="AY1353" i="1"/>
  <c r="BE1353" i="1" s="1" a="1"/>
  <c r="BE1353" i="1" s="1"/>
  <c r="AX1353" i="1"/>
  <c r="M1353" i="1"/>
  <c r="EM1352" i="1"/>
  <c r="DU1352" i="1"/>
  <c r="DT1352" i="1"/>
  <c r="DN1352" i="1"/>
  <c r="DM1352" i="1"/>
  <c r="DL1352" i="1"/>
  <c r="DK1352" i="1"/>
  <c r="DI1352" i="1"/>
  <c r="DJ1352" i="1" s="1"/>
  <c r="DC1352" i="1"/>
  <c r="CX1352" i="1"/>
  <c r="BV1352" i="1"/>
  <c r="BX1352" i="1" s="1"/>
  <c r="BU1352" i="1"/>
  <c r="BL1352" i="1"/>
  <c r="BK1352" i="1"/>
  <c r="BD1352" i="1"/>
  <c r="BC1352" i="1"/>
  <c r="BB1352" i="1"/>
  <c r="BA1352" i="1"/>
  <c r="AZ1352" i="1"/>
  <c r="AY1352" i="1"/>
  <c r="BE1352" i="1" s="1" a="1"/>
  <c r="BE1352" i="1" s="1"/>
  <c r="AX1352" i="1"/>
  <c r="M1352" i="1"/>
  <c r="EM1351" i="1"/>
  <c r="DU1351" i="1"/>
  <c r="DT1351" i="1"/>
  <c r="DN1351" i="1"/>
  <c r="DM1351" i="1"/>
  <c r="DL1351" i="1"/>
  <c r="DK1351" i="1"/>
  <c r="DI1351" i="1"/>
  <c r="DJ1351" i="1" s="1"/>
  <c r="DC1351" i="1"/>
  <c r="CX1351" i="1"/>
  <c r="BV1351" i="1"/>
  <c r="BX1351" i="1" s="1"/>
  <c r="BU1351" i="1"/>
  <c r="BL1351" i="1"/>
  <c r="CN1351" i="1" s="1"/>
  <c r="BK1351" i="1"/>
  <c r="BD1351" i="1"/>
  <c r="BC1351" i="1"/>
  <c r="BB1351" i="1"/>
  <c r="BA1351" i="1"/>
  <c r="AZ1351" i="1"/>
  <c r="AY1351" i="1"/>
  <c r="BE1351" i="1" s="1" a="1"/>
  <c r="BE1351" i="1" s="1"/>
  <c r="AX1351" i="1"/>
  <c r="M1351" i="1"/>
  <c r="EM1350" i="1"/>
  <c r="DU1350" i="1"/>
  <c r="DT1350" i="1"/>
  <c r="DN1350" i="1"/>
  <c r="DM1350" i="1"/>
  <c r="DL1350" i="1"/>
  <c r="DK1350" i="1"/>
  <c r="DI1350" i="1"/>
  <c r="DJ1350" i="1" s="1"/>
  <c r="DC1350" i="1"/>
  <c r="CX1350" i="1"/>
  <c r="BV1350" i="1"/>
  <c r="BX1350" i="1" s="1"/>
  <c r="BU1350" i="1"/>
  <c r="BL1350" i="1"/>
  <c r="BK1350" i="1"/>
  <c r="BD1350" i="1"/>
  <c r="BC1350" i="1"/>
  <c r="BB1350" i="1"/>
  <c r="BA1350" i="1"/>
  <c r="AZ1350" i="1"/>
  <c r="AY1350" i="1"/>
  <c r="BE1350" i="1" s="1" a="1"/>
  <c r="BE1350" i="1" s="1"/>
  <c r="AX1350" i="1"/>
  <c r="M1350" i="1"/>
  <c r="EM1349" i="1"/>
  <c r="DU1349" i="1"/>
  <c r="DT1349" i="1"/>
  <c r="DN1349" i="1"/>
  <c r="DM1349" i="1"/>
  <c r="DL1349" i="1"/>
  <c r="DK1349" i="1"/>
  <c r="DI1349" i="1"/>
  <c r="DJ1349" i="1" s="1"/>
  <c r="DC1349" i="1"/>
  <c r="CX1349" i="1"/>
  <c r="BT1349" i="1"/>
  <c r="BS1349" i="1"/>
  <c r="BL1349" i="1"/>
  <c r="BK1349" i="1"/>
  <c r="BD1349" i="1"/>
  <c r="BC1349" i="1"/>
  <c r="BB1349" i="1"/>
  <c r="BA1349" i="1"/>
  <c r="AZ1349" i="1"/>
  <c r="AY1349" i="1"/>
  <c r="BE1349" i="1" s="1" a="1"/>
  <c r="BE1349" i="1" s="1"/>
  <c r="AX1349" i="1"/>
  <c r="M1349" i="1"/>
  <c r="EM1357" i="1"/>
  <c r="DU1357" i="1"/>
  <c r="DT1357" i="1"/>
  <c r="DN1357" i="1"/>
  <c r="DM1357" i="1"/>
  <c r="DL1357" i="1"/>
  <c r="DK1357" i="1"/>
  <c r="DI1357" i="1"/>
  <c r="DJ1357" i="1" s="1"/>
  <c r="DC1357" i="1"/>
  <c r="CX1357" i="1"/>
  <c r="BT1357" i="1"/>
  <c r="BS1357" i="1"/>
  <c r="BL1357" i="1"/>
  <c r="BK1357" i="1"/>
  <c r="BD1357" i="1"/>
  <c r="BC1357" i="1"/>
  <c r="BB1357" i="1"/>
  <c r="BA1357" i="1"/>
  <c r="AZ1357" i="1"/>
  <c r="AY1357" i="1"/>
  <c r="BE1357" i="1" s="1" a="1"/>
  <c r="BE1357" i="1" s="1"/>
  <c r="AX1357" i="1"/>
  <c r="M1357" i="1"/>
  <c r="EM1356" i="1"/>
  <c r="DU1356" i="1"/>
  <c r="DT1356" i="1"/>
  <c r="DN1356" i="1"/>
  <c r="DM1356" i="1"/>
  <c r="DL1356" i="1"/>
  <c r="DK1356" i="1"/>
  <c r="DI1356" i="1"/>
  <c r="DJ1356" i="1" s="1"/>
  <c r="DC1356" i="1"/>
  <c r="CX1356" i="1"/>
  <c r="BT1356" i="1"/>
  <c r="BS1356" i="1"/>
  <c r="BU1356" i="1" s="1"/>
  <c r="BL1356" i="1"/>
  <c r="BK1356" i="1"/>
  <c r="BD1356" i="1"/>
  <c r="BC1356" i="1"/>
  <c r="BB1356" i="1"/>
  <c r="BA1356" i="1"/>
  <c r="AZ1356" i="1"/>
  <c r="AY1356" i="1"/>
  <c r="BE1356" i="1" s="1" a="1"/>
  <c r="BE1356" i="1" s="1"/>
  <c r="AX1356" i="1"/>
  <c r="M1356" i="1"/>
  <c r="EM1355" i="1"/>
  <c r="DU1355" i="1"/>
  <c r="DT1355" i="1"/>
  <c r="DN1355" i="1"/>
  <c r="DM1355" i="1"/>
  <c r="DL1355" i="1"/>
  <c r="DK1355" i="1"/>
  <c r="DI1355" i="1"/>
  <c r="DJ1355" i="1" s="1"/>
  <c r="DC1355" i="1"/>
  <c r="CX1355" i="1"/>
  <c r="BU1355" i="1"/>
  <c r="BT1355" i="1"/>
  <c r="BV1355" i="1" s="1"/>
  <c r="BX1355" i="1" s="1"/>
  <c r="BL1355" i="1"/>
  <c r="BO1355" i="1" s="1"/>
  <c r="BK1355" i="1"/>
  <c r="BD1355" i="1"/>
  <c r="BC1355" i="1"/>
  <c r="BB1355" i="1"/>
  <c r="BA1355" i="1"/>
  <c r="AZ1355" i="1"/>
  <c r="AY1355" i="1"/>
  <c r="BE1355" i="1" s="1" a="1"/>
  <c r="BE1355" i="1" s="1"/>
  <c r="AX1355" i="1"/>
  <c r="M1355" i="1"/>
  <c r="EM1318" i="1"/>
  <c r="DU1318" i="1"/>
  <c r="DT1318" i="1"/>
  <c r="DN1318" i="1"/>
  <c r="DM1318" i="1"/>
  <c r="DL1318" i="1"/>
  <c r="DK1318" i="1"/>
  <c r="DI1318" i="1"/>
  <c r="DJ1318" i="1" s="1"/>
  <c r="DC1318" i="1"/>
  <c r="CX1318" i="1"/>
  <c r="CN1318" i="1"/>
  <c r="CS1318" i="1" s="1"/>
  <c r="BV1318" i="1"/>
  <c r="BX1318" i="1" s="1"/>
  <c r="BU1318" i="1"/>
  <c r="BN1318" i="1"/>
  <c r="BO1318" i="1" s="1"/>
  <c r="BD1318" i="1"/>
  <c r="BC1318" i="1"/>
  <c r="BB1318" i="1"/>
  <c r="BA1318" i="1"/>
  <c r="AZ1318" i="1"/>
  <c r="AY1318" i="1"/>
  <c r="AX1318" i="1"/>
  <c r="M1318" i="1"/>
  <c r="EM1317" i="1"/>
  <c r="DU1317" i="1"/>
  <c r="DT1317" i="1"/>
  <c r="DN1317" i="1"/>
  <c r="DM1317" i="1"/>
  <c r="DL1317" i="1"/>
  <c r="DK1317" i="1"/>
  <c r="DI1317" i="1"/>
  <c r="DJ1317" i="1" s="1"/>
  <c r="DC1317" i="1"/>
  <c r="CX1317" i="1"/>
  <c r="CN1317" i="1"/>
  <c r="CO1317" i="1" s="1"/>
  <c r="BV1317" i="1"/>
  <c r="BX1317" i="1" s="1"/>
  <c r="BU1317" i="1"/>
  <c r="BN1317" i="1"/>
  <c r="BO1317" i="1" s="1"/>
  <c r="BD1317" i="1"/>
  <c r="BC1317" i="1"/>
  <c r="BB1317" i="1"/>
  <c r="BA1317" i="1"/>
  <c r="AZ1317" i="1"/>
  <c r="AY1317" i="1"/>
  <c r="AX1317" i="1"/>
  <c r="M1317" i="1"/>
  <c r="EM1300" i="1"/>
  <c r="DU1300" i="1"/>
  <c r="DT1300" i="1"/>
  <c r="DN1300" i="1"/>
  <c r="DM1300" i="1"/>
  <c r="DL1300" i="1"/>
  <c r="DK1300" i="1"/>
  <c r="DI1300" i="1"/>
  <c r="DJ1300" i="1" s="1"/>
  <c r="DC1300" i="1"/>
  <c r="CX1300" i="1"/>
  <c r="CN1300" i="1"/>
  <c r="CP1300" i="1" s="1"/>
  <c r="BV1300" i="1"/>
  <c r="BX1300" i="1" s="1"/>
  <c r="BN1300" i="1"/>
  <c r="BO1300" i="1" s="1"/>
  <c r="BM1300" i="1"/>
  <c r="BD1300" i="1"/>
  <c r="BC1300" i="1"/>
  <c r="BB1300" i="1"/>
  <c r="BA1300" i="1"/>
  <c r="AZ1300" i="1"/>
  <c r="AY1300" i="1"/>
  <c r="BE1300" i="1" s="1" a="1"/>
  <c r="BE1300" i="1" s="1"/>
  <c r="AX1300" i="1"/>
  <c r="M1300" i="1"/>
  <c r="EM1304" i="1"/>
  <c r="DU1304" i="1"/>
  <c r="DT1304" i="1"/>
  <c r="DN1304" i="1"/>
  <c r="DM1304" i="1"/>
  <c r="DL1304" i="1"/>
  <c r="DK1304" i="1"/>
  <c r="DI1304" i="1"/>
  <c r="DJ1304" i="1" s="1"/>
  <c r="DC1304" i="1"/>
  <c r="CX1304" i="1"/>
  <c r="CN1304" i="1"/>
  <c r="BV1304" i="1"/>
  <c r="BX1304" i="1" s="1"/>
  <c r="BN1304" i="1"/>
  <c r="BO1304" i="1" s="1"/>
  <c r="BM1304" i="1"/>
  <c r="BD1304" i="1"/>
  <c r="BC1304" i="1"/>
  <c r="BB1304" i="1"/>
  <c r="BA1304" i="1"/>
  <c r="AZ1304" i="1"/>
  <c r="AY1304" i="1"/>
  <c r="BE1304" i="1" s="1" a="1"/>
  <c r="BE1304" i="1" s="1"/>
  <c r="AX1304" i="1"/>
  <c r="M1304" i="1"/>
  <c r="EM1305" i="1"/>
  <c r="DU1305" i="1"/>
  <c r="DT1305" i="1"/>
  <c r="DN1305" i="1"/>
  <c r="DM1305" i="1"/>
  <c r="DL1305" i="1"/>
  <c r="DK1305" i="1"/>
  <c r="DI1305" i="1"/>
  <c r="DJ1305" i="1" s="1"/>
  <c r="DC1305" i="1"/>
  <c r="CX1305" i="1"/>
  <c r="CN1305" i="1"/>
  <c r="CO1305" i="1" s="1"/>
  <c r="BV1305" i="1"/>
  <c r="BX1305" i="1" s="1"/>
  <c r="BN1305" i="1"/>
  <c r="BO1305" i="1" s="1"/>
  <c r="BM1305" i="1"/>
  <c r="BD1305" i="1"/>
  <c r="BC1305" i="1"/>
  <c r="BB1305" i="1"/>
  <c r="BA1305" i="1"/>
  <c r="AZ1305" i="1"/>
  <c r="AY1305" i="1"/>
  <c r="BE1305" i="1" s="1" a="1"/>
  <c r="BE1305" i="1" s="1"/>
  <c r="AX1305" i="1"/>
  <c r="M1305" i="1"/>
  <c r="EM1306" i="1"/>
  <c r="DU1306" i="1"/>
  <c r="DT1306" i="1"/>
  <c r="DN1306" i="1"/>
  <c r="DM1306" i="1"/>
  <c r="DL1306" i="1"/>
  <c r="DK1306" i="1"/>
  <c r="DI1306" i="1"/>
  <c r="DJ1306" i="1" s="1"/>
  <c r="DC1306" i="1"/>
  <c r="CX1306" i="1"/>
  <c r="CN1306" i="1"/>
  <c r="CS1306" i="1" s="1"/>
  <c r="BV1306" i="1"/>
  <c r="BX1306" i="1" s="1"/>
  <c r="BN1306" i="1"/>
  <c r="BO1306" i="1" s="1"/>
  <c r="BM1306" i="1"/>
  <c r="BD1306" i="1"/>
  <c r="BC1306" i="1"/>
  <c r="BB1306" i="1"/>
  <c r="BA1306" i="1"/>
  <c r="AZ1306" i="1"/>
  <c r="AY1306" i="1"/>
  <c r="BE1306" i="1" s="1" a="1"/>
  <c r="BE1306" i="1" s="1"/>
  <c r="AX1306" i="1"/>
  <c r="M1306" i="1"/>
  <c r="EM1307" i="1"/>
  <c r="DU1307" i="1"/>
  <c r="DT1307" i="1"/>
  <c r="DN1307" i="1"/>
  <c r="DM1307" i="1"/>
  <c r="DL1307" i="1"/>
  <c r="DK1307" i="1"/>
  <c r="DI1307" i="1"/>
  <c r="DJ1307" i="1" s="1"/>
  <c r="DC1307" i="1"/>
  <c r="CX1307" i="1"/>
  <c r="CN1307" i="1"/>
  <c r="BV1307" i="1"/>
  <c r="BX1307" i="1" s="1"/>
  <c r="BN1307" i="1"/>
  <c r="BO1307" i="1" s="1"/>
  <c r="BM1307" i="1"/>
  <c r="BD1307" i="1"/>
  <c r="BC1307" i="1"/>
  <c r="BB1307" i="1"/>
  <c r="BA1307" i="1"/>
  <c r="AZ1307" i="1"/>
  <c r="AY1307" i="1"/>
  <c r="BE1307" i="1" s="1" a="1"/>
  <c r="BE1307" i="1" s="1"/>
  <c r="AX1307" i="1"/>
  <c r="M1307" i="1"/>
  <c r="EM1308" i="1"/>
  <c r="DU1308" i="1"/>
  <c r="DT1308" i="1"/>
  <c r="DN1308" i="1"/>
  <c r="DM1308" i="1"/>
  <c r="DL1308" i="1"/>
  <c r="DK1308" i="1"/>
  <c r="DI1308" i="1"/>
  <c r="DJ1308" i="1" s="1"/>
  <c r="DC1308" i="1"/>
  <c r="CX1308" i="1"/>
  <c r="CN1308" i="1"/>
  <c r="CP1308" i="1" s="1"/>
  <c r="BV1308" i="1"/>
  <c r="BX1308" i="1" s="1"/>
  <c r="BN1308" i="1"/>
  <c r="BO1308" i="1" s="1"/>
  <c r="BM1308" i="1"/>
  <c r="BD1308" i="1"/>
  <c r="BC1308" i="1"/>
  <c r="BB1308" i="1"/>
  <c r="BA1308" i="1"/>
  <c r="AZ1308" i="1"/>
  <c r="AY1308" i="1"/>
  <c r="BE1308" i="1" s="1" a="1"/>
  <c r="BE1308" i="1" s="1"/>
  <c r="AX1308" i="1"/>
  <c r="M1308" i="1"/>
  <c r="EM1302" i="1"/>
  <c r="DU1302" i="1"/>
  <c r="DT1302" i="1"/>
  <c r="DN1302" i="1"/>
  <c r="DM1302" i="1"/>
  <c r="DL1302" i="1"/>
  <c r="DK1302" i="1"/>
  <c r="DI1302" i="1"/>
  <c r="DJ1302" i="1" s="1"/>
  <c r="DC1302" i="1"/>
  <c r="CX1302" i="1"/>
  <c r="CN1302" i="1"/>
  <c r="CS1302" i="1" s="1"/>
  <c r="BV1302" i="1"/>
  <c r="BX1302" i="1" s="1"/>
  <c r="BN1302" i="1"/>
  <c r="BO1302" i="1" s="1"/>
  <c r="BM1302" i="1"/>
  <c r="BD1302" i="1"/>
  <c r="BC1302" i="1"/>
  <c r="BB1302" i="1"/>
  <c r="BA1302" i="1"/>
  <c r="AZ1302" i="1"/>
  <c r="AY1302" i="1"/>
  <c r="BE1302" i="1" s="1" a="1"/>
  <c r="BE1302" i="1" s="1"/>
  <c r="AX1302" i="1"/>
  <c r="M1302" i="1"/>
  <c r="EM1301" i="1"/>
  <c r="DU1301" i="1"/>
  <c r="DT1301" i="1"/>
  <c r="DN1301" i="1"/>
  <c r="DM1301" i="1"/>
  <c r="DL1301" i="1"/>
  <c r="DK1301" i="1"/>
  <c r="DI1301" i="1"/>
  <c r="DJ1301" i="1" s="1"/>
  <c r="DC1301" i="1"/>
  <c r="CX1301" i="1"/>
  <c r="CN1301" i="1"/>
  <c r="BV1301" i="1"/>
  <c r="BX1301" i="1" s="1"/>
  <c r="BN1301" i="1"/>
  <c r="BO1301" i="1" s="1"/>
  <c r="BM1301" i="1"/>
  <c r="BD1301" i="1"/>
  <c r="BC1301" i="1"/>
  <c r="BB1301" i="1"/>
  <c r="BA1301" i="1"/>
  <c r="AZ1301" i="1"/>
  <c r="AY1301" i="1"/>
  <c r="BE1301" i="1" s="1" a="1"/>
  <c r="BE1301" i="1" s="1"/>
  <c r="AX1301" i="1"/>
  <c r="M1301" i="1"/>
  <c r="EM1299" i="1"/>
  <c r="DU1299" i="1"/>
  <c r="DT1299" i="1"/>
  <c r="DN1299" i="1"/>
  <c r="DM1299" i="1"/>
  <c r="DL1299" i="1"/>
  <c r="DK1299" i="1"/>
  <c r="DI1299" i="1"/>
  <c r="DJ1299" i="1" s="1"/>
  <c r="DC1299" i="1"/>
  <c r="CX1299" i="1"/>
  <c r="CN1299" i="1"/>
  <c r="BV1299" i="1"/>
  <c r="BX1299" i="1" s="1"/>
  <c r="BN1299" i="1"/>
  <c r="BO1299" i="1" s="1"/>
  <c r="BM1299" i="1"/>
  <c r="BD1299" i="1"/>
  <c r="BC1299" i="1"/>
  <c r="BB1299" i="1"/>
  <c r="BA1299" i="1"/>
  <c r="AZ1299" i="1"/>
  <c r="AY1299" i="1"/>
  <c r="BE1299" i="1" s="1" a="1"/>
  <c r="BE1299" i="1" s="1"/>
  <c r="AX1299" i="1"/>
  <c r="M1299" i="1"/>
  <c r="EM1303" i="1"/>
  <c r="DU1303" i="1"/>
  <c r="DT1303" i="1"/>
  <c r="DN1303" i="1"/>
  <c r="DM1303" i="1"/>
  <c r="DL1303" i="1"/>
  <c r="DK1303" i="1"/>
  <c r="DI1303" i="1"/>
  <c r="DJ1303" i="1" s="1"/>
  <c r="DC1303" i="1"/>
  <c r="CX1303" i="1"/>
  <c r="CN1303" i="1"/>
  <c r="BV1303" i="1"/>
  <c r="BX1303" i="1" s="1"/>
  <c r="BN1303" i="1"/>
  <c r="BO1303" i="1" s="1"/>
  <c r="BM1303" i="1"/>
  <c r="BD1303" i="1"/>
  <c r="BC1303" i="1"/>
  <c r="BB1303" i="1"/>
  <c r="BA1303" i="1"/>
  <c r="AZ1303" i="1"/>
  <c r="AY1303" i="1"/>
  <c r="BE1303" i="1" s="1" a="1"/>
  <c r="BE1303" i="1" s="1"/>
  <c r="AX1303" i="1"/>
  <c r="M1303" i="1"/>
  <c r="EM1309" i="1"/>
  <c r="DU1309" i="1"/>
  <c r="DT1309" i="1"/>
  <c r="DN1309" i="1"/>
  <c r="DM1309" i="1"/>
  <c r="DL1309" i="1"/>
  <c r="DK1309" i="1"/>
  <c r="DI1309" i="1"/>
  <c r="DJ1309" i="1" s="1"/>
  <c r="DC1309" i="1"/>
  <c r="CX1309" i="1"/>
  <c r="CN1309" i="1"/>
  <c r="CP1309" i="1" s="1"/>
  <c r="BV1309" i="1"/>
  <c r="BX1309" i="1" s="1"/>
  <c r="BN1309" i="1"/>
  <c r="BO1309" i="1" s="1"/>
  <c r="BM1309" i="1"/>
  <c r="BD1309" i="1"/>
  <c r="BC1309" i="1"/>
  <c r="BB1309" i="1"/>
  <c r="BA1309" i="1"/>
  <c r="AZ1309" i="1"/>
  <c r="AY1309" i="1"/>
  <c r="BE1309" i="1" s="1" a="1"/>
  <c r="BE1309" i="1" s="1"/>
  <c r="AX1309" i="1"/>
  <c r="M1309" i="1"/>
  <c r="EM1310" i="1"/>
  <c r="DU1310" i="1"/>
  <c r="DT1310" i="1"/>
  <c r="DN1310" i="1"/>
  <c r="DM1310" i="1"/>
  <c r="DL1310" i="1"/>
  <c r="DK1310" i="1"/>
  <c r="DI1310" i="1"/>
  <c r="DJ1310" i="1" s="1"/>
  <c r="DC1310" i="1"/>
  <c r="CX1310" i="1"/>
  <c r="CN1310" i="1"/>
  <c r="BV1310" i="1"/>
  <c r="BX1310" i="1" s="1"/>
  <c r="BN1310" i="1"/>
  <c r="BO1310" i="1" s="1"/>
  <c r="BM1310" i="1"/>
  <c r="BD1310" i="1"/>
  <c r="BC1310" i="1"/>
  <c r="BB1310" i="1"/>
  <c r="BA1310" i="1"/>
  <c r="AZ1310" i="1"/>
  <c r="AY1310" i="1"/>
  <c r="BE1310" i="1" s="1" a="1"/>
  <c r="BE1310" i="1" s="1"/>
  <c r="AX1310" i="1"/>
  <c r="M1310" i="1"/>
  <c r="EM1311" i="1"/>
  <c r="DU1311" i="1"/>
  <c r="DT1311" i="1"/>
  <c r="DN1311" i="1"/>
  <c r="DM1311" i="1"/>
  <c r="DL1311" i="1"/>
  <c r="DK1311" i="1"/>
  <c r="DI1311" i="1"/>
  <c r="DJ1311" i="1" s="1"/>
  <c r="DC1311" i="1"/>
  <c r="CX1311" i="1"/>
  <c r="CN1311" i="1"/>
  <c r="CR1311" i="1" s="1"/>
  <c r="BV1311" i="1"/>
  <c r="BX1311" i="1" s="1"/>
  <c r="BN1311" i="1"/>
  <c r="BO1311" i="1" s="1"/>
  <c r="BM1311" i="1"/>
  <c r="BD1311" i="1"/>
  <c r="BC1311" i="1"/>
  <c r="BB1311" i="1"/>
  <c r="BA1311" i="1"/>
  <c r="AZ1311" i="1"/>
  <c r="AY1311" i="1"/>
  <c r="BE1311" i="1" s="1" a="1"/>
  <c r="BE1311" i="1" s="1"/>
  <c r="AX1311" i="1"/>
  <c r="M1311" i="1"/>
  <c r="EM1298" i="1"/>
  <c r="DU1298" i="1"/>
  <c r="DT1298" i="1"/>
  <c r="DN1298" i="1"/>
  <c r="DM1298" i="1"/>
  <c r="DL1298" i="1"/>
  <c r="DK1298" i="1"/>
  <c r="DI1298" i="1"/>
  <c r="DJ1298" i="1" s="1"/>
  <c r="DC1298" i="1"/>
  <c r="CX1298" i="1"/>
  <c r="CN1298" i="1"/>
  <c r="BX1298" i="1"/>
  <c r="BY1298" i="1" s="1"/>
  <c r="BD1298" i="1"/>
  <c r="BC1298" i="1"/>
  <c r="BB1298" i="1"/>
  <c r="BA1298" i="1"/>
  <c r="AZ1298" i="1"/>
  <c r="AY1298" i="1"/>
  <c r="BE1298" i="1" s="1" a="1"/>
  <c r="BE1298" i="1" s="1"/>
  <c r="AX1298" i="1"/>
  <c r="M1298" i="1"/>
  <c r="EM1297" i="1"/>
  <c r="DU1297" i="1"/>
  <c r="DT1297" i="1"/>
  <c r="DN1297" i="1"/>
  <c r="DM1297" i="1"/>
  <c r="DL1297" i="1"/>
  <c r="DK1297" i="1"/>
  <c r="DI1297" i="1"/>
  <c r="DJ1297" i="1" s="1"/>
  <c r="DC1297" i="1"/>
  <c r="CX1297" i="1"/>
  <c r="CN1297" i="1"/>
  <c r="BX1297" i="1"/>
  <c r="BY1297" i="1" s="1"/>
  <c r="BD1297" i="1"/>
  <c r="BC1297" i="1"/>
  <c r="BB1297" i="1"/>
  <c r="BA1297" i="1"/>
  <c r="AZ1297" i="1"/>
  <c r="AY1297" i="1"/>
  <c r="BE1297" i="1" s="1" a="1"/>
  <c r="BE1297" i="1" s="1"/>
  <c r="AX1297" i="1"/>
  <c r="M1297" i="1"/>
  <c r="EM1296" i="1"/>
  <c r="DU1296" i="1"/>
  <c r="DT1296" i="1"/>
  <c r="DN1296" i="1"/>
  <c r="DM1296" i="1"/>
  <c r="DL1296" i="1"/>
  <c r="DK1296" i="1"/>
  <c r="DI1296" i="1"/>
  <c r="DJ1296" i="1" s="1"/>
  <c r="DC1296" i="1"/>
  <c r="CX1296" i="1"/>
  <c r="CN1296" i="1"/>
  <c r="CS1296" i="1" s="1"/>
  <c r="BX1296" i="1"/>
  <c r="BD1296" i="1"/>
  <c r="BC1296" i="1"/>
  <c r="BB1296" i="1"/>
  <c r="BA1296" i="1"/>
  <c r="AZ1296" i="1"/>
  <c r="AY1296" i="1"/>
  <c r="BE1296" i="1" s="1" a="1"/>
  <c r="BE1296" i="1" s="1"/>
  <c r="AX1296" i="1"/>
  <c r="M1296" i="1"/>
  <c r="EM1295" i="1"/>
  <c r="DU1295" i="1"/>
  <c r="DT1295" i="1"/>
  <c r="DN1295" i="1"/>
  <c r="DM1295" i="1"/>
  <c r="DL1295" i="1"/>
  <c r="DK1295" i="1"/>
  <c r="DI1295" i="1"/>
  <c r="DJ1295" i="1" s="1"/>
  <c r="DC1295" i="1"/>
  <c r="CX1295" i="1"/>
  <c r="CN1295" i="1"/>
  <c r="CR1295" i="1" s="1"/>
  <c r="BX1295" i="1"/>
  <c r="BD1295" i="1"/>
  <c r="BC1295" i="1"/>
  <c r="BB1295" i="1"/>
  <c r="BA1295" i="1"/>
  <c r="AZ1295" i="1"/>
  <c r="AY1295" i="1"/>
  <c r="BE1295" i="1" s="1" a="1"/>
  <c r="BE1295" i="1" s="1"/>
  <c r="AX1295" i="1"/>
  <c r="M1295" i="1"/>
  <c r="EM1294" i="1"/>
  <c r="DU1294" i="1"/>
  <c r="DT1294" i="1"/>
  <c r="DN1294" i="1"/>
  <c r="DM1294" i="1"/>
  <c r="DL1294" i="1"/>
  <c r="DK1294" i="1"/>
  <c r="DI1294" i="1"/>
  <c r="DJ1294" i="1" s="1"/>
  <c r="DC1294" i="1"/>
  <c r="CX1294" i="1"/>
  <c r="CN1294" i="1"/>
  <c r="CS1294" i="1" s="1"/>
  <c r="BX1294" i="1"/>
  <c r="BY1294" i="1" s="1"/>
  <c r="BD1294" i="1"/>
  <c r="BC1294" i="1"/>
  <c r="BB1294" i="1"/>
  <c r="BA1294" i="1"/>
  <c r="AZ1294" i="1"/>
  <c r="AY1294" i="1"/>
  <c r="BE1294" i="1" s="1" a="1"/>
  <c r="BE1294" i="1" s="1"/>
  <c r="AX1294" i="1"/>
  <c r="M1294" i="1"/>
  <c r="EM1293" i="1"/>
  <c r="DU1293" i="1"/>
  <c r="DT1293" i="1"/>
  <c r="DN1293" i="1"/>
  <c r="DM1293" i="1"/>
  <c r="DL1293" i="1"/>
  <c r="DK1293" i="1"/>
  <c r="DI1293" i="1"/>
  <c r="DJ1293" i="1" s="1"/>
  <c r="DC1293" i="1"/>
  <c r="CX1293" i="1"/>
  <c r="CN1293" i="1"/>
  <c r="CS1293" i="1" s="1"/>
  <c r="BX1293" i="1"/>
  <c r="BY1293" i="1" s="1"/>
  <c r="BD1293" i="1"/>
  <c r="BC1293" i="1"/>
  <c r="BB1293" i="1"/>
  <c r="BA1293" i="1"/>
  <c r="AZ1293" i="1"/>
  <c r="AY1293" i="1"/>
  <c r="BE1293" i="1" s="1" a="1"/>
  <c r="BE1293" i="1" s="1"/>
  <c r="AX1293" i="1"/>
  <c r="M1293" i="1"/>
  <c r="EM1292" i="1"/>
  <c r="DU1292" i="1"/>
  <c r="DT1292" i="1"/>
  <c r="DN1292" i="1"/>
  <c r="DM1292" i="1"/>
  <c r="DL1292" i="1"/>
  <c r="DK1292" i="1"/>
  <c r="DI1292" i="1"/>
  <c r="DJ1292" i="1" s="1"/>
  <c r="DC1292" i="1"/>
  <c r="CX1292" i="1"/>
  <c r="CN1292" i="1"/>
  <c r="CS1292" i="1" s="1"/>
  <c r="BX1292" i="1"/>
  <c r="BD1292" i="1"/>
  <c r="BC1292" i="1"/>
  <c r="BB1292" i="1"/>
  <c r="BA1292" i="1"/>
  <c r="AZ1292" i="1"/>
  <c r="AY1292" i="1"/>
  <c r="BE1292" i="1" s="1" a="1"/>
  <c r="BE1292" i="1" s="1"/>
  <c r="AX1292" i="1"/>
  <c r="M1292" i="1"/>
  <c r="EM1291" i="1"/>
  <c r="DU1291" i="1"/>
  <c r="DT1291" i="1"/>
  <c r="DN1291" i="1"/>
  <c r="DM1291" i="1"/>
  <c r="DL1291" i="1"/>
  <c r="DK1291" i="1"/>
  <c r="DI1291" i="1"/>
  <c r="DJ1291" i="1" s="1"/>
  <c r="DC1291" i="1"/>
  <c r="CX1291" i="1"/>
  <c r="CN1291" i="1"/>
  <c r="CR1291" i="1" s="1"/>
  <c r="BX1291" i="1"/>
  <c r="BD1291" i="1"/>
  <c r="BC1291" i="1"/>
  <c r="BB1291" i="1"/>
  <c r="BA1291" i="1"/>
  <c r="AZ1291" i="1"/>
  <c r="AY1291" i="1"/>
  <c r="BE1291" i="1" s="1" a="1"/>
  <c r="BE1291" i="1" s="1"/>
  <c r="AX1291" i="1"/>
  <c r="M1291" i="1"/>
  <c r="EM1290" i="1"/>
  <c r="DU1290" i="1"/>
  <c r="DT1290" i="1"/>
  <c r="DN1290" i="1"/>
  <c r="DM1290" i="1"/>
  <c r="DL1290" i="1"/>
  <c r="DK1290" i="1"/>
  <c r="DI1290" i="1"/>
  <c r="DJ1290" i="1" s="1"/>
  <c r="DC1290" i="1"/>
  <c r="CX1290" i="1"/>
  <c r="CN1290" i="1"/>
  <c r="CS1290" i="1" s="1"/>
  <c r="BX1290" i="1"/>
  <c r="BY1290" i="1" s="1"/>
  <c r="BD1290" i="1"/>
  <c r="BC1290" i="1"/>
  <c r="BB1290" i="1"/>
  <c r="BA1290" i="1"/>
  <c r="AZ1290" i="1"/>
  <c r="AY1290" i="1"/>
  <c r="BE1290" i="1" s="1" a="1"/>
  <c r="BE1290" i="1" s="1"/>
  <c r="AX1290" i="1"/>
  <c r="M1290" i="1"/>
  <c r="EM1289" i="1"/>
  <c r="DU1289" i="1"/>
  <c r="DT1289" i="1"/>
  <c r="DN1289" i="1"/>
  <c r="DM1289" i="1"/>
  <c r="DL1289" i="1"/>
  <c r="DK1289" i="1"/>
  <c r="DI1289" i="1"/>
  <c r="DJ1289" i="1" s="1"/>
  <c r="DC1289" i="1"/>
  <c r="CX1289" i="1"/>
  <c r="CN1289" i="1"/>
  <c r="CS1289" i="1" s="1"/>
  <c r="BX1289" i="1"/>
  <c r="BY1289" i="1" s="1"/>
  <c r="BD1289" i="1"/>
  <c r="BC1289" i="1"/>
  <c r="BB1289" i="1"/>
  <c r="BA1289" i="1"/>
  <c r="AZ1289" i="1"/>
  <c r="AY1289" i="1"/>
  <c r="BE1289" i="1" s="1" a="1"/>
  <c r="BE1289" i="1" s="1"/>
  <c r="AX1289" i="1"/>
  <c r="M1289" i="1"/>
  <c r="EM1288" i="1"/>
  <c r="DU1288" i="1"/>
  <c r="DT1288" i="1"/>
  <c r="DN1288" i="1"/>
  <c r="DM1288" i="1"/>
  <c r="DL1288" i="1"/>
  <c r="DK1288" i="1"/>
  <c r="DI1288" i="1"/>
  <c r="DJ1288" i="1" s="1"/>
  <c r="DC1288" i="1"/>
  <c r="CX1288" i="1"/>
  <c r="CN1288" i="1"/>
  <c r="CS1288" i="1" s="1"/>
  <c r="BX1288" i="1"/>
  <c r="BY1288" i="1" s="1"/>
  <c r="BD1288" i="1"/>
  <c r="BC1288" i="1"/>
  <c r="BB1288" i="1"/>
  <c r="BA1288" i="1"/>
  <c r="AZ1288" i="1"/>
  <c r="AY1288" i="1"/>
  <c r="BE1288" i="1" s="1" a="1"/>
  <c r="BE1288" i="1" s="1"/>
  <c r="AX1288" i="1"/>
  <c r="M1288" i="1"/>
  <c r="EM1287" i="1"/>
  <c r="DU1287" i="1"/>
  <c r="DT1287" i="1"/>
  <c r="DN1287" i="1"/>
  <c r="DM1287" i="1"/>
  <c r="DL1287" i="1"/>
  <c r="DK1287" i="1"/>
  <c r="DI1287" i="1"/>
  <c r="DJ1287" i="1" s="1"/>
  <c r="DC1287" i="1"/>
  <c r="CX1287" i="1"/>
  <c r="CN1287" i="1"/>
  <c r="CR1287" i="1" s="1"/>
  <c r="BX1287" i="1"/>
  <c r="BY1287" i="1" s="1"/>
  <c r="BD1287" i="1"/>
  <c r="BC1287" i="1"/>
  <c r="BB1287" i="1"/>
  <c r="BA1287" i="1"/>
  <c r="AZ1287" i="1"/>
  <c r="AY1287" i="1"/>
  <c r="BE1287" i="1" s="1" a="1"/>
  <c r="BE1287" i="1" s="1"/>
  <c r="AX1287" i="1"/>
  <c r="M1287" i="1"/>
  <c r="EM1286" i="1"/>
  <c r="DU1286" i="1"/>
  <c r="DT1286" i="1"/>
  <c r="DN1286" i="1"/>
  <c r="DM1286" i="1"/>
  <c r="DL1286" i="1"/>
  <c r="DK1286" i="1"/>
  <c r="DI1286" i="1"/>
  <c r="DJ1286" i="1" s="1"/>
  <c r="DC1286" i="1"/>
  <c r="CX1286" i="1"/>
  <c r="CN1286" i="1"/>
  <c r="BX1286" i="1"/>
  <c r="BY1286" i="1" s="1"/>
  <c r="BD1286" i="1"/>
  <c r="BC1286" i="1"/>
  <c r="BB1286" i="1"/>
  <c r="BA1286" i="1"/>
  <c r="AZ1286" i="1"/>
  <c r="AY1286" i="1"/>
  <c r="BE1286" i="1" s="1" a="1"/>
  <c r="BE1286" i="1" s="1"/>
  <c r="AX1286" i="1"/>
  <c r="M1286" i="1"/>
  <c r="EM1285" i="1"/>
  <c r="DU1285" i="1"/>
  <c r="DT1285" i="1"/>
  <c r="DN1285" i="1"/>
  <c r="DM1285" i="1"/>
  <c r="DL1285" i="1"/>
  <c r="DK1285" i="1"/>
  <c r="DI1285" i="1"/>
  <c r="DJ1285" i="1" s="1"/>
  <c r="DC1285" i="1"/>
  <c r="CX1285" i="1"/>
  <c r="CN1285" i="1"/>
  <c r="CS1285" i="1" s="1"/>
  <c r="BX1285" i="1"/>
  <c r="BY1285" i="1" s="1"/>
  <c r="BD1285" i="1"/>
  <c r="BC1285" i="1"/>
  <c r="BB1285" i="1"/>
  <c r="BA1285" i="1"/>
  <c r="AZ1285" i="1"/>
  <c r="AY1285" i="1"/>
  <c r="BE1285" i="1" s="1" a="1"/>
  <c r="BE1285" i="1" s="1"/>
  <c r="AX1285" i="1"/>
  <c r="M1285" i="1"/>
  <c r="EM1284" i="1"/>
  <c r="DU1284" i="1"/>
  <c r="DT1284" i="1"/>
  <c r="DN1284" i="1"/>
  <c r="DM1284" i="1"/>
  <c r="DL1284" i="1"/>
  <c r="DK1284" i="1"/>
  <c r="DI1284" i="1"/>
  <c r="DJ1284" i="1" s="1"/>
  <c r="DC1284" i="1"/>
  <c r="CX1284" i="1"/>
  <c r="CN1284" i="1"/>
  <c r="CS1284" i="1" s="1"/>
  <c r="BX1284" i="1"/>
  <c r="BY1284" i="1" s="1"/>
  <c r="BD1284" i="1"/>
  <c r="BC1284" i="1"/>
  <c r="BB1284" i="1"/>
  <c r="BA1284" i="1"/>
  <c r="AZ1284" i="1"/>
  <c r="AY1284" i="1"/>
  <c r="BE1284" i="1" s="1" a="1"/>
  <c r="BE1284" i="1" s="1"/>
  <c r="AX1284" i="1"/>
  <c r="M1284" i="1"/>
  <c r="EM1283" i="1"/>
  <c r="DU1283" i="1"/>
  <c r="DT1283" i="1"/>
  <c r="DN1283" i="1"/>
  <c r="DM1283" i="1"/>
  <c r="DL1283" i="1"/>
  <c r="DK1283" i="1"/>
  <c r="DI1283" i="1"/>
  <c r="DJ1283" i="1" s="1"/>
  <c r="DC1283" i="1"/>
  <c r="CX1283" i="1"/>
  <c r="CN1283" i="1"/>
  <c r="BX1283" i="1"/>
  <c r="BY1283" i="1" s="1"/>
  <c r="BD1283" i="1"/>
  <c r="BC1283" i="1"/>
  <c r="BB1283" i="1"/>
  <c r="BA1283" i="1"/>
  <c r="AZ1283" i="1"/>
  <c r="AY1283" i="1"/>
  <c r="BE1283" i="1" s="1" a="1"/>
  <c r="BE1283" i="1" s="1"/>
  <c r="AX1283" i="1"/>
  <c r="M1283" i="1"/>
  <c r="EM1282" i="1"/>
  <c r="DU1282" i="1"/>
  <c r="DT1282" i="1"/>
  <c r="DN1282" i="1"/>
  <c r="DM1282" i="1"/>
  <c r="DL1282" i="1"/>
  <c r="DK1282" i="1"/>
  <c r="DI1282" i="1"/>
  <c r="DJ1282" i="1" s="1"/>
  <c r="DC1282" i="1"/>
  <c r="CX1282" i="1"/>
  <c r="CN1282" i="1"/>
  <c r="CS1282" i="1" s="1"/>
  <c r="BX1282" i="1"/>
  <c r="BY1282" i="1" s="1"/>
  <c r="BD1282" i="1"/>
  <c r="BC1282" i="1"/>
  <c r="BB1282" i="1"/>
  <c r="BA1282" i="1"/>
  <c r="AZ1282" i="1"/>
  <c r="AY1282" i="1"/>
  <c r="BE1282" i="1" s="1" a="1"/>
  <c r="BE1282" i="1" s="1"/>
  <c r="AX1282" i="1"/>
  <c r="M1282" i="1"/>
  <c r="EM1281" i="1"/>
  <c r="DU1281" i="1"/>
  <c r="DT1281" i="1"/>
  <c r="DN1281" i="1"/>
  <c r="DM1281" i="1"/>
  <c r="DL1281" i="1"/>
  <c r="DK1281" i="1"/>
  <c r="DI1281" i="1"/>
  <c r="DJ1281" i="1" s="1"/>
  <c r="DC1281" i="1"/>
  <c r="CX1281" i="1"/>
  <c r="CN1281" i="1"/>
  <c r="BX1281" i="1"/>
  <c r="BY1281" i="1" s="1"/>
  <c r="BD1281" i="1"/>
  <c r="BC1281" i="1"/>
  <c r="BB1281" i="1"/>
  <c r="BA1281" i="1"/>
  <c r="AZ1281" i="1"/>
  <c r="AY1281" i="1"/>
  <c r="BE1281" i="1" s="1" a="1"/>
  <c r="BE1281" i="1" s="1"/>
  <c r="AX1281" i="1"/>
  <c r="M1281" i="1"/>
  <c r="EM1280" i="1"/>
  <c r="DU1280" i="1"/>
  <c r="DT1280" i="1"/>
  <c r="DN1280" i="1"/>
  <c r="DM1280" i="1"/>
  <c r="DL1280" i="1"/>
  <c r="DK1280" i="1"/>
  <c r="DI1280" i="1"/>
  <c r="DJ1280" i="1" s="1"/>
  <c r="DC1280" i="1"/>
  <c r="CX1280" i="1"/>
  <c r="CN1280" i="1"/>
  <c r="BX1280" i="1"/>
  <c r="BY1280" i="1" s="1"/>
  <c r="BD1280" i="1"/>
  <c r="BC1280" i="1"/>
  <c r="BB1280" i="1"/>
  <c r="BA1280" i="1"/>
  <c r="AZ1280" i="1"/>
  <c r="AY1280" i="1"/>
  <c r="BE1280" i="1" s="1" a="1"/>
  <c r="BE1280" i="1" s="1"/>
  <c r="AX1280" i="1"/>
  <c r="M1280" i="1"/>
  <c r="EM1279" i="1"/>
  <c r="DU1279" i="1"/>
  <c r="DT1279" i="1"/>
  <c r="DN1279" i="1"/>
  <c r="DM1279" i="1"/>
  <c r="DL1279" i="1"/>
  <c r="DK1279" i="1"/>
  <c r="DI1279" i="1"/>
  <c r="DJ1279" i="1" s="1"/>
  <c r="DC1279" i="1"/>
  <c r="CX1279" i="1"/>
  <c r="CN1279" i="1"/>
  <c r="BX1279" i="1"/>
  <c r="BY1279" i="1" s="1"/>
  <c r="BD1279" i="1"/>
  <c r="BC1279" i="1"/>
  <c r="BB1279" i="1"/>
  <c r="BA1279" i="1"/>
  <c r="AZ1279" i="1"/>
  <c r="AY1279" i="1"/>
  <c r="BE1279" i="1" s="1" a="1"/>
  <c r="BE1279" i="1" s="1"/>
  <c r="AX1279" i="1"/>
  <c r="M1279" i="1"/>
  <c r="EM1278" i="1"/>
  <c r="DU1278" i="1"/>
  <c r="DT1278" i="1"/>
  <c r="DN1278" i="1"/>
  <c r="DM1278" i="1"/>
  <c r="DL1278" i="1"/>
  <c r="DK1278" i="1"/>
  <c r="DI1278" i="1"/>
  <c r="DJ1278" i="1" s="1"/>
  <c r="DC1278" i="1"/>
  <c r="CX1278" i="1"/>
  <c r="CN1278" i="1"/>
  <c r="BX1278" i="1"/>
  <c r="BY1278" i="1" s="1"/>
  <c r="BD1278" i="1"/>
  <c r="BC1278" i="1"/>
  <c r="BB1278" i="1"/>
  <c r="BA1278" i="1"/>
  <c r="AZ1278" i="1"/>
  <c r="AY1278" i="1"/>
  <c r="BE1278" i="1" s="1" a="1"/>
  <c r="BE1278" i="1" s="1"/>
  <c r="AX1278" i="1"/>
  <c r="M1278" i="1"/>
  <c r="EM1277" i="1"/>
  <c r="DU1277" i="1"/>
  <c r="DT1277" i="1"/>
  <c r="DN1277" i="1"/>
  <c r="DM1277" i="1"/>
  <c r="DL1277" i="1"/>
  <c r="DK1277" i="1"/>
  <c r="DI1277" i="1"/>
  <c r="DJ1277" i="1" s="1"/>
  <c r="DC1277" i="1"/>
  <c r="CX1277" i="1"/>
  <c r="CN1277" i="1"/>
  <c r="CR1277" i="1" s="1"/>
  <c r="BX1277" i="1"/>
  <c r="BY1277" i="1" s="1"/>
  <c r="BD1277" i="1"/>
  <c r="BC1277" i="1"/>
  <c r="BB1277" i="1"/>
  <c r="BA1277" i="1"/>
  <c r="AZ1277" i="1"/>
  <c r="AY1277" i="1"/>
  <c r="BE1277" i="1" s="1" a="1"/>
  <c r="BE1277" i="1" s="1"/>
  <c r="AX1277" i="1"/>
  <c r="M1277" i="1"/>
  <c r="EM1276" i="1"/>
  <c r="DU1276" i="1"/>
  <c r="DT1276" i="1"/>
  <c r="DN1276" i="1"/>
  <c r="DM1276" i="1"/>
  <c r="DL1276" i="1"/>
  <c r="DK1276" i="1"/>
  <c r="DI1276" i="1"/>
  <c r="DJ1276" i="1" s="1"/>
  <c r="DC1276" i="1"/>
  <c r="CX1276" i="1"/>
  <c r="CN1276" i="1"/>
  <c r="BX1276" i="1"/>
  <c r="BY1276" i="1" s="1"/>
  <c r="BD1276" i="1"/>
  <c r="BC1276" i="1"/>
  <c r="BB1276" i="1"/>
  <c r="BA1276" i="1"/>
  <c r="AZ1276" i="1"/>
  <c r="AY1276" i="1"/>
  <c r="BE1276" i="1" s="1" a="1"/>
  <c r="BE1276" i="1" s="1"/>
  <c r="AX1276" i="1"/>
  <c r="M1276" i="1"/>
  <c r="EM1275" i="1"/>
  <c r="DU1275" i="1"/>
  <c r="DT1275" i="1"/>
  <c r="DN1275" i="1"/>
  <c r="DM1275" i="1"/>
  <c r="DL1275" i="1"/>
  <c r="DK1275" i="1"/>
  <c r="DI1275" i="1"/>
  <c r="DJ1275" i="1" s="1"/>
  <c r="DC1275" i="1"/>
  <c r="CX1275" i="1"/>
  <c r="CN1275" i="1"/>
  <c r="CS1275" i="1" s="1"/>
  <c r="BX1275" i="1"/>
  <c r="BY1275" i="1" s="1"/>
  <c r="BD1275" i="1"/>
  <c r="BC1275" i="1"/>
  <c r="BB1275" i="1"/>
  <c r="BA1275" i="1"/>
  <c r="AZ1275" i="1"/>
  <c r="AY1275" i="1"/>
  <c r="BE1275" i="1" s="1" a="1"/>
  <c r="BE1275" i="1" s="1"/>
  <c r="AX1275" i="1"/>
  <c r="M1275" i="1"/>
  <c r="EM1274" i="1"/>
  <c r="DU1274" i="1"/>
  <c r="DT1274" i="1"/>
  <c r="DN1274" i="1"/>
  <c r="DM1274" i="1"/>
  <c r="DL1274" i="1"/>
  <c r="DK1274" i="1"/>
  <c r="DI1274" i="1"/>
  <c r="DJ1274" i="1" s="1"/>
  <c r="DC1274" i="1"/>
  <c r="CX1274" i="1"/>
  <c r="CN1274" i="1"/>
  <c r="CS1274" i="1" s="1"/>
  <c r="BX1274" i="1"/>
  <c r="BY1274" i="1" s="1"/>
  <c r="BD1274" i="1"/>
  <c r="BC1274" i="1"/>
  <c r="BB1274" i="1"/>
  <c r="BA1274" i="1"/>
  <c r="AZ1274" i="1"/>
  <c r="AY1274" i="1"/>
  <c r="BE1274" i="1" s="1" a="1"/>
  <c r="BE1274" i="1" s="1"/>
  <c r="AX1274" i="1"/>
  <c r="M1274" i="1"/>
  <c r="EM1273" i="1"/>
  <c r="DU1273" i="1"/>
  <c r="DT1273" i="1"/>
  <c r="DN1273" i="1"/>
  <c r="DM1273" i="1"/>
  <c r="DL1273" i="1"/>
  <c r="DK1273" i="1"/>
  <c r="DI1273" i="1"/>
  <c r="DJ1273" i="1" s="1"/>
  <c r="DC1273" i="1"/>
  <c r="CX1273" i="1"/>
  <c r="CN1273" i="1"/>
  <c r="BX1273" i="1"/>
  <c r="BY1273" i="1" s="1"/>
  <c r="BD1273" i="1"/>
  <c r="BC1273" i="1"/>
  <c r="BB1273" i="1"/>
  <c r="BA1273" i="1"/>
  <c r="AZ1273" i="1"/>
  <c r="AY1273" i="1"/>
  <c r="BE1273" i="1" s="1" a="1"/>
  <c r="BE1273" i="1" s="1"/>
  <c r="AX1273" i="1"/>
  <c r="M1273" i="1"/>
  <c r="EM1272" i="1"/>
  <c r="DU1272" i="1"/>
  <c r="DT1272" i="1"/>
  <c r="DN1272" i="1"/>
  <c r="DM1272" i="1"/>
  <c r="DL1272" i="1"/>
  <c r="DK1272" i="1"/>
  <c r="DI1272" i="1"/>
  <c r="DJ1272" i="1" s="1"/>
  <c r="DC1272" i="1"/>
  <c r="CX1272" i="1"/>
  <c r="CN1272" i="1"/>
  <c r="BX1272" i="1"/>
  <c r="BY1272" i="1" s="1"/>
  <c r="BD1272" i="1"/>
  <c r="BC1272" i="1"/>
  <c r="BB1272" i="1"/>
  <c r="BA1272" i="1"/>
  <c r="AZ1272" i="1"/>
  <c r="AY1272" i="1"/>
  <c r="BE1272" i="1" s="1" a="1"/>
  <c r="BE1272" i="1" s="1"/>
  <c r="AX1272" i="1"/>
  <c r="M1272" i="1"/>
  <c r="EM1271" i="1"/>
  <c r="DU1271" i="1"/>
  <c r="DT1271" i="1"/>
  <c r="DN1271" i="1"/>
  <c r="DM1271" i="1"/>
  <c r="DL1271" i="1"/>
  <c r="DK1271" i="1"/>
  <c r="DI1271" i="1"/>
  <c r="DJ1271" i="1" s="1"/>
  <c r="DC1271" i="1"/>
  <c r="CX1271" i="1"/>
  <c r="CN1271" i="1"/>
  <c r="CS1271" i="1" s="1"/>
  <c r="BX1271" i="1"/>
  <c r="BY1271" i="1" s="1"/>
  <c r="BD1271" i="1"/>
  <c r="BC1271" i="1"/>
  <c r="BB1271" i="1"/>
  <c r="BA1271" i="1"/>
  <c r="AZ1271" i="1"/>
  <c r="AY1271" i="1"/>
  <c r="BE1271" i="1" s="1" a="1"/>
  <c r="BE1271" i="1" s="1"/>
  <c r="AX1271" i="1"/>
  <c r="M1271" i="1"/>
  <c r="EM1270" i="1"/>
  <c r="DU1270" i="1"/>
  <c r="DT1270" i="1"/>
  <c r="DN1270" i="1"/>
  <c r="DM1270" i="1"/>
  <c r="DL1270" i="1"/>
  <c r="DK1270" i="1"/>
  <c r="DI1270" i="1"/>
  <c r="DJ1270" i="1" s="1"/>
  <c r="DC1270" i="1"/>
  <c r="CX1270" i="1"/>
  <c r="CN1270" i="1"/>
  <c r="CS1270" i="1" s="1"/>
  <c r="BX1270" i="1"/>
  <c r="BY1270" i="1" s="1"/>
  <c r="BD1270" i="1"/>
  <c r="BC1270" i="1"/>
  <c r="BB1270" i="1"/>
  <c r="BA1270" i="1"/>
  <c r="AZ1270" i="1"/>
  <c r="AY1270" i="1"/>
  <c r="BE1270" i="1" s="1" a="1"/>
  <c r="BE1270" i="1" s="1"/>
  <c r="AX1270" i="1"/>
  <c r="M1270" i="1"/>
  <c r="EM1269" i="1"/>
  <c r="DU1269" i="1"/>
  <c r="DT1269" i="1"/>
  <c r="DN1269" i="1"/>
  <c r="DM1269" i="1"/>
  <c r="DL1269" i="1"/>
  <c r="DK1269" i="1"/>
  <c r="DI1269" i="1"/>
  <c r="DJ1269" i="1" s="1"/>
  <c r="DC1269" i="1"/>
  <c r="CX1269" i="1"/>
  <c r="CN1269" i="1"/>
  <c r="CR1269" i="1" s="1"/>
  <c r="BX1269" i="1"/>
  <c r="BD1269" i="1"/>
  <c r="BC1269" i="1"/>
  <c r="BB1269" i="1"/>
  <c r="BA1269" i="1"/>
  <c r="AZ1269" i="1"/>
  <c r="AY1269" i="1"/>
  <c r="BE1269" i="1" s="1" a="1"/>
  <c r="BE1269" i="1" s="1"/>
  <c r="AX1269" i="1"/>
  <c r="M1269" i="1"/>
  <c r="EM1268" i="1"/>
  <c r="DU1268" i="1"/>
  <c r="DT1268" i="1"/>
  <c r="DN1268" i="1"/>
  <c r="DM1268" i="1"/>
  <c r="DL1268" i="1"/>
  <c r="DK1268" i="1"/>
  <c r="DI1268" i="1"/>
  <c r="DJ1268" i="1" s="1"/>
  <c r="DC1268" i="1"/>
  <c r="CX1268" i="1"/>
  <c r="CN1268" i="1"/>
  <c r="CR1268" i="1" s="1"/>
  <c r="BX1268" i="1"/>
  <c r="BY1268" i="1" s="1"/>
  <c r="BD1268" i="1"/>
  <c r="BC1268" i="1"/>
  <c r="BB1268" i="1"/>
  <c r="BA1268" i="1"/>
  <c r="AZ1268" i="1"/>
  <c r="AY1268" i="1"/>
  <c r="BE1268" i="1" s="1" a="1"/>
  <c r="BE1268" i="1" s="1"/>
  <c r="AX1268" i="1"/>
  <c r="M1268" i="1"/>
  <c r="EM1267" i="1"/>
  <c r="DU1267" i="1"/>
  <c r="DT1267" i="1"/>
  <c r="DN1267" i="1"/>
  <c r="DM1267" i="1"/>
  <c r="DL1267" i="1"/>
  <c r="DK1267" i="1"/>
  <c r="DI1267" i="1"/>
  <c r="DJ1267" i="1" s="1"/>
  <c r="DC1267" i="1"/>
  <c r="CX1267" i="1"/>
  <c r="CN1267" i="1"/>
  <c r="CS1267" i="1" s="1"/>
  <c r="BX1267" i="1"/>
  <c r="BY1267" i="1" s="1"/>
  <c r="BD1267" i="1"/>
  <c r="BC1267" i="1"/>
  <c r="BB1267" i="1"/>
  <c r="BA1267" i="1"/>
  <c r="AZ1267" i="1"/>
  <c r="AY1267" i="1"/>
  <c r="BE1267" i="1" s="1" a="1"/>
  <c r="BE1267" i="1" s="1"/>
  <c r="AX1267" i="1"/>
  <c r="M1267" i="1"/>
  <c r="EM1266" i="1"/>
  <c r="DU1266" i="1"/>
  <c r="DT1266" i="1"/>
  <c r="DN1266" i="1"/>
  <c r="DM1266" i="1"/>
  <c r="DL1266" i="1"/>
  <c r="DK1266" i="1"/>
  <c r="DI1266" i="1"/>
  <c r="DJ1266" i="1" s="1"/>
  <c r="DC1266" i="1"/>
  <c r="CX1266" i="1"/>
  <c r="CN1266" i="1"/>
  <c r="CS1266" i="1" s="1"/>
  <c r="BX1266" i="1"/>
  <c r="BY1266" i="1" s="1"/>
  <c r="BD1266" i="1"/>
  <c r="BC1266" i="1"/>
  <c r="BB1266" i="1"/>
  <c r="BA1266" i="1"/>
  <c r="AZ1266" i="1"/>
  <c r="AY1266" i="1"/>
  <c r="BE1266" i="1" s="1" a="1"/>
  <c r="BE1266" i="1" s="1"/>
  <c r="AX1266" i="1"/>
  <c r="M1266" i="1"/>
  <c r="EM1265" i="1"/>
  <c r="DU1265" i="1"/>
  <c r="DT1265" i="1"/>
  <c r="DN1265" i="1"/>
  <c r="DM1265" i="1"/>
  <c r="DL1265" i="1"/>
  <c r="DK1265" i="1"/>
  <c r="DI1265" i="1"/>
  <c r="DJ1265" i="1" s="1"/>
  <c r="DC1265" i="1"/>
  <c r="CX1265" i="1"/>
  <c r="CN1265" i="1"/>
  <c r="CS1265" i="1" s="1"/>
  <c r="BX1265" i="1"/>
  <c r="BY1265" i="1" s="1"/>
  <c r="BD1265" i="1"/>
  <c r="BC1265" i="1"/>
  <c r="BB1265" i="1"/>
  <c r="BA1265" i="1"/>
  <c r="AZ1265" i="1"/>
  <c r="AY1265" i="1"/>
  <c r="BE1265" i="1" s="1" a="1"/>
  <c r="BE1265" i="1" s="1"/>
  <c r="AX1265" i="1"/>
  <c r="M1265" i="1"/>
  <c r="EM1264" i="1"/>
  <c r="DU1264" i="1"/>
  <c r="DT1264" i="1"/>
  <c r="DN1264" i="1"/>
  <c r="DM1264" i="1"/>
  <c r="DL1264" i="1"/>
  <c r="DK1264" i="1"/>
  <c r="DI1264" i="1"/>
  <c r="DJ1264" i="1" s="1"/>
  <c r="DC1264" i="1"/>
  <c r="CX1264" i="1"/>
  <c r="CN1264" i="1"/>
  <c r="BX1264" i="1"/>
  <c r="BY1264" i="1" s="1"/>
  <c r="BD1264" i="1"/>
  <c r="BC1264" i="1"/>
  <c r="BB1264" i="1"/>
  <c r="BA1264" i="1"/>
  <c r="AZ1264" i="1"/>
  <c r="AY1264" i="1"/>
  <c r="BE1264" i="1" s="1" a="1"/>
  <c r="BE1264" i="1" s="1"/>
  <c r="AX1264" i="1"/>
  <c r="M1264" i="1"/>
  <c r="EM1263" i="1"/>
  <c r="DU1263" i="1"/>
  <c r="DT1263" i="1"/>
  <c r="DN1263" i="1"/>
  <c r="DM1263" i="1"/>
  <c r="DL1263" i="1"/>
  <c r="DK1263" i="1"/>
  <c r="DI1263" i="1"/>
  <c r="DJ1263" i="1" s="1"/>
  <c r="DC1263" i="1"/>
  <c r="CX1263" i="1"/>
  <c r="CN1263" i="1"/>
  <c r="CS1263" i="1" s="1"/>
  <c r="BX1263" i="1"/>
  <c r="BD1263" i="1"/>
  <c r="BC1263" i="1"/>
  <c r="BB1263" i="1"/>
  <c r="BA1263" i="1"/>
  <c r="AZ1263" i="1"/>
  <c r="AY1263" i="1"/>
  <c r="BE1263" i="1" s="1" a="1"/>
  <c r="BE1263" i="1" s="1"/>
  <c r="AX1263" i="1"/>
  <c r="M1263" i="1"/>
  <c r="EM1257" i="1"/>
  <c r="DU1257" i="1"/>
  <c r="DT1257" i="1"/>
  <c r="DN1257" i="1"/>
  <c r="DM1257" i="1"/>
  <c r="DL1257" i="1"/>
  <c r="DK1257" i="1"/>
  <c r="DI1257" i="1"/>
  <c r="DJ1257" i="1" s="1"/>
  <c r="DC1257" i="1"/>
  <c r="CX1257" i="1"/>
  <c r="CN1257" i="1"/>
  <c r="BT1257" i="1"/>
  <c r="BS1257" i="1"/>
  <c r="BN1257" i="1"/>
  <c r="BO1257" i="1" s="1"/>
  <c r="BD1257" i="1"/>
  <c r="BC1257" i="1"/>
  <c r="BB1257" i="1"/>
  <c r="BA1257" i="1"/>
  <c r="AZ1257" i="1"/>
  <c r="AY1257" i="1"/>
  <c r="BE1257" i="1" s="1" a="1"/>
  <c r="BE1257" i="1" s="1"/>
  <c r="AX1257" i="1"/>
  <c r="M1257" i="1"/>
  <c r="EM1256" i="1"/>
  <c r="DU1256" i="1"/>
  <c r="DT1256" i="1"/>
  <c r="DN1256" i="1"/>
  <c r="DM1256" i="1"/>
  <c r="DL1256" i="1"/>
  <c r="DK1256" i="1"/>
  <c r="DI1256" i="1"/>
  <c r="DJ1256" i="1" s="1"/>
  <c r="DC1256" i="1"/>
  <c r="CX1256" i="1"/>
  <c r="CN1256" i="1"/>
  <c r="CP1256" i="1" s="1"/>
  <c r="BT1256" i="1"/>
  <c r="BV1256" i="1" s="1"/>
  <c r="BX1256" i="1" s="1"/>
  <c r="BS1256" i="1"/>
  <c r="BN1256" i="1"/>
  <c r="BO1256" i="1" s="1"/>
  <c r="BD1256" i="1"/>
  <c r="BC1256" i="1"/>
  <c r="BB1256" i="1"/>
  <c r="BA1256" i="1"/>
  <c r="AZ1256" i="1"/>
  <c r="AY1256" i="1"/>
  <c r="BE1256" i="1" s="1" a="1"/>
  <c r="BE1256" i="1" s="1"/>
  <c r="AX1256" i="1"/>
  <c r="M1256" i="1"/>
  <c r="EM1251" i="1"/>
  <c r="DU1251" i="1"/>
  <c r="DT1251" i="1"/>
  <c r="DN1251" i="1"/>
  <c r="DM1251" i="1"/>
  <c r="DL1251" i="1"/>
  <c r="DK1251" i="1"/>
  <c r="DI1251" i="1"/>
  <c r="DJ1251" i="1" s="1"/>
  <c r="DC1251" i="1"/>
  <c r="CX1251" i="1"/>
  <c r="CN1251" i="1"/>
  <c r="CP1251" i="1" s="1"/>
  <c r="BV1251" i="1"/>
  <c r="BX1251" i="1" s="1"/>
  <c r="BT1251" i="1"/>
  <c r="BS1251" i="1"/>
  <c r="BN1251" i="1"/>
  <c r="BO1251" i="1" s="1"/>
  <c r="BD1251" i="1"/>
  <c r="BC1251" i="1"/>
  <c r="BB1251" i="1"/>
  <c r="BA1251" i="1"/>
  <c r="AZ1251" i="1"/>
  <c r="AY1251" i="1"/>
  <c r="BE1251" i="1" s="1" a="1"/>
  <c r="BE1251" i="1" s="1"/>
  <c r="AX1251" i="1"/>
  <c r="M1251" i="1"/>
  <c r="EM1248" i="1"/>
  <c r="DU1248" i="1"/>
  <c r="DT1248" i="1"/>
  <c r="DN1248" i="1"/>
  <c r="DM1248" i="1"/>
  <c r="DL1248" i="1"/>
  <c r="DK1248" i="1"/>
  <c r="DI1248" i="1"/>
  <c r="DJ1248" i="1" s="1"/>
  <c r="DC1248" i="1"/>
  <c r="CX1248" i="1"/>
  <c r="CN1248" i="1"/>
  <c r="CR1248" i="1" s="1"/>
  <c r="BT1248" i="1"/>
  <c r="BS1248" i="1"/>
  <c r="BN1248" i="1"/>
  <c r="BO1248" i="1" s="1"/>
  <c r="BD1248" i="1"/>
  <c r="BC1248" i="1"/>
  <c r="BB1248" i="1"/>
  <c r="BA1248" i="1"/>
  <c r="AZ1248" i="1"/>
  <c r="BF1248" i="1" s="1" a="1"/>
  <c r="BF1248" i="1" s="1"/>
  <c r="AY1248" i="1"/>
  <c r="BE1248" i="1" s="1" a="1"/>
  <c r="BE1248" i="1" s="1"/>
  <c r="AX1248" i="1"/>
  <c r="M1248" i="1"/>
  <c r="EM1246" i="1"/>
  <c r="DU1246" i="1"/>
  <c r="DT1246" i="1"/>
  <c r="DN1246" i="1"/>
  <c r="DM1246" i="1"/>
  <c r="DL1246" i="1"/>
  <c r="DK1246" i="1"/>
  <c r="DI1246" i="1"/>
  <c r="DJ1246" i="1" s="1"/>
  <c r="DC1246" i="1"/>
  <c r="CX1246" i="1"/>
  <c r="CN1246" i="1"/>
  <c r="BT1246" i="1"/>
  <c r="BS1246" i="1"/>
  <c r="BN1246" i="1"/>
  <c r="BO1246" i="1" s="1"/>
  <c r="BD1246" i="1"/>
  <c r="BC1246" i="1"/>
  <c r="BB1246" i="1"/>
  <c r="BA1246" i="1"/>
  <c r="AZ1246" i="1"/>
  <c r="AY1246" i="1"/>
  <c r="BE1246" i="1" s="1" a="1"/>
  <c r="BE1246" i="1" s="1"/>
  <c r="AX1246" i="1"/>
  <c r="M1246" i="1"/>
  <c r="EM1245" i="1"/>
  <c r="DU1245" i="1"/>
  <c r="DT1245" i="1"/>
  <c r="DN1245" i="1"/>
  <c r="DM1245" i="1"/>
  <c r="DL1245" i="1"/>
  <c r="DK1245" i="1"/>
  <c r="DI1245" i="1"/>
  <c r="DJ1245" i="1" s="1"/>
  <c r="DC1245" i="1"/>
  <c r="CX1245" i="1"/>
  <c r="CN1245" i="1"/>
  <c r="CR1245" i="1" s="1"/>
  <c r="BV1245" i="1"/>
  <c r="BX1245" i="1" s="1"/>
  <c r="BN1245" i="1"/>
  <c r="BO1245" i="1" s="1"/>
  <c r="BD1245" i="1"/>
  <c r="BC1245" i="1"/>
  <c r="BB1245" i="1"/>
  <c r="BA1245" i="1"/>
  <c r="AZ1245" i="1"/>
  <c r="AY1245" i="1"/>
  <c r="BE1245" i="1" s="1" a="1"/>
  <c r="BE1245" i="1" s="1"/>
  <c r="AX1245" i="1"/>
  <c r="M1245" i="1"/>
  <c r="EM1239" i="1"/>
  <c r="DU1239" i="1"/>
  <c r="DT1239" i="1"/>
  <c r="DN1239" i="1"/>
  <c r="DM1239" i="1"/>
  <c r="DL1239" i="1"/>
  <c r="DK1239" i="1"/>
  <c r="DI1239" i="1"/>
  <c r="DJ1239" i="1" s="1"/>
  <c r="DC1239" i="1"/>
  <c r="CX1239" i="1"/>
  <c r="CN1239" i="1"/>
  <c r="BV1239" i="1"/>
  <c r="BX1239" i="1" s="1"/>
  <c r="BN1239" i="1"/>
  <c r="BO1239" i="1" s="1"/>
  <c r="BD1239" i="1"/>
  <c r="BC1239" i="1"/>
  <c r="BB1239" i="1"/>
  <c r="BA1239" i="1"/>
  <c r="AZ1239" i="1"/>
  <c r="BF1239" i="1" s="1" a="1"/>
  <c r="BF1239" i="1" s="1"/>
  <c r="AY1239" i="1"/>
  <c r="BE1239" i="1" s="1" a="1"/>
  <c r="BE1239" i="1" s="1"/>
  <c r="AX1239" i="1"/>
  <c r="M1239" i="1"/>
  <c r="EM1235" i="1"/>
  <c r="DU1235" i="1"/>
  <c r="DT1235" i="1"/>
  <c r="DN1235" i="1"/>
  <c r="DM1235" i="1"/>
  <c r="DL1235" i="1"/>
  <c r="DK1235" i="1"/>
  <c r="DI1235" i="1"/>
  <c r="DJ1235" i="1" s="1"/>
  <c r="DC1235" i="1"/>
  <c r="CX1235" i="1"/>
  <c r="CN1235" i="1"/>
  <c r="BV1235" i="1"/>
  <c r="BX1235" i="1" s="1"/>
  <c r="BN1235" i="1"/>
  <c r="BO1235" i="1" s="1"/>
  <c r="BD1235" i="1"/>
  <c r="BC1235" i="1"/>
  <c r="BB1235" i="1"/>
  <c r="BA1235" i="1"/>
  <c r="AZ1235" i="1"/>
  <c r="AY1235" i="1"/>
  <c r="BE1235" i="1" s="1" a="1"/>
  <c r="BE1235" i="1" s="1"/>
  <c r="AX1235" i="1"/>
  <c r="M1235" i="1"/>
  <c r="EM1233" i="1"/>
  <c r="DU1233" i="1"/>
  <c r="DT1233" i="1"/>
  <c r="DN1233" i="1"/>
  <c r="DM1233" i="1"/>
  <c r="DL1233" i="1"/>
  <c r="DK1233" i="1"/>
  <c r="DI1233" i="1"/>
  <c r="DJ1233" i="1" s="1"/>
  <c r="DC1233" i="1"/>
  <c r="CX1233" i="1"/>
  <c r="CN1233" i="1"/>
  <c r="CO1233" i="1" s="1"/>
  <c r="BT1233" i="1"/>
  <c r="BS1233" i="1"/>
  <c r="BN1233" i="1"/>
  <c r="BO1233" i="1" s="1"/>
  <c r="BD1233" i="1"/>
  <c r="BC1233" i="1"/>
  <c r="BB1233" i="1"/>
  <c r="BA1233" i="1"/>
  <c r="AZ1233" i="1"/>
  <c r="AY1233" i="1"/>
  <c r="BE1233" i="1" s="1" a="1"/>
  <c r="BE1233" i="1" s="1"/>
  <c r="AX1233" i="1"/>
  <c r="M1233" i="1"/>
  <c r="EM1231" i="1"/>
  <c r="DU1231" i="1"/>
  <c r="DT1231" i="1"/>
  <c r="DN1231" i="1"/>
  <c r="DM1231" i="1"/>
  <c r="DL1231" i="1"/>
  <c r="DK1231" i="1"/>
  <c r="DI1231" i="1"/>
  <c r="DJ1231" i="1" s="1"/>
  <c r="DC1231" i="1"/>
  <c r="CX1231" i="1"/>
  <c r="CN1231" i="1"/>
  <c r="CP1231" i="1" s="1"/>
  <c r="BT1231" i="1"/>
  <c r="BS1231" i="1"/>
  <c r="BN1231" i="1"/>
  <c r="BO1231" i="1" s="1"/>
  <c r="BD1231" i="1"/>
  <c r="BC1231" i="1"/>
  <c r="BB1231" i="1"/>
  <c r="BA1231" i="1"/>
  <c r="AZ1231" i="1"/>
  <c r="AY1231" i="1"/>
  <c r="BE1231" i="1" s="1" a="1"/>
  <c r="BE1231" i="1" s="1"/>
  <c r="AX1231" i="1"/>
  <c r="M1231" i="1"/>
  <c r="EM1228" i="1"/>
  <c r="DU1228" i="1"/>
  <c r="DT1228" i="1"/>
  <c r="DN1228" i="1"/>
  <c r="DM1228" i="1"/>
  <c r="DL1228" i="1"/>
  <c r="DK1228" i="1"/>
  <c r="DI1228" i="1"/>
  <c r="DJ1228" i="1" s="1"/>
  <c r="DC1228" i="1"/>
  <c r="CX1228" i="1"/>
  <c r="CN1228" i="1"/>
  <c r="BT1228" i="1"/>
  <c r="BS1228" i="1"/>
  <c r="BN1228" i="1"/>
  <c r="BO1228" i="1" s="1"/>
  <c r="BD1228" i="1"/>
  <c r="BC1228" i="1"/>
  <c r="BB1228" i="1"/>
  <c r="BA1228" i="1"/>
  <c r="AZ1228" i="1"/>
  <c r="AY1228" i="1"/>
  <c r="BE1228" i="1" s="1" a="1"/>
  <c r="BE1228" i="1" s="1"/>
  <c r="AX1228" i="1"/>
  <c r="M1228" i="1"/>
  <c r="EM1222" i="1"/>
  <c r="DU1222" i="1"/>
  <c r="DT1222" i="1"/>
  <c r="DN1222" i="1"/>
  <c r="DM1222" i="1"/>
  <c r="DL1222" i="1"/>
  <c r="DK1222" i="1"/>
  <c r="DI1222" i="1"/>
  <c r="DJ1222" i="1" s="1"/>
  <c r="DC1222" i="1"/>
  <c r="CX1222" i="1"/>
  <c r="CN1222" i="1"/>
  <c r="CS1222" i="1" s="1"/>
  <c r="BV1222" i="1"/>
  <c r="BX1222" i="1" s="1"/>
  <c r="BN1222" i="1"/>
  <c r="BO1222" i="1" s="1"/>
  <c r="BD1222" i="1"/>
  <c r="BC1222" i="1"/>
  <c r="BB1222" i="1"/>
  <c r="BA1222" i="1"/>
  <c r="AZ1222" i="1"/>
  <c r="AY1222" i="1"/>
  <c r="BE1222" i="1" s="1" a="1"/>
  <c r="BE1222" i="1" s="1"/>
  <c r="AX1222" i="1"/>
  <c r="M1222" i="1"/>
  <c r="EM1244" i="1"/>
  <c r="DU1244" i="1"/>
  <c r="DT1244" i="1"/>
  <c r="DN1244" i="1"/>
  <c r="DM1244" i="1"/>
  <c r="DL1244" i="1"/>
  <c r="DK1244" i="1"/>
  <c r="DI1244" i="1"/>
  <c r="DJ1244" i="1" s="1"/>
  <c r="DC1244" i="1"/>
  <c r="CX1244" i="1"/>
  <c r="CN1244" i="1"/>
  <c r="CS1244" i="1" s="1"/>
  <c r="BV1244" i="1"/>
  <c r="BX1244" i="1" s="1"/>
  <c r="BN1244" i="1"/>
  <c r="BO1244" i="1" s="1"/>
  <c r="BD1244" i="1"/>
  <c r="BC1244" i="1"/>
  <c r="BB1244" i="1"/>
  <c r="BA1244" i="1"/>
  <c r="AZ1244" i="1"/>
  <c r="AY1244" i="1"/>
  <c r="BE1244" i="1" s="1" a="1"/>
  <c r="BE1244" i="1" s="1"/>
  <c r="AX1244" i="1"/>
  <c r="M1244" i="1"/>
  <c r="EM1252" i="1"/>
  <c r="DU1252" i="1"/>
  <c r="DT1252" i="1"/>
  <c r="DN1252" i="1"/>
  <c r="DM1252" i="1"/>
  <c r="DL1252" i="1"/>
  <c r="DK1252" i="1"/>
  <c r="DI1252" i="1"/>
  <c r="DJ1252" i="1" s="1"/>
  <c r="DC1252" i="1"/>
  <c r="CX1252" i="1"/>
  <c r="CN1252" i="1"/>
  <c r="BT1252" i="1"/>
  <c r="BS1252" i="1"/>
  <c r="BN1252" i="1"/>
  <c r="BO1252" i="1" s="1"/>
  <c r="BD1252" i="1"/>
  <c r="BC1252" i="1"/>
  <c r="BB1252" i="1"/>
  <c r="BA1252" i="1"/>
  <c r="AZ1252" i="1"/>
  <c r="AY1252" i="1"/>
  <c r="BE1252" i="1" s="1" a="1"/>
  <c r="BE1252" i="1" s="1"/>
  <c r="AX1252" i="1"/>
  <c r="M1252" i="1"/>
  <c r="EM1250" i="1"/>
  <c r="DU1250" i="1"/>
  <c r="DT1250" i="1"/>
  <c r="DN1250" i="1"/>
  <c r="DM1250" i="1"/>
  <c r="DL1250" i="1"/>
  <c r="DK1250" i="1"/>
  <c r="DI1250" i="1"/>
  <c r="DJ1250" i="1" s="1"/>
  <c r="DC1250" i="1"/>
  <c r="CX1250" i="1"/>
  <c r="CN1250" i="1"/>
  <c r="BT1250" i="1"/>
  <c r="BS1250" i="1"/>
  <c r="BN1250" i="1"/>
  <c r="BO1250" i="1" s="1"/>
  <c r="BD1250" i="1"/>
  <c r="BC1250" i="1"/>
  <c r="BB1250" i="1"/>
  <c r="BA1250" i="1"/>
  <c r="AZ1250" i="1"/>
  <c r="AY1250" i="1"/>
  <c r="BE1250" i="1" s="1" a="1"/>
  <c r="BE1250" i="1" s="1"/>
  <c r="AX1250" i="1"/>
  <c r="M1250" i="1"/>
  <c r="EM1249" i="1"/>
  <c r="DU1249" i="1"/>
  <c r="DT1249" i="1"/>
  <c r="DN1249" i="1"/>
  <c r="DM1249" i="1"/>
  <c r="DL1249" i="1"/>
  <c r="DK1249" i="1"/>
  <c r="DI1249" i="1"/>
  <c r="DJ1249" i="1" s="1"/>
  <c r="DC1249" i="1"/>
  <c r="CX1249" i="1"/>
  <c r="CN1249" i="1"/>
  <c r="CO1249" i="1" s="1"/>
  <c r="BT1249" i="1"/>
  <c r="BS1249" i="1"/>
  <c r="BN1249" i="1"/>
  <c r="BO1249" i="1" s="1"/>
  <c r="BD1249" i="1"/>
  <c r="BC1249" i="1"/>
  <c r="BB1249" i="1"/>
  <c r="BA1249" i="1"/>
  <c r="AZ1249" i="1"/>
  <c r="AY1249" i="1"/>
  <c r="BE1249" i="1" s="1" a="1"/>
  <c r="BE1249" i="1" s="1"/>
  <c r="AX1249" i="1"/>
  <c r="M1249" i="1"/>
  <c r="EM1243" i="1"/>
  <c r="DU1243" i="1"/>
  <c r="DT1243" i="1"/>
  <c r="DN1243" i="1"/>
  <c r="DM1243" i="1"/>
  <c r="DL1243" i="1"/>
  <c r="DK1243" i="1"/>
  <c r="DI1243" i="1"/>
  <c r="DJ1243" i="1" s="1"/>
  <c r="DC1243" i="1"/>
  <c r="CX1243" i="1"/>
  <c r="CN1243" i="1"/>
  <c r="BT1243" i="1"/>
  <c r="BS1243" i="1"/>
  <c r="BN1243" i="1"/>
  <c r="BO1243" i="1" s="1"/>
  <c r="BD1243" i="1"/>
  <c r="BC1243" i="1"/>
  <c r="BB1243" i="1"/>
  <c r="BA1243" i="1"/>
  <c r="AZ1243" i="1"/>
  <c r="AY1243" i="1"/>
  <c r="BE1243" i="1" s="1" a="1"/>
  <c r="BE1243" i="1" s="1"/>
  <c r="AX1243" i="1"/>
  <c r="M1243" i="1"/>
  <c r="EM1237" i="1"/>
  <c r="DU1237" i="1"/>
  <c r="DT1237" i="1"/>
  <c r="DN1237" i="1"/>
  <c r="DM1237" i="1"/>
  <c r="DL1237" i="1"/>
  <c r="DK1237" i="1"/>
  <c r="DI1237" i="1"/>
  <c r="DJ1237" i="1" s="1"/>
  <c r="DC1237" i="1"/>
  <c r="CX1237" i="1"/>
  <c r="CN1237" i="1"/>
  <c r="CR1237" i="1" s="1"/>
  <c r="BV1237" i="1"/>
  <c r="BX1237" i="1" s="1"/>
  <c r="BN1237" i="1"/>
  <c r="BO1237" i="1" s="1"/>
  <c r="BD1237" i="1"/>
  <c r="BC1237" i="1"/>
  <c r="BB1237" i="1"/>
  <c r="BA1237" i="1"/>
  <c r="AZ1237" i="1"/>
  <c r="AY1237" i="1"/>
  <c r="BE1237" i="1" s="1" a="1"/>
  <c r="BE1237" i="1" s="1"/>
  <c r="AX1237" i="1"/>
  <c r="M1237" i="1"/>
  <c r="EM1238" i="1"/>
  <c r="DU1238" i="1"/>
  <c r="DT1238" i="1"/>
  <c r="DN1238" i="1"/>
  <c r="DM1238" i="1"/>
  <c r="DL1238" i="1"/>
  <c r="DK1238" i="1"/>
  <c r="DI1238" i="1"/>
  <c r="DJ1238" i="1" s="1"/>
  <c r="DC1238" i="1"/>
  <c r="CX1238" i="1"/>
  <c r="CN1238" i="1"/>
  <c r="CR1238" i="1" s="1"/>
  <c r="BV1238" i="1"/>
  <c r="BX1238" i="1" s="1"/>
  <c r="BN1238" i="1"/>
  <c r="BO1238" i="1" s="1"/>
  <c r="BD1238" i="1"/>
  <c r="BC1238" i="1"/>
  <c r="BB1238" i="1"/>
  <c r="BA1238" i="1"/>
  <c r="AZ1238" i="1"/>
  <c r="AY1238" i="1"/>
  <c r="BE1238" i="1" s="1" a="1"/>
  <c r="BE1238" i="1" s="1"/>
  <c r="AX1238" i="1"/>
  <c r="M1238" i="1"/>
  <c r="EM1232" i="1"/>
  <c r="DU1232" i="1"/>
  <c r="DT1232" i="1"/>
  <c r="DN1232" i="1"/>
  <c r="DM1232" i="1"/>
  <c r="DL1232" i="1"/>
  <c r="DK1232" i="1"/>
  <c r="DI1232" i="1"/>
  <c r="DJ1232" i="1" s="1"/>
  <c r="DC1232" i="1"/>
  <c r="CX1232" i="1"/>
  <c r="CN1232" i="1"/>
  <c r="BT1232" i="1"/>
  <c r="BV1232" i="1" s="1"/>
  <c r="BX1232" i="1" s="1"/>
  <c r="BS1232" i="1"/>
  <c r="BN1232" i="1"/>
  <c r="BO1232" i="1" s="1"/>
  <c r="BD1232" i="1"/>
  <c r="BC1232" i="1"/>
  <c r="BB1232" i="1"/>
  <c r="BA1232" i="1"/>
  <c r="AZ1232" i="1"/>
  <c r="AY1232" i="1"/>
  <c r="BE1232" i="1" s="1" a="1"/>
  <c r="BE1232" i="1" s="1"/>
  <c r="AX1232" i="1"/>
  <c r="M1232" i="1"/>
  <c r="EM1230" i="1"/>
  <c r="DU1230" i="1"/>
  <c r="DT1230" i="1"/>
  <c r="DN1230" i="1"/>
  <c r="DM1230" i="1"/>
  <c r="DL1230" i="1"/>
  <c r="DK1230" i="1"/>
  <c r="DI1230" i="1"/>
  <c r="DJ1230" i="1" s="1"/>
  <c r="DC1230" i="1"/>
  <c r="CX1230" i="1"/>
  <c r="CN1230" i="1"/>
  <c r="BT1230" i="1"/>
  <c r="BS1230" i="1"/>
  <c r="BN1230" i="1"/>
  <c r="BO1230" i="1" s="1"/>
  <c r="BD1230" i="1"/>
  <c r="BC1230" i="1"/>
  <c r="BB1230" i="1"/>
  <c r="BA1230" i="1"/>
  <c r="AZ1230" i="1"/>
  <c r="AY1230" i="1"/>
  <c r="BE1230" i="1" s="1" a="1"/>
  <c r="BE1230" i="1" s="1"/>
  <c r="AX1230" i="1"/>
  <c r="M1230" i="1"/>
  <c r="EM1229" i="1"/>
  <c r="DU1229" i="1"/>
  <c r="DT1229" i="1"/>
  <c r="DN1229" i="1"/>
  <c r="DM1229" i="1"/>
  <c r="DL1229" i="1"/>
  <c r="DK1229" i="1"/>
  <c r="DI1229" i="1"/>
  <c r="DJ1229" i="1" s="1"/>
  <c r="DC1229" i="1"/>
  <c r="CX1229" i="1"/>
  <c r="CN1229" i="1"/>
  <c r="CP1229" i="1" s="1"/>
  <c r="BT1229" i="1"/>
  <c r="BV1229" i="1" s="1"/>
  <c r="BX1229" i="1" s="1"/>
  <c r="BS1229" i="1"/>
  <c r="BN1229" i="1"/>
  <c r="BO1229" i="1" s="1"/>
  <c r="BD1229" i="1"/>
  <c r="BC1229" i="1"/>
  <c r="BB1229" i="1"/>
  <c r="BA1229" i="1"/>
  <c r="AZ1229" i="1"/>
  <c r="AY1229" i="1"/>
  <c r="BE1229" i="1" s="1" a="1"/>
  <c r="BE1229" i="1" s="1"/>
  <c r="AX1229" i="1"/>
  <c r="M1229" i="1"/>
  <c r="EM1227" i="1"/>
  <c r="DU1227" i="1"/>
  <c r="DT1227" i="1"/>
  <c r="DN1227" i="1"/>
  <c r="DM1227" i="1"/>
  <c r="DL1227" i="1"/>
  <c r="DK1227" i="1"/>
  <c r="DI1227" i="1"/>
  <c r="DJ1227" i="1" s="1"/>
  <c r="DC1227" i="1"/>
  <c r="CX1227" i="1"/>
  <c r="CN1227" i="1"/>
  <c r="CO1227" i="1" s="1"/>
  <c r="BT1227" i="1"/>
  <c r="BS1227" i="1"/>
  <c r="BN1227" i="1"/>
  <c r="BO1227" i="1" s="1"/>
  <c r="BD1227" i="1"/>
  <c r="BC1227" i="1"/>
  <c r="BB1227" i="1"/>
  <c r="BA1227" i="1"/>
  <c r="AZ1227" i="1"/>
  <c r="AY1227" i="1"/>
  <c r="BE1227" i="1" s="1" a="1"/>
  <c r="BE1227" i="1" s="1"/>
  <c r="AX1227" i="1"/>
  <c r="M1227" i="1"/>
  <c r="EM1219" i="1"/>
  <c r="DU1219" i="1"/>
  <c r="DT1219" i="1"/>
  <c r="DN1219" i="1"/>
  <c r="DM1219" i="1"/>
  <c r="DL1219" i="1"/>
  <c r="DK1219" i="1"/>
  <c r="DI1219" i="1"/>
  <c r="DJ1219" i="1" s="1"/>
  <c r="DC1219" i="1"/>
  <c r="CX1219" i="1"/>
  <c r="CN1219" i="1"/>
  <c r="CR1219" i="1" s="1"/>
  <c r="BV1219" i="1"/>
  <c r="BX1219" i="1" s="1"/>
  <c r="BN1219" i="1"/>
  <c r="BO1219" i="1" s="1"/>
  <c r="BD1219" i="1"/>
  <c r="BC1219" i="1"/>
  <c r="BB1219" i="1"/>
  <c r="BA1219" i="1"/>
  <c r="AZ1219" i="1"/>
  <c r="BF1219" i="1" s="1" a="1"/>
  <c r="BF1219" i="1" s="1"/>
  <c r="AY1219" i="1"/>
  <c r="BE1219" i="1" s="1" a="1"/>
  <c r="BE1219" i="1" s="1"/>
  <c r="AX1219" i="1"/>
  <c r="M1219" i="1"/>
  <c r="EM1262" i="1"/>
  <c r="DU1262" i="1"/>
  <c r="DT1262" i="1"/>
  <c r="DN1262" i="1"/>
  <c r="DM1262" i="1"/>
  <c r="DL1262" i="1"/>
  <c r="DK1262" i="1"/>
  <c r="DI1262" i="1"/>
  <c r="DJ1262" i="1" s="1"/>
  <c r="DC1262" i="1"/>
  <c r="CX1262" i="1"/>
  <c r="CN1262" i="1"/>
  <c r="BT1262" i="1"/>
  <c r="BS1262" i="1"/>
  <c r="BN1262" i="1"/>
  <c r="BO1262" i="1" s="1"/>
  <c r="BD1262" i="1"/>
  <c r="BC1262" i="1"/>
  <c r="BB1262" i="1"/>
  <c r="BA1262" i="1"/>
  <c r="AZ1262" i="1"/>
  <c r="AY1262" i="1"/>
  <c r="BE1262" i="1" s="1" a="1"/>
  <c r="BE1262" i="1" s="1"/>
  <c r="AX1262" i="1"/>
  <c r="M1262" i="1"/>
  <c r="EM1261" i="1"/>
  <c r="DU1261" i="1"/>
  <c r="DT1261" i="1"/>
  <c r="DN1261" i="1"/>
  <c r="DM1261" i="1"/>
  <c r="DL1261" i="1"/>
  <c r="DK1261" i="1"/>
  <c r="DI1261" i="1"/>
  <c r="DJ1261" i="1" s="1"/>
  <c r="DC1261" i="1"/>
  <c r="CX1261" i="1"/>
  <c r="CN1261" i="1"/>
  <c r="BV1261" i="1"/>
  <c r="BX1261" i="1" s="1"/>
  <c r="BN1261" i="1"/>
  <c r="BO1261" i="1" s="1"/>
  <c r="BD1261" i="1"/>
  <c r="BC1261" i="1"/>
  <c r="BB1261" i="1"/>
  <c r="BA1261" i="1"/>
  <c r="AZ1261" i="1"/>
  <c r="AY1261" i="1"/>
  <c r="BE1261" i="1" s="1" a="1"/>
  <c r="BE1261" i="1" s="1"/>
  <c r="AX1261" i="1"/>
  <c r="M1261" i="1"/>
  <c r="EM1260" i="1"/>
  <c r="DU1260" i="1"/>
  <c r="DT1260" i="1"/>
  <c r="DN1260" i="1"/>
  <c r="DM1260" i="1"/>
  <c r="DL1260" i="1"/>
  <c r="DK1260" i="1"/>
  <c r="DI1260" i="1"/>
  <c r="DJ1260" i="1" s="1"/>
  <c r="DC1260" i="1"/>
  <c r="CX1260" i="1"/>
  <c r="CN1260" i="1"/>
  <c r="CO1260" i="1" s="1"/>
  <c r="BT1260" i="1"/>
  <c r="BS1260" i="1"/>
  <c r="BN1260" i="1"/>
  <c r="BO1260" i="1" s="1"/>
  <c r="BD1260" i="1"/>
  <c r="BC1260" i="1"/>
  <c r="BB1260" i="1"/>
  <c r="BA1260" i="1"/>
  <c r="AZ1260" i="1"/>
  <c r="AY1260" i="1"/>
  <c r="BE1260" i="1" s="1" a="1"/>
  <c r="BE1260" i="1" s="1"/>
  <c r="AX1260" i="1"/>
  <c r="M1260" i="1"/>
  <c r="EM1259" i="1"/>
  <c r="DU1259" i="1"/>
  <c r="DT1259" i="1"/>
  <c r="DN1259" i="1"/>
  <c r="DM1259" i="1"/>
  <c r="DL1259" i="1"/>
  <c r="DK1259" i="1"/>
  <c r="DI1259" i="1"/>
  <c r="DJ1259" i="1" s="1"/>
  <c r="DC1259" i="1"/>
  <c r="CX1259" i="1"/>
  <c r="CN1259" i="1"/>
  <c r="CP1259" i="1" s="1"/>
  <c r="BT1259" i="1"/>
  <c r="BS1259" i="1"/>
  <c r="BN1259" i="1"/>
  <c r="BO1259" i="1" s="1"/>
  <c r="BD1259" i="1"/>
  <c r="BC1259" i="1"/>
  <c r="BB1259" i="1"/>
  <c r="BA1259" i="1"/>
  <c r="AZ1259" i="1"/>
  <c r="AY1259" i="1"/>
  <c r="BE1259" i="1" s="1" a="1"/>
  <c r="BE1259" i="1" s="1"/>
  <c r="AX1259" i="1"/>
  <c r="M1259" i="1"/>
  <c r="EM1258" i="1"/>
  <c r="DU1258" i="1"/>
  <c r="DT1258" i="1"/>
  <c r="DN1258" i="1"/>
  <c r="DM1258" i="1"/>
  <c r="DL1258" i="1"/>
  <c r="DK1258" i="1"/>
  <c r="DI1258" i="1"/>
  <c r="DJ1258" i="1" s="1"/>
  <c r="DC1258" i="1"/>
  <c r="CX1258" i="1"/>
  <c r="CN1258" i="1"/>
  <c r="BT1258" i="1"/>
  <c r="BS1258" i="1"/>
  <c r="BN1258" i="1"/>
  <c r="BO1258" i="1" s="1"/>
  <c r="BD1258" i="1"/>
  <c r="BC1258" i="1"/>
  <c r="BB1258" i="1"/>
  <c r="BA1258" i="1"/>
  <c r="AZ1258" i="1"/>
  <c r="AY1258" i="1"/>
  <c r="BE1258" i="1" s="1" a="1"/>
  <c r="BE1258" i="1" s="1"/>
  <c r="AX1258" i="1"/>
  <c r="M1258" i="1"/>
  <c r="EM1255" i="1"/>
  <c r="DU1255" i="1"/>
  <c r="DT1255" i="1"/>
  <c r="DN1255" i="1"/>
  <c r="DM1255" i="1"/>
  <c r="DL1255" i="1"/>
  <c r="DK1255" i="1"/>
  <c r="DI1255" i="1"/>
  <c r="DJ1255" i="1" s="1"/>
  <c r="DC1255" i="1"/>
  <c r="CX1255" i="1"/>
  <c r="CN1255" i="1"/>
  <c r="CO1255" i="1" s="1"/>
  <c r="BV1255" i="1"/>
  <c r="BX1255" i="1" s="1"/>
  <c r="BN1255" i="1"/>
  <c r="BO1255" i="1" s="1"/>
  <c r="BD1255" i="1"/>
  <c r="BC1255" i="1"/>
  <c r="BB1255" i="1"/>
  <c r="BA1255" i="1"/>
  <c r="AZ1255" i="1"/>
  <c r="AY1255" i="1"/>
  <c r="BE1255" i="1" s="1" a="1"/>
  <c r="BE1255" i="1" s="1"/>
  <c r="AX1255" i="1"/>
  <c r="M1255" i="1"/>
  <c r="EM1254" i="1"/>
  <c r="DU1254" i="1"/>
  <c r="DT1254" i="1"/>
  <c r="DN1254" i="1"/>
  <c r="DM1254" i="1"/>
  <c r="DL1254" i="1"/>
  <c r="DK1254" i="1"/>
  <c r="DI1254" i="1"/>
  <c r="DJ1254" i="1" s="1"/>
  <c r="DC1254" i="1"/>
  <c r="CX1254" i="1"/>
  <c r="CN1254" i="1"/>
  <c r="BT1254" i="1"/>
  <c r="BS1254" i="1"/>
  <c r="BN1254" i="1"/>
  <c r="BO1254" i="1" s="1"/>
  <c r="BD1254" i="1"/>
  <c r="BC1254" i="1"/>
  <c r="BB1254" i="1"/>
  <c r="BA1254" i="1"/>
  <c r="AZ1254" i="1"/>
  <c r="AY1254" i="1"/>
  <c r="BE1254" i="1" s="1" a="1"/>
  <c r="BE1254" i="1" s="1"/>
  <c r="AX1254" i="1"/>
  <c r="M1254" i="1"/>
  <c r="EM1253" i="1"/>
  <c r="DU1253" i="1"/>
  <c r="DT1253" i="1"/>
  <c r="DN1253" i="1"/>
  <c r="DM1253" i="1"/>
  <c r="DL1253" i="1"/>
  <c r="DK1253" i="1"/>
  <c r="DI1253" i="1"/>
  <c r="DJ1253" i="1" s="1"/>
  <c r="DC1253" i="1"/>
  <c r="CX1253" i="1"/>
  <c r="CN1253" i="1"/>
  <c r="BV1253" i="1"/>
  <c r="BX1253" i="1" s="1"/>
  <c r="BN1253" i="1"/>
  <c r="BO1253" i="1" s="1"/>
  <c r="BD1253" i="1"/>
  <c r="BC1253" i="1"/>
  <c r="BB1253" i="1"/>
  <c r="BA1253" i="1"/>
  <c r="AZ1253" i="1"/>
  <c r="AY1253" i="1"/>
  <c r="BE1253" i="1" s="1" a="1"/>
  <c r="BE1253" i="1" s="1"/>
  <c r="AX1253" i="1"/>
  <c r="M1253" i="1"/>
  <c r="EM1247" i="1"/>
  <c r="DU1247" i="1"/>
  <c r="DT1247" i="1"/>
  <c r="DN1247" i="1"/>
  <c r="DM1247" i="1"/>
  <c r="DL1247" i="1"/>
  <c r="DK1247" i="1"/>
  <c r="DI1247" i="1"/>
  <c r="DJ1247" i="1" s="1"/>
  <c r="DC1247" i="1"/>
  <c r="CX1247" i="1"/>
  <c r="CN1247" i="1"/>
  <c r="CO1247" i="1" s="1"/>
  <c r="BT1247" i="1"/>
  <c r="BS1247" i="1"/>
  <c r="BN1247" i="1"/>
  <c r="BO1247" i="1" s="1"/>
  <c r="BD1247" i="1"/>
  <c r="BC1247" i="1"/>
  <c r="BB1247" i="1"/>
  <c r="BA1247" i="1"/>
  <c r="AZ1247" i="1"/>
  <c r="AY1247" i="1"/>
  <c r="BE1247" i="1" s="1" a="1"/>
  <c r="BE1247" i="1" s="1"/>
  <c r="AX1247" i="1"/>
  <c r="M1247" i="1"/>
  <c r="EM1242" i="1"/>
  <c r="DU1242" i="1"/>
  <c r="DT1242" i="1"/>
  <c r="DN1242" i="1"/>
  <c r="DM1242" i="1"/>
  <c r="DL1242" i="1"/>
  <c r="DK1242" i="1"/>
  <c r="DI1242" i="1"/>
  <c r="DJ1242" i="1" s="1"/>
  <c r="DC1242" i="1"/>
  <c r="CX1242" i="1"/>
  <c r="CN1242" i="1"/>
  <c r="BT1242" i="1"/>
  <c r="BS1242" i="1"/>
  <c r="BN1242" i="1"/>
  <c r="BO1242" i="1" s="1"/>
  <c r="BD1242" i="1"/>
  <c r="BC1242" i="1"/>
  <c r="BB1242" i="1"/>
  <c r="BA1242" i="1"/>
  <c r="AZ1242" i="1"/>
  <c r="AY1242" i="1"/>
  <c r="BE1242" i="1" s="1" a="1"/>
  <c r="BE1242" i="1" s="1"/>
  <c r="AX1242" i="1"/>
  <c r="M1242" i="1"/>
  <c r="EM1241" i="1"/>
  <c r="DU1241" i="1"/>
  <c r="DT1241" i="1"/>
  <c r="DN1241" i="1"/>
  <c r="DM1241" i="1"/>
  <c r="DL1241" i="1"/>
  <c r="DK1241" i="1"/>
  <c r="DI1241" i="1"/>
  <c r="DJ1241" i="1" s="1"/>
  <c r="DC1241" i="1"/>
  <c r="CX1241" i="1"/>
  <c r="CN1241" i="1"/>
  <c r="BT1241" i="1"/>
  <c r="BS1241" i="1"/>
  <c r="BN1241" i="1"/>
  <c r="BO1241" i="1" s="1"/>
  <c r="BD1241" i="1"/>
  <c r="BC1241" i="1"/>
  <c r="BB1241" i="1"/>
  <c r="BA1241" i="1"/>
  <c r="AZ1241" i="1"/>
  <c r="AY1241" i="1"/>
  <c r="BE1241" i="1" s="1" a="1"/>
  <c r="BE1241" i="1" s="1"/>
  <c r="AX1241" i="1"/>
  <c r="M1241" i="1"/>
  <c r="EM1240" i="1"/>
  <c r="DU1240" i="1"/>
  <c r="DT1240" i="1"/>
  <c r="DN1240" i="1"/>
  <c r="DM1240" i="1"/>
  <c r="DL1240" i="1"/>
  <c r="DK1240" i="1"/>
  <c r="DI1240" i="1"/>
  <c r="DJ1240" i="1" s="1"/>
  <c r="DC1240" i="1"/>
  <c r="CX1240" i="1"/>
  <c r="CN1240" i="1"/>
  <c r="CR1240" i="1" s="1"/>
  <c r="BV1240" i="1"/>
  <c r="BX1240" i="1" s="1"/>
  <c r="BN1240" i="1"/>
  <c r="BO1240" i="1" s="1"/>
  <c r="BD1240" i="1"/>
  <c r="BC1240" i="1"/>
  <c r="BB1240" i="1"/>
  <c r="BA1240" i="1"/>
  <c r="AZ1240" i="1"/>
  <c r="AY1240" i="1"/>
  <c r="BE1240" i="1" s="1" a="1"/>
  <c r="BE1240" i="1" s="1"/>
  <c r="AX1240" i="1"/>
  <c r="M1240" i="1"/>
  <c r="EM1236" i="1"/>
  <c r="DU1236" i="1"/>
  <c r="DT1236" i="1"/>
  <c r="DN1236" i="1"/>
  <c r="DM1236" i="1"/>
  <c r="DL1236" i="1"/>
  <c r="DK1236" i="1"/>
  <c r="DI1236" i="1"/>
  <c r="DJ1236" i="1" s="1"/>
  <c r="DC1236" i="1"/>
  <c r="CX1236" i="1"/>
  <c r="CN1236" i="1"/>
  <c r="BV1236" i="1"/>
  <c r="BX1236" i="1" s="1"/>
  <c r="BN1236" i="1"/>
  <c r="BO1236" i="1" s="1"/>
  <c r="BD1236" i="1"/>
  <c r="BC1236" i="1"/>
  <c r="BB1236" i="1"/>
  <c r="BA1236" i="1"/>
  <c r="AZ1236" i="1"/>
  <c r="AY1236" i="1"/>
  <c r="BE1236" i="1" s="1" a="1"/>
  <c r="BE1236" i="1" s="1"/>
  <c r="AX1236" i="1"/>
  <c r="M1236" i="1"/>
  <c r="EM1234" i="1"/>
  <c r="DU1234" i="1"/>
  <c r="DT1234" i="1"/>
  <c r="DN1234" i="1"/>
  <c r="DM1234" i="1"/>
  <c r="DL1234" i="1"/>
  <c r="DK1234" i="1"/>
  <c r="DI1234" i="1"/>
  <c r="DJ1234" i="1" s="1"/>
  <c r="DC1234" i="1"/>
  <c r="CX1234" i="1"/>
  <c r="CN1234" i="1"/>
  <c r="BV1234" i="1"/>
  <c r="BX1234" i="1" s="1"/>
  <c r="BN1234" i="1"/>
  <c r="BO1234" i="1" s="1"/>
  <c r="BD1234" i="1"/>
  <c r="BC1234" i="1"/>
  <c r="BB1234" i="1"/>
  <c r="BA1234" i="1"/>
  <c r="AZ1234" i="1"/>
  <c r="AY1234" i="1"/>
  <c r="BE1234" i="1" s="1" a="1"/>
  <c r="BE1234" i="1" s="1"/>
  <c r="AX1234" i="1"/>
  <c r="M1234" i="1"/>
  <c r="EM1226" i="1"/>
  <c r="DU1226" i="1"/>
  <c r="DT1226" i="1"/>
  <c r="DN1226" i="1"/>
  <c r="DM1226" i="1"/>
  <c r="DL1226" i="1"/>
  <c r="DK1226" i="1"/>
  <c r="DI1226" i="1"/>
  <c r="DJ1226" i="1" s="1"/>
  <c r="DC1226" i="1"/>
  <c r="CX1226" i="1"/>
  <c r="CN1226" i="1"/>
  <c r="BT1226" i="1"/>
  <c r="BS1226" i="1"/>
  <c r="BN1226" i="1"/>
  <c r="BO1226" i="1" s="1"/>
  <c r="BD1226" i="1"/>
  <c r="BC1226" i="1"/>
  <c r="BB1226" i="1"/>
  <c r="BA1226" i="1"/>
  <c r="AZ1226" i="1"/>
  <c r="AY1226" i="1"/>
  <c r="BE1226" i="1" s="1" a="1"/>
  <c r="BE1226" i="1" s="1"/>
  <c r="AX1226" i="1"/>
  <c r="M1226" i="1"/>
  <c r="EM1225" i="1"/>
  <c r="DU1225" i="1"/>
  <c r="DT1225" i="1"/>
  <c r="DN1225" i="1"/>
  <c r="DM1225" i="1"/>
  <c r="DL1225" i="1"/>
  <c r="DK1225" i="1"/>
  <c r="DI1225" i="1"/>
  <c r="DJ1225" i="1" s="1"/>
  <c r="DC1225" i="1"/>
  <c r="CX1225" i="1"/>
  <c r="CN1225" i="1"/>
  <c r="CO1225" i="1" s="1"/>
  <c r="BT1225" i="1"/>
  <c r="BS1225" i="1"/>
  <c r="BN1225" i="1"/>
  <c r="BO1225" i="1" s="1"/>
  <c r="BD1225" i="1"/>
  <c r="BC1225" i="1"/>
  <c r="BB1225" i="1"/>
  <c r="BA1225" i="1"/>
  <c r="AZ1225" i="1"/>
  <c r="AY1225" i="1"/>
  <c r="BE1225" i="1" s="1" a="1"/>
  <c r="BE1225" i="1" s="1"/>
  <c r="AX1225" i="1"/>
  <c r="M1225" i="1"/>
  <c r="EM1224" i="1"/>
  <c r="DU1224" i="1"/>
  <c r="DT1224" i="1"/>
  <c r="DN1224" i="1"/>
  <c r="DM1224" i="1"/>
  <c r="DL1224" i="1"/>
  <c r="DK1224" i="1"/>
  <c r="DI1224" i="1"/>
  <c r="DJ1224" i="1" s="1"/>
  <c r="DC1224" i="1"/>
  <c r="CX1224" i="1"/>
  <c r="CN1224" i="1"/>
  <c r="BT1224" i="1"/>
  <c r="BV1224" i="1" s="1"/>
  <c r="BX1224" i="1" s="1"/>
  <c r="BS1224" i="1"/>
  <c r="BN1224" i="1"/>
  <c r="BO1224" i="1" s="1"/>
  <c r="BD1224" i="1"/>
  <c r="BC1224" i="1"/>
  <c r="BB1224" i="1"/>
  <c r="BA1224" i="1"/>
  <c r="AZ1224" i="1"/>
  <c r="AY1224" i="1"/>
  <c r="BE1224" i="1" s="1" a="1"/>
  <c r="BE1224" i="1" s="1"/>
  <c r="AX1224" i="1"/>
  <c r="M1224" i="1"/>
  <c r="EM1223" i="1"/>
  <c r="DU1223" i="1"/>
  <c r="DT1223" i="1"/>
  <c r="DN1223" i="1"/>
  <c r="DM1223" i="1"/>
  <c r="DL1223" i="1"/>
  <c r="DK1223" i="1"/>
  <c r="DI1223" i="1"/>
  <c r="DJ1223" i="1" s="1"/>
  <c r="DC1223" i="1"/>
  <c r="CX1223" i="1"/>
  <c r="CN1223" i="1"/>
  <c r="CO1223" i="1" s="1"/>
  <c r="BT1223" i="1"/>
  <c r="BV1223" i="1" s="1"/>
  <c r="BX1223" i="1" s="1"/>
  <c r="BS1223" i="1"/>
  <c r="BN1223" i="1"/>
  <c r="BO1223" i="1" s="1"/>
  <c r="BD1223" i="1"/>
  <c r="BC1223" i="1"/>
  <c r="BB1223" i="1"/>
  <c r="BA1223" i="1"/>
  <c r="AZ1223" i="1"/>
  <c r="AY1223" i="1"/>
  <c r="BE1223" i="1" s="1" a="1"/>
  <c r="BE1223" i="1" s="1"/>
  <c r="AX1223" i="1"/>
  <c r="M1223" i="1"/>
  <c r="EM1221" i="1"/>
  <c r="DU1221" i="1"/>
  <c r="DT1221" i="1"/>
  <c r="DN1221" i="1"/>
  <c r="DM1221" i="1"/>
  <c r="DL1221" i="1"/>
  <c r="DK1221" i="1"/>
  <c r="DI1221" i="1"/>
  <c r="DJ1221" i="1" s="1"/>
  <c r="DC1221" i="1"/>
  <c r="CX1221" i="1"/>
  <c r="CN1221" i="1"/>
  <c r="BT1221" i="1"/>
  <c r="BS1221" i="1"/>
  <c r="BN1221" i="1"/>
  <c r="BO1221" i="1" s="1"/>
  <c r="BD1221" i="1"/>
  <c r="BC1221" i="1"/>
  <c r="BB1221" i="1"/>
  <c r="BA1221" i="1"/>
  <c r="AZ1221" i="1"/>
  <c r="AY1221" i="1"/>
  <c r="BE1221" i="1" s="1" a="1"/>
  <c r="BE1221" i="1" s="1"/>
  <c r="AX1221" i="1"/>
  <c r="M1221" i="1"/>
  <c r="EM1220" i="1"/>
  <c r="DU1220" i="1"/>
  <c r="DT1220" i="1"/>
  <c r="DN1220" i="1"/>
  <c r="DM1220" i="1"/>
  <c r="DL1220" i="1"/>
  <c r="DK1220" i="1"/>
  <c r="DI1220" i="1"/>
  <c r="DJ1220" i="1" s="1"/>
  <c r="DC1220" i="1"/>
  <c r="CX1220" i="1"/>
  <c r="CN1220" i="1"/>
  <c r="BV1220" i="1"/>
  <c r="BX1220" i="1" s="1"/>
  <c r="BN1220" i="1"/>
  <c r="BO1220" i="1" s="1"/>
  <c r="BD1220" i="1"/>
  <c r="BC1220" i="1"/>
  <c r="BB1220" i="1"/>
  <c r="BA1220" i="1"/>
  <c r="AZ1220" i="1"/>
  <c r="AY1220" i="1"/>
  <c r="BE1220" i="1" s="1" a="1"/>
  <c r="BE1220" i="1" s="1"/>
  <c r="AX1220" i="1"/>
  <c r="M1220" i="1"/>
  <c r="EM1218" i="1"/>
  <c r="DU1218" i="1"/>
  <c r="DT1218" i="1"/>
  <c r="DN1218" i="1"/>
  <c r="DM1218" i="1"/>
  <c r="DL1218" i="1"/>
  <c r="DK1218" i="1"/>
  <c r="DI1218" i="1"/>
  <c r="DJ1218" i="1" s="1"/>
  <c r="DC1218" i="1"/>
  <c r="CX1218" i="1"/>
  <c r="CN1218" i="1"/>
  <c r="CO1218" i="1" s="1"/>
  <c r="BV1218" i="1"/>
  <c r="BX1218" i="1" s="1"/>
  <c r="BN1218" i="1"/>
  <c r="BO1218" i="1" s="1"/>
  <c r="BD1218" i="1"/>
  <c r="BC1218" i="1"/>
  <c r="BB1218" i="1"/>
  <c r="BA1218" i="1"/>
  <c r="AZ1218" i="1"/>
  <c r="AY1218" i="1"/>
  <c r="BE1218" i="1" s="1" a="1"/>
  <c r="BE1218" i="1" s="1"/>
  <c r="AX1218" i="1"/>
  <c r="M1218" i="1"/>
  <c r="EM1217" i="1"/>
  <c r="DU1217" i="1"/>
  <c r="DT1217" i="1"/>
  <c r="DN1217" i="1"/>
  <c r="DM1217" i="1"/>
  <c r="DL1217" i="1"/>
  <c r="DK1217" i="1"/>
  <c r="DI1217" i="1"/>
  <c r="DJ1217" i="1" s="1"/>
  <c r="DC1217" i="1"/>
  <c r="CX1217" i="1"/>
  <c r="CN1217" i="1"/>
  <c r="BT1217" i="1"/>
  <c r="BS1217" i="1"/>
  <c r="BN1217" i="1"/>
  <c r="BO1217" i="1" s="1"/>
  <c r="BD1217" i="1"/>
  <c r="BC1217" i="1"/>
  <c r="BB1217" i="1"/>
  <c r="BA1217" i="1"/>
  <c r="AZ1217" i="1"/>
  <c r="AY1217" i="1"/>
  <c r="BE1217" i="1" s="1" a="1"/>
  <c r="BE1217" i="1" s="1"/>
  <c r="AX1217" i="1"/>
  <c r="M1217" i="1"/>
  <c r="EM1216" i="1"/>
  <c r="DU1216" i="1"/>
  <c r="DT1216" i="1"/>
  <c r="DN1216" i="1"/>
  <c r="DM1216" i="1"/>
  <c r="DL1216" i="1"/>
  <c r="DK1216" i="1"/>
  <c r="DI1216" i="1"/>
  <c r="DJ1216" i="1" s="1"/>
  <c r="DC1216" i="1"/>
  <c r="CX1216" i="1"/>
  <c r="CN1216" i="1"/>
  <c r="BT1216" i="1"/>
  <c r="BS1216" i="1"/>
  <c r="BN1216" i="1"/>
  <c r="BO1216" i="1" s="1"/>
  <c r="BD1216" i="1"/>
  <c r="BC1216" i="1"/>
  <c r="BB1216" i="1"/>
  <c r="BA1216" i="1"/>
  <c r="AZ1216" i="1"/>
  <c r="AY1216" i="1"/>
  <c r="BE1216" i="1" s="1" a="1"/>
  <c r="BE1216" i="1" s="1"/>
  <c r="AX1216" i="1"/>
  <c r="M1216" i="1"/>
  <c r="EM1215" i="1"/>
  <c r="DU1215" i="1"/>
  <c r="DT1215" i="1"/>
  <c r="DN1215" i="1"/>
  <c r="DM1215" i="1"/>
  <c r="DL1215" i="1"/>
  <c r="DK1215" i="1"/>
  <c r="DI1215" i="1"/>
  <c r="DJ1215" i="1" s="1"/>
  <c r="DC1215" i="1"/>
  <c r="CX1215" i="1"/>
  <c r="CN1215" i="1"/>
  <c r="CP1215" i="1" s="1"/>
  <c r="BT1215" i="1"/>
  <c r="BS1215" i="1"/>
  <c r="BV1215" i="1" s="1"/>
  <c r="BX1215" i="1" s="1"/>
  <c r="BN1215" i="1"/>
  <c r="BO1215" i="1" s="1"/>
  <c r="BD1215" i="1"/>
  <c r="BC1215" i="1"/>
  <c r="BB1215" i="1"/>
  <c r="BA1215" i="1"/>
  <c r="AZ1215" i="1"/>
  <c r="AY1215" i="1"/>
  <c r="BE1215" i="1" s="1" a="1"/>
  <c r="BE1215" i="1" s="1"/>
  <c r="AX1215" i="1"/>
  <c r="M1215" i="1"/>
  <c r="EM1141" i="1"/>
  <c r="DU1141" i="1"/>
  <c r="DT1141" i="1"/>
  <c r="DN1141" i="1"/>
  <c r="DM1141" i="1"/>
  <c r="DL1141" i="1"/>
  <c r="DK1141" i="1"/>
  <c r="DI1141" i="1"/>
  <c r="DJ1141" i="1" s="1"/>
  <c r="DC1141" i="1"/>
  <c r="CX1141" i="1"/>
  <c r="CN1141" i="1"/>
  <c r="BX1141" i="1"/>
  <c r="BY1141" i="1" s="1"/>
  <c r="BN1141" i="1"/>
  <c r="BM1141" i="1"/>
  <c r="BD1141" i="1"/>
  <c r="BC1141" i="1"/>
  <c r="BB1141" i="1"/>
  <c r="BA1141" i="1"/>
  <c r="AZ1141" i="1"/>
  <c r="AY1141" i="1"/>
  <c r="BE1141" i="1" s="1" a="1"/>
  <c r="BE1141" i="1" s="1"/>
  <c r="AX1141" i="1"/>
  <c r="M1141" i="1"/>
  <c r="EM1140" i="1"/>
  <c r="DU1140" i="1"/>
  <c r="DT1140" i="1"/>
  <c r="DN1140" i="1"/>
  <c r="DM1140" i="1"/>
  <c r="DL1140" i="1"/>
  <c r="DK1140" i="1"/>
  <c r="DI1140" i="1"/>
  <c r="DJ1140" i="1" s="1"/>
  <c r="DC1140" i="1"/>
  <c r="CX1140" i="1"/>
  <c r="CN1140" i="1"/>
  <c r="BX1140" i="1"/>
  <c r="BY1140" i="1" s="1"/>
  <c r="BN1140" i="1"/>
  <c r="BM1140" i="1"/>
  <c r="BD1140" i="1"/>
  <c r="BC1140" i="1"/>
  <c r="BB1140" i="1"/>
  <c r="BA1140" i="1"/>
  <c r="AZ1140" i="1"/>
  <c r="AY1140" i="1"/>
  <c r="BE1140" i="1" s="1" a="1"/>
  <c r="BE1140" i="1" s="1"/>
  <c r="AX1140" i="1"/>
  <c r="M1140" i="1"/>
  <c r="EM1139" i="1"/>
  <c r="DU1139" i="1"/>
  <c r="DT1139" i="1"/>
  <c r="DN1139" i="1"/>
  <c r="DM1139" i="1"/>
  <c r="DL1139" i="1"/>
  <c r="DK1139" i="1"/>
  <c r="DI1139" i="1"/>
  <c r="DJ1139" i="1" s="1"/>
  <c r="DC1139" i="1"/>
  <c r="CX1139" i="1"/>
  <c r="CN1139" i="1"/>
  <c r="BX1139" i="1"/>
  <c r="BY1139" i="1" s="1"/>
  <c r="BN1139" i="1"/>
  <c r="BM1139" i="1"/>
  <c r="BD1139" i="1"/>
  <c r="BC1139" i="1"/>
  <c r="BB1139" i="1"/>
  <c r="BA1139" i="1"/>
  <c r="AZ1139" i="1"/>
  <c r="AY1139" i="1"/>
  <c r="BE1139" i="1" s="1" a="1"/>
  <c r="BE1139" i="1" s="1"/>
  <c r="AX1139" i="1"/>
  <c r="M1139" i="1"/>
  <c r="EM1138" i="1"/>
  <c r="DU1138" i="1"/>
  <c r="DT1138" i="1"/>
  <c r="DN1138" i="1"/>
  <c r="DM1138" i="1"/>
  <c r="DL1138" i="1"/>
  <c r="DK1138" i="1"/>
  <c r="DI1138" i="1"/>
  <c r="DJ1138" i="1" s="1"/>
  <c r="DC1138" i="1"/>
  <c r="CX1138" i="1"/>
  <c r="CN1138" i="1"/>
  <c r="CR1138" i="1" s="1"/>
  <c r="BX1138" i="1"/>
  <c r="BY1138" i="1" s="1"/>
  <c r="BN1138" i="1"/>
  <c r="BM1138" i="1"/>
  <c r="BD1138" i="1"/>
  <c r="BC1138" i="1"/>
  <c r="BB1138" i="1"/>
  <c r="BA1138" i="1"/>
  <c r="AZ1138" i="1"/>
  <c r="AY1138" i="1"/>
  <c r="BE1138" i="1" s="1" a="1"/>
  <c r="BE1138" i="1" s="1"/>
  <c r="AX1138" i="1"/>
  <c r="M1138" i="1"/>
  <c r="EM1136" i="1"/>
  <c r="DU1136" i="1"/>
  <c r="DT1136" i="1"/>
  <c r="DN1136" i="1"/>
  <c r="DM1136" i="1"/>
  <c r="DL1136" i="1"/>
  <c r="DK1136" i="1"/>
  <c r="DI1136" i="1"/>
  <c r="DJ1136" i="1" s="1"/>
  <c r="DC1136" i="1"/>
  <c r="CX1136" i="1"/>
  <c r="CN1136" i="1"/>
  <c r="BV1136" i="1"/>
  <c r="BX1136" i="1" s="1"/>
  <c r="BY1136" i="1" s="1"/>
  <c r="BN1136" i="1"/>
  <c r="BM1136" i="1"/>
  <c r="BD1136" i="1"/>
  <c r="BC1136" i="1"/>
  <c r="BB1136" i="1"/>
  <c r="BA1136" i="1"/>
  <c r="AZ1136" i="1"/>
  <c r="AY1136" i="1"/>
  <c r="BE1136" i="1" s="1" a="1"/>
  <c r="BE1136" i="1" s="1"/>
  <c r="AX1136" i="1"/>
  <c r="M1136" i="1"/>
  <c r="EM1137" i="1"/>
  <c r="DU1137" i="1"/>
  <c r="DT1137" i="1"/>
  <c r="DN1137" i="1"/>
  <c r="DM1137" i="1"/>
  <c r="DL1137" i="1"/>
  <c r="DK1137" i="1"/>
  <c r="DI1137" i="1"/>
  <c r="DJ1137" i="1" s="1"/>
  <c r="DC1137" i="1"/>
  <c r="CX1137" i="1"/>
  <c r="CN1137" i="1"/>
  <c r="CO1137" i="1" s="1"/>
  <c r="BV1137" i="1"/>
  <c r="BX1137" i="1" s="1"/>
  <c r="BY1137" i="1" s="1"/>
  <c r="BN1137" i="1"/>
  <c r="BM1137" i="1"/>
  <c r="BD1137" i="1"/>
  <c r="BC1137" i="1"/>
  <c r="BB1137" i="1"/>
  <c r="BA1137" i="1"/>
  <c r="AZ1137" i="1"/>
  <c r="AY1137" i="1"/>
  <c r="BE1137" i="1" s="1" a="1"/>
  <c r="BE1137" i="1" s="1"/>
  <c r="AX1137" i="1"/>
  <c r="M1137" i="1"/>
  <c r="EM1135" i="1"/>
  <c r="DU1135" i="1"/>
  <c r="DT1135" i="1"/>
  <c r="DN1135" i="1"/>
  <c r="DM1135" i="1"/>
  <c r="DL1135" i="1"/>
  <c r="DK1135" i="1"/>
  <c r="DI1135" i="1"/>
  <c r="DJ1135" i="1" s="1"/>
  <c r="DC1135" i="1"/>
  <c r="CX1135" i="1"/>
  <c r="CN1135" i="1"/>
  <c r="BX1135" i="1"/>
  <c r="BY1135" i="1" s="1"/>
  <c r="BN1135" i="1"/>
  <c r="BM1135" i="1"/>
  <c r="BD1135" i="1"/>
  <c r="BC1135" i="1"/>
  <c r="BB1135" i="1"/>
  <c r="BA1135" i="1"/>
  <c r="AZ1135" i="1"/>
  <c r="AY1135" i="1"/>
  <c r="BE1135" i="1" s="1" a="1"/>
  <c r="BE1135" i="1" s="1"/>
  <c r="AX1135" i="1"/>
  <c r="M1135" i="1"/>
  <c r="EM1134" i="1"/>
  <c r="DU1134" i="1"/>
  <c r="DT1134" i="1"/>
  <c r="DN1134" i="1"/>
  <c r="DM1134" i="1"/>
  <c r="DL1134" i="1"/>
  <c r="DK1134" i="1"/>
  <c r="DI1134" i="1"/>
  <c r="DJ1134" i="1" s="1"/>
  <c r="DC1134" i="1"/>
  <c r="CX1134" i="1"/>
  <c r="CN1134" i="1"/>
  <c r="CO1134" i="1" s="1"/>
  <c r="BX1134" i="1"/>
  <c r="BY1134" i="1" s="1"/>
  <c r="BN1134" i="1"/>
  <c r="BM1134" i="1"/>
  <c r="BD1134" i="1"/>
  <c r="BC1134" i="1"/>
  <c r="BB1134" i="1"/>
  <c r="BA1134" i="1"/>
  <c r="AZ1134" i="1"/>
  <c r="AY1134" i="1"/>
  <c r="BE1134" i="1" s="1" a="1"/>
  <c r="BE1134" i="1" s="1"/>
  <c r="AX1134" i="1"/>
  <c r="M1134" i="1"/>
  <c r="EM1133" i="1"/>
  <c r="DU1133" i="1"/>
  <c r="DT1133" i="1"/>
  <c r="DN1133" i="1"/>
  <c r="DM1133" i="1"/>
  <c r="DL1133" i="1"/>
  <c r="DK1133" i="1"/>
  <c r="DI1133" i="1"/>
  <c r="DJ1133" i="1" s="1"/>
  <c r="DC1133" i="1"/>
  <c r="CX1133" i="1"/>
  <c r="CN1133" i="1"/>
  <c r="BX1133" i="1"/>
  <c r="BY1133" i="1" s="1"/>
  <c r="BN1133" i="1"/>
  <c r="BM1133" i="1"/>
  <c r="BD1133" i="1"/>
  <c r="BC1133" i="1"/>
  <c r="BB1133" i="1"/>
  <c r="BA1133" i="1"/>
  <c r="AZ1133" i="1"/>
  <c r="AY1133" i="1"/>
  <c r="BE1133" i="1" s="1" a="1"/>
  <c r="BE1133" i="1" s="1"/>
  <c r="AX1133" i="1"/>
  <c r="M1133" i="1"/>
  <c r="EM1130" i="1"/>
  <c r="DU1130" i="1"/>
  <c r="DT1130" i="1"/>
  <c r="DN1130" i="1"/>
  <c r="DM1130" i="1"/>
  <c r="DL1130" i="1"/>
  <c r="DK1130" i="1"/>
  <c r="DI1130" i="1"/>
  <c r="DJ1130" i="1" s="1"/>
  <c r="DC1130" i="1"/>
  <c r="CX1130" i="1"/>
  <c r="CN1130" i="1"/>
  <c r="BX1130" i="1"/>
  <c r="BY1130" i="1" s="1"/>
  <c r="BN1130" i="1"/>
  <c r="BM1130" i="1"/>
  <c r="BD1130" i="1"/>
  <c r="BC1130" i="1"/>
  <c r="BB1130" i="1"/>
  <c r="BA1130" i="1"/>
  <c r="AZ1130" i="1"/>
  <c r="AY1130" i="1"/>
  <c r="BE1130" i="1" s="1" a="1"/>
  <c r="BE1130" i="1" s="1"/>
  <c r="AX1130" i="1"/>
  <c r="M1130" i="1"/>
  <c r="EM1129" i="1"/>
  <c r="DU1129" i="1"/>
  <c r="DT1129" i="1"/>
  <c r="DN1129" i="1"/>
  <c r="DM1129" i="1"/>
  <c r="DL1129" i="1"/>
  <c r="DK1129" i="1"/>
  <c r="DI1129" i="1"/>
  <c r="DJ1129" i="1" s="1"/>
  <c r="DC1129" i="1"/>
  <c r="CX1129" i="1"/>
  <c r="CN1129" i="1"/>
  <c r="BX1129" i="1"/>
  <c r="BY1129" i="1" s="1"/>
  <c r="BN1129" i="1"/>
  <c r="BM1129" i="1"/>
  <c r="BD1129" i="1"/>
  <c r="BC1129" i="1"/>
  <c r="BB1129" i="1"/>
  <c r="BA1129" i="1"/>
  <c r="AZ1129" i="1"/>
  <c r="AY1129" i="1"/>
  <c r="BE1129" i="1" s="1" a="1"/>
  <c r="BE1129" i="1" s="1"/>
  <c r="AX1129" i="1"/>
  <c r="M1129" i="1"/>
  <c r="EM1132" i="1"/>
  <c r="DU1132" i="1"/>
  <c r="DT1132" i="1"/>
  <c r="DN1132" i="1"/>
  <c r="DM1132" i="1"/>
  <c r="DL1132" i="1"/>
  <c r="DK1132" i="1"/>
  <c r="DI1132" i="1"/>
  <c r="DJ1132" i="1" s="1"/>
  <c r="DC1132" i="1"/>
  <c r="CX1132" i="1"/>
  <c r="CN1132" i="1"/>
  <c r="BV1132" i="1"/>
  <c r="BX1132" i="1" s="1"/>
  <c r="BN1132" i="1"/>
  <c r="BM1132" i="1"/>
  <c r="BD1132" i="1"/>
  <c r="BC1132" i="1"/>
  <c r="BB1132" i="1"/>
  <c r="BA1132" i="1"/>
  <c r="AZ1132" i="1"/>
  <c r="AY1132" i="1"/>
  <c r="BE1132" i="1" s="1" a="1"/>
  <c r="BE1132" i="1" s="1"/>
  <c r="AX1132" i="1"/>
  <c r="M1132" i="1"/>
  <c r="EM1131" i="1"/>
  <c r="DU1131" i="1"/>
  <c r="DT1131" i="1"/>
  <c r="DN1131" i="1"/>
  <c r="DM1131" i="1"/>
  <c r="DL1131" i="1"/>
  <c r="DK1131" i="1"/>
  <c r="DI1131" i="1"/>
  <c r="DJ1131" i="1" s="1"/>
  <c r="DC1131" i="1"/>
  <c r="CX1131" i="1"/>
  <c r="CN1131" i="1"/>
  <c r="CS1131" i="1" s="1"/>
  <c r="BV1131" i="1"/>
  <c r="BX1131" i="1" s="1"/>
  <c r="BN1131" i="1"/>
  <c r="BM1131" i="1"/>
  <c r="BD1131" i="1"/>
  <c r="BC1131" i="1"/>
  <c r="BB1131" i="1"/>
  <c r="BA1131" i="1"/>
  <c r="AZ1131" i="1"/>
  <c r="AY1131" i="1"/>
  <c r="BE1131" i="1" s="1" a="1"/>
  <c r="BE1131" i="1" s="1"/>
  <c r="AX1131" i="1"/>
  <c r="M1131" i="1"/>
  <c r="EM1100" i="1"/>
  <c r="DU1100" i="1"/>
  <c r="DN1100" i="1"/>
  <c r="DM1100" i="1"/>
  <c r="DL1100" i="1"/>
  <c r="DK1100" i="1"/>
  <c r="DI1100" i="1"/>
  <c r="DJ1100" i="1" s="1"/>
  <c r="DC1100" i="1"/>
  <c r="CX1100" i="1"/>
  <c r="CN1100" i="1"/>
  <c r="CO1100" i="1" s="1"/>
  <c r="BV1100" i="1"/>
  <c r="BX1100" i="1" s="1"/>
  <c r="BM1100" i="1"/>
  <c r="BL1100" i="1"/>
  <c r="BK1100" i="1"/>
  <c r="BD1100" i="1"/>
  <c r="BC1100" i="1"/>
  <c r="BB1100" i="1"/>
  <c r="BA1100" i="1"/>
  <c r="AZ1100" i="1"/>
  <c r="AY1100" i="1"/>
  <c r="BE1100" i="1" s="1" a="1"/>
  <c r="BE1100" i="1" s="1"/>
  <c r="AX1100" i="1"/>
  <c r="M1100" i="1"/>
  <c r="EM1062" i="1"/>
  <c r="DU1062" i="1"/>
  <c r="DN1062" i="1"/>
  <c r="DM1062" i="1"/>
  <c r="DL1062" i="1"/>
  <c r="DK1062" i="1"/>
  <c r="DI1062" i="1"/>
  <c r="DJ1062" i="1" s="1"/>
  <c r="DC1062" i="1"/>
  <c r="CX1062" i="1"/>
  <c r="CN1062" i="1"/>
  <c r="CR1062" i="1" s="1"/>
  <c r="BV1062" i="1"/>
  <c r="BX1062" i="1" s="1"/>
  <c r="BU1062" i="1"/>
  <c r="BN1062" i="1"/>
  <c r="BO1062" i="1" s="1"/>
  <c r="BM1062" i="1"/>
  <c r="BD1062" i="1"/>
  <c r="BC1062" i="1"/>
  <c r="BB1062" i="1"/>
  <c r="BA1062" i="1"/>
  <c r="AZ1062" i="1"/>
  <c r="AY1062" i="1"/>
  <c r="BE1062" i="1" s="1" a="1"/>
  <c r="BE1062" i="1" s="1"/>
  <c r="AX1062" i="1"/>
  <c r="M1062" i="1"/>
  <c r="EM1012" i="1"/>
  <c r="DU1012" i="1"/>
  <c r="DT1012" i="1"/>
  <c r="DN1012" i="1"/>
  <c r="DM1012" i="1"/>
  <c r="DL1012" i="1"/>
  <c r="DK1012" i="1"/>
  <c r="DI1012" i="1"/>
  <c r="DJ1012" i="1" s="1"/>
  <c r="DC1012" i="1"/>
  <c r="CX1012" i="1"/>
  <c r="CN1012" i="1"/>
  <c r="BX1012" i="1"/>
  <c r="BN1012" i="1"/>
  <c r="BO1012" i="1" s="1"/>
  <c r="BM1012" i="1"/>
  <c r="BD1012" i="1"/>
  <c r="BC1012" i="1"/>
  <c r="BB1012" i="1"/>
  <c r="BA1012" i="1"/>
  <c r="AZ1012" i="1"/>
  <c r="AY1012" i="1"/>
  <c r="BE1012" i="1" s="1" a="1"/>
  <c r="BE1012" i="1" s="1"/>
  <c r="AX1012" i="1"/>
  <c r="M1012" i="1"/>
  <c r="EM1011" i="1"/>
  <c r="DU1011" i="1"/>
  <c r="DT1011" i="1"/>
  <c r="DN1011" i="1"/>
  <c r="DM1011" i="1"/>
  <c r="DL1011" i="1"/>
  <c r="DK1011" i="1"/>
  <c r="DI1011" i="1"/>
  <c r="DJ1011" i="1" s="1"/>
  <c r="DC1011" i="1"/>
  <c r="CX1011" i="1"/>
  <c r="CN1011" i="1"/>
  <c r="CO1011" i="1" s="1"/>
  <c r="BX1011" i="1"/>
  <c r="BN1011" i="1"/>
  <c r="BO1011" i="1" s="1"/>
  <c r="BM1011" i="1"/>
  <c r="BD1011" i="1"/>
  <c r="BC1011" i="1"/>
  <c r="BB1011" i="1"/>
  <c r="BA1011" i="1"/>
  <c r="AZ1011" i="1"/>
  <c r="AY1011" i="1"/>
  <c r="BE1011" i="1" s="1" a="1"/>
  <c r="BE1011" i="1" s="1"/>
  <c r="AX1011" i="1"/>
  <c r="M1011" i="1"/>
  <c r="EM1010" i="1"/>
  <c r="DU1010" i="1"/>
  <c r="DT1010" i="1"/>
  <c r="DN1010" i="1"/>
  <c r="DM1010" i="1"/>
  <c r="DL1010" i="1"/>
  <c r="DK1010" i="1"/>
  <c r="DI1010" i="1"/>
  <c r="DJ1010" i="1" s="1"/>
  <c r="DC1010" i="1"/>
  <c r="CX1010" i="1"/>
  <c r="CN1010" i="1"/>
  <c r="BX1010" i="1"/>
  <c r="BN1010" i="1"/>
  <c r="BO1010" i="1" s="1"/>
  <c r="BM1010" i="1"/>
  <c r="BD1010" i="1"/>
  <c r="BC1010" i="1"/>
  <c r="BB1010" i="1"/>
  <c r="BA1010" i="1"/>
  <c r="AZ1010" i="1"/>
  <c r="AY1010" i="1"/>
  <c r="BE1010" i="1" s="1" a="1"/>
  <c r="BE1010" i="1" s="1"/>
  <c r="AX1010" i="1"/>
  <c r="M1010" i="1"/>
  <c r="EM1009" i="1"/>
  <c r="DU1009" i="1"/>
  <c r="DT1009" i="1"/>
  <c r="DN1009" i="1"/>
  <c r="DM1009" i="1"/>
  <c r="DL1009" i="1"/>
  <c r="DK1009" i="1"/>
  <c r="DI1009" i="1"/>
  <c r="DJ1009" i="1" s="1"/>
  <c r="DC1009" i="1"/>
  <c r="CX1009" i="1"/>
  <c r="CN1009" i="1"/>
  <c r="CO1009" i="1" s="1"/>
  <c r="BX1009" i="1"/>
  <c r="BN1009" i="1"/>
  <c r="BO1009" i="1" s="1"/>
  <c r="BM1009" i="1"/>
  <c r="BD1009" i="1"/>
  <c r="BC1009" i="1"/>
  <c r="BB1009" i="1"/>
  <c r="BA1009" i="1"/>
  <c r="AZ1009" i="1"/>
  <c r="AY1009" i="1"/>
  <c r="BE1009" i="1" s="1" a="1"/>
  <c r="BE1009" i="1" s="1"/>
  <c r="AX1009" i="1"/>
  <c r="M1009" i="1"/>
  <c r="EM999" i="1"/>
  <c r="DU999" i="1"/>
  <c r="DT999" i="1"/>
  <c r="DN999" i="1"/>
  <c r="DM999" i="1"/>
  <c r="DL999" i="1"/>
  <c r="DK999" i="1"/>
  <c r="DI999" i="1"/>
  <c r="DJ999" i="1" s="1"/>
  <c r="DB999" i="1"/>
  <c r="DC999" i="1" s="1"/>
  <c r="CX999" i="1"/>
  <c r="CN999" i="1"/>
  <c r="BV999" i="1"/>
  <c r="BU999" i="1"/>
  <c r="BN999" i="1"/>
  <c r="BO999" i="1" s="1"/>
  <c r="BY999" i="1" s="1"/>
  <c r="BM999" i="1"/>
  <c r="BD999" i="1"/>
  <c r="BC999" i="1"/>
  <c r="BB999" i="1"/>
  <c r="BA999" i="1"/>
  <c r="AZ999" i="1"/>
  <c r="AY999" i="1"/>
  <c r="BE999" i="1" s="1" a="1"/>
  <c r="BE999" i="1" s="1"/>
  <c r="AX999" i="1"/>
  <c r="M999" i="1"/>
  <c r="EM998" i="1"/>
  <c r="DU998" i="1"/>
  <c r="DT998" i="1"/>
  <c r="DN998" i="1"/>
  <c r="DM998" i="1"/>
  <c r="DL998" i="1"/>
  <c r="DK998" i="1"/>
  <c r="DI998" i="1"/>
  <c r="DJ998" i="1" s="1"/>
  <c r="DB998" i="1"/>
  <c r="DC998" i="1" s="1"/>
  <c r="CX998" i="1"/>
  <c r="CN998" i="1"/>
  <c r="CP998" i="1" s="1"/>
  <c r="BV998" i="1"/>
  <c r="BU998" i="1"/>
  <c r="BN998" i="1"/>
  <c r="BO998" i="1" s="1"/>
  <c r="BM998" i="1"/>
  <c r="BD998" i="1"/>
  <c r="BC998" i="1"/>
  <c r="BB998" i="1"/>
  <c r="BA998" i="1"/>
  <c r="AZ998" i="1"/>
  <c r="AY998" i="1"/>
  <c r="BE998" i="1" s="1" a="1"/>
  <c r="BE998" i="1" s="1"/>
  <c r="AX998" i="1"/>
  <c r="M998" i="1"/>
  <c r="EM997" i="1"/>
  <c r="DU997" i="1"/>
  <c r="DT997" i="1"/>
  <c r="DN997" i="1"/>
  <c r="DM997" i="1"/>
  <c r="DL997" i="1"/>
  <c r="DK997" i="1"/>
  <c r="DI997" i="1"/>
  <c r="DJ997" i="1" s="1"/>
  <c r="DB997" i="1"/>
  <c r="DC997" i="1" s="1"/>
  <c r="CX997" i="1"/>
  <c r="CN997" i="1"/>
  <c r="CR997" i="1" s="1"/>
  <c r="BV997" i="1"/>
  <c r="BU997" i="1"/>
  <c r="BN997" i="1"/>
  <c r="BO997" i="1" s="1"/>
  <c r="BM997" i="1"/>
  <c r="BD997" i="1"/>
  <c r="BC997" i="1"/>
  <c r="BB997" i="1"/>
  <c r="BA997" i="1"/>
  <c r="AZ997" i="1"/>
  <c r="AY997" i="1"/>
  <c r="BE997" i="1" s="1" a="1"/>
  <c r="BE997" i="1" s="1"/>
  <c r="AX997" i="1"/>
  <c r="M997" i="1"/>
  <c r="EM969" i="1"/>
  <c r="DU969" i="1"/>
  <c r="DT969" i="1"/>
  <c r="DN969" i="1"/>
  <c r="DM969" i="1"/>
  <c r="DL969" i="1"/>
  <c r="DK969" i="1"/>
  <c r="DI969" i="1"/>
  <c r="DJ969" i="1" s="1"/>
  <c r="DC969" i="1"/>
  <c r="CX969" i="1"/>
  <c r="CN969" i="1"/>
  <c r="CR969" i="1" s="1"/>
  <c r="BV969" i="1"/>
  <c r="BX969" i="1" s="1"/>
  <c r="BN969" i="1"/>
  <c r="BO969" i="1" s="1"/>
  <c r="BD969" i="1"/>
  <c r="BC969" i="1"/>
  <c r="BB969" i="1"/>
  <c r="BA969" i="1"/>
  <c r="AZ969" i="1"/>
  <c r="AY969" i="1"/>
  <c r="BE969" i="1" s="1" a="1"/>
  <c r="BE969" i="1" s="1"/>
  <c r="AX969" i="1"/>
  <c r="M969" i="1"/>
  <c r="EM968" i="1"/>
  <c r="DU968" i="1"/>
  <c r="DT968" i="1"/>
  <c r="DN968" i="1"/>
  <c r="DM968" i="1"/>
  <c r="DL968" i="1"/>
  <c r="DK968" i="1"/>
  <c r="DI968" i="1"/>
  <c r="DJ968" i="1" s="1"/>
  <c r="DC968" i="1"/>
  <c r="CX968" i="1"/>
  <c r="CN968" i="1"/>
  <c r="CS968" i="1" s="1"/>
  <c r="BV968" i="1"/>
  <c r="BX968" i="1" s="1"/>
  <c r="BN968" i="1"/>
  <c r="BO968" i="1" s="1"/>
  <c r="BD968" i="1"/>
  <c r="BC968" i="1"/>
  <c r="BB968" i="1"/>
  <c r="BA968" i="1"/>
  <c r="AZ968" i="1"/>
  <c r="AY968" i="1"/>
  <c r="BE968" i="1" s="1" a="1"/>
  <c r="BE968" i="1" s="1"/>
  <c r="AX968" i="1"/>
  <c r="M968" i="1"/>
  <c r="EM971" i="1"/>
  <c r="DU971" i="1"/>
  <c r="DT971" i="1"/>
  <c r="DN971" i="1"/>
  <c r="DM971" i="1"/>
  <c r="DL971" i="1"/>
  <c r="DK971" i="1"/>
  <c r="DI971" i="1"/>
  <c r="DJ971" i="1" s="1"/>
  <c r="DC971" i="1"/>
  <c r="CX971" i="1"/>
  <c r="CN971" i="1"/>
  <c r="BV971" i="1"/>
  <c r="BX971" i="1" s="1"/>
  <c r="BN971" i="1"/>
  <c r="BO971" i="1" s="1"/>
  <c r="BD971" i="1"/>
  <c r="BC971" i="1"/>
  <c r="BB971" i="1"/>
  <c r="BA971" i="1"/>
  <c r="AZ971" i="1"/>
  <c r="AY971" i="1"/>
  <c r="BE971" i="1" s="1" a="1"/>
  <c r="BE971" i="1" s="1"/>
  <c r="AX971" i="1"/>
  <c r="M971" i="1"/>
  <c r="EM970" i="1"/>
  <c r="DU970" i="1"/>
  <c r="DT970" i="1"/>
  <c r="DN970" i="1"/>
  <c r="DM970" i="1"/>
  <c r="DL970" i="1"/>
  <c r="DK970" i="1"/>
  <c r="DI970" i="1"/>
  <c r="DJ970" i="1" s="1"/>
  <c r="DC970" i="1"/>
  <c r="CX970" i="1"/>
  <c r="CN970" i="1"/>
  <c r="CR970" i="1" s="1"/>
  <c r="BV970" i="1"/>
  <c r="BX970" i="1" s="1"/>
  <c r="BN970" i="1"/>
  <c r="BO970" i="1" s="1"/>
  <c r="BD970" i="1"/>
  <c r="BC970" i="1"/>
  <c r="BB970" i="1"/>
  <c r="BA970" i="1"/>
  <c r="AZ970" i="1"/>
  <c r="AY970" i="1"/>
  <c r="BE970" i="1" s="1" a="1"/>
  <c r="BE970" i="1" s="1"/>
  <c r="AX970" i="1"/>
  <c r="M970" i="1"/>
  <c r="EM947" i="1"/>
  <c r="DU947" i="1"/>
  <c r="DT947" i="1"/>
  <c r="DN947" i="1"/>
  <c r="DM947" i="1"/>
  <c r="DL947" i="1"/>
  <c r="DK947" i="1"/>
  <c r="DI947" i="1"/>
  <c r="DJ947" i="1" s="1"/>
  <c r="DC947" i="1"/>
  <c r="CX947" i="1"/>
  <c r="BV947" i="1"/>
  <c r="BX947" i="1" s="1"/>
  <c r="BL947" i="1"/>
  <c r="BN947" i="1" s="1"/>
  <c r="BO947" i="1" s="1"/>
  <c r="BD947" i="1"/>
  <c r="BC947" i="1"/>
  <c r="BB947" i="1"/>
  <c r="BA947" i="1"/>
  <c r="AZ947" i="1"/>
  <c r="AY947" i="1"/>
  <c r="BE947" i="1" s="1" a="1"/>
  <c r="BE947" i="1" s="1"/>
  <c r="AX947" i="1"/>
  <c r="M947" i="1"/>
  <c r="EM945" i="1"/>
  <c r="DU945" i="1"/>
  <c r="DT945" i="1"/>
  <c r="DN945" i="1"/>
  <c r="DM945" i="1"/>
  <c r="DL945" i="1"/>
  <c r="DK945" i="1"/>
  <c r="DI945" i="1"/>
  <c r="DJ945" i="1" s="1"/>
  <c r="DC945" i="1"/>
  <c r="CX945" i="1"/>
  <c r="CN945" i="1"/>
  <c r="CO945" i="1" s="1"/>
  <c r="BX945" i="1"/>
  <c r="BN945" i="1"/>
  <c r="BO945" i="1" s="1"/>
  <c r="BD945" i="1"/>
  <c r="BC945" i="1"/>
  <c r="BB945" i="1"/>
  <c r="BA945" i="1"/>
  <c r="AZ945" i="1"/>
  <c r="AY945" i="1"/>
  <c r="BE945" i="1" s="1" a="1"/>
  <c r="BE945" i="1" s="1"/>
  <c r="AX945" i="1"/>
  <c r="M945" i="1"/>
  <c r="EM912" i="1"/>
  <c r="DU912" i="1"/>
  <c r="DT912" i="1"/>
  <c r="DN912" i="1"/>
  <c r="DM912" i="1"/>
  <c r="DL912" i="1"/>
  <c r="DK912" i="1"/>
  <c r="DI912" i="1"/>
  <c r="DJ912" i="1" s="1"/>
  <c r="DC912" i="1"/>
  <c r="CX912" i="1"/>
  <c r="CN912" i="1"/>
  <c r="CR912" i="1" s="1"/>
  <c r="BV912" i="1"/>
  <c r="BX912" i="1" s="1"/>
  <c r="BU912" i="1"/>
  <c r="BN912" i="1"/>
  <c r="BO912" i="1" s="1"/>
  <c r="BM912" i="1"/>
  <c r="BD912" i="1"/>
  <c r="BC912" i="1"/>
  <c r="BB912" i="1"/>
  <c r="BA912" i="1"/>
  <c r="AZ912" i="1"/>
  <c r="AY912" i="1"/>
  <c r="BE912" i="1" s="1" a="1"/>
  <c r="BE912" i="1" s="1"/>
  <c r="AX912" i="1"/>
  <c r="M912" i="1"/>
  <c r="EM911" i="1"/>
  <c r="DU911" i="1"/>
  <c r="DT911" i="1"/>
  <c r="DN911" i="1"/>
  <c r="DM911" i="1"/>
  <c r="DL911" i="1"/>
  <c r="DK911" i="1"/>
  <c r="DI911" i="1"/>
  <c r="DJ911" i="1" s="1"/>
  <c r="DC911" i="1"/>
  <c r="CX911" i="1"/>
  <c r="CN911" i="1"/>
  <c r="BV911" i="1"/>
  <c r="BX911" i="1" s="1"/>
  <c r="BU911" i="1"/>
  <c r="BN911" i="1"/>
  <c r="BO911" i="1" s="1"/>
  <c r="BM911" i="1"/>
  <c r="BD911" i="1"/>
  <c r="BC911" i="1"/>
  <c r="BB911" i="1"/>
  <c r="BA911" i="1"/>
  <c r="AZ911" i="1"/>
  <c r="AY911" i="1"/>
  <c r="BE911" i="1" s="1" a="1"/>
  <c r="BE911" i="1" s="1"/>
  <c r="AX911" i="1"/>
  <c r="M911" i="1"/>
  <c r="EM910" i="1"/>
  <c r="DU910" i="1"/>
  <c r="DT910" i="1"/>
  <c r="DN910" i="1"/>
  <c r="DM910" i="1"/>
  <c r="DL910" i="1"/>
  <c r="DK910" i="1"/>
  <c r="DI910" i="1"/>
  <c r="DJ910" i="1" s="1"/>
  <c r="DC910" i="1"/>
  <c r="CX910" i="1"/>
  <c r="CN910" i="1"/>
  <c r="CR910" i="1" s="1"/>
  <c r="BV910" i="1"/>
  <c r="BX910" i="1" s="1"/>
  <c r="BU910" i="1"/>
  <c r="BN910" i="1"/>
  <c r="BO910" i="1" s="1"/>
  <c r="BM910" i="1"/>
  <c r="BD910" i="1"/>
  <c r="BC910" i="1"/>
  <c r="BB910" i="1"/>
  <c r="BA910" i="1"/>
  <c r="AZ910" i="1"/>
  <c r="AY910" i="1"/>
  <c r="BE910" i="1" s="1" a="1"/>
  <c r="BE910" i="1" s="1"/>
  <c r="AX910" i="1"/>
  <c r="M910" i="1"/>
  <c r="EM909" i="1"/>
  <c r="DU909" i="1"/>
  <c r="DT909" i="1"/>
  <c r="DN909" i="1"/>
  <c r="DM909" i="1"/>
  <c r="DL909" i="1"/>
  <c r="DK909" i="1"/>
  <c r="DI909" i="1"/>
  <c r="DJ909" i="1" s="1"/>
  <c r="DC909" i="1"/>
  <c r="CX909" i="1"/>
  <c r="CN909" i="1"/>
  <c r="CS909" i="1" s="1"/>
  <c r="BV909" i="1"/>
  <c r="BX909" i="1" s="1"/>
  <c r="BU909" i="1"/>
  <c r="BN909" i="1"/>
  <c r="BO909" i="1" s="1"/>
  <c r="BM909" i="1"/>
  <c r="BD909" i="1"/>
  <c r="BC909" i="1"/>
  <c r="BB909" i="1"/>
  <c r="BA909" i="1"/>
  <c r="AZ909" i="1"/>
  <c r="AY909" i="1"/>
  <c r="BE909" i="1" s="1" a="1"/>
  <c r="BE909" i="1" s="1"/>
  <c r="AX909" i="1"/>
  <c r="M909" i="1"/>
  <c r="EM914" i="1"/>
  <c r="DU914" i="1"/>
  <c r="DT914" i="1"/>
  <c r="DN914" i="1"/>
  <c r="DM914" i="1"/>
  <c r="DL914" i="1"/>
  <c r="DK914" i="1"/>
  <c r="DI914" i="1"/>
  <c r="DJ914" i="1" s="1"/>
  <c r="DC914" i="1"/>
  <c r="CX914" i="1"/>
  <c r="CN914" i="1"/>
  <c r="CS914" i="1" s="1"/>
  <c r="BV914" i="1"/>
  <c r="BX914" i="1" s="1"/>
  <c r="BU914" i="1"/>
  <c r="BN914" i="1"/>
  <c r="BO914" i="1" s="1"/>
  <c r="BM914" i="1"/>
  <c r="BD914" i="1"/>
  <c r="BC914" i="1"/>
  <c r="BB914" i="1"/>
  <c r="BA914" i="1"/>
  <c r="AZ914" i="1"/>
  <c r="AY914" i="1"/>
  <c r="BE914" i="1" s="1" a="1"/>
  <c r="BE914" i="1" s="1"/>
  <c r="AX914" i="1"/>
  <c r="M914" i="1"/>
  <c r="EM921" i="1"/>
  <c r="DU921" i="1"/>
  <c r="DT921" i="1"/>
  <c r="DN921" i="1"/>
  <c r="DM921" i="1"/>
  <c r="DL921" i="1"/>
  <c r="DK921" i="1"/>
  <c r="DI921" i="1"/>
  <c r="DJ921" i="1" s="1"/>
  <c r="DC921" i="1"/>
  <c r="CX921" i="1"/>
  <c r="CN921" i="1"/>
  <c r="BV921" i="1"/>
  <c r="BX921" i="1" s="1"/>
  <c r="BU921" i="1"/>
  <c r="BN921" i="1"/>
  <c r="BO921" i="1" s="1"/>
  <c r="BM921" i="1"/>
  <c r="BD921" i="1"/>
  <c r="BC921" i="1"/>
  <c r="BB921" i="1"/>
  <c r="BA921" i="1"/>
  <c r="AZ921" i="1"/>
  <c r="AY921" i="1"/>
  <c r="BE921" i="1" s="1" a="1"/>
  <c r="BE921" i="1" s="1"/>
  <c r="AX921" i="1"/>
  <c r="M921" i="1"/>
  <c r="EM920" i="1"/>
  <c r="DU920" i="1"/>
  <c r="DT920" i="1"/>
  <c r="DN920" i="1"/>
  <c r="DM920" i="1"/>
  <c r="DL920" i="1"/>
  <c r="DK920" i="1"/>
  <c r="DI920" i="1"/>
  <c r="DJ920" i="1" s="1"/>
  <c r="DC920" i="1"/>
  <c r="CX920" i="1"/>
  <c r="CN920" i="1"/>
  <c r="CS920" i="1" s="1"/>
  <c r="BV920" i="1"/>
  <c r="BX920" i="1" s="1"/>
  <c r="BU920" i="1"/>
  <c r="BN920" i="1"/>
  <c r="BO920" i="1" s="1"/>
  <c r="BM920" i="1"/>
  <c r="BD920" i="1"/>
  <c r="BC920" i="1"/>
  <c r="BB920" i="1"/>
  <c r="BA920" i="1"/>
  <c r="AZ920" i="1"/>
  <c r="AY920" i="1"/>
  <c r="BE920" i="1" s="1" a="1"/>
  <c r="BE920" i="1" s="1"/>
  <c r="AX920" i="1"/>
  <c r="M920" i="1"/>
  <c r="EM919" i="1"/>
  <c r="DU919" i="1"/>
  <c r="DT919" i="1"/>
  <c r="DN919" i="1"/>
  <c r="DM919" i="1"/>
  <c r="DL919" i="1"/>
  <c r="DK919" i="1"/>
  <c r="DI919" i="1"/>
  <c r="DJ919" i="1" s="1"/>
  <c r="DC919" i="1"/>
  <c r="CX919" i="1"/>
  <c r="CN919" i="1"/>
  <c r="CO919" i="1" s="1"/>
  <c r="BV919" i="1"/>
  <c r="BX919" i="1" s="1"/>
  <c r="BU919" i="1"/>
  <c r="BN919" i="1"/>
  <c r="BO919" i="1" s="1"/>
  <c r="BM919" i="1"/>
  <c r="BD919" i="1"/>
  <c r="BC919" i="1"/>
  <c r="BB919" i="1"/>
  <c r="BA919" i="1"/>
  <c r="AZ919" i="1"/>
  <c r="AY919" i="1"/>
  <c r="BE919" i="1" s="1" a="1"/>
  <c r="BE919" i="1" s="1"/>
  <c r="AX919" i="1"/>
  <c r="M919" i="1"/>
  <c r="EM918" i="1"/>
  <c r="DU918" i="1"/>
  <c r="DT918" i="1"/>
  <c r="DN918" i="1"/>
  <c r="DM918" i="1"/>
  <c r="DL918" i="1"/>
  <c r="DK918" i="1"/>
  <c r="DI918" i="1"/>
  <c r="DJ918" i="1" s="1"/>
  <c r="DC918" i="1"/>
  <c r="CX918" i="1"/>
  <c r="CN918" i="1"/>
  <c r="BV918" i="1"/>
  <c r="BX918" i="1" s="1"/>
  <c r="BU918" i="1"/>
  <c r="BN918" i="1"/>
  <c r="BO918" i="1" s="1"/>
  <c r="BM918" i="1"/>
  <c r="BD918" i="1"/>
  <c r="BC918" i="1"/>
  <c r="BB918" i="1"/>
  <c r="BA918" i="1"/>
  <c r="AZ918" i="1"/>
  <c r="AY918" i="1"/>
  <c r="BE918" i="1" s="1" a="1"/>
  <c r="BE918" i="1" s="1"/>
  <c r="AX918" i="1"/>
  <c r="M918" i="1"/>
  <c r="EM917" i="1"/>
  <c r="DU917" i="1"/>
  <c r="DT917" i="1"/>
  <c r="DN917" i="1"/>
  <c r="DM917" i="1"/>
  <c r="DL917" i="1"/>
  <c r="DK917" i="1"/>
  <c r="DI917" i="1"/>
  <c r="DJ917" i="1" s="1"/>
  <c r="DC917" i="1"/>
  <c r="CX917" i="1"/>
  <c r="CN917" i="1"/>
  <c r="CP917" i="1" s="1"/>
  <c r="BV917" i="1"/>
  <c r="BX917" i="1" s="1"/>
  <c r="BU917" i="1"/>
  <c r="BN917" i="1"/>
  <c r="BO917" i="1" s="1"/>
  <c r="BM917" i="1"/>
  <c r="BD917" i="1"/>
  <c r="BC917" i="1"/>
  <c r="BB917" i="1"/>
  <c r="BA917" i="1"/>
  <c r="AZ917" i="1"/>
  <c r="AY917" i="1"/>
  <c r="BE917" i="1" s="1" a="1"/>
  <c r="BE917" i="1" s="1"/>
  <c r="AX917" i="1"/>
  <c r="M917" i="1"/>
  <c r="EM916" i="1"/>
  <c r="DU916" i="1"/>
  <c r="DT916" i="1"/>
  <c r="DN916" i="1"/>
  <c r="DM916" i="1"/>
  <c r="DL916" i="1"/>
  <c r="DK916" i="1"/>
  <c r="DI916" i="1"/>
  <c r="DJ916" i="1" s="1"/>
  <c r="DC916" i="1"/>
  <c r="CX916" i="1"/>
  <c r="CN916" i="1"/>
  <c r="CO916" i="1" s="1"/>
  <c r="BV916" i="1"/>
  <c r="BX916" i="1" s="1"/>
  <c r="BU916" i="1"/>
  <c r="BN916" i="1"/>
  <c r="BO916" i="1" s="1"/>
  <c r="BM916" i="1"/>
  <c r="BD916" i="1"/>
  <c r="BC916" i="1"/>
  <c r="BB916" i="1"/>
  <c r="BA916" i="1"/>
  <c r="AZ916" i="1"/>
  <c r="AY916" i="1"/>
  <c r="BE916" i="1" s="1" a="1"/>
  <c r="BE916" i="1" s="1"/>
  <c r="AX916" i="1"/>
  <c r="M916" i="1"/>
  <c r="EM915" i="1"/>
  <c r="DU915" i="1"/>
  <c r="DT915" i="1"/>
  <c r="DN915" i="1"/>
  <c r="DM915" i="1"/>
  <c r="DL915" i="1"/>
  <c r="DK915" i="1"/>
  <c r="DI915" i="1"/>
  <c r="DJ915" i="1" s="1"/>
  <c r="DC915" i="1"/>
  <c r="CX915" i="1"/>
  <c r="CN915" i="1"/>
  <c r="CP915" i="1" s="1"/>
  <c r="BV915" i="1"/>
  <c r="BX915" i="1" s="1"/>
  <c r="BU915" i="1"/>
  <c r="BN915" i="1"/>
  <c r="BO915" i="1" s="1"/>
  <c r="BM915" i="1"/>
  <c r="BD915" i="1"/>
  <c r="BC915" i="1"/>
  <c r="BB915" i="1"/>
  <c r="BA915" i="1"/>
  <c r="AZ915" i="1"/>
  <c r="AY915" i="1"/>
  <c r="BE915" i="1" s="1" a="1"/>
  <c r="BE915" i="1" s="1"/>
  <c r="AX915" i="1"/>
  <c r="M915" i="1"/>
  <c r="EM913" i="1"/>
  <c r="DU913" i="1"/>
  <c r="DT913" i="1"/>
  <c r="DN913" i="1"/>
  <c r="DM913" i="1"/>
  <c r="DL913" i="1"/>
  <c r="DK913" i="1"/>
  <c r="DI913" i="1"/>
  <c r="DJ913" i="1" s="1"/>
  <c r="DC913" i="1"/>
  <c r="CX913" i="1"/>
  <c r="CN913" i="1"/>
  <c r="CS913" i="1" s="1"/>
  <c r="BV913" i="1"/>
  <c r="BX913" i="1" s="1"/>
  <c r="BU913" i="1"/>
  <c r="BN913" i="1"/>
  <c r="BO913" i="1" s="1"/>
  <c r="BM913" i="1"/>
  <c r="BD913" i="1"/>
  <c r="BC913" i="1"/>
  <c r="BB913" i="1"/>
  <c r="BA913" i="1"/>
  <c r="AZ913" i="1"/>
  <c r="AY913" i="1"/>
  <c r="BE913" i="1" s="1" a="1"/>
  <c r="BE913" i="1" s="1"/>
  <c r="AX913" i="1"/>
  <c r="M913" i="1"/>
  <c r="EM877" i="1"/>
  <c r="DU877" i="1"/>
  <c r="DT877" i="1"/>
  <c r="DN877" i="1"/>
  <c r="DM877" i="1"/>
  <c r="DL877" i="1"/>
  <c r="DK877" i="1"/>
  <c r="DI877" i="1"/>
  <c r="DJ877" i="1" s="1"/>
  <c r="DC877" i="1"/>
  <c r="CX877" i="1"/>
  <c r="CN877" i="1"/>
  <c r="BX877" i="1"/>
  <c r="BO877" i="1"/>
  <c r="BD877" i="1"/>
  <c r="BC877" i="1"/>
  <c r="BB877" i="1"/>
  <c r="BA877" i="1"/>
  <c r="AZ877" i="1"/>
  <c r="AY877" i="1"/>
  <c r="BE877" i="1" s="1" a="1"/>
  <c r="BE877" i="1" s="1"/>
  <c r="AX877" i="1"/>
  <c r="M877" i="1"/>
  <c r="EM776" i="1"/>
  <c r="DT776" i="1"/>
  <c r="DN776" i="1"/>
  <c r="DM776" i="1"/>
  <c r="DL776" i="1"/>
  <c r="DK776" i="1"/>
  <c r="DJ776" i="1"/>
  <c r="DC776" i="1"/>
  <c r="CX776" i="1"/>
  <c r="CN776" i="1"/>
  <c r="BV776" i="1"/>
  <c r="BX776" i="1" s="1"/>
  <c r="BN776" i="1"/>
  <c r="BO776" i="1" s="1"/>
  <c r="BD776" i="1"/>
  <c r="BC776" i="1"/>
  <c r="BB776" i="1"/>
  <c r="BA776" i="1"/>
  <c r="AZ776" i="1"/>
  <c r="AY776" i="1"/>
  <c r="BE776" i="1" s="1" a="1"/>
  <c r="BE776" i="1" s="1"/>
  <c r="AX776" i="1"/>
  <c r="M776" i="1"/>
  <c r="EM775" i="1"/>
  <c r="DT775" i="1"/>
  <c r="DN775" i="1"/>
  <c r="DM775" i="1"/>
  <c r="DL775" i="1"/>
  <c r="DK775" i="1"/>
  <c r="DJ775" i="1"/>
  <c r="DC775" i="1"/>
  <c r="CX775" i="1"/>
  <c r="CN775" i="1"/>
  <c r="BV775" i="1"/>
  <c r="BX775" i="1" s="1"/>
  <c r="BN775" i="1"/>
  <c r="BO775" i="1" s="1"/>
  <c r="BD775" i="1"/>
  <c r="BC775" i="1"/>
  <c r="BB775" i="1"/>
  <c r="BA775" i="1"/>
  <c r="AZ775" i="1"/>
  <c r="AY775" i="1"/>
  <c r="BE775" i="1" s="1" a="1"/>
  <c r="BE775" i="1" s="1"/>
  <c r="AX775" i="1"/>
  <c r="M775" i="1"/>
  <c r="EM774" i="1"/>
  <c r="DT774" i="1"/>
  <c r="DN774" i="1"/>
  <c r="DM774" i="1"/>
  <c r="DL774" i="1"/>
  <c r="DK774" i="1"/>
  <c r="DJ774" i="1"/>
  <c r="DC774" i="1"/>
  <c r="CX774" i="1"/>
  <c r="CN774" i="1"/>
  <c r="CS774" i="1" s="1"/>
  <c r="BV774" i="1"/>
  <c r="BX774" i="1" s="1"/>
  <c r="BN774" i="1"/>
  <c r="BO774" i="1" s="1"/>
  <c r="BD774" i="1"/>
  <c r="BC774" i="1"/>
  <c r="BB774" i="1"/>
  <c r="BA774" i="1"/>
  <c r="AZ774" i="1"/>
  <c r="AY774" i="1"/>
  <c r="BE774" i="1" s="1" a="1"/>
  <c r="BE774" i="1" s="1"/>
  <c r="AX774" i="1"/>
  <c r="M774" i="1"/>
  <c r="EM773" i="1"/>
  <c r="DT773" i="1"/>
  <c r="DN773" i="1"/>
  <c r="DM773" i="1"/>
  <c r="DL773" i="1"/>
  <c r="DK773" i="1"/>
  <c r="DJ773" i="1"/>
  <c r="DC773" i="1"/>
  <c r="CX773" i="1"/>
  <c r="CN773" i="1"/>
  <c r="BV773" i="1"/>
  <c r="BX773" i="1" s="1"/>
  <c r="BN773" i="1"/>
  <c r="BO773" i="1" s="1"/>
  <c r="BD773" i="1"/>
  <c r="BC773" i="1"/>
  <c r="BB773" i="1"/>
  <c r="BA773" i="1"/>
  <c r="AZ773" i="1"/>
  <c r="AY773" i="1"/>
  <c r="BE773" i="1" s="1" a="1"/>
  <c r="BE773" i="1" s="1"/>
  <c r="AX773" i="1"/>
  <c r="M773" i="1"/>
  <c r="EM772" i="1"/>
  <c r="DT772" i="1"/>
  <c r="DN772" i="1"/>
  <c r="DM772" i="1"/>
  <c r="DL772" i="1"/>
  <c r="DK772" i="1"/>
  <c r="DJ772" i="1"/>
  <c r="DC772" i="1"/>
  <c r="CX772" i="1"/>
  <c r="CN772" i="1"/>
  <c r="CO772" i="1" s="1"/>
  <c r="BV772" i="1"/>
  <c r="BX772" i="1" s="1"/>
  <c r="BN772" i="1"/>
  <c r="BO772" i="1" s="1"/>
  <c r="BD772" i="1"/>
  <c r="BC772" i="1"/>
  <c r="BB772" i="1"/>
  <c r="BA772" i="1"/>
  <c r="AZ772" i="1"/>
  <c r="AY772" i="1"/>
  <c r="BE772" i="1" s="1" a="1"/>
  <c r="BE772" i="1" s="1"/>
  <c r="AX772" i="1"/>
  <c r="M772" i="1"/>
  <c r="EM771" i="1"/>
  <c r="DT771" i="1"/>
  <c r="DN771" i="1"/>
  <c r="DM771" i="1"/>
  <c r="DL771" i="1"/>
  <c r="DK771" i="1"/>
  <c r="DJ771" i="1"/>
  <c r="DC771" i="1"/>
  <c r="CX771" i="1"/>
  <c r="CN771" i="1"/>
  <c r="BV771" i="1"/>
  <c r="BX771" i="1" s="1"/>
  <c r="BN771" i="1"/>
  <c r="BO771" i="1" s="1"/>
  <c r="BD771" i="1"/>
  <c r="BC771" i="1"/>
  <c r="BB771" i="1"/>
  <c r="BA771" i="1"/>
  <c r="AZ771" i="1"/>
  <c r="AY771" i="1"/>
  <c r="BE771" i="1" s="1" a="1"/>
  <c r="BE771" i="1" s="1"/>
  <c r="AX771" i="1"/>
  <c r="M771" i="1"/>
  <c r="EM743" i="1"/>
  <c r="DU743" i="1"/>
  <c r="DT743" i="1"/>
  <c r="DN743" i="1"/>
  <c r="DM743" i="1"/>
  <c r="DL743" i="1"/>
  <c r="DK743" i="1"/>
  <c r="DI743" i="1"/>
  <c r="DJ743" i="1" s="1"/>
  <c r="DC743" i="1"/>
  <c r="CX743" i="1"/>
  <c r="CN743" i="1"/>
  <c r="CS743" i="1" s="1"/>
  <c r="BV743" i="1"/>
  <c r="BX743" i="1" s="1"/>
  <c r="BN743" i="1"/>
  <c r="BO743" i="1" s="1"/>
  <c r="BD743" i="1"/>
  <c r="BC743" i="1"/>
  <c r="BB743" i="1"/>
  <c r="BA743" i="1"/>
  <c r="AZ743" i="1"/>
  <c r="AY743" i="1"/>
  <c r="BE743" i="1" s="1" a="1"/>
  <c r="BE743" i="1" s="1"/>
  <c r="AX743" i="1"/>
  <c r="M743" i="1"/>
  <c r="EM742" i="1"/>
  <c r="DU742" i="1"/>
  <c r="DT742" i="1"/>
  <c r="DN742" i="1"/>
  <c r="DM742" i="1"/>
  <c r="DL742" i="1"/>
  <c r="DK742" i="1"/>
  <c r="DI742" i="1"/>
  <c r="DJ742" i="1" s="1"/>
  <c r="DC742" i="1"/>
  <c r="CX742" i="1"/>
  <c r="CN742" i="1"/>
  <c r="BT742" i="1"/>
  <c r="BS742" i="1"/>
  <c r="BN742" i="1"/>
  <c r="BO742" i="1" s="1"/>
  <c r="BD742" i="1"/>
  <c r="BC742" i="1"/>
  <c r="BB742" i="1"/>
  <c r="BA742" i="1"/>
  <c r="AZ742" i="1"/>
  <c r="AY742" i="1"/>
  <c r="BE742" i="1" s="1" a="1"/>
  <c r="BE742" i="1" s="1"/>
  <c r="AX742" i="1"/>
  <c r="M742" i="1"/>
  <c r="EM741" i="1"/>
  <c r="DU741" i="1"/>
  <c r="DT741" i="1"/>
  <c r="DN741" i="1"/>
  <c r="DM741" i="1"/>
  <c r="DL741" i="1"/>
  <c r="DK741" i="1"/>
  <c r="DI741" i="1"/>
  <c r="DJ741" i="1" s="1"/>
  <c r="DC741" i="1"/>
  <c r="CX741" i="1"/>
  <c r="CN741" i="1"/>
  <c r="CO741" i="1" s="1"/>
  <c r="BV741" i="1"/>
  <c r="BX741" i="1" s="1"/>
  <c r="BN741" i="1"/>
  <c r="BO741" i="1" s="1"/>
  <c r="BD741" i="1"/>
  <c r="BC741" i="1"/>
  <c r="BB741" i="1"/>
  <c r="BA741" i="1"/>
  <c r="AZ741" i="1"/>
  <c r="AY741" i="1"/>
  <c r="BE741" i="1" s="1" a="1"/>
  <c r="BE741" i="1" s="1"/>
  <c r="AX741" i="1"/>
  <c r="M741" i="1"/>
  <c r="EM740" i="1"/>
  <c r="DU740" i="1"/>
  <c r="DT740" i="1"/>
  <c r="DN740" i="1"/>
  <c r="DM740" i="1"/>
  <c r="DL740" i="1"/>
  <c r="DK740" i="1"/>
  <c r="DI740" i="1"/>
  <c r="DJ740" i="1" s="1"/>
  <c r="DC740" i="1"/>
  <c r="CX740" i="1"/>
  <c r="CN740" i="1"/>
  <c r="CO740" i="1" s="1"/>
  <c r="BT740" i="1"/>
  <c r="BS740" i="1"/>
  <c r="BN740" i="1"/>
  <c r="BO740" i="1" s="1"/>
  <c r="BD740" i="1"/>
  <c r="BC740" i="1"/>
  <c r="BB740" i="1"/>
  <c r="BA740" i="1"/>
  <c r="AZ740" i="1"/>
  <c r="AY740" i="1"/>
  <c r="BE740" i="1" s="1" a="1"/>
  <c r="BE740" i="1" s="1"/>
  <c r="AX740" i="1"/>
  <c r="M740" i="1"/>
  <c r="EM739" i="1"/>
  <c r="DU739" i="1"/>
  <c r="DT739" i="1"/>
  <c r="DN739" i="1"/>
  <c r="DM739" i="1"/>
  <c r="DL739" i="1"/>
  <c r="DK739" i="1"/>
  <c r="DI739" i="1"/>
  <c r="DJ739" i="1" s="1"/>
  <c r="DC739" i="1"/>
  <c r="CX739" i="1"/>
  <c r="CN739" i="1"/>
  <c r="BV739" i="1"/>
  <c r="BX739" i="1" s="1"/>
  <c r="BN739" i="1"/>
  <c r="BO739" i="1" s="1"/>
  <c r="BD739" i="1"/>
  <c r="BC739" i="1"/>
  <c r="BB739" i="1"/>
  <c r="BA739" i="1"/>
  <c r="AZ739" i="1"/>
  <c r="AY739" i="1"/>
  <c r="BE739" i="1" s="1" a="1"/>
  <c r="BE739" i="1" s="1"/>
  <c r="AX739" i="1"/>
  <c r="M739" i="1"/>
  <c r="EM738" i="1"/>
  <c r="DU738" i="1"/>
  <c r="DT738" i="1"/>
  <c r="DN738" i="1"/>
  <c r="DM738" i="1"/>
  <c r="DL738" i="1"/>
  <c r="DK738" i="1"/>
  <c r="DI738" i="1"/>
  <c r="DJ738" i="1" s="1"/>
  <c r="DC738" i="1"/>
  <c r="CX738" i="1"/>
  <c r="CN738" i="1"/>
  <c r="BT738" i="1"/>
  <c r="BS738" i="1"/>
  <c r="BN738" i="1"/>
  <c r="BO738" i="1" s="1"/>
  <c r="BD738" i="1"/>
  <c r="BC738" i="1"/>
  <c r="BB738" i="1"/>
  <c r="BA738" i="1"/>
  <c r="AZ738" i="1"/>
  <c r="AY738" i="1"/>
  <c r="BE738" i="1" s="1" a="1"/>
  <c r="BE738" i="1" s="1"/>
  <c r="AX738" i="1"/>
  <c r="M738" i="1"/>
  <c r="EM737" i="1"/>
  <c r="DU737" i="1"/>
  <c r="DT737" i="1"/>
  <c r="DN737" i="1"/>
  <c r="DM737" i="1"/>
  <c r="DL737" i="1"/>
  <c r="DK737" i="1"/>
  <c r="DI737" i="1"/>
  <c r="DJ737" i="1" s="1"/>
  <c r="DC737" i="1"/>
  <c r="CX737" i="1"/>
  <c r="CN737" i="1"/>
  <c r="CO737" i="1" s="1"/>
  <c r="BV737" i="1"/>
  <c r="BX737" i="1" s="1"/>
  <c r="BN737" i="1"/>
  <c r="BO737" i="1" s="1"/>
  <c r="BD737" i="1"/>
  <c r="BC737" i="1"/>
  <c r="BB737" i="1"/>
  <c r="BA737" i="1"/>
  <c r="AZ737" i="1"/>
  <c r="AY737" i="1"/>
  <c r="BE737" i="1" s="1" a="1"/>
  <c r="BE737" i="1" s="1"/>
  <c r="AX737" i="1"/>
  <c r="M737" i="1"/>
  <c r="EM736" i="1"/>
  <c r="DU736" i="1"/>
  <c r="DT736" i="1"/>
  <c r="DN736" i="1"/>
  <c r="DM736" i="1"/>
  <c r="DL736" i="1"/>
  <c r="DK736" i="1"/>
  <c r="DI736" i="1"/>
  <c r="DJ736" i="1" s="1"/>
  <c r="DC736" i="1"/>
  <c r="CX736" i="1"/>
  <c r="CN736" i="1"/>
  <c r="BV736" i="1"/>
  <c r="BX736" i="1" s="1"/>
  <c r="BN736" i="1"/>
  <c r="BO736" i="1" s="1"/>
  <c r="BD736" i="1"/>
  <c r="BC736" i="1"/>
  <c r="BB736" i="1"/>
  <c r="BA736" i="1"/>
  <c r="AZ736" i="1"/>
  <c r="AY736" i="1"/>
  <c r="BE736" i="1" s="1" a="1"/>
  <c r="BE736" i="1" s="1"/>
  <c r="AX736" i="1"/>
  <c r="M736" i="1"/>
  <c r="EM735" i="1"/>
  <c r="DU735" i="1"/>
  <c r="DT735" i="1"/>
  <c r="DN735" i="1"/>
  <c r="DM735" i="1"/>
  <c r="DL735" i="1"/>
  <c r="DK735" i="1"/>
  <c r="DI735" i="1"/>
  <c r="DJ735" i="1" s="1"/>
  <c r="DC735" i="1"/>
  <c r="CX735" i="1"/>
  <c r="CN735" i="1"/>
  <c r="CP735" i="1" s="1"/>
  <c r="BV735" i="1"/>
  <c r="BX735" i="1" s="1"/>
  <c r="BN735" i="1"/>
  <c r="BO735" i="1" s="1"/>
  <c r="BD735" i="1"/>
  <c r="BC735" i="1"/>
  <c r="BB735" i="1"/>
  <c r="BA735" i="1"/>
  <c r="AZ735" i="1"/>
  <c r="AY735" i="1"/>
  <c r="BE735" i="1" s="1" a="1"/>
  <c r="BE735" i="1" s="1"/>
  <c r="AX735" i="1"/>
  <c r="M735" i="1"/>
  <c r="EM734" i="1"/>
  <c r="DU734" i="1"/>
  <c r="DT734" i="1"/>
  <c r="DN734" i="1"/>
  <c r="DM734" i="1"/>
  <c r="DL734" i="1"/>
  <c r="DK734" i="1"/>
  <c r="DI734" i="1"/>
  <c r="DJ734" i="1" s="1"/>
  <c r="DC734" i="1"/>
  <c r="CX734" i="1"/>
  <c r="CN734" i="1"/>
  <c r="BV734" i="1"/>
  <c r="BX734" i="1" s="1"/>
  <c r="BN734" i="1"/>
  <c r="BO734" i="1" s="1"/>
  <c r="BD734" i="1"/>
  <c r="BC734" i="1"/>
  <c r="BB734" i="1"/>
  <c r="BA734" i="1"/>
  <c r="AZ734" i="1"/>
  <c r="AY734" i="1"/>
  <c r="BE734" i="1" s="1" a="1"/>
  <c r="BE734" i="1" s="1"/>
  <c r="AX734" i="1"/>
  <c r="M734" i="1"/>
  <c r="EM733" i="1"/>
  <c r="DU733" i="1"/>
  <c r="DT733" i="1"/>
  <c r="DN733" i="1"/>
  <c r="DM733" i="1"/>
  <c r="DL733" i="1"/>
  <c r="DK733" i="1"/>
  <c r="DI733" i="1"/>
  <c r="DJ733" i="1" s="1"/>
  <c r="DC733" i="1"/>
  <c r="CX733" i="1"/>
  <c r="CN733" i="1"/>
  <c r="BV733" i="1"/>
  <c r="BX733" i="1" s="1"/>
  <c r="BN733" i="1"/>
  <c r="BO733" i="1" s="1"/>
  <c r="BD733" i="1"/>
  <c r="BC733" i="1"/>
  <c r="BB733" i="1"/>
  <c r="BA733" i="1"/>
  <c r="AZ733" i="1"/>
  <c r="AY733" i="1"/>
  <c r="BE733" i="1" s="1" a="1"/>
  <c r="BE733" i="1" s="1"/>
  <c r="AX733" i="1"/>
  <c r="M733" i="1"/>
  <c r="EM732" i="1"/>
  <c r="DU732" i="1"/>
  <c r="DT732" i="1"/>
  <c r="DN732" i="1"/>
  <c r="DM732" i="1"/>
  <c r="DL732" i="1"/>
  <c r="DK732" i="1"/>
  <c r="DI732" i="1"/>
  <c r="DJ732" i="1" s="1"/>
  <c r="DC732" i="1"/>
  <c r="CX732" i="1"/>
  <c r="CN732" i="1"/>
  <c r="BV732" i="1"/>
  <c r="BX732" i="1" s="1"/>
  <c r="BN732" i="1"/>
  <c r="BO732" i="1" s="1"/>
  <c r="BD732" i="1"/>
  <c r="BC732" i="1"/>
  <c r="BB732" i="1"/>
  <c r="BA732" i="1"/>
  <c r="AZ732" i="1"/>
  <c r="AY732" i="1"/>
  <c r="BE732" i="1" s="1" a="1"/>
  <c r="BE732" i="1" s="1"/>
  <c r="AX732" i="1"/>
  <c r="M732" i="1"/>
  <c r="EM731" i="1"/>
  <c r="DU731" i="1"/>
  <c r="DT731" i="1"/>
  <c r="DN731" i="1"/>
  <c r="DM731" i="1"/>
  <c r="DL731" i="1"/>
  <c r="DK731" i="1"/>
  <c r="DI731" i="1"/>
  <c r="DJ731" i="1" s="1"/>
  <c r="DC731" i="1"/>
  <c r="CX731" i="1"/>
  <c r="CN731" i="1"/>
  <c r="CP731" i="1" s="1"/>
  <c r="BT731" i="1"/>
  <c r="BV731" i="1" s="1"/>
  <c r="BX731" i="1" s="1"/>
  <c r="BS731" i="1"/>
  <c r="BN731" i="1"/>
  <c r="BO731" i="1" s="1"/>
  <c r="BD731" i="1"/>
  <c r="BC731" i="1"/>
  <c r="BB731" i="1"/>
  <c r="BA731" i="1"/>
  <c r="AZ731" i="1"/>
  <c r="AY731" i="1"/>
  <c r="BE731" i="1" s="1" a="1"/>
  <c r="BE731" i="1" s="1"/>
  <c r="AX731" i="1"/>
  <c r="M731" i="1"/>
  <c r="EM730" i="1"/>
  <c r="DU730" i="1"/>
  <c r="DT730" i="1"/>
  <c r="DN730" i="1"/>
  <c r="DM730" i="1"/>
  <c r="DL730" i="1"/>
  <c r="DK730" i="1"/>
  <c r="DI730" i="1"/>
  <c r="DJ730" i="1" s="1"/>
  <c r="DC730" i="1"/>
  <c r="CX730" i="1"/>
  <c r="CN730" i="1"/>
  <c r="BV730" i="1"/>
  <c r="BX730" i="1" s="1"/>
  <c r="BN730" i="1"/>
  <c r="BO730" i="1" s="1"/>
  <c r="BD730" i="1"/>
  <c r="BC730" i="1"/>
  <c r="BB730" i="1"/>
  <c r="BA730" i="1"/>
  <c r="AZ730" i="1"/>
  <c r="AY730" i="1"/>
  <c r="BE730" i="1" s="1" a="1"/>
  <c r="BE730" i="1" s="1"/>
  <c r="AX730" i="1"/>
  <c r="M730" i="1"/>
  <c r="EM729" i="1"/>
  <c r="DU729" i="1"/>
  <c r="DT729" i="1"/>
  <c r="DN729" i="1"/>
  <c r="DM729" i="1"/>
  <c r="DL729" i="1"/>
  <c r="DK729" i="1"/>
  <c r="DI729" i="1"/>
  <c r="DJ729" i="1" s="1"/>
  <c r="DC729" i="1"/>
  <c r="CX729" i="1"/>
  <c r="CN729" i="1"/>
  <c r="BV729" i="1"/>
  <c r="BX729" i="1" s="1"/>
  <c r="BN729" i="1"/>
  <c r="BO729" i="1" s="1"/>
  <c r="BD729" i="1"/>
  <c r="BC729" i="1"/>
  <c r="BB729" i="1"/>
  <c r="BA729" i="1"/>
  <c r="AZ729" i="1"/>
  <c r="AY729" i="1"/>
  <c r="BE729" i="1" s="1" a="1"/>
  <c r="BE729" i="1" s="1"/>
  <c r="AX729" i="1"/>
  <c r="M729" i="1"/>
  <c r="EM709" i="1"/>
  <c r="DU709" i="1"/>
  <c r="DT709" i="1"/>
  <c r="DN709" i="1"/>
  <c r="DM709" i="1"/>
  <c r="DL709" i="1"/>
  <c r="DK709" i="1"/>
  <c r="DI709" i="1"/>
  <c r="DJ709" i="1" s="1"/>
  <c r="DB709" i="1"/>
  <c r="DC709" i="1" s="1"/>
  <c r="CX709" i="1"/>
  <c r="BT709" i="1"/>
  <c r="BS709" i="1"/>
  <c r="BO709" i="1"/>
  <c r="BL709" i="1"/>
  <c r="BK709" i="1"/>
  <c r="BN709" i="1" s="1"/>
  <c r="BD709" i="1"/>
  <c r="BC709" i="1"/>
  <c r="BB709" i="1"/>
  <c r="BA709" i="1"/>
  <c r="AZ709" i="1"/>
  <c r="AY709" i="1"/>
  <c r="BE709" i="1" s="1" a="1"/>
  <c r="BE709" i="1" s="1"/>
  <c r="AX709" i="1"/>
  <c r="M709" i="1"/>
  <c r="EM708" i="1"/>
  <c r="DU708" i="1"/>
  <c r="DT708" i="1"/>
  <c r="DN708" i="1"/>
  <c r="DM708" i="1"/>
  <c r="DL708" i="1"/>
  <c r="DK708" i="1"/>
  <c r="DI708" i="1"/>
  <c r="DJ708" i="1" s="1"/>
  <c r="DB708" i="1"/>
  <c r="DC708" i="1" s="1"/>
  <c r="CX708" i="1"/>
  <c r="BT708" i="1"/>
  <c r="BV708" i="1" s="1"/>
  <c r="BX708" i="1" s="1"/>
  <c r="BS708" i="1"/>
  <c r="BL708" i="1"/>
  <c r="BK708" i="1"/>
  <c r="CN708" i="1" s="1"/>
  <c r="CO708" i="1" s="1"/>
  <c r="BD708" i="1"/>
  <c r="BC708" i="1"/>
  <c r="BB708" i="1"/>
  <c r="BA708" i="1"/>
  <c r="AZ708" i="1"/>
  <c r="AY708" i="1"/>
  <c r="BE708" i="1" s="1" a="1"/>
  <c r="BE708" i="1" s="1"/>
  <c r="AX708" i="1"/>
  <c r="M708" i="1"/>
  <c r="EM707" i="1"/>
  <c r="DU707" i="1"/>
  <c r="DT707" i="1"/>
  <c r="DN707" i="1"/>
  <c r="DM707" i="1"/>
  <c r="DL707" i="1"/>
  <c r="DK707" i="1"/>
  <c r="DI707" i="1"/>
  <c r="DJ707" i="1" s="1"/>
  <c r="DB707" i="1"/>
  <c r="DC707" i="1" s="1"/>
  <c r="CX707" i="1"/>
  <c r="BT707" i="1"/>
  <c r="BS707" i="1"/>
  <c r="BL707" i="1"/>
  <c r="BK707" i="1"/>
  <c r="BD707" i="1"/>
  <c r="BC707" i="1"/>
  <c r="BB707" i="1"/>
  <c r="BA707" i="1"/>
  <c r="AZ707" i="1"/>
  <c r="AY707" i="1"/>
  <c r="BE707" i="1" s="1" a="1"/>
  <c r="BE707" i="1" s="1"/>
  <c r="AX707" i="1"/>
  <c r="M707" i="1"/>
  <c r="EM704" i="1"/>
  <c r="DU704" i="1"/>
  <c r="DT704" i="1"/>
  <c r="DN704" i="1"/>
  <c r="DM704" i="1"/>
  <c r="DL704" i="1"/>
  <c r="DK704" i="1"/>
  <c r="DI704" i="1"/>
  <c r="DJ704" i="1" s="1"/>
  <c r="DB704" i="1"/>
  <c r="DC704" i="1" s="1"/>
  <c r="CX704" i="1"/>
  <c r="BT704" i="1"/>
  <c r="BS704" i="1"/>
  <c r="BL704" i="1"/>
  <c r="BK704" i="1"/>
  <c r="BD704" i="1"/>
  <c r="BC704" i="1"/>
  <c r="BB704" i="1"/>
  <c r="BA704" i="1"/>
  <c r="AZ704" i="1"/>
  <c r="AY704" i="1"/>
  <c r="BE704" i="1" s="1" a="1"/>
  <c r="BE704" i="1" s="1"/>
  <c r="AX704" i="1"/>
  <c r="M704" i="1"/>
  <c r="EM705" i="1"/>
  <c r="DU705" i="1"/>
  <c r="DT705" i="1"/>
  <c r="DN705" i="1"/>
  <c r="DM705" i="1"/>
  <c r="DL705" i="1"/>
  <c r="DK705" i="1"/>
  <c r="DI705" i="1"/>
  <c r="DJ705" i="1" s="1"/>
  <c r="DB705" i="1"/>
  <c r="DC705" i="1" s="1"/>
  <c r="CX705" i="1"/>
  <c r="BT705" i="1"/>
  <c r="BV705" i="1" s="1"/>
  <c r="BX705" i="1" s="1"/>
  <c r="BS705" i="1"/>
  <c r="BL705" i="1"/>
  <c r="BK705" i="1"/>
  <c r="BD705" i="1"/>
  <c r="BC705" i="1"/>
  <c r="BB705" i="1"/>
  <c r="BA705" i="1"/>
  <c r="AZ705" i="1"/>
  <c r="AY705" i="1"/>
  <c r="AX705" i="1"/>
  <c r="M705" i="1"/>
  <c r="EM703" i="1"/>
  <c r="DU703" i="1"/>
  <c r="DT703" i="1"/>
  <c r="DN703" i="1"/>
  <c r="DM703" i="1"/>
  <c r="DL703" i="1"/>
  <c r="DK703" i="1"/>
  <c r="DI703" i="1"/>
  <c r="DJ703" i="1" s="1"/>
  <c r="DB703" i="1"/>
  <c r="DC703" i="1" s="1"/>
  <c r="CX703" i="1"/>
  <c r="BT703" i="1"/>
  <c r="BS703" i="1"/>
  <c r="BL703" i="1"/>
  <c r="BK703" i="1"/>
  <c r="BO703" i="1" s="1"/>
  <c r="BD703" i="1"/>
  <c r="BC703" i="1"/>
  <c r="BB703" i="1"/>
  <c r="BA703" i="1"/>
  <c r="AZ703" i="1"/>
  <c r="AY703" i="1"/>
  <c r="AX703" i="1"/>
  <c r="M703" i="1"/>
  <c r="EM701" i="1"/>
  <c r="DU701" i="1"/>
  <c r="DT701" i="1"/>
  <c r="DN701" i="1"/>
  <c r="DM701" i="1"/>
  <c r="DL701" i="1"/>
  <c r="DK701" i="1"/>
  <c r="DI701" i="1"/>
  <c r="DJ701" i="1" s="1"/>
  <c r="DB701" i="1"/>
  <c r="DC701" i="1" s="1"/>
  <c r="CX701" i="1"/>
  <c r="BT701" i="1"/>
  <c r="BV701" i="1" s="1"/>
  <c r="BX701" i="1" s="1"/>
  <c r="BS701" i="1"/>
  <c r="BL701" i="1"/>
  <c r="BK701" i="1"/>
  <c r="BD701" i="1"/>
  <c r="BC701" i="1"/>
  <c r="BB701" i="1"/>
  <c r="BA701" i="1"/>
  <c r="AZ701" i="1"/>
  <c r="AY701" i="1"/>
  <c r="AX701" i="1"/>
  <c r="M701" i="1"/>
  <c r="EM700" i="1"/>
  <c r="DU700" i="1"/>
  <c r="DT700" i="1"/>
  <c r="DN700" i="1"/>
  <c r="DM700" i="1"/>
  <c r="DL700" i="1"/>
  <c r="DK700" i="1"/>
  <c r="DI700" i="1"/>
  <c r="DJ700" i="1" s="1"/>
  <c r="DB700" i="1"/>
  <c r="DC700" i="1" s="1"/>
  <c r="CX700" i="1"/>
  <c r="BT700" i="1"/>
  <c r="BV700" i="1" s="1"/>
  <c r="BX700" i="1" s="1"/>
  <c r="BS700" i="1"/>
  <c r="BL700" i="1"/>
  <c r="BK700" i="1"/>
  <c r="BD700" i="1"/>
  <c r="BC700" i="1"/>
  <c r="BB700" i="1"/>
  <c r="BA700" i="1"/>
  <c r="AZ700" i="1"/>
  <c r="AY700" i="1"/>
  <c r="AX700" i="1"/>
  <c r="M700" i="1"/>
  <c r="EM706" i="1"/>
  <c r="DU706" i="1"/>
  <c r="DT706" i="1"/>
  <c r="DN706" i="1"/>
  <c r="DM706" i="1"/>
  <c r="DL706" i="1"/>
  <c r="DK706" i="1"/>
  <c r="DI706" i="1"/>
  <c r="DJ706" i="1" s="1"/>
  <c r="DB706" i="1"/>
  <c r="DC706" i="1" s="1"/>
  <c r="CX706" i="1"/>
  <c r="BT706" i="1"/>
  <c r="BV706" i="1" s="1"/>
  <c r="BX706" i="1" s="1"/>
  <c r="BS706" i="1"/>
  <c r="BL706" i="1"/>
  <c r="BK706" i="1"/>
  <c r="BD706" i="1"/>
  <c r="BC706" i="1"/>
  <c r="BB706" i="1"/>
  <c r="BA706" i="1"/>
  <c r="AZ706" i="1"/>
  <c r="AY706" i="1"/>
  <c r="BE706" i="1" s="1" a="1"/>
  <c r="BE706" i="1" s="1"/>
  <c r="AX706" i="1"/>
  <c r="M706" i="1"/>
  <c r="EM702" i="1"/>
  <c r="DU702" i="1"/>
  <c r="DT702" i="1"/>
  <c r="DN702" i="1"/>
  <c r="DM702" i="1"/>
  <c r="DL702" i="1"/>
  <c r="DK702" i="1"/>
  <c r="DI702" i="1"/>
  <c r="DJ702" i="1" s="1"/>
  <c r="DB702" i="1"/>
  <c r="DC702" i="1" s="1"/>
  <c r="CX702" i="1"/>
  <c r="BT702" i="1"/>
  <c r="BS702" i="1"/>
  <c r="BL702" i="1"/>
  <c r="BK702" i="1"/>
  <c r="BD702" i="1"/>
  <c r="BC702" i="1"/>
  <c r="BB702" i="1"/>
  <c r="BA702" i="1"/>
  <c r="AZ702" i="1"/>
  <c r="AY702" i="1"/>
  <c r="BE702" i="1" s="1" a="1"/>
  <c r="BE702" i="1" s="1"/>
  <c r="AX702" i="1"/>
  <c r="M702" i="1"/>
  <c r="EM687" i="1"/>
  <c r="DU687" i="1"/>
  <c r="DT687" i="1"/>
  <c r="DN687" i="1"/>
  <c r="DM687" i="1"/>
  <c r="DL687" i="1"/>
  <c r="DK687" i="1"/>
  <c r="DI687" i="1"/>
  <c r="DJ687" i="1" s="1"/>
  <c r="DC687" i="1"/>
  <c r="DA687" i="1"/>
  <c r="CX687" i="1"/>
  <c r="CN687" i="1"/>
  <c r="BU687" i="1"/>
  <c r="BO687" i="1"/>
  <c r="BD687" i="1"/>
  <c r="BC687" i="1"/>
  <c r="BB687" i="1"/>
  <c r="BA687" i="1"/>
  <c r="AZ687" i="1"/>
  <c r="AY687" i="1"/>
  <c r="BE687" i="1" s="1" a="1"/>
  <c r="BE687" i="1" s="1"/>
  <c r="AX687" i="1"/>
  <c r="M687" i="1"/>
  <c r="EM679" i="1"/>
  <c r="DU679" i="1"/>
  <c r="DT679" i="1"/>
  <c r="DN679" i="1"/>
  <c r="DM679" i="1"/>
  <c r="DL679" i="1"/>
  <c r="DK679" i="1"/>
  <c r="DI679" i="1"/>
  <c r="DJ679" i="1" s="1"/>
  <c r="DC679" i="1"/>
  <c r="CX679" i="1"/>
  <c r="CN679" i="1"/>
  <c r="BX679" i="1"/>
  <c r="BU679" i="1"/>
  <c r="BN679" i="1"/>
  <c r="BO679" i="1" s="1"/>
  <c r="BM679" i="1"/>
  <c r="BD679" i="1"/>
  <c r="BC679" i="1"/>
  <c r="BB679" i="1"/>
  <c r="BA679" i="1"/>
  <c r="AZ679" i="1"/>
  <c r="AY679" i="1"/>
  <c r="BE679" i="1" s="1" a="1"/>
  <c r="BE679" i="1" s="1"/>
  <c r="AX679" i="1"/>
  <c r="M679" i="1"/>
  <c r="EM678" i="1"/>
  <c r="DU678" i="1"/>
  <c r="DT678" i="1"/>
  <c r="DN678" i="1"/>
  <c r="DM678" i="1"/>
  <c r="DL678" i="1"/>
  <c r="DK678" i="1"/>
  <c r="DI678" i="1"/>
  <c r="DJ678" i="1" s="1"/>
  <c r="DC678" i="1"/>
  <c r="CX678" i="1"/>
  <c r="CN678" i="1"/>
  <c r="BX678" i="1"/>
  <c r="BU678" i="1"/>
  <c r="BN678" i="1"/>
  <c r="BO678" i="1" s="1"/>
  <c r="BM678" i="1"/>
  <c r="BD678" i="1"/>
  <c r="BC678" i="1"/>
  <c r="BB678" i="1"/>
  <c r="BA678" i="1"/>
  <c r="AZ678" i="1"/>
  <c r="AY678" i="1"/>
  <c r="BE678" i="1" s="1" a="1"/>
  <c r="BE678" i="1" s="1"/>
  <c r="AX678" i="1"/>
  <c r="M678" i="1"/>
  <c r="EM677" i="1"/>
  <c r="DU677" i="1"/>
  <c r="DT677" i="1"/>
  <c r="DN677" i="1"/>
  <c r="DM677" i="1"/>
  <c r="DL677" i="1"/>
  <c r="DK677" i="1"/>
  <c r="DI677" i="1"/>
  <c r="DJ677" i="1" s="1"/>
  <c r="DC677" i="1"/>
  <c r="CX677" i="1"/>
  <c r="CN677" i="1"/>
  <c r="CR677" i="1" s="1"/>
  <c r="BX677" i="1"/>
  <c r="BU677" i="1"/>
  <c r="BN677" i="1"/>
  <c r="BO677" i="1" s="1"/>
  <c r="BM677" i="1"/>
  <c r="BD677" i="1"/>
  <c r="BC677" i="1"/>
  <c r="BB677" i="1"/>
  <c r="BA677" i="1"/>
  <c r="AZ677" i="1"/>
  <c r="AY677" i="1"/>
  <c r="BE677" i="1" s="1" a="1"/>
  <c r="BE677" i="1" s="1"/>
  <c r="AX677" i="1"/>
  <c r="M677" i="1"/>
  <c r="EM676" i="1"/>
  <c r="DU676" i="1"/>
  <c r="DT676" i="1"/>
  <c r="DN676" i="1"/>
  <c r="DM676" i="1"/>
  <c r="DL676" i="1"/>
  <c r="DK676" i="1"/>
  <c r="DI676" i="1"/>
  <c r="DJ676" i="1" s="1"/>
  <c r="DC676" i="1"/>
  <c r="CX676" i="1"/>
  <c r="CN676" i="1"/>
  <c r="BX676" i="1"/>
  <c r="BU676" i="1"/>
  <c r="BN676" i="1"/>
  <c r="BO676" i="1" s="1"/>
  <c r="BM676" i="1"/>
  <c r="BD676" i="1"/>
  <c r="BC676" i="1"/>
  <c r="BB676" i="1"/>
  <c r="BA676" i="1"/>
  <c r="AZ676" i="1"/>
  <c r="AY676" i="1"/>
  <c r="BE676" i="1" s="1" a="1"/>
  <c r="BE676" i="1" s="1"/>
  <c r="AX676" i="1"/>
  <c r="M676" i="1"/>
  <c r="EM675" i="1"/>
  <c r="DU675" i="1"/>
  <c r="DT675" i="1"/>
  <c r="DN675" i="1"/>
  <c r="DM675" i="1"/>
  <c r="DL675" i="1"/>
  <c r="DK675" i="1"/>
  <c r="DI675" i="1"/>
  <c r="DJ675" i="1" s="1"/>
  <c r="DC675" i="1"/>
  <c r="CX675" i="1"/>
  <c r="CN675" i="1"/>
  <c r="CP675" i="1" s="1"/>
  <c r="BX675" i="1"/>
  <c r="BU675" i="1"/>
  <c r="BN675" i="1"/>
  <c r="BO675" i="1" s="1"/>
  <c r="BM675" i="1"/>
  <c r="BD675" i="1"/>
  <c r="BC675" i="1"/>
  <c r="BB675" i="1"/>
  <c r="BA675" i="1"/>
  <c r="AZ675" i="1"/>
  <c r="AY675" i="1"/>
  <c r="BE675" i="1" s="1" a="1"/>
  <c r="BE675" i="1" s="1"/>
  <c r="AX675" i="1"/>
  <c r="M675" i="1"/>
  <c r="EM674" i="1"/>
  <c r="DU674" i="1"/>
  <c r="DT674" i="1"/>
  <c r="DN674" i="1"/>
  <c r="DM674" i="1"/>
  <c r="DL674" i="1"/>
  <c r="DK674" i="1"/>
  <c r="DI674" i="1"/>
  <c r="DJ674" i="1" s="1"/>
  <c r="DC674" i="1"/>
  <c r="CX674" i="1"/>
  <c r="CN674" i="1"/>
  <c r="BX674" i="1"/>
  <c r="BU674" i="1"/>
  <c r="BN674" i="1"/>
  <c r="BO674" i="1" s="1"/>
  <c r="BM674" i="1"/>
  <c r="BD674" i="1"/>
  <c r="BC674" i="1"/>
  <c r="BB674" i="1"/>
  <c r="BA674" i="1"/>
  <c r="AZ674" i="1"/>
  <c r="AY674" i="1"/>
  <c r="BE674" i="1" s="1" a="1"/>
  <c r="BE674" i="1" s="1"/>
  <c r="AX674" i="1"/>
  <c r="M674" i="1"/>
  <c r="EM673" i="1"/>
  <c r="DU673" i="1"/>
  <c r="DT673" i="1"/>
  <c r="DN673" i="1"/>
  <c r="DM673" i="1"/>
  <c r="DL673" i="1"/>
  <c r="DK673" i="1"/>
  <c r="DI673" i="1"/>
  <c r="DJ673" i="1" s="1"/>
  <c r="DC673" i="1"/>
  <c r="CX673" i="1"/>
  <c r="CN673" i="1"/>
  <c r="BX673" i="1"/>
  <c r="BU673" i="1"/>
  <c r="BN673" i="1"/>
  <c r="BO673" i="1" s="1"/>
  <c r="BM673" i="1"/>
  <c r="BD673" i="1"/>
  <c r="BC673" i="1"/>
  <c r="BB673" i="1"/>
  <c r="BA673" i="1"/>
  <c r="AZ673" i="1"/>
  <c r="AY673" i="1"/>
  <c r="BE673" i="1" s="1" a="1"/>
  <c r="BE673" i="1" s="1"/>
  <c r="AX673" i="1"/>
  <c r="M673" i="1"/>
  <c r="EM672" i="1"/>
  <c r="DU672" i="1"/>
  <c r="DT672" i="1"/>
  <c r="DN672" i="1"/>
  <c r="DM672" i="1"/>
  <c r="DL672" i="1"/>
  <c r="DK672" i="1"/>
  <c r="DI672" i="1"/>
  <c r="DJ672" i="1" s="1"/>
  <c r="DC672" i="1"/>
  <c r="CX672" i="1"/>
  <c r="CN672" i="1"/>
  <c r="CS672" i="1" s="1"/>
  <c r="BX672" i="1"/>
  <c r="BU672" i="1"/>
  <c r="BN672" i="1"/>
  <c r="BO672" i="1" s="1"/>
  <c r="BM672" i="1"/>
  <c r="BD672" i="1"/>
  <c r="BC672" i="1"/>
  <c r="BB672" i="1"/>
  <c r="BA672" i="1"/>
  <c r="AZ672" i="1"/>
  <c r="AY672" i="1"/>
  <c r="BE672" i="1" s="1" a="1"/>
  <c r="BE672" i="1" s="1"/>
  <c r="AX672" i="1"/>
  <c r="M672" i="1"/>
  <c r="EM671" i="1"/>
  <c r="DU671" i="1"/>
  <c r="DT671" i="1"/>
  <c r="DN671" i="1"/>
  <c r="DM671" i="1"/>
  <c r="DL671" i="1"/>
  <c r="DK671" i="1"/>
  <c r="DI671" i="1"/>
  <c r="DJ671" i="1" s="1"/>
  <c r="DC671" i="1"/>
  <c r="CX671" i="1"/>
  <c r="CN671" i="1"/>
  <c r="CP671" i="1" s="1"/>
  <c r="BX671" i="1"/>
  <c r="BU671" i="1"/>
  <c r="BN671" i="1"/>
  <c r="BO671" i="1" s="1"/>
  <c r="BM671" i="1"/>
  <c r="BD671" i="1"/>
  <c r="BC671" i="1"/>
  <c r="BB671" i="1"/>
  <c r="BA671" i="1"/>
  <c r="AZ671" i="1"/>
  <c r="AY671" i="1"/>
  <c r="BE671" i="1" s="1" a="1"/>
  <c r="BE671" i="1" s="1"/>
  <c r="AX671" i="1"/>
  <c r="M671" i="1"/>
  <c r="EM670" i="1"/>
  <c r="DU670" i="1"/>
  <c r="DT670" i="1"/>
  <c r="DN670" i="1"/>
  <c r="DM670" i="1"/>
  <c r="DL670" i="1"/>
  <c r="DK670" i="1"/>
  <c r="DI670" i="1"/>
  <c r="DJ670" i="1" s="1"/>
  <c r="DC670" i="1"/>
  <c r="CX670" i="1"/>
  <c r="CN670" i="1"/>
  <c r="BX670" i="1"/>
  <c r="BU670" i="1"/>
  <c r="BN670" i="1"/>
  <c r="BO670" i="1" s="1"/>
  <c r="BM670" i="1"/>
  <c r="BD670" i="1"/>
  <c r="BC670" i="1"/>
  <c r="BB670" i="1"/>
  <c r="BA670" i="1"/>
  <c r="AZ670" i="1"/>
  <c r="AY670" i="1"/>
  <c r="BE670" i="1" s="1" a="1"/>
  <c r="BE670" i="1" s="1"/>
  <c r="AX670" i="1"/>
  <c r="M670" i="1"/>
  <c r="EM669" i="1"/>
  <c r="DU669" i="1"/>
  <c r="DT669" i="1"/>
  <c r="DN669" i="1"/>
  <c r="DM669" i="1"/>
  <c r="DL669" i="1"/>
  <c r="DK669" i="1"/>
  <c r="DI669" i="1"/>
  <c r="DJ669" i="1" s="1"/>
  <c r="DC669" i="1"/>
  <c r="CX669" i="1"/>
  <c r="CN669" i="1"/>
  <c r="BX669" i="1"/>
  <c r="BU669" i="1"/>
  <c r="BN669" i="1"/>
  <c r="BO669" i="1" s="1"/>
  <c r="BM669" i="1"/>
  <c r="BD669" i="1"/>
  <c r="BC669" i="1"/>
  <c r="BB669" i="1"/>
  <c r="BA669" i="1"/>
  <c r="AZ669" i="1"/>
  <c r="AY669" i="1"/>
  <c r="BE669" i="1" s="1" a="1"/>
  <c r="BE669" i="1" s="1"/>
  <c r="AX669" i="1"/>
  <c r="M669" i="1"/>
  <c r="EM668" i="1"/>
  <c r="DU668" i="1"/>
  <c r="DT668" i="1"/>
  <c r="DN668" i="1"/>
  <c r="DM668" i="1"/>
  <c r="DL668" i="1"/>
  <c r="DK668" i="1"/>
  <c r="DI668" i="1"/>
  <c r="DJ668" i="1" s="1"/>
  <c r="DC668" i="1"/>
  <c r="CX668" i="1"/>
  <c r="CN668" i="1"/>
  <c r="CS668" i="1" s="1"/>
  <c r="BX668" i="1"/>
  <c r="BU668" i="1"/>
  <c r="BN668" i="1"/>
  <c r="BO668" i="1" s="1"/>
  <c r="BM668" i="1"/>
  <c r="BD668" i="1"/>
  <c r="BC668" i="1"/>
  <c r="BB668" i="1"/>
  <c r="BA668" i="1"/>
  <c r="AZ668" i="1"/>
  <c r="AY668" i="1"/>
  <c r="BE668" i="1" s="1" a="1"/>
  <c r="BE668" i="1" s="1"/>
  <c r="AX668" i="1"/>
  <c r="M668" i="1"/>
  <c r="EM667" i="1"/>
  <c r="DU667" i="1"/>
  <c r="DT667" i="1"/>
  <c r="DN667" i="1"/>
  <c r="DM667" i="1"/>
  <c r="DL667" i="1"/>
  <c r="DK667" i="1"/>
  <c r="DI667" i="1"/>
  <c r="DJ667" i="1" s="1"/>
  <c r="DC667" i="1"/>
  <c r="CX667" i="1"/>
  <c r="CN667" i="1"/>
  <c r="CR667" i="1" s="1"/>
  <c r="BX667" i="1"/>
  <c r="BU667" i="1"/>
  <c r="BN667" i="1"/>
  <c r="BO667" i="1" s="1"/>
  <c r="BM667" i="1"/>
  <c r="BD667" i="1"/>
  <c r="BC667" i="1"/>
  <c r="BB667" i="1"/>
  <c r="BA667" i="1"/>
  <c r="AZ667" i="1"/>
  <c r="AY667" i="1"/>
  <c r="BE667" i="1" s="1" a="1"/>
  <c r="BE667" i="1" s="1"/>
  <c r="AX667" i="1"/>
  <c r="M667" i="1"/>
  <c r="EM666" i="1"/>
  <c r="DU666" i="1"/>
  <c r="DT666" i="1"/>
  <c r="DN666" i="1"/>
  <c r="DM666" i="1"/>
  <c r="DL666" i="1"/>
  <c r="DK666" i="1"/>
  <c r="DI666" i="1"/>
  <c r="DJ666" i="1" s="1"/>
  <c r="DC666" i="1"/>
  <c r="CX666" i="1"/>
  <c r="CN666" i="1"/>
  <c r="BX666" i="1"/>
  <c r="BU666" i="1"/>
  <c r="BN666" i="1"/>
  <c r="BO666" i="1" s="1"/>
  <c r="BM666" i="1"/>
  <c r="BD666" i="1"/>
  <c r="BC666" i="1"/>
  <c r="BB666" i="1"/>
  <c r="BA666" i="1"/>
  <c r="AZ666" i="1"/>
  <c r="AY666" i="1"/>
  <c r="BE666" i="1" s="1" a="1"/>
  <c r="BE666" i="1" s="1"/>
  <c r="AX666" i="1"/>
  <c r="M666" i="1"/>
  <c r="EM665" i="1"/>
  <c r="DU665" i="1"/>
  <c r="DT665" i="1"/>
  <c r="DN665" i="1"/>
  <c r="DM665" i="1"/>
  <c r="DL665" i="1"/>
  <c r="DK665" i="1"/>
  <c r="DI665" i="1"/>
  <c r="DJ665" i="1" s="1"/>
  <c r="DC665" i="1"/>
  <c r="CX665" i="1"/>
  <c r="CN665" i="1"/>
  <c r="BX665" i="1"/>
  <c r="BU665" i="1"/>
  <c r="BN665" i="1"/>
  <c r="BO665" i="1" s="1"/>
  <c r="BM665" i="1"/>
  <c r="BD665" i="1"/>
  <c r="BC665" i="1"/>
  <c r="BB665" i="1"/>
  <c r="BA665" i="1"/>
  <c r="AZ665" i="1"/>
  <c r="AY665" i="1"/>
  <c r="BE665" i="1" s="1" a="1"/>
  <c r="BE665" i="1" s="1"/>
  <c r="AX665" i="1"/>
  <c r="M665" i="1"/>
  <c r="EM664" i="1"/>
  <c r="DU664" i="1"/>
  <c r="DT664" i="1"/>
  <c r="DN664" i="1"/>
  <c r="DM664" i="1"/>
  <c r="DL664" i="1"/>
  <c r="DK664" i="1"/>
  <c r="DI664" i="1"/>
  <c r="DJ664" i="1" s="1"/>
  <c r="DC664" i="1"/>
  <c r="CX664" i="1"/>
  <c r="CN664" i="1"/>
  <c r="CO664" i="1" s="1"/>
  <c r="BX664" i="1"/>
  <c r="BU664" i="1"/>
  <c r="BN664" i="1"/>
  <c r="BO664" i="1" s="1"/>
  <c r="BD664" i="1"/>
  <c r="BC664" i="1"/>
  <c r="BB664" i="1"/>
  <c r="BA664" i="1"/>
  <c r="AZ664" i="1"/>
  <c r="AY664" i="1"/>
  <c r="BE664" i="1" s="1" a="1"/>
  <c r="BE664" i="1" s="1"/>
  <c r="AX664" i="1"/>
  <c r="M664" i="1"/>
  <c r="EM638" i="1"/>
  <c r="DU638" i="1"/>
  <c r="DT638" i="1"/>
  <c r="DN638" i="1"/>
  <c r="DM638" i="1"/>
  <c r="DL638" i="1"/>
  <c r="DK638" i="1"/>
  <c r="DI638" i="1"/>
  <c r="DJ638" i="1" s="1"/>
  <c r="DC638" i="1"/>
  <c r="CX638" i="1"/>
  <c r="BT638" i="1"/>
  <c r="BS638" i="1"/>
  <c r="BL638" i="1"/>
  <c r="BD638" i="1"/>
  <c r="BC638" i="1"/>
  <c r="BB638" i="1"/>
  <c r="BA638" i="1"/>
  <c r="AZ638" i="1"/>
  <c r="AY638" i="1"/>
  <c r="BE638" i="1" s="1" a="1"/>
  <c r="BE638" i="1" s="1"/>
  <c r="AX638" i="1"/>
  <c r="M638" i="1"/>
  <c r="EM598" i="1"/>
  <c r="DU598" i="1"/>
  <c r="DT598" i="1"/>
  <c r="DN598" i="1"/>
  <c r="DM598" i="1"/>
  <c r="DL598" i="1"/>
  <c r="DK598" i="1"/>
  <c r="DI598" i="1"/>
  <c r="DJ598" i="1" s="1"/>
  <c r="DC598" i="1"/>
  <c r="CX598" i="1"/>
  <c r="CN598" i="1"/>
  <c r="CO598" i="1" s="1"/>
  <c r="BV598" i="1"/>
  <c r="BX598" i="1" s="1"/>
  <c r="BU598" i="1"/>
  <c r="BN598" i="1"/>
  <c r="BO598" i="1" s="1"/>
  <c r="BM598" i="1"/>
  <c r="BD598" i="1"/>
  <c r="BC598" i="1"/>
  <c r="BB598" i="1"/>
  <c r="BA598" i="1"/>
  <c r="AZ598" i="1"/>
  <c r="AY598" i="1"/>
  <c r="BE598" i="1" s="1" a="1"/>
  <c r="BE598" i="1" s="1"/>
  <c r="AX598" i="1"/>
  <c r="M598" i="1"/>
  <c r="EM597" i="1"/>
  <c r="DU597" i="1"/>
  <c r="DT597" i="1"/>
  <c r="DN597" i="1"/>
  <c r="DM597" i="1"/>
  <c r="DL597" i="1"/>
  <c r="DK597" i="1"/>
  <c r="DI597" i="1"/>
  <c r="DJ597" i="1" s="1"/>
  <c r="DC597" i="1"/>
  <c r="CX597" i="1"/>
  <c r="CN597" i="1"/>
  <c r="CS597" i="1" s="1"/>
  <c r="BV597" i="1"/>
  <c r="BX597" i="1" s="1"/>
  <c r="BU597" i="1"/>
  <c r="BN597" i="1"/>
  <c r="BO597" i="1" s="1"/>
  <c r="BM597" i="1"/>
  <c r="BD597" i="1"/>
  <c r="BC597" i="1"/>
  <c r="BB597" i="1"/>
  <c r="BA597" i="1"/>
  <c r="AZ597" i="1"/>
  <c r="AY597" i="1"/>
  <c r="BE597" i="1" s="1" a="1"/>
  <c r="BE597" i="1" s="1"/>
  <c r="AX597" i="1"/>
  <c r="M597" i="1"/>
  <c r="EM599" i="1"/>
  <c r="DU599" i="1"/>
  <c r="DT599" i="1"/>
  <c r="DN599" i="1"/>
  <c r="DM599" i="1"/>
  <c r="DL599" i="1"/>
  <c r="DK599" i="1"/>
  <c r="DI599" i="1"/>
  <c r="DJ599" i="1" s="1"/>
  <c r="DC599" i="1"/>
  <c r="CX599" i="1"/>
  <c r="CN599" i="1"/>
  <c r="BV599" i="1"/>
  <c r="BX599" i="1" s="1"/>
  <c r="BU599" i="1"/>
  <c r="BN599" i="1"/>
  <c r="BO599" i="1" s="1"/>
  <c r="BM599" i="1"/>
  <c r="BD599" i="1"/>
  <c r="BC599" i="1"/>
  <c r="BB599" i="1"/>
  <c r="BA599" i="1"/>
  <c r="AZ599" i="1"/>
  <c r="AY599" i="1"/>
  <c r="BE599" i="1" s="1" a="1"/>
  <c r="BE599" i="1" s="1"/>
  <c r="AX599" i="1"/>
  <c r="M599" i="1"/>
  <c r="EM600" i="1"/>
  <c r="DU600" i="1"/>
  <c r="DT600" i="1"/>
  <c r="DN600" i="1"/>
  <c r="DM600" i="1"/>
  <c r="DL600" i="1"/>
  <c r="DK600" i="1"/>
  <c r="DI600" i="1"/>
  <c r="DJ600" i="1" s="1"/>
  <c r="DC600" i="1"/>
  <c r="CX600" i="1"/>
  <c r="CN600" i="1"/>
  <c r="CO600" i="1" s="1"/>
  <c r="BV600" i="1"/>
  <c r="BX600" i="1" s="1"/>
  <c r="BU600" i="1"/>
  <c r="BN600" i="1"/>
  <c r="BO600" i="1" s="1"/>
  <c r="BM600" i="1"/>
  <c r="BD600" i="1"/>
  <c r="BC600" i="1"/>
  <c r="BB600" i="1"/>
  <c r="BA600" i="1"/>
  <c r="AZ600" i="1"/>
  <c r="AY600" i="1"/>
  <c r="BE600" i="1" s="1" a="1"/>
  <c r="BE600" i="1" s="1"/>
  <c r="AX600" i="1"/>
  <c r="M600" i="1"/>
  <c r="EM596" i="1"/>
  <c r="DU596" i="1"/>
  <c r="DT596" i="1"/>
  <c r="DN596" i="1"/>
  <c r="DM596" i="1"/>
  <c r="DL596" i="1"/>
  <c r="DK596" i="1"/>
  <c r="DI596" i="1"/>
  <c r="DJ596" i="1" s="1"/>
  <c r="DC596" i="1"/>
  <c r="CX596" i="1"/>
  <c r="CN596" i="1"/>
  <c r="CO596" i="1" s="1"/>
  <c r="BV596" i="1"/>
  <c r="BX596" i="1" s="1"/>
  <c r="BU596" i="1"/>
  <c r="BN596" i="1"/>
  <c r="BO596" i="1" s="1"/>
  <c r="BM596" i="1"/>
  <c r="BD596" i="1"/>
  <c r="BC596" i="1"/>
  <c r="BB596" i="1"/>
  <c r="BA596" i="1"/>
  <c r="AZ596" i="1"/>
  <c r="AY596" i="1"/>
  <c r="AX596" i="1"/>
  <c r="M596" i="1"/>
  <c r="EM595" i="1"/>
  <c r="DU595" i="1"/>
  <c r="DT595" i="1"/>
  <c r="DN595" i="1"/>
  <c r="DM595" i="1"/>
  <c r="DL595" i="1"/>
  <c r="DK595" i="1"/>
  <c r="DI595" i="1"/>
  <c r="DJ595" i="1" s="1"/>
  <c r="DC595" i="1"/>
  <c r="CX595" i="1"/>
  <c r="CN595" i="1"/>
  <c r="CS595" i="1" s="1"/>
  <c r="BV595" i="1"/>
  <c r="BX595" i="1" s="1"/>
  <c r="BU595" i="1"/>
  <c r="BN595" i="1"/>
  <c r="BO595" i="1" s="1"/>
  <c r="BM595" i="1"/>
  <c r="BD595" i="1"/>
  <c r="BC595" i="1"/>
  <c r="BB595" i="1"/>
  <c r="BA595" i="1"/>
  <c r="AZ595" i="1"/>
  <c r="AY595" i="1"/>
  <c r="AX595" i="1"/>
  <c r="M595" i="1"/>
  <c r="EM594" i="1"/>
  <c r="DU594" i="1"/>
  <c r="DT594" i="1"/>
  <c r="DN594" i="1"/>
  <c r="DM594" i="1"/>
  <c r="DL594" i="1"/>
  <c r="DK594" i="1"/>
  <c r="DI594" i="1"/>
  <c r="DJ594" i="1" s="1"/>
  <c r="DC594" i="1"/>
  <c r="CX594" i="1"/>
  <c r="CN594" i="1"/>
  <c r="BV594" i="1"/>
  <c r="BX594" i="1" s="1"/>
  <c r="BU594" i="1"/>
  <c r="BN594" i="1"/>
  <c r="BO594" i="1" s="1"/>
  <c r="BM594" i="1"/>
  <c r="BD594" i="1"/>
  <c r="BC594" i="1"/>
  <c r="BB594" i="1"/>
  <c r="BA594" i="1"/>
  <c r="AZ594" i="1"/>
  <c r="AY594" i="1"/>
  <c r="AX594" i="1"/>
  <c r="M594" i="1"/>
  <c r="EM593" i="1"/>
  <c r="DU593" i="1"/>
  <c r="DT593" i="1"/>
  <c r="DN593" i="1"/>
  <c r="DM593" i="1"/>
  <c r="DL593" i="1"/>
  <c r="DK593" i="1"/>
  <c r="DI593" i="1"/>
  <c r="DJ593" i="1" s="1"/>
  <c r="DC593" i="1"/>
  <c r="CX593" i="1"/>
  <c r="CN593" i="1"/>
  <c r="BV593" i="1"/>
  <c r="BX593" i="1" s="1"/>
  <c r="BU593" i="1"/>
  <c r="BN593" i="1"/>
  <c r="BO593" i="1" s="1"/>
  <c r="BM593" i="1"/>
  <c r="BD593" i="1"/>
  <c r="BC593" i="1"/>
  <c r="BB593" i="1"/>
  <c r="BA593" i="1"/>
  <c r="AZ593" i="1"/>
  <c r="AY593" i="1"/>
  <c r="AX593" i="1"/>
  <c r="M593" i="1"/>
  <c r="EM592" i="1"/>
  <c r="DU592" i="1"/>
  <c r="DT592" i="1"/>
  <c r="DN592" i="1"/>
  <c r="DM592" i="1"/>
  <c r="DL592" i="1"/>
  <c r="DK592" i="1"/>
  <c r="DI592" i="1"/>
  <c r="DJ592" i="1" s="1"/>
  <c r="DC592" i="1"/>
  <c r="CX592" i="1"/>
  <c r="CN592" i="1"/>
  <c r="CO592" i="1" s="1"/>
  <c r="BV592" i="1"/>
  <c r="BX592" i="1" s="1"/>
  <c r="BU592" i="1"/>
  <c r="BN592" i="1"/>
  <c r="BO592" i="1" s="1"/>
  <c r="BM592" i="1"/>
  <c r="BD592" i="1"/>
  <c r="BC592" i="1"/>
  <c r="BB592" i="1"/>
  <c r="BA592" i="1"/>
  <c r="AZ592" i="1"/>
  <c r="AY592" i="1"/>
  <c r="AX592" i="1"/>
  <c r="M592" i="1"/>
  <c r="EM591" i="1"/>
  <c r="DU591" i="1"/>
  <c r="DT591" i="1"/>
  <c r="DN591" i="1"/>
  <c r="DM591" i="1"/>
  <c r="DL591" i="1"/>
  <c r="DK591" i="1"/>
  <c r="DI591" i="1"/>
  <c r="DJ591" i="1" s="1"/>
  <c r="DC591" i="1"/>
  <c r="CX591" i="1"/>
  <c r="CN591" i="1"/>
  <c r="CS591" i="1" s="1"/>
  <c r="BV591" i="1"/>
  <c r="BX591" i="1" s="1"/>
  <c r="BU591" i="1"/>
  <c r="BN591" i="1"/>
  <c r="BO591" i="1" s="1"/>
  <c r="BM591" i="1"/>
  <c r="BD591" i="1"/>
  <c r="BC591" i="1"/>
  <c r="BB591" i="1"/>
  <c r="BA591" i="1"/>
  <c r="AZ591" i="1"/>
  <c r="AY591" i="1"/>
  <c r="AX591" i="1"/>
  <c r="M591" i="1"/>
  <c r="EM590" i="1"/>
  <c r="DU590" i="1"/>
  <c r="DT590" i="1"/>
  <c r="DN590" i="1"/>
  <c r="DM590" i="1"/>
  <c r="DL590" i="1"/>
  <c r="DK590" i="1"/>
  <c r="DI590" i="1"/>
  <c r="DJ590" i="1" s="1"/>
  <c r="DC590" i="1"/>
  <c r="CX590" i="1"/>
  <c r="CN590" i="1"/>
  <c r="CS590" i="1" s="1"/>
  <c r="BV590" i="1"/>
  <c r="BX590" i="1" s="1"/>
  <c r="BU590" i="1"/>
  <c r="BN590" i="1"/>
  <c r="BO590" i="1" s="1"/>
  <c r="BM590" i="1"/>
  <c r="BD590" i="1"/>
  <c r="BC590" i="1"/>
  <c r="BB590" i="1"/>
  <c r="BA590" i="1"/>
  <c r="AZ590" i="1"/>
  <c r="AY590" i="1"/>
  <c r="AX590" i="1"/>
  <c r="M590" i="1"/>
  <c r="EM589" i="1"/>
  <c r="DU589" i="1"/>
  <c r="DT589" i="1"/>
  <c r="DN589" i="1"/>
  <c r="DM589" i="1"/>
  <c r="DL589" i="1"/>
  <c r="DK589" i="1"/>
  <c r="DI589" i="1"/>
  <c r="DJ589" i="1" s="1"/>
  <c r="DC589" i="1"/>
  <c r="CX589" i="1"/>
  <c r="CN589" i="1"/>
  <c r="BV589" i="1"/>
  <c r="BX589" i="1" s="1"/>
  <c r="BU589" i="1"/>
  <c r="BN589" i="1"/>
  <c r="BO589" i="1" s="1"/>
  <c r="BM589" i="1"/>
  <c r="BD589" i="1"/>
  <c r="BC589" i="1"/>
  <c r="BB589" i="1"/>
  <c r="BA589" i="1"/>
  <c r="AZ589" i="1"/>
  <c r="AY589" i="1"/>
  <c r="AX589" i="1"/>
  <c r="M589" i="1"/>
  <c r="EM587" i="1"/>
  <c r="DU587" i="1"/>
  <c r="DT587" i="1"/>
  <c r="DN587" i="1"/>
  <c r="DM587" i="1"/>
  <c r="DL587" i="1"/>
  <c r="DK587" i="1"/>
  <c r="DI587" i="1"/>
  <c r="DJ587" i="1" s="1"/>
  <c r="DC587" i="1"/>
  <c r="CX587" i="1"/>
  <c r="CN587" i="1"/>
  <c r="CO587" i="1" s="1"/>
  <c r="BV587" i="1"/>
  <c r="BX587" i="1" s="1"/>
  <c r="BU587" i="1"/>
  <c r="BN587" i="1"/>
  <c r="BO587" i="1" s="1"/>
  <c r="BM587" i="1"/>
  <c r="BD587" i="1"/>
  <c r="BC587" i="1"/>
  <c r="BB587" i="1"/>
  <c r="BA587" i="1"/>
  <c r="AZ587" i="1"/>
  <c r="AY587" i="1"/>
  <c r="AX587" i="1"/>
  <c r="M587" i="1"/>
  <c r="EM586" i="1"/>
  <c r="DU586" i="1"/>
  <c r="DT586" i="1"/>
  <c r="DN586" i="1"/>
  <c r="DM586" i="1"/>
  <c r="DL586" i="1"/>
  <c r="DK586" i="1"/>
  <c r="DI586" i="1"/>
  <c r="DJ586" i="1" s="1"/>
  <c r="DC586" i="1"/>
  <c r="CX586" i="1"/>
  <c r="CN586" i="1"/>
  <c r="BV586" i="1"/>
  <c r="BX586" i="1" s="1"/>
  <c r="BU586" i="1"/>
  <c r="BN586" i="1"/>
  <c r="BO586" i="1" s="1"/>
  <c r="BM586" i="1"/>
  <c r="BD586" i="1"/>
  <c r="BC586" i="1"/>
  <c r="BB586" i="1"/>
  <c r="BA586" i="1"/>
  <c r="AZ586" i="1"/>
  <c r="AY586" i="1"/>
  <c r="AX586" i="1"/>
  <c r="M586" i="1"/>
  <c r="EM582" i="1"/>
  <c r="DU582" i="1"/>
  <c r="DT582" i="1"/>
  <c r="DN582" i="1"/>
  <c r="DM582" i="1"/>
  <c r="DL582" i="1"/>
  <c r="DK582" i="1"/>
  <c r="DI582" i="1"/>
  <c r="DJ582" i="1" s="1"/>
  <c r="DC582" i="1"/>
  <c r="CX582" i="1"/>
  <c r="CN582" i="1"/>
  <c r="CS582" i="1" s="1"/>
  <c r="BV582" i="1"/>
  <c r="BX582" i="1" s="1"/>
  <c r="BU582" i="1"/>
  <c r="BN582" i="1"/>
  <c r="BO582" i="1" s="1"/>
  <c r="BM582" i="1"/>
  <c r="BD582" i="1"/>
  <c r="BC582" i="1"/>
  <c r="BB582" i="1"/>
  <c r="BA582" i="1"/>
  <c r="AZ582" i="1"/>
  <c r="AY582" i="1"/>
  <c r="AX582" i="1"/>
  <c r="M582" i="1"/>
  <c r="EM581" i="1"/>
  <c r="DU581" i="1"/>
  <c r="DT581" i="1"/>
  <c r="DN581" i="1"/>
  <c r="DM581" i="1"/>
  <c r="DL581" i="1"/>
  <c r="DK581" i="1"/>
  <c r="DI581" i="1"/>
  <c r="DJ581" i="1" s="1"/>
  <c r="DC581" i="1"/>
  <c r="CX581" i="1"/>
  <c r="CN581" i="1"/>
  <c r="CO581" i="1" s="1"/>
  <c r="BV581" i="1"/>
  <c r="BX581" i="1" s="1"/>
  <c r="BU581" i="1"/>
  <c r="BN581" i="1"/>
  <c r="BO581" i="1" s="1"/>
  <c r="BM581" i="1"/>
  <c r="BD581" i="1"/>
  <c r="BC581" i="1"/>
  <c r="BB581" i="1"/>
  <c r="BA581" i="1"/>
  <c r="AZ581" i="1"/>
  <c r="AY581" i="1"/>
  <c r="AX581" i="1"/>
  <c r="M581" i="1"/>
  <c r="EM580" i="1"/>
  <c r="DU580" i="1"/>
  <c r="DT580" i="1"/>
  <c r="DN580" i="1"/>
  <c r="DM580" i="1"/>
  <c r="DL580" i="1"/>
  <c r="DK580" i="1"/>
  <c r="DI580" i="1"/>
  <c r="DJ580" i="1" s="1"/>
  <c r="DC580" i="1"/>
  <c r="CX580" i="1"/>
  <c r="CN580" i="1"/>
  <c r="CO580" i="1" s="1"/>
  <c r="BV580" i="1"/>
  <c r="BX580" i="1" s="1"/>
  <c r="BU580" i="1"/>
  <c r="BN580" i="1"/>
  <c r="BO580" i="1" s="1"/>
  <c r="BM580" i="1"/>
  <c r="BD580" i="1"/>
  <c r="BC580" i="1"/>
  <c r="BB580" i="1"/>
  <c r="BA580" i="1"/>
  <c r="AZ580" i="1"/>
  <c r="AY580" i="1"/>
  <c r="AX580" i="1"/>
  <c r="M580" i="1"/>
  <c r="EM579" i="1"/>
  <c r="DU579" i="1"/>
  <c r="DT579" i="1"/>
  <c r="DN579" i="1"/>
  <c r="DM579" i="1"/>
  <c r="DL579" i="1"/>
  <c r="DK579" i="1"/>
  <c r="DI579" i="1"/>
  <c r="DJ579" i="1" s="1"/>
  <c r="DC579" i="1"/>
  <c r="CX579" i="1"/>
  <c r="CN579" i="1"/>
  <c r="BV579" i="1"/>
  <c r="BX579" i="1" s="1"/>
  <c r="BU579" i="1"/>
  <c r="BN579" i="1"/>
  <c r="BO579" i="1" s="1"/>
  <c r="BM579" i="1"/>
  <c r="BD579" i="1"/>
  <c r="BC579" i="1"/>
  <c r="BB579" i="1"/>
  <c r="BA579" i="1"/>
  <c r="AZ579" i="1"/>
  <c r="AY579" i="1"/>
  <c r="AX579" i="1"/>
  <c r="M579" i="1"/>
  <c r="EM578" i="1"/>
  <c r="DU578" i="1"/>
  <c r="DT578" i="1"/>
  <c r="DN578" i="1"/>
  <c r="DM578" i="1"/>
  <c r="DL578" i="1"/>
  <c r="DK578" i="1"/>
  <c r="DI578" i="1"/>
  <c r="DJ578" i="1" s="1"/>
  <c r="DC578" i="1"/>
  <c r="CX578" i="1"/>
  <c r="CN578" i="1"/>
  <c r="BV578" i="1"/>
  <c r="BX578" i="1" s="1"/>
  <c r="BU578" i="1"/>
  <c r="BN578" i="1"/>
  <c r="BO578" i="1" s="1"/>
  <c r="BM578" i="1"/>
  <c r="BD578" i="1"/>
  <c r="BC578" i="1"/>
  <c r="BB578" i="1"/>
  <c r="BA578" i="1"/>
  <c r="AZ578" i="1"/>
  <c r="AY578" i="1"/>
  <c r="AX578" i="1"/>
  <c r="M578" i="1"/>
  <c r="EM577" i="1"/>
  <c r="DU577" i="1"/>
  <c r="DT577" i="1"/>
  <c r="DN577" i="1"/>
  <c r="DM577" i="1"/>
  <c r="DL577" i="1"/>
  <c r="DK577" i="1"/>
  <c r="DI577" i="1"/>
  <c r="DJ577" i="1" s="1"/>
  <c r="DC577" i="1"/>
  <c r="CX577" i="1"/>
  <c r="CN577" i="1"/>
  <c r="BV577" i="1"/>
  <c r="BX577" i="1" s="1"/>
  <c r="BU577" i="1"/>
  <c r="BN577" i="1"/>
  <c r="BO577" i="1" s="1"/>
  <c r="BM577" i="1"/>
  <c r="BD577" i="1"/>
  <c r="BC577" i="1"/>
  <c r="BB577" i="1"/>
  <c r="BA577" i="1"/>
  <c r="AZ577" i="1"/>
  <c r="AY577" i="1"/>
  <c r="AX577" i="1"/>
  <c r="M577" i="1"/>
  <c r="EM575" i="1"/>
  <c r="DU575" i="1"/>
  <c r="DT575" i="1"/>
  <c r="DN575" i="1"/>
  <c r="DM575" i="1"/>
  <c r="DL575" i="1"/>
  <c r="DK575" i="1"/>
  <c r="DI575" i="1"/>
  <c r="DJ575" i="1" s="1"/>
  <c r="DC575" i="1"/>
  <c r="CX575" i="1"/>
  <c r="CN575" i="1"/>
  <c r="CO575" i="1" s="1"/>
  <c r="BV575" i="1"/>
  <c r="BX575" i="1" s="1"/>
  <c r="BU575" i="1"/>
  <c r="BN575" i="1"/>
  <c r="BO575" i="1" s="1"/>
  <c r="BM575" i="1"/>
  <c r="BD575" i="1"/>
  <c r="BC575" i="1"/>
  <c r="BB575" i="1"/>
  <c r="BA575" i="1"/>
  <c r="AZ575" i="1"/>
  <c r="AY575" i="1"/>
  <c r="AX575" i="1"/>
  <c r="M575" i="1"/>
  <c r="EM574" i="1"/>
  <c r="DU574" i="1"/>
  <c r="DT574" i="1"/>
  <c r="DN574" i="1"/>
  <c r="DM574" i="1"/>
  <c r="DL574" i="1"/>
  <c r="DK574" i="1"/>
  <c r="DI574" i="1"/>
  <c r="DJ574" i="1" s="1"/>
  <c r="DC574" i="1"/>
  <c r="CX574" i="1"/>
  <c r="CN574" i="1"/>
  <c r="BV574" i="1"/>
  <c r="BX574" i="1" s="1"/>
  <c r="BU574" i="1"/>
  <c r="BN574" i="1"/>
  <c r="BO574" i="1" s="1"/>
  <c r="BM574" i="1"/>
  <c r="BD574" i="1"/>
  <c r="BC574" i="1"/>
  <c r="BB574" i="1"/>
  <c r="BA574" i="1"/>
  <c r="AZ574" i="1"/>
  <c r="AY574" i="1"/>
  <c r="AX574" i="1"/>
  <c r="M574" i="1"/>
  <c r="EM573" i="1"/>
  <c r="DU573" i="1"/>
  <c r="DT573" i="1"/>
  <c r="DN573" i="1"/>
  <c r="DM573" i="1"/>
  <c r="DL573" i="1"/>
  <c r="DK573" i="1"/>
  <c r="DI573" i="1"/>
  <c r="DJ573" i="1" s="1"/>
  <c r="DC573" i="1"/>
  <c r="CX573" i="1"/>
  <c r="CN573" i="1"/>
  <c r="CS573" i="1" s="1"/>
  <c r="BV573" i="1"/>
  <c r="BX573" i="1" s="1"/>
  <c r="BU573" i="1"/>
  <c r="BN573" i="1"/>
  <c r="BO573" i="1" s="1"/>
  <c r="BM573" i="1"/>
  <c r="BD573" i="1"/>
  <c r="BC573" i="1"/>
  <c r="BB573" i="1"/>
  <c r="BA573" i="1"/>
  <c r="AZ573" i="1"/>
  <c r="AY573" i="1"/>
  <c r="AX573" i="1"/>
  <c r="M573" i="1"/>
  <c r="EM572" i="1"/>
  <c r="DU572" i="1"/>
  <c r="DT572" i="1"/>
  <c r="DN572" i="1"/>
  <c r="DM572" i="1"/>
  <c r="DL572" i="1"/>
  <c r="DK572" i="1"/>
  <c r="DI572" i="1"/>
  <c r="DJ572" i="1" s="1"/>
  <c r="DC572" i="1"/>
  <c r="CX572" i="1"/>
  <c r="CN572" i="1"/>
  <c r="BV572" i="1"/>
  <c r="BX572" i="1" s="1"/>
  <c r="BU572" i="1"/>
  <c r="BN572" i="1"/>
  <c r="BO572" i="1" s="1"/>
  <c r="BM572" i="1"/>
  <c r="BD572" i="1"/>
  <c r="BC572" i="1"/>
  <c r="BB572" i="1"/>
  <c r="BA572" i="1"/>
  <c r="AZ572" i="1"/>
  <c r="BF572" i="1" s="1" a="1"/>
  <c r="BF572" i="1" s="1"/>
  <c r="AY572" i="1"/>
  <c r="AX572" i="1"/>
  <c r="M572" i="1"/>
  <c r="EM571" i="1"/>
  <c r="DU571" i="1"/>
  <c r="DT571" i="1"/>
  <c r="DN571" i="1"/>
  <c r="DM571" i="1"/>
  <c r="DL571" i="1"/>
  <c r="DK571" i="1"/>
  <c r="DI571" i="1"/>
  <c r="DJ571" i="1" s="1"/>
  <c r="DC571" i="1"/>
  <c r="CX571" i="1"/>
  <c r="CN571" i="1"/>
  <c r="CP571" i="1" s="1"/>
  <c r="BV571" i="1"/>
  <c r="BX571" i="1" s="1"/>
  <c r="BU571" i="1"/>
  <c r="BN571" i="1"/>
  <c r="BO571" i="1" s="1"/>
  <c r="BM571" i="1"/>
  <c r="BD571" i="1"/>
  <c r="BC571" i="1"/>
  <c r="BB571" i="1"/>
  <c r="BA571" i="1"/>
  <c r="AZ571" i="1"/>
  <c r="AY571" i="1"/>
  <c r="AX571" i="1"/>
  <c r="M571" i="1"/>
  <c r="EM570" i="1"/>
  <c r="DU570" i="1"/>
  <c r="DT570" i="1"/>
  <c r="DN570" i="1"/>
  <c r="DM570" i="1"/>
  <c r="DL570" i="1"/>
  <c r="DK570" i="1"/>
  <c r="DI570" i="1"/>
  <c r="DJ570" i="1" s="1"/>
  <c r="DC570" i="1"/>
  <c r="CX570" i="1"/>
  <c r="CN570" i="1"/>
  <c r="BV570" i="1"/>
  <c r="BX570" i="1" s="1"/>
  <c r="BU570" i="1"/>
  <c r="BN570" i="1"/>
  <c r="BO570" i="1" s="1"/>
  <c r="BM570" i="1"/>
  <c r="BD570" i="1"/>
  <c r="BC570" i="1"/>
  <c r="BB570" i="1"/>
  <c r="BA570" i="1"/>
  <c r="AZ570" i="1"/>
  <c r="BF570" i="1" s="1" a="1"/>
  <c r="BF570" i="1" s="1"/>
  <c r="AY570" i="1"/>
  <c r="AX570" i="1"/>
  <c r="M570" i="1"/>
  <c r="EM569" i="1"/>
  <c r="DU569" i="1"/>
  <c r="DT569" i="1"/>
  <c r="DN569" i="1"/>
  <c r="DM569" i="1"/>
  <c r="DL569" i="1"/>
  <c r="DK569" i="1"/>
  <c r="DI569" i="1"/>
  <c r="DJ569" i="1" s="1"/>
  <c r="DC569" i="1"/>
  <c r="CX569" i="1"/>
  <c r="CN569" i="1"/>
  <c r="BV569" i="1"/>
  <c r="BX569" i="1" s="1"/>
  <c r="BU569" i="1"/>
  <c r="BN569" i="1"/>
  <c r="BO569" i="1" s="1"/>
  <c r="BM569" i="1"/>
  <c r="BD569" i="1"/>
  <c r="BC569" i="1"/>
  <c r="BB569" i="1"/>
  <c r="BA569" i="1"/>
  <c r="AZ569" i="1"/>
  <c r="AY569" i="1"/>
  <c r="AX569" i="1"/>
  <c r="M569" i="1"/>
  <c r="EM568" i="1"/>
  <c r="DU568" i="1"/>
  <c r="DT568" i="1"/>
  <c r="DN568" i="1"/>
  <c r="DM568" i="1"/>
  <c r="DL568" i="1"/>
  <c r="DK568" i="1"/>
  <c r="DI568" i="1"/>
  <c r="DJ568" i="1" s="1"/>
  <c r="DC568" i="1"/>
  <c r="CX568" i="1"/>
  <c r="CN568" i="1"/>
  <c r="CO568" i="1" s="1"/>
  <c r="BV568" i="1"/>
  <c r="BX568" i="1" s="1"/>
  <c r="BU568" i="1"/>
  <c r="BN568" i="1"/>
  <c r="BO568" i="1" s="1"/>
  <c r="BM568" i="1"/>
  <c r="BD568" i="1"/>
  <c r="BC568" i="1"/>
  <c r="BB568" i="1"/>
  <c r="BA568" i="1"/>
  <c r="AZ568" i="1"/>
  <c r="AY568" i="1"/>
  <c r="AX568" i="1"/>
  <c r="M568" i="1"/>
  <c r="EM567" i="1"/>
  <c r="DU567" i="1"/>
  <c r="DT567" i="1"/>
  <c r="DN567" i="1"/>
  <c r="DM567" i="1"/>
  <c r="DL567" i="1"/>
  <c r="DK567" i="1"/>
  <c r="DI567" i="1"/>
  <c r="DJ567" i="1" s="1"/>
  <c r="DC567" i="1"/>
  <c r="CX567" i="1"/>
  <c r="CN567" i="1"/>
  <c r="CR567" i="1" s="1"/>
  <c r="BV567" i="1"/>
  <c r="BX567" i="1" s="1"/>
  <c r="BU567" i="1"/>
  <c r="BN567" i="1"/>
  <c r="BO567" i="1" s="1"/>
  <c r="BM567" i="1"/>
  <c r="BD567" i="1"/>
  <c r="BC567" i="1"/>
  <c r="BB567" i="1"/>
  <c r="BA567" i="1"/>
  <c r="AZ567" i="1"/>
  <c r="AY567" i="1"/>
  <c r="AX567" i="1"/>
  <c r="M567" i="1"/>
  <c r="EM566" i="1"/>
  <c r="DU566" i="1"/>
  <c r="DT566" i="1"/>
  <c r="DN566" i="1"/>
  <c r="DM566" i="1"/>
  <c r="DL566" i="1"/>
  <c r="DK566" i="1"/>
  <c r="DI566" i="1"/>
  <c r="DJ566" i="1" s="1"/>
  <c r="DC566" i="1"/>
  <c r="CX566" i="1"/>
  <c r="CN566" i="1"/>
  <c r="CS566" i="1" s="1"/>
  <c r="BV566" i="1"/>
  <c r="BX566" i="1" s="1"/>
  <c r="BU566" i="1"/>
  <c r="BN566" i="1"/>
  <c r="BO566" i="1" s="1"/>
  <c r="BM566" i="1"/>
  <c r="BD566" i="1"/>
  <c r="BC566" i="1"/>
  <c r="BB566" i="1"/>
  <c r="BA566" i="1"/>
  <c r="AZ566" i="1"/>
  <c r="AY566" i="1"/>
  <c r="AX566" i="1"/>
  <c r="M566" i="1"/>
  <c r="EM565" i="1"/>
  <c r="DU565" i="1"/>
  <c r="DT565" i="1"/>
  <c r="DN565" i="1"/>
  <c r="DM565" i="1"/>
  <c r="DL565" i="1"/>
  <c r="DK565" i="1"/>
  <c r="DI565" i="1"/>
  <c r="DJ565" i="1" s="1"/>
  <c r="DC565" i="1"/>
  <c r="CX565" i="1"/>
  <c r="CN565" i="1"/>
  <c r="CS565" i="1" s="1"/>
  <c r="BV565" i="1"/>
  <c r="BX565" i="1" s="1"/>
  <c r="BU565" i="1"/>
  <c r="BN565" i="1"/>
  <c r="BO565" i="1" s="1"/>
  <c r="BM565" i="1"/>
  <c r="BD565" i="1"/>
  <c r="BC565" i="1"/>
  <c r="BB565" i="1"/>
  <c r="BA565" i="1"/>
  <c r="AZ565" i="1"/>
  <c r="AY565" i="1"/>
  <c r="AX565" i="1"/>
  <c r="M565" i="1"/>
  <c r="EM564" i="1"/>
  <c r="DU564" i="1"/>
  <c r="DT564" i="1"/>
  <c r="DN564" i="1"/>
  <c r="DM564" i="1"/>
  <c r="DL564" i="1"/>
  <c r="DK564" i="1"/>
  <c r="DI564" i="1"/>
  <c r="DJ564" i="1" s="1"/>
  <c r="DC564" i="1"/>
  <c r="CX564" i="1"/>
  <c r="CN564" i="1"/>
  <c r="CO564" i="1" s="1"/>
  <c r="BV564" i="1"/>
  <c r="BX564" i="1" s="1"/>
  <c r="BU564" i="1"/>
  <c r="BN564" i="1"/>
  <c r="BO564" i="1" s="1"/>
  <c r="BM564" i="1"/>
  <c r="BD564" i="1"/>
  <c r="BC564" i="1"/>
  <c r="BB564" i="1"/>
  <c r="BA564" i="1"/>
  <c r="AZ564" i="1"/>
  <c r="BF564" i="1" s="1" a="1"/>
  <c r="BF564" i="1" s="1"/>
  <c r="AY564" i="1"/>
  <c r="AX564" i="1"/>
  <c r="M564" i="1"/>
  <c r="EM563" i="1"/>
  <c r="DU563" i="1"/>
  <c r="DT563" i="1"/>
  <c r="DN563" i="1"/>
  <c r="DM563" i="1"/>
  <c r="DL563" i="1"/>
  <c r="DK563" i="1"/>
  <c r="DI563" i="1"/>
  <c r="DJ563" i="1" s="1"/>
  <c r="DC563" i="1"/>
  <c r="CX563" i="1"/>
  <c r="CN563" i="1"/>
  <c r="CO563" i="1" s="1"/>
  <c r="BV563" i="1"/>
  <c r="BX563" i="1" s="1"/>
  <c r="BU563" i="1"/>
  <c r="BN563" i="1"/>
  <c r="BO563" i="1" s="1"/>
  <c r="BM563" i="1"/>
  <c r="BD563" i="1"/>
  <c r="BC563" i="1"/>
  <c r="BB563" i="1"/>
  <c r="BA563" i="1"/>
  <c r="AZ563" i="1"/>
  <c r="AY563" i="1"/>
  <c r="AX563" i="1"/>
  <c r="M563" i="1"/>
  <c r="EM562" i="1"/>
  <c r="DU562" i="1"/>
  <c r="DT562" i="1"/>
  <c r="DN562" i="1"/>
  <c r="DM562" i="1"/>
  <c r="DL562" i="1"/>
  <c r="DK562" i="1"/>
  <c r="DI562" i="1"/>
  <c r="DJ562" i="1" s="1"/>
  <c r="DC562" i="1"/>
  <c r="CX562" i="1"/>
  <c r="CN562" i="1"/>
  <c r="CS562" i="1" s="1"/>
  <c r="BV562" i="1"/>
  <c r="BX562" i="1" s="1"/>
  <c r="BU562" i="1"/>
  <c r="BN562" i="1"/>
  <c r="BO562" i="1" s="1"/>
  <c r="BM562" i="1"/>
  <c r="BD562" i="1"/>
  <c r="BC562" i="1"/>
  <c r="BB562" i="1"/>
  <c r="BA562" i="1"/>
  <c r="AZ562" i="1"/>
  <c r="BF562" i="1" s="1" a="1"/>
  <c r="BF562" i="1" s="1"/>
  <c r="AY562" i="1"/>
  <c r="AX562" i="1"/>
  <c r="M562" i="1"/>
  <c r="EM561" i="1"/>
  <c r="DU561" i="1"/>
  <c r="DT561" i="1"/>
  <c r="DN561" i="1"/>
  <c r="DM561" i="1"/>
  <c r="DL561" i="1"/>
  <c r="DK561" i="1"/>
  <c r="DI561" i="1"/>
  <c r="DJ561" i="1" s="1"/>
  <c r="DC561" i="1"/>
  <c r="CX561" i="1"/>
  <c r="CN561" i="1"/>
  <c r="BV561" i="1"/>
  <c r="BX561" i="1" s="1"/>
  <c r="BU561" i="1"/>
  <c r="BN561" i="1"/>
  <c r="BO561" i="1" s="1"/>
  <c r="BM561" i="1"/>
  <c r="BD561" i="1"/>
  <c r="BC561" i="1"/>
  <c r="BB561" i="1"/>
  <c r="BA561" i="1"/>
  <c r="AZ561" i="1"/>
  <c r="AY561" i="1"/>
  <c r="AX561" i="1"/>
  <c r="M561" i="1"/>
  <c r="EM560" i="1"/>
  <c r="DU560" i="1"/>
  <c r="DT560" i="1"/>
  <c r="DN560" i="1"/>
  <c r="DM560" i="1"/>
  <c r="DL560" i="1"/>
  <c r="DK560" i="1"/>
  <c r="DI560" i="1"/>
  <c r="DJ560" i="1" s="1"/>
  <c r="DC560" i="1"/>
  <c r="CX560" i="1"/>
  <c r="CN560" i="1"/>
  <c r="BV560" i="1"/>
  <c r="BX560" i="1" s="1"/>
  <c r="BU560" i="1"/>
  <c r="BN560" i="1"/>
  <c r="BO560" i="1" s="1"/>
  <c r="BM560" i="1"/>
  <c r="BD560" i="1"/>
  <c r="BC560" i="1"/>
  <c r="BB560" i="1"/>
  <c r="BA560" i="1"/>
  <c r="AZ560" i="1"/>
  <c r="AY560" i="1"/>
  <c r="AX560" i="1"/>
  <c r="M560" i="1"/>
  <c r="EM559" i="1"/>
  <c r="DU559" i="1"/>
  <c r="DT559" i="1"/>
  <c r="DN559" i="1"/>
  <c r="DM559" i="1"/>
  <c r="DL559" i="1"/>
  <c r="DK559" i="1"/>
  <c r="DI559" i="1"/>
  <c r="DJ559" i="1" s="1"/>
  <c r="DC559" i="1"/>
  <c r="CX559" i="1"/>
  <c r="CN559" i="1"/>
  <c r="CP559" i="1" s="1"/>
  <c r="BV559" i="1"/>
  <c r="BX559" i="1" s="1"/>
  <c r="BU559" i="1"/>
  <c r="BN559" i="1"/>
  <c r="BO559" i="1" s="1"/>
  <c r="BM559" i="1"/>
  <c r="BD559" i="1"/>
  <c r="BC559" i="1"/>
  <c r="BB559" i="1"/>
  <c r="BA559" i="1"/>
  <c r="AZ559" i="1"/>
  <c r="AY559" i="1"/>
  <c r="AX559" i="1"/>
  <c r="M559" i="1"/>
  <c r="EM558" i="1"/>
  <c r="DU558" i="1"/>
  <c r="DT558" i="1"/>
  <c r="DN558" i="1"/>
  <c r="DM558" i="1"/>
  <c r="DL558" i="1"/>
  <c r="DK558" i="1"/>
  <c r="DI558" i="1"/>
  <c r="DJ558" i="1" s="1"/>
  <c r="DC558" i="1"/>
  <c r="CX558" i="1"/>
  <c r="CN558" i="1"/>
  <c r="CR558" i="1" s="1"/>
  <c r="BV558" i="1"/>
  <c r="BX558" i="1" s="1"/>
  <c r="BU558" i="1"/>
  <c r="BN558" i="1"/>
  <c r="BO558" i="1" s="1"/>
  <c r="BM558" i="1"/>
  <c r="BD558" i="1"/>
  <c r="BC558" i="1"/>
  <c r="BB558" i="1"/>
  <c r="BA558" i="1"/>
  <c r="AZ558" i="1"/>
  <c r="AY558" i="1"/>
  <c r="AX558" i="1"/>
  <c r="M558" i="1"/>
  <c r="EM551" i="1"/>
  <c r="DU551" i="1"/>
  <c r="DT551" i="1"/>
  <c r="DN551" i="1"/>
  <c r="DM551" i="1"/>
  <c r="DL551" i="1"/>
  <c r="DK551" i="1"/>
  <c r="DI551" i="1"/>
  <c r="DJ551" i="1" s="1"/>
  <c r="DC551" i="1"/>
  <c r="CX551" i="1"/>
  <c r="CN551" i="1"/>
  <c r="BV551" i="1"/>
  <c r="BX551" i="1" s="1"/>
  <c r="BU551" i="1"/>
  <c r="BN551" i="1"/>
  <c r="BO551" i="1" s="1"/>
  <c r="BM551" i="1"/>
  <c r="BD551" i="1"/>
  <c r="BC551" i="1"/>
  <c r="BB551" i="1"/>
  <c r="BA551" i="1"/>
  <c r="AZ551" i="1"/>
  <c r="AY551" i="1"/>
  <c r="AX551" i="1"/>
  <c r="M551" i="1"/>
  <c r="EM550" i="1"/>
  <c r="DU550" i="1"/>
  <c r="DT550" i="1"/>
  <c r="DN550" i="1"/>
  <c r="DM550" i="1"/>
  <c r="DL550" i="1"/>
  <c r="DK550" i="1"/>
  <c r="DI550" i="1"/>
  <c r="DJ550" i="1" s="1"/>
  <c r="DC550" i="1"/>
  <c r="CX550" i="1"/>
  <c r="CN550" i="1"/>
  <c r="BV550" i="1"/>
  <c r="BX550" i="1" s="1"/>
  <c r="BU550" i="1"/>
  <c r="BN550" i="1"/>
  <c r="BO550" i="1" s="1"/>
  <c r="BM550" i="1"/>
  <c r="BD550" i="1"/>
  <c r="BC550" i="1"/>
  <c r="BB550" i="1"/>
  <c r="BA550" i="1"/>
  <c r="AZ550" i="1"/>
  <c r="BF550" i="1" s="1" a="1"/>
  <c r="BF550" i="1" s="1"/>
  <c r="AY550" i="1"/>
  <c r="AX550" i="1"/>
  <c r="M550" i="1"/>
  <c r="EM588" i="1"/>
  <c r="DU588" i="1"/>
  <c r="DT588" i="1"/>
  <c r="DN588" i="1"/>
  <c r="DM588" i="1"/>
  <c r="DL588" i="1"/>
  <c r="DK588" i="1"/>
  <c r="DI588" i="1"/>
  <c r="DJ588" i="1" s="1"/>
  <c r="DC588" i="1"/>
  <c r="CX588" i="1"/>
  <c r="CN588" i="1"/>
  <c r="BV588" i="1"/>
  <c r="BX588" i="1" s="1"/>
  <c r="BU588" i="1"/>
  <c r="BN588" i="1"/>
  <c r="BO588" i="1" s="1"/>
  <c r="BM588" i="1"/>
  <c r="BD588" i="1"/>
  <c r="BC588" i="1"/>
  <c r="BB588" i="1"/>
  <c r="BA588" i="1"/>
  <c r="AZ588" i="1"/>
  <c r="AY588" i="1"/>
  <c r="BE588" i="1" s="1" a="1"/>
  <c r="BE588" i="1" s="1"/>
  <c r="AX588" i="1"/>
  <c r="M588" i="1"/>
  <c r="EM585" i="1"/>
  <c r="DU585" i="1"/>
  <c r="DT585" i="1"/>
  <c r="DN585" i="1"/>
  <c r="DM585" i="1"/>
  <c r="DL585" i="1"/>
  <c r="DK585" i="1"/>
  <c r="DI585" i="1"/>
  <c r="DJ585" i="1" s="1"/>
  <c r="DC585" i="1"/>
  <c r="CX585" i="1"/>
  <c r="CN585" i="1"/>
  <c r="CS585" i="1" s="1"/>
  <c r="BV585" i="1"/>
  <c r="BX585" i="1" s="1"/>
  <c r="BU585" i="1"/>
  <c r="BN585" i="1"/>
  <c r="BO585" i="1" s="1"/>
  <c r="BM585" i="1"/>
  <c r="BD585" i="1"/>
  <c r="BC585" i="1"/>
  <c r="BB585" i="1"/>
  <c r="BA585" i="1"/>
  <c r="AZ585" i="1"/>
  <c r="BF585" i="1" s="1" a="1"/>
  <c r="BF585" i="1" s="1"/>
  <c r="AY585" i="1"/>
  <c r="BE585" i="1" s="1" a="1"/>
  <c r="BE585" i="1" s="1"/>
  <c r="AX585" i="1"/>
  <c r="M585" i="1"/>
  <c r="EM584" i="1"/>
  <c r="DU584" i="1"/>
  <c r="DT584" i="1"/>
  <c r="DN584" i="1"/>
  <c r="DM584" i="1"/>
  <c r="DL584" i="1"/>
  <c r="DK584" i="1"/>
  <c r="DI584" i="1"/>
  <c r="DJ584" i="1" s="1"/>
  <c r="DC584" i="1"/>
  <c r="CX584" i="1"/>
  <c r="CN584" i="1"/>
  <c r="BV584" i="1"/>
  <c r="BX584" i="1" s="1"/>
  <c r="BU584" i="1"/>
  <c r="BN584" i="1"/>
  <c r="BO584" i="1" s="1"/>
  <c r="BM584" i="1"/>
  <c r="BD584" i="1"/>
  <c r="BC584" i="1"/>
  <c r="BB584" i="1"/>
  <c r="BA584" i="1"/>
  <c r="AZ584" i="1"/>
  <c r="AY584" i="1"/>
  <c r="BE584" i="1" s="1" a="1"/>
  <c r="BE584" i="1" s="1"/>
  <c r="AX584" i="1"/>
  <c r="M584" i="1"/>
  <c r="EM583" i="1"/>
  <c r="DU583" i="1"/>
  <c r="DT583" i="1"/>
  <c r="DN583" i="1"/>
  <c r="DM583" i="1"/>
  <c r="DL583" i="1"/>
  <c r="DK583" i="1"/>
  <c r="DI583" i="1"/>
  <c r="DJ583" i="1" s="1"/>
  <c r="DC583" i="1"/>
  <c r="CX583" i="1"/>
  <c r="CN583" i="1"/>
  <c r="CS583" i="1" s="1"/>
  <c r="BV583" i="1"/>
  <c r="BX583" i="1" s="1"/>
  <c r="BU583" i="1"/>
  <c r="BN583" i="1"/>
  <c r="BO583" i="1" s="1"/>
  <c r="BM583" i="1"/>
  <c r="BD583" i="1"/>
  <c r="BC583" i="1"/>
  <c r="BB583" i="1"/>
  <c r="BA583" i="1"/>
  <c r="AZ583" i="1"/>
  <c r="AY583" i="1"/>
  <c r="BE583" i="1" s="1" a="1"/>
  <c r="BE583" i="1" s="1"/>
  <c r="AX583" i="1"/>
  <c r="M583" i="1"/>
  <c r="EM576" i="1"/>
  <c r="DU576" i="1"/>
  <c r="DT576" i="1"/>
  <c r="DN576" i="1"/>
  <c r="DM576" i="1"/>
  <c r="DL576" i="1"/>
  <c r="DK576" i="1"/>
  <c r="DI576" i="1"/>
  <c r="DJ576" i="1" s="1"/>
  <c r="DC576" i="1"/>
  <c r="CX576" i="1"/>
  <c r="CN576" i="1"/>
  <c r="CO576" i="1" s="1"/>
  <c r="BV576" i="1"/>
  <c r="BX576" i="1" s="1"/>
  <c r="BU576" i="1"/>
  <c r="BN576" i="1"/>
  <c r="BO576" i="1" s="1"/>
  <c r="BM576" i="1"/>
  <c r="BD576" i="1"/>
  <c r="BC576" i="1"/>
  <c r="BB576" i="1"/>
  <c r="BA576" i="1"/>
  <c r="AZ576" i="1"/>
  <c r="AY576" i="1"/>
  <c r="BE576" i="1" s="1" a="1"/>
  <c r="BE576" i="1" s="1"/>
  <c r="AX576" i="1"/>
  <c r="M576" i="1"/>
  <c r="EM557" i="1"/>
  <c r="DU557" i="1"/>
  <c r="DT557" i="1"/>
  <c r="DN557" i="1"/>
  <c r="DM557" i="1"/>
  <c r="DL557" i="1"/>
  <c r="DK557" i="1"/>
  <c r="DI557" i="1"/>
  <c r="DJ557" i="1" s="1"/>
  <c r="DC557" i="1"/>
  <c r="CX557" i="1"/>
  <c r="CN557" i="1"/>
  <c r="CR557" i="1" s="1"/>
  <c r="BV557" i="1"/>
  <c r="BX557" i="1" s="1"/>
  <c r="BU557" i="1"/>
  <c r="BN557" i="1"/>
  <c r="BO557" i="1" s="1"/>
  <c r="BM557" i="1"/>
  <c r="BD557" i="1"/>
  <c r="BC557" i="1"/>
  <c r="BB557" i="1"/>
  <c r="BA557" i="1"/>
  <c r="AZ557" i="1"/>
  <c r="AY557" i="1"/>
  <c r="BE557" i="1" s="1" a="1"/>
  <c r="BE557" i="1" s="1"/>
  <c r="AX557" i="1"/>
  <c r="M557" i="1"/>
  <c r="EM556" i="1"/>
  <c r="DU556" i="1"/>
  <c r="DT556" i="1"/>
  <c r="DN556" i="1"/>
  <c r="DM556" i="1"/>
  <c r="DL556" i="1"/>
  <c r="DK556" i="1"/>
  <c r="DI556" i="1"/>
  <c r="DJ556" i="1" s="1"/>
  <c r="DC556" i="1"/>
  <c r="CX556" i="1"/>
  <c r="CN556" i="1"/>
  <c r="BV556" i="1"/>
  <c r="BX556" i="1" s="1"/>
  <c r="BU556" i="1"/>
  <c r="BN556" i="1"/>
  <c r="BO556" i="1" s="1"/>
  <c r="BM556" i="1"/>
  <c r="BD556" i="1"/>
  <c r="BC556" i="1"/>
  <c r="BB556" i="1"/>
  <c r="BA556" i="1"/>
  <c r="AZ556" i="1"/>
  <c r="AY556" i="1"/>
  <c r="BE556" i="1" s="1" a="1"/>
  <c r="BE556" i="1" s="1"/>
  <c r="AX556" i="1"/>
  <c r="M556" i="1"/>
  <c r="EM555" i="1"/>
  <c r="DU555" i="1"/>
  <c r="DT555" i="1"/>
  <c r="DN555" i="1"/>
  <c r="DM555" i="1"/>
  <c r="DL555" i="1"/>
  <c r="DK555" i="1"/>
  <c r="DI555" i="1"/>
  <c r="DJ555" i="1" s="1"/>
  <c r="DC555" i="1"/>
  <c r="CX555" i="1"/>
  <c r="CN555" i="1"/>
  <c r="BV555" i="1"/>
  <c r="BX555" i="1" s="1"/>
  <c r="BU555" i="1"/>
  <c r="BN555" i="1"/>
  <c r="BO555" i="1" s="1"/>
  <c r="BM555" i="1"/>
  <c r="BD555" i="1"/>
  <c r="BC555" i="1"/>
  <c r="BB555" i="1"/>
  <c r="BA555" i="1"/>
  <c r="AZ555" i="1"/>
  <c r="BF555" i="1" s="1" a="1"/>
  <c r="BF555" i="1" s="1"/>
  <c r="AY555" i="1"/>
  <c r="BE555" i="1" s="1" a="1"/>
  <c r="BE555" i="1" s="1"/>
  <c r="AX555" i="1"/>
  <c r="M555" i="1"/>
  <c r="EM554" i="1"/>
  <c r="DU554" i="1"/>
  <c r="DT554" i="1"/>
  <c r="DN554" i="1"/>
  <c r="DM554" i="1"/>
  <c r="DL554" i="1"/>
  <c r="DK554" i="1"/>
  <c r="DI554" i="1"/>
  <c r="DJ554" i="1" s="1"/>
  <c r="DC554" i="1"/>
  <c r="CX554" i="1"/>
  <c r="CN554" i="1"/>
  <c r="CO554" i="1" s="1"/>
  <c r="BV554" i="1"/>
  <c r="BX554" i="1" s="1"/>
  <c r="BU554" i="1"/>
  <c r="BN554" i="1"/>
  <c r="BO554" i="1" s="1"/>
  <c r="BM554" i="1"/>
  <c r="BD554" i="1"/>
  <c r="BC554" i="1"/>
  <c r="BB554" i="1"/>
  <c r="BA554" i="1"/>
  <c r="AZ554" i="1"/>
  <c r="AY554" i="1"/>
  <c r="BE554" i="1" s="1" a="1"/>
  <c r="BE554" i="1" s="1"/>
  <c r="AX554" i="1"/>
  <c r="M554" i="1"/>
  <c r="EM553" i="1"/>
  <c r="DU553" i="1"/>
  <c r="DT553" i="1"/>
  <c r="DN553" i="1"/>
  <c r="DM553" i="1"/>
  <c r="DL553" i="1"/>
  <c r="DK553" i="1"/>
  <c r="DI553" i="1"/>
  <c r="DJ553" i="1" s="1"/>
  <c r="DC553" i="1"/>
  <c r="CX553" i="1"/>
  <c r="CN553" i="1"/>
  <c r="CS553" i="1" s="1"/>
  <c r="BV553" i="1"/>
  <c r="BX553" i="1" s="1"/>
  <c r="BU553" i="1"/>
  <c r="BN553" i="1"/>
  <c r="BO553" i="1" s="1"/>
  <c r="BM553" i="1"/>
  <c r="BD553" i="1"/>
  <c r="BC553" i="1"/>
  <c r="BB553" i="1"/>
  <c r="BA553" i="1"/>
  <c r="AZ553" i="1"/>
  <c r="BF553" i="1" s="1" a="1"/>
  <c r="BF553" i="1" s="1"/>
  <c r="AY553" i="1"/>
  <c r="BE553" i="1" s="1" a="1"/>
  <c r="BE553" i="1" s="1"/>
  <c r="AX553" i="1"/>
  <c r="M553" i="1"/>
  <c r="EM552" i="1"/>
  <c r="DU552" i="1"/>
  <c r="DT552" i="1"/>
  <c r="DN552" i="1"/>
  <c r="DM552" i="1"/>
  <c r="DL552" i="1"/>
  <c r="DK552" i="1"/>
  <c r="DI552" i="1"/>
  <c r="DJ552" i="1" s="1"/>
  <c r="DC552" i="1"/>
  <c r="CX552" i="1"/>
  <c r="CN552" i="1"/>
  <c r="BV552" i="1"/>
  <c r="BX552" i="1" s="1"/>
  <c r="BU552" i="1"/>
  <c r="BN552" i="1"/>
  <c r="BO552" i="1" s="1"/>
  <c r="BM552" i="1"/>
  <c r="BD552" i="1"/>
  <c r="BC552" i="1"/>
  <c r="BB552" i="1"/>
  <c r="BA552" i="1"/>
  <c r="AZ552" i="1"/>
  <c r="AY552" i="1"/>
  <c r="BE552" i="1" s="1" a="1"/>
  <c r="BE552" i="1" s="1"/>
  <c r="AX552" i="1"/>
  <c r="M552" i="1"/>
  <c r="EM549" i="1"/>
  <c r="DU549" i="1"/>
  <c r="DT549" i="1"/>
  <c r="DN549" i="1"/>
  <c r="DM549" i="1"/>
  <c r="DL549" i="1"/>
  <c r="DK549" i="1"/>
  <c r="DI549" i="1"/>
  <c r="DJ549" i="1" s="1"/>
  <c r="DC549" i="1"/>
  <c r="CX549" i="1"/>
  <c r="CN549" i="1"/>
  <c r="BV549" i="1"/>
  <c r="BX549" i="1" s="1"/>
  <c r="BU549" i="1"/>
  <c r="BN549" i="1"/>
  <c r="BO549" i="1" s="1"/>
  <c r="BM549" i="1"/>
  <c r="BD549" i="1"/>
  <c r="BC549" i="1"/>
  <c r="BB549" i="1"/>
  <c r="BA549" i="1"/>
  <c r="AZ549" i="1"/>
  <c r="AY549" i="1"/>
  <c r="BE549" i="1" s="1" a="1"/>
  <c r="BE549" i="1" s="1"/>
  <c r="AX549" i="1"/>
  <c r="M549" i="1"/>
  <c r="EM548" i="1"/>
  <c r="DU548" i="1"/>
  <c r="DT548" i="1"/>
  <c r="DN548" i="1"/>
  <c r="DM548" i="1"/>
  <c r="DL548" i="1"/>
  <c r="DK548" i="1"/>
  <c r="DI548" i="1"/>
  <c r="DJ548" i="1" s="1"/>
  <c r="DC548" i="1"/>
  <c r="CX548" i="1"/>
  <c r="CN548" i="1"/>
  <c r="CS548" i="1" s="1"/>
  <c r="BV548" i="1"/>
  <c r="BX548" i="1" s="1"/>
  <c r="BU548" i="1"/>
  <c r="BN548" i="1"/>
  <c r="BO548" i="1" s="1"/>
  <c r="BM548" i="1"/>
  <c r="BD548" i="1"/>
  <c r="BC548" i="1"/>
  <c r="BB548" i="1"/>
  <c r="BA548" i="1"/>
  <c r="AZ548" i="1"/>
  <c r="AY548" i="1"/>
  <c r="BE548" i="1" s="1" a="1"/>
  <c r="BE548" i="1" s="1"/>
  <c r="AX548" i="1"/>
  <c r="M548" i="1"/>
  <c r="EM547" i="1"/>
  <c r="DU547" i="1"/>
  <c r="DT547" i="1"/>
  <c r="DN547" i="1"/>
  <c r="DM547" i="1"/>
  <c r="DL547" i="1"/>
  <c r="DK547" i="1"/>
  <c r="DI547" i="1"/>
  <c r="DJ547" i="1" s="1"/>
  <c r="DC547" i="1"/>
  <c r="CX547" i="1"/>
  <c r="CN547" i="1"/>
  <c r="BV547" i="1"/>
  <c r="BX547" i="1" s="1"/>
  <c r="BU547" i="1"/>
  <c r="BN547" i="1"/>
  <c r="BO547" i="1" s="1"/>
  <c r="BM547" i="1"/>
  <c r="BD547" i="1"/>
  <c r="BC547" i="1"/>
  <c r="BB547" i="1"/>
  <c r="BA547" i="1"/>
  <c r="AZ547" i="1"/>
  <c r="AY547" i="1"/>
  <c r="BE547" i="1" s="1" a="1"/>
  <c r="BE547" i="1" s="1"/>
  <c r="AX547" i="1"/>
  <c r="M547" i="1"/>
  <c r="EM546" i="1"/>
  <c r="DU546" i="1"/>
  <c r="DT546" i="1"/>
  <c r="DN546" i="1"/>
  <c r="DM546" i="1"/>
  <c r="DL546" i="1"/>
  <c r="DK546" i="1"/>
  <c r="DI546" i="1"/>
  <c r="DJ546" i="1" s="1"/>
  <c r="DC546" i="1"/>
  <c r="CX546" i="1"/>
  <c r="CN546" i="1"/>
  <c r="CP546" i="1" s="1"/>
  <c r="BV546" i="1"/>
  <c r="BX546" i="1" s="1"/>
  <c r="BU546" i="1"/>
  <c r="BN546" i="1"/>
  <c r="BO546" i="1" s="1"/>
  <c r="BM546" i="1"/>
  <c r="BD546" i="1"/>
  <c r="BC546" i="1"/>
  <c r="BB546" i="1"/>
  <c r="BA546" i="1"/>
  <c r="AZ546" i="1"/>
  <c r="AY546" i="1"/>
  <c r="BE546" i="1" s="1" a="1"/>
  <c r="BE546" i="1" s="1"/>
  <c r="AX546" i="1"/>
  <c r="M546" i="1"/>
  <c r="EM545" i="1"/>
  <c r="DU545" i="1"/>
  <c r="DT545" i="1"/>
  <c r="DN545" i="1"/>
  <c r="DM545" i="1"/>
  <c r="DL545" i="1"/>
  <c r="DK545" i="1"/>
  <c r="DI545" i="1"/>
  <c r="DJ545" i="1" s="1"/>
  <c r="DC545" i="1"/>
  <c r="CX545" i="1"/>
  <c r="CN545" i="1"/>
  <c r="CP545" i="1" s="1"/>
  <c r="BV545" i="1"/>
  <c r="BX545" i="1" s="1"/>
  <c r="BU545" i="1"/>
  <c r="BN545" i="1"/>
  <c r="BO545" i="1" s="1"/>
  <c r="BD545" i="1"/>
  <c r="BC545" i="1"/>
  <c r="BB545" i="1"/>
  <c r="BA545" i="1"/>
  <c r="AZ545" i="1"/>
  <c r="AY545" i="1"/>
  <c r="AX545" i="1"/>
  <c r="M545" i="1"/>
  <c r="EM544" i="1"/>
  <c r="DU544" i="1"/>
  <c r="DT544" i="1"/>
  <c r="DN544" i="1"/>
  <c r="DM544" i="1"/>
  <c r="DL544" i="1"/>
  <c r="DK544" i="1"/>
  <c r="DI544" i="1"/>
  <c r="DJ544" i="1" s="1"/>
  <c r="DC544" i="1"/>
  <c r="CX544" i="1"/>
  <c r="CN544" i="1"/>
  <c r="CS544" i="1" s="1"/>
  <c r="BV544" i="1"/>
  <c r="BX544" i="1" s="1"/>
  <c r="BU544" i="1"/>
  <c r="BN544" i="1"/>
  <c r="BO544" i="1" s="1"/>
  <c r="BD544" i="1"/>
  <c r="BC544" i="1"/>
  <c r="BB544" i="1"/>
  <c r="BA544" i="1"/>
  <c r="AZ544" i="1"/>
  <c r="AY544" i="1"/>
  <c r="AX544" i="1"/>
  <c r="M544" i="1"/>
  <c r="EM543" i="1"/>
  <c r="DU543" i="1"/>
  <c r="DT543" i="1"/>
  <c r="DN543" i="1"/>
  <c r="DM543" i="1"/>
  <c r="DL543" i="1"/>
  <c r="DK543" i="1"/>
  <c r="DI543" i="1"/>
  <c r="DJ543" i="1" s="1"/>
  <c r="DC543" i="1"/>
  <c r="CX543" i="1"/>
  <c r="CN543" i="1"/>
  <c r="CS543" i="1" s="1"/>
  <c r="BV543" i="1"/>
  <c r="BX543" i="1" s="1"/>
  <c r="BU543" i="1"/>
  <c r="BN543" i="1"/>
  <c r="BO543" i="1" s="1"/>
  <c r="BD543" i="1"/>
  <c r="BC543" i="1"/>
  <c r="BB543" i="1"/>
  <c r="BA543" i="1"/>
  <c r="AZ543" i="1"/>
  <c r="AY543" i="1"/>
  <c r="AX543" i="1"/>
  <c r="M543" i="1"/>
  <c r="EM479" i="1"/>
  <c r="DU479" i="1"/>
  <c r="DT479" i="1"/>
  <c r="DN479" i="1"/>
  <c r="DM479" i="1"/>
  <c r="DL479" i="1"/>
  <c r="DK479" i="1"/>
  <c r="DI479" i="1"/>
  <c r="DJ479" i="1" s="1"/>
  <c r="DB479" i="1"/>
  <c r="DC479" i="1" s="1"/>
  <c r="CX479" i="1"/>
  <c r="BT479" i="1"/>
  <c r="BV479" i="1" s="1"/>
  <c r="BX479" i="1" s="1"/>
  <c r="BL479" i="1"/>
  <c r="BN479" i="1" s="1"/>
  <c r="BO479" i="1" s="1"/>
  <c r="BD479" i="1"/>
  <c r="BC479" i="1"/>
  <c r="BB479" i="1"/>
  <c r="BA479" i="1"/>
  <c r="AZ479" i="1"/>
  <c r="AY479" i="1"/>
  <c r="BE479" i="1" s="1" a="1"/>
  <c r="BE479" i="1" s="1"/>
  <c r="AX479" i="1"/>
  <c r="M479" i="1"/>
  <c r="EM476" i="1"/>
  <c r="DU476" i="1"/>
  <c r="DT476" i="1"/>
  <c r="DN476" i="1"/>
  <c r="DM476" i="1"/>
  <c r="DL476" i="1"/>
  <c r="DK476" i="1"/>
  <c r="DI476" i="1"/>
  <c r="DJ476" i="1" s="1"/>
  <c r="DB476" i="1"/>
  <c r="DC476" i="1" s="1"/>
  <c r="CX476" i="1"/>
  <c r="BS476" i="1"/>
  <c r="BK476" i="1"/>
  <c r="BM476" i="1" s="1"/>
  <c r="BD476" i="1"/>
  <c r="BC476" i="1"/>
  <c r="BB476" i="1"/>
  <c r="BA476" i="1"/>
  <c r="AZ476" i="1"/>
  <c r="AY476" i="1"/>
  <c r="BE476" i="1" s="1" a="1"/>
  <c r="BE476" i="1" s="1"/>
  <c r="AX476" i="1"/>
  <c r="M476" i="1"/>
  <c r="EM474" i="1"/>
  <c r="DU474" i="1"/>
  <c r="DT474" i="1"/>
  <c r="DN474" i="1"/>
  <c r="DM474" i="1"/>
  <c r="DL474" i="1"/>
  <c r="DK474" i="1"/>
  <c r="DI474" i="1"/>
  <c r="DJ474" i="1" s="1"/>
  <c r="DB474" i="1"/>
  <c r="DC474" i="1" s="1"/>
  <c r="CX474" i="1"/>
  <c r="BS474" i="1"/>
  <c r="BK474" i="1"/>
  <c r="CN474" i="1" s="1"/>
  <c r="CO474" i="1" s="1"/>
  <c r="BD474" i="1"/>
  <c r="BC474" i="1"/>
  <c r="BB474" i="1"/>
  <c r="BA474" i="1"/>
  <c r="AZ474" i="1"/>
  <c r="AY474" i="1"/>
  <c r="BE474" i="1" s="1" a="1"/>
  <c r="BE474" i="1" s="1"/>
  <c r="AX474" i="1"/>
  <c r="M474" i="1"/>
  <c r="EM473" i="1"/>
  <c r="DU473" i="1"/>
  <c r="DT473" i="1"/>
  <c r="DN473" i="1"/>
  <c r="DM473" i="1"/>
  <c r="DL473" i="1"/>
  <c r="DK473" i="1"/>
  <c r="DI473" i="1"/>
  <c r="DJ473" i="1" s="1"/>
  <c r="DB473" i="1"/>
  <c r="DC473" i="1" s="1"/>
  <c r="CX473" i="1"/>
  <c r="CN473" i="1"/>
  <c r="BT473" i="1"/>
  <c r="BV473" i="1" s="1"/>
  <c r="BX473" i="1" s="1"/>
  <c r="BN473" i="1"/>
  <c r="BO473" i="1" s="1"/>
  <c r="BM473" i="1"/>
  <c r="BD473" i="1"/>
  <c r="BC473" i="1"/>
  <c r="BB473" i="1"/>
  <c r="BA473" i="1"/>
  <c r="AZ473" i="1"/>
  <c r="AY473" i="1"/>
  <c r="BE473" i="1" s="1" a="1"/>
  <c r="BE473" i="1" s="1"/>
  <c r="AX473" i="1"/>
  <c r="M473" i="1"/>
  <c r="EM472" i="1"/>
  <c r="DU472" i="1"/>
  <c r="DT472" i="1"/>
  <c r="DN472" i="1"/>
  <c r="DM472" i="1"/>
  <c r="DL472" i="1"/>
  <c r="DK472" i="1"/>
  <c r="DI472" i="1"/>
  <c r="DJ472" i="1" s="1"/>
  <c r="DB472" i="1"/>
  <c r="DC472" i="1" s="1"/>
  <c r="CX472" i="1"/>
  <c r="CN472" i="1"/>
  <c r="BT472" i="1"/>
  <c r="BV472" i="1" s="1"/>
  <c r="BX472" i="1" s="1"/>
  <c r="BN472" i="1"/>
  <c r="BO472" i="1" s="1"/>
  <c r="BM472" i="1"/>
  <c r="BD472" i="1"/>
  <c r="BC472" i="1"/>
  <c r="BB472" i="1"/>
  <c r="BA472" i="1"/>
  <c r="AZ472" i="1"/>
  <c r="AY472" i="1"/>
  <c r="BE472" i="1" s="1" a="1"/>
  <c r="BE472" i="1" s="1"/>
  <c r="AX472" i="1"/>
  <c r="M472" i="1"/>
  <c r="EM471" i="1"/>
  <c r="DU471" i="1"/>
  <c r="DT471" i="1"/>
  <c r="DN471" i="1"/>
  <c r="DM471" i="1"/>
  <c r="DL471" i="1"/>
  <c r="DK471" i="1"/>
  <c r="DI471" i="1"/>
  <c r="DJ471" i="1" s="1"/>
  <c r="DB471" i="1"/>
  <c r="DC471" i="1" s="1"/>
  <c r="CX471" i="1"/>
  <c r="CN471" i="1"/>
  <c r="BV471" i="1"/>
  <c r="BX471" i="1" s="1"/>
  <c r="BU471" i="1"/>
  <c r="BN471" i="1"/>
  <c r="BO471" i="1" s="1"/>
  <c r="BM471" i="1"/>
  <c r="BD471" i="1"/>
  <c r="BC471" i="1"/>
  <c r="BB471" i="1"/>
  <c r="BA471" i="1"/>
  <c r="AZ471" i="1"/>
  <c r="AY471" i="1"/>
  <c r="BE471" i="1" s="1" a="1"/>
  <c r="BE471" i="1" s="1"/>
  <c r="AX471" i="1"/>
  <c r="M471" i="1"/>
  <c r="EM477" i="1"/>
  <c r="DU477" i="1"/>
  <c r="DT477" i="1"/>
  <c r="DN477" i="1"/>
  <c r="DM477" i="1"/>
  <c r="DL477" i="1"/>
  <c r="DK477" i="1"/>
  <c r="DI477" i="1"/>
  <c r="DJ477" i="1" s="1"/>
  <c r="DB477" i="1"/>
  <c r="DC477" i="1" s="1"/>
  <c r="CX477" i="1"/>
  <c r="BS477" i="1"/>
  <c r="BK477" i="1"/>
  <c r="BN477" i="1" s="1"/>
  <c r="BO477" i="1" s="1"/>
  <c r="BD477" i="1"/>
  <c r="BC477" i="1"/>
  <c r="BB477" i="1"/>
  <c r="BA477" i="1"/>
  <c r="AZ477" i="1"/>
  <c r="BF477" i="1" s="1" a="1"/>
  <c r="BF477" i="1" s="1"/>
  <c r="AY477" i="1"/>
  <c r="BE477" i="1" s="1" a="1"/>
  <c r="BE477" i="1" s="1"/>
  <c r="AX477" i="1"/>
  <c r="M477" i="1"/>
  <c r="EM480" i="1"/>
  <c r="DU480" i="1"/>
  <c r="DT480" i="1"/>
  <c r="DN480" i="1"/>
  <c r="DM480" i="1"/>
  <c r="DL480" i="1"/>
  <c r="DK480" i="1"/>
  <c r="DI480" i="1"/>
  <c r="DJ480" i="1" s="1"/>
  <c r="DB480" i="1"/>
  <c r="DC480" i="1" s="1"/>
  <c r="CX480" i="1"/>
  <c r="BT480" i="1"/>
  <c r="BL480" i="1"/>
  <c r="BN480" i="1" s="1"/>
  <c r="BO480" i="1" s="1"/>
  <c r="BD480" i="1"/>
  <c r="BC480" i="1"/>
  <c r="BB480" i="1"/>
  <c r="BA480" i="1"/>
  <c r="AZ480" i="1"/>
  <c r="AY480" i="1"/>
  <c r="BE480" i="1" s="1" a="1"/>
  <c r="BE480" i="1" s="1"/>
  <c r="AX480" i="1"/>
  <c r="M480" i="1"/>
  <c r="EM475" i="1"/>
  <c r="DU475" i="1"/>
  <c r="DT475" i="1"/>
  <c r="DN475" i="1"/>
  <c r="DM475" i="1"/>
  <c r="DL475" i="1"/>
  <c r="DK475" i="1"/>
  <c r="DI475" i="1"/>
  <c r="DJ475" i="1" s="1"/>
  <c r="DB475" i="1"/>
  <c r="DC475" i="1" s="1"/>
  <c r="CX475" i="1"/>
  <c r="BS475" i="1"/>
  <c r="BK475" i="1"/>
  <c r="BN475" i="1" s="1"/>
  <c r="BO475" i="1" s="1"/>
  <c r="BD475" i="1"/>
  <c r="BC475" i="1"/>
  <c r="BB475" i="1"/>
  <c r="BA475" i="1"/>
  <c r="AZ475" i="1"/>
  <c r="BF475" i="1" s="1" a="1"/>
  <c r="BF475" i="1" s="1"/>
  <c r="AY475" i="1"/>
  <c r="BE475" i="1" s="1" a="1"/>
  <c r="BE475" i="1" s="1"/>
  <c r="AX475" i="1"/>
  <c r="M475" i="1"/>
  <c r="EM478" i="1"/>
  <c r="DU478" i="1"/>
  <c r="DT478" i="1"/>
  <c r="DN478" i="1"/>
  <c r="DM478" i="1"/>
  <c r="DL478" i="1"/>
  <c r="DK478" i="1"/>
  <c r="DI478" i="1"/>
  <c r="DJ478" i="1" s="1"/>
  <c r="DB478" i="1"/>
  <c r="DC478" i="1" s="1"/>
  <c r="CX478" i="1"/>
  <c r="BT478" i="1"/>
  <c r="BU478" i="1" s="1"/>
  <c r="BL478" i="1"/>
  <c r="BM478" i="1" s="1"/>
  <c r="BD478" i="1"/>
  <c r="BC478" i="1"/>
  <c r="BB478" i="1"/>
  <c r="BA478" i="1"/>
  <c r="AZ478" i="1"/>
  <c r="AY478" i="1"/>
  <c r="BE478" i="1" s="1" a="1"/>
  <c r="BE478" i="1" s="1"/>
  <c r="AX478" i="1"/>
  <c r="M478" i="1"/>
  <c r="EM458" i="1"/>
  <c r="DU458" i="1"/>
  <c r="DT458" i="1"/>
  <c r="DN458" i="1"/>
  <c r="DM458" i="1"/>
  <c r="DL458" i="1"/>
  <c r="DK458" i="1"/>
  <c r="DI458" i="1"/>
  <c r="DJ458" i="1" s="1"/>
  <c r="DB458" i="1"/>
  <c r="DC458" i="1" s="1"/>
  <c r="CX458" i="1"/>
  <c r="CN458" i="1"/>
  <c r="CO458" i="1" s="1"/>
  <c r="BX458" i="1"/>
  <c r="BN458" i="1"/>
  <c r="BO458" i="1" s="1"/>
  <c r="BD458" i="1"/>
  <c r="BC458" i="1"/>
  <c r="BB458" i="1"/>
  <c r="BA458" i="1"/>
  <c r="AZ458" i="1"/>
  <c r="AY458" i="1"/>
  <c r="BE458" i="1" s="1" a="1"/>
  <c r="BE458" i="1" s="1"/>
  <c r="AX458" i="1"/>
  <c r="M458" i="1"/>
  <c r="EM457" i="1"/>
  <c r="DU457" i="1"/>
  <c r="DT457" i="1"/>
  <c r="DN457" i="1"/>
  <c r="DM457" i="1"/>
  <c r="DL457" i="1"/>
  <c r="DK457" i="1"/>
  <c r="DI457" i="1"/>
  <c r="DJ457" i="1" s="1"/>
  <c r="DC457" i="1"/>
  <c r="CX457" i="1"/>
  <c r="CU457" i="1"/>
  <c r="BL457" i="1"/>
  <c r="BK457" i="1"/>
  <c r="BD457" i="1"/>
  <c r="BC457" i="1"/>
  <c r="BB457" i="1"/>
  <c r="BA457" i="1"/>
  <c r="AZ457" i="1"/>
  <c r="AY457" i="1"/>
  <c r="BE457" i="1" s="1" a="1"/>
  <c r="BE457" i="1" s="1"/>
  <c r="AX457" i="1"/>
  <c r="M457" i="1"/>
  <c r="EM453" i="1"/>
  <c r="DU453" i="1"/>
  <c r="DT453" i="1"/>
  <c r="DN453" i="1"/>
  <c r="DM453" i="1"/>
  <c r="DL453" i="1"/>
  <c r="DK453" i="1"/>
  <c r="DI453" i="1"/>
  <c r="DJ453" i="1" s="1"/>
  <c r="DC453" i="1"/>
  <c r="CX453" i="1"/>
  <c r="BX453" i="1"/>
  <c r="BL453" i="1"/>
  <c r="BN453" i="1" s="1"/>
  <c r="BO453" i="1" s="1"/>
  <c r="BD453" i="1"/>
  <c r="BC453" i="1"/>
  <c r="BB453" i="1"/>
  <c r="BA453" i="1"/>
  <c r="AZ453" i="1"/>
  <c r="BF453" i="1" s="1" a="1"/>
  <c r="BF453" i="1" s="1"/>
  <c r="AY453" i="1"/>
  <c r="BE453" i="1" s="1" a="1"/>
  <c r="BE453" i="1" s="1"/>
  <c r="AX453" i="1"/>
  <c r="M453" i="1"/>
  <c r="EM452" i="1"/>
  <c r="DU452" i="1"/>
  <c r="DT452" i="1"/>
  <c r="DN452" i="1"/>
  <c r="DM452" i="1"/>
  <c r="DL452" i="1"/>
  <c r="DK452" i="1"/>
  <c r="DI452" i="1"/>
  <c r="DJ452" i="1" s="1"/>
  <c r="DC452" i="1"/>
  <c r="CX452" i="1"/>
  <c r="BX452" i="1"/>
  <c r="BL452" i="1"/>
  <c r="CN452" i="1" s="1"/>
  <c r="BD452" i="1"/>
  <c r="BC452" i="1"/>
  <c r="BB452" i="1"/>
  <c r="BA452" i="1"/>
  <c r="AZ452" i="1"/>
  <c r="AY452" i="1"/>
  <c r="BE452" i="1" s="1" a="1"/>
  <c r="BE452" i="1" s="1"/>
  <c r="AX452" i="1"/>
  <c r="M452" i="1"/>
  <c r="EM451" i="1"/>
  <c r="DU451" i="1"/>
  <c r="DT451" i="1"/>
  <c r="DN451" i="1"/>
  <c r="DM451" i="1"/>
  <c r="DL451" i="1"/>
  <c r="DK451" i="1"/>
  <c r="DI451" i="1"/>
  <c r="DJ451" i="1" s="1"/>
  <c r="DC451" i="1"/>
  <c r="CX451" i="1"/>
  <c r="BX451" i="1"/>
  <c r="BL451" i="1"/>
  <c r="BN451" i="1" s="1"/>
  <c r="BO451" i="1" s="1"/>
  <c r="BD451" i="1"/>
  <c r="BC451" i="1"/>
  <c r="BB451" i="1"/>
  <c r="BA451" i="1"/>
  <c r="AZ451" i="1"/>
  <c r="BF451" i="1" s="1" a="1"/>
  <c r="BF451" i="1" s="1"/>
  <c r="AY451" i="1"/>
  <c r="BE451" i="1" s="1" a="1"/>
  <c r="BE451" i="1" s="1"/>
  <c r="AX451" i="1"/>
  <c r="M451" i="1"/>
  <c r="EM450" i="1"/>
  <c r="DU450" i="1"/>
  <c r="DT450" i="1"/>
  <c r="DN450" i="1"/>
  <c r="DM450" i="1"/>
  <c r="DL450" i="1"/>
  <c r="DK450" i="1"/>
  <c r="DI450" i="1"/>
  <c r="DJ450" i="1" s="1"/>
  <c r="DC450" i="1"/>
  <c r="CX450" i="1"/>
  <c r="BX450" i="1"/>
  <c r="BL450" i="1"/>
  <c r="CN450" i="1" s="1"/>
  <c r="CP450" i="1" s="1"/>
  <c r="BD450" i="1"/>
  <c r="BC450" i="1"/>
  <c r="BB450" i="1"/>
  <c r="BA450" i="1"/>
  <c r="AZ450" i="1"/>
  <c r="AY450" i="1"/>
  <c r="BE450" i="1" s="1" a="1"/>
  <c r="BE450" i="1" s="1"/>
  <c r="AX450" i="1"/>
  <c r="M450" i="1"/>
  <c r="EM449" i="1"/>
  <c r="DU449" i="1"/>
  <c r="DT449" i="1"/>
  <c r="DN449" i="1"/>
  <c r="DM449" i="1"/>
  <c r="DL449" i="1"/>
  <c r="DK449" i="1"/>
  <c r="DI449" i="1"/>
  <c r="DJ449" i="1" s="1"/>
  <c r="DC449" i="1"/>
  <c r="CX449" i="1"/>
  <c r="BX449" i="1"/>
  <c r="BL449" i="1"/>
  <c r="CN449" i="1" s="1"/>
  <c r="CS449" i="1" s="1"/>
  <c r="BD449" i="1"/>
  <c r="BC449" i="1"/>
  <c r="BB449" i="1"/>
  <c r="BA449" i="1"/>
  <c r="AZ449" i="1"/>
  <c r="BF449" i="1" s="1" a="1"/>
  <c r="BF449" i="1" s="1"/>
  <c r="AY449" i="1"/>
  <c r="BE449" i="1" s="1" a="1"/>
  <c r="BE449" i="1" s="1"/>
  <c r="AX449" i="1"/>
  <c r="M449" i="1"/>
  <c r="EM448" i="1"/>
  <c r="DU448" i="1"/>
  <c r="DT448" i="1"/>
  <c r="DN448" i="1"/>
  <c r="DM448" i="1"/>
  <c r="DL448" i="1"/>
  <c r="DK448" i="1"/>
  <c r="DI448" i="1"/>
  <c r="DJ448" i="1" s="1"/>
  <c r="DC448" i="1"/>
  <c r="CX448" i="1"/>
  <c r="BX448" i="1"/>
  <c r="BL448" i="1"/>
  <c r="BN448" i="1" s="1"/>
  <c r="BO448" i="1" s="1"/>
  <c r="BD448" i="1"/>
  <c r="BC448" i="1"/>
  <c r="BB448" i="1"/>
  <c r="BA448" i="1"/>
  <c r="AZ448" i="1"/>
  <c r="AY448" i="1"/>
  <c r="BE448" i="1" s="1" a="1"/>
  <c r="BE448" i="1" s="1"/>
  <c r="AX448" i="1"/>
  <c r="M448" i="1"/>
  <c r="EM456" i="1"/>
  <c r="DU456" i="1"/>
  <c r="DT456" i="1"/>
  <c r="DN456" i="1"/>
  <c r="DM456" i="1"/>
  <c r="DL456" i="1"/>
  <c r="DK456" i="1"/>
  <c r="DI456" i="1"/>
  <c r="DJ456" i="1" s="1"/>
  <c r="DC456" i="1"/>
  <c r="CX456" i="1"/>
  <c r="BX456" i="1"/>
  <c r="BL456" i="1"/>
  <c r="BK456" i="1"/>
  <c r="BD456" i="1"/>
  <c r="BC456" i="1"/>
  <c r="BB456" i="1"/>
  <c r="BA456" i="1"/>
  <c r="AZ456" i="1"/>
  <c r="AY456" i="1"/>
  <c r="BE456" i="1" s="1" a="1"/>
  <c r="BE456" i="1" s="1"/>
  <c r="AX456" i="1"/>
  <c r="M456" i="1"/>
  <c r="EM455" i="1"/>
  <c r="DU455" i="1"/>
  <c r="DT455" i="1"/>
  <c r="DN455" i="1"/>
  <c r="DM455" i="1"/>
  <c r="DL455" i="1"/>
  <c r="DK455" i="1"/>
  <c r="DI455" i="1"/>
  <c r="DJ455" i="1" s="1"/>
  <c r="DC455" i="1"/>
  <c r="CX455" i="1"/>
  <c r="BX455" i="1"/>
  <c r="BL455" i="1"/>
  <c r="BN455" i="1" s="1"/>
  <c r="BO455" i="1" s="1"/>
  <c r="BK455" i="1"/>
  <c r="BD455" i="1"/>
  <c r="BC455" i="1"/>
  <c r="BB455" i="1"/>
  <c r="BA455" i="1"/>
  <c r="AZ455" i="1"/>
  <c r="BF455" i="1" s="1" a="1"/>
  <c r="BF455" i="1" s="1"/>
  <c r="AY455" i="1"/>
  <c r="BE455" i="1" s="1" a="1"/>
  <c r="BE455" i="1" s="1"/>
  <c r="AX455" i="1"/>
  <c r="M455" i="1"/>
  <c r="EM454" i="1"/>
  <c r="DU454" i="1"/>
  <c r="DT454" i="1"/>
  <c r="DN454" i="1"/>
  <c r="DM454" i="1"/>
  <c r="DL454" i="1"/>
  <c r="DK454" i="1"/>
  <c r="DI454" i="1"/>
  <c r="DJ454" i="1" s="1"/>
  <c r="DC454" i="1"/>
  <c r="CX454" i="1"/>
  <c r="BX454" i="1"/>
  <c r="BL454" i="1"/>
  <c r="BK454" i="1"/>
  <c r="BD454" i="1"/>
  <c r="BC454" i="1"/>
  <c r="BB454" i="1"/>
  <c r="BA454" i="1"/>
  <c r="AZ454" i="1"/>
  <c r="AY454" i="1"/>
  <c r="BE454" i="1" s="1" a="1"/>
  <c r="BE454" i="1" s="1"/>
  <c r="AX454" i="1"/>
  <c r="M454" i="1"/>
  <c r="EM390" i="1"/>
  <c r="DU390" i="1"/>
  <c r="DT390" i="1"/>
  <c r="DN390" i="1"/>
  <c r="DM390" i="1"/>
  <c r="DL390" i="1"/>
  <c r="DK390" i="1"/>
  <c r="DI390" i="1"/>
  <c r="DJ390" i="1" s="1"/>
  <c r="DB390" i="1"/>
  <c r="DC390" i="1" s="1"/>
  <c r="CX390" i="1"/>
  <c r="CN390" i="1"/>
  <c r="BX390" i="1"/>
  <c r="BN390" i="1"/>
  <c r="BO390" i="1" s="1"/>
  <c r="BD390" i="1"/>
  <c r="BC390" i="1"/>
  <c r="BB390" i="1"/>
  <c r="BA390" i="1"/>
  <c r="AZ390" i="1"/>
  <c r="BF390" i="1" s="1" a="1"/>
  <c r="BF390" i="1" s="1"/>
  <c r="AY390" i="1"/>
  <c r="BE390" i="1" s="1" a="1"/>
  <c r="BE390" i="1" s="1"/>
  <c r="AX390" i="1"/>
  <c r="M390" i="1"/>
  <c r="EM389" i="1"/>
  <c r="DU389" i="1"/>
  <c r="DT389" i="1"/>
  <c r="DN389" i="1"/>
  <c r="DM389" i="1"/>
  <c r="DL389" i="1"/>
  <c r="DK389" i="1"/>
  <c r="DI389" i="1"/>
  <c r="DJ389" i="1" s="1"/>
  <c r="DB389" i="1"/>
  <c r="DC389" i="1" s="1"/>
  <c r="CX389" i="1"/>
  <c r="CN389" i="1"/>
  <c r="CO389" i="1" s="1"/>
  <c r="BX389" i="1"/>
  <c r="BN389" i="1"/>
  <c r="BO389" i="1" s="1"/>
  <c r="BD389" i="1"/>
  <c r="BC389" i="1"/>
  <c r="BB389" i="1"/>
  <c r="BA389" i="1"/>
  <c r="AZ389" i="1"/>
  <c r="AY389" i="1"/>
  <c r="BE389" i="1" s="1" a="1"/>
  <c r="BE389" i="1" s="1"/>
  <c r="AX389" i="1"/>
  <c r="M389" i="1"/>
  <c r="EM398" i="1"/>
  <c r="DU398" i="1"/>
  <c r="DT398" i="1"/>
  <c r="DN398" i="1"/>
  <c r="DM398" i="1"/>
  <c r="DL398" i="1"/>
  <c r="DK398" i="1"/>
  <c r="DI398" i="1"/>
  <c r="DJ398" i="1" s="1"/>
  <c r="DB398" i="1"/>
  <c r="DC398" i="1" s="1"/>
  <c r="CX398" i="1"/>
  <c r="CN398" i="1"/>
  <c r="CO398" i="1" s="1"/>
  <c r="BX398" i="1"/>
  <c r="BN398" i="1"/>
  <c r="BO398" i="1" s="1"/>
  <c r="BD398" i="1"/>
  <c r="BC398" i="1"/>
  <c r="BB398" i="1"/>
  <c r="BA398" i="1"/>
  <c r="AZ398" i="1"/>
  <c r="AY398" i="1"/>
  <c r="BE398" i="1" s="1" a="1"/>
  <c r="BE398" i="1" s="1"/>
  <c r="AX398" i="1"/>
  <c r="M398" i="1"/>
  <c r="EM394" i="1"/>
  <c r="DU394" i="1"/>
  <c r="DT394" i="1"/>
  <c r="DN394" i="1"/>
  <c r="DM394" i="1"/>
  <c r="DL394" i="1"/>
  <c r="DK394" i="1"/>
  <c r="DI394" i="1"/>
  <c r="DJ394" i="1" s="1"/>
  <c r="DB394" i="1"/>
  <c r="DC394" i="1" s="1"/>
  <c r="CX394" i="1"/>
  <c r="CN394" i="1"/>
  <c r="CO394" i="1" s="1"/>
  <c r="BX394" i="1"/>
  <c r="BN394" i="1"/>
  <c r="BO394" i="1" s="1"/>
  <c r="BD394" i="1"/>
  <c r="BC394" i="1"/>
  <c r="BB394" i="1"/>
  <c r="BA394" i="1"/>
  <c r="AZ394" i="1"/>
  <c r="AY394" i="1"/>
  <c r="BE394" i="1" s="1" a="1"/>
  <c r="BE394" i="1" s="1"/>
  <c r="AX394" i="1"/>
  <c r="M394" i="1"/>
  <c r="EM397" i="1"/>
  <c r="DU397" i="1"/>
  <c r="DT397" i="1"/>
  <c r="DN397" i="1"/>
  <c r="DM397" i="1"/>
  <c r="DL397" i="1"/>
  <c r="DK397" i="1"/>
  <c r="DI397" i="1"/>
  <c r="DJ397" i="1" s="1"/>
  <c r="DB397" i="1"/>
  <c r="DC397" i="1" s="1"/>
  <c r="CX397" i="1"/>
  <c r="CN397" i="1"/>
  <c r="CO397" i="1" s="1"/>
  <c r="BX397" i="1"/>
  <c r="BN397" i="1"/>
  <c r="BO397" i="1" s="1"/>
  <c r="BD397" i="1"/>
  <c r="BC397" i="1"/>
  <c r="BB397" i="1"/>
  <c r="BA397" i="1"/>
  <c r="AZ397" i="1"/>
  <c r="AY397" i="1"/>
  <c r="BE397" i="1" s="1" a="1"/>
  <c r="BE397" i="1" s="1"/>
  <c r="AX397" i="1"/>
  <c r="M397" i="1"/>
  <c r="EM393" i="1"/>
  <c r="DU393" i="1"/>
  <c r="DT393" i="1"/>
  <c r="DN393" i="1"/>
  <c r="DM393" i="1"/>
  <c r="DL393" i="1"/>
  <c r="DK393" i="1"/>
  <c r="DI393" i="1"/>
  <c r="DJ393" i="1" s="1"/>
  <c r="DB393" i="1"/>
  <c r="DC393" i="1" s="1"/>
  <c r="CX393" i="1"/>
  <c r="CN393" i="1"/>
  <c r="CO393" i="1" s="1"/>
  <c r="BX393" i="1"/>
  <c r="BN393" i="1"/>
  <c r="BO393" i="1" s="1"/>
  <c r="BD393" i="1"/>
  <c r="BC393" i="1"/>
  <c r="BB393" i="1"/>
  <c r="BA393" i="1"/>
  <c r="AZ393" i="1"/>
  <c r="AY393" i="1"/>
  <c r="BE393" i="1" s="1" a="1"/>
  <c r="BE393" i="1" s="1"/>
  <c r="AX393" i="1"/>
  <c r="M393" i="1"/>
  <c r="EM396" i="1"/>
  <c r="DU396" i="1"/>
  <c r="DT396" i="1"/>
  <c r="DN396" i="1"/>
  <c r="DM396" i="1"/>
  <c r="DL396" i="1"/>
  <c r="DK396" i="1"/>
  <c r="DI396" i="1"/>
  <c r="DJ396" i="1" s="1"/>
  <c r="DB396" i="1"/>
  <c r="DC396" i="1" s="1"/>
  <c r="CX396" i="1"/>
  <c r="CN396" i="1"/>
  <c r="CO396" i="1" s="1"/>
  <c r="BX396" i="1"/>
  <c r="BN396" i="1"/>
  <c r="BO396" i="1" s="1"/>
  <c r="BD396" i="1"/>
  <c r="BC396" i="1"/>
  <c r="BB396" i="1"/>
  <c r="BA396" i="1"/>
  <c r="AZ396" i="1"/>
  <c r="BF396" i="1" s="1" a="1"/>
  <c r="BF396" i="1" s="1"/>
  <c r="AY396" i="1"/>
  <c r="BE396" i="1" s="1" a="1"/>
  <c r="BE396" i="1" s="1"/>
  <c r="AX396" i="1"/>
  <c r="M396" i="1"/>
  <c r="EM395" i="1"/>
  <c r="DU395" i="1"/>
  <c r="DT395" i="1"/>
  <c r="DN395" i="1"/>
  <c r="DM395" i="1"/>
  <c r="DL395" i="1"/>
  <c r="DK395" i="1"/>
  <c r="DI395" i="1"/>
  <c r="DJ395" i="1" s="1"/>
  <c r="DB395" i="1"/>
  <c r="DC395" i="1" s="1"/>
  <c r="CX395" i="1"/>
  <c r="CN395" i="1"/>
  <c r="CO395" i="1" s="1"/>
  <c r="BX395" i="1"/>
  <c r="BN395" i="1"/>
  <c r="BO395" i="1" s="1"/>
  <c r="BD395" i="1"/>
  <c r="BC395" i="1"/>
  <c r="BB395" i="1"/>
  <c r="BA395" i="1"/>
  <c r="AZ395" i="1"/>
  <c r="AY395" i="1"/>
  <c r="BE395" i="1" s="1" a="1"/>
  <c r="BE395" i="1" s="1"/>
  <c r="AX395" i="1"/>
  <c r="M395" i="1"/>
  <c r="EM392" i="1"/>
  <c r="DU392" i="1"/>
  <c r="DT392" i="1"/>
  <c r="DN392" i="1"/>
  <c r="DM392" i="1"/>
  <c r="DL392" i="1"/>
  <c r="DK392" i="1"/>
  <c r="DI392" i="1"/>
  <c r="DJ392" i="1" s="1"/>
  <c r="DB392" i="1"/>
  <c r="DC392" i="1" s="1"/>
  <c r="CX392" i="1"/>
  <c r="CN392" i="1"/>
  <c r="CS392" i="1" s="1"/>
  <c r="BX392" i="1"/>
  <c r="BN392" i="1"/>
  <c r="BO392" i="1" s="1"/>
  <c r="BD392" i="1"/>
  <c r="BC392" i="1"/>
  <c r="BB392" i="1"/>
  <c r="BA392" i="1"/>
  <c r="AZ392" i="1"/>
  <c r="BF392" i="1" s="1" a="1"/>
  <c r="BF392" i="1" s="1"/>
  <c r="AY392" i="1"/>
  <c r="BE392" i="1" s="1" a="1"/>
  <c r="BE392" i="1" s="1"/>
  <c r="AX392" i="1"/>
  <c r="M392" i="1"/>
  <c r="EM391" i="1"/>
  <c r="DU391" i="1"/>
  <c r="DT391" i="1"/>
  <c r="DN391" i="1"/>
  <c r="DM391" i="1"/>
  <c r="DL391" i="1"/>
  <c r="DK391" i="1"/>
  <c r="DI391" i="1"/>
  <c r="DJ391" i="1" s="1"/>
  <c r="DB391" i="1"/>
  <c r="DC391" i="1" s="1"/>
  <c r="CX391" i="1"/>
  <c r="CN391" i="1"/>
  <c r="CS391" i="1" s="1"/>
  <c r="BX391" i="1"/>
  <c r="BN391" i="1"/>
  <c r="BO391" i="1" s="1"/>
  <c r="BD391" i="1"/>
  <c r="BC391" i="1"/>
  <c r="BB391" i="1"/>
  <c r="BA391" i="1"/>
  <c r="AZ391" i="1"/>
  <c r="AY391" i="1"/>
  <c r="BE391" i="1" s="1" a="1"/>
  <c r="BE391" i="1" s="1"/>
  <c r="AX391" i="1"/>
  <c r="M391" i="1"/>
  <c r="EM385" i="1"/>
  <c r="DU385" i="1"/>
  <c r="DT385" i="1"/>
  <c r="DN385" i="1"/>
  <c r="DM385" i="1"/>
  <c r="DL385" i="1"/>
  <c r="DK385" i="1"/>
  <c r="DI385" i="1"/>
  <c r="DJ385" i="1" s="1"/>
  <c r="DB385" i="1"/>
  <c r="DC385" i="1" s="1"/>
  <c r="CX385" i="1"/>
  <c r="CN385" i="1"/>
  <c r="CO385" i="1" s="1"/>
  <c r="BX385" i="1"/>
  <c r="BO385" i="1"/>
  <c r="BN385" i="1"/>
  <c r="BD385" i="1"/>
  <c r="BC385" i="1"/>
  <c r="BB385" i="1"/>
  <c r="BA385" i="1"/>
  <c r="AZ385" i="1"/>
  <c r="AY385" i="1"/>
  <c r="BE385" i="1" s="1" a="1"/>
  <c r="BE385" i="1" s="1"/>
  <c r="AX385" i="1"/>
  <c r="M385" i="1"/>
  <c r="EM384" i="1"/>
  <c r="DU384" i="1"/>
  <c r="DT384" i="1"/>
  <c r="DN384" i="1"/>
  <c r="DM384" i="1"/>
  <c r="DL384" i="1"/>
  <c r="DK384" i="1"/>
  <c r="DI384" i="1"/>
  <c r="DJ384" i="1" s="1"/>
  <c r="DB384" i="1"/>
  <c r="DC384" i="1" s="1"/>
  <c r="CX384" i="1"/>
  <c r="CN384" i="1"/>
  <c r="CO384" i="1" s="1"/>
  <c r="BX384" i="1"/>
  <c r="BO384" i="1"/>
  <c r="BN384" i="1"/>
  <c r="BD384" i="1"/>
  <c r="BC384" i="1"/>
  <c r="BB384" i="1"/>
  <c r="BA384" i="1"/>
  <c r="AZ384" i="1"/>
  <c r="AY384" i="1"/>
  <c r="BE384" i="1" s="1" a="1"/>
  <c r="BE384" i="1" s="1"/>
  <c r="AX384" i="1"/>
  <c r="M384" i="1"/>
  <c r="EM383" i="1"/>
  <c r="DU383" i="1"/>
  <c r="DT383" i="1"/>
  <c r="DN383" i="1"/>
  <c r="DM383" i="1"/>
  <c r="DL383" i="1"/>
  <c r="DK383" i="1"/>
  <c r="DI383" i="1"/>
  <c r="DJ383" i="1" s="1"/>
  <c r="DB383" i="1"/>
  <c r="DC383" i="1" s="1"/>
  <c r="CX383" i="1"/>
  <c r="CN383" i="1"/>
  <c r="CO383" i="1" s="1"/>
  <c r="BX383" i="1"/>
  <c r="BO383" i="1"/>
  <c r="BN383" i="1"/>
  <c r="BD383" i="1"/>
  <c r="BC383" i="1"/>
  <c r="BB383" i="1"/>
  <c r="BA383" i="1"/>
  <c r="AZ383" i="1"/>
  <c r="AY383" i="1"/>
  <c r="BE383" i="1" s="1" a="1"/>
  <c r="BE383" i="1" s="1"/>
  <c r="AX383" i="1"/>
  <c r="M383" i="1"/>
  <c r="EM388" i="1"/>
  <c r="DU388" i="1"/>
  <c r="DT388" i="1"/>
  <c r="DN388" i="1"/>
  <c r="DM388" i="1"/>
  <c r="DL388" i="1"/>
  <c r="DK388" i="1"/>
  <c r="DI388" i="1"/>
  <c r="DJ388" i="1" s="1"/>
  <c r="DB388" i="1"/>
  <c r="DC388" i="1" s="1"/>
  <c r="CX388" i="1"/>
  <c r="CN388" i="1"/>
  <c r="CO388" i="1" s="1"/>
  <c r="BX388" i="1"/>
  <c r="BO388" i="1"/>
  <c r="BN388" i="1"/>
  <c r="BD388" i="1"/>
  <c r="BC388" i="1"/>
  <c r="BB388" i="1"/>
  <c r="BA388" i="1"/>
  <c r="AZ388" i="1"/>
  <c r="AY388" i="1"/>
  <c r="BE388" i="1" s="1" a="1"/>
  <c r="BE388" i="1" s="1"/>
  <c r="AX388" i="1"/>
  <c r="M388" i="1"/>
  <c r="EM387" i="1"/>
  <c r="DU387" i="1"/>
  <c r="DT387" i="1"/>
  <c r="DN387" i="1"/>
  <c r="DM387" i="1"/>
  <c r="DL387" i="1"/>
  <c r="DK387" i="1"/>
  <c r="DI387" i="1"/>
  <c r="DJ387" i="1" s="1"/>
  <c r="DB387" i="1"/>
  <c r="DC387" i="1" s="1"/>
  <c r="CX387" i="1"/>
  <c r="CN387" i="1"/>
  <c r="CO387" i="1" s="1"/>
  <c r="BX387" i="1"/>
  <c r="BO387" i="1"/>
  <c r="BN387" i="1"/>
  <c r="BD387" i="1"/>
  <c r="BC387" i="1"/>
  <c r="BB387" i="1"/>
  <c r="BA387" i="1"/>
  <c r="AZ387" i="1"/>
  <c r="AY387" i="1"/>
  <c r="BE387" i="1" s="1" a="1"/>
  <c r="BE387" i="1" s="1"/>
  <c r="AX387" i="1"/>
  <c r="M387" i="1"/>
  <c r="EM386" i="1"/>
  <c r="DU386" i="1"/>
  <c r="DT386" i="1"/>
  <c r="DN386" i="1"/>
  <c r="DM386" i="1"/>
  <c r="DL386" i="1"/>
  <c r="DK386" i="1"/>
  <c r="DI386" i="1"/>
  <c r="DJ386" i="1" s="1"/>
  <c r="DB386" i="1"/>
  <c r="DC386" i="1" s="1"/>
  <c r="CX386" i="1"/>
  <c r="CN386" i="1"/>
  <c r="CO386" i="1" s="1"/>
  <c r="BX386" i="1"/>
  <c r="BO386" i="1"/>
  <c r="BN386" i="1"/>
  <c r="BD386" i="1"/>
  <c r="BC386" i="1"/>
  <c r="BB386" i="1"/>
  <c r="BA386" i="1"/>
  <c r="AZ386" i="1"/>
  <c r="AY386" i="1"/>
  <c r="BE386" i="1" s="1" a="1"/>
  <c r="BE386" i="1" s="1"/>
  <c r="AX386" i="1"/>
  <c r="M386" i="1"/>
  <c r="EM357" i="1"/>
  <c r="DU357" i="1"/>
  <c r="DT357" i="1"/>
  <c r="DN357" i="1"/>
  <c r="DM357" i="1"/>
  <c r="DL357" i="1"/>
  <c r="DK357" i="1"/>
  <c r="DI357" i="1"/>
  <c r="DJ357" i="1" s="1"/>
  <c r="DC357" i="1"/>
  <c r="CX357" i="1"/>
  <c r="CN357" i="1"/>
  <c r="CR357" i="1" s="1"/>
  <c r="BV357" i="1"/>
  <c r="BX357" i="1" s="1"/>
  <c r="BU357" i="1"/>
  <c r="BN357" i="1"/>
  <c r="BO357" i="1" s="1"/>
  <c r="BD357" i="1"/>
  <c r="BC357" i="1"/>
  <c r="BB357" i="1"/>
  <c r="BA357" i="1"/>
  <c r="AZ357" i="1"/>
  <c r="AY357" i="1"/>
  <c r="BE357" i="1" s="1" a="1"/>
  <c r="BE357" i="1" s="1"/>
  <c r="AX357" i="1"/>
  <c r="M357" i="1"/>
  <c r="EM356" i="1"/>
  <c r="DU356" i="1"/>
  <c r="DT356" i="1"/>
  <c r="DN356" i="1"/>
  <c r="DM356" i="1"/>
  <c r="DL356" i="1"/>
  <c r="DK356" i="1"/>
  <c r="DI356" i="1"/>
  <c r="DJ356" i="1" s="1"/>
  <c r="DC356" i="1"/>
  <c r="CX356" i="1"/>
  <c r="CN356" i="1"/>
  <c r="CS356" i="1" s="1"/>
  <c r="BX356" i="1"/>
  <c r="BU356" i="1"/>
  <c r="BN356" i="1"/>
  <c r="BO356" i="1" s="1"/>
  <c r="BM356" i="1"/>
  <c r="BD356" i="1"/>
  <c r="BC356" i="1"/>
  <c r="BB356" i="1"/>
  <c r="BA356" i="1"/>
  <c r="AZ356" i="1"/>
  <c r="AY356" i="1"/>
  <c r="BE356" i="1" s="1" a="1"/>
  <c r="BE356" i="1" s="1"/>
  <c r="AX356" i="1"/>
  <c r="M356" i="1"/>
  <c r="EM355" i="1"/>
  <c r="DU355" i="1"/>
  <c r="DT355" i="1"/>
  <c r="DN355" i="1"/>
  <c r="DM355" i="1"/>
  <c r="DL355" i="1"/>
  <c r="DK355" i="1"/>
  <c r="DI355" i="1"/>
  <c r="DJ355" i="1" s="1"/>
  <c r="DC355" i="1"/>
  <c r="CX355" i="1"/>
  <c r="CN355" i="1"/>
  <c r="BX355" i="1"/>
  <c r="BU355" i="1"/>
  <c r="BN355" i="1"/>
  <c r="BO355" i="1" s="1"/>
  <c r="BM355" i="1"/>
  <c r="BD355" i="1"/>
  <c r="BC355" i="1"/>
  <c r="BB355" i="1"/>
  <c r="BA355" i="1"/>
  <c r="AZ355" i="1"/>
  <c r="AY355" i="1"/>
  <c r="BE355" i="1" s="1" a="1"/>
  <c r="BE355" i="1" s="1"/>
  <c r="AX355" i="1"/>
  <c r="M355" i="1"/>
  <c r="EM354" i="1"/>
  <c r="DU354" i="1"/>
  <c r="DT354" i="1"/>
  <c r="DN354" i="1"/>
  <c r="DM354" i="1"/>
  <c r="DL354" i="1"/>
  <c r="DK354" i="1"/>
  <c r="DI354" i="1"/>
  <c r="DJ354" i="1" s="1"/>
  <c r="DC354" i="1"/>
  <c r="CX354" i="1"/>
  <c r="CN354" i="1"/>
  <c r="CO354" i="1" s="1"/>
  <c r="BX354" i="1"/>
  <c r="BN354" i="1"/>
  <c r="BO354" i="1" s="1"/>
  <c r="BM354" i="1"/>
  <c r="BD354" i="1"/>
  <c r="BC354" i="1"/>
  <c r="BB354" i="1"/>
  <c r="BA354" i="1"/>
  <c r="AZ354" i="1"/>
  <c r="AY354" i="1"/>
  <c r="BE354" i="1" s="1" a="1"/>
  <c r="BE354" i="1" s="1"/>
  <c r="AX354" i="1"/>
  <c r="M354" i="1"/>
  <c r="EM351" i="1"/>
  <c r="DU351" i="1"/>
  <c r="DT351" i="1"/>
  <c r="DN351" i="1"/>
  <c r="DM351" i="1"/>
  <c r="DL351" i="1"/>
  <c r="DK351" i="1"/>
  <c r="DI351" i="1"/>
  <c r="DJ351" i="1" s="1"/>
  <c r="DC351" i="1"/>
  <c r="CX351" i="1"/>
  <c r="CN351" i="1"/>
  <c r="CR351" i="1" s="1"/>
  <c r="BX351" i="1"/>
  <c r="BN351" i="1"/>
  <c r="BO351" i="1" s="1"/>
  <c r="BM351" i="1"/>
  <c r="BD351" i="1"/>
  <c r="BC351" i="1"/>
  <c r="BB351" i="1"/>
  <c r="BA351" i="1"/>
  <c r="AZ351" i="1"/>
  <c r="AY351" i="1"/>
  <c r="BE351" i="1" s="1" a="1"/>
  <c r="BE351" i="1" s="1"/>
  <c r="AX351" i="1"/>
  <c r="M351" i="1"/>
  <c r="EM348" i="1"/>
  <c r="DU348" i="1"/>
  <c r="DT348" i="1"/>
  <c r="DN348" i="1"/>
  <c r="DM348" i="1"/>
  <c r="DL348" i="1"/>
  <c r="DK348" i="1"/>
  <c r="DI348" i="1"/>
  <c r="DJ348" i="1" s="1"/>
  <c r="DC348" i="1"/>
  <c r="CX348" i="1"/>
  <c r="CN348" i="1"/>
  <c r="CO348" i="1" s="1"/>
  <c r="BX348" i="1"/>
  <c r="BU348" i="1"/>
  <c r="BN348" i="1"/>
  <c r="BO348" i="1" s="1"/>
  <c r="BM348" i="1"/>
  <c r="BD348" i="1"/>
  <c r="BC348" i="1"/>
  <c r="BB348" i="1"/>
  <c r="BA348" i="1"/>
  <c r="AZ348" i="1"/>
  <c r="BF348" i="1" s="1" a="1"/>
  <c r="BF348" i="1" s="1"/>
  <c r="AY348" i="1"/>
  <c r="BE348" i="1" s="1" a="1"/>
  <c r="BE348" i="1" s="1"/>
  <c r="AX348" i="1"/>
  <c r="M348" i="1"/>
  <c r="EM347" i="1"/>
  <c r="DU347" i="1"/>
  <c r="DT347" i="1"/>
  <c r="DN347" i="1"/>
  <c r="DM347" i="1"/>
  <c r="DL347" i="1"/>
  <c r="DK347" i="1"/>
  <c r="DI347" i="1"/>
  <c r="DJ347" i="1" s="1"/>
  <c r="DC347" i="1"/>
  <c r="CX347" i="1"/>
  <c r="CN347" i="1"/>
  <c r="CO347" i="1" s="1"/>
  <c r="BX347" i="1"/>
  <c r="BN347" i="1"/>
  <c r="BO347" i="1" s="1"/>
  <c r="BM347" i="1"/>
  <c r="BD347" i="1"/>
  <c r="BC347" i="1"/>
  <c r="BB347" i="1"/>
  <c r="BA347" i="1"/>
  <c r="AZ347" i="1"/>
  <c r="AY347" i="1"/>
  <c r="BE347" i="1" s="1" a="1"/>
  <c r="BE347" i="1" s="1"/>
  <c r="AX347" i="1"/>
  <c r="M347" i="1"/>
  <c r="EM346" i="1"/>
  <c r="DU346" i="1"/>
  <c r="DT346" i="1"/>
  <c r="DN346" i="1"/>
  <c r="DM346" i="1"/>
  <c r="DL346" i="1"/>
  <c r="DK346" i="1"/>
  <c r="DI346" i="1"/>
  <c r="DJ346" i="1" s="1"/>
  <c r="DC346" i="1"/>
  <c r="CX346" i="1"/>
  <c r="CN346" i="1"/>
  <c r="CP346" i="1" s="1"/>
  <c r="BX346" i="1"/>
  <c r="BU346" i="1"/>
  <c r="BN346" i="1"/>
  <c r="BO346" i="1" s="1"/>
  <c r="BM346" i="1"/>
  <c r="BD346" i="1"/>
  <c r="BC346" i="1"/>
  <c r="BB346" i="1"/>
  <c r="BA346" i="1"/>
  <c r="AZ346" i="1"/>
  <c r="AY346" i="1"/>
  <c r="BE346" i="1" s="1" a="1"/>
  <c r="BE346" i="1" s="1"/>
  <c r="AX346" i="1"/>
  <c r="M346" i="1"/>
  <c r="EM345" i="1"/>
  <c r="DU345" i="1"/>
  <c r="DT345" i="1"/>
  <c r="DN345" i="1"/>
  <c r="DM345" i="1"/>
  <c r="DL345" i="1"/>
  <c r="DK345" i="1"/>
  <c r="DI345" i="1"/>
  <c r="DJ345" i="1" s="1"/>
  <c r="DC345" i="1"/>
  <c r="CX345" i="1"/>
  <c r="CN345" i="1"/>
  <c r="BX345" i="1"/>
  <c r="BN345" i="1"/>
  <c r="BO345" i="1" s="1"/>
  <c r="BM345" i="1"/>
  <c r="BD345" i="1"/>
  <c r="BC345" i="1"/>
  <c r="BB345" i="1"/>
  <c r="BA345" i="1"/>
  <c r="AZ345" i="1"/>
  <c r="AY345" i="1"/>
  <c r="BE345" i="1" s="1" a="1"/>
  <c r="BE345" i="1" s="1"/>
  <c r="AX345" i="1"/>
  <c r="M345" i="1"/>
  <c r="EM353" i="1"/>
  <c r="DU353" i="1"/>
  <c r="DT353" i="1"/>
  <c r="DN353" i="1"/>
  <c r="DM353" i="1"/>
  <c r="DL353" i="1"/>
  <c r="DK353" i="1"/>
  <c r="DI353" i="1"/>
  <c r="DJ353" i="1" s="1"/>
  <c r="DC353" i="1"/>
  <c r="CX353" i="1"/>
  <c r="CN353" i="1"/>
  <c r="BX353" i="1"/>
  <c r="BU353" i="1"/>
  <c r="BN353" i="1"/>
  <c r="BO353" i="1" s="1"/>
  <c r="BM353" i="1"/>
  <c r="BD353" i="1"/>
  <c r="BC353" i="1"/>
  <c r="BB353" i="1"/>
  <c r="BA353" i="1"/>
  <c r="AZ353" i="1"/>
  <c r="AY353" i="1"/>
  <c r="BE353" i="1" s="1" a="1"/>
  <c r="BE353" i="1" s="1"/>
  <c r="AX353" i="1"/>
  <c r="M353" i="1"/>
  <c r="EM352" i="1"/>
  <c r="DU352" i="1"/>
  <c r="DT352" i="1"/>
  <c r="DN352" i="1"/>
  <c r="DM352" i="1"/>
  <c r="DL352" i="1"/>
  <c r="DK352" i="1"/>
  <c r="DI352" i="1"/>
  <c r="DJ352" i="1" s="1"/>
  <c r="DC352" i="1"/>
  <c r="CX352" i="1"/>
  <c r="CN352" i="1"/>
  <c r="CR352" i="1" s="1"/>
  <c r="BX352" i="1"/>
  <c r="BU352" i="1"/>
  <c r="BN352" i="1"/>
  <c r="BO352" i="1" s="1"/>
  <c r="BM352" i="1"/>
  <c r="BD352" i="1"/>
  <c r="BC352" i="1"/>
  <c r="BB352" i="1"/>
  <c r="BA352" i="1"/>
  <c r="AZ352" i="1"/>
  <c r="AY352" i="1"/>
  <c r="BE352" i="1" s="1" a="1"/>
  <c r="BE352" i="1" s="1"/>
  <c r="AX352" i="1"/>
  <c r="M352" i="1"/>
  <c r="EM350" i="1"/>
  <c r="DU350" i="1"/>
  <c r="DT350" i="1"/>
  <c r="DN350" i="1"/>
  <c r="DM350" i="1"/>
  <c r="DL350" i="1"/>
  <c r="DK350" i="1"/>
  <c r="DI350" i="1"/>
  <c r="DJ350" i="1" s="1"/>
  <c r="DC350" i="1"/>
  <c r="CX350" i="1"/>
  <c r="CN350" i="1"/>
  <c r="BX350" i="1"/>
  <c r="BU350" i="1"/>
  <c r="BN350" i="1"/>
  <c r="BO350" i="1" s="1"/>
  <c r="BM350" i="1"/>
  <c r="BD350" i="1"/>
  <c r="BC350" i="1"/>
  <c r="BB350" i="1"/>
  <c r="BA350" i="1"/>
  <c r="AZ350" i="1"/>
  <c r="BF350" i="1" s="1" a="1"/>
  <c r="BF350" i="1" s="1"/>
  <c r="AY350" i="1"/>
  <c r="BE350" i="1" s="1" a="1"/>
  <c r="BE350" i="1" s="1"/>
  <c r="AX350" i="1"/>
  <c r="M350" i="1"/>
  <c r="EM349" i="1"/>
  <c r="DU349" i="1"/>
  <c r="DT349" i="1"/>
  <c r="DN349" i="1"/>
  <c r="DM349" i="1"/>
  <c r="DL349" i="1"/>
  <c r="DK349" i="1"/>
  <c r="DI349" i="1"/>
  <c r="DJ349" i="1" s="1"/>
  <c r="DC349" i="1"/>
  <c r="CX349" i="1"/>
  <c r="CN349" i="1"/>
  <c r="CR349" i="1" s="1"/>
  <c r="BX349" i="1"/>
  <c r="BU349" i="1"/>
  <c r="BN349" i="1"/>
  <c r="BO349" i="1" s="1"/>
  <c r="BM349" i="1"/>
  <c r="BD349" i="1"/>
  <c r="BC349" i="1"/>
  <c r="BB349" i="1"/>
  <c r="BA349" i="1"/>
  <c r="AZ349" i="1"/>
  <c r="AY349" i="1"/>
  <c r="BE349" i="1" s="1" a="1"/>
  <c r="BE349" i="1" s="1"/>
  <c r="AX349" i="1"/>
  <c r="M349" i="1"/>
  <c r="EM344" i="1"/>
  <c r="DU344" i="1"/>
  <c r="DT344" i="1"/>
  <c r="DN344" i="1"/>
  <c r="DM344" i="1"/>
  <c r="DL344" i="1"/>
  <c r="DK344" i="1"/>
  <c r="DI344" i="1"/>
  <c r="DJ344" i="1" s="1"/>
  <c r="DC344" i="1"/>
  <c r="CX344" i="1"/>
  <c r="CN344" i="1"/>
  <c r="CO344" i="1" s="1"/>
  <c r="BX344" i="1"/>
  <c r="BU344" i="1"/>
  <c r="BN344" i="1"/>
  <c r="BO344" i="1" s="1"/>
  <c r="BM344" i="1"/>
  <c r="BD344" i="1"/>
  <c r="BC344" i="1"/>
  <c r="BB344" i="1"/>
  <c r="BA344" i="1"/>
  <c r="AZ344" i="1"/>
  <c r="BF344" i="1" s="1" a="1"/>
  <c r="BF344" i="1" s="1"/>
  <c r="AY344" i="1"/>
  <c r="BE344" i="1" s="1" a="1"/>
  <c r="BE344" i="1" s="1"/>
  <c r="AX344" i="1"/>
  <c r="M344" i="1"/>
  <c r="EM343" i="1"/>
  <c r="DU343" i="1"/>
  <c r="DT343" i="1"/>
  <c r="DN343" i="1"/>
  <c r="DM343" i="1"/>
  <c r="DL343" i="1"/>
  <c r="DK343" i="1"/>
  <c r="DI343" i="1"/>
  <c r="DJ343" i="1" s="1"/>
  <c r="DC343" i="1"/>
  <c r="CX343" i="1"/>
  <c r="CN343" i="1"/>
  <c r="CP343" i="1" s="1"/>
  <c r="BX343" i="1"/>
  <c r="BU343" i="1"/>
  <c r="BN343" i="1"/>
  <c r="BO343" i="1" s="1"/>
  <c r="BM343" i="1"/>
  <c r="BD343" i="1"/>
  <c r="BC343" i="1"/>
  <c r="BB343" i="1"/>
  <c r="BA343" i="1"/>
  <c r="AZ343" i="1"/>
  <c r="AY343" i="1"/>
  <c r="BE343" i="1" s="1" a="1"/>
  <c r="BE343" i="1" s="1"/>
  <c r="AX343" i="1"/>
  <c r="M343" i="1"/>
  <c r="EM342" i="1"/>
  <c r="DU342" i="1"/>
  <c r="DT342" i="1"/>
  <c r="DN342" i="1"/>
  <c r="DM342" i="1"/>
  <c r="DL342" i="1"/>
  <c r="DK342" i="1"/>
  <c r="DI342" i="1"/>
  <c r="DJ342" i="1" s="1"/>
  <c r="DC342" i="1"/>
  <c r="CX342" i="1"/>
  <c r="CN342" i="1"/>
  <c r="CS342" i="1" s="1"/>
  <c r="BX342" i="1"/>
  <c r="BU342" i="1"/>
  <c r="BN342" i="1"/>
  <c r="BO342" i="1" s="1"/>
  <c r="BM342" i="1"/>
  <c r="BD342" i="1"/>
  <c r="BC342" i="1"/>
  <c r="BB342" i="1"/>
  <c r="BA342" i="1"/>
  <c r="AZ342" i="1"/>
  <c r="AY342" i="1"/>
  <c r="BE342" i="1" s="1" a="1"/>
  <c r="BE342" i="1" s="1"/>
  <c r="AX342" i="1"/>
  <c r="M342" i="1"/>
  <c r="EM341" i="1"/>
  <c r="DU341" i="1"/>
  <c r="DT341" i="1"/>
  <c r="DN341" i="1"/>
  <c r="DM341" i="1"/>
  <c r="DL341" i="1"/>
  <c r="DK341" i="1"/>
  <c r="DI341" i="1"/>
  <c r="DJ341" i="1" s="1"/>
  <c r="DC341" i="1"/>
  <c r="CX341" i="1"/>
  <c r="CN341" i="1"/>
  <c r="CO341" i="1" s="1"/>
  <c r="BX341" i="1"/>
  <c r="BU341" i="1"/>
  <c r="BN341" i="1"/>
  <c r="BO341" i="1" s="1"/>
  <c r="BM341" i="1"/>
  <c r="BD341" i="1"/>
  <c r="BC341" i="1"/>
  <c r="BB341" i="1"/>
  <c r="BA341" i="1"/>
  <c r="AZ341" i="1"/>
  <c r="AY341" i="1"/>
  <c r="BE341" i="1" s="1" a="1"/>
  <c r="BE341" i="1" s="1"/>
  <c r="AX341" i="1"/>
  <c r="M341" i="1"/>
  <c r="BF347" i="1" l="1" a="1"/>
  <c r="BF347" i="1" s="1"/>
  <c r="BF581" i="1" a="1"/>
  <c r="BF581" i="1" s="1"/>
  <c r="BF593" i="1" a="1"/>
  <c r="BF593" i="1" s="1"/>
  <c r="BF638" i="1" a="1"/>
  <c r="BF638" i="1" s="1"/>
  <c r="BF668" i="1" a="1"/>
  <c r="BF668" i="1" s="1"/>
  <c r="BF676" i="1" a="1"/>
  <c r="BF676" i="1" s="1"/>
  <c r="BF706" i="1" a="1"/>
  <c r="BF706" i="1" s="1"/>
  <c r="BF705" i="1" a="1"/>
  <c r="BF705" i="1" s="1"/>
  <c r="BE705" i="1" s="1" a="1"/>
  <c r="BE705" i="1" s="1"/>
  <c r="BF709" i="1" a="1"/>
  <c r="BF709" i="1" s="1"/>
  <c r="BF737" i="1" a="1"/>
  <c r="BF737" i="1" s="1"/>
  <c r="BF740" i="1" a="1"/>
  <c r="BF740" i="1" s="1"/>
  <c r="BF917" i="1" a="1"/>
  <c r="BF917" i="1" s="1"/>
  <c r="BF911" i="1" a="1"/>
  <c r="BF911" i="1" s="1"/>
  <c r="BF1009" i="1" a="1"/>
  <c r="BF1009" i="1" s="1"/>
  <c r="BF1062" i="1" a="1"/>
  <c r="BF1062" i="1" s="1"/>
  <c r="BF1129" i="1" a="1"/>
  <c r="BF1129" i="1" s="1"/>
  <c r="BF1135" i="1" a="1"/>
  <c r="BF1135" i="1" s="1"/>
  <c r="BF1139" i="1" a="1"/>
  <c r="BF1139" i="1" s="1"/>
  <c r="BF1216" i="1" a="1"/>
  <c r="BF1216" i="1" s="1"/>
  <c r="BF1225" i="1" a="1"/>
  <c r="BF1225" i="1" s="1"/>
  <c r="BF1562" i="1" a="1"/>
  <c r="BF1562" i="1" s="1"/>
  <c r="BF941" i="1" a="1"/>
  <c r="BF941" i="1" s="1"/>
  <c r="BF1411" i="1" a="1"/>
  <c r="BF1411" i="1" s="1"/>
  <c r="BF1434" i="1" a="1"/>
  <c r="BF1434" i="1" s="1"/>
  <c r="BE1434" i="1" s="1" a="1"/>
  <c r="BE1434" i="1" s="1"/>
  <c r="BF1438" i="1" a="1"/>
  <c r="BF1438" i="1" s="1"/>
  <c r="BE1438" i="1" s="1" a="1"/>
  <c r="BE1438" i="1" s="1"/>
  <c r="BF1255" i="1" a="1"/>
  <c r="BF1255" i="1" s="1"/>
  <c r="BF342" i="1" a="1"/>
  <c r="BF342" i="1" s="1"/>
  <c r="BF543" i="1" a="1"/>
  <c r="BF543" i="1" s="1"/>
  <c r="BF341" i="1" a="1"/>
  <c r="BF341" i="1" s="1"/>
  <c r="BF345" i="1" a="1"/>
  <c r="BF345" i="1" s="1"/>
  <c r="BF354" i="1" a="1"/>
  <c r="BF354" i="1" s="1"/>
  <c r="BF387" i="1" a="1"/>
  <c r="BF387" i="1" s="1"/>
  <c r="BF385" i="1" a="1"/>
  <c r="BF385" i="1" s="1"/>
  <c r="BF395" i="1" a="1"/>
  <c r="BF395" i="1" s="1"/>
  <c r="BF454" i="1" a="1"/>
  <c r="BF454" i="1" s="1"/>
  <c r="BF472" i="1" a="1"/>
  <c r="BF472" i="1" s="1"/>
  <c r="BF476" i="1" a="1"/>
  <c r="BF476" i="1" s="1"/>
  <c r="BF548" i="1" a="1"/>
  <c r="BF548" i="1" s="1"/>
  <c r="BF576" i="1" a="1"/>
  <c r="BF576" i="1" s="1"/>
  <c r="BF559" i="1" a="1"/>
  <c r="BF559" i="1" s="1"/>
  <c r="BE559" i="1" s="1" a="1"/>
  <c r="BE559" i="1" s="1"/>
  <c r="BF567" i="1" a="1"/>
  <c r="BF567" i="1" s="1"/>
  <c r="BE567" i="1" s="1" a="1"/>
  <c r="BE567" i="1" s="1"/>
  <c r="BF575" i="1" a="1"/>
  <c r="BF575" i="1" s="1"/>
  <c r="BE575" i="1" s="1" a="1"/>
  <c r="BE575" i="1" s="1"/>
  <c r="BF587" i="1" a="1"/>
  <c r="BF587" i="1" s="1"/>
  <c r="BF596" i="1" a="1"/>
  <c r="BF596" i="1" s="1"/>
  <c r="BE596" i="1" s="1" a="1"/>
  <c r="BE596" i="1" s="1"/>
  <c r="BF664" i="1" a="1"/>
  <c r="BF664" i="1" s="1"/>
  <c r="BF671" i="1" a="1"/>
  <c r="BF671" i="1" s="1"/>
  <c r="BF679" i="1" a="1"/>
  <c r="BF679" i="1" s="1"/>
  <c r="BF738" i="1" a="1"/>
  <c r="BF738" i="1" s="1"/>
  <c r="BF920" i="1" a="1"/>
  <c r="BF920" i="1" s="1"/>
  <c r="BF1303" i="1" a="1"/>
  <c r="BF1303" i="1" s="1"/>
  <c r="BF1308" i="1" a="1"/>
  <c r="BF1308" i="1" s="1"/>
  <c r="BF1304" i="1" a="1"/>
  <c r="BF1304" i="1" s="1"/>
  <c r="BF1355" i="1" a="1"/>
  <c r="BF1355" i="1" s="1"/>
  <c r="BF1350" i="1" a="1"/>
  <c r="BF1350" i="1" s="1"/>
  <c r="BF1354" i="1" a="1"/>
  <c r="BF1354" i="1" s="1"/>
  <c r="BF659" i="1" a="1"/>
  <c r="BF659" i="1" s="1"/>
  <c r="BF943" i="1" a="1"/>
  <c r="BF943" i="1" s="1"/>
  <c r="BF940" i="1" a="1"/>
  <c r="BF940" i="1" s="1"/>
  <c r="BF942" i="1" a="1"/>
  <c r="BF942" i="1" s="1"/>
  <c r="BF1541" i="1" a="1"/>
  <c r="BF1541" i="1" s="1"/>
  <c r="BF1548" i="1" a="1"/>
  <c r="BF1548" i="1" s="1"/>
  <c r="BF1560" i="1" a="1"/>
  <c r="BF1560" i="1" s="1"/>
  <c r="BF397" i="1" a="1"/>
  <c r="BF397" i="1" s="1"/>
  <c r="BF448" i="1" a="1"/>
  <c r="BF448" i="1" s="1"/>
  <c r="BF450" i="1" a="1"/>
  <c r="BF450" i="1" s="1"/>
  <c r="BF452" i="1" a="1"/>
  <c r="BF452" i="1" s="1"/>
  <c r="BF457" i="1" a="1"/>
  <c r="BF457" i="1" s="1"/>
  <c r="BF549" i="1" a="1"/>
  <c r="BF549" i="1" s="1"/>
  <c r="BF583" i="1" a="1"/>
  <c r="BF583" i="1" s="1"/>
  <c r="BF560" i="1" a="1"/>
  <c r="BF560" i="1" s="1"/>
  <c r="BE560" i="1" s="1" a="1"/>
  <c r="BE560" i="1" s="1"/>
  <c r="BF568" i="1" a="1"/>
  <c r="BF568" i="1" s="1"/>
  <c r="BF577" i="1" a="1"/>
  <c r="BF577" i="1" s="1"/>
  <c r="BE577" i="1" s="1" a="1"/>
  <c r="BE577" i="1" s="1"/>
  <c r="BF589" i="1" a="1"/>
  <c r="BF589" i="1" s="1"/>
  <c r="BE589" i="1" s="1" a="1"/>
  <c r="BE589" i="1" s="1"/>
  <c r="BF672" i="1" a="1"/>
  <c r="BF672" i="1" s="1"/>
  <c r="BF687" i="1" a="1"/>
  <c r="BF687" i="1" s="1"/>
  <c r="BF921" i="1" a="1"/>
  <c r="BF921" i="1" s="1"/>
  <c r="BF971" i="1" a="1"/>
  <c r="BF971" i="1" s="1"/>
  <c r="BF1011" i="1" a="1"/>
  <c r="BF1011" i="1" s="1"/>
  <c r="BF1131" i="1" a="1"/>
  <c r="BF1131" i="1" s="1"/>
  <c r="BF1133" i="1" a="1"/>
  <c r="BF1133" i="1" s="1"/>
  <c r="BF1136" i="1" a="1"/>
  <c r="BF1136" i="1" s="1"/>
  <c r="BF1141" i="1" a="1"/>
  <c r="BF1141" i="1" s="1"/>
  <c r="BF1218" i="1" a="1"/>
  <c r="BF1218" i="1" s="1"/>
  <c r="BF1223" i="1" a="1"/>
  <c r="BF1223" i="1" s="1"/>
  <c r="BF1234" i="1" a="1"/>
  <c r="BF1234" i="1" s="1"/>
  <c r="BF1251" i="1" a="1"/>
  <c r="BF1251" i="1" s="1"/>
  <c r="BF349" i="1" a="1"/>
  <c r="BF349" i="1" s="1"/>
  <c r="BF357" i="1" a="1"/>
  <c r="BF357" i="1" s="1"/>
  <c r="BF383" i="1" a="1"/>
  <c r="BF383" i="1" s="1"/>
  <c r="BF394" i="1" a="1"/>
  <c r="BF394" i="1" s="1"/>
  <c r="BF458" i="1" a="1"/>
  <c r="BF458" i="1" s="1"/>
  <c r="BF474" i="1" a="1"/>
  <c r="BF474" i="1" s="1"/>
  <c r="BF479" i="1" a="1"/>
  <c r="BF479" i="1" s="1"/>
  <c r="BF545" i="1" a="1"/>
  <c r="BF545" i="1" s="1"/>
  <c r="BE545" i="1" s="1" a="1"/>
  <c r="BE545" i="1" s="1"/>
  <c r="BF554" i="1" a="1"/>
  <c r="BF554" i="1" s="1"/>
  <c r="BF588" i="1" a="1"/>
  <c r="BF588" i="1" s="1"/>
  <c r="BF563" i="1" a="1"/>
  <c r="BF563" i="1" s="1"/>
  <c r="BE563" i="1" s="1" a="1"/>
  <c r="BE563" i="1" s="1"/>
  <c r="BF571" i="1" a="1"/>
  <c r="BF571" i="1" s="1"/>
  <c r="BE571" i="1" s="1" a="1"/>
  <c r="BE571" i="1" s="1"/>
  <c r="BF580" i="1" a="1"/>
  <c r="BF580" i="1" s="1"/>
  <c r="BE580" i="1" s="1" a="1"/>
  <c r="BE580" i="1" s="1"/>
  <c r="BF592" i="1" a="1"/>
  <c r="BF592" i="1" s="1"/>
  <c r="BE592" i="1" s="1" a="1"/>
  <c r="BE592" i="1" s="1"/>
  <c r="BF598" i="1" a="1"/>
  <c r="BF598" i="1" s="1"/>
  <c r="BF667" i="1" a="1"/>
  <c r="BF667" i="1" s="1"/>
  <c r="BF675" i="1" a="1"/>
  <c r="BF675" i="1" s="1"/>
  <c r="BF731" i="1" a="1"/>
  <c r="BF731" i="1" s="1"/>
  <c r="BF734" i="1" a="1"/>
  <c r="BF734" i="1" s="1"/>
  <c r="BF743" i="1" a="1"/>
  <c r="BF743" i="1" s="1"/>
  <c r="BF916" i="1" a="1"/>
  <c r="BF916" i="1" s="1"/>
  <c r="BF910" i="1" a="1"/>
  <c r="BF910" i="1" s="1"/>
  <c r="BF968" i="1" a="1"/>
  <c r="BF968" i="1" s="1"/>
  <c r="BF999" i="1" a="1"/>
  <c r="BF999" i="1" s="1"/>
  <c r="BF1220" i="1" a="1"/>
  <c r="BF1220" i="1" s="1"/>
  <c r="BF1236" i="1" a="1"/>
  <c r="BF1236" i="1" s="1"/>
  <c r="BF1242" i="1" a="1"/>
  <c r="BF1242" i="1" s="1"/>
  <c r="BF1260" i="1" a="1"/>
  <c r="BF1260" i="1" s="1"/>
  <c r="BF1232" i="1" a="1"/>
  <c r="BF1232" i="1" s="1"/>
  <c r="BF1243" i="1" a="1"/>
  <c r="BF1243" i="1" s="1"/>
  <c r="BF1244" i="1" a="1"/>
  <c r="BF1244" i="1" s="1"/>
  <c r="BF1231" i="1" a="1"/>
  <c r="BF1231" i="1" s="1"/>
  <c r="BF1310" i="1" a="1"/>
  <c r="BF1310" i="1" s="1"/>
  <c r="BF1301" i="1" a="1"/>
  <c r="BF1301" i="1" s="1"/>
  <c r="BF1306" i="1" a="1"/>
  <c r="BF1306" i="1" s="1"/>
  <c r="BF1317" i="1" a="1"/>
  <c r="BF1317" i="1" s="1"/>
  <c r="BE1317" i="1" s="1" a="1"/>
  <c r="BE1317" i="1" s="1"/>
  <c r="BF1357" i="1" a="1"/>
  <c r="BF1357" i="1" s="1"/>
  <c r="BF1352" i="1" a="1"/>
  <c r="BF1352" i="1" s="1"/>
  <c r="BF1546" i="1" a="1"/>
  <c r="BF1546" i="1" s="1"/>
  <c r="BF1552" i="1" a="1"/>
  <c r="BF1552" i="1" s="1"/>
  <c r="BF1539" i="1" a="1"/>
  <c r="BF1539" i="1" s="1"/>
  <c r="BF1559" i="1" a="1"/>
  <c r="BF1559" i="1" s="1"/>
  <c r="BF356" i="1" a="1"/>
  <c r="BF356" i="1" s="1"/>
  <c r="BF579" i="1" a="1"/>
  <c r="BF579" i="1" s="1"/>
  <c r="BE579" i="1" s="1" a="1"/>
  <c r="BE579" i="1" s="1"/>
  <c r="BF591" i="1" a="1"/>
  <c r="BF591" i="1" s="1"/>
  <c r="BF597" i="1" a="1"/>
  <c r="BF597" i="1" s="1"/>
  <c r="BF666" i="1" a="1"/>
  <c r="BF666" i="1" s="1"/>
  <c r="BF674" i="1" a="1"/>
  <c r="BF674" i="1" s="1"/>
  <c r="BF702" i="1" a="1"/>
  <c r="BF702" i="1" s="1"/>
  <c r="BF703" i="1" a="1"/>
  <c r="BF703" i="1" s="1"/>
  <c r="BE703" i="1" s="1" a="1"/>
  <c r="BE703" i="1" s="1"/>
  <c r="BF708" i="1" a="1"/>
  <c r="BF708" i="1" s="1"/>
  <c r="BF772" i="1" a="1"/>
  <c r="BF772" i="1" s="1"/>
  <c r="BF774" i="1" a="1"/>
  <c r="BF774" i="1" s="1"/>
  <c r="BF776" i="1" a="1"/>
  <c r="BF776" i="1" s="1"/>
  <c r="BF915" i="1" a="1"/>
  <c r="BF915" i="1" s="1"/>
  <c r="BF909" i="1" a="1"/>
  <c r="BF909" i="1" s="1"/>
  <c r="BF998" i="1" a="1"/>
  <c r="BF998" i="1" s="1"/>
  <c r="BF1012" i="1" a="1"/>
  <c r="BF1012" i="1" s="1"/>
  <c r="BF1132" i="1" a="1"/>
  <c r="BF1132" i="1" s="1"/>
  <c r="BF1134" i="1" a="1"/>
  <c r="BF1134" i="1" s="1"/>
  <c r="BF1138" i="1" a="1"/>
  <c r="BF1138" i="1" s="1"/>
  <c r="BF1215" i="1" a="1"/>
  <c r="BF1215" i="1" s="1"/>
  <c r="BF1224" i="1" a="1"/>
  <c r="BF1224" i="1" s="1"/>
  <c r="BF1254" i="1" a="1"/>
  <c r="BF1254" i="1" s="1"/>
  <c r="BF343" i="1" a="1"/>
  <c r="BF343" i="1" s="1"/>
  <c r="BF346" i="1" a="1"/>
  <c r="BF346" i="1" s="1"/>
  <c r="BF355" i="1" a="1"/>
  <c r="BF355" i="1" s="1"/>
  <c r="BF388" i="1" a="1"/>
  <c r="BF388" i="1" s="1"/>
  <c r="BF391" i="1" a="1"/>
  <c r="BF391" i="1" s="1"/>
  <c r="BF389" i="1" a="1"/>
  <c r="BF389" i="1" s="1"/>
  <c r="BF473" i="1" a="1"/>
  <c r="BF473" i="1" s="1"/>
  <c r="BF544" i="1" a="1"/>
  <c r="BF544" i="1" s="1"/>
  <c r="BE544" i="1" s="1" a="1"/>
  <c r="BE544" i="1" s="1"/>
  <c r="BF1262" i="1" a="1"/>
  <c r="BF1262" i="1" s="1"/>
  <c r="BF1237" i="1" a="1"/>
  <c r="BF1237" i="1" s="1"/>
  <c r="BF1246" i="1" a="1"/>
  <c r="BF1246" i="1" s="1"/>
  <c r="BF1403" i="1" a="1"/>
  <c r="BF1403" i="1" s="1"/>
  <c r="BE1403" i="1" s="1" a="1"/>
  <c r="BE1403" i="1" s="1"/>
  <c r="BF1404" i="1" a="1"/>
  <c r="BF1404" i="1" s="1"/>
  <c r="BE1404" i="1" s="1" a="1"/>
  <c r="BE1404" i="1" s="1"/>
  <c r="BF1253" i="1" a="1"/>
  <c r="BF1253" i="1" s="1"/>
  <c r="BF1258" i="1" a="1"/>
  <c r="BF1258" i="1" s="1"/>
  <c r="BF1229" i="1" a="1"/>
  <c r="BF1229" i="1" s="1"/>
  <c r="BF1250" i="1" a="1"/>
  <c r="BF1250" i="1" s="1"/>
  <c r="BF1235" i="1" a="1"/>
  <c r="BF1235" i="1" s="1"/>
  <c r="BF1257" i="1" a="1"/>
  <c r="BF1257" i="1" s="1"/>
  <c r="BF1410" i="1" a="1"/>
  <c r="BF1410" i="1" s="1"/>
  <c r="BE1410" i="1" s="1" a="1"/>
  <c r="BE1410" i="1" s="1"/>
  <c r="BF1433" i="1" a="1"/>
  <c r="BF1433" i="1" s="1"/>
  <c r="BE1433" i="1" s="1" a="1"/>
  <c r="BE1433" i="1" s="1"/>
  <c r="BF1437" i="1" a="1"/>
  <c r="BF1437" i="1" s="1"/>
  <c r="BE1437" i="1" s="1" a="1"/>
  <c r="BE1437" i="1" s="1"/>
  <c r="BF1441" i="1" a="1"/>
  <c r="BF1441" i="1" s="1"/>
  <c r="BE1441" i="1" s="1" a="1"/>
  <c r="BE1441" i="1" s="1"/>
  <c r="BF939" i="1" a="1"/>
  <c r="BF939" i="1" s="1"/>
  <c r="BF1553" i="1" a="1"/>
  <c r="BF1553" i="1" s="1"/>
  <c r="BF1551" i="1" a="1"/>
  <c r="BF1551" i="1" s="1"/>
  <c r="BF552" i="1" a="1"/>
  <c r="BF552" i="1" s="1"/>
  <c r="BF584" i="1" a="1"/>
  <c r="BF584" i="1" s="1"/>
  <c r="BF561" i="1" a="1"/>
  <c r="BF561" i="1" s="1"/>
  <c r="BE561" i="1" s="1" a="1"/>
  <c r="BE561" i="1" s="1"/>
  <c r="BF569" i="1" a="1"/>
  <c r="BF569" i="1" s="1"/>
  <c r="BE569" i="1" s="1" a="1"/>
  <c r="BE569" i="1" s="1"/>
  <c r="BF578" i="1" a="1"/>
  <c r="BF578" i="1" s="1"/>
  <c r="BE578" i="1" s="1" a="1"/>
  <c r="BE578" i="1" s="1"/>
  <c r="BF590" i="1" a="1"/>
  <c r="BF590" i="1" s="1"/>
  <c r="BE590" i="1" s="1" a="1"/>
  <c r="BE590" i="1" s="1"/>
  <c r="BF599" i="1" a="1"/>
  <c r="BF599" i="1" s="1"/>
  <c r="BF665" i="1" a="1"/>
  <c r="BF665" i="1" s="1"/>
  <c r="BF673" i="1" a="1"/>
  <c r="BF673" i="1" s="1"/>
  <c r="BF736" i="1" a="1"/>
  <c r="BF736" i="1" s="1"/>
  <c r="BF739" i="1" a="1"/>
  <c r="BF739" i="1" s="1"/>
  <c r="BF742" i="1" a="1"/>
  <c r="BF742" i="1" s="1"/>
  <c r="BF913" i="1" a="1"/>
  <c r="BF913" i="1" s="1"/>
  <c r="BF914" i="1" a="1"/>
  <c r="BF914" i="1" s="1"/>
  <c r="BF947" i="1" a="1"/>
  <c r="BF947" i="1" s="1"/>
  <c r="BF997" i="1" a="1"/>
  <c r="BF997" i="1" s="1"/>
  <c r="BF1241" i="1" a="1"/>
  <c r="BF1241" i="1" s="1"/>
  <c r="BF1259" i="1" a="1"/>
  <c r="BF1259" i="1" s="1"/>
  <c r="BF1230" i="1" a="1"/>
  <c r="BF1230" i="1" s="1"/>
  <c r="BF1252" i="1" a="1"/>
  <c r="BF1252" i="1" s="1"/>
  <c r="BF1228" i="1" a="1"/>
  <c r="BF1228" i="1" s="1"/>
  <c r="BF1263" i="1" a="1"/>
  <c r="BF1263" i="1" s="1"/>
  <c r="BF1265" i="1" a="1"/>
  <c r="BF1265" i="1" s="1"/>
  <c r="BF1267" i="1" a="1"/>
  <c r="BF1267" i="1" s="1"/>
  <c r="BF1269" i="1" a="1"/>
  <c r="BF1269" i="1" s="1"/>
  <c r="BF1271" i="1" a="1"/>
  <c r="BF1271" i="1" s="1"/>
  <c r="BF1273" i="1" a="1"/>
  <c r="BF1273" i="1" s="1"/>
  <c r="BF1275" i="1" a="1"/>
  <c r="BF1275" i="1" s="1"/>
  <c r="BF1277" i="1" a="1"/>
  <c r="BF1277" i="1" s="1"/>
  <c r="BF1279" i="1" a="1"/>
  <c r="BF1279" i="1" s="1"/>
  <c r="BF1281" i="1" a="1"/>
  <c r="BF1281" i="1" s="1"/>
  <c r="BF1283" i="1" a="1"/>
  <c r="BF1283" i="1" s="1"/>
  <c r="BF1285" i="1" a="1"/>
  <c r="BF1285" i="1" s="1"/>
  <c r="BF1287" i="1" a="1"/>
  <c r="BF1287" i="1" s="1"/>
  <c r="BF1289" i="1" a="1"/>
  <c r="BF1289" i="1" s="1"/>
  <c r="BF1291" i="1" a="1"/>
  <c r="BF1291" i="1" s="1"/>
  <c r="BF1293" i="1" a="1"/>
  <c r="BF1293" i="1" s="1"/>
  <c r="BF1295" i="1" a="1"/>
  <c r="BF1295" i="1" s="1"/>
  <c r="BF1297" i="1" a="1"/>
  <c r="BF1297" i="1" s="1"/>
  <c r="BF1311" i="1" a="1"/>
  <c r="BF1311" i="1" s="1"/>
  <c r="BF1299" i="1" a="1"/>
  <c r="BF1299" i="1" s="1"/>
  <c r="BF1307" i="1" a="1"/>
  <c r="BF1307" i="1" s="1"/>
  <c r="BF1300" i="1" a="1"/>
  <c r="BF1300" i="1" s="1"/>
  <c r="BF1356" i="1" a="1"/>
  <c r="BF1356" i="1" s="1"/>
  <c r="BF1351" i="1" a="1"/>
  <c r="BF1351" i="1" s="1"/>
  <c r="BF271" i="1" a="1"/>
  <c r="BF271" i="1" s="1"/>
  <c r="BF661" i="1" a="1"/>
  <c r="BF661" i="1" s="1"/>
  <c r="BF1561" i="1" a="1"/>
  <c r="BF1561" i="1" s="1"/>
  <c r="BF1554" i="1" a="1"/>
  <c r="BF1554" i="1" s="1"/>
  <c r="BF1565" i="1" a="1"/>
  <c r="BF1565" i="1" s="1"/>
  <c r="BF600" i="1" a="1"/>
  <c r="BF600" i="1" s="1"/>
  <c r="BF701" i="1" a="1"/>
  <c r="BF701" i="1" s="1"/>
  <c r="BE701" i="1" s="1" a="1"/>
  <c r="BE701" i="1" s="1"/>
  <c r="BF707" i="1" a="1"/>
  <c r="BF707" i="1" s="1"/>
  <c r="BF730" i="1" a="1"/>
  <c r="BF730" i="1" s="1"/>
  <c r="BF733" i="1" a="1"/>
  <c r="BF733" i="1" s="1"/>
  <c r="BF1405" i="1" a="1"/>
  <c r="BF1405" i="1" s="1"/>
  <c r="BE1405" i="1" s="1" a="1"/>
  <c r="BE1405" i="1" s="1"/>
  <c r="BF1406" i="1" a="1"/>
  <c r="BF1406" i="1" s="1"/>
  <c r="BE1406" i="1" s="1" a="1"/>
  <c r="BE1406" i="1" s="1"/>
  <c r="BF1407" i="1" a="1"/>
  <c r="BF1407" i="1" s="1"/>
  <c r="BE1407" i="1" s="1" a="1"/>
  <c r="BE1407" i="1" s="1"/>
  <c r="BF1408" i="1" a="1"/>
  <c r="BF1408" i="1" s="1"/>
  <c r="BE1408" i="1" s="1" a="1"/>
  <c r="BE1408" i="1" s="1"/>
  <c r="BF1409" i="1" a="1"/>
  <c r="BF1409" i="1" s="1"/>
  <c r="BE1409" i="1" s="1" a="1"/>
  <c r="BE1409" i="1" s="1"/>
  <c r="BF1413" i="1" a="1"/>
  <c r="BF1413" i="1" s="1"/>
  <c r="BE1413" i="1" s="1" a="1"/>
  <c r="BE1413" i="1" s="1"/>
  <c r="BF1436" i="1" a="1"/>
  <c r="BF1436" i="1" s="1"/>
  <c r="BE1436" i="1" s="1" a="1"/>
  <c r="BE1436" i="1" s="1"/>
  <c r="BF1440" i="1" a="1"/>
  <c r="BF1440" i="1" s="1"/>
  <c r="BE1440" i="1" s="1" a="1"/>
  <c r="BE1440" i="1" s="1"/>
  <c r="BF1512" i="1" a="1"/>
  <c r="BF1512" i="1" s="1"/>
  <c r="BF660" i="1" a="1"/>
  <c r="BF660" i="1" s="1"/>
  <c r="BF1540" i="1" a="1"/>
  <c r="BF1540" i="1" s="1"/>
  <c r="BE1540" i="1" s="1" a="1"/>
  <c r="BE1540" i="1" s="1"/>
  <c r="BF1538" i="1" a="1"/>
  <c r="BF1538" i="1" s="1"/>
  <c r="BF1556" i="1" a="1"/>
  <c r="BF1556" i="1" s="1"/>
  <c r="BF353" i="1" a="1"/>
  <c r="BF353" i="1" s="1"/>
  <c r="BF398" i="1" a="1"/>
  <c r="BF398" i="1" s="1"/>
  <c r="BF478" i="1" a="1"/>
  <c r="BF478" i="1" s="1"/>
  <c r="BF480" i="1" a="1"/>
  <c r="BF480" i="1" s="1"/>
  <c r="BF471" i="1" a="1"/>
  <c r="BF471" i="1" s="1"/>
  <c r="BF547" i="1" a="1"/>
  <c r="BF547" i="1" s="1"/>
  <c r="BF557" i="1" a="1"/>
  <c r="BF557" i="1" s="1"/>
  <c r="BF558" i="1" a="1"/>
  <c r="BF558" i="1" s="1"/>
  <c r="BE558" i="1" s="1" a="1"/>
  <c r="BE558" i="1" s="1"/>
  <c r="BF566" i="1" a="1"/>
  <c r="BF566" i="1" s="1"/>
  <c r="BE566" i="1" s="1" a="1"/>
  <c r="BE566" i="1" s="1"/>
  <c r="BF574" i="1" a="1"/>
  <c r="BF574" i="1" s="1"/>
  <c r="BE574" i="1" s="1" a="1"/>
  <c r="BE574" i="1" s="1"/>
  <c r="BF586" i="1" a="1"/>
  <c r="BF586" i="1" s="1"/>
  <c r="BE586" i="1" s="1" a="1"/>
  <c r="BE586" i="1" s="1"/>
  <c r="BF595" i="1" a="1"/>
  <c r="BF595" i="1" s="1"/>
  <c r="BE595" i="1" s="1" a="1"/>
  <c r="BE595" i="1" s="1"/>
  <c r="BF670" i="1" a="1"/>
  <c r="BF670" i="1" s="1"/>
  <c r="BF678" i="1" a="1"/>
  <c r="BF678" i="1" s="1"/>
  <c r="BF700" i="1" a="1"/>
  <c r="BF700" i="1" s="1"/>
  <c r="BF704" i="1" a="1"/>
  <c r="BF704" i="1" s="1"/>
  <c r="BF735" i="1" a="1"/>
  <c r="BF735" i="1" s="1"/>
  <c r="BF741" i="1" a="1"/>
  <c r="BF741" i="1" s="1"/>
  <c r="BF771" i="1" a="1"/>
  <c r="BF771" i="1" s="1"/>
  <c r="BF773" i="1" a="1"/>
  <c r="BF773" i="1" s="1"/>
  <c r="BF775" i="1" a="1"/>
  <c r="BF775" i="1" s="1"/>
  <c r="BF877" i="1" a="1"/>
  <c r="BF877" i="1" s="1"/>
  <c r="BF919" i="1" a="1"/>
  <c r="BF919" i="1" s="1"/>
  <c r="BF945" i="1" a="1"/>
  <c r="BF945" i="1" s="1"/>
  <c r="BF969" i="1" a="1"/>
  <c r="BF969" i="1" s="1"/>
  <c r="BF1010" i="1" a="1"/>
  <c r="BF1010" i="1" s="1"/>
  <c r="BF1100" i="1" a="1"/>
  <c r="BF1100" i="1" s="1"/>
  <c r="BF1130" i="1" a="1"/>
  <c r="BF1130" i="1" s="1"/>
  <c r="BF1137" i="1" a="1"/>
  <c r="BF1137" i="1" s="1"/>
  <c r="BF1140" i="1" a="1"/>
  <c r="BF1140" i="1" s="1"/>
  <c r="BF1217" i="1" a="1"/>
  <c r="BF1217" i="1" s="1"/>
  <c r="BF1221" i="1" a="1"/>
  <c r="BF1221" i="1" s="1"/>
  <c r="BF1226" i="1" a="1"/>
  <c r="BF1226" i="1" s="1"/>
  <c r="BF1240" i="1" a="1"/>
  <c r="BF1240" i="1" s="1"/>
  <c r="BF1222" i="1" a="1"/>
  <c r="BF1222" i="1" s="1"/>
  <c r="BF1412" i="1" a="1"/>
  <c r="BF1412" i="1" s="1"/>
  <c r="BE1412" i="1" s="1" a="1"/>
  <c r="BE1412" i="1" s="1"/>
  <c r="BF1435" i="1" a="1"/>
  <c r="BF1435" i="1" s="1"/>
  <c r="BE1435" i="1" s="1" a="1"/>
  <c r="BE1435" i="1" s="1"/>
  <c r="BF1439" i="1" a="1"/>
  <c r="BF1439" i="1" s="1"/>
  <c r="BE1439" i="1" s="1" a="1"/>
  <c r="BE1439" i="1" s="1"/>
  <c r="BF658" i="1" a="1"/>
  <c r="BF658" i="1" s="1"/>
  <c r="BF1542" i="1" a="1"/>
  <c r="BF1542" i="1" s="1"/>
  <c r="BF1558" i="1" a="1"/>
  <c r="BF1558" i="1" s="1"/>
  <c r="BF1543" i="1" a="1"/>
  <c r="BF1543" i="1" s="1"/>
  <c r="BF1550" i="1" a="1"/>
  <c r="BF1550" i="1" s="1"/>
  <c r="BF352" i="1" a="1"/>
  <c r="BF352" i="1" s="1"/>
  <c r="BF351" i="1" a="1"/>
  <c r="BF351" i="1" s="1"/>
  <c r="BF386" i="1" a="1"/>
  <c r="BF386" i="1" s="1"/>
  <c r="BF384" i="1" a="1"/>
  <c r="BF384" i="1" s="1"/>
  <c r="BF393" i="1" a="1"/>
  <c r="BF393" i="1" s="1"/>
  <c r="BF456" i="1" a="1"/>
  <c r="BF456" i="1" s="1"/>
  <c r="BF546" i="1" a="1"/>
  <c r="BF546" i="1" s="1"/>
  <c r="BF556" i="1" a="1"/>
  <c r="BF556" i="1" s="1"/>
  <c r="BF551" i="1" a="1"/>
  <c r="BF551" i="1" s="1"/>
  <c r="BE551" i="1" s="1" a="1"/>
  <c r="BE551" i="1" s="1"/>
  <c r="BF565" i="1" a="1"/>
  <c r="BF565" i="1" s="1"/>
  <c r="BE565" i="1" s="1" a="1"/>
  <c r="BE565" i="1" s="1"/>
  <c r="BF573" i="1" a="1"/>
  <c r="BF573" i="1" s="1"/>
  <c r="BE573" i="1" s="1" a="1"/>
  <c r="BE573" i="1" s="1"/>
  <c r="BF582" i="1" a="1"/>
  <c r="BF582" i="1" s="1"/>
  <c r="BE582" i="1" s="1" a="1"/>
  <c r="BE582" i="1" s="1"/>
  <c r="BF594" i="1" a="1"/>
  <c r="BF594" i="1" s="1"/>
  <c r="BE594" i="1" s="1" a="1"/>
  <c r="BE594" i="1" s="1"/>
  <c r="BF669" i="1" a="1"/>
  <c r="BF669" i="1" s="1"/>
  <c r="BF677" i="1" a="1"/>
  <c r="BF677" i="1" s="1"/>
  <c r="BF729" i="1" a="1"/>
  <c r="BF729" i="1" s="1"/>
  <c r="BF732" i="1" a="1"/>
  <c r="BF732" i="1" s="1"/>
  <c r="BF918" i="1" a="1"/>
  <c r="BF918" i="1" s="1"/>
  <c r="BF912" i="1" a="1"/>
  <c r="BF912" i="1" s="1"/>
  <c r="BF970" i="1" a="1"/>
  <c r="BF970" i="1" s="1"/>
  <c r="BF1247" i="1" a="1"/>
  <c r="BF1247" i="1" s="1"/>
  <c r="BF1261" i="1" a="1"/>
  <c r="BF1261" i="1" s="1"/>
  <c r="BF1227" i="1" a="1"/>
  <c r="BF1227" i="1" s="1"/>
  <c r="BF1238" i="1" a="1"/>
  <c r="BF1238" i="1" s="1"/>
  <c r="BF1249" i="1" a="1"/>
  <c r="BF1249" i="1" s="1"/>
  <c r="BF1233" i="1" a="1"/>
  <c r="BF1233" i="1" s="1"/>
  <c r="BF1245" i="1" a="1"/>
  <c r="BF1245" i="1" s="1"/>
  <c r="BF1256" i="1" a="1"/>
  <c r="BF1256" i="1" s="1"/>
  <c r="BF1264" i="1" a="1"/>
  <c r="BF1264" i="1" s="1"/>
  <c r="BF1266" i="1" a="1"/>
  <c r="BF1266" i="1" s="1"/>
  <c r="BF1268" i="1" a="1"/>
  <c r="BF1268" i="1" s="1"/>
  <c r="BF1270" i="1" a="1"/>
  <c r="BF1270" i="1" s="1"/>
  <c r="BF1272" i="1" a="1"/>
  <c r="BF1272" i="1" s="1"/>
  <c r="BF1274" i="1" a="1"/>
  <c r="BF1274" i="1" s="1"/>
  <c r="BF1276" i="1" a="1"/>
  <c r="BF1276" i="1" s="1"/>
  <c r="BF1278" i="1" a="1"/>
  <c r="BF1278" i="1" s="1"/>
  <c r="BF1280" i="1" a="1"/>
  <c r="BF1280" i="1" s="1"/>
  <c r="BF1282" i="1" a="1"/>
  <c r="BF1282" i="1" s="1"/>
  <c r="BF1284" i="1" a="1"/>
  <c r="BF1284" i="1" s="1"/>
  <c r="BF1286" i="1" a="1"/>
  <c r="BF1286" i="1" s="1"/>
  <c r="BF1288" i="1" a="1"/>
  <c r="BF1288" i="1" s="1"/>
  <c r="BF1290" i="1" a="1"/>
  <c r="BF1290" i="1" s="1"/>
  <c r="BF1292" i="1" a="1"/>
  <c r="BF1292" i="1" s="1"/>
  <c r="BF1294" i="1" a="1"/>
  <c r="BF1294" i="1" s="1"/>
  <c r="BF1296" i="1" a="1"/>
  <c r="BF1296" i="1" s="1"/>
  <c r="BF1298" i="1" a="1"/>
  <c r="BF1298" i="1" s="1"/>
  <c r="BF1309" i="1" a="1"/>
  <c r="BF1309" i="1" s="1"/>
  <c r="BF1302" i="1" a="1"/>
  <c r="BF1302" i="1" s="1"/>
  <c r="BF1305" i="1" a="1"/>
  <c r="BF1305" i="1" s="1"/>
  <c r="BF1318" i="1" a="1"/>
  <c r="BF1318" i="1" s="1"/>
  <c r="BE1318" i="1" s="1" a="1"/>
  <c r="BE1318" i="1" s="1"/>
  <c r="BF1349" i="1" a="1"/>
  <c r="BF1349" i="1" s="1"/>
  <c r="BF1353" i="1" a="1"/>
  <c r="BF1353" i="1" s="1"/>
  <c r="BF1511" i="1" a="1"/>
  <c r="BF1511" i="1" s="1"/>
  <c r="BF643" i="1" a="1"/>
  <c r="BF643" i="1" s="1"/>
  <c r="BF1549" i="1" a="1"/>
  <c r="BF1549" i="1" s="1"/>
  <c r="BF1557" i="1" a="1"/>
  <c r="BF1557" i="1" s="1"/>
  <c r="BE543" i="1" a="1"/>
  <c r="BE543" i="1" s="1"/>
  <c r="BV1254" i="1"/>
  <c r="BX1254" i="1" s="1"/>
  <c r="CT1254" i="1" s="1"/>
  <c r="BV1349" i="1"/>
  <c r="BX1349" i="1" s="1"/>
  <c r="BO702" i="1"/>
  <c r="BN701" i="1"/>
  <c r="CN707" i="1"/>
  <c r="CO707" i="1" s="1"/>
  <c r="BO708" i="1"/>
  <c r="CQ708" i="1" s="1"/>
  <c r="CN709" i="1"/>
  <c r="CP709" i="1" s="1"/>
  <c r="BN1100" i="1"/>
  <c r="BO1100" i="1" s="1"/>
  <c r="CQ1100" i="1" s="1"/>
  <c r="BN1353" i="1"/>
  <c r="BV1216" i="1"/>
  <c r="BX1216" i="1" s="1"/>
  <c r="CT1216" i="1" s="1"/>
  <c r="BV1248" i="1"/>
  <c r="BX1248" i="1" s="1"/>
  <c r="BY1248" i="1" s="1"/>
  <c r="BV740" i="1"/>
  <c r="BX740" i="1" s="1"/>
  <c r="CT740" i="1" s="1"/>
  <c r="BV1242" i="1"/>
  <c r="BX1242" i="1" s="1"/>
  <c r="CT1242" i="1" s="1"/>
  <c r="BN1355" i="1"/>
  <c r="BO1356" i="1"/>
  <c r="BO1350" i="1"/>
  <c r="BY1350" i="1" s="1"/>
  <c r="BN271" i="1"/>
  <c r="BO271" i="1" s="1"/>
  <c r="BY271" i="1" s="1"/>
  <c r="BV1221" i="1"/>
  <c r="BX1221" i="1" s="1"/>
  <c r="CT1221" i="1" s="1"/>
  <c r="BO1352" i="1"/>
  <c r="BY1352" i="1" s="1"/>
  <c r="CN1353" i="1"/>
  <c r="CS1353" i="1" s="1"/>
  <c r="BV1249" i="1"/>
  <c r="BX1249" i="1" s="1"/>
  <c r="CT1249" i="1" s="1"/>
  <c r="BV1250" i="1"/>
  <c r="BX1250" i="1" s="1"/>
  <c r="CT1250" i="1" s="1"/>
  <c r="BV1252" i="1"/>
  <c r="BX1252" i="1" s="1"/>
  <c r="CT1252" i="1" s="1"/>
  <c r="CR1250" i="1"/>
  <c r="CN947" i="1"/>
  <c r="CP947" i="1" s="1"/>
  <c r="CS1216" i="1"/>
  <c r="BV1262" i="1"/>
  <c r="BX1262" i="1" s="1"/>
  <c r="CT1262" i="1" s="1"/>
  <c r="CR1230" i="1"/>
  <c r="BV1353" i="1"/>
  <c r="BX1353" i="1" s="1"/>
  <c r="BV704" i="1"/>
  <c r="BX704" i="1" s="1"/>
  <c r="BY1539" i="1"/>
  <c r="CT349" i="1"/>
  <c r="BV742" i="1"/>
  <c r="BX742" i="1" s="1"/>
  <c r="CT742" i="1" s="1"/>
  <c r="CN1356" i="1"/>
  <c r="CO1356" i="1" s="1"/>
  <c r="BV638" i="1"/>
  <c r="BX638" i="1" s="1"/>
  <c r="BO705" i="1"/>
  <c r="BY705" i="1" s="1"/>
  <c r="BV709" i="1"/>
  <c r="BX709" i="1" s="1"/>
  <c r="CS742" i="1"/>
  <c r="BV1231" i="1"/>
  <c r="BX1231" i="1" s="1"/>
  <c r="BY1231" i="1" s="1"/>
  <c r="CR1257" i="1"/>
  <c r="BO1353" i="1"/>
  <c r="CN701" i="1"/>
  <c r="CR701" i="1" s="1"/>
  <c r="CN448" i="1"/>
  <c r="CO448" i="1" s="1"/>
  <c r="CN453" i="1"/>
  <c r="CP453" i="1" s="1"/>
  <c r="CN702" i="1"/>
  <c r="CR738" i="1"/>
  <c r="BN1356" i="1"/>
  <c r="BV1259" i="1"/>
  <c r="BX1259" i="1" s="1"/>
  <c r="CT1259" i="1" s="1"/>
  <c r="BV707" i="1"/>
  <c r="BX707" i="1" s="1"/>
  <c r="BN708" i="1"/>
  <c r="BU1353" i="1"/>
  <c r="CN451" i="1"/>
  <c r="CQ451" i="1" s="1"/>
  <c r="BV1356" i="1"/>
  <c r="BX1356" i="1" s="1"/>
  <c r="BN1350" i="1"/>
  <c r="BN1512" i="1"/>
  <c r="BO1512" i="1" s="1"/>
  <c r="BY1512" i="1" s="1"/>
  <c r="BN943" i="1"/>
  <c r="BO943" i="1" s="1"/>
  <c r="BY943" i="1" s="1"/>
  <c r="BN944" i="1"/>
  <c r="BO944" i="1" s="1"/>
  <c r="BY944" i="1" s="1"/>
  <c r="BN940" i="1"/>
  <c r="BO940" i="1" s="1"/>
  <c r="CQ940" i="1" s="1"/>
  <c r="BN941" i="1"/>
  <c r="BO941" i="1" s="1"/>
  <c r="BY941" i="1" s="1"/>
  <c r="BN942" i="1"/>
  <c r="BO942" i="1" s="1"/>
  <c r="BY942" i="1" s="1"/>
  <c r="BE1550" i="1" a="1"/>
  <c r="BE1550" i="1" s="1"/>
  <c r="BN457" i="1"/>
  <c r="BO457" i="1" s="1"/>
  <c r="BY457" i="1" s="1"/>
  <c r="CT357" i="1"/>
  <c r="CT387" i="1"/>
  <c r="BU1349" i="1"/>
  <c r="BY1558" i="1"/>
  <c r="CQ1255" i="1"/>
  <c r="CQ554" i="1"/>
  <c r="BY665" i="1"/>
  <c r="CP1250" i="1"/>
  <c r="CS1438" i="1"/>
  <c r="CQ559" i="1"/>
  <c r="BY737" i="1"/>
  <c r="CP1438" i="1"/>
  <c r="BY1542" i="1"/>
  <c r="CO1245" i="1"/>
  <c r="CT734" i="1"/>
  <c r="CT1406" i="1"/>
  <c r="CQ343" i="1"/>
  <c r="CT708" i="1"/>
  <c r="CQ743" i="1"/>
  <c r="BY971" i="1"/>
  <c r="CT1302" i="1"/>
  <c r="CO595" i="1"/>
  <c r="BY643" i="1"/>
  <c r="BY1540" i="1"/>
  <c r="BY1553" i="1"/>
  <c r="CO565" i="1"/>
  <c r="CT343" i="1"/>
  <c r="CP565" i="1"/>
  <c r="CP596" i="1"/>
  <c r="CQ741" i="1"/>
  <c r="CS1238" i="1"/>
  <c r="CV1238" i="1" s="1"/>
  <c r="CT1269" i="1"/>
  <c r="CU1269" i="1" s="1"/>
  <c r="CS1408" i="1"/>
  <c r="CR343" i="1"/>
  <c r="BY342" i="1"/>
  <c r="CQ388" i="1"/>
  <c r="BY569" i="1"/>
  <c r="CS575" i="1"/>
  <c r="BY913" i="1"/>
  <c r="BY1310" i="1"/>
  <c r="CS1406" i="1"/>
  <c r="CT661" i="1"/>
  <c r="CQ1260" i="1"/>
  <c r="CP1245" i="1"/>
  <c r="CT1407" i="1"/>
  <c r="CR1438" i="1"/>
  <c r="CT1440" i="1"/>
  <c r="BY1548" i="1"/>
  <c r="CQ736" i="1"/>
  <c r="CO738" i="1"/>
  <c r="CS1245" i="1"/>
  <c r="CV1245" i="1" s="1"/>
  <c r="CS1559" i="1"/>
  <c r="CT354" i="1"/>
  <c r="CQ458" i="1"/>
  <c r="CQ598" i="1"/>
  <c r="CO668" i="1"/>
  <c r="CQ734" i="1"/>
  <c r="CR909" i="1"/>
  <c r="CV909" i="1" s="1"/>
  <c r="BY1012" i="1"/>
  <c r="CS557" i="1"/>
  <c r="CV557" i="1" s="1"/>
  <c r="BY547" i="1"/>
  <c r="BE572" i="1" a="1"/>
  <c r="BE572" i="1" s="1"/>
  <c r="CR668" i="1"/>
  <c r="CV668" i="1" s="1"/>
  <c r="CO677" i="1"/>
  <c r="CQ775" i="1"/>
  <c r="BY911" i="1"/>
  <c r="BY1062" i="1"/>
  <c r="CP1255" i="1"/>
  <c r="CS394" i="1"/>
  <c r="CQ345" i="1"/>
  <c r="BE562" i="1" a="1"/>
  <c r="BE562" i="1" s="1"/>
  <c r="CQ567" i="1"/>
  <c r="CQ575" i="1"/>
  <c r="CP587" i="1"/>
  <c r="CQ596" i="1"/>
  <c r="CO597" i="1"/>
  <c r="CS677" i="1"/>
  <c r="CV677" i="1" s="1"/>
  <c r="CP741" i="1"/>
  <c r="CQ1245" i="1"/>
  <c r="CQ1302" i="1"/>
  <c r="CP1408" i="1"/>
  <c r="CT1435" i="1"/>
  <c r="CO661" i="1"/>
  <c r="BY479" i="1"/>
  <c r="CP543" i="1"/>
  <c r="CQ398" i="1"/>
  <c r="CU398" i="1" s="1"/>
  <c r="CQ1307" i="1"/>
  <c r="CQ397" i="1"/>
  <c r="CO562" i="1"/>
  <c r="CO566" i="1"/>
  <c r="BE591" i="1" a="1"/>
  <c r="BE591" i="1" s="1"/>
  <c r="CR595" i="1"/>
  <c r="CV595" i="1" s="1"/>
  <c r="CQ909" i="1"/>
  <c r="BE1556" i="1" a="1"/>
  <c r="BE1556" i="1" s="1"/>
  <c r="BY739" i="1"/>
  <c r="CP580" i="1"/>
  <c r="CP592" i="1"/>
  <c r="CT732" i="1"/>
  <c r="BY1220" i="1"/>
  <c r="CP1237" i="1"/>
  <c r="CO1256" i="1"/>
  <c r="CT1267" i="1"/>
  <c r="CU1267" i="1" s="1"/>
  <c r="CS1412" i="1"/>
  <c r="CV1412" i="1" s="1"/>
  <c r="CS1546" i="1"/>
  <c r="CV1546" i="1" s="1"/>
  <c r="CP1540" i="1"/>
  <c r="BY1554" i="1"/>
  <c r="BY1555" i="1"/>
  <c r="BY1549" i="1"/>
  <c r="CR1539" i="1"/>
  <c r="CO1557" i="1"/>
  <c r="BY1556" i="1"/>
  <c r="BY1550" i="1"/>
  <c r="BN478" i="1"/>
  <c r="BO478" i="1" s="1"/>
  <c r="CP345" i="1"/>
  <c r="BY394" i="1"/>
  <c r="CR553" i="1"/>
  <c r="CV553" i="1" s="1"/>
  <c r="BY557" i="1"/>
  <c r="CO585" i="1"/>
  <c r="BY566" i="1"/>
  <c r="BE570" i="1" a="1"/>
  <c r="BE570" i="1" s="1"/>
  <c r="BY570" i="1"/>
  <c r="BY578" i="1"/>
  <c r="CR580" i="1"/>
  <c r="CQ590" i="1"/>
  <c r="CR592" i="1"/>
  <c r="CO731" i="1"/>
  <c r="CO732" i="1"/>
  <c r="CO734" i="1"/>
  <c r="CT736" i="1"/>
  <c r="CP919" i="1"/>
  <c r="CO914" i="1"/>
  <c r="BY1300" i="1"/>
  <c r="CT944" i="1"/>
  <c r="CS1539" i="1"/>
  <c r="CP1557" i="1"/>
  <c r="CP349" i="1"/>
  <c r="CO357" i="1"/>
  <c r="CT393" i="1"/>
  <c r="CP458" i="1"/>
  <c r="CT554" i="1"/>
  <c r="BY579" i="1"/>
  <c r="CS580" i="1"/>
  <c r="CS592" i="1"/>
  <c r="CP734" i="1"/>
  <c r="BY735" i="1"/>
  <c r="BY773" i="1"/>
  <c r="CR914" i="1"/>
  <c r="CV914" i="1" s="1"/>
  <c r="CQ1246" i="1"/>
  <c r="CO1433" i="1"/>
  <c r="CO1545" i="1"/>
  <c r="CQ1561" i="1"/>
  <c r="CO1549" i="1"/>
  <c r="CO349" i="1"/>
  <c r="CQ584" i="1"/>
  <c r="CQ579" i="1"/>
  <c r="CO736" i="1"/>
  <c r="CR741" i="1"/>
  <c r="BY970" i="1"/>
  <c r="CT1276" i="1"/>
  <c r="CU1276" i="1" s="1"/>
  <c r="CO1311" i="1"/>
  <c r="CP1318" i="1"/>
  <c r="CO1407" i="1"/>
  <c r="CO1410" i="1"/>
  <c r="CR1433" i="1"/>
  <c r="CO1440" i="1"/>
  <c r="CQ1545" i="1"/>
  <c r="CP1549" i="1"/>
  <c r="CO345" i="1"/>
  <c r="CS343" i="1"/>
  <c r="CR543" i="1"/>
  <c r="CV543" i="1" s="1"/>
  <c r="CP554" i="1"/>
  <c r="CQ560" i="1"/>
  <c r="CR566" i="1"/>
  <c r="CV566" i="1" s="1"/>
  <c r="CQ568" i="1"/>
  <c r="CO579" i="1"/>
  <c r="CQ580" i="1"/>
  <c r="CQ592" i="1"/>
  <c r="CR596" i="1"/>
  <c r="CR597" i="1"/>
  <c r="CV597" i="1" s="1"/>
  <c r="CS667" i="1"/>
  <c r="CV667" i="1" s="1"/>
  <c r="CP736" i="1"/>
  <c r="CS741" i="1"/>
  <c r="BY877" i="1"/>
  <c r="CO998" i="1"/>
  <c r="CR1229" i="1"/>
  <c r="CR1256" i="1"/>
  <c r="CR1318" i="1"/>
  <c r="CV1318" i="1" s="1"/>
  <c r="CP1411" i="1"/>
  <c r="CS1433" i="1"/>
  <c r="CS1441" i="1"/>
  <c r="CR1545" i="1"/>
  <c r="CP1560" i="1"/>
  <c r="CP357" i="1"/>
  <c r="CS357" i="1"/>
  <c r="CV357" i="1" s="1"/>
  <c r="BY472" i="1"/>
  <c r="CR554" i="1"/>
  <c r="CQ573" i="1"/>
  <c r="CP575" i="1"/>
  <c r="CR579" i="1"/>
  <c r="CS596" i="1"/>
  <c r="CQ674" i="1"/>
  <c r="CO743" i="1"/>
  <c r="CQ999" i="1"/>
  <c r="CS1256" i="1"/>
  <c r="CT1264" i="1"/>
  <c r="CU1264" i="1" s="1"/>
  <c r="CR1274" i="1"/>
  <c r="CV1274" i="1" s="1"/>
  <c r="CT1408" i="1"/>
  <c r="CR1411" i="1"/>
  <c r="CO1435" i="1"/>
  <c r="CQ1436" i="1"/>
  <c r="CP1552" i="1"/>
  <c r="BY1565" i="1"/>
  <c r="BY1551" i="1"/>
  <c r="CS349" i="1"/>
  <c r="CV349" i="1" s="1"/>
  <c r="CR348" i="1"/>
  <c r="CT351" i="1"/>
  <c r="CS393" i="1"/>
  <c r="CS351" i="1"/>
  <c r="CV351" i="1" s="1"/>
  <c r="CQ357" i="1"/>
  <c r="CR388" i="1"/>
  <c r="CT392" i="1"/>
  <c r="CS554" i="1"/>
  <c r="CR575" i="1"/>
  <c r="CS579" i="1"/>
  <c r="BY679" i="1"/>
  <c r="CR1258" i="1"/>
  <c r="CQ1228" i="1"/>
  <c r="CT1263" i="1"/>
  <c r="CU1263" i="1" s="1"/>
  <c r="CS1411" i="1"/>
  <c r="CT658" i="1"/>
  <c r="CS1552" i="1"/>
  <c r="BE1551" i="1" a="1"/>
  <c r="BE1551" i="1" s="1"/>
  <c r="BY1557" i="1"/>
  <c r="CR1559" i="1"/>
  <c r="BY594" i="1"/>
  <c r="CT594" i="1"/>
  <c r="CP344" i="1"/>
  <c r="CT346" i="1"/>
  <c r="BY347" i="1"/>
  <c r="CQ356" i="1"/>
  <c r="CT386" i="1"/>
  <c r="CQ384" i="1"/>
  <c r="CQ392" i="1"/>
  <c r="CP395" i="1"/>
  <c r="CO544" i="1"/>
  <c r="CT556" i="1"/>
  <c r="CP576" i="1"/>
  <c r="BY585" i="1"/>
  <c r="BY558" i="1"/>
  <c r="BY562" i="1"/>
  <c r="CO573" i="1"/>
  <c r="CQ582" i="1"/>
  <c r="CO590" i="1"/>
  <c r="BE593" i="1" a="1"/>
  <c r="BE593" i="1" s="1"/>
  <c r="CQ666" i="1"/>
  <c r="CT671" i="1"/>
  <c r="CQ672" i="1"/>
  <c r="CP677" i="1"/>
  <c r="CP732" i="1"/>
  <c r="CQ735" i="1"/>
  <c r="BY743" i="1"/>
  <c r="CO920" i="1"/>
  <c r="CT970" i="1"/>
  <c r="CS970" i="1"/>
  <c r="CV970" i="1" s="1"/>
  <c r="CQ1138" i="1"/>
  <c r="CS1261" i="1"/>
  <c r="CR1261" i="1"/>
  <c r="CT1545" i="1"/>
  <c r="BY1545" i="1"/>
  <c r="CR384" i="1"/>
  <c r="CR395" i="1"/>
  <c r="CP544" i="1"/>
  <c r="CR576" i="1"/>
  <c r="CP573" i="1"/>
  <c r="BY574" i="1"/>
  <c r="BY581" i="1"/>
  <c r="CP920" i="1"/>
  <c r="BY921" i="1"/>
  <c r="CO1139" i="1"/>
  <c r="CT1139" i="1"/>
  <c r="CQ1139" i="1"/>
  <c r="CS384" i="1"/>
  <c r="CR544" i="1"/>
  <c r="CV544" i="1" s="1"/>
  <c r="BY599" i="1"/>
  <c r="BY774" i="1"/>
  <c r="CP1140" i="1"/>
  <c r="CS1140" i="1"/>
  <c r="CS395" i="1"/>
  <c r="CO392" i="1"/>
  <c r="CR449" i="1"/>
  <c r="CV449" i="1" s="1"/>
  <c r="CN475" i="1"/>
  <c r="CS475" i="1" s="1"/>
  <c r="CQ546" i="1"/>
  <c r="CR585" i="1"/>
  <c r="CV585" i="1" s="1"/>
  <c r="CR587" i="1"/>
  <c r="CP598" i="1"/>
  <c r="CP743" i="1"/>
  <c r="CO917" i="1"/>
  <c r="CR919" i="1"/>
  <c r="CP999" i="1"/>
  <c r="CT642" i="1"/>
  <c r="CR344" i="1"/>
  <c r="CQ386" i="1"/>
  <c r="CR386" i="1"/>
  <c r="CT385" i="1"/>
  <c r="CR398" i="1"/>
  <c r="CR389" i="1"/>
  <c r="CR458" i="1"/>
  <c r="BN476" i="1"/>
  <c r="BO476" i="1" s="1"/>
  <c r="CO583" i="1"/>
  <c r="CQ344" i="1"/>
  <c r="CT353" i="1"/>
  <c r="BY345" i="1"/>
  <c r="CS386" i="1"/>
  <c r="CP392" i="1"/>
  <c r="CS389" i="1"/>
  <c r="CS458" i="1"/>
  <c r="BU479" i="1"/>
  <c r="CQ544" i="1"/>
  <c r="CO557" i="1"/>
  <c r="CQ576" i="1"/>
  <c r="CQ551" i="1"/>
  <c r="CQ569" i="1"/>
  <c r="CO582" i="1"/>
  <c r="CS587" i="1"/>
  <c r="CR598" i="1"/>
  <c r="CT667" i="1"/>
  <c r="CR672" i="1"/>
  <c r="CV672" i="1" s="1"/>
  <c r="CQ732" i="1"/>
  <c r="CO735" i="1"/>
  <c r="CR743" i="1"/>
  <c r="CV743" i="1" s="1"/>
  <c r="CS969" i="1"/>
  <c r="CV969" i="1" s="1"/>
  <c r="CS346" i="1"/>
  <c r="CR392" i="1"/>
  <c r="CV392" i="1" s="1"/>
  <c r="CN476" i="1"/>
  <c r="CS476" i="1" s="1"/>
  <c r="CT546" i="1"/>
  <c r="CQ565" i="1"/>
  <c r="CP582" i="1"/>
  <c r="CS598" i="1"/>
  <c r="BY668" i="1"/>
  <c r="BY671" i="1"/>
  <c r="CT677" i="1"/>
  <c r="CT384" i="1"/>
  <c r="CT395" i="1"/>
  <c r="CT544" i="1"/>
  <c r="CT576" i="1"/>
  <c r="CT584" i="1"/>
  <c r="CT573" i="1"/>
  <c r="CQ587" i="1"/>
  <c r="CT670" i="1"/>
  <c r="CO909" i="1"/>
  <c r="CP909" i="1"/>
  <c r="BE1560" i="1" a="1"/>
  <c r="BE1560" i="1" s="1"/>
  <c r="BY1560" i="1"/>
  <c r="BY1219" i="1"/>
  <c r="CO1306" i="1"/>
  <c r="CR1405" i="1"/>
  <c r="CV1405" i="1" s="1"/>
  <c r="CT1409" i="1"/>
  <c r="BY1412" i="1"/>
  <c r="CT1439" i="1"/>
  <c r="CT643" i="1"/>
  <c r="CQ660" i="1"/>
  <c r="CT941" i="1"/>
  <c r="CP1542" i="1"/>
  <c r="CO1554" i="1"/>
  <c r="CO1565" i="1"/>
  <c r="BE1557" i="1" a="1"/>
  <c r="BE1557" i="1" s="1"/>
  <c r="CQ1556" i="1"/>
  <c r="BY1239" i="1"/>
  <c r="CR1246" i="1"/>
  <c r="CR1271" i="1"/>
  <c r="CV1271" i="1" s="1"/>
  <c r="CR1306" i="1"/>
  <c r="CV1306" i="1" s="1"/>
  <c r="CP659" i="1"/>
  <c r="CR1542" i="1"/>
  <c r="CR1561" i="1"/>
  <c r="CP1554" i="1"/>
  <c r="CP1548" i="1"/>
  <c r="CP1565" i="1"/>
  <c r="CT914" i="1"/>
  <c r="BY1011" i="1"/>
  <c r="CQ1218" i="1"/>
  <c r="BY1224" i="1"/>
  <c r="CO1242" i="1"/>
  <c r="BY1253" i="1"/>
  <c r="CS1219" i="1"/>
  <c r="CV1219" i="1" s="1"/>
  <c r="BY1232" i="1"/>
  <c r="CQ1256" i="1"/>
  <c r="BY1269" i="1"/>
  <c r="CO1309" i="1"/>
  <c r="CO1302" i="1"/>
  <c r="CQ1305" i="1"/>
  <c r="BY1304" i="1"/>
  <c r="CQ1300" i="1"/>
  <c r="CQ1318" i="1"/>
  <c r="CP1403" i="1"/>
  <c r="BY1404" i="1"/>
  <c r="CR1407" i="1"/>
  <c r="CV1407" i="1" s="1"/>
  <c r="CO1409" i="1"/>
  <c r="CP1435" i="1"/>
  <c r="BY1436" i="1"/>
  <c r="CO1439" i="1"/>
  <c r="CP642" i="1"/>
  <c r="CR659" i="1"/>
  <c r="CT942" i="1"/>
  <c r="CS1545" i="1"/>
  <c r="CS1542" i="1"/>
  <c r="CR1548" i="1"/>
  <c r="CT1565" i="1"/>
  <c r="BY1562" i="1"/>
  <c r="CR1560" i="1"/>
  <c r="BE1559" i="1" a="1"/>
  <c r="BE1559" i="1" s="1"/>
  <c r="CS1229" i="1"/>
  <c r="CT1239" i="1"/>
  <c r="CT1297" i="1"/>
  <c r="CU1297" i="1" s="1"/>
  <c r="CS1309" i="1"/>
  <c r="BY1299" i="1"/>
  <c r="CR1302" i="1"/>
  <c r="CV1302" i="1" s="1"/>
  <c r="CS1403" i="1"/>
  <c r="CS1409" i="1"/>
  <c r="CV1409" i="1" s="1"/>
  <c r="CT1410" i="1"/>
  <c r="CT1433" i="1"/>
  <c r="CR1435" i="1"/>
  <c r="CV1435" i="1" s="1"/>
  <c r="BY1437" i="1"/>
  <c r="CS1439" i="1"/>
  <c r="CR642" i="1"/>
  <c r="CS659" i="1"/>
  <c r="CT1542" i="1"/>
  <c r="BY1552" i="1"/>
  <c r="CS1548" i="1"/>
  <c r="BY1543" i="1"/>
  <c r="CS1560" i="1"/>
  <c r="CP1559" i="1"/>
  <c r="CS1297" i="1"/>
  <c r="CT1309" i="1"/>
  <c r="BY1411" i="1"/>
  <c r="CT1438" i="1"/>
  <c r="CT1441" i="1"/>
  <c r="BY1546" i="1"/>
  <c r="CO1540" i="1"/>
  <c r="CP1218" i="1"/>
  <c r="CO1240" i="1"/>
  <c r="CR1259" i="1"/>
  <c r="CQ1403" i="1"/>
  <c r="CQ642" i="1"/>
  <c r="BY1561" i="1"/>
  <c r="BE1565" i="1" a="1"/>
  <c r="BE1565" i="1" s="1"/>
  <c r="CT1218" i="1"/>
  <c r="CR1225" i="1"/>
  <c r="CQ1258" i="1"/>
  <c r="CO1229" i="1"/>
  <c r="CT1244" i="1"/>
  <c r="CT1271" i="1"/>
  <c r="CU1271" i="1" s="1"/>
  <c r="CT1274" i="1"/>
  <c r="CU1274" i="1" s="1"/>
  <c r="CT1275" i="1"/>
  <c r="CU1275" i="1" s="1"/>
  <c r="CO1318" i="1"/>
  <c r="CQ1410" i="1"/>
  <c r="CQ1433" i="1"/>
  <c r="BY1434" i="1"/>
  <c r="CO1441" i="1"/>
  <c r="CP661" i="1"/>
  <c r="CT940" i="1"/>
  <c r="CO1546" i="1"/>
  <c r="CR1552" i="1"/>
  <c r="CT1549" i="1"/>
  <c r="BY1538" i="1"/>
  <c r="CP1539" i="1"/>
  <c r="BY659" i="1"/>
  <c r="CT659" i="1"/>
  <c r="CO643" i="1"/>
  <c r="CR660" i="1"/>
  <c r="CT1553" i="1"/>
  <c r="CS1553" i="1"/>
  <c r="CR1553" i="1"/>
  <c r="CQ1553" i="1"/>
  <c r="CP1553" i="1"/>
  <c r="CO1553" i="1"/>
  <c r="CT1543" i="1"/>
  <c r="CS1543" i="1"/>
  <c r="CR1543" i="1"/>
  <c r="CQ1543" i="1"/>
  <c r="CP1543" i="1"/>
  <c r="CO1543" i="1"/>
  <c r="CT1550" i="1"/>
  <c r="CS1550" i="1"/>
  <c r="CR1550" i="1"/>
  <c r="CQ1550" i="1"/>
  <c r="CP1550" i="1"/>
  <c r="CO1550" i="1"/>
  <c r="CP643" i="1"/>
  <c r="CQ1562" i="1"/>
  <c r="BY1559" i="1"/>
  <c r="CT1559" i="1"/>
  <c r="CR271" i="1"/>
  <c r="BY658" i="1"/>
  <c r="BY1541" i="1"/>
  <c r="CT1558" i="1"/>
  <c r="CS1558" i="1"/>
  <c r="CR1558" i="1"/>
  <c r="CQ1558" i="1"/>
  <c r="CP1558" i="1"/>
  <c r="CO1558" i="1"/>
  <c r="CT1554" i="1"/>
  <c r="CS271" i="1"/>
  <c r="BY642" i="1"/>
  <c r="CQ658" i="1"/>
  <c r="CP658" i="1"/>
  <c r="CO658" i="1"/>
  <c r="CS658" i="1"/>
  <c r="CT1541" i="1"/>
  <c r="CS1541" i="1"/>
  <c r="CQ1541" i="1"/>
  <c r="CP1541" i="1"/>
  <c r="CO1541" i="1"/>
  <c r="CQ1538" i="1"/>
  <c r="CT1551" i="1"/>
  <c r="CS1551" i="1"/>
  <c r="CR1551" i="1"/>
  <c r="CQ1551" i="1"/>
  <c r="CP1551" i="1"/>
  <c r="CO1551" i="1"/>
  <c r="CT1557" i="1"/>
  <c r="CT660" i="1"/>
  <c r="CS660" i="1"/>
  <c r="CP660" i="1"/>
  <c r="CO660" i="1"/>
  <c r="CT271" i="1"/>
  <c r="CS642" i="1"/>
  <c r="CO642" i="1"/>
  <c r="CR658" i="1"/>
  <c r="BY661" i="1"/>
  <c r="CT943" i="1"/>
  <c r="CS943" i="1"/>
  <c r="CR943" i="1"/>
  <c r="CR1541" i="1"/>
  <c r="CT1540" i="1"/>
  <c r="CS643" i="1"/>
  <c r="CR643" i="1"/>
  <c r="CQ643" i="1"/>
  <c r="BY660" i="1"/>
  <c r="CQ1555" i="1"/>
  <c r="BE1562" i="1" a="1"/>
  <c r="BE1562" i="1" s="1"/>
  <c r="CQ659" i="1"/>
  <c r="CT1546" i="1"/>
  <c r="CQ1542" i="1"/>
  <c r="CS1561" i="1"/>
  <c r="CQ1552" i="1"/>
  <c r="CS1555" i="1"/>
  <c r="CV1555" i="1" s="1"/>
  <c r="CQ1548" i="1"/>
  <c r="CS1538" i="1"/>
  <c r="CV1538" i="1" s="1"/>
  <c r="CQ1539" i="1"/>
  <c r="CS1562" i="1"/>
  <c r="CV1562" i="1" s="1"/>
  <c r="CQ1560" i="1"/>
  <c r="CS1556" i="1"/>
  <c r="CV1556" i="1" s="1"/>
  <c r="CQ1559" i="1"/>
  <c r="CT1561" i="1"/>
  <c r="CT1555" i="1"/>
  <c r="CT1538" i="1"/>
  <c r="CT1562" i="1"/>
  <c r="CT1556" i="1"/>
  <c r="CT1552" i="1"/>
  <c r="CT1548" i="1"/>
  <c r="CT1539" i="1"/>
  <c r="CT1560" i="1"/>
  <c r="CQ661" i="1"/>
  <c r="BK939" i="1"/>
  <c r="CN939" i="1" s="1"/>
  <c r="CR944" i="1"/>
  <c r="CR940" i="1"/>
  <c r="CR941" i="1"/>
  <c r="CR942" i="1"/>
  <c r="CP1546" i="1"/>
  <c r="CQ1540" i="1"/>
  <c r="CO1561" i="1"/>
  <c r="CQ1554" i="1"/>
  <c r="CO1555" i="1"/>
  <c r="CQ1549" i="1"/>
  <c r="CO1538" i="1"/>
  <c r="CQ1565" i="1"/>
  <c r="CO1562" i="1"/>
  <c r="CQ1557" i="1"/>
  <c r="CO1556" i="1"/>
  <c r="CR661" i="1"/>
  <c r="CV661" i="1" s="1"/>
  <c r="CS944" i="1"/>
  <c r="CV944" i="1" s="1"/>
  <c r="CS940" i="1"/>
  <c r="CS941" i="1"/>
  <c r="CS942" i="1"/>
  <c r="CQ1546" i="1"/>
  <c r="CR1540" i="1"/>
  <c r="CV1540" i="1" s="1"/>
  <c r="CP1561" i="1"/>
  <c r="CR1554" i="1"/>
  <c r="CV1554" i="1" s="1"/>
  <c r="CP1555" i="1"/>
  <c r="CR1549" i="1"/>
  <c r="CV1549" i="1" s="1"/>
  <c r="CP1538" i="1"/>
  <c r="CR1565" i="1"/>
  <c r="CV1565" i="1" s="1"/>
  <c r="CP1562" i="1"/>
  <c r="CR1557" i="1"/>
  <c r="CV1557" i="1" s="1"/>
  <c r="CP1556" i="1"/>
  <c r="BY561" i="1"/>
  <c r="CT561" i="1"/>
  <c r="BY565" i="1"/>
  <c r="CT565" i="1"/>
  <c r="BY348" i="1"/>
  <c r="BY471" i="1"/>
  <c r="CS552" i="1"/>
  <c r="CO552" i="1"/>
  <c r="CS556" i="1"/>
  <c r="CO556" i="1"/>
  <c r="BY551" i="1"/>
  <c r="CR586" i="1"/>
  <c r="CO586" i="1"/>
  <c r="BY741" i="1"/>
  <c r="CT741" i="1"/>
  <c r="CO1220" i="1"/>
  <c r="CT1220" i="1"/>
  <c r="CS1220" i="1"/>
  <c r="CR1220" i="1"/>
  <c r="BY388" i="1"/>
  <c r="CP383" i="1"/>
  <c r="CP552" i="1"/>
  <c r="CP556" i="1"/>
  <c r="BY584" i="1"/>
  <c r="CS551" i="1"/>
  <c r="CP551" i="1"/>
  <c r="CQ563" i="1"/>
  <c r="CQ570" i="1"/>
  <c r="CR570" i="1"/>
  <c r="CS578" i="1"/>
  <c r="CP578" i="1"/>
  <c r="CS586" i="1"/>
  <c r="CO670" i="1"/>
  <c r="CS670" i="1"/>
  <c r="CQ670" i="1"/>
  <c r="CP670" i="1"/>
  <c r="CP678" i="1"/>
  <c r="CT678" i="1"/>
  <c r="CP740" i="1"/>
  <c r="BY776" i="1"/>
  <c r="BY1009" i="1"/>
  <c r="CO356" i="1"/>
  <c r="CP397" i="1"/>
  <c r="CP356" i="1"/>
  <c r="CQ387" i="1"/>
  <c r="CR383" i="1"/>
  <c r="CQ385" i="1"/>
  <c r="CO391" i="1"/>
  <c r="CP396" i="1"/>
  <c r="CR397" i="1"/>
  <c r="CQ394" i="1"/>
  <c r="BY390" i="1"/>
  <c r="CO450" i="1"/>
  <c r="CS584" i="1"/>
  <c r="CP584" i="1"/>
  <c r="CO551" i="1"/>
  <c r="CS561" i="1"/>
  <c r="CO561" i="1"/>
  <c r="CO570" i="1"/>
  <c r="CQ574" i="1"/>
  <c r="CR574" i="1"/>
  <c r="CO578" i="1"/>
  <c r="BY582" i="1"/>
  <c r="CS599" i="1"/>
  <c r="CP599" i="1"/>
  <c r="CO599" i="1"/>
  <c r="CQ669" i="1"/>
  <c r="CR670" i="1"/>
  <c r="CR673" i="1"/>
  <c r="CS673" i="1"/>
  <c r="CO673" i="1"/>
  <c r="BY945" i="1"/>
  <c r="CP1132" i="1"/>
  <c r="CS1132" i="1"/>
  <c r="CR1132" i="1"/>
  <c r="CQ1132" i="1"/>
  <c r="BY351" i="1"/>
  <c r="CR342" i="1"/>
  <c r="CV342" i="1" s="1"/>
  <c r="BY349" i="1"/>
  <c r="CO351" i="1"/>
  <c r="BY355" i="1"/>
  <c r="CR356" i="1"/>
  <c r="CV356" i="1" s="1"/>
  <c r="CP388" i="1"/>
  <c r="CS383" i="1"/>
  <c r="CP391" i="1"/>
  <c r="CQ395" i="1"/>
  <c r="CR396" i="1"/>
  <c r="CQ393" i="1"/>
  <c r="CS397" i="1"/>
  <c r="CT394" i="1"/>
  <c r="CP398" i="1"/>
  <c r="BV478" i="1"/>
  <c r="BX478" i="1" s="1"/>
  <c r="CN480" i="1"/>
  <c r="CS480" i="1" s="1"/>
  <c r="CO543" i="1"/>
  <c r="BY549" i="1"/>
  <c r="CO553" i="1"/>
  <c r="CQ583" i="1"/>
  <c r="CO584" i="1"/>
  <c r="CT551" i="1"/>
  <c r="CO559" i="1"/>
  <c r="CR559" i="1"/>
  <c r="CP561" i="1"/>
  <c r="CQ564" i="1"/>
  <c r="CO567" i="1"/>
  <c r="CS567" i="1"/>
  <c r="CV567" i="1" s="1"/>
  <c r="CS570" i="1"/>
  <c r="CO574" i="1"/>
  <c r="CT599" i="1"/>
  <c r="CS666" i="1"/>
  <c r="CT666" i="1"/>
  <c r="CP666" i="1"/>
  <c r="CO666" i="1"/>
  <c r="CT673" i="1"/>
  <c r="CT771" i="1"/>
  <c r="CS771" i="1"/>
  <c r="CR771" i="1"/>
  <c r="CP771" i="1"/>
  <c r="CR391" i="1"/>
  <c r="CV391" i="1" s="1"/>
  <c r="CQ552" i="1"/>
  <c r="CQ556" i="1"/>
  <c r="CO588" i="1"/>
  <c r="CR588" i="1"/>
  <c r="CP567" i="1"/>
  <c r="CO571" i="1"/>
  <c r="CR571" i="1"/>
  <c r="CS574" i="1"/>
  <c r="CQ578" i="1"/>
  <c r="CS594" i="1"/>
  <c r="CP594" i="1"/>
  <c r="CO594" i="1"/>
  <c r="CO771" i="1"/>
  <c r="CO915" i="1"/>
  <c r="CS915" i="1"/>
  <c r="CR915" i="1"/>
  <c r="CQ915" i="1"/>
  <c r="CQ910" i="1"/>
  <c r="CT1133" i="1"/>
  <c r="CT383" i="1"/>
  <c r="BY341" i="1"/>
  <c r="CP385" i="1"/>
  <c r="BY395" i="1"/>
  <c r="CT396" i="1"/>
  <c r="BY389" i="1"/>
  <c r="BM475" i="1"/>
  <c r="CO545" i="1"/>
  <c r="CO548" i="1"/>
  <c r="CR548" i="1"/>
  <c r="CV548" i="1" s="1"/>
  <c r="CP588" i="1"/>
  <c r="CP563" i="1"/>
  <c r="CS569" i="1"/>
  <c r="CO569" i="1"/>
  <c r="CP669" i="1"/>
  <c r="CR669" i="1"/>
  <c r="CQ671" i="1"/>
  <c r="CT687" i="1"/>
  <c r="CS687" i="1"/>
  <c r="CR687" i="1"/>
  <c r="CT342" i="1"/>
  <c r="CS396" i="1"/>
  <c r="CP352" i="1"/>
  <c r="BY386" i="1"/>
  <c r="CP387" i="1"/>
  <c r="BY384" i="1"/>
  <c r="CQ349" i="1"/>
  <c r="CQ353" i="1"/>
  <c r="CR387" i="1"/>
  <c r="CS388" i="1"/>
  <c r="CQ383" i="1"/>
  <c r="CR385" i="1"/>
  <c r="BY392" i="1"/>
  <c r="CP393" i="1"/>
  <c r="CP394" i="1"/>
  <c r="CS398" i="1"/>
  <c r="BY448" i="1"/>
  <c r="BY458" i="1"/>
  <c r="CN477" i="1"/>
  <c r="CP477" i="1" s="1"/>
  <c r="BU472" i="1"/>
  <c r="BU476" i="1"/>
  <c r="BM479" i="1"/>
  <c r="CP548" i="1"/>
  <c r="CS588" i="1"/>
  <c r="BE550" i="1" a="1"/>
  <c r="BE550" i="1" s="1"/>
  <c r="CO558" i="1"/>
  <c r="CS559" i="1"/>
  <c r="CQ561" i="1"/>
  <c r="CR563" i="1"/>
  <c r="CP569" i="1"/>
  <c r="CS571" i="1"/>
  <c r="CT582" i="1"/>
  <c r="CQ599" i="1"/>
  <c r="CO742" i="1"/>
  <c r="CT918" i="1"/>
  <c r="CR918" i="1"/>
  <c r="CT397" i="1"/>
  <c r="CS344" i="1"/>
  <c r="CT344" i="1"/>
  <c r="CP386" i="1"/>
  <c r="CS387" i="1"/>
  <c r="CT388" i="1"/>
  <c r="CP384" i="1"/>
  <c r="CS385" i="1"/>
  <c r="CQ391" i="1"/>
  <c r="CQ396" i="1"/>
  <c r="CR393" i="1"/>
  <c r="CR394" i="1"/>
  <c r="BY473" i="1"/>
  <c r="BV476" i="1"/>
  <c r="BX476" i="1" s="1"/>
  <c r="CQ543" i="1"/>
  <c r="CQ548" i="1"/>
  <c r="CT552" i="1"/>
  <c r="BY553" i="1"/>
  <c r="CS558" i="1"/>
  <c r="CV558" i="1" s="1"/>
  <c r="CQ562" i="1"/>
  <c r="CR562" i="1"/>
  <c r="CV562" i="1" s="1"/>
  <c r="CS563" i="1"/>
  <c r="BE564" i="1" a="1"/>
  <c r="BE564" i="1" s="1"/>
  <c r="CT569" i="1"/>
  <c r="CR591" i="1"/>
  <c r="CV591" i="1" s="1"/>
  <c r="CO591" i="1"/>
  <c r="CQ594" i="1"/>
  <c r="BY733" i="1"/>
  <c r="CO918" i="1"/>
  <c r="CT588" i="1"/>
  <c r="CQ566" i="1"/>
  <c r="BE568" i="1" a="1"/>
  <c r="BE568" i="1" s="1"/>
  <c r="BY577" i="1"/>
  <c r="BE587" i="1" a="1"/>
  <c r="BE587" i="1" s="1"/>
  <c r="CR671" i="1"/>
  <c r="CT735" i="1"/>
  <c r="CS919" i="1"/>
  <c r="CS998" i="1"/>
  <c r="CR998" i="1"/>
  <c r="CO1215" i="1"/>
  <c r="CT1215" i="1"/>
  <c r="CR1215" i="1"/>
  <c r="CQ1215" i="1"/>
  <c r="BY593" i="1"/>
  <c r="BY600" i="1"/>
  <c r="BY666" i="1"/>
  <c r="BY669" i="1"/>
  <c r="CS671" i="1"/>
  <c r="BE700" i="1" a="1"/>
  <c r="BE700" i="1" s="1"/>
  <c r="CT737" i="1"/>
  <c r="CT772" i="1"/>
  <c r="CQ919" i="1"/>
  <c r="CO1236" i="1"/>
  <c r="CS1236" i="1"/>
  <c r="CR1236" i="1"/>
  <c r="CQ1236" i="1"/>
  <c r="CP1236" i="1"/>
  <c r="CQ1250" i="1"/>
  <c r="CQ740" i="1"/>
  <c r="CQ921" i="1"/>
  <c r="CR1217" i="1"/>
  <c r="CQ1217" i="1"/>
  <c r="CS576" i="1"/>
  <c r="CQ585" i="1"/>
  <c r="CQ571" i="1"/>
  <c r="BY572" i="1"/>
  <c r="CP590" i="1"/>
  <c r="CP737" i="1"/>
  <c r="CR740" i="1"/>
  <c r="CP772" i="1"/>
  <c r="CT913" i="1"/>
  <c r="BY920" i="1"/>
  <c r="CO910" i="1"/>
  <c r="CT998" i="1"/>
  <c r="CP1100" i="1"/>
  <c r="CT578" i="1"/>
  <c r="BE581" i="1" a="1"/>
  <c r="BE581" i="1" s="1"/>
  <c r="BY589" i="1"/>
  <c r="BY595" i="1"/>
  <c r="BY670" i="1"/>
  <c r="BY673" i="1"/>
  <c r="CQ737" i="1"/>
  <c r="CS740" i="1"/>
  <c r="CQ771" i="1"/>
  <c r="CR772" i="1"/>
  <c r="CT919" i="1"/>
  <c r="CP910" i="1"/>
  <c r="BY968" i="1"/>
  <c r="CP997" i="1"/>
  <c r="CT997" i="1"/>
  <c r="CS997" i="1"/>
  <c r="CV997" i="1" s="1"/>
  <c r="CR1100" i="1"/>
  <c r="CT1141" i="1"/>
  <c r="CS1141" i="1"/>
  <c r="CR1141" i="1"/>
  <c r="CQ595" i="1"/>
  <c r="CS772" i="1"/>
  <c r="BY775" i="1"/>
  <c r="BY915" i="1"/>
  <c r="CS1100" i="1"/>
  <c r="CP1131" i="1"/>
  <c r="CR1131" i="1"/>
  <c r="CV1131" i="1" s="1"/>
  <c r="CQ1131" i="1"/>
  <c r="CP1138" i="1"/>
  <c r="CO1138" i="1"/>
  <c r="CS1138" i="1"/>
  <c r="CV1138" i="1" s="1"/>
  <c r="CR1276" i="1"/>
  <c r="CS1240" i="1"/>
  <c r="CV1240" i="1" s="1"/>
  <c r="CS1260" i="1"/>
  <c r="CP1233" i="1"/>
  <c r="CO1248" i="1"/>
  <c r="CP1257" i="1"/>
  <c r="CT1265" i="1"/>
  <c r="CU1265" i="1" s="1"/>
  <c r="CT1268" i="1"/>
  <c r="CU1268" i="1" s="1"/>
  <c r="CS1276" i="1"/>
  <c r="CO1308" i="1"/>
  <c r="CP1317" i="1"/>
  <c r="CQ1406" i="1"/>
  <c r="CR1408" i="1"/>
  <c r="BY1409" i="1"/>
  <c r="CO1413" i="1"/>
  <c r="CT1434" i="1"/>
  <c r="CS1436" i="1"/>
  <c r="CV1436" i="1" s="1"/>
  <c r="CT1437" i="1"/>
  <c r="CQ1140" i="1"/>
  <c r="CR1226" i="1"/>
  <c r="CT1240" i="1"/>
  <c r="CQ1231" i="1"/>
  <c r="CQ1233" i="1"/>
  <c r="CP1248" i="1"/>
  <c r="CQ1257" i="1"/>
  <c r="CR1263" i="1"/>
  <c r="CV1263" i="1" s="1"/>
  <c r="BY1309" i="1"/>
  <c r="BY1303" i="1"/>
  <c r="CR1308" i="1"/>
  <c r="CQ1317" i="1"/>
  <c r="BY1408" i="1"/>
  <c r="CP1413" i="1"/>
  <c r="CP1139" i="1"/>
  <c r="CR1140" i="1"/>
  <c r="CS1226" i="1"/>
  <c r="CS1247" i="1"/>
  <c r="CP1260" i="1"/>
  <c r="CQ1249" i="1"/>
  <c r="CO1231" i="1"/>
  <c r="CS1268" i="1"/>
  <c r="CV1268" i="1" s="1"/>
  <c r="CR1275" i="1"/>
  <c r="CV1275" i="1" s="1"/>
  <c r="CT1277" i="1"/>
  <c r="CU1277" i="1" s="1"/>
  <c r="CT1287" i="1"/>
  <c r="CU1287" i="1" s="1"/>
  <c r="CT1288" i="1"/>
  <c r="CU1288" i="1" s="1"/>
  <c r="CP1302" i="1"/>
  <c r="CS1308" i="1"/>
  <c r="CP1306" i="1"/>
  <c r="CO1300" i="1"/>
  <c r="CS1317" i="1"/>
  <c r="CP1410" i="1"/>
  <c r="CT1412" i="1"/>
  <c r="CR1413" i="1"/>
  <c r="CV1413" i="1" s="1"/>
  <c r="BY1433" i="1"/>
  <c r="CO1434" i="1"/>
  <c r="CT1436" i="1"/>
  <c r="CO1437" i="1"/>
  <c r="BY1439" i="1"/>
  <c r="CQ1440" i="1"/>
  <c r="BY1441" i="1"/>
  <c r="CR1300" i="1"/>
  <c r="BY1355" i="1"/>
  <c r="BY1354" i="1"/>
  <c r="CP1434" i="1"/>
  <c r="CP1437" i="1"/>
  <c r="CR1440" i="1"/>
  <c r="BY969" i="1"/>
  <c r="BY1010" i="1"/>
  <c r="CR1139" i="1"/>
  <c r="CT1140" i="1"/>
  <c r="CS1215" i="1"/>
  <c r="CR1216" i="1"/>
  <c r="CR1218" i="1"/>
  <c r="CR1255" i="1"/>
  <c r="BY1261" i="1"/>
  <c r="CT1219" i="1"/>
  <c r="CQ1237" i="1"/>
  <c r="CP1249" i="1"/>
  <c r="CP1222" i="1"/>
  <c r="CR1231" i="1"/>
  <c r="CP1246" i="1"/>
  <c r="CR1264" i="1"/>
  <c r="CR1267" i="1"/>
  <c r="CV1267" i="1" s="1"/>
  <c r="CR1296" i="1"/>
  <c r="CV1296" i="1" s="1"/>
  <c r="BY1301" i="1"/>
  <c r="CT1306" i="1"/>
  <c r="CT1300" i="1"/>
  <c r="CO1406" i="1"/>
  <c r="CP1409" i="1"/>
  <c r="CR1410" i="1"/>
  <c r="CV1410" i="1" s="1"/>
  <c r="CT1411" i="1"/>
  <c r="CO1412" i="1"/>
  <c r="CQ1434" i="1"/>
  <c r="BY1435" i="1"/>
  <c r="CO1436" i="1"/>
  <c r="CQ1437" i="1"/>
  <c r="BY1438" i="1"/>
  <c r="CS1440" i="1"/>
  <c r="CS1139" i="1"/>
  <c r="BY1215" i="1"/>
  <c r="CS1218" i="1"/>
  <c r="CS1255" i="1"/>
  <c r="CS1237" i="1"/>
  <c r="CV1237" i="1" s="1"/>
  <c r="CR1249" i="1"/>
  <c r="CS1231" i="1"/>
  <c r="CR1233" i="1"/>
  <c r="BY1251" i="1"/>
  <c r="CS1264" i="1"/>
  <c r="CT1272" i="1"/>
  <c r="CU1272" i="1" s="1"/>
  <c r="BY1311" i="1"/>
  <c r="CQ1308" i="1"/>
  <c r="CP1406" i="1"/>
  <c r="CQ1409" i="1"/>
  <c r="CP1412" i="1"/>
  <c r="CR1434" i="1"/>
  <c r="CV1434" i="1" s="1"/>
  <c r="CP1436" i="1"/>
  <c r="CR1437" i="1"/>
  <c r="CV1437" i="1" s="1"/>
  <c r="CR1406" i="1"/>
  <c r="CP1407" i="1"/>
  <c r="BY1410" i="1"/>
  <c r="CT1413" i="1"/>
  <c r="CR1439" i="1"/>
  <c r="BY1440" i="1"/>
  <c r="CR1441" i="1"/>
  <c r="CQ588" i="1"/>
  <c r="BY588" i="1"/>
  <c r="BY352" i="1"/>
  <c r="CQ352" i="1"/>
  <c r="BY455" i="1"/>
  <c r="BY548" i="1"/>
  <c r="CT548" i="1"/>
  <c r="BY567" i="1"/>
  <c r="CT567" i="1"/>
  <c r="BY675" i="1"/>
  <c r="CT675" i="1"/>
  <c r="BO700" i="1"/>
  <c r="BY700" i="1" s="1"/>
  <c r="CN700" i="1"/>
  <c r="CS738" i="1"/>
  <c r="BV738" i="1"/>
  <c r="BX738" i="1" s="1"/>
  <c r="CQ997" i="1"/>
  <c r="BY997" i="1"/>
  <c r="BY397" i="1"/>
  <c r="CN456" i="1"/>
  <c r="BN456" i="1"/>
  <c r="BO456" i="1" s="1"/>
  <c r="BY456" i="1" s="1"/>
  <c r="BY451" i="1"/>
  <c r="CT452" i="1"/>
  <c r="CP452" i="1"/>
  <c r="CO452" i="1"/>
  <c r="BU480" i="1"/>
  <c r="BV477" i="1"/>
  <c r="BX477" i="1" s="1"/>
  <c r="BU477" i="1"/>
  <c r="CT549" i="1"/>
  <c r="CR549" i="1"/>
  <c r="CP549" i="1"/>
  <c r="CS549" i="1"/>
  <c r="CQ549" i="1"/>
  <c r="CT572" i="1"/>
  <c r="CS572" i="1"/>
  <c r="CR572" i="1"/>
  <c r="CP572" i="1"/>
  <c r="CQ572" i="1"/>
  <c r="CT577" i="1"/>
  <c r="CS577" i="1"/>
  <c r="CR577" i="1"/>
  <c r="CQ577" i="1"/>
  <c r="CP577" i="1"/>
  <c r="CO577" i="1"/>
  <c r="BY343" i="1"/>
  <c r="BY350" i="1"/>
  <c r="BY354" i="1"/>
  <c r="BY356" i="1"/>
  <c r="BY391" i="1"/>
  <c r="BY393" i="1"/>
  <c r="BN452" i="1"/>
  <c r="BO452" i="1" s="1"/>
  <c r="CQ452" i="1" s="1"/>
  <c r="BV480" i="1"/>
  <c r="BX480" i="1" s="1"/>
  <c r="CO549" i="1"/>
  <c r="BY556" i="1"/>
  <c r="BY571" i="1"/>
  <c r="CT571" i="1"/>
  <c r="CO572" i="1"/>
  <c r="CP707" i="1"/>
  <c r="BY383" i="1"/>
  <c r="BV475" i="1"/>
  <c r="BX475" i="1" s="1"/>
  <c r="BY475" i="1" s="1"/>
  <c r="BU475" i="1"/>
  <c r="CP473" i="1"/>
  <c r="CO473" i="1"/>
  <c r="CT473" i="1"/>
  <c r="CS473" i="1"/>
  <c r="CR473" i="1"/>
  <c r="CQ473" i="1"/>
  <c r="BY546" i="1"/>
  <c r="CT555" i="1"/>
  <c r="CR555" i="1"/>
  <c r="CP555" i="1"/>
  <c r="CS555" i="1"/>
  <c r="BY575" i="1"/>
  <c r="CT575" i="1"/>
  <c r="CT590" i="1"/>
  <c r="BY590" i="1"/>
  <c r="CT350" i="1"/>
  <c r="CS350" i="1"/>
  <c r="BY387" i="1"/>
  <c r="BY396" i="1"/>
  <c r="BY344" i="1"/>
  <c r="CO350" i="1"/>
  <c r="BY353" i="1"/>
  <c r="CQ348" i="1"/>
  <c r="CP348" i="1"/>
  <c r="CT348" i="1"/>
  <c r="CS348" i="1"/>
  <c r="CT450" i="1"/>
  <c r="CS450" i="1"/>
  <c r="CR450" i="1"/>
  <c r="BN474" i="1"/>
  <c r="BO474" i="1" s="1"/>
  <c r="CQ474" i="1" s="1"/>
  <c r="BM474" i="1"/>
  <c r="CO555" i="1"/>
  <c r="CT664" i="1"/>
  <c r="CS664" i="1"/>
  <c r="CR664" i="1"/>
  <c r="CQ664" i="1"/>
  <c r="CP664" i="1"/>
  <c r="BY674" i="1"/>
  <c r="CT674" i="1"/>
  <c r="CR341" i="1"/>
  <c r="CQ341" i="1"/>
  <c r="CP341" i="1"/>
  <c r="CS341" i="1"/>
  <c r="CP350" i="1"/>
  <c r="CT352" i="1"/>
  <c r="CS352" i="1"/>
  <c r="CV352" i="1" s="1"/>
  <c r="BY346" i="1"/>
  <c r="CP355" i="1"/>
  <c r="CO355" i="1"/>
  <c r="CS355" i="1"/>
  <c r="CR355" i="1"/>
  <c r="CT355" i="1"/>
  <c r="CQ390" i="1"/>
  <c r="CP390" i="1"/>
  <c r="CT390" i="1"/>
  <c r="CS390" i="1"/>
  <c r="CR390" i="1"/>
  <c r="CO390" i="1"/>
  <c r="CR452" i="1"/>
  <c r="CT471" i="1"/>
  <c r="CT472" i="1"/>
  <c r="CS472" i="1"/>
  <c r="CR472" i="1"/>
  <c r="CQ472" i="1"/>
  <c r="CP472" i="1"/>
  <c r="CO472" i="1"/>
  <c r="CT545" i="1"/>
  <c r="CS545" i="1"/>
  <c r="CR545" i="1"/>
  <c r="CQ545" i="1"/>
  <c r="CQ547" i="1"/>
  <c r="CP547" i="1"/>
  <c r="CT547" i="1"/>
  <c r="CS547" i="1"/>
  <c r="CR547" i="1"/>
  <c r="CO547" i="1"/>
  <c r="CQ555" i="1"/>
  <c r="CO676" i="1"/>
  <c r="CT676" i="1"/>
  <c r="CS676" i="1"/>
  <c r="CR676" i="1"/>
  <c r="CQ676" i="1"/>
  <c r="CP676" i="1"/>
  <c r="BY677" i="1"/>
  <c r="CQ677" i="1"/>
  <c r="CN704" i="1"/>
  <c r="BO704" i="1"/>
  <c r="BN704" i="1"/>
  <c r="CR347" i="1"/>
  <c r="CQ347" i="1"/>
  <c r="CT347" i="1"/>
  <c r="CS347" i="1"/>
  <c r="CP347" i="1"/>
  <c r="BY357" i="1"/>
  <c r="BY385" i="1"/>
  <c r="CT341" i="1"/>
  <c r="CQ350" i="1"/>
  <c r="CO352" i="1"/>
  <c r="CQ355" i="1"/>
  <c r="CT449" i="1"/>
  <c r="CP449" i="1"/>
  <c r="CO449" i="1"/>
  <c r="CS452" i="1"/>
  <c r="CT593" i="1"/>
  <c r="CS593" i="1"/>
  <c r="CR593" i="1"/>
  <c r="CQ593" i="1"/>
  <c r="CP593" i="1"/>
  <c r="CQ342" i="1"/>
  <c r="CO342" i="1"/>
  <c r="CP342" i="1"/>
  <c r="CR350" i="1"/>
  <c r="CS345" i="1"/>
  <c r="CR345" i="1"/>
  <c r="CT345" i="1"/>
  <c r="BY398" i="1"/>
  <c r="CQ389" i="1"/>
  <c r="CP389" i="1"/>
  <c r="CT389" i="1"/>
  <c r="CN454" i="1"/>
  <c r="BN454" i="1"/>
  <c r="BO454" i="1" s="1"/>
  <c r="BY454" i="1" s="1"/>
  <c r="BN449" i="1"/>
  <c r="BO449" i="1" s="1"/>
  <c r="CQ449" i="1" s="1"/>
  <c r="CS474" i="1"/>
  <c r="CR474" i="1"/>
  <c r="CP474" i="1"/>
  <c r="BY543" i="1"/>
  <c r="CT543" i="1"/>
  <c r="BY552" i="1"/>
  <c r="CT568" i="1"/>
  <c r="CS568" i="1"/>
  <c r="CR568" i="1"/>
  <c r="CP568" i="1"/>
  <c r="BY573" i="1"/>
  <c r="BY592" i="1"/>
  <c r="CT592" i="1"/>
  <c r="CO593" i="1"/>
  <c r="CN638" i="1"/>
  <c r="BN638" i="1"/>
  <c r="BO638" i="1" s="1"/>
  <c r="CT458" i="1"/>
  <c r="CN479" i="1"/>
  <c r="BY591" i="1"/>
  <c r="CQ668" i="1"/>
  <c r="BY687" i="1"/>
  <c r="CQ687" i="1"/>
  <c r="BN703" i="1"/>
  <c r="CT729" i="1"/>
  <c r="CS729" i="1"/>
  <c r="CR729" i="1"/>
  <c r="CQ729" i="1"/>
  <c r="CP729" i="1"/>
  <c r="BY732" i="1"/>
  <c r="CP471" i="1"/>
  <c r="CO471" i="1"/>
  <c r="BY544" i="1"/>
  <c r="CQ557" i="1"/>
  <c r="BY550" i="1"/>
  <c r="BY587" i="1"/>
  <c r="CT587" i="1"/>
  <c r="CT589" i="1"/>
  <c r="CS589" i="1"/>
  <c r="CR589" i="1"/>
  <c r="CQ589" i="1"/>
  <c r="CP589" i="1"/>
  <c r="CQ591" i="1"/>
  <c r="CT679" i="1"/>
  <c r="CQ679" i="1"/>
  <c r="CS679" i="1"/>
  <c r="CR679" i="1"/>
  <c r="CP679" i="1"/>
  <c r="CO679" i="1"/>
  <c r="CO729" i="1"/>
  <c r="CS733" i="1"/>
  <c r="CR733" i="1"/>
  <c r="CT733" i="1"/>
  <c r="CQ733" i="1"/>
  <c r="CP733" i="1"/>
  <c r="CO733" i="1"/>
  <c r="CT356" i="1"/>
  <c r="CT391" i="1"/>
  <c r="CQ471" i="1"/>
  <c r="CQ553" i="1"/>
  <c r="BY576" i="1"/>
  <c r="CT550" i="1"/>
  <c r="CS550" i="1"/>
  <c r="CR550" i="1"/>
  <c r="CP550" i="1"/>
  <c r="BY560" i="1"/>
  <c r="CO589" i="1"/>
  <c r="BY598" i="1"/>
  <c r="CT598" i="1"/>
  <c r="BY667" i="1"/>
  <c r="BY672" i="1"/>
  <c r="BO706" i="1"/>
  <c r="BY706" i="1" s="1"/>
  <c r="BN706" i="1"/>
  <c r="BY731" i="1"/>
  <c r="CQ731" i="1"/>
  <c r="CQ354" i="1"/>
  <c r="CP354" i="1"/>
  <c r="CR346" i="1"/>
  <c r="CQ346" i="1"/>
  <c r="CN478" i="1"/>
  <c r="BM477" i="1"/>
  <c r="CR471" i="1"/>
  <c r="BU473" i="1"/>
  <c r="BV474" i="1"/>
  <c r="BX474" i="1" s="1"/>
  <c r="BU474" i="1"/>
  <c r="CS546" i="1"/>
  <c r="CR546" i="1"/>
  <c r="BY554" i="1"/>
  <c r="BY583" i="1"/>
  <c r="CO550" i="1"/>
  <c r="BY559" i="1"/>
  <c r="CT559" i="1"/>
  <c r="CT560" i="1"/>
  <c r="CS560" i="1"/>
  <c r="CR560" i="1"/>
  <c r="CP560" i="1"/>
  <c r="BY564" i="1"/>
  <c r="BY586" i="1"/>
  <c r="BY596" i="1"/>
  <c r="CT596" i="1"/>
  <c r="BY597" i="1"/>
  <c r="BN450" i="1"/>
  <c r="BO450" i="1" s="1"/>
  <c r="CQ450" i="1" s="1"/>
  <c r="CS353" i="1"/>
  <c r="CR353" i="1"/>
  <c r="CO343" i="1"/>
  <c r="CO353" i="1"/>
  <c r="CR354" i="1"/>
  <c r="CP353" i="1"/>
  <c r="CO346" i="1"/>
  <c r="CQ351" i="1"/>
  <c r="CP351" i="1"/>
  <c r="CS354" i="1"/>
  <c r="CN455" i="1"/>
  <c r="BY453" i="1"/>
  <c r="BM480" i="1"/>
  <c r="CS471" i="1"/>
  <c r="BY545" i="1"/>
  <c r="CO546" i="1"/>
  <c r="BY555" i="1"/>
  <c r="CT583" i="1"/>
  <c r="CR583" i="1"/>
  <c r="CV583" i="1" s="1"/>
  <c r="CP583" i="1"/>
  <c r="CQ550" i="1"/>
  <c r="CQ558" i="1"/>
  <c r="CO560" i="1"/>
  <c r="BY563" i="1"/>
  <c r="CT563" i="1"/>
  <c r="CT564" i="1"/>
  <c r="CS564" i="1"/>
  <c r="CR564" i="1"/>
  <c r="CP564" i="1"/>
  <c r="BY568" i="1"/>
  <c r="BY580" i="1"/>
  <c r="CT580" i="1"/>
  <c r="CT581" i="1"/>
  <c r="CS581" i="1"/>
  <c r="CR581" i="1"/>
  <c r="CQ581" i="1"/>
  <c r="CP581" i="1"/>
  <c r="CQ586" i="1"/>
  <c r="CT600" i="1"/>
  <c r="CS600" i="1"/>
  <c r="CR600" i="1"/>
  <c r="CQ600" i="1"/>
  <c r="CP600" i="1"/>
  <c r="CQ597" i="1"/>
  <c r="BY664" i="1"/>
  <c r="CT665" i="1"/>
  <c r="CS665" i="1"/>
  <c r="CR665" i="1"/>
  <c r="CQ665" i="1"/>
  <c r="CP665" i="1"/>
  <c r="CO665" i="1"/>
  <c r="BY676" i="1"/>
  <c r="CT553" i="1"/>
  <c r="CT557" i="1"/>
  <c r="CT585" i="1"/>
  <c r="CT558" i="1"/>
  <c r="CT562" i="1"/>
  <c r="CT566" i="1"/>
  <c r="CT570" i="1"/>
  <c r="CT574" i="1"/>
  <c r="CT579" i="1"/>
  <c r="CT586" i="1"/>
  <c r="CT591" i="1"/>
  <c r="CT595" i="1"/>
  <c r="CT597" i="1"/>
  <c r="CT668" i="1"/>
  <c r="CS669" i="1"/>
  <c r="CT672" i="1"/>
  <c r="BY678" i="1"/>
  <c r="CN706" i="1"/>
  <c r="BN700" i="1"/>
  <c r="CQ773" i="1"/>
  <c r="CP773" i="1"/>
  <c r="CT773" i="1"/>
  <c r="CS773" i="1"/>
  <c r="CR773" i="1"/>
  <c r="CO773" i="1"/>
  <c r="CT669" i="1"/>
  <c r="CN705" i="1"/>
  <c r="CQ739" i="1"/>
  <c r="CP739" i="1"/>
  <c r="CS739" i="1"/>
  <c r="CR739" i="1"/>
  <c r="CO739" i="1"/>
  <c r="BY772" i="1"/>
  <c r="CQ772" i="1"/>
  <c r="CO667" i="1"/>
  <c r="CO674" i="1"/>
  <c r="CO675" i="1"/>
  <c r="CO678" i="1"/>
  <c r="BN702" i="1"/>
  <c r="BO701" i="1"/>
  <c r="BV703" i="1"/>
  <c r="BX703" i="1" s="1"/>
  <c r="BY703" i="1" s="1"/>
  <c r="BN705" i="1"/>
  <c r="BO707" i="1"/>
  <c r="BN707" i="1"/>
  <c r="CS708" i="1"/>
  <c r="CR708" i="1"/>
  <c r="BY730" i="1"/>
  <c r="BY736" i="1"/>
  <c r="CT739" i="1"/>
  <c r="CP667" i="1"/>
  <c r="CP674" i="1"/>
  <c r="CQ675" i="1"/>
  <c r="CQ678" i="1"/>
  <c r="CT730" i="1"/>
  <c r="CQ730" i="1"/>
  <c r="CP730" i="1"/>
  <c r="CO730" i="1"/>
  <c r="CR552" i="1"/>
  <c r="CP553" i="1"/>
  <c r="CR556" i="1"/>
  <c r="CP557" i="1"/>
  <c r="CR584" i="1"/>
  <c r="CP585" i="1"/>
  <c r="CR551" i="1"/>
  <c r="CP558" i="1"/>
  <c r="CR561" i="1"/>
  <c r="CP562" i="1"/>
  <c r="CR565" i="1"/>
  <c r="CV565" i="1" s="1"/>
  <c r="CP566" i="1"/>
  <c r="CR569" i="1"/>
  <c r="CP570" i="1"/>
  <c r="CR573" i="1"/>
  <c r="CV573" i="1" s="1"/>
  <c r="CP574" i="1"/>
  <c r="CR578" i="1"/>
  <c r="CP579" i="1"/>
  <c r="CR582" i="1"/>
  <c r="CV582" i="1" s="1"/>
  <c r="CP586" i="1"/>
  <c r="CR590" i="1"/>
  <c r="CV590" i="1" s="1"/>
  <c r="CP591" i="1"/>
  <c r="CR594" i="1"/>
  <c r="CP595" i="1"/>
  <c r="CR599" i="1"/>
  <c r="CP597" i="1"/>
  <c r="BU638" i="1"/>
  <c r="CR666" i="1"/>
  <c r="CQ667" i="1"/>
  <c r="CP668" i="1"/>
  <c r="CO669" i="1"/>
  <c r="CO672" i="1"/>
  <c r="CP673" i="1"/>
  <c r="CR674" i="1"/>
  <c r="CR675" i="1"/>
  <c r="CR678" i="1"/>
  <c r="CP708" i="1"/>
  <c r="CR730" i="1"/>
  <c r="BY734" i="1"/>
  <c r="BY917" i="1"/>
  <c r="BY947" i="1"/>
  <c r="CO671" i="1"/>
  <c r="CP672" i="1"/>
  <c r="CQ673" i="1"/>
  <c r="CS674" i="1"/>
  <c r="CS675" i="1"/>
  <c r="CS678" i="1"/>
  <c r="BV702" i="1"/>
  <c r="BX702" i="1" s="1"/>
  <c r="BY729" i="1"/>
  <c r="CS730" i="1"/>
  <c r="CS731" i="1"/>
  <c r="CR731" i="1"/>
  <c r="CT731" i="1"/>
  <c r="BY909" i="1"/>
  <c r="CT909" i="1"/>
  <c r="CT916" i="1"/>
  <c r="CQ916" i="1"/>
  <c r="CP916" i="1"/>
  <c r="CS911" i="1"/>
  <c r="CR911" i="1"/>
  <c r="CQ911" i="1"/>
  <c r="CT911" i="1"/>
  <c r="CP911" i="1"/>
  <c r="CO911" i="1"/>
  <c r="CT1100" i="1"/>
  <c r="BY1132" i="1"/>
  <c r="CT1132" i="1"/>
  <c r="CT1134" i="1"/>
  <c r="CS1134" i="1"/>
  <c r="CR1134" i="1"/>
  <c r="CQ1134" i="1"/>
  <c r="CP1134" i="1"/>
  <c r="CT776" i="1"/>
  <c r="CP776" i="1"/>
  <c r="CO776" i="1"/>
  <c r="BY1222" i="1"/>
  <c r="CT1222" i="1"/>
  <c r="CS732" i="1"/>
  <c r="CR732" i="1"/>
  <c r="CS734" i="1"/>
  <c r="CR734" i="1"/>
  <c r="CS736" i="1"/>
  <c r="CR736" i="1"/>
  <c r="CP742" i="1"/>
  <c r="CT743" i="1"/>
  <c r="CQ776" i="1"/>
  <c r="CR916" i="1"/>
  <c r="BY918" i="1"/>
  <c r="CT920" i="1"/>
  <c r="CR920" i="1"/>
  <c r="CV920" i="1" s="1"/>
  <c r="CQ920" i="1"/>
  <c r="BY1223" i="1"/>
  <c r="CQ1224" i="1"/>
  <c r="CR1224" i="1"/>
  <c r="CP1224" i="1"/>
  <c r="CO1224" i="1"/>
  <c r="CT1224" i="1"/>
  <c r="CS1224" i="1"/>
  <c r="BV1230" i="1"/>
  <c r="BX1230" i="1" s="1"/>
  <c r="BY1230" i="1" s="1"/>
  <c r="CS1230" i="1"/>
  <c r="CQ742" i="1"/>
  <c r="BY771" i="1"/>
  <c r="CR776" i="1"/>
  <c r="CT915" i="1"/>
  <c r="CS916" i="1"/>
  <c r="CS917" i="1"/>
  <c r="CR917" i="1"/>
  <c r="CT917" i="1"/>
  <c r="CQ918" i="1"/>
  <c r="CP918" i="1"/>
  <c r="BY914" i="1"/>
  <c r="BY912" i="1"/>
  <c r="CR945" i="1"/>
  <c r="CQ945" i="1"/>
  <c r="CP945" i="1"/>
  <c r="CT945" i="1"/>
  <c r="CS945" i="1"/>
  <c r="CQ969" i="1"/>
  <c r="CP969" i="1"/>
  <c r="CO969" i="1"/>
  <c r="CT969" i="1"/>
  <c r="CS1009" i="1"/>
  <c r="CR1009" i="1"/>
  <c r="CQ1009" i="1"/>
  <c r="CT1009" i="1"/>
  <c r="CP1009" i="1"/>
  <c r="BY1131" i="1"/>
  <c r="CT1131" i="1"/>
  <c r="BV1260" i="1"/>
  <c r="BX1260" i="1" s="1"/>
  <c r="CR1260" i="1"/>
  <c r="CQ738" i="1"/>
  <c r="CP738" i="1"/>
  <c r="CR742" i="1"/>
  <c r="CS775" i="1"/>
  <c r="CR775" i="1"/>
  <c r="CP775" i="1"/>
  <c r="CO775" i="1"/>
  <c r="CS776" i="1"/>
  <c r="CQ912" i="1"/>
  <c r="CP912" i="1"/>
  <c r="CO912" i="1"/>
  <c r="CT968" i="1"/>
  <c r="CS1011" i="1"/>
  <c r="CR1011" i="1"/>
  <c r="CQ1011" i="1"/>
  <c r="CP1011" i="1"/>
  <c r="CQ1062" i="1"/>
  <c r="CP1062" i="1"/>
  <c r="CO1062" i="1"/>
  <c r="CT1062" i="1"/>
  <c r="CS1062" i="1"/>
  <c r="CV1062" i="1" s="1"/>
  <c r="CT1135" i="1"/>
  <c r="CS1135" i="1"/>
  <c r="CR1135" i="1"/>
  <c r="CQ1135" i="1"/>
  <c r="CP1135" i="1"/>
  <c r="CO1135" i="1"/>
  <c r="CS1241" i="1"/>
  <c r="CR1241" i="1"/>
  <c r="CQ1241" i="1"/>
  <c r="CP1241" i="1"/>
  <c r="CO1241" i="1"/>
  <c r="CQ774" i="1"/>
  <c r="CP774" i="1"/>
  <c r="CT774" i="1"/>
  <c r="CQ913" i="1"/>
  <c r="CP913" i="1"/>
  <c r="BY919" i="1"/>
  <c r="CS921" i="1"/>
  <c r="CR921" i="1"/>
  <c r="CT921" i="1"/>
  <c r="CS1225" i="1"/>
  <c r="BV1225" i="1"/>
  <c r="BX1225" i="1" s="1"/>
  <c r="CS1254" i="1"/>
  <c r="CR1254" i="1"/>
  <c r="CQ1254" i="1"/>
  <c r="CP1254" i="1"/>
  <c r="CO1254" i="1"/>
  <c r="BY1238" i="1"/>
  <c r="CT1238" i="1"/>
  <c r="CS735" i="1"/>
  <c r="CR735" i="1"/>
  <c r="CS737" i="1"/>
  <c r="CR737" i="1"/>
  <c r="CO774" i="1"/>
  <c r="CT775" i="1"/>
  <c r="CS877" i="1"/>
  <c r="CR877" i="1"/>
  <c r="CT877" i="1"/>
  <c r="CQ877" i="1"/>
  <c r="CO913" i="1"/>
  <c r="CQ917" i="1"/>
  <c r="CS918" i="1"/>
  <c r="CO921" i="1"/>
  <c r="CS912" i="1"/>
  <c r="CV912" i="1" s="1"/>
  <c r="CQ970" i="1"/>
  <c r="CP970" i="1"/>
  <c r="CO970" i="1"/>
  <c r="CQ971" i="1"/>
  <c r="CP971" i="1"/>
  <c r="CO971" i="1"/>
  <c r="CT971" i="1"/>
  <c r="CS971" i="1"/>
  <c r="CR971" i="1"/>
  <c r="CT1011" i="1"/>
  <c r="BV1247" i="1"/>
  <c r="BX1247" i="1" s="1"/>
  <c r="CR1232" i="1"/>
  <c r="CT1232" i="1"/>
  <c r="CS1232" i="1"/>
  <c r="CQ1232" i="1"/>
  <c r="CP1232" i="1"/>
  <c r="CO1232" i="1"/>
  <c r="BV1233" i="1"/>
  <c r="BX1233" i="1" s="1"/>
  <c r="BY1233" i="1" s="1"/>
  <c r="CR774" i="1"/>
  <c r="CV774" i="1" s="1"/>
  <c r="CR913" i="1"/>
  <c r="CV913" i="1" s="1"/>
  <c r="BY916" i="1"/>
  <c r="CP921" i="1"/>
  <c r="CT912" i="1"/>
  <c r="BY998" i="1"/>
  <c r="CQ998" i="1"/>
  <c r="CT1010" i="1"/>
  <c r="CQ1129" i="1"/>
  <c r="CP1129" i="1"/>
  <c r="CO1129" i="1"/>
  <c r="CT1129" i="1"/>
  <c r="CS1129" i="1"/>
  <c r="CR1129" i="1"/>
  <c r="CT1137" i="1"/>
  <c r="CS1137" i="1"/>
  <c r="CO1253" i="1"/>
  <c r="CT1253" i="1"/>
  <c r="CS1253" i="1"/>
  <c r="CR1253" i="1"/>
  <c r="CQ1253" i="1"/>
  <c r="CP1253" i="1"/>
  <c r="BY1229" i="1"/>
  <c r="CT1229" i="1"/>
  <c r="CT1289" i="1"/>
  <c r="CU1289" i="1" s="1"/>
  <c r="BY1291" i="1"/>
  <c r="CT1291" i="1"/>
  <c r="CU1291" i="1" s="1"/>
  <c r="CS1012" i="1"/>
  <c r="CR1012" i="1"/>
  <c r="CQ1012" i="1"/>
  <c r="CR1130" i="1"/>
  <c r="CQ1130" i="1"/>
  <c r="CP1130" i="1"/>
  <c r="CT1136" i="1"/>
  <c r="CS1136" i="1"/>
  <c r="CQ1221" i="1"/>
  <c r="CP1221" i="1"/>
  <c r="CO1221" i="1"/>
  <c r="BY1234" i="1"/>
  <c r="BV1258" i="1"/>
  <c r="BX1258" i="1" s="1"/>
  <c r="CO1012" i="1"/>
  <c r="CO1130" i="1"/>
  <c r="CP1137" i="1"/>
  <c r="CO1136" i="1"/>
  <c r="BV1217" i="1"/>
  <c r="BX1217" i="1" s="1"/>
  <c r="BY1217" i="1" s="1"/>
  <c r="CR1221" i="1"/>
  <c r="BV1226" i="1"/>
  <c r="BX1226" i="1" s="1"/>
  <c r="CT1234" i="1"/>
  <c r="CS1234" i="1"/>
  <c r="CR1234" i="1"/>
  <c r="CQ1234" i="1"/>
  <c r="CP1234" i="1"/>
  <c r="BY1255" i="1"/>
  <c r="CT1255" i="1"/>
  <c r="CS1010" i="1"/>
  <c r="CR1010" i="1"/>
  <c r="CQ1010" i="1"/>
  <c r="CP1012" i="1"/>
  <c r="CS1130" i="1"/>
  <c r="CS1133" i="1"/>
  <c r="CR1133" i="1"/>
  <c r="CQ1133" i="1"/>
  <c r="CQ1137" i="1"/>
  <c r="CP1136" i="1"/>
  <c r="CQ1216" i="1"/>
  <c r="BY1218" i="1"/>
  <c r="CS1221" i="1"/>
  <c r="CS1223" i="1"/>
  <c r="CR1223" i="1"/>
  <c r="CQ1223" i="1"/>
  <c r="CP1223" i="1"/>
  <c r="CQ1226" i="1"/>
  <c r="CO1234" i="1"/>
  <c r="CS1227" i="1"/>
  <c r="CP1227" i="1"/>
  <c r="CR1227" i="1"/>
  <c r="BY1237" i="1"/>
  <c r="CT1237" i="1"/>
  <c r="BY1235" i="1"/>
  <c r="BY1263" i="1"/>
  <c r="CN703" i="1"/>
  <c r="BY910" i="1"/>
  <c r="CQ968" i="1"/>
  <c r="CP968" i="1"/>
  <c r="CO968" i="1"/>
  <c r="CT999" i="1"/>
  <c r="CS999" i="1"/>
  <c r="CR999" i="1"/>
  <c r="CO1010" i="1"/>
  <c r="CT1012" i="1"/>
  <c r="CT1130" i="1"/>
  <c r="CO1133" i="1"/>
  <c r="CR1137" i="1"/>
  <c r="CQ1136" i="1"/>
  <c r="CO1216" i="1"/>
  <c r="CO1217" i="1"/>
  <c r="CS1217" i="1"/>
  <c r="BY1240" i="1"/>
  <c r="CR1262" i="1"/>
  <c r="CS1262" i="1"/>
  <c r="CQ1262" i="1"/>
  <c r="CP1262" i="1"/>
  <c r="CO1262" i="1"/>
  <c r="CS1243" i="1"/>
  <c r="CP1243" i="1"/>
  <c r="CR1243" i="1"/>
  <c r="CQ1243" i="1"/>
  <c r="CO1243" i="1"/>
  <c r="CP1235" i="1"/>
  <c r="CO1235" i="1"/>
  <c r="CT1235" i="1"/>
  <c r="CS1235" i="1"/>
  <c r="CR1235" i="1"/>
  <c r="CQ1235" i="1"/>
  <c r="CS1239" i="1"/>
  <c r="CR1239" i="1"/>
  <c r="CP1239" i="1"/>
  <c r="CO1239" i="1"/>
  <c r="BY1256" i="1"/>
  <c r="CT1256" i="1"/>
  <c r="CQ914" i="1"/>
  <c r="CP914" i="1"/>
  <c r="CT910" i="1"/>
  <c r="CS910" i="1"/>
  <c r="CV910" i="1" s="1"/>
  <c r="CR968" i="1"/>
  <c r="CV968" i="1" s="1"/>
  <c r="CO999" i="1"/>
  <c r="CP1010" i="1"/>
  <c r="CP1133" i="1"/>
  <c r="CR1136" i="1"/>
  <c r="CQ1141" i="1"/>
  <c r="CP1141" i="1"/>
  <c r="CO1141" i="1"/>
  <c r="CP1216" i="1"/>
  <c r="CP1217" i="1"/>
  <c r="CT1223" i="1"/>
  <c r="BY1236" i="1"/>
  <c r="CT1236" i="1"/>
  <c r="CS1259" i="1"/>
  <c r="CQ1227" i="1"/>
  <c r="CS1228" i="1"/>
  <c r="CR1228" i="1"/>
  <c r="CP1228" i="1"/>
  <c r="CO1228" i="1"/>
  <c r="CQ1239" i="1"/>
  <c r="CQ1242" i="1"/>
  <c r="CS1250" i="1"/>
  <c r="CO1251" i="1"/>
  <c r="CT1251" i="1"/>
  <c r="CS1251" i="1"/>
  <c r="CR1251" i="1"/>
  <c r="CR1252" i="1"/>
  <c r="CQ1252" i="1"/>
  <c r="BY1244" i="1"/>
  <c r="CR1273" i="1"/>
  <c r="CT1273" i="1"/>
  <c r="CU1273" i="1" s="1"/>
  <c r="CS1273" i="1"/>
  <c r="CT1138" i="1"/>
  <c r="CO1226" i="1"/>
  <c r="CP1240" i="1"/>
  <c r="CP1242" i="1"/>
  <c r="CP1247" i="1"/>
  <c r="CS1258" i="1"/>
  <c r="CO1261" i="1"/>
  <c r="CT1261" i="1"/>
  <c r="CO1219" i="1"/>
  <c r="BV1227" i="1"/>
  <c r="BX1227" i="1" s="1"/>
  <c r="BY1227" i="1" s="1"/>
  <c r="CO1230" i="1"/>
  <c r="CO1238" i="1"/>
  <c r="CS1249" i="1"/>
  <c r="CO1252" i="1"/>
  <c r="CR1244" i="1"/>
  <c r="CV1244" i="1" s="1"/>
  <c r="CQ1244" i="1"/>
  <c r="BV1228" i="1"/>
  <c r="BX1228" i="1" s="1"/>
  <c r="BY1245" i="1"/>
  <c r="CT1245" i="1"/>
  <c r="CQ1251" i="1"/>
  <c r="CR1279" i="1"/>
  <c r="CS1279" i="1"/>
  <c r="CO997" i="1"/>
  <c r="CO1131" i="1"/>
  <c r="CO1132" i="1"/>
  <c r="CO1140" i="1"/>
  <c r="CP1220" i="1"/>
  <c r="CP1225" i="1"/>
  <c r="CP1226" i="1"/>
  <c r="CQ1240" i="1"/>
  <c r="CR1242" i="1"/>
  <c r="CQ1247" i="1"/>
  <c r="CO1258" i="1"/>
  <c r="CQ1259" i="1"/>
  <c r="CP1261" i="1"/>
  <c r="CP1219" i="1"/>
  <c r="CP1230" i="1"/>
  <c r="CP1238" i="1"/>
  <c r="CP1252" i="1"/>
  <c r="CO1244" i="1"/>
  <c r="CR1222" i="1"/>
  <c r="CV1222" i="1" s="1"/>
  <c r="CQ1222" i="1"/>
  <c r="CT1279" i="1"/>
  <c r="CU1279" i="1" s="1"/>
  <c r="CQ1220" i="1"/>
  <c r="CQ1225" i="1"/>
  <c r="BV1241" i="1"/>
  <c r="BX1241" i="1" s="1"/>
  <c r="BY1241" i="1" s="1"/>
  <c r="CS1242" i="1"/>
  <c r="CR1247" i="1"/>
  <c r="CP1258" i="1"/>
  <c r="CO1259" i="1"/>
  <c r="CQ1261" i="1"/>
  <c r="CQ1219" i="1"/>
  <c r="CQ1229" i="1"/>
  <c r="CQ1230" i="1"/>
  <c r="CQ1238" i="1"/>
  <c r="CO1237" i="1"/>
  <c r="BV1243" i="1"/>
  <c r="BX1243" i="1" s="1"/>
  <c r="BY1243" i="1" s="1"/>
  <c r="CO1250" i="1"/>
  <c r="CS1252" i="1"/>
  <c r="CP1244" i="1"/>
  <c r="CO1222" i="1"/>
  <c r="CS1280" i="1"/>
  <c r="CT1280" i="1"/>
  <c r="CU1280" i="1" s="1"/>
  <c r="CR1280" i="1"/>
  <c r="CT1282" i="1"/>
  <c r="CU1282" i="1" s="1"/>
  <c r="CR1282" i="1"/>
  <c r="CV1282" i="1" s="1"/>
  <c r="CT1285" i="1"/>
  <c r="CU1285" i="1" s="1"/>
  <c r="CR1285" i="1"/>
  <c r="CV1285" i="1" s="1"/>
  <c r="CS1233" i="1"/>
  <c r="BV1246" i="1"/>
  <c r="BX1246" i="1" s="1"/>
  <c r="CS1248" i="1"/>
  <c r="CV1248" i="1" s="1"/>
  <c r="BV1257" i="1"/>
  <c r="BX1257" i="1" s="1"/>
  <c r="CT1278" i="1"/>
  <c r="CU1278" i="1" s="1"/>
  <c r="CR1278" i="1"/>
  <c r="BY1292" i="1"/>
  <c r="CT1292" i="1"/>
  <c r="CU1292" i="1" s="1"/>
  <c r="CT1293" i="1"/>
  <c r="CU1293" i="1" s="1"/>
  <c r="CT1295" i="1"/>
  <c r="CU1295" i="1" s="1"/>
  <c r="BY1295" i="1"/>
  <c r="BY1296" i="1"/>
  <c r="CT1296" i="1"/>
  <c r="CU1296" i="1" s="1"/>
  <c r="CS1310" i="1"/>
  <c r="CR1310" i="1"/>
  <c r="CT1310" i="1"/>
  <c r="CQ1310" i="1"/>
  <c r="CP1310" i="1"/>
  <c r="CO1310" i="1"/>
  <c r="BV1357" i="1"/>
  <c r="BX1357" i="1" s="1"/>
  <c r="BU1357" i="1"/>
  <c r="CR1270" i="1"/>
  <c r="CV1270" i="1" s="1"/>
  <c r="CR1272" i="1"/>
  <c r="CS1278" i="1"/>
  <c r="CR1283" i="1"/>
  <c r="CS1283" i="1"/>
  <c r="CT1286" i="1"/>
  <c r="CU1286" i="1" s="1"/>
  <c r="CR1286" i="1"/>
  <c r="CT1270" i="1"/>
  <c r="CU1270" i="1" s="1"/>
  <c r="CS1272" i="1"/>
  <c r="CT1283" i="1"/>
  <c r="CU1283" i="1" s="1"/>
  <c r="CS1286" i="1"/>
  <c r="CS1246" i="1"/>
  <c r="CS1257" i="1"/>
  <c r="CR1265" i="1"/>
  <c r="CV1265" i="1" s="1"/>
  <c r="CR1266" i="1"/>
  <c r="CV1266" i="1" s="1"/>
  <c r="CT1281" i="1"/>
  <c r="CU1281" i="1" s="1"/>
  <c r="CR1281" i="1"/>
  <c r="CR1284" i="1"/>
  <c r="CV1284" i="1" s="1"/>
  <c r="CO1246" i="1"/>
  <c r="CQ1248" i="1"/>
  <c r="CO1257" i="1"/>
  <c r="CT1266" i="1"/>
  <c r="CU1266" i="1" s="1"/>
  <c r="CS1269" i="1"/>
  <c r="CV1269" i="1" s="1"/>
  <c r="CS1277" i="1"/>
  <c r="CV1277" i="1" s="1"/>
  <c r="CS1281" i="1"/>
  <c r="CT1284" i="1"/>
  <c r="CU1284" i="1" s="1"/>
  <c r="CT1298" i="1"/>
  <c r="CU1298" i="1" s="1"/>
  <c r="CO1301" i="1"/>
  <c r="CR1301" i="1"/>
  <c r="CQ1301" i="1"/>
  <c r="CP1301" i="1"/>
  <c r="BY1305" i="1"/>
  <c r="CT1305" i="1"/>
  <c r="CR1288" i="1"/>
  <c r="CV1288" i="1" s="1"/>
  <c r="CT1290" i="1"/>
  <c r="CU1290" i="1" s="1"/>
  <c r="CR1292" i="1"/>
  <c r="CV1292" i="1" s="1"/>
  <c r="CT1294" i="1"/>
  <c r="CU1294" i="1" s="1"/>
  <c r="CR1298" i="1"/>
  <c r="CP1299" i="1"/>
  <c r="CS1299" i="1"/>
  <c r="CT1299" i="1"/>
  <c r="CS1301" i="1"/>
  <c r="BY1308" i="1"/>
  <c r="CT1308" i="1"/>
  <c r="CS1287" i="1"/>
  <c r="CV1287" i="1" s="1"/>
  <c r="CR1289" i="1"/>
  <c r="CV1289" i="1" s="1"/>
  <c r="CR1290" i="1"/>
  <c r="CV1290" i="1" s="1"/>
  <c r="CS1291" i="1"/>
  <c r="CV1291" i="1" s="1"/>
  <c r="CR1293" i="1"/>
  <c r="CV1293" i="1" s="1"/>
  <c r="CR1294" i="1"/>
  <c r="CV1294" i="1" s="1"/>
  <c r="CS1295" i="1"/>
  <c r="CV1295" i="1" s="1"/>
  <c r="CR1297" i="1"/>
  <c r="CS1298" i="1"/>
  <c r="CT1311" i="1"/>
  <c r="CS1311" i="1"/>
  <c r="CV1311" i="1" s="1"/>
  <c r="CQ1303" i="1"/>
  <c r="CT1303" i="1"/>
  <c r="CS1303" i="1"/>
  <c r="CP1303" i="1"/>
  <c r="CO1299" i="1"/>
  <c r="CT1301" i="1"/>
  <c r="BY1302" i="1"/>
  <c r="BY1307" i="1"/>
  <c r="BY1317" i="1"/>
  <c r="CT1317" i="1"/>
  <c r="CO1303" i="1"/>
  <c r="CQ1299" i="1"/>
  <c r="CT1307" i="1"/>
  <c r="CR1307" i="1"/>
  <c r="CO1307" i="1"/>
  <c r="CS1307" i="1"/>
  <c r="CP1307" i="1"/>
  <c r="CP1311" i="1"/>
  <c r="CR1303" i="1"/>
  <c r="CR1299" i="1"/>
  <c r="BY1413" i="1"/>
  <c r="CQ1413" i="1"/>
  <c r="CQ1311" i="1"/>
  <c r="CR1309" i="1"/>
  <c r="CQ1309" i="1"/>
  <c r="CQ1306" i="1"/>
  <c r="BY1306" i="1"/>
  <c r="CR1305" i="1"/>
  <c r="CP1305" i="1"/>
  <c r="CQ1441" i="1"/>
  <c r="CT1512" i="1"/>
  <c r="CS1512" i="1"/>
  <c r="CR1512" i="1"/>
  <c r="CP1512" i="1"/>
  <c r="CO1512" i="1"/>
  <c r="CT1351" i="1"/>
  <c r="CS1351" i="1"/>
  <c r="CR1351" i="1"/>
  <c r="CP1351" i="1"/>
  <c r="BY1405" i="1"/>
  <c r="BY1407" i="1"/>
  <c r="CQ1408" i="1"/>
  <c r="CQ1435" i="1"/>
  <c r="CQ1304" i="1"/>
  <c r="CO1304" i="1"/>
  <c r="CT1304" i="1"/>
  <c r="CO1351" i="1"/>
  <c r="CQ1405" i="1"/>
  <c r="CN1511" i="1"/>
  <c r="BN1511" i="1"/>
  <c r="BO1511" i="1" s="1"/>
  <c r="BY1511" i="1" s="1"/>
  <c r="CS1305" i="1"/>
  <c r="CP1304" i="1"/>
  <c r="BY1403" i="1"/>
  <c r="BE1411" i="1" a="1"/>
  <c r="BE1411" i="1" s="1"/>
  <c r="CR1304" i="1"/>
  <c r="BO1349" i="1"/>
  <c r="CN1349" i="1"/>
  <c r="BN1349" i="1"/>
  <c r="CQ1439" i="1"/>
  <c r="CS1304" i="1"/>
  <c r="BY1318" i="1"/>
  <c r="CT1318" i="1"/>
  <c r="BO1357" i="1"/>
  <c r="CN1357" i="1"/>
  <c r="BN1357" i="1"/>
  <c r="BO1351" i="1"/>
  <c r="BY1351" i="1" s="1"/>
  <c r="BN1351" i="1"/>
  <c r="CT1404" i="1"/>
  <c r="CS1404" i="1"/>
  <c r="CR1404" i="1"/>
  <c r="CQ1404" i="1"/>
  <c r="CP1404" i="1"/>
  <c r="CO1404" i="1"/>
  <c r="CQ1412" i="1"/>
  <c r="BY1406" i="1"/>
  <c r="CQ1411" i="1"/>
  <c r="CQ1438" i="1"/>
  <c r="CS1300" i="1"/>
  <c r="CR1317" i="1"/>
  <c r="CR1403" i="1"/>
  <c r="CT1405" i="1"/>
  <c r="CN1355" i="1"/>
  <c r="CN1352" i="1"/>
  <c r="CN1354" i="1"/>
  <c r="CT1403" i="1"/>
  <c r="CN1350" i="1"/>
  <c r="BN1352" i="1"/>
  <c r="BN1354" i="1"/>
  <c r="CO1405" i="1"/>
  <c r="CQ1407" i="1"/>
  <c r="CP1405" i="1"/>
  <c r="BY1252" i="1" l="1"/>
  <c r="BY742" i="1"/>
  <c r="BY1353" i="1"/>
  <c r="CQ947" i="1"/>
  <c r="BY740" i="1"/>
  <c r="CT1353" i="1"/>
  <c r="BY708" i="1"/>
  <c r="CO1353" i="1"/>
  <c r="CP1353" i="1"/>
  <c r="BY1221" i="1"/>
  <c r="BY1349" i="1"/>
  <c r="CQ1353" i="1"/>
  <c r="BY638" i="1"/>
  <c r="CS453" i="1"/>
  <c r="CR707" i="1"/>
  <c r="BY1242" i="1"/>
  <c r="CR1353" i="1"/>
  <c r="CV1353" i="1" s="1"/>
  <c r="CU1255" i="1"/>
  <c r="BY1249" i="1"/>
  <c r="CS707" i="1"/>
  <c r="CQ944" i="1"/>
  <c r="CU944" i="1" s="1"/>
  <c r="CV1230" i="1"/>
  <c r="CP448" i="1"/>
  <c r="CU741" i="1"/>
  <c r="CT707" i="1"/>
  <c r="CV1216" i="1"/>
  <c r="BY1216" i="1"/>
  <c r="BY707" i="1"/>
  <c r="CV575" i="1"/>
  <c r="CT1248" i="1"/>
  <c r="CU1248" i="1" s="1"/>
  <c r="BY702" i="1"/>
  <c r="CQ702" i="1"/>
  <c r="CS1356" i="1"/>
  <c r="BY1262" i="1"/>
  <c r="CQ701" i="1"/>
  <c r="CQ271" i="1"/>
  <c r="CU271" i="1" s="1"/>
  <c r="BY1259" i="1"/>
  <c r="CV1545" i="1"/>
  <c r="CT947" i="1"/>
  <c r="CU947" i="1" s="1"/>
  <c r="BY1254" i="1"/>
  <c r="CS947" i="1"/>
  <c r="CV1257" i="1"/>
  <c r="CV1250" i="1"/>
  <c r="CO947" i="1"/>
  <c r="CV579" i="1"/>
  <c r="CU349" i="1"/>
  <c r="CR947" i="1"/>
  <c r="CU387" i="1"/>
  <c r="CS709" i="1"/>
  <c r="BY1356" i="1"/>
  <c r="CT709" i="1"/>
  <c r="CT1231" i="1"/>
  <c r="CU1231" i="1" s="1"/>
  <c r="CU357" i="1"/>
  <c r="CU598" i="1"/>
  <c r="BY1250" i="1"/>
  <c r="CV1272" i="1"/>
  <c r="BY1100" i="1"/>
  <c r="BY704" i="1"/>
  <c r="CO709" i="1"/>
  <c r="CQ1512" i="1"/>
  <c r="CU1512" i="1" s="1"/>
  <c r="CR709" i="1"/>
  <c r="CU998" i="1"/>
  <c r="CU1408" i="1"/>
  <c r="CQ709" i="1"/>
  <c r="CU573" i="1"/>
  <c r="CP1356" i="1"/>
  <c r="CQ1356" i="1"/>
  <c r="CU914" i="1"/>
  <c r="CU1439" i="1"/>
  <c r="BY940" i="1"/>
  <c r="CT701" i="1"/>
  <c r="CV1236" i="1"/>
  <c r="CV940" i="1"/>
  <c r="CV942" i="1"/>
  <c r="CV941" i="1"/>
  <c r="CV1403" i="1"/>
  <c r="CU1239" i="1"/>
  <c r="CU1412" i="1"/>
  <c r="CV1246" i="1"/>
  <c r="CV1439" i="1"/>
  <c r="CU395" i="1"/>
  <c r="CU559" i="1"/>
  <c r="CR448" i="1"/>
  <c r="CS451" i="1"/>
  <c r="CQ448" i="1"/>
  <c r="CU1407" i="1"/>
  <c r="CR1356" i="1"/>
  <c r="CS448" i="1"/>
  <c r="CQ941" i="1"/>
  <c r="CU941" i="1" s="1"/>
  <c r="CP701" i="1"/>
  <c r="CT448" i="1"/>
  <c r="CU345" i="1"/>
  <c r="CU1435" i="1"/>
  <c r="CS701" i="1"/>
  <c r="CV701" i="1" s="1"/>
  <c r="CO701" i="1"/>
  <c r="CQ942" i="1"/>
  <c r="CU942" i="1" s="1"/>
  <c r="CR702" i="1"/>
  <c r="CS702" i="1"/>
  <c r="CT453" i="1"/>
  <c r="CP451" i="1"/>
  <c r="CR451" i="1"/>
  <c r="CV1256" i="1"/>
  <c r="CU1433" i="1"/>
  <c r="CU667" i="1"/>
  <c r="CU392" i="1"/>
  <c r="CU1406" i="1"/>
  <c r="CU1411" i="1"/>
  <c r="CU1318" i="1"/>
  <c r="CU567" i="1"/>
  <c r="CV1258" i="1"/>
  <c r="CU921" i="1"/>
  <c r="CT451" i="1"/>
  <c r="CU451" i="1" s="1"/>
  <c r="CV1140" i="1"/>
  <c r="CU940" i="1"/>
  <c r="CV918" i="1"/>
  <c r="CV738" i="1"/>
  <c r="CO702" i="1"/>
  <c r="CU1561" i="1"/>
  <c r="BY709" i="1"/>
  <c r="CT1356" i="1"/>
  <c r="CV742" i="1"/>
  <c r="CP702" i="1"/>
  <c r="CQ453" i="1"/>
  <c r="CO451" i="1"/>
  <c r="CR453" i="1"/>
  <c r="CO453" i="1"/>
  <c r="CV386" i="1"/>
  <c r="CU554" i="1"/>
  <c r="CV384" i="1"/>
  <c r="CU642" i="1"/>
  <c r="CV387" i="1"/>
  <c r="CV1259" i="1"/>
  <c r="CV1218" i="1"/>
  <c r="CU666" i="1"/>
  <c r="CQ943" i="1"/>
  <c r="CU943" i="1" s="1"/>
  <c r="CV383" i="1"/>
  <c r="CU590" i="1"/>
  <c r="CU1441" i="1"/>
  <c r="CV1297" i="1"/>
  <c r="CU584" i="1"/>
  <c r="CU736" i="1"/>
  <c r="CV571" i="1"/>
  <c r="CU743" i="1"/>
  <c r="CV346" i="1"/>
  <c r="CU397" i="1"/>
  <c r="CU393" i="1"/>
  <c r="CU583" i="1"/>
  <c r="CU596" i="1"/>
  <c r="CU341" i="1"/>
  <c r="CU594" i="1"/>
  <c r="CU674" i="1"/>
  <c r="CV596" i="1"/>
  <c r="CV1539" i="1"/>
  <c r="CV1438" i="1"/>
  <c r="CV556" i="1"/>
  <c r="CU384" i="1"/>
  <c r="CV1433" i="1"/>
  <c r="CV592" i="1"/>
  <c r="CU1302" i="1"/>
  <c r="CU1242" i="1"/>
  <c r="CU1132" i="1"/>
  <c r="CU708" i="1"/>
  <c r="CU599" i="1"/>
  <c r="CU658" i="1"/>
  <c r="CU560" i="1"/>
  <c r="CU592" i="1"/>
  <c r="CU1307" i="1"/>
  <c r="CU877" i="1"/>
  <c r="CU909" i="1"/>
  <c r="CV344" i="1"/>
  <c r="CV388" i="1"/>
  <c r="CV574" i="1"/>
  <c r="BY478" i="1"/>
  <c r="CV343" i="1"/>
  <c r="CV552" i="1"/>
  <c r="CU1437" i="1"/>
  <c r="CV348" i="1"/>
  <c r="CU999" i="1"/>
  <c r="CV1406" i="1"/>
  <c r="CU775" i="1"/>
  <c r="CT475" i="1"/>
  <c r="CV1552" i="1"/>
  <c r="CU1410" i="1"/>
  <c r="CV1229" i="1"/>
  <c r="CU544" i="1"/>
  <c r="CU732" i="1"/>
  <c r="CU546" i="1"/>
  <c r="CV1411" i="1"/>
  <c r="CU343" i="1"/>
  <c r="CV1309" i="1"/>
  <c r="CU1138" i="1"/>
  <c r="CU678" i="1"/>
  <c r="CV1300" i="1"/>
  <c r="CU1305" i="1"/>
  <c r="CU1221" i="1"/>
  <c r="CU1129" i="1"/>
  <c r="CU1252" i="1"/>
  <c r="CV1559" i="1"/>
  <c r="CV1225" i="1"/>
  <c r="CV1548" i="1"/>
  <c r="CU1220" i="1"/>
  <c r="CU1438" i="1"/>
  <c r="CU356" i="1"/>
  <c r="CU354" i="1"/>
  <c r="CU1440" i="1"/>
  <c r="CU771" i="1"/>
  <c r="CO476" i="1"/>
  <c r="CU1565" i="1"/>
  <c r="CU661" i="1"/>
  <c r="CU1409" i="1"/>
  <c r="CV1100" i="1"/>
  <c r="CU669" i="1"/>
  <c r="CV1217" i="1"/>
  <c r="CV551" i="1"/>
  <c r="CU1245" i="1"/>
  <c r="CU388" i="1"/>
  <c r="CV587" i="1"/>
  <c r="CV554" i="1"/>
  <c r="CV741" i="1"/>
  <c r="CU734" i="1"/>
  <c r="CU1256" i="1"/>
  <c r="CV1255" i="1"/>
  <c r="CU1306" i="1"/>
  <c r="CU1141" i="1"/>
  <c r="CV584" i="1"/>
  <c r="CU351" i="1"/>
  <c r="CU1556" i="1"/>
  <c r="CU353" i="1"/>
  <c r="CV389" i="1"/>
  <c r="CU574" i="1"/>
  <c r="CV1408" i="1"/>
  <c r="CU396" i="1"/>
  <c r="CV642" i="1"/>
  <c r="CV1560" i="1"/>
  <c r="CV1137" i="1"/>
  <c r="CU1538" i="1"/>
  <c r="CV393" i="1"/>
  <c r="CV580" i="1"/>
  <c r="CU910" i="1"/>
  <c r="CU579" i="1"/>
  <c r="CU355" i="1"/>
  <c r="CU1309" i="1"/>
  <c r="CV1441" i="1"/>
  <c r="CV1139" i="1"/>
  <c r="CV570" i="1"/>
  <c r="CV1304" i="1"/>
  <c r="CV735" i="1"/>
  <c r="CU580" i="1"/>
  <c r="CU1553" i="1"/>
  <c r="CU970" i="1"/>
  <c r="CV394" i="1"/>
  <c r="CO475" i="1"/>
  <c r="CU1236" i="1"/>
  <c r="CU595" i="1"/>
  <c r="CR475" i="1"/>
  <c r="CV475" i="1" s="1"/>
  <c r="CU1434" i="1"/>
  <c r="CU1436" i="1"/>
  <c r="CV397" i="1"/>
  <c r="CU565" i="1"/>
  <c r="CU660" i="1"/>
  <c r="CU1317" i="1"/>
  <c r="CV1281" i="1"/>
  <c r="CV1253" i="1"/>
  <c r="CU568" i="1"/>
  <c r="CU575" i="1"/>
  <c r="CV772" i="1"/>
  <c r="CU918" i="1"/>
  <c r="CU458" i="1"/>
  <c r="CU1237" i="1"/>
  <c r="CV1260" i="1"/>
  <c r="CV569" i="1"/>
  <c r="CU342" i="1"/>
  <c r="CU549" i="1"/>
  <c r="CV1440" i="1"/>
  <c r="BY476" i="1"/>
  <c r="CU1562" i="1"/>
  <c r="CV1307" i="1"/>
  <c r="CV915" i="1"/>
  <c r="CU773" i="1"/>
  <c r="CU735" i="1"/>
  <c r="CV1233" i="1"/>
  <c r="CU772" i="1"/>
  <c r="CU587" i="1"/>
  <c r="CU1133" i="1"/>
  <c r="CV1232" i="1"/>
  <c r="CU570" i="1"/>
  <c r="CP475" i="1"/>
  <c r="CV998" i="1"/>
  <c r="CV1308" i="1"/>
  <c r="CU563" i="1"/>
  <c r="CO477" i="1"/>
  <c r="CU389" i="1"/>
  <c r="CU582" i="1"/>
  <c r="CV588" i="1"/>
  <c r="CV396" i="1"/>
  <c r="CU556" i="1"/>
  <c r="CV659" i="1"/>
  <c r="BY1357" i="1"/>
  <c r="CV740" i="1"/>
  <c r="CV1550" i="1"/>
  <c r="CV395" i="1"/>
  <c r="CU1254" i="1"/>
  <c r="CU576" i="1"/>
  <c r="CU677" i="1"/>
  <c r="CV458" i="1"/>
  <c r="CU1301" i="1"/>
  <c r="CV568" i="1"/>
  <c r="CV576" i="1"/>
  <c r="CV578" i="1"/>
  <c r="CU1560" i="1"/>
  <c r="CU670" i="1"/>
  <c r="CU344" i="1"/>
  <c r="CV919" i="1"/>
  <c r="CV1247" i="1"/>
  <c r="CU1012" i="1"/>
  <c r="CU1131" i="1"/>
  <c r="CU586" i="1"/>
  <c r="CV452" i="1"/>
  <c r="CU740" i="1"/>
  <c r="CV673" i="1"/>
  <c r="CU643" i="1"/>
  <c r="CU1218" i="1"/>
  <c r="CU1545" i="1"/>
  <c r="CV471" i="1"/>
  <c r="CU1244" i="1"/>
  <c r="CV1252" i="1"/>
  <c r="CV599" i="1"/>
  <c r="CV561" i="1"/>
  <c r="CV669" i="1"/>
  <c r="CT476" i="1"/>
  <c r="CU1300" i="1"/>
  <c r="CR476" i="1"/>
  <c r="CV476" i="1" s="1"/>
  <c r="CV1542" i="1"/>
  <c r="CV1241" i="1"/>
  <c r="CV1251" i="1"/>
  <c r="CU915" i="1"/>
  <c r="CU731" i="1"/>
  <c r="CU566" i="1"/>
  <c r="CV550" i="1"/>
  <c r="CV355" i="1"/>
  <c r="CQ476" i="1"/>
  <c r="CP476" i="1"/>
  <c r="CU385" i="1"/>
  <c r="CU1543" i="1"/>
  <c r="CU562" i="1"/>
  <c r="CV1226" i="1"/>
  <c r="CU551" i="1"/>
  <c r="CU1539" i="1"/>
  <c r="CU1139" i="1"/>
  <c r="CV1298" i="1"/>
  <c r="CU581" i="1"/>
  <c r="CV1249" i="1"/>
  <c r="CV390" i="1"/>
  <c r="CU578" i="1"/>
  <c r="CU569" i="1"/>
  <c r="CV1561" i="1"/>
  <c r="CU386" i="1"/>
  <c r="CU1261" i="1"/>
  <c r="CV1280" i="1"/>
  <c r="CV594" i="1"/>
  <c r="CU564" i="1"/>
  <c r="CV1317" i="1"/>
  <c r="CU600" i="1"/>
  <c r="CU346" i="1"/>
  <c r="CU1304" i="1"/>
  <c r="CU1413" i="1"/>
  <c r="CU1308" i="1"/>
  <c r="CV737" i="1"/>
  <c r="CV736" i="1"/>
  <c r="CU585" i="1"/>
  <c r="CU665" i="1"/>
  <c r="CV589" i="1"/>
  <c r="CV347" i="1"/>
  <c r="CU571" i="1"/>
  <c r="CV549" i="1"/>
  <c r="CU997" i="1"/>
  <c r="CV1215" i="1"/>
  <c r="CV1141" i="1"/>
  <c r="CU737" i="1"/>
  <c r="CV671" i="1"/>
  <c r="CV385" i="1"/>
  <c r="CU1542" i="1"/>
  <c r="CV660" i="1"/>
  <c r="CV1551" i="1"/>
  <c r="CU1541" i="1"/>
  <c r="CV1558" i="1"/>
  <c r="CV1261" i="1"/>
  <c r="CU776" i="1"/>
  <c r="CU1240" i="1"/>
  <c r="CU672" i="1"/>
  <c r="CU1219" i="1"/>
  <c r="CU729" i="1"/>
  <c r="CU1403" i="1"/>
  <c r="CV1242" i="1"/>
  <c r="CT1230" i="1"/>
  <c r="CU1230" i="1" s="1"/>
  <c r="CU1130" i="1"/>
  <c r="CV1136" i="1"/>
  <c r="CU1249" i="1"/>
  <c r="CU945" i="1"/>
  <c r="CU917" i="1"/>
  <c r="CV666" i="1"/>
  <c r="CU557" i="1"/>
  <c r="CU577" i="1"/>
  <c r="CU548" i="1"/>
  <c r="CV1231" i="1"/>
  <c r="CU1140" i="1"/>
  <c r="CV1276" i="1"/>
  <c r="CU919" i="1"/>
  <c r="CV563" i="1"/>
  <c r="CU671" i="1"/>
  <c r="CV586" i="1"/>
  <c r="CU1549" i="1"/>
  <c r="CU1546" i="1"/>
  <c r="CV598" i="1"/>
  <c r="CQ475" i="1"/>
  <c r="CV643" i="1"/>
  <c r="CU1559" i="1"/>
  <c r="CV1543" i="1"/>
  <c r="CV1553" i="1"/>
  <c r="CT939" i="1"/>
  <c r="CS939" i="1"/>
  <c r="CR939" i="1"/>
  <c r="CU1540" i="1"/>
  <c r="CV1541" i="1"/>
  <c r="CU659" i="1"/>
  <c r="CU1555" i="1"/>
  <c r="CV271" i="1"/>
  <c r="CU1551" i="1"/>
  <c r="CU1558" i="1"/>
  <c r="CU1550" i="1"/>
  <c r="CV658" i="1"/>
  <c r="BN939" i="1"/>
  <c r="BO939" i="1" s="1"/>
  <c r="BY939" i="1" s="1"/>
  <c r="CU1548" i="1"/>
  <c r="CV943" i="1"/>
  <c r="CU1557" i="1"/>
  <c r="CU1554" i="1"/>
  <c r="CU1552" i="1"/>
  <c r="CU1310" i="1"/>
  <c r="CV921" i="1"/>
  <c r="CO480" i="1"/>
  <c r="CU733" i="1"/>
  <c r="CV679" i="1"/>
  <c r="CV729" i="1"/>
  <c r="CU543" i="1"/>
  <c r="CU555" i="1"/>
  <c r="CV1220" i="1"/>
  <c r="CT1233" i="1"/>
  <c r="CU1233" i="1" s="1"/>
  <c r="CT1217" i="1"/>
  <c r="CU1217" i="1" s="1"/>
  <c r="CQ480" i="1"/>
  <c r="CP480" i="1"/>
  <c r="CU347" i="1"/>
  <c r="CQ1351" i="1"/>
  <c r="CU1351" i="1" s="1"/>
  <c r="CU1223" i="1"/>
  <c r="CV1223" i="1"/>
  <c r="CV1129" i="1"/>
  <c r="CU912" i="1"/>
  <c r="CV675" i="1"/>
  <c r="CV773" i="1"/>
  <c r="CV733" i="1"/>
  <c r="CU679" i="1"/>
  <c r="CR477" i="1"/>
  <c r="CU450" i="1"/>
  <c r="CV1286" i="1"/>
  <c r="CV999" i="1"/>
  <c r="CV1234" i="1"/>
  <c r="CU913" i="1"/>
  <c r="CV1011" i="1"/>
  <c r="CV734" i="1"/>
  <c r="CV674" i="1"/>
  <c r="BY474" i="1"/>
  <c r="CU391" i="1"/>
  <c r="CS477" i="1"/>
  <c r="CU687" i="1"/>
  <c r="CV545" i="1"/>
  <c r="CV472" i="1"/>
  <c r="CV1264" i="1"/>
  <c r="CU394" i="1"/>
  <c r="CV1133" i="1"/>
  <c r="CU971" i="1"/>
  <c r="CU673" i="1"/>
  <c r="CQ477" i="1"/>
  <c r="CT474" i="1"/>
  <c r="CU474" i="1" s="1"/>
  <c r="CU545" i="1"/>
  <c r="CU472" i="1"/>
  <c r="BY701" i="1"/>
  <c r="CU1405" i="1"/>
  <c r="CV1235" i="1"/>
  <c r="CU969" i="1"/>
  <c r="CV916" i="1"/>
  <c r="CU1224" i="1"/>
  <c r="CV732" i="1"/>
  <c r="CR480" i="1"/>
  <c r="CV480" i="1" s="1"/>
  <c r="CV593" i="1"/>
  <c r="CV676" i="1"/>
  <c r="CU348" i="1"/>
  <c r="CU1215" i="1"/>
  <c r="CU552" i="1"/>
  <c r="CV771" i="1"/>
  <c r="CV670" i="1"/>
  <c r="CU561" i="1"/>
  <c r="CV1512" i="1"/>
  <c r="CU1250" i="1"/>
  <c r="CU1235" i="1"/>
  <c r="CU1216" i="1"/>
  <c r="CU920" i="1"/>
  <c r="CU1100" i="1"/>
  <c r="CV911" i="1"/>
  <c r="CU739" i="1"/>
  <c r="CU668" i="1"/>
  <c r="CV354" i="1"/>
  <c r="CV560" i="1"/>
  <c r="CU676" i="1"/>
  <c r="CU547" i="1"/>
  <c r="CV341" i="1"/>
  <c r="CU588" i="1"/>
  <c r="CV559" i="1"/>
  <c r="CV687" i="1"/>
  <c r="CU383" i="1"/>
  <c r="CV1132" i="1"/>
  <c r="CO454" i="1"/>
  <c r="CT454" i="1"/>
  <c r="CS454" i="1"/>
  <c r="CR454" i="1"/>
  <c r="CQ454" i="1"/>
  <c r="CP454" i="1"/>
  <c r="CT1511" i="1"/>
  <c r="CS1511" i="1"/>
  <c r="CR1511" i="1"/>
  <c r="CQ1511" i="1"/>
  <c r="CP1511" i="1"/>
  <c r="CO1511" i="1"/>
  <c r="CV1278" i="1"/>
  <c r="CV678" i="1"/>
  <c r="CV1228" i="1"/>
  <c r="CV1239" i="1"/>
  <c r="CV877" i="1"/>
  <c r="CV1135" i="1"/>
  <c r="CU471" i="1"/>
  <c r="CR1354" i="1"/>
  <c r="CQ1354" i="1"/>
  <c r="CP1354" i="1"/>
  <c r="CO1354" i="1"/>
  <c r="CS1354" i="1"/>
  <c r="CT1354" i="1"/>
  <c r="CU1404" i="1"/>
  <c r="CV1351" i="1"/>
  <c r="BY1257" i="1"/>
  <c r="CT1257" i="1"/>
  <c r="CU1257" i="1" s="1"/>
  <c r="BY1228" i="1"/>
  <c r="CT1228" i="1"/>
  <c r="CU1228" i="1" s="1"/>
  <c r="CV1262" i="1"/>
  <c r="CT1227" i="1"/>
  <c r="CU1227" i="1" s="1"/>
  <c r="CV1010" i="1"/>
  <c r="CV1012" i="1"/>
  <c r="CU1137" i="1"/>
  <c r="CU1232" i="1"/>
  <c r="CU1135" i="1"/>
  <c r="CV776" i="1"/>
  <c r="CU1134" i="1"/>
  <c r="CU911" i="1"/>
  <c r="CU742" i="1"/>
  <c r="CV731" i="1"/>
  <c r="CV739" i="1"/>
  <c r="CR705" i="1"/>
  <c r="CQ705" i="1"/>
  <c r="CT705" i="1"/>
  <c r="CS705" i="1"/>
  <c r="CP705" i="1"/>
  <c r="CO705" i="1"/>
  <c r="CV564" i="1"/>
  <c r="CS455" i="1"/>
  <c r="CP455" i="1"/>
  <c r="CR455" i="1"/>
  <c r="CQ455" i="1"/>
  <c r="CT455" i="1"/>
  <c r="CO455" i="1"/>
  <c r="BY450" i="1"/>
  <c r="BY449" i="1"/>
  <c r="CV474" i="1"/>
  <c r="BY738" i="1"/>
  <c r="CT738" i="1"/>
  <c r="CU738" i="1" s="1"/>
  <c r="BY1226" i="1"/>
  <c r="CT1226" i="1"/>
  <c r="CU1226" i="1" s="1"/>
  <c r="BY1260" i="1"/>
  <c r="CT1260" i="1"/>
  <c r="CU1260" i="1" s="1"/>
  <c r="CR706" i="1"/>
  <c r="CT706" i="1"/>
  <c r="CS706" i="1"/>
  <c r="CQ706" i="1"/>
  <c r="CP706" i="1"/>
  <c r="CO706" i="1"/>
  <c r="CV971" i="1"/>
  <c r="CU553" i="1"/>
  <c r="CT704" i="1"/>
  <c r="CP704" i="1"/>
  <c r="CO704" i="1"/>
  <c r="CS704" i="1"/>
  <c r="CR704" i="1"/>
  <c r="CQ704" i="1"/>
  <c r="CU730" i="1"/>
  <c r="BY452" i="1"/>
  <c r="CR478" i="1"/>
  <c r="CQ478" i="1"/>
  <c r="CO478" i="1"/>
  <c r="CT478" i="1"/>
  <c r="CS478" i="1"/>
  <c r="CP478" i="1"/>
  <c r="CV345" i="1"/>
  <c r="CR1352" i="1"/>
  <c r="CQ1352" i="1"/>
  <c r="CP1352" i="1"/>
  <c r="CO1352" i="1"/>
  <c r="CT1352" i="1"/>
  <c r="CS1352" i="1"/>
  <c r="CS1349" i="1"/>
  <c r="CR1349" i="1"/>
  <c r="CQ1349" i="1"/>
  <c r="CO1349" i="1"/>
  <c r="CT1349" i="1"/>
  <c r="CP1349" i="1"/>
  <c r="CV1303" i="1"/>
  <c r="CV1279" i="1"/>
  <c r="CU1262" i="1"/>
  <c r="CO703" i="1"/>
  <c r="CQ703" i="1"/>
  <c r="CP703" i="1"/>
  <c r="CT703" i="1"/>
  <c r="CS703" i="1"/>
  <c r="CR703" i="1"/>
  <c r="CU1259" i="1"/>
  <c r="CU774" i="1"/>
  <c r="CT1241" i="1"/>
  <c r="CU1241" i="1" s="1"/>
  <c r="CU1009" i="1"/>
  <c r="CV945" i="1"/>
  <c r="CU1222" i="1"/>
  <c r="CV730" i="1"/>
  <c r="CV350" i="1"/>
  <c r="CV572" i="1"/>
  <c r="CU1311" i="1"/>
  <c r="CU352" i="1"/>
  <c r="CU916" i="1"/>
  <c r="CR1355" i="1"/>
  <c r="CQ1355" i="1"/>
  <c r="CP1355" i="1"/>
  <c r="CT1355" i="1"/>
  <c r="CS1355" i="1"/>
  <c r="CO1355" i="1"/>
  <c r="CU1303" i="1"/>
  <c r="CV1301" i="1"/>
  <c r="BY1246" i="1"/>
  <c r="CT1246" i="1"/>
  <c r="CU1246" i="1" s="1"/>
  <c r="CT1243" i="1"/>
  <c r="CU1243" i="1" s="1"/>
  <c r="CV1227" i="1"/>
  <c r="CV1221" i="1"/>
  <c r="CU1136" i="1"/>
  <c r="CU1253" i="1"/>
  <c r="CU1010" i="1"/>
  <c r="BY1247" i="1"/>
  <c r="CT1247" i="1"/>
  <c r="CU1247" i="1" s="1"/>
  <c r="CU1062" i="1"/>
  <c r="CU968" i="1"/>
  <c r="CU597" i="1"/>
  <c r="CU550" i="1"/>
  <c r="CU593" i="1"/>
  <c r="CU449" i="1"/>
  <c r="CV664" i="1"/>
  <c r="CU350" i="1"/>
  <c r="CV473" i="1"/>
  <c r="CU572" i="1"/>
  <c r="CT456" i="1"/>
  <c r="CO456" i="1"/>
  <c r="CS456" i="1"/>
  <c r="CR456" i="1"/>
  <c r="CQ456" i="1"/>
  <c r="CP456" i="1"/>
  <c r="CQ700" i="1"/>
  <c r="CO700" i="1"/>
  <c r="CT700" i="1"/>
  <c r="CS700" i="1"/>
  <c r="CR700" i="1"/>
  <c r="CP700" i="1"/>
  <c r="CQ479" i="1"/>
  <c r="CP479" i="1"/>
  <c r="CT479" i="1"/>
  <c r="CS479" i="1"/>
  <c r="CR479" i="1"/>
  <c r="CO479" i="1"/>
  <c r="CV353" i="1"/>
  <c r="CT1225" i="1"/>
  <c r="CU1225" i="1" s="1"/>
  <c r="BY1225" i="1"/>
  <c r="CU452" i="1"/>
  <c r="CV1305" i="1"/>
  <c r="CU1299" i="1"/>
  <c r="BY1258" i="1"/>
  <c r="CT1258" i="1"/>
  <c r="CU1258" i="1" s="1"/>
  <c r="CU558" i="1"/>
  <c r="CT702" i="1"/>
  <c r="CT638" i="1"/>
  <c r="CS638" i="1"/>
  <c r="CR638" i="1"/>
  <c r="CQ638" i="1"/>
  <c r="CU664" i="1"/>
  <c r="CV555" i="1"/>
  <c r="CU473" i="1"/>
  <c r="CQ707" i="1"/>
  <c r="BY477" i="1"/>
  <c r="CT477" i="1"/>
  <c r="CP1357" i="1"/>
  <c r="CO1357" i="1"/>
  <c r="CT1357" i="1"/>
  <c r="CS1357" i="1"/>
  <c r="CR1357" i="1"/>
  <c r="CQ1357" i="1"/>
  <c r="CP1350" i="1"/>
  <c r="CO1350" i="1"/>
  <c r="CT1350" i="1"/>
  <c r="CS1350" i="1"/>
  <c r="CR1350" i="1"/>
  <c r="CQ1350" i="1"/>
  <c r="CU1238" i="1"/>
  <c r="CV581" i="1"/>
  <c r="CV1404" i="1"/>
  <c r="CV1134" i="1"/>
  <c r="CV547" i="1"/>
  <c r="CV1299" i="1"/>
  <c r="CV1283" i="1"/>
  <c r="CV1310" i="1"/>
  <c r="CV1273" i="1"/>
  <c r="CU1251" i="1"/>
  <c r="CV1243" i="1"/>
  <c r="CV1130" i="1"/>
  <c r="CU1234" i="1"/>
  <c r="CU1229" i="1"/>
  <c r="CU1011" i="1"/>
  <c r="CV1254" i="1"/>
  <c r="CV775" i="1"/>
  <c r="CV1009" i="1"/>
  <c r="CV917" i="1"/>
  <c r="CV1224" i="1"/>
  <c r="CV708" i="1"/>
  <c r="CU591" i="1"/>
  <c r="CV665" i="1"/>
  <c r="CV600" i="1"/>
  <c r="CV546" i="1"/>
  <c r="CU589" i="1"/>
  <c r="CU390" i="1"/>
  <c r="CV450" i="1"/>
  <c r="BY480" i="1"/>
  <c r="CT480" i="1"/>
  <c r="CV577" i="1"/>
  <c r="CU675" i="1"/>
  <c r="CU707" i="1" l="1"/>
  <c r="CU702" i="1"/>
  <c r="CU1353" i="1"/>
  <c r="CV709" i="1"/>
  <c r="CV707" i="1"/>
  <c r="CU453" i="1"/>
  <c r="CV453" i="1"/>
  <c r="CV947" i="1"/>
  <c r="CV1356" i="1"/>
  <c r="CU701" i="1"/>
  <c r="CU1356" i="1"/>
  <c r="CU709" i="1"/>
  <c r="CV448" i="1"/>
  <c r="CU448" i="1"/>
  <c r="CV451" i="1"/>
  <c r="CU475" i="1"/>
  <c r="CV702" i="1"/>
  <c r="CV939" i="1"/>
  <c r="CU480" i="1"/>
  <c r="CU704" i="1"/>
  <c r="CU455" i="1"/>
  <c r="CU476" i="1"/>
  <c r="CU479" i="1"/>
  <c r="CU1355" i="1"/>
  <c r="CU1511" i="1"/>
  <c r="CV477" i="1"/>
  <c r="CQ939" i="1"/>
  <c r="CU939" i="1" s="1"/>
  <c r="CU706" i="1"/>
  <c r="CU477" i="1"/>
  <c r="CV700" i="1"/>
  <c r="CU456" i="1"/>
  <c r="CU700" i="1"/>
  <c r="CV1355" i="1"/>
  <c r="CV1357" i="1"/>
  <c r="CV704" i="1"/>
  <c r="CV1350" i="1"/>
  <c r="CV706" i="1"/>
  <c r="CV1511" i="1"/>
  <c r="CV638" i="1"/>
  <c r="CV479" i="1"/>
  <c r="CV455" i="1"/>
  <c r="CU638" i="1"/>
  <c r="CV1349" i="1"/>
  <c r="CV1352" i="1"/>
  <c r="CV478" i="1"/>
  <c r="CU1357" i="1"/>
  <c r="CV703" i="1"/>
  <c r="CU1352" i="1"/>
  <c r="CU478" i="1"/>
  <c r="CV454" i="1"/>
  <c r="CU703" i="1"/>
  <c r="CV705" i="1"/>
  <c r="CU1354" i="1"/>
  <c r="CU454" i="1"/>
  <c r="CU1350" i="1"/>
  <c r="CV456" i="1"/>
  <c r="CU1349" i="1"/>
  <c r="CU705" i="1"/>
  <c r="CV1354" i="1"/>
  <c r="EM1664" i="1" l="1"/>
  <c r="DU1664" i="1"/>
  <c r="DT1664" i="1"/>
  <c r="DN1664" i="1"/>
  <c r="DM1664" i="1"/>
  <c r="DL1664" i="1"/>
  <c r="DK1664" i="1"/>
  <c r="DI1664" i="1"/>
  <c r="DJ1664" i="1" s="1"/>
  <c r="DB1664" i="1"/>
  <c r="DC1664" i="1" s="1"/>
  <c r="CX1664" i="1"/>
  <c r="CN1664" i="1"/>
  <c r="CO1664" i="1" s="1"/>
  <c r="BV1664" i="1"/>
  <c r="BX1664" i="1" s="1"/>
  <c r="BU1664" i="1"/>
  <c r="BN1664" i="1"/>
  <c r="BO1664" i="1" s="1"/>
  <c r="BM1664" i="1"/>
  <c r="BD1664" i="1"/>
  <c r="BC1664" i="1"/>
  <c r="BB1664" i="1"/>
  <c r="BA1664" i="1"/>
  <c r="AZ1664" i="1"/>
  <c r="AY1664" i="1"/>
  <c r="BE1664" i="1" s="1" a="1"/>
  <c r="BE1664" i="1" s="1"/>
  <c r="AX1664" i="1"/>
  <c r="M1664" i="1"/>
  <c r="EM1663" i="1"/>
  <c r="DU1663" i="1"/>
  <c r="DT1663" i="1"/>
  <c r="DN1663" i="1"/>
  <c r="DM1663" i="1"/>
  <c r="DL1663" i="1"/>
  <c r="DK1663" i="1"/>
  <c r="DI1663" i="1"/>
  <c r="DJ1663" i="1" s="1"/>
  <c r="DB1663" i="1"/>
  <c r="DC1663" i="1" s="1"/>
  <c r="CX1663" i="1"/>
  <c r="BV1663" i="1"/>
  <c r="BX1663" i="1" s="1"/>
  <c r="BU1663" i="1"/>
  <c r="BK1663" i="1"/>
  <c r="BN1663" i="1" s="1"/>
  <c r="BO1663" i="1" s="1"/>
  <c r="BD1663" i="1"/>
  <c r="BC1663" i="1"/>
  <c r="BB1663" i="1"/>
  <c r="BA1663" i="1"/>
  <c r="AZ1663" i="1"/>
  <c r="AY1663" i="1"/>
  <c r="BE1663" i="1" s="1" a="1"/>
  <c r="BE1663" i="1" s="1"/>
  <c r="AX1663" i="1"/>
  <c r="M1663" i="1"/>
  <c r="EM1592" i="1"/>
  <c r="DU1592" i="1"/>
  <c r="DT1592" i="1"/>
  <c r="DN1592" i="1"/>
  <c r="DM1592" i="1"/>
  <c r="DL1592" i="1"/>
  <c r="DK1592" i="1"/>
  <c r="DI1592" i="1"/>
  <c r="DJ1592" i="1" s="1"/>
  <c r="DB1592" i="1"/>
  <c r="DC1592" i="1" s="1"/>
  <c r="CX1592" i="1"/>
  <c r="CN1592" i="1"/>
  <c r="BV1592" i="1"/>
  <c r="BX1592" i="1" s="1"/>
  <c r="BU1592" i="1"/>
  <c r="BN1592" i="1"/>
  <c r="BO1592" i="1" s="1"/>
  <c r="BM1592" i="1"/>
  <c r="BD1592" i="1"/>
  <c r="BC1592" i="1"/>
  <c r="BB1592" i="1"/>
  <c r="BA1592" i="1"/>
  <c r="AZ1592" i="1"/>
  <c r="BF1592" i="1" s="1" a="1"/>
  <c r="BF1592" i="1" s="1"/>
  <c r="AY1592" i="1"/>
  <c r="BE1592" i="1" s="1" a="1"/>
  <c r="BE1592" i="1" s="1"/>
  <c r="AX1592" i="1"/>
  <c r="M1592" i="1"/>
  <c r="EM1591" i="1"/>
  <c r="DU1591" i="1"/>
  <c r="DT1591" i="1"/>
  <c r="DN1591" i="1"/>
  <c r="DM1591" i="1"/>
  <c r="DL1591" i="1"/>
  <c r="DK1591" i="1"/>
  <c r="DI1591" i="1"/>
  <c r="DJ1591" i="1" s="1"/>
  <c r="DB1591" i="1"/>
  <c r="DC1591" i="1" s="1"/>
  <c r="CX1591" i="1"/>
  <c r="CN1591" i="1"/>
  <c r="CO1591" i="1" s="1"/>
  <c r="BV1591" i="1"/>
  <c r="BX1591" i="1" s="1"/>
  <c r="BU1591" i="1"/>
  <c r="BN1591" i="1"/>
  <c r="BO1591" i="1" s="1"/>
  <c r="BM1591" i="1"/>
  <c r="BD1591" i="1"/>
  <c r="BC1591" i="1"/>
  <c r="BB1591" i="1"/>
  <c r="BA1591" i="1"/>
  <c r="AZ1591" i="1"/>
  <c r="AY1591" i="1"/>
  <c r="BE1591" i="1" s="1" a="1"/>
  <c r="BE1591" i="1" s="1"/>
  <c r="AX1591" i="1"/>
  <c r="M1591" i="1"/>
  <c r="EM1587" i="1"/>
  <c r="DU1587" i="1"/>
  <c r="DT1587" i="1"/>
  <c r="DN1587" i="1"/>
  <c r="DM1587" i="1"/>
  <c r="DL1587" i="1"/>
  <c r="DK1587" i="1"/>
  <c r="DI1587" i="1"/>
  <c r="DJ1587" i="1" s="1"/>
  <c r="DB1587" i="1"/>
  <c r="DC1587" i="1" s="1"/>
  <c r="CX1587" i="1"/>
  <c r="CN1587" i="1"/>
  <c r="BV1587" i="1"/>
  <c r="BX1587" i="1" s="1"/>
  <c r="BU1587" i="1"/>
  <c r="BN1587" i="1"/>
  <c r="BO1587" i="1" s="1"/>
  <c r="BM1587" i="1"/>
  <c r="BD1587" i="1"/>
  <c r="BC1587" i="1"/>
  <c r="BB1587" i="1"/>
  <c r="BA1587" i="1"/>
  <c r="AZ1587" i="1"/>
  <c r="AY1587" i="1"/>
  <c r="BE1587" i="1" s="1" a="1"/>
  <c r="BE1587" i="1" s="1"/>
  <c r="AX1587" i="1"/>
  <c r="M1587" i="1"/>
  <c r="EM1586" i="1"/>
  <c r="DU1586" i="1"/>
  <c r="DT1586" i="1"/>
  <c r="DN1586" i="1"/>
  <c r="DM1586" i="1"/>
  <c r="DL1586" i="1"/>
  <c r="DK1586" i="1"/>
  <c r="DI1586" i="1"/>
  <c r="DJ1586" i="1" s="1"/>
  <c r="DB1586" i="1"/>
  <c r="DC1586" i="1" s="1"/>
  <c r="CX1586" i="1"/>
  <c r="CN1586" i="1"/>
  <c r="BV1586" i="1"/>
  <c r="BX1586" i="1" s="1"/>
  <c r="BU1586" i="1"/>
  <c r="BN1586" i="1"/>
  <c r="BO1586" i="1" s="1"/>
  <c r="BM1586" i="1"/>
  <c r="BD1586" i="1"/>
  <c r="BC1586" i="1"/>
  <c r="BB1586" i="1"/>
  <c r="BA1586" i="1"/>
  <c r="AZ1586" i="1"/>
  <c r="AY1586" i="1"/>
  <c r="BE1586" i="1" s="1" a="1"/>
  <c r="BE1586" i="1" s="1"/>
  <c r="AX1586" i="1"/>
  <c r="M1586" i="1"/>
  <c r="EM1589" i="1"/>
  <c r="DU1589" i="1"/>
  <c r="DT1589" i="1"/>
  <c r="DN1589" i="1"/>
  <c r="DM1589" i="1"/>
  <c r="DL1589" i="1"/>
  <c r="DK1589" i="1"/>
  <c r="DI1589" i="1"/>
  <c r="DJ1589" i="1" s="1"/>
  <c r="DB1589" i="1"/>
  <c r="DC1589" i="1" s="1"/>
  <c r="CX1589" i="1"/>
  <c r="CN1589" i="1"/>
  <c r="CP1589" i="1" s="1"/>
  <c r="BV1589" i="1"/>
  <c r="BX1589" i="1" s="1"/>
  <c r="BU1589" i="1"/>
  <c r="BN1589" i="1"/>
  <c r="BO1589" i="1" s="1"/>
  <c r="BM1589" i="1"/>
  <c r="BD1589" i="1"/>
  <c r="BC1589" i="1"/>
  <c r="BB1589" i="1"/>
  <c r="BA1589" i="1"/>
  <c r="AZ1589" i="1"/>
  <c r="AY1589" i="1"/>
  <c r="BE1589" i="1" s="1" a="1"/>
  <c r="BE1589" i="1" s="1"/>
  <c r="AX1589" i="1"/>
  <c r="M1589" i="1"/>
  <c r="EM1588" i="1"/>
  <c r="DU1588" i="1"/>
  <c r="DT1588" i="1"/>
  <c r="DN1588" i="1"/>
  <c r="DM1588" i="1"/>
  <c r="DL1588" i="1"/>
  <c r="DK1588" i="1"/>
  <c r="DI1588" i="1"/>
  <c r="DJ1588" i="1" s="1"/>
  <c r="DB1588" i="1"/>
  <c r="DC1588" i="1" s="1"/>
  <c r="CX1588" i="1"/>
  <c r="CN1588" i="1"/>
  <c r="CO1588" i="1" s="1"/>
  <c r="BV1588" i="1"/>
  <c r="BX1588" i="1" s="1"/>
  <c r="BU1588" i="1"/>
  <c r="BN1588" i="1"/>
  <c r="BO1588" i="1" s="1"/>
  <c r="BM1588" i="1"/>
  <c r="BD1588" i="1"/>
  <c r="BC1588" i="1"/>
  <c r="BB1588" i="1"/>
  <c r="BA1588" i="1"/>
  <c r="AZ1588" i="1"/>
  <c r="AY1588" i="1"/>
  <c r="BE1588" i="1" s="1" a="1"/>
  <c r="BE1588" i="1" s="1"/>
  <c r="AX1588" i="1"/>
  <c r="M1588" i="1"/>
  <c r="EM1583" i="1"/>
  <c r="DU1583" i="1"/>
  <c r="DT1583" i="1"/>
  <c r="DN1583" i="1"/>
  <c r="DM1583" i="1"/>
  <c r="DL1583" i="1"/>
  <c r="DK1583" i="1"/>
  <c r="DI1583" i="1"/>
  <c r="DJ1583" i="1" s="1"/>
  <c r="DB1583" i="1"/>
  <c r="DC1583" i="1" s="1"/>
  <c r="CX1583" i="1"/>
  <c r="CN1583" i="1"/>
  <c r="CS1583" i="1" s="1"/>
  <c r="BV1583" i="1"/>
  <c r="BX1583" i="1" s="1"/>
  <c r="BU1583" i="1"/>
  <c r="BN1583" i="1"/>
  <c r="BO1583" i="1" s="1"/>
  <c r="BM1583" i="1"/>
  <c r="BD1583" i="1"/>
  <c r="BC1583" i="1"/>
  <c r="BB1583" i="1"/>
  <c r="BA1583" i="1"/>
  <c r="AZ1583" i="1"/>
  <c r="AY1583" i="1"/>
  <c r="BE1583" i="1" s="1" a="1"/>
  <c r="BE1583" i="1" s="1"/>
  <c r="AX1583" i="1"/>
  <c r="M1583" i="1"/>
  <c r="EM1584" i="1"/>
  <c r="DU1584" i="1"/>
  <c r="DT1584" i="1"/>
  <c r="DN1584" i="1"/>
  <c r="DM1584" i="1"/>
  <c r="DL1584" i="1"/>
  <c r="DK1584" i="1"/>
  <c r="DI1584" i="1"/>
  <c r="DJ1584" i="1" s="1"/>
  <c r="DB1584" i="1"/>
  <c r="DC1584" i="1" s="1"/>
  <c r="CX1584" i="1"/>
  <c r="CN1584" i="1"/>
  <c r="CO1584" i="1" s="1"/>
  <c r="BV1584" i="1"/>
  <c r="BX1584" i="1" s="1"/>
  <c r="BU1584" i="1"/>
  <c r="BN1584" i="1"/>
  <c r="BO1584" i="1" s="1"/>
  <c r="BM1584" i="1"/>
  <c r="BD1584" i="1"/>
  <c r="BC1584" i="1"/>
  <c r="BB1584" i="1"/>
  <c r="BA1584" i="1"/>
  <c r="AZ1584" i="1"/>
  <c r="AY1584" i="1"/>
  <c r="BE1584" i="1" s="1" a="1"/>
  <c r="BE1584" i="1" s="1"/>
  <c r="AX1584" i="1"/>
  <c r="M1584" i="1"/>
  <c r="EM1590" i="1"/>
  <c r="DU1590" i="1"/>
  <c r="DT1590" i="1"/>
  <c r="DN1590" i="1"/>
  <c r="DM1590" i="1"/>
  <c r="DL1590" i="1"/>
  <c r="DK1590" i="1"/>
  <c r="DI1590" i="1"/>
  <c r="DJ1590" i="1" s="1"/>
  <c r="DB1590" i="1"/>
  <c r="DC1590" i="1" s="1"/>
  <c r="CX1590" i="1"/>
  <c r="CN1590" i="1"/>
  <c r="CO1590" i="1" s="1"/>
  <c r="BV1590" i="1"/>
  <c r="BX1590" i="1" s="1"/>
  <c r="BU1590" i="1"/>
  <c r="BN1590" i="1"/>
  <c r="BO1590" i="1" s="1"/>
  <c r="BM1590" i="1"/>
  <c r="BD1590" i="1"/>
  <c r="BC1590" i="1"/>
  <c r="BB1590" i="1"/>
  <c r="BA1590" i="1"/>
  <c r="AZ1590" i="1"/>
  <c r="BF1590" i="1" s="1" a="1"/>
  <c r="BF1590" i="1" s="1"/>
  <c r="AY1590" i="1"/>
  <c r="BE1590" i="1" s="1" a="1"/>
  <c r="BE1590" i="1" s="1"/>
  <c r="AX1590" i="1"/>
  <c r="M1590" i="1"/>
  <c r="EM1585" i="1"/>
  <c r="DU1585" i="1"/>
  <c r="DT1585" i="1"/>
  <c r="DN1585" i="1"/>
  <c r="DM1585" i="1"/>
  <c r="DL1585" i="1"/>
  <c r="DK1585" i="1"/>
  <c r="DI1585" i="1"/>
  <c r="DJ1585" i="1" s="1"/>
  <c r="DB1585" i="1"/>
  <c r="DC1585" i="1" s="1"/>
  <c r="CX1585" i="1"/>
  <c r="CN1585" i="1"/>
  <c r="CO1585" i="1" s="1"/>
  <c r="BV1585" i="1"/>
  <c r="BX1585" i="1" s="1"/>
  <c r="BU1585" i="1"/>
  <c r="BN1585" i="1"/>
  <c r="BO1585" i="1" s="1"/>
  <c r="BM1585" i="1"/>
  <c r="BD1585" i="1"/>
  <c r="BC1585" i="1"/>
  <c r="BB1585" i="1"/>
  <c r="BA1585" i="1"/>
  <c r="AZ1585" i="1"/>
  <c r="AY1585" i="1"/>
  <c r="BE1585" i="1" s="1" a="1"/>
  <c r="BE1585" i="1" s="1"/>
  <c r="AX1585" i="1"/>
  <c r="M1585" i="1"/>
  <c r="EM1582" i="1"/>
  <c r="DU1582" i="1"/>
  <c r="DT1582" i="1"/>
  <c r="DN1582" i="1"/>
  <c r="DM1582" i="1"/>
  <c r="DL1582" i="1"/>
  <c r="DK1582" i="1"/>
  <c r="DI1582" i="1"/>
  <c r="DJ1582" i="1" s="1"/>
  <c r="DB1582" i="1"/>
  <c r="DC1582" i="1" s="1"/>
  <c r="CX1582" i="1"/>
  <c r="CN1582" i="1"/>
  <c r="CS1582" i="1" s="1"/>
  <c r="BV1582" i="1"/>
  <c r="BX1582" i="1" s="1"/>
  <c r="BU1582" i="1"/>
  <c r="BN1582" i="1"/>
  <c r="BO1582" i="1" s="1"/>
  <c r="BM1582" i="1"/>
  <c r="BD1582" i="1"/>
  <c r="BC1582" i="1"/>
  <c r="BB1582" i="1"/>
  <c r="BA1582" i="1"/>
  <c r="AZ1582" i="1"/>
  <c r="AY1582" i="1"/>
  <c r="BE1582" i="1" s="1" a="1"/>
  <c r="BE1582" i="1" s="1"/>
  <c r="AX1582" i="1"/>
  <c r="M1582" i="1"/>
  <c r="EM1580" i="1"/>
  <c r="DU1580" i="1"/>
  <c r="DT1580" i="1"/>
  <c r="DN1580" i="1"/>
  <c r="DM1580" i="1"/>
  <c r="DL1580" i="1"/>
  <c r="DK1580" i="1"/>
  <c r="DI1580" i="1"/>
  <c r="DJ1580" i="1" s="1"/>
  <c r="DB1580" i="1"/>
  <c r="DC1580" i="1" s="1"/>
  <c r="CX1580" i="1"/>
  <c r="CN1580" i="1"/>
  <c r="CO1580" i="1" s="1"/>
  <c r="BV1580" i="1"/>
  <c r="BX1580" i="1" s="1"/>
  <c r="BU1580" i="1"/>
  <c r="BN1580" i="1"/>
  <c r="BO1580" i="1" s="1"/>
  <c r="BM1580" i="1"/>
  <c r="BD1580" i="1"/>
  <c r="BC1580" i="1"/>
  <c r="BB1580" i="1"/>
  <c r="BA1580" i="1"/>
  <c r="AZ1580" i="1"/>
  <c r="AY1580" i="1"/>
  <c r="BE1580" i="1" s="1" a="1"/>
  <c r="BE1580" i="1" s="1"/>
  <c r="AX1580" i="1"/>
  <c r="M1580" i="1"/>
  <c r="EM1581" i="1"/>
  <c r="DU1581" i="1"/>
  <c r="DT1581" i="1"/>
  <c r="DN1581" i="1"/>
  <c r="DM1581" i="1"/>
  <c r="DL1581" i="1"/>
  <c r="DK1581" i="1"/>
  <c r="DI1581" i="1"/>
  <c r="DJ1581" i="1" s="1"/>
  <c r="DB1581" i="1"/>
  <c r="DC1581" i="1" s="1"/>
  <c r="CX1581" i="1"/>
  <c r="CN1581" i="1"/>
  <c r="CP1581" i="1" s="1"/>
  <c r="BV1581" i="1"/>
  <c r="BX1581" i="1" s="1"/>
  <c r="BU1581" i="1"/>
  <c r="BN1581" i="1"/>
  <c r="BO1581" i="1" s="1"/>
  <c r="BM1581" i="1"/>
  <c r="BD1581" i="1"/>
  <c r="BC1581" i="1"/>
  <c r="BB1581" i="1"/>
  <c r="BA1581" i="1"/>
  <c r="AZ1581" i="1"/>
  <c r="AY1581" i="1"/>
  <c r="BE1581" i="1" s="1" a="1"/>
  <c r="BE1581" i="1" s="1"/>
  <c r="AX1581" i="1"/>
  <c r="M1581" i="1"/>
  <c r="EM1533" i="1"/>
  <c r="DU1533" i="1"/>
  <c r="DT1533" i="1"/>
  <c r="DN1533" i="1"/>
  <c r="DM1533" i="1"/>
  <c r="DL1533" i="1"/>
  <c r="DK1533" i="1"/>
  <c r="DI1533" i="1"/>
  <c r="DJ1533" i="1" s="1"/>
  <c r="DB1533" i="1"/>
  <c r="DC1533" i="1" s="1"/>
  <c r="CX1533" i="1"/>
  <c r="CN1533" i="1"/>
  <c r="CO1533" i="1" s="1"/>
  <c r="BV1533" i="1"/>
  <c r="BX1533" i="1" s="1"/>
  <c r="BU1533" i="1"/>
  <c r="BN1533" i="1"/>
  <c r="BO1533" i="1" s="1"/>
  <c r="BM1533" i="1"/>
  <c r="BD1533" i="1"/>
  <c r="BC1533" i="1"/>
  <c r="BB1533" i="1"/>
  <c r="BA1533" i="1"/>
  <c r="AZ1533" i="1"/>
  <c r="AY1533" i="1"/>
  <c r="AX1533" i="1"/>
  <c r="M1533" i="1"/>
  <c r="EM1532" i="1"/>
  <c r="DU1532" i="1"/>
  <c r="DT1532" i="1"/>
  <c r="DN1532" i="1"/>
  <c r="DM1532" i="1"/>
  <c r="DL1532" i="1"/>
  <c r="DK1532" i="1"/>
  <c r="DI1532" i="1"/>
  <c r="DJ1532" i="1" s="1"/>
  <c r="DB1532" i="1"/>
  <c r="DC1532" i="1" s="1"/>
  <c r="CX1532" i="1"/>
  <c r="CN1532" i="1"/>
  <c r="CO1532" i="1" s="1"/>
  <c r="BV1532" i="1"/>
  <c r="BX1532" i="1" s="1"/>
  <c r="BU1532" i="1"/>
  <c r="BN1532" i="1"/>
  <c r="BO1532" i="1" s="1"/>
  <c r="BM1532" i="1"/>
  <c r="BD1532" i="1"/>
  <c r="BC1532" i="1"/>
  <c r="BB1532" i="1"/>
  <c r="BA1532" i="1"/>
  <c r="AZ1532" i="1"/>
  <c r="AY1532" i="1"/>
  <c r="BE1532" i="1" s="1" a="1"/>
  <c r="BE1532" i="1" s="1"/>
  <c r="AX1532" i="1"/>
  <c r="M1532" i="1"/>
  <c r="EM1531" i="1"/>
  <c r="DU1531" i="1"/>
  <c r="DT1531" i="1"/>
  <c r="DN1531" i="1"/>
  <c r="DM1531" i="1"/>
  <c r="DL1531" i="1"/>
  <c r="DK1531" i="1"/>
  <c r="DI1531" i="1"/>
  <c r="DJ1531" i="1" s="1"/>
  <c r="DB1531" i="1"/>
  <c r="DC1531" i="1" s="1"/>
  <c r="CX1531" i="1"/>
  <c r="CN1531" i="1"/>
  <c r="CS1531" i="1" s="1"/>
  <c r="BV1531" i="1"/>
  <c r="BX1531" i="1" s="1"/>
  <c r="BU1531" i="1"/>
  <c r="BN1531" i="1"/>
  <c r="BO1531" i="1" s="1"/>
  <c r="BM1531" i="1"/>
  <c r="BD1531" i="1"/>
  <c r="BC1531" i="1"/>
  <c r="BB1531" i="1"/>
  <c r="BA1531" i="1"/>
  <c r="AZ1531" i="1"/>
  <c r="AY1531" i="1"/>
  <c r="AX1531" i="1"/>
  <c r="M1531" i="1"/>
  <c r="EM1530" i="1"/>
  <c r="DU1530" i="1"/>
  <c r="DT1530" i="1"/>
  <c r="DN1530" i="1"/>
  <c r="DM1530" i="1"/>
  <c r="DL1530" i="1"/>
  <c r="DK1530" i="1"/>
  <c r="DI1530" i="1"/>
  <c r="DJ1530" i="1" s="1"/>
  <c r="DB1530" i="1"/>
  <c r="DC1530" i="1" s="1"/>
  <c r="CX1530" i="1"/>
  <c r="CN1530" i="1"/>
  <c r="CR1530" i="1" s="1"/>
  <c r="BV1530" i="1"/>
  <c r="BX1530" i="1" s="1"/>
  <c r="BU1530" i="1"/>
  <c r="BN1530" i="1"/>
  <c r="BO1530" i="1" s="1"/>
  <c r="BM1530" i="1"/>
  <c r="BD1530" i="1"/>
  <c r="BC1530" i="1"/>
  <c r="BB1530" i="1"/>
  <c r="BA1530" i="1"/>
  <c r="AZ1530" i="1"/>
  <c r="BF1530" i="1" s="1" a="1"/>
  <c r="BF1530" i="1" s="1"/>
  <c r="AY1530" i="1"/>
  <c r="BE1530" i="1" s="1" a="1"/>
  <c r="BE1530" i="1" s="1"/>
  <c r="AX1530" i="1"/>
  <c r="M1530" i="1"/>
  <c r="EM1529" i="1"/>
  <c r="DU1529" i="1"/>
  <c r="DT1529" i="1"/>
  <c r="DN1529" i="1"/>
  <c r="DM1529" i="1"/>
  <c r="DL1529" i="1"/>
  <c r="DK1529" i="1"/>
  <c r="DI1529" i="1"/>
  <c r="DJ1529" i="1" s="1"/>
  <c r="DB1529" i="1"/>
  <c r="DC1529" i="1" s="1"/>
  <c r="CX1529" i="1"/>
  <c r="CN1529" i="1"/>
  <c r="CO1529" i="1" s="1"/>
  <c r="BV1529" i="1"/>
  <c r="BX1529" i="1" s="1"/>
  <c r="BU1529" i="1"/>
  <c r="BN1529" i="1"/>
  <c r="BO1529" i="1" s="1"/>
  <c r="BM1529" i="1"/>
  <c r="BD1529" i="1"/>
  <c r="BC1529" i="1"/>
  <c r="BB1529" i="1"/>
  <c r="BA1529" i="1"/>
  <c r="AZ1529" i="1"/>
  <c r="AY1529" i="1"/>
  <c r="AX1529" i="1"/>
  <c r="M1529" i="1"/>
  <c r="EM1528" i="1"/>
  <c r="DU1528" i="1"/>
  <c r="DT1528" i="1"/>
  <c r="DN1528" i="1"/>
  <c r="DM1528" i="1"/>
  <c r="DL1528" i="1"/>
  <c r="DK1528" i="1"/>
  <c r="DI1528" i="1"/>
  <c r="DJ1528" i="1" s="1"/>
  <c r="DB1528" i="1"/>
  <c r="DC1528" i="1" s="1"/>
  <c r="CX1528" i="1"/>
  <c r="CN1528" i="1"/>
  <c r="BV1528" i="1"/>
  <c r="BX1528" i="1" s="1"/>
  <c r="BU1528" i="1"/>
  <c r="BN1528" i="1"/>
  <c r="BO1528" i="1" s="1"/>
  <c r="BM1528" i="1"/>
  <c r="BD1528" i="1"/>
  <c r="BC1528" i="1"/>
  <c r="BB1528" i="1"/>
  <c r="BA1528" i="1"/>
  <c r="AZ1528" i="1"/>
  <c r="AY1528" i="1"/>
  <c r="BE1528" i="1" s="1" a="1"/>
  <c r="BE1528" i="1" s="1"/>
  <c r="AX1528" i="1"/>
  <c r="M1528" i="1"/>
  <c r="EM1486" i="1"/>
  <c r="DU1486" i="1"/>
  <c r="DT1486" i="1"/>
  <c r="DN1486" i="1"/>
  <c r="DM1486" i="1"/>
  <c r="DL1486" i="1"/>
  <c r="DK1486" i="1"/>
  <c r="DI1486" i="1"/>
  <c r="DJ1486" i="1" s="1"/>
  <c r="DB1486" i="1"/>
  <c r="DC1486" i="1" s="1"/>
  <c r="CX1486" i="1"/>
  <c r="CN1486" i="1"/>
  <c r="BX1486" i="1"/>
  <c r="BO1486" i="1"/>
  <c r="BD1486" i="1"/>
  <c r="BC1486" i="1"/>
  <c r="BB1486" i="1"/>
  <c r="BA1486" i="1"/>
  <c r="AZ1486" i="1"/>
  <c r="AY1486" i="1"/>
  <c r="AX1486" i="1"/>
  <c r="M1486" i="1"/>
  <c r="EM1485" i="1"/>
  <c r="DU1485" i="1"/>
  <c r="DT1485" i="1"/>
  <c r="DN1485" i="1"/>
  <c r="DM1485" i="1"/>
  <c r="DL1485" i="1"/>
  <c r="DK1485" i="1"/>
  <c r="DI1485" i="1"/>
  <c r="DJ1485" i="1" s="1"/>
  <c r="DB1485" i="1"/>
  <c r="DC1485" i="1" s="1"/>
  <c r="CX1485" i="1"/>
  <c r="CN1485" i="1"/>
  <c r="BX1485" i="1"/>
  <c r="BO1485" i="1"/>
  <c r="BD1485" i="1"/>
  <c r="BC1485" i="1"/>
  <c r="BB1485" i="1"/>
  <c r="BA1485" i="1"/>
  <c r="AZ1485" i="1"/>
  <c r="BF1485" i="1" s="1" a="1"/>
  <c r="BF1485" i="1" s="1"/>
  <c r="AY1485" i="1"/>
  <c r="AX1485" i="1"/>
  <c r="M1485" i="1"/>
  <c r="EM1480" i="1"/>
  <c r="DU1480" i="1"/>
  <c r="DT1480" i="1"/>
  <c r="DN1480" i="1"/>
  <c r="DM1480" i="1"/>
  <c r="DL1480" i="1"/>
  <c r="DK1480" i="1"/>
  <c r="DI1480" i="1"/>
  <c r="DJ1480" i="1" s="1"/>
  <c r="DC1480" i="1"/>
  <c r="CX1480" i="1"/>
  <c r="BX1480" i="1"/>
  <c r="BL1480" i="1"/>
  <c r="BM1480" i="1" s="1"/>
  <c r="BD1480" i="1"/>
  <c r="BC1480" i="1"/>
  <c r="BB1480" i="1"/>
  <c r="BA1480" i="1"/>
  <c r="AZ1480" i="1"/>
  <c r="AY1480" i="1"/>
  <c r="BE1480" i="1" s="1" a="1"/>
  <c r="BE1480" i="1" s="1"/>
  <c r="AX1480" i="1"/>
  <c r="M1480" i="1"/>
  <c r="EM1478" i="1"/>
  <c r="DU1478" i="1"/>
  <c r="DT1478" i="1"/>
  <c r="DN1478" i="1"/>
  <c r="DM1478" i="1"/>
  <c r="DL1478" i="1"/>
  <c r="DK1478" i="1"/>
  <c r="DI1478" i="1"/>
  <c r="DJ1478" i="1" s="1"/>
  <c r="DC1478" i="1"/>
  <c r="CX1478" i="1"/>
  <c r="BX1478" i="1"/>
  <c r="BL1478" i="1"/>
  <c r="CN1478" i="1" s="1"/>
  <c r="BD1478" i="1"/>
  <c r="BC1478" i="1"/>
  <c r="BB1478" i="1"/>
  <c r="BA1478" i="1"/>
  <c r="AZ1478" i="1"/>
  <c r="BF1478" i="1" s="1" a="1"/>
  <c r="BF1478" i="1" s="1"/>
  <c r="AY1478" i="1"/>
  <c r="BE1478" i="1" s="1" a="1"/>
  <c r="BE1478" i="1" s="1"/>
  <c r="AX1478" i="1"/>
  <c r="M1478" i="1"/>
  <c r="EM1477" i="1"/>
  <c r="DU1477" i="1"/>
  <c r="DT1477" i="1"/>
  <c r="DN1477" i="1"/>
  <c r="DM1477" i="1"/>
  <c r="DL1477" i="1"/>
  <c r="DK1477" i="1"/>
  <c r="DI1477" i="1"/>
  <c r="DJ1477" i="1" s="1"/>
  <c r="DC1477" i="1"/>
  <c r="CX1477" i="1"/>
  <c r="CN1477" i="1"/>
  <c r="BX1477" i="1"/>
  <c r="BN1477" i="1"/>
  <c r="BO1477" i="1" s="1"/>
  <c r="BM1477" i="1"/>
  <c r="BD1477" i="1"/>
  <c r="BC1477" i="1"/>
  <c r="BB1477" i="1"/>
  <c r="BA1477" i="1"/>
  <c r="AZ1477" i="1"/>
  <c r="AY1477" i="1"/>
  <c r="BE1477" i="1" s="1" a="1"/>
  <c r="BE1477" i="1" s="1"/>
  <c r="AX1477" i="1"/>
  <c r="M1477" i="1"/>
  <c r="EM1484" i="1"/>
  <c r="DU1484" i="1"/>
  <c r="DT1484" i="1"/>
  <c r="DN1484" i="1"/>
  <c r="DM1484" i="1"/>
  <c r="DL1484" i="1"/>
  <c r="DK1484" i="1"/>
  <c r="DI1484" i="1"/>
  <c r="DJ1484" i="1" s="1"/>
  <c r="DC1484" i="1"/>
  <c r="CX1484" i="1"/>
  <c r="CN1484" i="1"/>
  <c r="CR1484" i="1" s="1"/>
  <c r="BX1484" i="1"/>
  <c r="BN1484" i="1"/>
  <c r="BO1484" i="1" s="1"/>
  <c r="BM1484" i="1"/>
  <c r="BD1484" i="1"/>
  <c r="BC1484" i="1"/>
  <c r="BB1484" i="1"/>
  <c r="BA1484" i="1"/>
  <c r="AZ1484" i="1"/>
  <c r="AY1484" i="1"/>
  <c r="AX1484" i="1"/>
  <c r="M1484" i="1"/>
  <c r="EM1483" i="1"/>
  <c r="DU1483" i="1"/>
  <c r="DT1483" i="1"/>
  <c r="DN1483" i="1"/>
  <c r="DM1483" i="1"/>
  <c r="DL1483" i="1"/>
  <c r="DK1483" i="1"/>
  <c r="DI1483" i="1"/>
  <c r="DJ1483" i="1" s="1"/>
  <c r="DC1483" i="1"/>
  <c r="CX1483" i="1"/>
  <c r="CN1483" i="1"/>
  <c r="BX1483" i="1"/>
  <c r="BN1483" i="1"/>
  <c r="BO1483" i="1" s="1"/>
  <c r="BM1483" i="1"/>
  <c r="BD1483" i="1"/>
  <c r="BC1483" i="1"/>
  <c r="BB1483" i="1"/>
  <c r="BA1483" i="1"/>
  <c r="AZ1483" i="1"/>
  <c r="AY1483" i="1"/>
  <c r="AX1483" i="1"/>
  <c r="M1483" i="1"/>
  <c r="EM1482" i="1"/>
  <c r="DU1482" i="1"/>
  <c r="DT1482" i="1"/>
  <c r="DN1482" i="1"/>
  <c r="DM1482" i="1"/>
  <c r="DL1482" i="1"/>
  <c r="DK1482" i="1"/>
  <c r="DI1482" i="1"/>
  <c r="DJ1482" i="1" s="1"/>
  <c r="DC1482" i="1"/>
  <c r="CX1482" i="1"/>
  <c r="BX1482" i="1"/>
  <c r="BL1482" i="1"/>
  <c r="BD1482" i="1"/>
  <c r="BC1482" i="1"/>
  <c r="BB1482" i="1"/>
  <c r="BA1482" i="1"/>
  <c r="AZ1482" i="1"/>
  <c r="AY1482" i="1"/>
  <c r="AX1482" i="1"/>
  <c r="M1482" i="1"/>
  <c r="EM1479" i="1"/>
  <c r="DU1479" i="1"/>
  <c r="DT1479" i="1"/>
  <c r="DN1479" i="1"/>
  <c r="DM1479" i="1"/>
  <c r="DL1479" i="1"/>
  <c r="DK1479" i="1"/>
  <c r="DI1479" i="1"/>
  <c r="DJ1479" i="1" s="1"/>
  <c r="DC1479" i="1"/>
  <c r="CX1479" i="1"/>
  <c r="BX1479" i="1"/>
  <c r="BL1479" i="1"/>
  <c r="BN1479" i="1" s="1"/>
  <c r="BO1479" i="1" s="1"/>
  <c r="BD1479" i="1"/>
  <c r="BC1479" i="1"/>
  <c r="BB1479" i="1"/>
  <c r="BA1479" i="1"/>
  <c r="AZ1479" i="1"/>
  <c r="AY1479" i="1"/>
  <c r="AX1479" i="1"/>
  <c r="M1479" i="1"/>
  <c r="EM1481" i="1"/>
  <c r="DU1481" i="1"/>
  <c r="DT1481" i="1"/>
  <c r="DN1481" i="1"/>
  <c r="DM1481" i="1"/>
  <c r="DL1481" i="1"/>
  <c r="DK1481" i="1"/>
  <c r="DI1481" i="1"/>
  <c r="DJ1481" i="1" s="1"/>
  <c r="DC1481" i="1"/>
  <c r="CX1481" i="1"/>
  <c r="CN1481" i="1"/>
  <c r="CS1481" i="1" s="1"/>
  <c r="BX1481" i="1"/>
  <c r="BN1481" i="1"/>
  <c r="BO1481" i="1" s="1"/>
  <c r="BM1481" i="1"/>
  <c r="BD1481" i="1"/>
  <c r="BC1481" i="1"/>
  <c r="BB1481" i="1"/>
  <c r="BA1481" i="1"/>
  <c r="AZ1481" i="1"/>
  <c r="AY1481" i="1"/>
  <c r="BE1481" i="1" s="1" a="1"/>
  <c r="BE1481" i="1" s="1"/>
  <c r="AX1481" i="1"/>
  <c r="M1481" i="1"/>
  <c r="EM1476" i="1"/>
  <c r="DU1476" i="1"/>
  <c r="DT1476" i="1"/>
  <c r="DN1476" i="1"/>
  <c r="DM1476" i="1"/>
  <c r="DL1476" i="1"/>
  <c r="DK1476" i="1"/>
  <c r="DI1476" i="1"/>
  <c r="DJ1476" i="1" s="1"/>
  <c r="DC1476" i="1"/>
  <c r="CX1476" i="1"/>
  <c r="CN1476" i="1"/>
  <c r="CR1476" i="1" s="1"/>
  <c r="BX1476" i="1"/>
  <c r="BN1476" i="1"/>
  <c r="BO1476" i="1" s="1"/>
  <c r="BM1476" i="1"/>
  <c r="BD1476" i="1"/>
  <c r="BC1476" i="1"/>
  <c r="BB1476" i="1"/>
  <c r="BA1476" i="1"/>
  <c r="AZ1476" i="1"/>
  <c r="AY1476" i="1"/>
  <c r="BE1476" i="1" s="1" a="1"/>
  <c r="BE1476" i="1" s="1"/>
  <c r="AX1476" i="1"/>
  <c r="M1476" i="1"/>
  <c r="EM1475" i="1"/>
  <c r="DU1475" i="1"/>
  <c r="DT1475" i="1"/>
  <c r="DN1475" i="1"/>
  <c r="DM1475" i="1"/>
  <c r="DL1475" i="1"/>
  <c r="DK1475" i="1"/>
  <c r="DI1475" i="1"/>
  <c r="DJ1475" i="1" s="1"/>
  <c r="DC1475" i="1"/>
  <c r="CX1475" i="1"/>
  <c r="CN1475" i="1"/>
  <c r="CS1475" i="1" s="1"/>
  <c r="BX1475" i="1"/>
  <c r="BN1475" i="1"/>
  <c r="BO1475" i="1" s="1"/>
  <c r="BM1475" i="1"/>
  <c r="BD1475" i="1"/>
  <c r="BC1475" i="1"/>
  <c r="BB1475" i="1"/>
  <c r="BA1475" i="1"/>
  <c r="AZ1475" i="1"/>
  <c r="AY1475" i="1"/>
  <c r="BE1475" i="1" s="1" a="1"/>
  <c r="BE1475" i="1" s="1"/>
  <c r="AX1475" i="1"/>
  <c r="M1475" i="1"/>
  <c r="EM1474" i="1"/>
  <c r="DU1474" i="1"/>
  <c r="DT1474" i="1"/>
  <c r="DN1474" i="1"/>
  <c r="DM1474" i="1"/>
  <c r="DL1474" i="1"/>
  <c r="DK1474" i="1"/>
  <c r="DI1474" i="1"/>
  <c r="DJ1474" i="1" s="1"/>
  <c r="DC1474" i="1"/>
  <c r="CX1474" i="1"/>
  <c r="CN1474" i="1"/>
  <c r="BX1474" i="1"/>
  <c r="BN1474" i="1"/>
  <c r="BO1474" i="1" s="1"/>
  <c r="BM1474" i="1"/>
  <c r="BD1474" i="1"/>
  <c r="BC1474" i="1"/>
  <c r="BB1474" i="1"/>
  <c r="BA1474" i="1"/>
  <c r="AZ1474" i="1"/>
  <c r="AY1474" i="1"/>
  <c r="BE1474" i="1" s="1" a="1"/>
  <c r="BE1474" i="1" s="1"/>
  <c r="AX1474" i="1"/>
  <c r="M1474" i="1"/>
  <c r="EM1473" i="1"/>
  <c r="DU1473" i="1"/>
  <c r="DT1473" i="1"/>
  <c r="DN1473" i="1"/>
  <c r="DM1473" i="1"/>
  <c r="DL1473" i="1"/>
  <c r="DK1473" i="1"/>
  <c r="DI1473" i="1"/>
  <c r="DJ1473" i="1" s="1"/>
  <c r="DC1473" i="1"/>
  <c r="CX1473" i="1"/>
  <c r="CN1473" i="1"/>
  <c r="CS1473" i="1" s="1"/>
  <c r="BX1473" i="1"/>
  <c r="BN1473" i="1"/>
  <c r="BO1473" i="1" s="1"/>
  <c r="BM1473" i="1"/>
  <c r="BD1473" i="1"/>
  <c r="BC1473" i="1"/>
  <c r="BB1473" i="1"/>
  <c r="BA1473" i="1"/>
  <c r="AZ1473" i="1"/>
  <c r="AY1473" i="1"/>
  <c r="BE1473" i="1" s="1" a="1"/>
  <c r="BE1473" i="1" s="1"/>
  <c r="AX1473" i="1"/>
  <c r="M1473" i="1"/>
  <c r="EM1097" i="1"/>
  <c r="DU1097" i="1"/>
  <c r="DN1097" i="1"/>
  <c r="DM1097" i="1"/>
  <c r="DL1097" i="1"/>
  <c r="DK1097" i="1"/>
  <c r="DI1097" i="1"/>
  <c r="DJ1097" i="1" s="1"/>
  <c r="DB1097" i="1"/>
  <c r="DC1097" i="1" s="1"/>
  <c r="CX1097" i="1"/>
  <c r="CN1097" i="1"/>
  <c r="CR1097" i="1" s="1"/>
  <c r="BV1097" i="1"/>
  <c r="BX1097" i="1" s="1"/>
  <c r="BN1097" i="1"/>
  <c r="BO1097" i="1" s="1"/>
  <c r="BM1097" i="1"/>
  <c r="BD1097" i="1"/>
  <c r="BC1097" i="1"/>
  <c r="BB1097" i="1"/>
  <c r="BA1097" i="1"/>
  <c r="AZ1097" i="1"/>
  <c r="AY1097" i="1"/>
  <c r="BE1097" i="1" s="1" a="1"/>
  <c r="BE1097" i="1" s="1"/>
  <c r="AX1097" i="1"/>
  <c r="M1097" i="1"/>
  <c r="EM1096" i="1"/>
  <c r="DU1096" i="1"/>
  <c r="DN1096" i="1"/>
  <c r="DM1096" i="1"/>
  <c r="DL1096" i="1"/>
  <c r="DK1096" i="1"/>
  <c r="DI1096" i="1"/>
  <c r="DJ1096" i="1" s="1"/>
  <c r="DB1096" i="1"/>
  <c r="DC1096" i="1" s="1"/>
  <c r="CX1096" i="1"/>
  <c r="CN1096" i="1"/>
  <c r="CS1096" i="1" s="1"/>
  <c r="BV1096" i="1"/>
  <c r="BX1096" i="1" s="1"/>
  <c r="BN1096" i="1"/>
  <c r="BO1096" i="1" s="1"/>
  <c r="BM1096" i="1"/>
  <c r="BD1096" i="1"/>
  <c r="BC1096" i="1"/>
  <c r="BB1096" i="1"/>
  <c r="BA1096" i="1"/>
  <c r="AZ1096" i="1"/>
  <c r="AY1096" i="1"/>
  <c r="BE1096" i="1" s="1" a="1"/>
  <c r="BE1096" i="1" s="1"/>
  <c r="AX1096" i="1"/>
  <c r="M1096" i="1"/>
  <c r="EM1095" i="1"/>
  <c r="DU1095" i="1"/>
  <c r="DN1095" i="1"/>
  <c r="DM1095" i="1"/>
  <c r="DL1095" i="1"/>
  <c r="DK1095" i="1"/>
  <c r="DI1095" i="1"/>
  <c r="DJ1095" i="1" s="1"/>
  <c r="DB1095" i="1"/>
  <c r="DC1095" i="1" s="1"/>
  <c r="CX1095" i="1"/>
  <c r="CN1095" i="1"/>
  <c r="BV1095" i="1"/>
  <c r="BX1095" i="1" s="1"/>
  <c r="BN1095" i="1"/>
  <c r="BO1095" i="1" s="1"/>
  <c r="BM1095" i="1"/>
  <c r="BD1095" i="1"/>
  <c r="BC1095" i="1"/>
  <c r="BB1095" i="1"/>
  <c r="BA1095" i="1"/>
  <c r="AZ1095" i="1"/>
  <c r="AY1095" i="1"/>
  <c r="BE1095" i="1" s="1" a="1"/>
  <c r="BE1095" i="1" s="1"/>
  <c r="AX1095" i="1"/>
  <c r="M1095" i="1"/>
  <c r="EM1094" i="1"/>
  <c r="DU1094" i="1"/>
  <c r="DN1094" i="1"/>
  <c r="DM1094" i="1"/>
  <c r="DL1094" i="1"/>
  <c r="DK1094" i="1"/>
  <c r="DI1094" i="1"/>
  <c r="DJ1094" i="1" s="1"/>
  <c r="DB1094" i="1"/>
  <c r="DC1094" i="1" s="1"/>
  <c r="CX1094" i="1"/>
  <c r="CN1094" i="1"/>
  <c r="CR1094" i="1" s="1"/>
  <c r="BV1094" i="1"/>
  <c r="BX1094" i="1" s="1"/>
  <c r="BN1094" i="1"/>
  <c r="BO1094" i="1" s="1"/>
  <c r="BM1094" i="1"/>
  <c r="BD1094" i="1"/>
  <c r="BC1094" i="1"/>
  <c r="BB1094" i="1"/>
  <c r="BA1094" i="1"/>
  <c r="AZ1094" i="1"/>
  <c r="AY1094" i="1"/>
  <c r="BE1094" i="1" s="1" a="1"/>
  <c r="BE1094" i="1" s="1"/>
  <c r="AX1094" i="1"/>
  <c r="M1094" i="1"/>
  <c r="EM1098" i="1"/>
  <c r="DU1098" i="1"/>
  <c r="DN1098" i="1"/>
  <c r="DM1098" i="1"/>
  <c r="DL1098" i="1"/>
  <c r="DK1098" i="1"/>
  <c r="DI1098" i="1"/>
  <c r="DJ1098" i="1" s="1"/>
  <c r="DB1098" i="1"/>
  <c r="DC1098" i="1" s="1"/>
  <c r="CX1098" i="1"/>
  <c r="CN1098" i="1"/>
  <c r="CS1098" i="1" s="1"/>
  <c r="BV1098" i="1"/>
  <c r="BX1098" i="1" s="1"/>
  <c r="BN1098" i="1"/>
  <c r="BO1098" i="1" s="1"/>
  <c r="BM1098" i="1"/>
  <c r="BD1098" i="1"/>
  <c r="BC1098" i="1"/>
  <c r="BB1098" i="1"/>
  <c r="BA1098" i="1"/>
  <c r="AZ1098" i="1"/>
  <c r="AY1098" i="1"/>
  <c r="BE1098" i="1" s="1" a="1"/>
  <c r="BE1098" i="1" s="1"/>
  <c r="AX1098" i="1"/>
  <c r="M1098" i="1"/>
  <c r="EM1099" i="1"/>
  <c r="DU1099" i="1"/>
  <c r="DN1099" i="1"/>
  <c r="DM1099" i="1"/>
  <c r="DL1099" i="1"/>
  <c r="DK1099" i="1"/>
  <c r="DI1099" i="1"/>
  <c r="DJ1099" i="1" s="1"/>
  <c r="DB1099" i="1"/>
  <c r="DC1099" i="1" s="1"/>
  <c r="CX1099" i="1"/>
  <c r="CN1099" i="1"/>
  <c r="CR1099" i="1" s="1"/>
  <c r="BV1099" i="1"/>
  <c r="BX1099" i="1" s="1"/>
  <c r="BN1099" i="1"/>
  <c r="BO1099" i="1" s="1"/>
  <c r="BM1099" i="1"/>
  <c r="BD1099" i="1"/>
  <c r="BC1099" i="1"/>
  <c r="BB1099" i="1"/>
  <c r="BA1099" i="1"/>
  <c r="AZ1099" i="1"/>
  <c r="AY1099" i="1"/>
  <c r="BE1099" i="1" s="1" a="1"/>
  <c r="BE1099" i="1" s="1"/>
  <c r="AX1099" i="1"/>
  <c r="M1099" i="1"/>
  <c r="EM1040" i="1"/>
  <c r="DT1040" i="1"/>
  <c r="DN1040" i="1"/>
  <c r="DM1040" i="1"/>
  <c r="DL1040" i="1"/>
  <c r="DK1040" i="1"/>
  <c r="DJ1040" i="1"/>
  <c r="DC1040" i="1"/>
  <c r="CX1040" i="1"/>
  <c r="CN1040" i="1"/>
  <c r="BX1040" i="1"/>
  <c r="BT1040" i="1"/>
  <c r="BS1040" i="1"/>
  <c r="BN1040" i="1"/>
  <c r="BO1040" i="1" s="1"/>
  <c r="BD1040" i="1"/>
  <c r="BC1040" i="1"/>
  <c r="BB1040" i="1"/>
  <c r="BA1040" i="1"/>
  <c r="AZ1040" i="1"/>
  <c r="AY1040" i="1"/>
  <c r="BE1040" i="1" s="1" a="1"/>
  <c r="BE1040" i="1" s="1"/>
  <c r="AX1040" i="1"/>
  <c r="M1040" i="1"/>
  <c r="EM1039" i="1"/>
  <c r="DT1039" i="1"/>
  <c r="DN1039" i="1"/>
  <c r="DM1039" i="1"/>
  <c r="DL1039" i="1"/>
  <c r="DK1039" i="1"/>
  <c r="DJ1039" i="1"/>
  <c r="DC1039" i="1"/>
  <c r="CX1039" i="1"/>
  <c r="CN1039" i="1"/>
  <c r="CS1039" i="1" s="1"/>
  <c r="BX1039" i="1"/>
  <c r="BT1039" i="1"/>
  <c r="BS1039" i="1"/>
  <c r="BN1039" i="1"/>
  <c r="BO1039" i="1" s="1"/>
  <c r="BD1039" i="1"/>
  <c r="BC1039" i="1"/>
  <c r="BB1039" i="1"/>
  <c r="BA1039" i="1"/>
  <c r="AZ1039" i="1"/>
  <c r="AY1039" i="1"/>
  <c r="BE1039" i="1" s="1" a="1"/>
  <c r="BE1039" i="1" s="1"/>
  <c r="AX1039" i="1"/>
  <c r="M1039" i="1"/>
  <c r="EM1038" i="1"/>
  <c r="DT1038" i="1"/>
  <c r="DN1038" i="1"/>
  <c r="DM1038" i="1"/>
  <c r="DL1038" i="1"/>
  <c r="DK1038" i="1"/>
  <c r="DJ1038" i="1"/>
  <c r="DC1038" i="1"/>
  <c r="CX1038" i="1"/>
  <c r="CN1038" i="1"/>
  <c r="BX1038" i="1"/>
  <c r="BT1038" i="1"/>
  <c r="BS1038" i="1"/>
  <c r="BN1038" i="1"/>
  <c r="BO1038" i="1" s="1"/>
  <c r="BD1038" i="1"/>
  <c r="BC1038" i="1"/>
  <c r="BB1038" i="1"/>
  <c r="BA1038" i="1"/>
  <c r="AZ1038" i="1"/>
  <c r="AY1038" i="1"/>
  <c r="BE1038" i="1" s="1" a="1"/>
  <c r="BE1038" i="1" s="1"/>
  <c r="AX1038" i="1"/>
  <c r="M1038" i="1"/>
  <c r="EM1037" i="1"/>
  <c r="DT1037" i="1"/>
  <c r="DN1037" i="1"/>
  <c r="DM1037" i="1"/>
  <c r="DL1037" i="1"/>
  <c r="DK1037" i="1"/>
  <c r="DJ1037" i="1"/>
  <c r="DC1037" i="1"/>
  <c r="CX1037" i="1"/>
  <c r="CN1037" i="1"/>
  <c r="CO1037" i="1" s="1"/>
  <c r="BX1037" i="1"/>
  <c r="BT1037" i="1"/>
  <c r="BS1037" i="1"/>
  <c r="BN1037" i="1"/>
  <c r="BO1037" i="1" s="1"/>
  <c r="BD1037" i="1"/>
  <c r="BC1037" i="1"/>
  <c r="BB1037" i="1"/>
  <c r="BA1037" i="1"/>
  <c r="AZ1037" i="1"/>
  <c r="AY1037" i="1"/>
  <c r="BE1037" i="1" s="1" a="1"/>
  <c r="BE1037" i="1" s="1"/>
  <c r="AX1037" i="1"/>
  <c r="M1037" i="1"/>
  <c r="EM1026" i="1"/>
  <c r="DU1026" i="1"/>
  <c r="DT1026" i="1"/>
  <c r="DN1026" i="1"/>
  <c r="DM1026" i="1"/>
  <c r="DL1026" i="1"/>
  <c r="DK1026" i="1"/>
  <c r="DI1026" i="1"/>
  <c r="DJ1026" i="1" s="1"/>
  <c r="DC1026" i="1"/>
  <c r="CX1026" i="1"/>
  <c r="CN1026" i="1"/>
  <c r="CS1026" i="1" s="1"/>
  <c r="BV1026" i="1"/>
  <c r="BX1026" i="1" s="1"/>
  <c r="BU1026" i="1"/>
  <c r="BN1026" i="1"/>
  <c r="BO1026" i="1" s="1"/>
  <c r="BD1026" i="1"/>
  <c r="BC1026" i="1"/>
  <c r="BB1026" i="1"/>
  <c r="BA1026" i="1"/>
  <c r="AZ1026" i="1"/>
  <c r="AY1026" i="1"/>
  <c r="BE1026" i="1" s="1" a="1"/>
  <c r="BE1026" i="1" s="1"/>
  <c r="AX1026" i="1"/>
  <c r="M1026" i="1"/>
  <c r="EM1025" i="1"/>
  <c r="DU1025" i="1"/>
  <c r="DT1025" i="1"/>
  <c r="DN1025" i="1"/>
  <c r="DM1025" i="1"/>
  <c r="DL1025" i="1"/>
  <c r="DK1025" i="1"/>
  <c r="DI1025" i="1"/>
  <c r="DJ1025" i="1" s="1"/>
  <c r="DC1025" i="1"/>
  <c r="CX1025" i="1"/>
  <c r="CN1025" i="1"/>
  <c r="BV1025" i="1"/>
  <c r="BX1025" i="1" s="1"/>
  <c r="BU1025" i="1"/>
  <c r="BN1025" i="1"/>
  <c r="BO1025" i="1" s="1"/>
  <c r="BD1025" i="1"/>
  <c r="BC1025" i="1"/>
  <c r="BB1025" i="1"/>
  <c r="BA1025" i="1"/>
  <c r="AZ1025" i="1"/>
  <c r="AY1025" i="1"/>
  <c r="BE1025" i="1" s="1" a="1"/>
  <c r="BE1025" i="1" s="1"/>
  <c r="AX1025" i="1"/>
  <c r="M1025" i="1"/>
  <c r="EM1024" i="1"/>
  <c r="DU1024" i="1"/>
  <c r="DT1024" i="1"/>
  <c r="DN1024" i="1"/>
  <c r="DM1024" i="1"/>
  <c r="DL1024" i="1"/>
  <c r="DK1024" i="1"/>
  <c r="DI1024" i="1"/>
  <c r="DJ1024" i="1" s="1"/>
  <c r="DC1024" i="1"/>
  <c r="CX1024" i="1"/>
  <c r="CN1024" i="1"/>
  <c r="CS1024" i="1" s="1"/>
  <c r="BV1024" i="1"/>
  <c r="BX1024" i="1" s="1"/>
  <c r="BU1024" i="1"/>
  <c r="BN1024" i="1"/>
  <c r="BO1024" i="1" s="1"/>
  <c r="BD1024" i="1"/>
  <c r="BC1024" i="1"/>
  <c r="BB1024" i="1"/>
  <c r="BA1024" i="1"/>
  <c r="AZ1024" i="1"/>
  <c r="AY1024" i="1"/>
  <c r="BE1024" i="1" s="1" a="1"/>
  <c r="BE1024" i="1" s="1"/>
  <c r="AX1024" i="1"/>
  <c r="M1024" i="1"/>
  <c r="EM1023" i="1"/>
  <c r="DU1023" i="1"/>
  <c r="DT1023" i="1"/>
  <c r="DN1023" i="1"/>
  <c r="DM1023" i="1"/>
  <c r="DL1023" i="1"/>
  <c r="DK1023" i="1"/>
  <c r="DI1023" i="1"/>
  <c r="DJ1023" i="1" s="1"/>
  <c r="DC1023" i="1"/>
  <c r="CX1023" i="1"/>
  <c r="CN1023" i="1"/>
  <c r="CS1023" i="1" s="1"/>
  <c r="BV1023" i="1"/>
  <c r="BX1023" i="1" s="1"/>
  <c r="BU1023" i="1"/>
  <c r="BN1023" i="1"/>
  <c r="BO1023" i="1" s="1"/>
  <c r="BD1023" i="1"/>
  <c r="BC1023" i="1"/>
  <c r="BB1023" i="1"/>
  <c r="BA1023" i="1"/>
  <c r="AZ1023" i="1"/>
  <c r="AY1023" i="1"/>
  <c r="BE1023" i="1" s="1" a="1"/>
  <c r="BE1023" i="1" s="1"/>
  <c r="AX1023" i="1"/>
  <c r="M1023" i="1"/>
  <c r="EM1022" i="1"/>
  <c r="DU1022" i="1"/>
  <c r="DT1022" i="1"/>
  <c r="DN1022" i="1"/>
  <c r="DM1022" i="1"/>
  <c r="DL1022" i="1"/>
  <c r="DK1022" i="1"/>
  <c r="DI1022" i="1"/>
  <c r="DJ1022" i="1" s="1"/>
  <c r="DC1022" i="1"/>
  <c r="CX1022" i="1"/>
  <c r="CN1022" i="1"/>
  <c r="BV1022" i="1"/>
  <c r="BX1022" i="1" s="1"/>
  <c r="BU1022" i="1"/>
  <c r="BN1022" i="1"/>
  <c r="BO1022" i="1" s="1"/>
  <c r="BD1022" i="1"/>
  <c r="BC1022" i="1"/>
  <c r="BB1022" i="1"/>
  <c r="BA1022" i="1"/>
  <c r="AZ1022" i="1"/>
  <c r="AY1022" i="1"/>
  <c r="BE1022" i="1" s="1" a="1"/>
  <c r="BE1022" i="1" s="1"/>
  <c r="AX1022" i="1"/>
  <c r="M1022" i="1"/>
  <c r="EM1021" i="1"/>
  <c r="DU1021" i="1"/>
  <c r="DT1021" i="1"/>
  <c r="DN1021" i="1"/>
  <c r="DM1021" i="1"/>
  <c r="DL1021" i="1"/>
  <c r="DK1021" i="1"/>
  <c r="DI1021" i="1"/>
  <c r="DJ1021" i="1" s="1"/>
  <c r="DC1021" i="1"/>
  <c r="CX1021" i="1"/>
  <c r="CN1021" i="1"/>
  <c r="BV1021" i="1"/>
  <c r="BX1021" i="1" s="1"/>
  <c r="BU1021" i="1"/>
  <c r="BN1021" i="1"/>
  <c r="BO1021" i="1" s="1"/>
  <c r="BD1021" i="1"/>
  <c r="BC1021" i="1"/>
  <c r="BB1021" i="1"/>
  <c r="BA1021" i="1"/>
  <c r="AZ1021" i="1"/>
  <c r="AY1021" i="1"/>
  <c r="BE1021" i="1" s="1" a="1"/>
  <c r="BE1021" i="1" s="1"/>
  <c r="AX1021" i="1"/>
  <c r="M1021" i="1"/>
  <c r="EM1020" i="1"/>
  <c r="DU1020" i="1"/>
  <c r="DT1020" i="1"/>
  <c r="DN1020" i="1"/>
  <c r="DM1020" i="1"/>
  <c r="DL1020" i="1"/>
  <c r="DK1020" i="1"/>
  <c r="DI1020" i="1"/>
  <c r="DJ1020" i="1" s="1"/>
  <c r="DC1020" i="1"/>
  <c r="CX1020" i="1"/>
  <c r="CN1020" i="1"/>
  <c r="BV1020" i="1"/>
  <c r="BX1020" i="1" s="1"/>
  <c r="BU1020" i="1"/>
  <c r="BN1020" i="1"/>
  <c r="BO1020" i="1" s="1"/>
  <c r="BD1020" i="1"/>
  <c r="BC1020" i="1"/>
  <c r="BB1020" i="1"/>
  <c r="BA1020" i="1"/>
  <c r="AZ1020" i="1"/>
  <c r="AY1020" i="1"/>
  <c r="BE1020" i="1" s="1" a="1"/>
  <c r="BE1020" i="1" s="1"/>
  <c r="AX1020" i="1"/>
  <c r="M1020" i="1"/>
  <c r="EM1019" i="1"/>
  <c r="DU1019" i="1"/>
  <c r="DT1019" i="1"/>
  <c r="DN1019" i="1"/>
  <c r="DM1019" i="1"/>
  <c r="DL1019" i="1"/>
  <c r="DK1019" i="1"/>
  <c r="DI1019" i="1"/>
  <c r="DJ1019" i="1" s="1"/>
  <c r="DC1019" i="1"/>
  <c r="CX1019" i="1"/>
  <c r="CN1019" i="1"/>
  <c r="CS1019" i="1" s="1"/>
  <c r="BV1019" i="1"/>
  <c r="BX1019" i="1" s="1"/>
  <c r="BU1019" i="1"/>
  <c r="BN1019" i="1"/>
  <c r="BO1019" i="1" s="1"/>
  <c r="BD1019" i="1"/>
  <c r="BC1019" i="1"/>
  <c r="BB1019" i="1"/>
  <c r="BA1019" i="1"/>
  <c r="AZ1019" i="1"/>
  <c r="AY1019" i="1"/>
  <c r="BE1019" i="1" s="1" a="1"/>
  <c r="BE1019" i="1" s="1"/>
  <c r="AX1019" i="1"/>
  <c r="M1019" i="1"/>
  <c r="EM1018" i="1"/>
  <c r="DU1018" i="1"/>
  <c r="DT1018" i="1"/>
  <c r="DN1018" i="1"/>
  <c r="DM1018" i="1"/>
  <c r="DL1018" i="1"/>
  <c r="DK1018" i="1"/>
  <c r="DI1018" i="1"/>
  <c r="DJ1018" i="1" s="1"/>
  <c r="DC1018" i="1"/>
  <c r="CX1018" i="1"/>
  <c r="CN1018" i="1"/>
  <c r="CP1018" i="1" s="1"/>
  <c r="BV1018" i="1"/>
  <c r="BX1018" i="1" s="1"/>
  <c r="BU1018" i="1"/>
  <c r="BN1018" i="1"/>
  <c r="BO1018" i="1" s="1"/>
  <c r="BD1018" i="1"/>
  <c r="BC1018" i="1"/>
  <c r="BB1018" i="1"/>
  <c r="BA1018" i="1"/>
  <c r="AZ1018" i="1"/>
  <c r="AY1018" i="1"/>
  <c r="BE1018" i="1" s="1" a="1"/>
  <c r="BE1018" i="1" s="1"/>
  <c r="AX1018" i="1"/>
  <c r="M1018" i="1"/>
  <c r="EM1017" i="1"/>
  <c r="DU1017" i="1"/>
  <c r="DT1017" i="1"/>
  <c r="DN1017" i="1"/>
  <c r="DM1017" i="1"/>
  <c r="DL1017" i="1"/>
  <c r="DK1017" i="1"/>
  <c r="DI1017" i="1"/>
  <c r="DJ1017" i="1" s="1"/>
  <c r="DC1017" i="1"/>
  <c r="CX1017" i="1"/>
  <c r="CN1017" i="1"/>
  <c r="CR1017" i="1" s="1"/>
  <c r="BV1017" i="1"/>
  <c r="BX1017" i="1" s="1"/>
  <c r="BU1017" i="1"/>
  <c r="BN1017" i="1"/>
  <c r="BO1017" i="1" s="1"/>
  <c r="BD1017" i="1"/>
  <c r="BC1017" i="1"/>
  <c r="BB1017" i="1"/>
  <c r="BA1017" i="1"/>
  <c r="AZ1017" i="1"/>
  <c r="AY1017" i="1"/>
  <c r="BE1017" i="1" s="1" a="1"/>
  <c r="BE1017" i="1" s="1"/>
  <c r="AX1017" i="1"/>
  <c r="M1017" i="1"/>
  <c r="EM1016" i="1"/>
  <c r="DU1016" i="1"/>
  <c r="DT1016" i="1"/>
  <c r="DN1016" i="1"/>
  <c r="DM1016" i="1"/>
  <c r="DL1016" i="1"/>
  <c r="DK1016" i="1"/>
  <c r="DI1016" i="1"/>
  <c r="DJ1016" i="1" s="1"/>
  <c r="DC1016" i="1"/>
  <c r="CX1016" i="1"/>
  <c r="CN1016" i="1"/>
  <c r="CR1016" i="1" s="1"/>
  <c r="BV1016" i="1"/>
  <c r="BX1016" i="1" s="1"/>
  <c r="BU1016" i="1"/>
  <c r="BN1016" i="1"/>
  <c r="BO1016" i="1" s="1"/>
  <c r="BD1016" i="1"/>
  <c r="BC1016" i="1"/>
  <c r="BB1016" i="1"/>
  <c r="BA1016" i="1"/>
  <c r="AZ1016" i="1"/>
  <c r="AY1016" i="1"/>
  <c r="BE1016" i="1" s="1" a="1"/>
  <c r="BE1016" i="1" s="1"/>
  <c r="AX1016" i="1"/>
  <c r="M1016" i="1"/>
  <c r="EM1015" i="1"/>
  <c r="DU1015" i="1"/>
  <c r="DT1015" i="1"/>
  <c r="DN1015" i="1"/>
  <c r="DM1015" i="1"/>
  <c r="DL1015" i="1"/>
  <c r="DK1015" i="1"/>
  <c r="DI1015" i="1"/>
  <c r="DJ1015" i="1" s="1"/>
  <c r="DC1015" i="1"/>
  <c r="CX1015" i="1"/>
  <c r="CN1015" i="1"/>
  <c r="BV1015" i="1"/>
  <c r="BX1015" i="1" s="1"/>
  <c r="BU1015" i="1"/>
  <c r="BN1015" i="1"/>
  <c r="BO1015" i="1" s="1"/>
  <c r="BD1015" i="1"/>
  <c r="BC1015" i="1"/>
  <c r="BB1015" i="1"/>
  <c r="BA1015" i="1"/>
  <c r="AZ1015" i="1"/>
  <c r="AY1015" i="1"/>
  <c r="BE1015" i="1" s="1" a="1"/>
  <c r="BE1015" i="1" s="1"/>
  <c r="AX1015" i="1"/>
  <c r="M1015" i="1"/>
  <c r="EM1034" i="1"/>
  <c r="DU1034" i="1"/>
  <c r="DT1034" i="1"/>
  <c r="DN1034" i="1"/>
  <c r="DM1034" i="1"/>
  <c r="DL1034" i="1"/>
  <c r="DK1034" i="1"/>
  <c r="DI1034" i="1"/>
  <c r="DJ1034" i="1" s="1"/>
  <c r="DC1034" i="1"/>
  <c r="CX1034" i="1"/>
  <c r="CN1034" i="1"/>
  <c r="CO1034" i="1" s="1"/>
  <c r="BV1034" i="1"/>
  <c r="BX1034" i="1" s="1"/>
  <c r="BU1034" i="1"/>
  <c r="BN1034" i="1"/>
  <c r="BO1034" i="1" s="1"/>
  <c r="BD1034" i="1"/>
  <c r="BC1034" i="1"/>
  <c r="BB1034" i="1"/>
  <c r="BA1034" i="1"/>
  <c r="AZ1034" i="1"/>
  <c r="AY1034" i="1"/>
  <c r="BE1034" i="1" s="1" a="1"/>
  <c r="BE1034" i="1" s="1"/>
  <c r="AX1034" i="1"/>
  <c r="M1034" i="1"/>
  <c r="EM1033" i="1"/>
  <c r="DU1033" i="1"/>
  <c r="DT1033" i="1"/>
  <c r="DN1033" i="1"/>
  <c r="DM1033" i="1"/>
  <c r="DL1033" i="1"/>
  <c r="DK1033" i="1"/>
  <c r="DI1033" i="1"/>
  <c r="DJ1033" i="1" s="1"/>
  <c r="DC1033" i="1"/>
  <c r="CX1033" i="1"/>
  <c r="CN1033" i="1"/>
  <c r="BV1033" i="1"/>
  <c r="BX1033" i="1" s="1"/>
  <c r="BU1033" i="1"/>
  <c r="BN1033" i="1"/>
  <c r="BO1033" i="1" s="1"/>
  <c r="BD1033" i="1"/>
  <c r="BC1033" i="1"/>
  <c r="BB1033" i="1"/>
  <c r="BA1033" i="1"/>
  <c r="AZ1033" i="1"/>
  <c r="AY1033" i="1"/>
  <c r="BE1033" i="1" s="1" a="1"/>
  <c r="BE1033" i="1" s="1"/>
  <c r="AX1033" i="1"/>
  <c r="M1033" i="1"/>
  <c r="EM1032" i="1"/>
  <c r="DU1032" i="1"/>
  <c r="DT1032" i="1"/>
  <c r="DN1032" i="1"/>
  <c r="DM1032" i="1"/>
  <c r="DL1032" i="1"/>
  <c r="DK1032" i="1"/>
  <c r="DI1032" i="1"/>
  <c r="DJ1032" i="1" s="1"/>
  <c r="DC1032" i="1"/>
  <c r="CX1032" i="1"/>
  <c r="CN1032" i="1"/>
  <c r="CO1032" i="1" s="1"/>
  <c r="BV1032" i="1"/>
  <c r="BX1032" i="1" s="1"/>
  <c r="BU1032" i="1"/>
  <c r="BN1032" i="1"/>
  <c r="BO1032" i="1" s="1"/>
  <c r="BD1032" i="1"/>
  <c r="BC1032" i="1"/>
  <c r="BB1032" i="1"/>
  <c r="BA1032" i="1"/>
  <c r="AZ1032" i="1"/>
  <c r="AY1032" i="1"/>
  <c r="BE1032" i="1" s="1" a="1"/>
  <c r="BE1032" i="1" s="1"/>
  <c r="AX1032" i="1"/>
  <c r="M1032" i="1"/>
  <c r="EM1031" i="1"/>
  <c r="DU1031" i="1"/>
  <c r="DT1031" i="1"/>
  <c r="DN1031" i="1"/>
  <c r="DM1031" i="1"/>
  <c r="DL1031" i="1"/>
  <c r="DK1031" i="1"/>
  <c r="DI1031" i="1"/>
  <c r="DJ1031" i="1" s="1"/>
  <c r="DC1031" i="1"/>
  <c r="CX1031" i="1"/>
  <c r="CN1031" i="1"/>
  <c r="CO1031" i="1" s="1"/>
  <c r="BV1031" i="1"/>
  <c r="BX1031" i="1" s="1"/>
  <c r="BU1031" i="1"/>
  <c r="BN1031" i="1"/>
  <c r="BO1031" i="1" s="1"/>
  <c r="BD1031" i="1"/>
  <c r="BC1031" i="1"/>
  <c r="BB1031" i="1"/>
  <c r="BA1031" i="1"/>
  <c r="AZ1031" i="1"/>
  <c r="AY1031" i="1"/>
  <c r="BE1031" i="1" s="1" a="1"/>
  <c r="BE1031" i="1" s="1"/>
  <c r="AX1031" i="1"/>
  <c r="M1031" i="1"/>
  <c r="EM1030" i="1"/>
  <c r="DU1030" i="1"/>
  <c r="DT1030" i="1"/>
  <c r="DN1030" i="1"/>
  <c r="DM1030" i="1"/>
  <c r="DL1030" i="1"/>
  <c r="DK1030" i="1"/>
  <c r="DI1030" i="1"/>
  <c r="DJ1030" i="1" s="1"/>
  <c r="DC1030" i="1"/>
  <c r="CX1030" i="1"/>
  <c r="CN1030" i="1"/>
  <c r="CP1030" i="1" s="1"/>
  <c r="BV1030" i="1"/>
  <c r="BX1030" i="1" s="1"/>
  <c r="BU1030" i="1"/>
  <c r="BN1030" i="1"/>
  <c r="BO1030" i="1" s="1"/>
  <c r="BD1030" i="1"/>
  <c r="BC1030" i="1"/>
  <c r="BB1030" i="1"/>
  <c r="BA1030" i="1"/>
  <c r="AZ1030" i="1"/>
  <c r="AY1030" i="1"/>
  <c r="BE1030" i="1" s="1" a="1"/>
  <c r="BE1030" i="1" s="1"/>
  <c r="AX1030" i="1"/>
  <c r="M1030" i="1"/>
  <c r="EM1029" i="1"/>
  <c r="DU1029" i="1"/>
  <c r="DT1029" i="1"/>
  <c r="DN1029" i="1"/>
  <c r="DM1029" i="1"/>
  <c r="DL1029" i="1"/>
  <c r="DK1029" i="1"/>
  <c r="DI1029" i="1"/>
  <c r="DJ1029" i="1" s="1"/>
  <c r="DC1029" i="1"/>
  <c r="CX1029" i="1"/>
  <c r="CN1029" i="1"/>
  <c r="BV1029" i="1"/>
  <c r="BX1029" i="1" s="1"/>
  <c r="BU1029" i="1"/>
  <c r="BN1029" i="1"/>
  <c r="BO1029" i="1" s="1"/>
  <c r="BD1029" i="1"/>
  <c r="BC1029" i="1"/>
  <c r="BB1029" i="1"/>
  <c r="BA1029" i="1"/>
  <c r="AZ1029" i="1"/>
  <c r="AY1029" i="1"/>
  <c r="BE1029" i="1" s="1" a="1"/>
  <c r="BE1029" i="1" s="1"/>
  <c r="AX1029" i="1"/>
  <c r="M1029" i="1"/>
  <c r="EM1028" i="1"/>
  <c r="DU1028" i="1"/>
  <c r="DT1028" i="1"/>
  <c r="DN1028" i="1"/>
  <c r="DM1028" i="1"/>
  <c r="DL1028" i="1"/>
  <c r="DK1028" i="1"/>
  <c r="DI1028" i="1"/>
  <c r="DJ1028" i="1" s="1"/>
  <c r="DC1028" i="1"/>
  <c r="CX1028" i="1"/>
  <c r="CN1028" i="1"/>
  <c r="CR1028" i="1" s="1"/>
  <c r="BV1028" i="1"/>
  <c r="BX1028" i="1" s="1"/>
  <c r="BU1028" i="1"/>
  <c r="BN1028" i="1"/>
  <c r="BO1028" i="1" s="1"/>
  <c r="BD1028" i="1"/>
  <c r="BC1028" i="1"/>
  <c r="BB1028" i="1"/>
  <c r="BA1028" i="1"/>
  <c r="AZ1028" i="1"/>
  <c r="AY1028" i="1"/>
  <c r="BE1028" i="1" s="1" a="1"/>
  <c r="BE1028" i="1" s="1"/>
  <c r="AX1028" i="1"/>
  <c r="M1028" i="1"/>
  <c r="EM1027" i="1"/>
  <c r="DU1027" i="1"/>
  <c r="DT1027" i="1"/>
  <c r="DN1027" i="1"/>
  <c r="DM1027" i="1"/>
  <c r="DL1027" i="1"/>
  <c r="DK1027" i="1"/>
  <c r="DI1027" i="1"/>
  <c r="DJ1027" i="1" s="1"/>
  <c r="DC1027" i="1"/>
  <c r="CX1027" i="1"/>
  <c r="CN1027" i="1"/>
  <c r="BV1027" i="1"/>
  <c r="BX1027" i="1" s="1"/>
  <c r="BU1027" i="1"/>
  <c r="BN1027" i="1"/>
  <c r="BO1027" i="1" s="1"/>
  <c r="BD1027" i="1"/>
  <c r="BC1027" i="1"/>
  <c r="BB1027" i="1"/>
  <c r="BA1027" i="1"/>
  <c r="AZ1027" i="1"/>
  <c r="AY1027" i="1"/>
  <c r="BE1027" i="1" s="1" a="1"/>
  <c r="BE1027" i="1" s="1"/>
  <c r="AX1027" i="1"/>
  <c r="M1027" i="1"/>
  <c r="EM964" i="1"/>
  <c r="DU964" i="1"/>
  <c r="DT964" i="1"/>
  <c r="DN964" i="1"/>
  <c r="DM964" i="1"/>
  <c r="DL964" i="1"/>
  <c r="DK964" i="1"/>
  <c r="DI964" i="1"/>
  <c r="DJ964" i="1" s="1"/>
  <c r="DC964" i="1"/>
  <c r="CX964" i="1"/>
  <c r="CN964" i="1"/>
  <c r="BV964" i="1"/>
  <c r="BX964" i="1" s="1"/>
  <c r="BU964" i="1"/>
  <c r="BN964" i="1"/>
  <c r="BO964" i="1" s="1"/>
  <c r="BM964" i="1"/>
  <c r="BD964" i="1"/>
  <c r="BC964" i="1"/>
  <c r="BB964" i="1"/>
  <c r="BA964" i="1"/>
  <c r="AZ964" i="1"/>
  <c r="AY964" i="1"/>
  <c r="BE964" i="1" s="1" a="1"/>
  <c r="BE964" i="1" s="1"/>
  <c r="AX964" i="1"/>
  <c r="M964" i="1"/>
  <c r="EM963" i="1"/>
  <c r="DU963" i="1"/>
  <c r="DT963" i="1"/>
  <c r="DN963" i="1"/>
  <c r="DM963" i="1"/>
  <c r="DL963" i="1"/>
  <c r="DK963" i="1"/>
  <c r="DI963" i="1"/>
  <c r="DJ963" i="1" s="1"/>
  <c r="DC963" i="1"/>
  <c r="CX963" i="1"/>
  <c r="CN963" i="1"/>
  <c r="CS963" i="1" s="1"/>
  <c r="BV963" i="1"/>
  <c r="BX963" i="1" s="1"/>
  <c r="BU963" i="1"/>
  <c r="BN963" i="1"/>
  <c r="BO963" i="1" s="1"/>
  <c r="BM963" i="1"/>
  <c r="BD963" i="1"/>
  <c r="BC963" i="1"/>
  <c r="BB963" i="1"/>
  <c r="BA963" i="1"/>
  <c r="AZ963" i="1"/>
  <c r="AY963" i="1"/>
  <c r="BE963" i="1" s="1" a="1"/>
  <c r="BE963" i="1" s="1"/>
  <c r="AX963" i="1"/>
  <c r="M963" i="1"/>
  <c r="EM885" i="1"/>
  <c r="DU885" i="1"/>
  <c r="DT885" i="1"/>
  <c r="DN885" i="1"/>
  <c r="DM885" i="1"/>
  <c r="DL885" i="1"/>
  <c r="DK885" i="1"/>
  <c r="DI885" i="1"/>
  <c r="DJ885" i="1" s="1"/>
  <c r="DC885" i="1"/>
  <c r="CX885" i="1"/>
  <c r="CN885" i="1"/>
  <c r="CP885" i="1" s="1"/>
  <c r="BV885" i="1"/>
  <c r="BX885" i="1" s="1"/>
  <c r="BU885" i="1"/>
  <c r="BN885" i="1"/>
  <c r="BO885" i="1" s="1"/>
  <c r="BD885" i="1"/>
  <c r="BC885" i="1"/>
  <c r="BB885" i="1"/>
  <c r="BA885" i="1"/>
  <c r="AZ885" i="1"/>
  <c r="AY885" i="1"/>
  <c r="BE885" i="1" s="1" a="1"/>
  <c r="BE885" i="1" s="1"/>
  <c r="AX885" i="1"/>
  <c r="M885" i="1"/>
  <c r="EM883" i="1"/>
  <c r="DU883" i="1"/>
  <c r="DT883" i="1"/>
  <c r="DN883" i="1"/>
  <c r="DM883" i="1"/>
  <c r="DL883" i="1"/>
  <c r="DK883" i="1"/>
  <c r="DI883" i="1"/>
  <c r="DJ883" i="1" s="1"/>
  <c r="DC883" i="1"/>
  <c r="CX883" i="1"/>
  <c r="CN883" i="1"/>
  <c r="BV883" i="1"/>
  <c r="BX883" i="1" s="1"/>
  <c r="BU883" i="1"/>
  <c r="BN883" i="1"/>
  <c r="BO883" i="1" s="1"/>
  <c r="BM883" i="1"/>
  <c r="BD883" i="1"/>
  <c r="BC883" i="1"/>
  <c r="BB883" i="1"/>
  <c r="BA883" i="1"/>
  <c r="AZ883" i="1"/>
  <c r="AY883" i="1"/>
  <c r="BE883" i="1" s="1" a="1"/>
  <c r="BE883" i="1" s="1"/>
  <c r="AX883" i="1"/>
  <c r="M883" i="1"/>
  <c r="EM881" i="1"/>
  <c r="DU881" i="1"/>
  <c r="DT881" i="1"/>
  <c r="DN881" i="1"/>
  <c r="DM881" i="1"/>
  <c r="DL881" i="1"/>
  <c r="DK881" i="1"/>
  <c r="DI881" i="1"/>
  <c r="DJ881" i="1" s="1"/>
  <c r="DC881" i="1"/>
  <c r="CX881" i="1"/>
  <c r="CN881" i="1"/>
  <c r="CP881" i="1" s="1"/>
  <c r="BV881" i="1"/>
  <c r="BX881" i="1" s="1"/>
  <c r="BU881" i="1"/>
  <c r="BN881" i="1"/>
  <c r="BO881" i="1" s="1"/>
  <c r="BM881" i="1"/>
  <c r="BD881" i="1"/>
  <c r="BC881" i="1"/>
  <c r="BB881" i="1"/>
  <c r="BA881" i="1"/>
  <c r="AZ881" i="1"/>
  <c r="AY881" i="1"/>
  <c r="BE881" i="1" s="1" a="1"/>
  <c r="BE881" i="1" s="1"/>
  <c r="AX881" i="1"/>
  <c r="M881" i="1"/>
  <c r="EM880" i="1"/>
  <c r="DU880" i="1"/>
  <c r="DT880" i="1"/>
  <c r="DN880" i="1"/>
  <c r="DM880" i="1"/>
  <c r="DL880" i="1"/>
  <c r="DK880" i="1"/>
  <c r="DI880" i="1"/>
  <c r="DJ880" i="1" s="1"/>
  <c r="DC880" i="1"/>
  <c r="CX880" i="1"/>
  <c r="CN880" i="1"/>
  <c r="CR880" i="1" s="1"/>
  <c r="BV880" i="1"/>
  <c r="BX880" i="1" s="1"/>
  <c r="BU880" i="1"/>
  <c r="BN880" i="1"/>
  <c r="BO880" i="1" s="1"/>
  <c r="BM880" i="1"/>
  <c r="BD880" i="1"/>
  <c r="BC880" i="1"/>
  <c r="BB880" i="1"/>
  <c r="BA880" i="1"/>
  <c r="AZ880" i="1"/>
  <c r="AY880" i="1"/>
  <c r="BE880" i="1" s="1" a="1"/>
  <c r="BE880" i="1" s="1"/>
  <c r="AX880" i="1"/>
  <c r="M880" i="1"/>
  <c r="EM882" i="1"/>
  <c r="DU882" i="1"/>
  <c r="DT882" i="1"/>
  <c r="DN882" i="1"/>
  <c r="DM882" i="1"/>
  <c r="DL882" i="1"/>
  <c r="DK882" i="1"/>
  <c r="DI882" i="1"/>
  <c r="DJ882" i="1" s="1"/>
  <c r="DC882" i="1"/>
  <c r="CX882" i="1"/>
  <c r="CN882" i="1"/>
  <c r="CO882" i="1" s="1"/>
  <c r="BV882" i="1"/>
  <c r="BX882" i="1" s="1"/>
  <c r="BU882" i="1"/>
  <c r="BN882" i="1"/>
  <c r="BO882" i="1" s="1"/>
  <c r="BD882" i="1"/>
  <c r="BC882" i="1"/>
  <c r="BB882" i="1"/>
  <c r="BA882" i="1"/>
  <c r="AZ882" i="1"/>
  <c r="AY882" i="1"/>
  <c r="BE882" i="1" s="1" a="1"/>
  <c r="BE882" i="1" s="1"/>
  <c r="AX882" i="1"/>
  <c r="M882" i="1"/>
  <c r="EM875" i="1"/>
  <c r="DU875" i="1"/>
  <c r="DT875" i="1"/>
  <c r="DN875" i="1"/>
  <c r="DM875" i="1"/>
  <c r="DL875" i="1"/>
  <c r="DK875" i="1"/>
  <c r="DI875" i="1"/>
  <c r="DJ875" i="1" s="1"/>
  <c r="DC875" i="1"/>
  <c r="CX875" i="1"/>
  <c r="BV875" i="1"/>
  <c r="BX875" i="1" s="1"/>
  <c r="BU875" i="1"/>
  <c r="BK875" i="1"/>
  <c r="BN875" i="1" s="1"/>
  <c r="BO875" i="1" s="1"/>
  <c r="BD875" i="1"/>
  <c r="BC875" i="1"/>
  <c r="BB875" i="1"/>
  <c r="BA875" i="1"/>
  <c r="AZ875" i="1"/>
  <c r="AY875" i="1"/>
  <c r="BE875" i="1" s="1" a="1"/>
  <c r="BE875" i="1" s="1"/>
  <c r="AX875" i="1"/>
  <c r="M875" i="1"/>
  <c r="EM876" i="1"/>
  <c r="DU876" i="1"/>
  <c r="DT876" i="1"/>
  <c r="DN876" i="1"/>
  <c r="DM876" i="1"/>
  <c r="DL876" i="1"/>
  <c r="DK876" i="1"/>
  <c r="DI876" i="1"/>
  <c r="DJ876" i="1" s="1"/>
  <c r="DC876" i="1"/>
  <c r="CX876" i="1"/>
  <c r="BV876" i="1"/>
  <c r="BX876" i="1" s="1"/>
  <c r="BU876" i="1"/>
  <c r="BK876" i="1"/>
  <c r="BM876" i="1" s="1"/>
  <c r="BD876" i="1"/>
  <c r="BC876" i="1"/>
  <c r="BB876" i="1"/>
  <c r="BA876" i="1"/>
  <c r="AZ876" i="1"/>
  <c r="AY876" i="1"/>
  <c r="BE876" i="1" s="1" a="1"/>
  <c r="BE876" i="1" s="1"/>
  <c r="AX876" i="1"/>
  <c r="M876" i="1"/>
  <c r="EM866" i="1"/>
  <c r="DU866" i="1"/>
  <c r="DT866" i="1"/>
  <c r="DN866" i="1"/>
  <c r="DM866" i="1"/>
  <c r="DL866" i="1"/>
  <c r="DK866" i="1"/>
  <c r="DI866" i="1"/>
  <c r="DJ866" i="1" s="1"/>
  <c r="DC866" i="1"/>
  <c r="CX866" i="1"/>
  <c r="CN866" i="1"/>
  <c r="CS866" i="1" s="1"/>
  <c r="BX866" i="1"/>
  <c r="BU866" i="1"/>
  <c r="BN866" i="1"/>
  <c r="BO866" i="1" s="1"/>
  <c r="BD866" i="1"/>
  <c r="BC866" i="1"/>
  <c r="BB866" i="1"/>
  <c r="BA866" i="1"/>
  <c r="AZ866" i="1"/>
  <c r="AY866" i="1"/>
  <c r="BE866" i="1" s="1" a="1"/>
  <c r="BE866" i="1" s="1"/>
  <c r="AX866" i="1"/>
  <c r="M866" i="1"/>
  <c r="EM865" i="1"/>
  <c r="DU865" i="1"/>
  <c r="DT865" i="1"/>
  <c r="DN865" i="1"/>
  <c r="DM865" i="1"/>
  <c r="DL865" i="1"/>
  <c r="DK865" i="1"/>
  <c r="DI865" i="1"/>
  <c r="DJ865" i="1" s="1"/>
  <c r="DC865" i="1"/>
  <c r="CX865" i="1"/>
  <c r="CN865" i="1"/>
  <c r="CS865" i="1" s="1"/>
  <c r="BX865" i="1"/>
  <c r="BU865" i="1"/>
  <c r="BN865" i="1"/>
  <c r="BO865" i="1" s="1"/>
  <c r="BD865" i="1"/>
  <c r="BC865" i="1"/>
  <c r="BB865" i="1"/>
  <c r="BA865" i="1"/>
  <c r="AZ865" i="1"/>
  <c r="AY865" i="1"/>
  <c r="BE865" i="1" s="1" a="1"/>
  <c r="BE865" i="1" s="1"/>
  <c r="AX865" i="1"/>
  <c r="M865" i="1"/>
  <c r="EM864" i="1"/>
  <c r="DU864" i="1"/>
  <c r="DT864" i="1"/>
  <c r="DN864" i="1"/>
  <c r="DM864" i="1"/>
  <c r="DL864" i="1"/>
  <c r="DK864" i="1"/>
  <c r="DI864" i="1"/>
  <c r="DJ864" i="1" s="1"/>
  <c r="DC864" i="1"/>
  <c r="CX864" i="1"/>
  <c r="CN864" i="1"/>
  <c r="CR864" i="1" s="1"/>
  <c r="BX864" i="1"/>
  <c r="BU864" i="1"/>
  <c r="BN864" i="1"/>
  <c r="BO864" i="1" s="1"/>
  <c r="BD864" i="1"/>
  <c r="BC864" i="1"/>
  <c r="BB864" i="1"/>
  <c r="BA864" i="1"/>
  <c r="AZ864" i="1"/>
  <c r="AY864" i="1"/>
  <c r="BE864" i="1" s="1" a="1"/>
  <c r="BE864" i="1" s="1"/>
  <c r="AX864" i="1"/>
  <c r="M864" i="1"/>
  <c r="EM862" i="1"/>
  <c r="DU862" i="1"/>
  <c r="DT862" i="1"/>
  <c r="DN862" i="1"/>
  <c r="DM862" i="1"/>
  <c r="DL862" i="1"/>
  <c r="DK862" i="1"/>
  <c r="DI862" i="1"/>
  <c r="DJ862" i="1" s="1"/>
  <c r="DC862" i="1"/>
  <c r="CX862" i="1"/>
  <c r="CN862" i="1"/>
  <c r="CR862" i="1" s="1"/>
  <c r="BX862" i="1"/>
  <c r="BU862" i="1"/>
  <c r="BN862" i="1"/>
  <c r="BO862" i="1" s="1"/>
  <c r="BD862" i="1"/>
  <c r="BC862" i="1"/>
  <c r="BB862" i="1"/>
  <c r="BA862" i="1"/>
  <c r="AZ862" i="1"/>
  <c r="AY862" i="1"/>
  <c r="BE862" i="1" s="1" a="1"/>
  <c r="BE862" i="1" s="1"/>
  <c r="AX862" i="1"/>
  <c r="M862" i="1"/>
  <c r="EM860" i="1"/>
  <c r="DU860" i="1"/>
  <c r="DT860" i="1"/>
  <c r="DN860" i="1"/>
  <c r="DM860" i="1"/>
  <c r="DL860" i="1"/>
  <c r="DK860" i="1"/>
  <c r="DI860" i="1"/>
  <c r="DJ860" i="1" s="1"/>
  <c r="DC860" i="1"/>
  <c r="CX860" i="1"/>
  <c r="CN860" i="1"/>
  <c r="CR860" i="1" s="1"/>
  <c r="BX860" i="1"/>
  <c r="BU860" i="1"/>
  <c r="BN860" i="1"/>
  <c r="BO860" i="1" s="1"/>
  <c r="BD860" i="1"/>
  <c r="BC860" i="1"/>
  <c r="BB860" i="1"/>
  <c r="BA860" i="1"/>
  <c r="AZ860" i="1"/>
  <c r="AY860" i="1"/>
  <c r="BE860" i="1" s="1" a="1"/>
  <c r="BE860" i="1" s="1"/>
  <c r="AX860" i="1"/>
  <c r="M860" i="1"/>
  <c r="EM859" i="1"/>
  <c r="DU859" i="1"/>
  <c r="DT859" i="1"/>
  <c r="DN859" i="1"/>
  <c r="DM859" i="1"/>
  <c r="DL859" i="1"/>
  <c r="DK859" i="1"/>
  <c r="DI859" i="1"/>
  <c r="DJ859" i="1" s="1"/>
  <c r="DC859" i="1"/>
  <c r="CX859" i="1"/>
  <c r="CN859" i="1"/>
  <c r="CR859" i="1" s="1"/>
  <c r="BX859" i="1"/>
  <c r="BU859" i="1"/>
  <c r="BN859" i="1"/>
  <c r="BO859" i="1" s="1"/>
  <c r="BD859" i="1"/>
  <c r="BC859" i="1"/>
  <c r="BB859" i="1"/>
  <c r="BA859" i="1"/>
  <c r="AZ859" i="1"/>
  <c r="AY859" i="1"/>
  <c r="BE859" i="1" s="1" a="1"/>
  <c r="BE859" i="1" s="1"/>
  <c r="AX859" i="1"/>
  <c r="M859" i="1"/>
  <c r="EM857" i="1"/>
  <c r="DU857" i="1"/>
  <c r="DT857" i="1"/>
  <c r="DN857" i="1"/>
  <c r="DM857" i="1"/>
  <c r="DL857" i="1"/>
  <c r="DK857" i="1"/>
  <c r="DI857" i="1"/>
  <c r="DJ857" i="1" s="1"/>
  <c r="DC857" i="1"/>
  <c r="CX857" i="1"/>
  <c r="CN857" i="1"/>
  <c r="CR857" i="1" s="1"/>
  <c r="BX857" i="1"/>
  <c r="BU857" i="1"/>
  <c r="BN857" i="1"/>
  <c r="BO857" i="1" s="1"/>
  <c r="BD857" i="1"/>
  <c r="BC857" i="1"/>
  <c r="BB857" i="1"/>
  <c r="BA857" i="1"/>
  <c r="AZ857" i="1"/>
  <c r="AY857" i="1"/>
  <c r="BE857" i="1" s="1" a="1"/>
  <c r="BE857" i="1" s="1"/>
  <c r="AX857" i="1"/>
  <c r="M857" i="1"/>
  <c r="EM870" i="1"/>
  <c r="DU870" i="1"/>
  <c r="DT870" i="1"/>
  <c r="DN870" i="1"/>
  <c r="DM870" i="1"/>
  <c r="DL870" i="1"/>
  <c r="DK870" i="1"/>
  <c r="DI870" i="1"/>
  <c r="DJ870" i="1" s="1"/>
  <c r="DC870" i="1"/>
  <c r="CX870" i="1"/>
  <c r="CN870" i="1"/>
  <c r="CS870" i="1" s="1"/>
  <c r="BX870" i="1"/>
  <c r="BU870" i="1"/>
  <c r="BN870" i="1"/>
  <c r="BO870" i="1" s="1"/>
  <c r="BD870" i="1"/>
  <c r="BC870" i="1"/>
  <c r="BB870" i="1"/>
  <c r="BA870" i="1"/>
  <c r="AZ870" i="1"/>
  <c r="AY870" i="1"/>
  <c r="BE870" i="1" s="1" a="1"/>
  <c r="BE870" i="1" s="1"/>
  <c r="AX870" i="1"/>
  <c r="M870" i="1"/>
  <c r="EM868" i="1"/>
  <c r="DU868" i="1"/>
  <c r="DT868" i="1"/>
  <c r="DN868" i="1"/>
  <c r="DM868" i="1"/>
  <c r="DL868" i="1"/>
  <c r="DK868" i="1"/>
  <c r="DI868" i="1"/>
  <c r="DJ868" i="1" s="1"/>
  <c r="DC868" i="1"/>
  <c r="CX868" i="1"/>
  <c r="CN868" i="1"/>
  <c r="CS868" i="1" s="1"/>
  <c r="BX868" i="1"/>
  <c r="BN868" i="1"/>
  <c r="BO868" i="1" s="1"/>
  <c r="BM868" i="1"/>
  <c r="BD868" i="1"/>
  <c r="BC868" i="1"/>
  <c r="BB868" i="1"/>
  <c r="BA868" i="1"/>
  <c r="AZ868" i="1"/>
  <c r="AY868" i="1"/>
  <c r="BE868" i="1" s="1" a="1"/>
  <c r="BE868" i="1" s="1"/>
  <c r="AX868" i="1"/>
  <c r="M868" i="1"/>
  <c r="EM867" i="1"/>
  <c r="DU867" i="1"/>
  <c r="DT867" i="1"/>
  <c r="DN867" i="1"/>
  <c r="DM867" i="1"/>
  <c r="DL867" i="1"/>
  <c r="DK867" i="1"/>
  <c r="DI867" i="1"/>
  <c r="DJ867" i="1" s="1"/>
  <c r="DC867" i="1"/>
  <c r="CX867" i="1"/>
  <c r="CN867" i="1"/>
  <c r="CR867" i="1" s="1"/>
  <c r="BX867" i="1"/>
  <c r="BN867" i="1"/>
  <c r="BO867" i="1" s="1"/>
  <c r="BM867" i="1"/>
  <c r="BD867" i="1"/>
  <c r="BC867" i="1"/>
  <c r="BB867" i="1"/>
  <c r="BA867" i="1"/>
  <c r="AZ867" i="1"/>
  <c r="AY867" i="1"/>
  <c r="BE867" i="1" s="1" a="1"/>
  <c r="BE867" i="1" s="1"/>
  <c r="AX867" i="1"/>
  <c r="M867" i="1"/>
  <c r="EM869" i="1"/>
  <c r="DU869" i="1"/>
  <c r="DT869" i="1"/>
  <c r="DN869" i="1"/>
  <c r="DM869" i="1"/>
  <c r="DL869" i="1"/>
  <c r="DK869" i="1"/>
  <c r="DI869" i="1"/>
  <c r="DJ869" i="1" s="1"/>
  <c r="DC869" i="1"/>
  <c r="CX869" i="1"/>
  <c r="CN869" i="1"/>
  <c r="CS869" i="1" s="1"/>
  <c r="BX869" i="1"/>
  <c r="BN869" i="1"/>
  <c r="BO869" i="1" s="1"/>
  <c r="BD869" i="1"/>
  <c r="BC869" i="1"/>
  <c r="BB869" i="1"/>
  <c r="BA869" i="1"/>
  <c r="AZ869" i="1"/>
  <c r="AY869" i="1"/>
  <c r="BE869" i="1" s="1" a="1"/>
  <c r="BE869" i="1" s="1"/>
  <c r="AX869" i="1"/>
  <c r="M869" i="1"/>
  <c r="EM861" i="1"/>
  <c r="DU861" i="1"/>
  <c r="DT861" i="1"/>
  <c r="DN861" i="1"/>
  <c r="DM861" i="1"/>
  <c r="DL861" i="1"/>
  <c r="DK861" i="1"/>
  <c r="DI861" i="1"/>
  <c r="DJ861" i="1" s="1"/>
  <c r="DC861" i="1"/>
  <c r="CX861" i="1"/>
  <c r="CN861" i="1"/>
  <c r="BX861" i="1"/>
  <c r="BU861" i="1"/>
  <c r="BN861" i="1"/>
  <c r="BO861" i="1" s="1"/>
  <c r="BD861" i="1"/>
  <c r="BC861" i="1"/>
  <c r="BB861" i="1"/>
  <c r="BA861" i="1"/>
  <c r="AZ861" i="1"/>
  <c r="AY861" i="1"/>
  <c r="BE861" i="1" s="1" a="1"/>
  <c r="BE861" i="1" s="1"/>
  <c r="AX861" i="1"/>
  <c r="M861" i="1"/>
  <c r="EM858" i="1"/>
  <c r="DU858" i="1"/>
  <c r="DT858" i="1"/>
  <c r="DN858" i="1"/>
  <c r="DM858" i="1"/>
  <c r="DL858" i="1"/>
  <c r="DK858" i="1"/>
  <c r="DI858" i="1"/>
  <c r="DJ858" i="1" s="1"/>
  <c r="DC858" i="1"/>
  <c r="CX858" i="1"/>
  <c r="CN858" i="1"/>
  <c r="CO858" i="1" s="1"/>
  <c r="BX858" i="1"/>
  <c r="BN858" i="1"/>
  <c r="BO858" i="1" s="1"/>
  <c r="BD858" i="1"/>
  <c r="BC858" i="1"/>
  <c r="BB858" i="1"/>
  <c r="BA858" i="1"/>
  <c r="AZ858" i="1"/>
  <c r="AY858" i="1"/>
  <c r="BE858" i="1" s="1" a="1"/>
  <c r="BE858" i="1" s="1"/>
  <c r="AX858" i="1"/>
  <c r="M858" i="1"/>
  <c r="EM863" i="1"/>
  <c r="DU863" i="1"/>
  <c r="DT863" i="1"/>
  <c r="DN863" i="1"/>
  <c r="DM863" i="1"/>
  <c r="DL863" i="1"/>
  <c r="DK863" i="1"/>
  <c r="DI863" i="1"/>
  <c r="DJ863" i="1" s="1"/>
  <c r="DC863" i="1"/>
  <c r="CX863" i="1"/>
  <c r="CN863" i="1"/>
  <c r="CO863" i="1" s="1"/>
  <c r="BX863" i="1"/>
  <c r="BN863" i="1"/>
  <c r="BO863" i="1" s="1"/>
  <c r="BM863" i="1"/>
  <c r="BD863" i="1"/>
  <c r="BC863" i="1"/>
  <c r="BB863" i="1"/>
  <c r="BA863" i="1"/>
  <c r="AZ863" i="1"/>
  <c r="AY863" i="1"/>
  <c r="BE863" i="1" s="1" a="1"/>
  <c r="BE863" i="1" s="1"/>
  <c r="AX863" i="1"/>
  <c r="M863" i="1"/>
  <c r="EM852" i="1"/>
  <c r="DU852" i="1"/>
  <c r="DT852" i="1"/>
  <c r="DN852" i="1"/>
  <c r="DM852" i="1"/>
  <c r="DL852" i="1"/>
  <c r="DK852" i="1"/>
  <c r="DI852" i="1"/>
  <c r="DJ852" i="1" s="1"/>
  <c r="DC852" i="1"/>
  <c r="CX852" i="1"/>
  <c r="BV852" i="1"/>
  <c r="BX852" i="1" s="1"/>
  <c r="BU852" i="1"/>
  <c r="BK852" i="1"/>
  <c r="BM852" i="1" s="1"/>
  <c r="BD852" i="1"/>
  <c r="BC852" i="1"/>
  <c r="BB852" i="1"/>
  <c r="BA852" i="1"/>
  <c r="AZ852" i="1"/>
  <c r="AY852" i="1"/>
  <c r="BE852" i="1" s="1" a="1"/>
  <c r="BE852" i="1" s="1"/>
  <c r="AX852" i="1"/>
  <c r="M852" i="1"/>
  <c r="EM851" i="1"/>
  <c r="DU851" i="1"/>
  <c r="DT851" i="1"/>
  <c r="DN851" i="1"/>
  <c r="DM851" i="1"/>
  <c r="DL851" i="1"/>
  <c r="DK851" i="1"/>
  <c r="DI851" i="1"/>
  <c r="DJ851" i="1" s="1"/>
  <c r="DC851" i="1"/>
  <c r="CX851" i="1"/>
  <c r="BV851" i="1"/>
  <c r="BX851" i="1" s="1"/>
  <c r="BU851" i="1"/>
  <c r="BK851" i="1"/>
  <c r="BM851" i="1" s="1"/>
  <c r="BD851" i="1"/>
  <c r="BC851" i="1"/>
  <c r="BB851" i="1"/>
  <c r="BA851" i="1"/>
  <c r="AZ851" i="1"/>
  <c r="AY851" i="1"/>
  <c r="BE851" i="1" s="1" a="1"/>
  <c r="BE851" i="1" s="1"/>
  <c r="AX851" i="1"/>
  <c r="M851" i="1"/>
  <c r="EM832" i="1"/>
  <c r="DU832" i="1"/>
  <c r="DT832" i="1"/>
  <c r="DN832" i="1"/>
  <c r="DM832" i="1"/>
  <c r="DL832" i="1"/>
  <c r="DK832" i="1"/>
  <c r="DI832" i="1"/>
  <c r="DJ832" i="1" s="1"/>
  <c r="DC832" i="1"/>
  <c r="CX832" i="1"/>
  <c r="BT832" i="1"/>
  <c r="BS832" i="1"/>
  <c r="BL832" i="1"/>
  <c r="CN832" i="1" s="1"/>
  <c r="BD832" i="1"/>
  <c r="BC832" i="1"/>
  <c r="BB832" i="1"/>
  <c r="BA832" i="1"/>
  <c r="AZ832" i="1"/>
  <c r="AY832" i="1"/>
  <c r="BE832" i="1" s="1" a="1"/>
  <c r="BE832" i="1" s="1"/>
  <c r="AX832" i="1"/>
  <c r="M832" i="1"/>
  <c r="EM831" i="1"/>
  <c r="DU831" i="1"/>
  <c r="DT831" i="1"/>
  <c r="DN831" i="1"/>
  <c r="DM831" i="1"/>
  <c r="DL831" i="1"/>
  <c r="DK831" i="1"/>
  <c r="DI831" i="1"/>
  <c r="DJ831" i="1" s="1"/>
  <c r="DC831" i="1"/>
  <c r="CX831" i="1"/>
  <c r="CN831" i="1"/>
  <c r="BT831" i="1"/>
  <c r="BS831" i="1"/>
  <c r="BN831" i="1"/>
  <c r="BO831" i="1" s="1"/>
  <c r="BD831" i="1"/>
  <c r="BC831" i="1"/>
  <c r="BB831" i="1"/>
  <c r="BA831" i="1"/>
  <c r="AZ831" i="1"/>
  <c r="AY831" i="1"/>
  <c r="BE831" i="1" s="1" a="1"/>
  <c r="BE831" i="1" s="1"/>
  <c r="AX831" i="1"/>
  <c r="M831" i="1"/>
  <c r="EM830" i="1"/>
  <c r="DU830" i="1"/>
  <c r="DT830" i="1"/>
  <c r="DN830" i="1"/>
  <c r="DM830" i="1"/>
  <c r="DL830" i="1"/>
  <c r="DK830" i="1"/>
  <c r="DI830" i="1"/>
  <c r="DJ830" i="1" s="1"/>
  <c r="DC830" i="1"/>
  <c r="CX830" i="1"/>
  <c r="BT830" i="1"/>
  <c r="BS830" i="1"/>
  <c r="BL830" i="1"/>
  <c r="CN830" i="1" s="1"/>
  <c r="CP830" i="1" s="1"/>
  <c r="BD830" i="1"/>
  <c r="BC830" i="1"/>
  <c r="BB830" i="1"/>
  <c r="BA830" i="1"/>
  <c r="AZ830" i="1"/>
  <c r="AY830" i="1"/>
  <c r="BE830" i="1" s="1" a="1"/>
  <c r="BE830" i="1" s="1"/>
  <c r="AX830" i="1"/>
  <c r="M830" i="1"/>
  <c r="EM829" i="1"/>
  <c r="DU829" i="1"/>
  <c r="DT829" i="1"/>
  <c r="DN829" i="1"/>
  <c r="DM829" i="1"/>
  <c r="DL829" i="1"/>
  <c r="DK829" i="1"/>
  <c r="DI829" i="1"/>
  <c r="DJ829" i="1" s="1"/>
  <c r="DC829" i="1"/>
  <c r="CX829" i="1"/>
  <c r="CN829" i="1"/>
  <c r="CR829" i="1" s="1"/>
  <c r="BV829" i="1"/>
  <c r="BX829" i="1" s="1"/>
  <c r="BU829" i="1"/>
  <c r="BN829" i="1"/>
  <c r="BO829" i="1" s="1"/>
  <c r="BD829" i="1"/>
  <c r="BC829" i="1"/>
  <c r="BB829" i="1"/>
  <c r="BA829" i="1"/>
  <c r="AZ829" i="1"/>
  <c r="AY829" i="1"/>
  <c r="BE829" i="1" s="1" a="1"/>
  <c r="BE829" i="1" s="1"/>
  <c r="AX829" i="1"/>
  <c r="M829" i="1"/>
  <c r="EM833" i="1"/>
  <c r="DU833" i="1"/>
  <c r="DT833" i="1"/>
  <c r="DN833" i="1"/>
  <c r="DM833" i="1"/>
  <c r="DL833" i="1"/>
  <c r="DK833" i="1"/>
  <c r="DI833" i="1"/>
  <c r="DJ833" i="1" s="1"/>
  <c r="DC833" i="1"/>
  <c r="CX833" i="1"/>
  <c r="BT833" i="1"/>
  <c r="BS833" i="1"/>
  <c r="BL833" i="1"/>
  <c r="BK833" i="1"/>
  <c r="BD833" i="1"/>
  <c r="BC833" i="1"/>
  <c r="BB833" i="1"/>
  <c r="BA833" i="1"/>
  <c r="AZ833" i="1"/>
  <c r="AY833" i="1"/>
  <c r="BE833" i="1" s="1" a="1"/>
  <c r="BE833" i="1" s="1"/>
  <c r="AX833" i="1"/>
  <c r="M833" i="1"/>
  <c r="EM765" i="1"/>
  <c r="DU765" i="1"/>
  <c r="DT765" i="1"/>
  <c r="DN765" i="1"/>
  <c r="DM765" i="1"/>
  <c r="DL765" i="1"/>
  <c r="DK765" i="1"/>
  <c r="DI765" i="1"/>
  <c r="DJ765" i="1" s="1"/>
  <c r="DC765" i="1"/>
  <c r="CX765" i="1"/>
  <c r="BV765" i="1"/>
  <c r="BX765" i="1" s="1"/>
  <c r="BU765" i="1"/>
  <c r="BO765" i="1"/>
  <c r="BK765" i="1"/>
  <c r="BD765" i="1"/>
  <c r="BC765" i="1"/>
  <c r="BB765" i="1"/>
  <c r="BA765" i="1"/>
  <c r="AZ765" i="1"/>
  <c r="AY765" i="1"/>
  <c r="AX765" i="1"/>
  <c r="M765" i="1"/>
  <c r="EM764" i="1"/>
  <c r="DU764" i="1"/>
  <c r="DT764" i="1"/>
  <c r="DN764" i="1"/>
  <c r="DM764" i="1"/>
  <c r="DL764" i="1"/>
  <c r="DK764" i="1"/>
  <c r="DI764" i="1"/>
  <c r="DJ764" i="1" s="1"/>
  <c r="DC764" i="1"/>
  <c r="CX764" i="1"/>
  <c r="BV764" i="1"/>
  <c r="BX764" i="1" s="1"/>
  <c r="BU764" i="1"/>
  <c r="BO764" i="1"/>
  <c r="BK764" i="1"/>
  <c r="CN764" i="1" s="1"/>
  <c r="BD764" i="1"/>
  <c r="BC764" i="1"/>
  <c r="BB764" i="1"/>
  <c r="BA764" i="1"/>
  <c r="AZ764" i="1"/>
  <c r="AY764" i="1"/>
  <c r="AX764" i="1"/>
  <c r="M764" i="1"/>
  <c r="EM767" i="1"/>
  <c r="DU767" i="1"/>
  <c r="DT767" i="1"/>
  <c r="DN767" i="1"/>
  <c r="DM767" i="1"/>
  <c r="DL767" i="1"/>
  <c r="DK767" i="1"/>
  <c r="DI767" i="1"/>
  <c r="DJ767" i="1" s="1"/>
  <c r="DC767" i="1"/>
  <c r="CX767" i="1"/>
  <c r="CN767" i="1"/>
  <c r="CO767" i="1" s="1"/>
  <c r="BX767" i="1"/>
  <c r="BU767" i="1"/>
  <c r="BN767" i="1"/>
  <c r="BO767" i="1" s="1"/>
  <c r="BM767" i="1"/>
  <c r="BD767" i="1"/>
  <c r="BC767" i="1"/>
  <c r="BB767" i="1"/>
  <c r="BA767" i="1"/>
  <c r="AZ767" i="1"/>
  <c r="AY767" i="1"/>
  <c r="AX767" i="1"/>
  <c r="M767" i="1"/>
  <c r="EM766" i="1"/>
  <c r="DU766" i="1"/>
  <c r="DT766" i="1"/>
  <c r="DN766" i="1"/>
  <c r="DM766" i="1"/>
  <c r="DL766" i="1"/>
  <c r="DK766" i="1"/>
  <c r="DI766" i="1"/>
  <c r="DJ766" i="1" s="1"/>
  <c r="DC766" i="1"/>
  <c r="CX766" i="1"/>
  <c r="CN766" i="1"/>
  <c r="CP766" i="1" s="1"/>
  <c r="BX766" i="1"/>
  <c r="BU766" i="1"/>
  <c r="BN766" i="1"/>
  <c r="BO766" i="1" s="1"/>
  <c r="BM766" i="1"/>
  <c r="BD766" i="1"/>
  <c r="BC766" i="1"/>
  <c r="BB766" i="1"/>
  <c r="BA766" i="1"/>
  <c r="AZ766" i="1"/>
  <c r="AY766" i="1"/>
  <c r="AX766" i="1"/>
  <c r="M766" i="1"/>
  <c r="EM763" i="1"/>
  <c r="DU763" i="1"/>
  <c r="DT763" i="1"/>
  <c r="DN763" i="1"/>
  <c r="DM763" i="1"/>
  <c r="DL763" i="1"/>
  <c r="DK763" i="1"/>
  <c r="DI763" i="1"/>
  <c r="DJ763" i="1" s="1"/>
  <c r="DC763" i="1"/>
  <c r="CX763" i="1"/>
  <c r="CN763" i="1"/>
  <c r="BX763" i="1"/>
  <c r="BN763" i="1"/>
  <c r="BO763" i="1" s="1"/>
  <c r="BM763" i="1"/>
  <c r="BD763" i="1"/>
  <c r="BC763" i="1"/>
  <c r="BB763" i="1"/>
  <c r="BA763" i="1"/>
  <c r="AZ763" i="1"/>
  <c r="AY763" i="1"/>
  <c r="BE763" i="1" s="1" a="1"/>
  <c r="BE763" i="1" s="1"/>
  <c r="AX763" i="1"/>
  <c r="M763" i="1"/>
  <c r="EM726" i="1"/>
  <c r="DU726" i="1"/>
  <c r="DT726" i="1"/>
  <c r="DN726" i="1"/>
  <c r="DM726" i="1"/>
  <c r="DL726" i="1"/>
  <c r="DK726" i="1"/>
  <c r="DI726" i="1"/>
  <c r="DJ726" i="1" s="1"/>
  <c r="DC726" i="1"/>
  <c r="CX726" i="1"/>
  <c r="CN726" i="1"/>
  <c r="CS726" i="1" s="1"/>
  <c r="BV726" i="1"/>
  <c r="BX726" i="1" s="1"/>
  <c r="BN726" i="1"/>
  <c r="BO726" i="1" s="1"/>
  <c r="BM726" i="1"/>
  <c r="BD726" i="1"/>
  <c r="BC726" i="1"/>
  <c r="BB726" i="1"/>
  <c r="BA726" i="1"/>
  <c r="AZ726" i="1"/>
  <c r="AY726" i="1"/>
  <c r="BE726" i="1" s="1" a="1"/>
  <c r="BE726" i="1" s="1"/>
  <c r="AX726" i="1"/>
  <c r="M726" i="1"/>
  <c r="EM725" i="1"/>
  <c r="DU725" i="1"/>
  <c r="DT725" i="1"/>
  <c r="DN725" i="1"/>
  <c r="DM725" i="1"/>
  <c r="DL725" i="1"/>
  <c r="DK725" i="1"/>
  <c r="DI725" i="1"/>
  <c r="DJ725" i="1" s="1"/>
  <c r="DC725" i="1"/>
  <c r="CX725" i="1"/>
  <c r="CN725" i="1"/>
  <c r="BV725" i="1"/>
  <c r="BX725" i="1" s="1"/>
  <c r="BN725" i="1"/>
  <c r="BO725" i="1" s="1"/>
  <c r="BM725" i="1"/>
  <c r="BD725" i="1"/>
  <c r="BC725" i="1"/>
  <c r="BB725" i="1"/>
  <c r="BA725" i="1"/>
  <c r="AZ725" i="1"/>
  <c r="AY725" i="1"/>
  <c r="BE725" i="1" s="1" a="1"/>
  <c r="BE725" i="1" s="1"/>
  <c r="AX725" i="1"/>
  <c r="M725" i="1"/>
  <c r="EM724" i="1"/>
  <c r="DU724" i="1"/>
  <c r="DT724" i="1"/>
  <c r="DN724" i="1"/>
  <c r="DM724" i="1"/>
  <c r="DL724" i="1"/>
  <c r="DK724" i="1"/>
  <c r="DI724" i="1"/>
  <c r="DJ724" i="1" s="1"/>
  <c r="DC724" i="1"/>
  <c r="CX724" i="1"/>
  <c r="CN724" i="1"/>
  <c r="CO724" i="1" s="1"/>
  <c r="BX724" i="1"/>
  <c r="BN724" i="1"/>
  <c r="BO724" i="1" s="1"/>
  <c r="BM724" i="1"/>
  <c r="BD724" i="1"/>
  <c r="BC724" i="1"/>
  <c r="BB724" i="1"/>
  <c r="BA724" i="1"/>
  <c r="AZ724" i="1"/>
  <c r="AY724" i="1"/>
  <c r="BE724" i="1" s="1" a="1"/>
  <c r="BE724" i="1" s="1"/>
  <c r="AX724" i="1"/>
  <c r="M724" i="1"/>
  <c r="EM723" i="1"/>
  <c r="DU723" i="1"/>
  <c r="DT723" i="1"/>
  <c r="DN723" i="1"/>
  <c r="DM723" i="1"/>
  <c r="DL723" i="1"/>
  <c r="DK723" i="1"/>
  <c r="DI723" i="1"/>
  <c r="DJ723" i="1" s="1"/>
  <c r="DC723" i="1"/>
  <c r="CX723" i="1"/>
  <c r="CN723" i="1"/>
  <c r="CS723" i="1" s="1"/>
  <c r="BV723" i="1"/>
  <c r="BX723" i="1" s="1"/>
  <c r="BN723" i="1"/>
  <c r="BO723" i="1" s="1"/>
  <c r="BM723" i="1"/>
  <c r="BD723" i="1"/>
  <c r="BC723" i="1"/>
  <c r="BB723" i="1"/>
  <c r="BA723" i="1"/>
  <c r="AZ723" i="1"/>
  <c r="AY723" i="1"/>
  <c r="BE723" i="1" s="1" a="1"/>
  <c r="BE723" i="1" s="1"/>
  <c r="AX723" i="1"/>
  <c r="M723" i="1"/>
  <c r="EM727" i="1"/>
  <c r="DU727" i="1"/>
  <c r="DT727" i="1"/>
  <c r="DN727" i="1"/>
  <c r="DM727" i="1"/>
  <c r="DL727" i="1"/>
  <c r="DK727" i="1"/>
  <c r="DI727" i="1"/>
  <c r="DJ727" i="1" s="1"/>
  <c r="DC727" i="1"/>
  <c r="CX727" i="1"/>
  <c r="CN727" i="1"/>
  <c r="CO727" i="1" s="1"/>
  <c r="BX727" i="1"/>
  <c r="BN727" i="1"/>
  <c r="BO727" i="1" s="1"/>
  <c r="BM727" i="1"/>
  <c r="BD727" i="1"/>
  <c r="BC727" i="1"/>
  <c r="BB727" i="1"/>
  <c r="BA727" i="1"/>
  <c r="AZ727" i="1"/>
  <c r="AY727" i="1"/>
  <c r="BE727" i="1" s="1" a="1"/>
  <c r="BE727" i="1" s="1"/>
  <c r="AX727" i="1"/>
  <c r="M727" i="1"/>
  <c r="EM728" i="1"/>
  <c r="DU728" i="1"/>
  <c r="DT728" i="1"/>
  <c r="DN728" i="1"/>
  <c r="DM728" i="1"/>
  <c r="DL728" i="1"/>
  <c r="DK728" i="1"/>
  <c r="DI728" i="1"/>
  <c r="DJ728" i="1" s="1"/>
  <c r="DC728" i="1"/>
  <c r="CX728" i="1"/>
  <c r="CN728" i="1"/>
  <c r="CR728" i="1" s="1"/>
  <c r="BX728" i="1"/>
  <c r="BN728" i="1"/>
  <c r="BO728" i="1" s="1"/>
  <c r="BM728" i="1"/>
  <c r="BD728" i="1"/>
  <c r="BC728" i="1"/>
  <c r="BB728" i="1"/>
  <c r="BA728" i="1"/>
  <c r="AZ728" i="1"/>
  <c r="AY728" i="1"/>
  <c r="BE728" i="1" s="1" a="1"/>
  <c r="BE728" i="1" s="1"/>
  <c r="AX728" i="1"/>
  <c r="M728" i="1"/>
  <c r="EM722" i="1"/>
  <c r="DU722" i="1"/>
  <c r="DT722" i="1"/>
  <c r="DN722" i="1"/>
  <c r="DM722" i="1"/>
  <c r="DL722" i="1"/>
  <c r="DK722" i="1"/>
  <c r="DI722" i="1"/>
  <c r="DJ722" i="1" s="1"/>
  <c r="DC722" i="1"/>
  <c r="CX722" i="1"/>
  <c r="BX722" i="1"/>
  <c r="BK722" i="1"/>
  <c r="BD722" i="1"/>
  <c r="BC722" i="1"/>
  <c r="BB722" i="1"/>
  <c r="BA722" i="1"/>
  <c r="AZ722" i="1"/>
  <c r="AY722" i="1"/>
  <c r="BE722" i="1" s="1" a="1"/>
  <c r="BE722" i="1" s="1"/>
  <c r="AX722" i="1"/>
  <c r="M722" i="1"/>
  <c r="EM720" i="1"/>
  <c r="DU720" i="1"/>
  <c r="DT720" i="1"/>
  <c r="DN720" i="1"/>
  <c r="DM720" i="1"/>
  <c r="DL720" i="1"/>
  <c r="DK720" i="1"/>
  <c r="DI720" i="1"/>
  <c r="DJ720" i="1" s="1"/>
  <c r="DC720" i="1"/>
  <c r="CX720" i="1"/>
  <c r="BX720" i="1"/>
  <c r="BK720" i="1"/>
  <c r="BM720" i="1" s="1"/>
  <c r="BD720" i="1"/>
  <c r="BC720" i="1"/>
  <c r="BB720" i="1"/>
  <c r="BA720" i="1"/>
  <c r="AZ720" i="1"/>
  <c r="AY720" i="1"/>
  <c r="BE720" i="1" s="1" a="1"/>
  <c r="BE720" i="1" s="1"/>
  <c r="AX720" i="1"/>
  <c r="M720" i="1"/>
  <c r="EM721" i="1"/>
  <c r="DU721" i="1"/>
  <c r="DT721" i="1"/>
  <c r="DN721" i="1"/>
  <c r="DM721" i="1"/>
  <c r="DL721" i="1"/>
  <c r="DK721" i="1"/>
  <c r="DI721" i="1"/>
  <c r="DJ721" i="1" s="1"/>
  <c r="DC721" i="1"/>
  <c r="CX721" i="1"/>
  <c r="CN721" i="1"/>
  <c r="CS721" i="1" s="1"/>
  <c r="BX721" i="1"/>
  <c r="BN721" i="1"/>
  <c r="BO721" i="1" s="1"/>
  <c r="BM721" i="1"/>
  <c r="BD721" i="1"/>
  <c r="BC721" i="1"/>
  <c r="BB721" i="1"/>
  <c r="BA721" i="1"/>
  <c r="AZ721" i="1"/>
  <c r="AY721" i="1"/>
  <c r="BE721" i="1" s="1" a="1"/>
  <c r="BE721" i="1" s="1"/>
  <c r="AX721" i="1"/>
  <c r="M721" i="1"/>
  <c r="EM645" i="1"/>
  <c r="DU645" i="1"/>
  <c r="DT645" i="1"/>
  <c r="DN645" i="1"/>
  <c r="DM645" i="1"/>
  <c r="DL645" i="1"/>
  <c r="DK645" i="1"/>
  <c r="DI645" i="1"/>
  <c r="DJ645" i="1" s="1"/>
  <c r="DC645" i="1"/>
  <c r="CX645" i="1"/>
  <c r="BT645" i="1"/>
  <c r="BU645" i="1" s="1"/>
  <c r="BL645" i="1"/>
  <c r="BD645" i="1"/>
  <c r="BC645" i="1"/>
  <c r="BB645" i="1"/>
  <c r="BA645" i="1"/>
  <c r="AZ645" i="1"/>
  <c r="AY645" i="1"/>
  <c r="BE645" i="1" s="1" a="1"/>
  <c r="BE645" i="1" s="1"/>
  <c r="AX645" i="1"/>
  <c r="M645" i="1"/>
  <c r="EM646" i="1"/>
  <c r="DU646" i="1"/>
  <c r="DT646" i="1"/>
  <c r="DN646" i="1"/>
  <c r="DM646" i="1"/>
  <c r="DL646" i="1"/>
  <c r="DK646" i="1"/>
  <c r="DI646" i="1"/>
  <c r="DJ646" i="1" s="1"/>
  <c r="DC646" i="1"/>
  <c r="CX646" i="1"/>
  <c r="BT646" i="1"/>
  <c r="BV646" i="1" s="1"/>
  <c r="BX646" i="1" s="1"/>
  <c r="BL646" i="1"/>
  <c r="CN646" i="1" s="1"/>
  <c r="BD646" i="1"/>
  <c r="BC646" i="1"/>
  <c r="BB646" i="1"/>
  <c r="BA646" i="1"/>
  <c r="AZ646" i="1"/>
  <c r="AY646" i="1"/>
  <c r="BE646" i="1" s="1" a="1"/>
  <c r="BE646" i="1" s="1"/>
  <c r="AX646" i="1"/>
  <c r="M646" i="1"/>
  <c r="EM644" i="1"/>
  <c r="DU644" i="1"/>
  <c r="DT644" i="1"/>
  <c r="DN644" i="1"/>
  <c r="DM644" i="1"/>
  <c r="DL644" i="1"/>
  <c r="DK644" i="1"/>
  <c r="DI644" i="1"/>
  <c r="DJ644" i="1" s="1"/>
  <c r="DC644" i="1"/>
  <c r="CX644" i="1"/>
  <c r="BT644" i="1"/>
  <c r="BV644" i="1" s="1"/>
  <c r="BX644" i="1" s="1"/>
  <c r="BN644" i="1"/>
  <c r="BO644" i="1" s="1"/>
  <c r="BL644" i="1"/>
  <c r="CN644" i="1" s="1"/>
  <c r="CR644" i="1" s="1"/>
  <c r="BD644" i="1"/>
  <c r="BC644" i="1"/>
  <c r="BB644" i="1"/>
  <c r="BA644" i="1"/>
  <c r="AZ644" i="1"/>
  <c r="AY644" i="1"/>
  <c r="BE644" i="1" s="1" a="1"/>
  <c r="BE644" i="1" s="1"/>
  <c r="AX644" i="1"/>
  <c r="M644" i="1"/>
  <c r="EM648" i="1"/>
  <c r="DU648" i="1"/>
  <c r="DT648" i="1"/>
  <c r="DN648" i="1"/>
  <c r="DM648" i="1"/>
  <c r="DL648" i="1"/>
  <c r="DK648" i="1"/>
  <c r="DI648" i="1"/>
  <c r="DJ648" i="1" s="1"/>
  <c r="DC648" i="1"/>
  <c r="CX648" i="1"/>
  <c r="BV648" i="1"/>
  <c r="BX648" i="1" s="1"/>
  <c r="BY648" i="1" s="1"/>
  <c r="BU648" i="1"/>
  <c r="BL648" i="1"/>
  <c r="BK648" i="1"/>
  <c r="BD648" i="1"/>
  <c r="BC648" i="1"/>
  <c r="BB648" i="1"/>
  <c r="BA648" i="1"/>
  <c r="AZ648" i="1"/>
  <c r="AY648" i="1"/>
  <c r="BE648" i="1" s="1" a="1"/>
  <c r="BE648" i="1" s="1"/>
  <c r="AX648" i="1"/>
  <c r="M648" i="1"/>
  <c r="EM647" i="1"/>
  <c r="DU647" i="1"/>
  <c r="DT647" i="1"/>
  <c r="DN647" i="1"/>
  <c r="DM647" i="1"/>
  <c r="DL647" i="1"/>
  <c r="DK647" i="1"/>
  <c r="DI647" i="1"/>
  <c r="DJ647" i="1" s="1"/>
  <c r="DC647" i="1"/>
  <c r="CX647" i="1"/>
  <c r="BT647" i="1"/>
  <c r="BU647" i="1" s="1"/>
  <c r="BS647" i="1"/>
  <c r="BL647" i="1"/>
  <c r="BK647" i="1"/>
  <c r="BD647" i="1"/>
  <c r="BC647" i="1"/>
  <c r="BB647" i="1"/>
  <c r="BA647" i="1"/>
  <c r="AZ647" i="1"/>
  <c r="AY647" i="1"/>
  <c r="BE647" i="1" s="1" a="1"/>
  <c r="BE647" i="1" s="1"/>
  <c r="AX647" i="1"/>
  <c r="M647" i="1"/>
  <c r="EM542" i="1"/>
  <c r="DU542" i="1"/>
  <c r="DT542" i="1"/>
  <c r="DN542" i="1"/>
  <c r="DM542" i="1"/>
  <c r="DL542" i="1"/>
  <c r="DK542" i="1"/>
  <c r="DI542" i="1"/>
  <c r="DJ542" i="1" s="1"/>
  <c r="DC542" i="1"/>
  <c r="CX542" i="1"/>
  <c r="BT542" i="1"/>
  <c r="BS542" i="1"/>
  <c r="BL542" i="1"/>
  <c r="BK542" i="1"/>
  <c r="BD542" i="1"/>
  <c r="BC542" i="1"/>
  <c r="BB542" i="1"/>
  <c r="BA542" i="1"/>
  <c r="AZ542" i="1"/>
  <c r="AY542" i="1"/>
  <c r="BE542" i="1" s="1" a="1"/>
  <c r="BE542" i="1" s="1"/>
  <c r="AX542" i="1"/>
  <c r="M542" i="1"/>
  <c r="EM541" i="1"/>
  <c r="DU541" i="1"/>
  <c r="DT541" i="1"/>
  <c r="DN541" i="1"/>
  <c r="DM541" i="1"/>
  <c r="DL541" i="1"/>
  <c r="DK541" i="1"/>
  <c r="DI541" i="1"/>
  <c r="DJ541" i="1" s="1"/>
  <c r="DC541" i="1"/>
  <c r="CX541" i="1"/>
  <c r="BT541" i="1"/>
  <c r="BS541" i="1"/>
  <c r="BL541" i="1"/>
  <c r="BK541" i="1"/>
  <c r="BD541" i="1"/>
  <c r="BC541" i="1"/>
  <c r="BB541" i="1"/>
  <c r="BA541" i="1"/>
  <c r="AZ541" i="1"/>
  <c r="AY541" i="1"/>
  <c r="BE541" i="1" s="1" a="1"/>
  <c r="BE541" i="1" s="1"/>
  <c r="AX541" i="1"/>
  <c r="M541" i="1"/>
  <c r="EM537" i="1"/>
  <c r="DU537" i="1"/>
  <c r="DT537" i="1"/>
  <c r="DN537" i="1"/>
  <c r="DM537" i="1"/>
  <c r="DL537" i="1"/>
  <c r="DK537" i="1"/>
  <c r="DI537" i="1"/>
  <c r="DJ537" i="1" s="1"/>
  <c r="DC537" i="1"/>
  <c r="CX537" i="1"/>
  <c r="BX537" i="1"/>
  <c r="BL537" i="1"/>
  <c r="BK537" i="1"/>
  <c r="BD537" i="1"/>
  <c r="BC537" i="1"/>
  <c r="BB537" i="1"/>
  <c r="BA537" i="1"/>
  <c r="AZ537" i="1"/>
  <c r="AY537" i="1"/>
  <c r="BE537" i="1" s="1" a="1"/>
  <c r="BE537" i="1" s="1"/>
  <c r="AX537" i="1"/>
  <c r="M537" i="1"/>
  <c r="EM539" i="1"/>
  <c r="DU539" i="1"/>
  <c r="DT539" i="1"/>
  <c r="DN539" i="1"/>
  <c r="DM539" i="1"/>
  <c r="DL539" i="1"/>
  <c r="DK539" i="1"/>
  <c r="DI539" i="1"/>
  <c r="DJ539" i="1" s="1"/>
  <c r="DC539" i="1"/>
  <c r="CX539" i="1"/>
  <c r="BX539" i="1"/>
  <c r="BL539" i="1"/>
  <c r="BK539" i="1"/>
  <c r="BD539" i="1"/>
  <c r="BC539" i="1"/>
  <c r="BB539" i="1"/>
  <c r="BA539" i="1"/>
  <c r="AZ539" i="1"/>
  <c r="AY539" i="1"/>
  <c r="BE539" i="1" s="1" a="1"/>
  <c r="BE539" i="1" s="1"/>
  <c r="AX539" i="1"/>
  <c r="M539" i="1"/>
  <c r="EM535" i="1"/>
  <c r="DU535" i="1"/>
  <c r="DT535" i="1"/>
  <c r="DN535" i="1"/>
  <c r="DM535" i="1"/>
  <c r="DL535" i="1"/>
  <c r="DK535" i="1"/>
  <c r="DI535" i="1"/>
  <c r="DJ535" i="1" s="1"/>
  <c r="DC535" i="1"/>
  <c r="CX535" i="1"/>
  <c r="BX535" i="1"/>
  <c r="BL535" i="1"/>
  <c r="CN535" i="1" s="1"/>
  <c r="BK535" i="1"/>
  <c r="BD535" i="1"/>
  <c r="BC535" i="1"/>
  <c r="BB535" i="1"/>
  <c r="BA535" i="1"/>
  <c r="AZ535" i="1"/>
  <c r="AY535" i="1"/>
  <c r="BE535" i="1" s="1" a="1"/>
  <c r="BE535" i="1" s="1"/>
  <c r="AX535" i="1"/>
  <c r="M535" i="1"/>
  <c r="EM530" i="1"/>
  <c r="DU530" i="1"/>
  <c r="DT530" i="1"/>
  <c r="DN530" i="1"/>
  <c r="DM530" i="1"/>
  <c r="DL530" i="1"/>
  <c r="DK530" i="1"/>
  <c r="DI530" i="1"/>
  <c r="DJ530" i="1" s="1"/>
  <c r="DC530" i="1"/>
  <c r="CX530" i="1"/>
  <c r="CN530" i="1"/>
  <c r="BX530" i="1"/>
  <c r="BN530" i="1"/>
  <c r="BO530" i="1" s="1"/>
  <c r="BD530" i="1"/>
  <c r="BC530" i="1"/>
  <c r="BB530" i="1"/>
  <c r="BA530" i="1"/>
  <c r="AZ530" i="1"/>
  <c r="AY530" i="1"/>
  <c r="BE530" i="1" s="1" a="1"/>
  <c r="BE530" i="1" s="1"/>
  <c r="AX530" i="1"/>
  <c r="M530" i="1"/>
  <c r="EM528" i="1"/>
  <c r="DU528" i="1"/>
  <c r="DT528" i="1"/>
  <c r="DN528" i="1"/>
  <c r="DM528" i="1"/>
  <c r="DL528" i="1"/>
  <c r="DK528" i="1"/>
  <c r="DI528" i="1"/>
  <c r="DJ528" i="1" s="1"/>
  <c r="DC528" i="1"/>
  <c r="CX528" i="1"/>
  <c r="CN528" i="1"/>
  <c r="BX528" i="1"/>
  <c r="BN528" i="1"/>
  <c r="BO528" i="1" s="1"/>
  <c r="BD528" i="1"/>
  <c r="BC528" i="1"/>
  <c r="BB528" i="1"/>
  <c r="BA528" i="1"/>
  <c r="AZ528" i="1"/>
  <c r="AY528" i="1"/>
  <c r="BE528" i="1" s="1" a="1"/>
  <c r="BE528" i="1" s="1"/>
  <c r="AX528" i="1"/>
  <c r="M528" i="1"/>
  <c r="EM529" i="1"/>
  <c r="DU529" i="1"/>
  <c r="DT529" i="1"/>
  <c r="DN529" i="1"/>
  <c r="DM529" i="1"/>
  <c r="DL529" i="1"/>
  <c r="DK529" i="1"/>
  <c r="DI529" i="1"/>
  <c r="DJ529" i="1" s="1"/>
  <c r="DC529" i="1"/>
  <c r="CX529" i="1"/>
  <c r="CN529" i="1"/>
  <c r="BX529" i="1"/>
  <c r="BN529" i="1"/>
  <c r="BO529" i="1" s="1"/>
  <c r="BD529" i="1"/>
  <c r="BC529" i="1"/>
  <c r="BB529" i="1"/>
  <c r="BA529" i="1"/>
  <c r="AZ529" i="1"/>
  <c r="AY529" i="1"/>
  <c r="BE529" i="1" s="1" a="1"/>
  <c r="BE529" i="1" s="1"/>
  <c r="AX529" i="1"/>
  <c r="M529" i="1"/>
  <c r="EM538" i="1"/>
  <c r="DU538" i="1"/>
  <c r="DT538" i="1"/>
  <c r="DN538" i="1"/>
  <c r="DM538" i="1"/>
  <c r="DL538" i="1"/>
  <c r="DK538" i="1"/>
  <c r="DI538" i="1"/>
  <c r="DJ538" i="1" s="1"/>
  <c r="DC538" i="1"/>
  <c r="CX538" i="1"/>
  <c r="CN538" i="1"/>
  <c r="CS538" i="1" s="1"/>
  <c r="BX538" i="1"/>
  <c r="BN538" i="1"/>
  <c r="BO538" i="1" s="1"/>
  <c r="BD538" i="1"/>
  <c r="BC538" i="1"/>
  <c r="BB538" i="1"/>
  <c r="BA538" i="1"/>
  <c r="AZ538" i="1"/>
  <c r="AY538" i="1"/>
  <c r="BE538" i="1" s="1" a="1"/>
  <c r="BE538" i="1" s="1"/>
  <c r="AX538" i="1"/>
  <c r="M538" i="1"/>
  <c r="EM534" i="1"/>
  <c r="DU534" i="1"/>
  <c r="DT534" i="1"/>
  <c r="DN534" i="1"/>
  <c r="DM534" i="1"/>
  <c r="DL534" i="1"/>
  <c r="DK534" i="1"/>
  <c r="DI534" i="1"/>
  <c r="DJ534" i="1" s="1"/>
  <c r="DC534" i="1"/>
  <c r="CX534" i="1"/>
  <c r="CN534" i="1"/>
  <c r="BX534" i="1"/>
  <c r="BN534" i="1"/>
  <c r="BO534" i="1" s="1"/>
  <c r="BD534" i="1"/>
  <c r="BC534" i="1"/>
  <c r="BB534" i="1"/>
  <c r="BA534" i="1"/>
  <c r="AZ534" i="1"/>
  <c r="AY534" i="1"/>
  <c r="BE534" i="1" s="1" a="1"/>
  <c r="BE534" i="1" s="1"/>
  <c r="AX534" i="1"/>
  <c r="M534" i="1"/>
  <c r="EM533" i="1"/>
  <c r="DU533" i="1"/>
  <c r="DT533" i="1"/>
  <c r="DN533" i="1"/>
  <c r="DM533" i="1"/>
  <c r="DL533" i="1"/>
  <c r="DK533" i="1"/>
  <c r="DI533" i="1"/>
  <c r="DJ533" i="1" s="1"/>
  <c r="DC533" i="1"/>
  <c r="CX533" i="1"/>
  <c r="CN533" i="1"/>
  <c r="BX533" i="1"/>
  <c r="BN533" i="1"/>
  <c r="BO533" i="1" s="1"/>
  <c r="BD533" i="1"/>
  <c r="BC533" i="1"/>
  <c r="BB533" i="1"/>
  <c r="BA533" i="1"/>
  <c r="AZ533" i="1"/>
  <c r="AY533" i="1"/>
  <c r="BE533" i="1" s="1" a="1"/>
  <c r="BE533" i="1" s="1"/>
  <c r="AX533" i="1"/>
  <c r="M533" i="1"/>
  <c r="EM532" i="1"/>
  <c r="DU532" i="1"/>
  <c r="DT532" i="1"/>
  <c r="DN532" i="1"/>
  <c r="DM532" i="1"/>
  <c r="DL532" i="1"/>
  <c r="DK532" i="1"/>
  <c r="DI532" i="1"/>
  <c r="DJ532" i="1" s="1"/>
  <c r="DC532" i="1"/>
  <c r="CX532" i="1"/>
  <c r="CN532" i="1"/>
  <c r="CS532" i="1" s="1"/>
  <c r="BX532" i="1"/>
  <c r="BN532" i="1"/>
  <c r="BO532" i="1" s="1"/>
  <c r="BD532" i="1"/>
  <c r="BC532" i="1"/>
  <c r="BB532" i="1"/>
  <c r="BA532" i="1"/>
  <c r="AZ532" i="1"/>
  <c r="AY532" i="1"/>
  <c r="BE532" i="1" s="1" a="1"/>
  <c r="BE532" i="1" s="1"/>
  <c r="AX532" i="1"/>
  <c r="M532" i="1"/>
  <c r="EM531" i="1"/>
  <c r="DU531" i="1"/>
  <c r="DT531" i="1"/>
  <c r="DN531" i="1"/>
  <c r="DM531" i="1"/>
  <c r="DL531" i="1"/>
  <c r="DK531" i="1"/>
  <c r="DI531" i="1"/>
  <c r="DJ531" i="1" s="1"/>
  <c r="DC531" i="1"/>
  <c r="CX531" i="1"/>
  <c r="CN531" i="1"/>
  <c r="CS531" i="1" s="1"/>
  <c r="BX531" i="1"/>
  <c r="BN531" i="1"/>
  <c r="BO531" i="1" s="1"/>
  <c r="BD531" i="1"/>
  <c r="BC531" i="1"/>
  <c r="BB531" i="1"/>
  <c r="BA531" i="1"/>
  <c r="AZ531" i="1"/>
  <c r="AY531" i="1"/>
  <c r="BE531" i="1" s="1" a="1"/>
  <c r="BE531" i="1" s="1"/>
  <c r="AX531" i="1"/>
  <c r="M531" i="1"/>
  <c r="EM536" i="1"/>
  <c r="DU536" i="1"/>
  <c r="DT536" i="1"/>
  <c r="DN536" i="1"/>
  <c r="DM536" i="1"/>
  <c r="DL536" i="1"/>
  <c r="DK536" i="1"/>
  <c r="DI536" i="1"/>
  <c r="DJ536" i="1" s="1"/>
  <c r="DC536" i="1"/>
  <c r="CX536" i="1"/>
  <c r="CN536" i="1"/>
  <c r="CS536" i="1" s="1"/>
  <c r="BX536" i="1"/>
  <c r="BN536" i="1"/>
  <c r="BO536" i="1" s="1"/>
  <c r="BD536" i="1"/>
  <c r="BC536" i="1"/>
  <c r="BB536" i="1"/>
  <c r="BA536" i="1"/>
  <c r="AZ536" i="1"/>
  <c r="AY536" i="1"/>
  <c r="BE536" i="1" s="1" a="1"/>
  <c r="BE536" i="1" s="1"/>
  <c r="AX536" i="1"/>
  <c r="M536" i="1"/>
  <c r="EM527" i="1"/>
  <c r="DU527" i="1"/>
  <c r="DT527" i="1"/>
  <c r="DN527" i="1"/>
  <c r="DM527" i="1"/>
  <c r="DL527" i="1"/>
  <c r="DK527" i="1"/>
  <c r="DI527" i="1"/>
  <c r="DJ527" i="1" s="1"/>
  <c r="DC527" i="1"/>
  <c r="CX527" i="1"/>
  <c r="BX527" i="1"/>
  <c r="BY527" i="1" s="1"/>
  <c r="EP527" i="1" s="1"/>
  <c r="BL527" i="1"/>
  <c r="BN527" i="1" s="1"/>
  <c r="BO527" i="1" s="1"/>
  <c r="BD527" i="1"/>
  <c r="BC527" i="1"/>
  <c r="BB527" i="1"/>
  <c r="BA527" i="1"/>
  <c r="AZ527" i="1"/>
  <c r="AY527" i="1"/>
  <c r="BE527" i="1" s="1" a="1"/>
  <c r="BE527" i="1" s="1"/>
  <c r="AX527" i="1"/>
  <c r="M527" i="1"/>
  <c r="EM526" i="1"/>
  <c r="DU526" i="1"/>
  <c r="DT526" i="1"/>
  <c r="DN526" i="1"/>
  <c r="DM526" i="1"/>
  <c r="DL526" i="1"/>
  <c r="DK526" i="1"/>
  <c r="DI526" i="1"/>
  <c r="DJ526" i="1" s="1"/>
  <c r="DC526" i="1"/>
  <c r="CX526" i="1"/>
  <c r="BX526" i="1"/>
  <c r="BL526" i="1"/>
  <c r="BD526" i="1"/>
  <c r="BC526" i="1"/>
  <c r="BB526" i="1"/>
  <c r="BA526" i="1"/>
  <c r="AZ526" i="1"/>
  <c r="AY526" i="1"/>
  <c r="BE526" i="1" s="1" a="1"/>
  <c r="BE526" i="1" s="1"/>
  <c r="AX526" i="1"/>
  <c r="M526" i="1"/>
  <c r="EM521" i="1"/>
  <c r="DU521" i="1"/>
  <c r="DT521" i="1"/>
  <c r="DN521" i="1"/>
  <c r="DM521" i="1"/>
  <c r="DL521" i="1"/>
  <c r="DK521" i="1"/>
  <c r="DI521" i="1"/>
  <c r="DJ521" i="1" s="1"/>
  <c r="DC521" i="1"/>
  <c r="CX521" i="1"/>
  <c r="BX521" i="1"/>
  <c r="BY521" i="1" s="1"/>
  <c r="EP521" i="1" s="1"/>
  <c r="BL521" i="1"/>
  <c r="BN521" i="1" s="1"/>
  <c r="BO521" i="1" s="1"/>
  <c r="BD521" i="1"/>
  <c r="BC521" i="1"/>
  <c r="BB521" i="1"/>
  <c r="BA521" i="1"/>
  <c r="AZ521" i="1"/>
  <c r="AY521" i="1"/>
  <c r="BE521" i="1" s="1" a="1"/>
  <c r="BE521" i="1" s="1"/>
  <c r="AX521" i="1"/>
  <c r="M521" i="1"/>
  <c r="EM522" i="1"/>
  <c r="DU522" i="1"/>
  <c r="DT522" i="1"/>
  <c r="DN522" i="1"/>
  <c r="DM522" i="1"/>
  <c r="DL522" i="1"/>
  <c r="DK522" i="1"/>
  <c r="DI522" i="1"/>
  <c r="DJ522" i="1" s="1"/>
  <c r="DC522" i="1"/>
  <c r="CX522" i="1"/>
  <c r="BX522" i="1"/>
  <c r="BK522" i="1"/>
  <c r="BN522" i="1" s="1"/>
  <c r="BO522" i="1" s="1"/>
  <c r="BD522" i="1"/>
  <c r="BC522" i="1"/>
  <c r="BB522" i="1"/>
  <c r="BA522" i="1"/>
  <c r="AZ522" i="1"/>
  <c r="AY522" i="1"/>
  <c r="BE522" i="1" s="1" a="1"/>
  <c r="BE522" i="1" s="1"/>
  <c r="AX522" i="1"/>
  <c r="M522" i="1"/>
  <c r="EM520" i="1"/>
  <c r="DU520" i="1"/>
  <c r="DT520" i="1"/>
  <c r="DN520" i="1"/>
  <c r="DM520" i="1"/>
  <c r="DL520" i="1"/>
  <c r="DK520" i="1"/>
  <c r="DI520" i="1"/>
  <c r="DJ520" i="1" s="1"/>
  <c r="DC520" i="1"/>
  <c r="CX520" i="1"/>
  <c r="BX520" i="1"/>
  <c r="BL520" i="1"/>
  <c r="BN520" i="1" s="1"/>
  <c r="BO520" i="1" s="1"/>
  <c r="BD520" i="1"/>
  <c r="BC520" i="1"/>
  <c r="BB520" i="1"/>
  <c r="BA520" i="1"/>
  <c r="AZ520" i="1"/>
  <c r="AY520" i="1"/>
  <c r="BE520" i="1" s="1" a="1"/>
  <c r="BE520" i="1" s="1"/>
  <c r="AX520" i="1"/>
  <c r="M520" i="1"/>
  <c r="EM519" i="1"/>
  <c r="DU519" i="1"/>
  <c r="DT519" i="1"/>
  <c r="DN519" i="1"/>
  <c r="DM519" i="1"/>
  <c r="DL519" i="1"/>
  <c r="DK519" i="1"/>
  <c r="DI519" i="1"/>
  <c r="DJ519" i="1" s="1"/>
  <c r="DC519" i="1"/>
  <c r="CX519" i="1"/>
  <c r="BX519" i="1"/>
  <c r="BL519" i="1"/>
  <c r="BN519" i="1" s="1"/>
  <c r="BO519" i="1" s="1"/>
  <c r="BD519" i="1"/>
  <c r="BC519" i="1"/>
  <c r="BB519" i="1"/>
  <c r="BA519" i="1"/>
  <c r="AZ519" i="1"/>
  <c r="AY519" i="1"/>
  <c r="BE519" i="1" s="1" a="1"/>
  <c r="BE519" i="1" s="1"/>
  <c r="AX519" i="1"/>
  <c r="M519" i="1"/>
  <c r="EM518" i="1"/>
  <c r="DU518" i="1"/>
  <c r="DT518" i="1"/>
  <c r="DN518" i="1"/>
  <c r="DM518" i="1"/>
  <c r="DL518" i="1"/>
  <c r="DK518" i="1"/>
  <c r="DI518" i="1"/>
  <c r="DJ518" i="1" s="1"/>
  <c r="DC518" i="1"/>
  <c r="CX518" i="1"/>
  <c r="BX518" i="1"/>
  <c r="BK518" i="1"/>
  <c r="CN518" i="1" s="1"/>
  <c r="BD518" i="1"/>
  <c r="BC518" i="1"/>
  <c r="BB518" i="1"/>
  <c r="BA518" i="1"/>
  <c r="AZ518" i="1"/>
  <c r="AY518" i="1"/>
  <c r="BE518" i="1" s="1" a="1"/>
  <c r="BE518" i="1" s="1"/>
  <c r="AX518" i="1"/>
  <c r="M518" i="1"/>
  <c r="EM517" i="1"/>
  <c r="DU517" i="1"/>
  <c r="DT517" i="1"/>
  <c r="DN517" i="1"/>
  <c r="DM517" i="1"/>
  <c r="DL517" i="1"/>
  <c r="DK517" i="1"/>
  <c r="DI517" i="1"/>
  <c r="DJ517" i="1" s="1"/>
  <c r="DC517" i="1"/>
  <c r="CX517" i="1"/>
  <c r="BX517" i="1"/>
  <c r="BL517" i="1"/>
  <c r="CN517" i="1" s="1"/>
  <c r="BD517" i="1"/>
  <c r="BC517" i="1"/>
  <c r="BB517" i="1"/>
  <c r="BA517" i="1"/>
  <c r="AZ517" i="1"/>
  <c r="AY517" i="1"/>
  <c r="BE517" i="1" s="1" a="1"/>
  <c r="BE517" i="1" s="1"/>
  <c r="AX517" i="1"/>
  <c r="M517" i="1"/>
  <c r="EM516" i="1"/>
  <c r="DU516" i="1"/>
  <c r="DT516" i="1"/>
  <c r="DN516" i="1"/>
  <c r="DM516" i="1"/>
  <c r="DL516" i="1"/>
  <c r="DK516" i="1"/>
  <c r="DI516" i="1"/>
  <c r="DJ516" i="1" s="1"/>
  <c r="DC516" i="1"/>
  <c r="CX516" i="1"/>
  <c r="BX516" i="1"/>
  <c r="BK516" i="1"/>
  <c r="BD516" i="1"/>
  <c r="BC516" i="1"/>
  <c r="BB516" i="1"/>
  <c r="BA516" i="1"/>
  <c r="AZ516" i="1"/>
  <c r="AY516" i="1"/>
  <c r="BE516" i="1" s="1" a="1"/>
  <c r="BE516" i="1" s="1"/>
  <c r="AX516" i="1"/>
  <c r="M516" i="1"/>
  <c r="EM525" i="1"/>
  <c r="DU525" i="1"/>
  <c r="DT525" i="1"/>
  <c r="DN525" i="1"/>
  <c r="DM525" i="1"/>
  <c r="DL525" i="1"/>
  <c r="DK525" i="1"/>
  <c r="DI525" i="1"/>
  <c r="DJ525" i="1" s="1"/>
  <c r="DC525" i="1"/>
  <c r="CX525" i="1"/>
  <c r="BX525" i="1"/>
  <c r="BL525" i="1"/>
  <c r="BN525" i="1" s="1"/>
  <c r="BO525" i="1" s="1"/>
  <c r="BD525" i="1"/>
  <c r="BC525" i="1"/>
  <c r="BB525" i="1"/>
  <c r="BA525" i="1"/>
  <c r="AZ525" i="1"/>
  <c r="AY525" i="1"/>
  <c r="AX525" i="1"/>
  <c r="M525" i="1"/>
  <c r="EM524" i="1"/>
  <c r="DU524" i="1"/>
  <c r="DT524" i="1"/>
  <c r="DN524" i="1"/>
  <c r="DM524" i="1"/>
  <c r="DL524" i="1"/>
  <c r="DK524" i="1"/>
  <c r="DI524" i="1"/>
  <c r="DJ524" i="1" s="1"/>
  <c r="DC524" i="1"/>
  <c r="CX524" i="1"/>
  <c r="BX524" i="1"/>
  <c r="BL524" i="1"/>
  <c r="BD524" i="1"/>
  <c r="BC524" i="1"/>
  <c r="BB524" i="1"/>
  <c r="BA524" i="1"/>
  <c r="AZ524" i="1"/>
  <c r="AY524" i="1"/>
  <c r="AX524" i="1"/>
  <c r="M524" i="1"/>
  <c r="EM523" i="1"/>
  <c r="DU523" i="1"/>
  <c r="DT523" i="1"/>
  <c r="DN523" i="1"/>
  <c r="DM523" i="1"/>
  <c r="DL523" i="1"/>
  <c r="DK523" i="1"/>
  <c r="DI523" i="1"/>
  <c r="DJ523" i="1" s="1"/>
  <c r="DC523" i="1"/>
  <c r="CX523" i="1"/>
  <c r="BX523" i="1"/>
  <c r="BL523" i="1"/>
  <c r="BN523" i="1" s="1"/>
  <c r="BO523" i="1" s="1"/>
  <c r="BD523" i="1"/>
  <c r="BC523" i="1"/>
  <c r="BB523" i="1"/>
  <c r="BA523" i="1"/>
  <c r="AZ523" i="1"/>
  <c r="AY523" i="1"/>
  <c r="AX523" i="1"/>
  <c r="M523" i="1"/>
  <c r="EM509" i="1"/>
  <c r="DU509" i="1"/>
  <c r="DT509" i="1"/>
  <c r="DN509" i="1"/>
  <c r="DM509" i="1"/>
  <c r="DL509" i="1"/>
  <c r="DK509" i="1"/>
  <c r="DI509" i="1"/>
  <c r="DJ509" i="1" s="1"/>
  <c r="DC509" i="1"/>
  <c r="CX509" i="1"/>
  <c r="BT509" i="1"/>
  <c r="BS509" i="1"/>
  <c r="BV509" i="1" s="1"/>
  <c r="BX509" i="1" s="1"/>
  <c r="BL509" i="1"/>
  <c r="BK509" i="1"/>
  <c r="BD509" i="1"/>
  <c r="BC509" i="1"/>
  <c r="BB509" i="1"/>
  <c r="BA509" i="1"/>
  <c r="AZ509" i="1"/>
  <c r="AY509" i="1"/>
  <c r="BE509" i="1" s="1" a="1"/>
  <c r="BE509" i="1" s="1"/>
  <c r="AX509" i="1"/>
  <c r="M509" i="1"/>
  <c r="EM508" i="1"/>
  <c r="DU508" i="1"/>
  <c r="DT508" i="1"/>
  <c r="DN508" i="1"/>
  <c r="DM508" i="1"/>
  <c r="DL508" i="1"/>
  <c r="DK508" i="1"/>
  <c r="DI508" i="1"/>
  <c r="DJ508" i="1" s="1"/>
  <c r="DC508" i="1"/>
  <c r="CX508" i="1"/>
  <c r="BT508" i="1"/>
  <c r="BS508" i="1"/>
  <c r="BL508" i="1"/>
  <c r="BK508" i="1"/>
  <c r="BD508" i="1"/>
  <c r="BC508" i="1"/>
  <c r="BB508" i="1"/>
  <c r="BA508" i="1"/>
  <c r="AZ508" i="1"/>
  <c r="AY508" i="1"/>
  <c r="BE508" i="1" s="1" a="1"/>
  <c r="BE508" i="1" s="1"/>
  <c r="AX508" i="1"/>
  <c r="M508" i="1"/>
  <c r="EM507" i="1"/>
  <c r="DU507" i="1"/>
  <c r="DT507" i="1"/>
  <c r="DN507" i="1"/>
  <c r="DM507" i="1"/>
  <c r="DL507" i="1"/>
  <c r="DK507" i="1"/>
  <c r="DI507" i="1"/>
  <c r="DJ507" i="1" s="1"/>
  <c r="DC507" i="1"/>
  <c r="CX507" i="1"/>
  <c r="BT507" i="1"/>
  <c r="BS507" i="1"/>
  <c r="BL507" i="1"/>
  <c r="BK507" i="1"/>
  <c r="BN507" i="1" s="1"/>
  <c r="BO507" i="1" s="1"/>
  <c r="BD507" i="1"/>
  <c r="BC507" i="1"/>
  <c r="BB507" i="1"/>
  <c r="BA507" i="1"/>
  <c r="AZ507" i="1"/>
  <c r="AY507" i="1"/>
  <c r="BE507" i="1" s="1" a="1"/>
  <c r="BE507" i="1" s="1"/>
  <c r="AX507" i="1"/>
  <c r="M507" i="1"/>
  <c r="EM506" i="1"/>
  <c r="DU506" i="1"/>
  <c r="DT506" i="1"/>
  <c r="DN506" i="1"/>
  <c r="DM506" i="1"/>
  <c r="DL506" i="1"/>
  <c r="DK506" i="1"/>
  <c r="DI506" i="1"/>
  <c r="DJ506" i="1" s="1"/>
  <c r="DC506" i="1"/>
  <c r="CX506" i="1"/>
  <c r="BT506" i="1"/>
  <c r="BS506" i="1"/>
  <c r="BL506" i="1"/>
  <c r="BK506" i="1"/>
  <c r="BD506" i="1"/>
  <c r="BC506" i="1"/>
  <c r="BB506" i="1"/>
  <c r="BA506" i="1"/>
  <c r="AZ506" i="1"/>
  <c r="AY506" i="1"/>
  <c r="BE506" i="1" s="1" a="1"/>
  <c r="BE506" i="1" s="1"/>
  <c r="AX506" i="1"/>
  <c r="M506" i="1"/>
  <c r="EM502" i="1"/>
  <c r="DU502" i="1"/>
  <c r="DT502" i="1"/>
  <c r="DN502" i="1"/>
  <c r="DM502" i="1"/>
  <c r="DL502" i="1"/>
  <c r="DK502" i="1"/>
  <c r="DI502" i="1"/>
  <c r="DJ502" i="1" s="1"/>
  <c r="DC502" i="1"/>
  <c r="CX502" i="1"/>
  <c r="CN502" i="1"/>
  <c r="CP502" i="1" s="1"/>
  <c r="BT502" i="1"/>
  <c r="BS502" i="1"/>
  <c r="BN502" i="1"/>
  <c r="BO502" i="1" s="1"/>
  <c r="BD502" i="1"/>
  <c r="BC502" i="1"/>
  <c r="BB502" i="1"/>
  <c r="BA502" i="1"/>
  <c r="AZ502" i="1"/>
  <c r="AY502" i="1"/>
  <c r="BE502" i="1" s="1" a="1"/>
  <c r="BE502" i="1" s="1"/>
  <c r="AX502" i="1"/>
  <c r="M502" i="1"/>
  <c r="EM503" i="1"/>
  <c r="DU503" i="1"/>
  <c r="DT503" i="1"/>
  <c r="DN503" i="1"/>
  <c r="DM503" i="1"/>
  <c r="DL503" i="1"/>
  <c r="DK503" i="1"/>
  <c r="DI503" i="1"/>
  <c r="DJ503" i="1" s="1"/>
  <c r="DC503" i="1"/>
  <c r="CX503" i="1"/>
  <c r="CN503" i="1"/>
  <c r="BT503" i="1"/>
  <c r="BS503" i="1"/>
  <c r="BN503" i="1"/>
  <c r="BO503" i="1" s="1"/>
  <c r="BD503" i="1"/>
  <c r="BC503" i="1"/>
  <c r="BB503" i="1"/>
  <c r="BA503" i="1"/>
  <c r="AZ503" i="1"/>
  <c r="AY503" i="1"/>
  <c r="BE503" i="1" s="1" a="1"/>
  <c r="BE503" i="1" s="1"/>
  <c r="AX503" i="1"/>
  <c r="M503" i="1"/>
  <c r="EM501" i="1"/>
  <c r="DU501" i="1"/>
  <c r="DT501" i="1"/>
  <c r="DN501" i="1"/>
  <c r="DM501" i="1"/>
  <c r="DL501" i="1"/>
  <c r="DK501" i="1"/>
  <c r="DI501" i="1"/>
  <c r="DJ501" i="1" s="1"/>
  <c r="DC501" i="1"/>
  <c r="CX501" i="1"/>
  <c r="CN501" i="1"/>
  <c r="BT501" i="1"/>
  <c r="BS501" i="1"/>
  <c r="BN501" i="1"/>
  <c r="BO501" i="1" s="1"/>
  <c r="BD501" i="1"/>
  <c r="BC501" i="1"/>
  <c r="BB501" i="1"/>
  <c r="BA501" i="1"/>
  <c r="AZ501" i="1"/>
  <c r="AY501" i="1"/>
  <c r="BE501" i="1" s="1" a="1"/>
  <c r="BE501" i="1" s="1"/>
  <c r="AX501" i="1"/>
  <c r="M501" i="1"/>
  <c r="EM497" i="1"/>
  <c r="DU497" i="1"/>
  <c r="DT497" i="1"/>
  <c r="DN497" i="1"/>
  <c r="DM497" i="1"/>
  <c r="DL497" i="1"/>
  <c r="DK497" i="1"/>
  <c r="DI497" i="1"/>
  <c r="DJ497" i="1" s="1"/>
  <c r="DC497" i="1"/>
  <c r="CX497" i="1"/>
  <c r="BX497" i="1"/>
  <c r="BK497" i="1"/>
  <c r="CN497" i="1" s="1"/>
  <c r="CO497" i="1" s="1"/>
  <c r="BD497" i="1"/>
  <c r="BC497" i="1"/>
  <c r="BB497" i="1"/>
  <c r="BA497" i="1"/>
  <c r="AZ497" i="1"/>
  <c r="AY497" i="1"/>
  <c r="BE497" i="1" s="1" a="1"/>
  <c r="BE497" i="1" s="1"/>
  <c r="AX497" i="1"/>
  <c r="M497" i="1"/>
  <c r="EM495" i="1"/>
  <c r="DU495" i="1"/>
  <c r="DT495" i="1"/>
  <c r="DN495" i="1"/>
  <c r="DM495" i="1"/>
  <c r="DL495" i="1"/>
  <c r="DK495" i="1"/>
  <c r="DI495" i="1"/>
  <c r="DJ495" i="1" s="1"/>
  <c r="DC495" i="1"/>
  <c r="CX495" i="1"/>
  <c r="BX495" i="1"/>
  <c r="BK495" i="1"/>
  <c r="CN495" i="1" s="1"/>
  <c r="BD495" i="1"/>
  <c r="BC495" i="1"/>
  <c r="BB495" i="1"/>
  <c r="BA495" i="1"/>
  <c r="AZ495" i="1"/>
  <c r="AY495" i="1"/>
  <c r="BE495" i="1" s="1" a="1"/>
  <c r="BE495" i="1" s="1"/>
  <c r="AX495" i="1"/>
  <c r="M495" i="1"/>
  <c r="EM498" i="1"/>
  <c r="DU498" i="1"/>
  <c r="DT498" i="1"/>
  <c r="DN498" i="1"/>
  <c r="DM498" i="1"/>
  <c r="DL498" i="1"/>
  <c r="DK498" i="1"/>
  <c r="DI498" i="1"/>
  <c r="DJ498" i="1" s="1"/>
  <c r="DC498" i="1"/>
  <c r="CX498" i="1"/>
  <c r="BX498" i="1"/>
  <c r="BK498" i="1"/>
  <c r="BN498" i="1" s="1"/>
  <c r="BO498" i="1" s="1"/>
  <c r="BD498" i="1"/>
  <c r="BC498" i="1"/>
  <c r="BB498" i="1"/>
  <c r="BA498" i="1"/>
  <c r="AZ498" i="1"/>
  <c r="AY498" i="1"/>
  <c r="BE498" i="1" s="1" a="1"/>
  <c r="BE498" i="1" s="1"/>
  <c r="AX498" i="1"/>
  <c r="M498" i="1"/>
  <c r="EM496" i="1"/>
  <c r="DU496" i="1"/>
  <c r="DT496" i="1"/>
  <c r="DN496" i="1"/>
  <c r="DM496" i="1"/>
  <c r="DL496" i="1"/>
  <c r="DK496" i="1"/>
  <c r="DI496" i="1"/>
  <c r="DJ496" i="1" s="1"/>
  <c r="DC496" i="1"/>
  <c r="CX496" i="1"/>
  <c r="BX496" i="1"/>
  <c r="BK496" i="1"/>
  <c r="BN496" i="1" s="1"/>
  <c r="BO496" i="1" s="1"/>
  <c r="BD496" i="1"/>
  <c r="BC496" i="1"/>
  <c r="BB496" i="1"/>
  <c r="BA496" i="1"/>
  <c r="AZ496" i="1"/>
  <c r="AY496" i="1"/>
  <c r="BE496" i="1" s="1" a="1"/>
  <c r="BE496" i="1" s="1"/>
  <c r="AX496" i="1"/>
  <c r="M496" i="1"/>
  <c r="EM494" i="1"/>
  <c r="DU494" i="1"/>
  <c r="DT494" i="1"/>
  <c r="DN494" i="1"/>
  <c r="DM494" i="1"/>
  <c r="DL494" i="1"/>
  <c r="DK494" i="1"/>
  <c r="DI494" i="1"/>
  <c r="DJ494" i="1" s="1"/>
  <c r="DC494" i="1"/>
  <c r="CX494" i="1"/>
  <c r="BX494" i="1"/>
  <c r="BK494" i="1"/>
  <c r="CN494" i="1" s="1"/>
  <c r="CR494" i="1" s="1"/>
  <c r="BD494" i="1"/>
  <c r="BC494" i="1"/>
  <c r="BB494" i="1"/>
  <c r="BA494" i="1"/>
  <c r="AZ494" i="1"/>
  <c r="AY494" i="1"/>
  <c r="BE494" i="1" s="1" a="1"/>
  <c r="BE494" i="1" s="1"/>
  <c r="AX494" i="1"/>
  <c r="M494" i="1"/>
  <c r="EM493" i="1"/>
  <c r="DU493" i="1"/>
  <c r="DT493" i="1"/>
  <c r="DN493" i="1"/>
  <c r="DM493" i="1"/>
  <c r="DL493" i="1"/>
  <c r="DK493" i="1"/>
  <c r="DI493" i="1"/>
  <c r="DJ493" i="1" s="1"/>
  <c r="DC493" i="1"/>
  <c r="CX493" i="1"/>
  <c r="BX493" i="1"/>
  <c r="BK493" i="1"/>
  <c r="BN493" i="1" s="1"/>
  <c r="BO493" i="1" s="1"/>
  <c r="BD493" i="1"/>
  <c r="BC493" i="1"/>
  <c r="BB493" i="1"/>
  <c r="BA493" i="1"/>
  <c r="AZ493" i="1"/>
  <c r="AY493" i="1"/>
  <c r="BE493" i="1" s="1" a="1"/>
  <c r="BE493" i="1" s="1"/>
  <c r="AX493" i="1"/>
  <c r="M493" i="1"/>
  <c r="EM492" i="1"/>
  <c r="DU492" i="1"/>
  <c r="DT492" i="1"/>
  <c r="DN492" i="1"/>
  <c r="DM492" i="1"/>
  <c r="DL492" i="1"/>
  <c r="DK492" i="1"/>
  <c r="DI492" i="1"/>
  <c r="DJ492" i="1" s="1"/>
  <c r="DC492" i="1"/>
  <c r="CX492" i="1"/>
  <c r="BX492" i="1"/>
  <c r="BK492" i="1"/>
  <c r="BN492" i="1" s="1"/>
  <c r="BO492" i="1" s="1"/>
  <c r="BD492" i="1"/>
  <c r="BC492" i="1"/>
  <c r="BB492" i="1"/>
  <c r="BA492" i="1"/>
  <c r="AZ492" i="1"/>
  <c r="AY492" i="1"/>
  <c r="BE492" i="1" s="1" a="1"/>
  <c r="BE492" i="1" s="1"/>
  <c r="AX492" i="1"/>
  <c r="M492" i="1"/>
  <c r="EM490" i="1"/>
  <c r="DU490" i="1"/>
  <c r="DT490" i="1"/>
  <c r="DN490" i="1"/>
  <c r="DM490" i="1"/>
  <c r="DL490" i="1"/>
  <c r="DK490" i="1"/>
  <c r="DI490" i="1"/>
  <c r="DJ490" i="1" s="1"/>
  <c r="DC490" i="1"/>
  <c r="CX490" i="1"/>
  <c r="BX490" i="1"/>
  <c r="BK490" i="1"/>
  <c r="CN490" i="1" s="1"/>
  <c r="BD490" i="1"/>
  <c r="BC490" i="1"/>
  <c r="BB490" i="1"/>
  <c r="BA490" i="1"/>
  <c r="AZ490" i="1"/>
  <c r="AY490" i="1"/>
  <c r="BE490" i="1" s="1" a="1"/>
  <c r="BE490" i="1" s="1"/>
  <c r="AX490" i="1"/>
  <c r="M490" i="1"/>
  <c r="EM491" i="1"/>
  <c r="DU491" i="1"/>
  <c r="DT491" i="1"/>
  <c r="DN491" i="1"/>
  <c r="DM491" i="1"/>
  <c r="DL491" i="1"/>
  <c r="DK491" i="1"/>
  <c r="DI491" i="1"/>
  <c r="DJ491" i="1" s="1"/>
  <c r="DC491" i="1"/>
  <c r="CX491" i="1"/>
  <c r="BX491" i="1"/>
  <c r="BK491" i="1"/>
  <c r="CN491" i="1" s="1"/>
  <c r="CS491" i="1" s="1"/>
  <c r="BD491" i="1"/>
  <c r="BC491" i="1"/>
  <c r="BB491" i="1"/>
  <c r="BA491" i="1"/>
  <c r="AZ491" i="1"/>
  <c r="AY491" i="1"/>
  <c r="BE491" i="1" s="1" a="1"/>
  <c r="BE491" i="1" s="1"/>
  <c r="AX491" i="1"/>
  <c r="M491" i="1"/>
  <c r="EM489" i="1"/>
  <c r="DU489" i="1"/>
  <c r="DT489" i="1"/>
  <c r="DN489" i="1"/>
  <c r="DM489" i="1"/>
  <c r="DL489" i="1"/>
  <c r="DK489" i="1"/>
  <c r="DI489" i="1"/>
  <c r="DJ489" i="1" s="1"/>
  <c r="DC489" i="1"/>
  <c r="CX489" i="1"/>
  <c r="BX489" i="1"/>
  <c r="BK489" i="1"/>
  <c r="CN489" i="1" s="1"/>
  <c r="BD489" i="1"/>
  <c r="BC489" i="1"/>
  <c r="BB489" i="1"/>
  <c r="BA489" i="1"/>
  <c r="AZ489" i="1"/>
  <c r="AY489" i="1"/>
  <c r="BE489" i="1" s="1" a="1"/>
  <c r="BE489" i="1" s="1"/>
  <c r="AX489" i="1"/>
  <c r="M489" i="1"/>
  <c r="EM488" i="1"/>
  <c r="DU488" i="1"/>
  <c r="DT488" i="1"/>
  <c r="DN488" i="1"/>
  <c r="DM488" i="1"/>
  <c r="DL488" i="1"/>
  <c r="DK488" i="1"/>
  <c r="DI488" i="1"/>
  <c r="DJ488" i="1" s="1"/>
  <c r="DC488" i="1"/>
  <c r="CX488" i="1"/>
  <c r="BX488" i="1"/>
  <c r="BK488" i="1"/>
  <c r="BN488" i="1" s="1"/>
  <c r="BO488" i="1" s="1"/>
  <c r="BD488" i="1"/>
  <c r="BC488" i="1"/>
  <c r="BB488" i="1"/>
  <c r="BA488" i="1"/>
  <c r="AZ488" i="1"/>
  <c r="AY488" i="1"/>
  <c r="BE488" i="1" s="1" a="1"/>
  <c r="BE488" i="1" s="1"/>
  <c r="AX488" i="1"/>
  <c r="M488" i="1"/>
  <c r="EM487" i="1"/>
  <c r="DU487" i="1"/>
  <c r="DT487" i="1"/>
  <c r="DN487" i="1"/>
  <c r="DM487" i="1"/>
  <c r="DL487" i="1"/>
  <c r="DK487" i="1"/>
  <c r="DI487" i="1"/>
  <c r="DJ487" i="1" s="1"/>
  <c r="DC487" i="1"/>
  <c r="CX487" i="1"/>
  <c r="BX487" i="1"/>
  <c r="BK487" i="1"/>
  <c r="BN487" i="1" s="1"/>
  <c r="BO487" i="1" s="1"/>
  <c r="BD487" i="1"/>
  <c r="BC487" i="1"/>
  <c r="BB487" i="1"/>
  <c r="BA487" i="1"/>
  <c r="AZ487" i="1"/>
  <c r="AY487" i="1"/>
  <c r="BE487" i="1" s="1" a="1"/>
  <c r="BE487" i="1" s="1"/>
  <c r="AX487" i="1"/>
  <c r="M487" i="1"/>
  <c r="EM486" i="1"/>
  <c r="DU486" i="1"/>
  <c r="DT486" i="1"/>
  <c r="DN486" i="1"/>
  <c r="DM486" i="1"/>
  <c r="DL486" i="1"/>
  <c r="DK486" i="1"/>
  <c r="DI486" i="1"/>
  <c r="DJ486" i="1" s="1"/>
  <c r="DC486" i="1"/>
  <c r="CX486" i="1"/>
  <c r="BV486" i="1"/>
  <c r="BX486" i="1" s="1"/>
  <c r="BU486" i="1"/>
  <c r="BL486" i="1"/>
  <c r="BK486" i="1"/>
  <c r="BN486" i="1" s="1"/>
  <c r="BO486" i="1" s="1"/>
  <c r="BD486" i="1"/>
  <c r="BC486" i="1"/>
  <c r="BB486" i="1"/>
  <c r="BA486" i="1"/>
  <c r="AZ486" i="1"/>
  <c r="AY486" i="1"/>
  <c r="BE486" i="1" s="1" a="1"/>
  <c r="BE486" i="1" s="1"/>
  <c r="AX486" i="1"/>
  <c r="M486" i="1"/>
  <c r="EM485" i="1"/>
  <c r="DU485" i="1"/>
  <c r="DT485" i="1"/>
  <c r="DN485" i="1"/>
  <c r="DM485" i="1"/>
  <c r="DL485" i="1"/>
  <c r="DK485" i="1"/>
  <c r="DI485" i="1"/>
  <c r="DJ485" i="1" s="1"/>
  <c r="DC485" i="1"/>
  <c r="CX485" i="1"/>
  <c r="BV485" i="1"/>
  <c r="BX485" i="1" s="1"/>
  <c r="BU485" i="1"/>
  <c r="BL485" i="1"/>
  <c r="BK485" i="1"/>
  <c r="BD485" i="1"/>
  <c r="BC485" i="1"/>
  <c r="BB485" i="1"/>
  <c r="BA485" i="1"/>
  <c r="AZ485" i="1"/>
  <c r="BF485" i="1" s="1" a="1"/>
  <c r="BF485" i="1" s="1"/>
  <c r="AY485" i="1"/>
  <c r="BE485" i="1" s="1" a="1"/>
  <c r="BE485" i="1" s="1"/>
  <c r="AX485" i="1"/>
  <c r="M485" i="1"/>
  <c r="EM465" i="1"/>
  <c r="DU465" i="1"/>
  <c r="DT465" i="1"/>
  <c r="DN465" i="1"/>
  <c r="DM465" i="1"/>
  <c r="DL465" i="1"/>
  <c r="DK465" i="1"/>
  <c r="DI465" i="1"/>
  <c r="DJ465" i="1" s="1"/>
  <c r="DC465" i="1"/>
  <c r="CX465" i="1"/>
  <c r="BT465" i="1"/>
  <c r="BS465" i="1"/>
  <c r="BL465" i="1"/>
  <c r="BK465" i="1"/>
  <c r="BD465" i="1"/>
  <c r="BC465" i="1"/>
  <c r="BB465" i="1"/>
  <c r="BA465" i="1"/>
  <c r="AZ465" i="1"/>
  <c r="AY465" i="1"/>
  <c r="BE465" i="1" s="1" a="1"/>
  <c r="BE465" i="1" s="1"/>
  <c r="AX465" i="1"/>
  <c r="M465" i="1"/>
  <c r="EM464" i="1"/>
  <c r="DU464" i="1"/>
  <c r="DT464" i="1"/>
  <c r="DN464" i="1"/>
  <c r="DM464" i="1"/>
  <c r="DL464" i="1"/>
  <c r="DK464" i="1"/>
  <c r="DI464" i="1"/>
  <c r="DJ464" i="1" s="1"/>
  <c r="DC464" i="1"/>
  <c r="CX464" i="1"/>
  <c r="BT464" i="1"/>
  <c r="BS464" i="1"/>
  <c r="BL464" i="1"/>
  <c r="CN464" i="1" s="1"/>
  <c r="BK464" i="1"/>
  <c r="BD464" i="1"/>
  <c r="BC464" i="1"/>
  <c r="BB464" i="1"/>
  <c r="BA464" i="1"/>
  <c r="AZ464" i="1"/>
  <c r="AY464" i="1"/>
  <c r="BE464" i="1" s="1" a="1"/>
  <c r="BE464" i="1" s="1"/>
  <c r="AX464" i="1"/>
  <c r="M464" i="1"/>
  <c r="EM463" i="1"/>
  <c r="DU463" i="1"/>
  <c r="DT463" i="1"/>
  <c r="DN463" i="1"/>
  <c r="DM463" i="1"/>
  <c r="DL463" i="1"/>
  <c r="DK463" i="1"/>
  <c r="DI463" i="1"/>
  <c r="DJ463" i="1" s="1"/>
  <c r="DC463" i="1"/>
  <c r="CX463" i="1"/>
  <c r="BT463" i="1"/>
  <c r="BS463" i="1"/>
  <c r="BN463" i="1"/>
  <c r="BO463" i="1" s="1"/>
  <c r="BL463" i="1"/>
  <c r="BK463" i="1"/>
  <c r="BD463" i="1"/>
  <c r="BC463" i="1"/>
  <c r="BB463" i="1"/>
  <c r="BA463" i="1"/>
  <c r="AZ463" i="1"/>
  <c r="AY463" i="1"/>
  <c r="BE463" i="1" s="1" a="1"/>
  <c r="BE463" i="1" s="1"/>
  <c r="AX463" i="1"/>
  <c r="M463" i="1"/>
  <c r="EM462" i="1"/>
  <c r="DU462" i="1"/>
  <c r="DT462" i="1"/>
  <c r="DN462" i="1"/>
  <c r="DM462" i="1"/>
  <c r="DL462" i="1"/>
  <c r="DK462" i="1"/>
  <c r="DI462" i="1"/>
  <c r="DJ462" i="1" s="1"/>
  <c r="DC462" i="1"/>
  <c r="CX462" i="1"/>
  <c r="BT462" i="1"/>
  <c r="BS462" i="1"/>
  <c r="BL462" i="1"/>
  <c r="BK462" i="1"/>
  <c r="BD462" i="1"/>
  <c r="BC462" i="1"/>
  <c r="BB462" i="1"/>
  <c r="BA462" i="1"/>
  <c r="AZ462" i="1"/>
  <c r="AY462" i="1"/>
  <c r="BE462" i="1" s="1" a="1"/>
  <c r="BE462" i="1" s="1"/>
  <c r="AX462" i="1"/>
  <c r="M462" i="1"/>
  <c r="EM461" i="1"/>
  <c r="DU461" i="1"/>
  <c r="DT461" i="1"/>
  <c r="DN461" i="1"/>
  <c r="DM461" i="1"/>
  <c r="DL461" i="1"/>
  <c r="DK461" i="1"/>
  <c r="DI461" i="1"/>
  <c r="DJ461" i="1" s="1"/>
  <c r="DC461" i="1"/>
  <c r="CX461" i="1"/>
  <c r="BT461" i="1"/>
  <c r="BS461" i="1"/>
  <c r="BL461" i="1"/>
  <c r="BK461" i="1"/>
  <c r="CN461" i="1" s="1"/>
  <c r="BD461" i="1"/>
  <c r="BC461" i="1"/>
  <c r="BB461" i="1"/>
  <c r="BA461" i="1"/>
  <c r="AZ461" i="1"/>
  <c r="BF461" i="1" s="1" a="1"/>
  <c r="BF461" i="1" s="1"/>
  <c r="AY461" i="1"/>
  <c r="BE461" i="1" s="1" a="1"/>
  <c r="BE461" i="1" s="1"/>
  <c r="AX461" i="1"/>
  <c r="M461" i="1"/>
  <c r="EM443" i="1"/>
  <c r="DU443" i="1"/>
  <c r="DT443" i="1"/>
  <c r="DN443" i="1"/>
  <c r="DM443" i="1"/>
  <c r="DL443" i="1"/>
  <c r="DK443" i="1"/>
  <c r="DI443" i="1"/>
  <c r="DJ443" i="1" s="1"/>
  <c r="DC443" i="1"/>
  <c r="CX443" i="1"/>
  <c r="CN443" i="1"/>
  <c r="CS443" i="1" s="1"/>
  <c r="BX443" i="1"/>
  <c r="BN443" i="1"/>
  <c r="BO443" i="1" s="1"/>
  <c r="BD443" i="1"/>
  <c r="BC443" i="1"/>
  <c r="BB443" i="1"/>
  <c r="BA443" i="1"/>
  <c r="AZ443" i="1"/>
  <c r="AY443" i="1"/>
  <c r="BE443" i="1" s="1" a="1"/>
  <c r="BE443" i="1" s="1"/>
  <c r="AX443" i="1"/>
  <c r="M443" i="1"/>
  <c r="EM442" i="1"/>
  <c r="DU442" i="1"/>
  <c r="DT442" i="1"/>
  <c r="DN442" i="1"/>
  <c r="DM442" i="1"/>
  <c r="DL442" i="1"/>
  <c r="DK442" i="1"/>
  <c r="DI442" i="1"/>
  <c r="DJ442" i="1" s="1"/>
  <c r="DC442" i="1"/>
  <c r="CX442" i="1"/>
  <c r="CN442" i="1"/>
  <c r="CO442" i="1" s="1"/>
  <c r="BX442" i="1"/>
  <c r="BN442" i="1"/>
  <c r="BO442" i="1" s="1"/>
  <c r="BD442" i="1"/>
  <c r="BC442" i="1"/>
  <c r="BB442" i="1"/>
  <c r="BA442" i="1"/>
  <c r="AZ442" i="1"/>
  <c r="AY442" i="1"/>
  <c r="BE442" i="1" s="1" a="1"/>
  <c r="BE442" i="1" s="1"/>
  <c r="AX442" i="1"/>
  <c r="M442" i="1"/>
  <c r="EM441" i="1"/>
  <c r="DU441" i="1"/>
  <c r="DT441" i="1"/>
  <c r="DN441" i="1"/>
  <c r="DM441" i="1"/>
  <c r="DL441" i="1"/>
  <c r="DK441" i="1"/>
  <c r="DI441" i="1"/>
  <c r="DJ441" i="1" s="1"/>
  <c r="DC441" i="1"/>
  <c r="CX441" i="1"/>
  <c r="CN441" i="1"/>
  <c r="CP441" i="1" s="1"/>
  <c r="BX441" i="1"/>
  <c r="BN441" i="1"/>
  <c r="BO441" i="1" s="1"/>
  <c r="BD441" i="1"/>
  <c r="BC441" i="1"/>
  <c r="BB441" i="1"/>
  <c r="BA441" i="1"/>
  <c r="AZ441" i="1"/>
  <c r="AY441" i="1"/>
  <c r="BE441" i="1" s="1" a="1"/>
  <c r="BE441" i="1" s="1"/>
  <c r="AX441" i="1"/>
  <c r="M441" i="1"/>
  <c r="EM440" i="1"/>
  <c r="DU440" i="1"/>
  <c r="DT440" i="1"/>
  <c r="DN440" i="1"/>
  <c r="DM440" i="1"/>
  <c r="DL440" i="1"/>
  <c r="DK440" i="1"/>
  <c r="DI440" i="1"/>
  <c r="DJ440" i="1" s="1"/>
  <c r="DC440" i="1"/>
  <c r="CX440" i="1"/>
  <c r="CN440" i="1"/>
  <c r="CS440" i="1" s="1"/>
  <c r="BX440" i="1"/>
  <c r="BN440" i="1"/>
  <c r="BO440" i="1" s="1"/>
  <c r="BD440" i="1"/>
  <c r="BC440" i="1"/>
  <c r="BB440" i="1"/>
  <c r="BA440" i="1"/>
  <c r="AZ440" i="1"/>
  <c r="AY440" i="1"/>
  <c r="BE440" i="1" s="1" a="1"/>
  <c r="BE440" i="1" s="1"/>
  <c r="AX440" i="1"/>
  <c r="M440" i="1"/>
  <c r="EM439" i="1"/>
  <c r="DU439" i="1"/>
  <c r="DT439" i="1"/>
  <c r="DN439" i="1"/>
  <c r="DM439" i="1"/>
  <c r="DL439" i="1"/>
  <c r="DK439" i="1"/>
  <c r="DI439" i="1"/>
  <c r="DJ439" i="1" s="1"/>
  <c r="DC439" i="1"/>
  <c r="CX439" i="1"/>
  <c r="CN439" i="1"/>
  <c r="CO439" i="1" s="1"/>
  <c r="BX439" i="1"/>
  <c r="BN439" i="1"/>
  <c r="BO439" i="1" s="1"/>
  <c r="BD439" i="1"/>
  <c r="BC439" i="1"/>
  <c r="BB439" i="1"/>
  <c r="BA439" i="1"/>
  <c r="AZ439" i="1"/>
  <c r="BF439" i="1" s="1" a="1"/>
  <c r="BF439" i="1" s="1"/>
  <c r="AY439" i="1"/>
  <c r="BE439" i="1" s="1" a="1"/>
  <c r="BE439" i="1" s="1"/>
  <c r="AX439" i="1"/>
  <c r="M439" i="1"/>
  <c r="EM438" i="1"/>
  <c r="DU438" i="1"/>
  <c r="DT438" i="1"/>
  <c r="DN438" i="1"/>
  <c r="DM438" i="1"/>
  <c r="DL438" i="1"/>
  <c r="DK438" i="1"/>
  <c r="DI438" i="1"/>
  <c r="DJ438" i="1" s="1"/>
  <c r="DC438" i="1"/>
  <c r="CX438" i="1"/>
  <c r="CN438" i="1"/>
  <c r="CO438" i="1" s="1"/>
  <c r="BX438" i="1"/>
  <c r="BN438" i="1"/>
  <c r="BO438" i="1" s="1"/>
  <c r="BD438" i="1"/>
  <c r="BC438" i="1"/>
  <c r="BB438" i="1"/>
  <c r="BA438" i="1"/>
  <c r="AZ438" i="1"/>
  <c r="AY438" i="1"/>
  <c r="BE438" i="1" s="1" a="1"/>
  <c r="BE438" i="1" s="1"/>
  <c r="AX438" i="1"/>
  <c r="M438" i="1"/>
  <c r="EM437" i="1"/>
  <c r="DU437" i="1"/>
  <c r="DT437" i="1"/>
  <c r="DN437" i="1"/>
  <c r="DM437" i="1"/>
  <c r="DL437" i="1"/>
  <c r="DK437" i="1"/>
  <c r="DI437" i="1"/>
  <c r="DJ437" i="1" s="1"/>
  <c r="DC437" i="1"/>
  <c r="CX437" i="1"/>
  <c r="CN437" i="1"/>
  <c r="CP437" i="1" s="1"/>
  <c r="BX437" i="1"/>
  <c r="BN437" i="1"/>
  <c r="BO437" i="1" s="1"/>
  <c r="BD437" i="1"/>
  <c r="BC437" i="1"/>
  <c r="BB437" i="1"/>
  <c r="BA437" i="1"/>
  <c r="AZ437" i="1"/>
  <c r="AY437" i="1"/>
  <c r="BE437" i="1" s="1" a="1"/>
  <c r="BE437" i="1" s="1"/>
  <c r="AX437" i="1"/>
  <c r="M437" i="1"/>
  <c r="EM436" i="1"/>
  <c r="DU436" i="1"/>
  <c r="DT436" i="1"/>
  <c r="DN436" i="1"/>
  <c r="DM436" i="1"/>
  <c r="DL436" i="1"/>
  <c r="DK436" i="1"/>
  <c r="DI436" i="1"/>
  <c r="DJ436" i="1" s="1"/>
  <c r="DC436" i="1"/>
  <c r="CX436" i="1"/>
  <c r="CN436" i="1"/>
  <c r="BX436" i="1"/>
  <c r="BN436" i="1"/>
  <c r="BO436" i="1" s="1"/>
  <c r="BD436" i="1"/>
  <c r="BC436" i="1"/>
  <c r="BB436" i="1"/>
  <c r="BA436" i="1"/>
  <c r="AZ436" i="1"/>
  <c r="BF436" i="1" s="1" a="1"/>
  <c r="BF436" i="1" s="1"/>
  <c r="AY436" i="1"/>
  <c r="BE436" i="1" s="1" a="1"/>
  <c r="BE436" i="1" s="1"/>
  <c r="AX436" i="1"/>
  <c r="M436" i="1"/>
  <c r="EM447" i="1"/>
  <c r="DU447" i="1"/>
  <c r="DT447" i="1"/>
  <c r="DN447" i="1"/>
  <c r="DM447" i="1"/>
  <c r="DL447" i="1"/>
  <c r="DK447" i="1"/>
  <c r="DI447" i="1"/>
  <c r="DJ447" i="1" s="1"/>
  <c r="DC447" i="1"/>
  <c r="CX447" i="1"/>
  <c r="CN447" i="1"/>
  <c r="CP447" i="1" s="1"/>
  <c r="BX447" i="1"/>
  <c r="BN447" i="1"/>
  <c r="BO447" i="1" s="1"/>
  <c r="BD447" i="1"/>
  <c r="BC447" i="1"/>
  <c r="BB447" i="1"/>
  <c r="BA447" i="1"/>
  <c r="AZ447" i="1"/>
  <c r="AY447" i="1"/>
  <c r="BE447" i="1" s="1" a="1"/>
  <c r="BE447" i="1" s="1"/>
  <c r="AX447" i="1"/>
  <c r="M447" i="1"/>
  <c r="EM446" i="1"/>
  <c r="DU446" i="1"/>
  <c r="DT446" i="1"/>
  <c r="DN446" i="1"/>
  <c r="DM446" i="1"/>
  <c r="DL446" i="1"/>
  <c r="DK446" i="1"/>
  <c r="DI446" i="1"/>
  <c r="DJ446" i="1" s="1"/>
  <c r="DC446" i="1"/>
  <c r="CX446" i="1"/>
  <c r="CN446" i="1"/>
  <c r="BX446" i="1"/>
  <c r="BN446" i="1"/>
  <c r="BO446" i="1" s="1"/>
  <c r="BD446" i="1"/>
  <c r="BC446" i="1"/>
  <c r="BB446" i="1"/>
  <c r="BA446" i="1"/>
  <c r="AZ446" i="1"/>
  <c r="AY446" i="1"/>
  <c r="BE446" i="1" s="1" a="1"/>
  <c r="BE446" i="1" s="1"/>
  <c r="AX446" i="1"/>
  <c r="M446" i="1"/>
  <c r="EM445" i="1"/>
  <c r="DU445" i="1"/>
  <c r="DT445" i="1"/>
  <c r="DN445" i="1"/>
  <c r="DM445" i="1"/>
  <c r="DL445" i="1"/>
  <c r="DK445" i="1"/>
  <c r="DI445" i="1"/>
  <c r="DJ445" i="1" s="1"/>
  <c r="DC445" i="1"/>
  <c r="CX445" i="1"/>
  <c r="CN445" i="1"/>
  <c r="CP445" i="1" s="1"/>
  <c r="BX445" i="1"/>
  <c r="BN445" i="1"/>
  <c r="BO445" i="1" s="1"/>
  <c r="BD445" i="1"/>
  <c r="BC445" i="1"/>
  <c r="BB445" i="1"/>
  <c r="BA445" i="1"/>
  <c r="AZ445" i="1"/>
  <c r="AY445" i="1"/>
  <c r="BE445" i="1" s="1" a="1"/>
  <c r="BE445" i="1" s="1"/>
  <c r="AX445" i="1"/>
  <c r="M445" i="1"/>
  <c r="EM444" i="1"/>
  <c r="DU444" i="1"/>
  <c r="DT444" i="1"/>
  <c r="DN444" i="1"/>
  <c r="DM444" i="1"/>
  <c r="DL444" i="1"/>
  <c r="DK444" i="1"/>
  <c r="DI444" i="1"/>
  <c r="DJ444" i="1" s="1"/>
  <c r="DC444" i="1"/>
  <c r="CX444" i="1"/>
  <c r="CN444" i="1"/>
  <c r="CP444" i="1" s="1"/>
  <c r="BX444" i="1"/>
  <c r="BN444" i="1"/>
  <c r="BO444" i="1" s="1"/>
  <c r="BD444" i="1"/>
  <c r="BC444" i="1"/>
  <c r="BB444" i="1"/>
  <c r="BA444" i="1"/>
  <c r="AZ444" i="1"/>
  <c r="AY444" i="1"/>
  <c r="BE444" i="1" s="1" a="1"/>
  <c r="BE444" i="1" s="1"/>
  <c r="AX444" i="1"/>
  <c r="M444" i="1"/>
  <c r="EM406" i="1"/>
  <c r="DU406" i="1"/>
  <c r="DT406" i="1"/>
  <c r="DN406" i="1"/>
  <c r="DM406" i="1"/>
  <c r="DL406" i="1"/>
  <c r="DK406" i="1"/>
  <c r="DI406" i="1"/>
  <c r="DJ406" i="1" s="1"/>
  <c r="DC406" i="1"/>
  <c r="CX406" i="1"/>
  <c r="CN406" i="1"/>
  <c r="CO406" i="1" s="1"/>
  <c r="BX406" i="1"/>
  <c r="BN406" i="1"/>
  <c r="BO406" i="1" s="1"/>
  <c r="BD406" i="1"/>
  <c r="BC406" i="1"/>
  <c r="BB406" i="1"/>
  <c r="BA406" i="1"/>
  <c r="AZ406" i="1"/>
  <c r="AY406" i="1"/>
  <c r="BE406" i="1" s="1" a="1"/>
  <c r="BE406" i="1" s="1"/>
  <c r="AX406" i="1"/>
  <c r="M406" i="1"/>
  <c r="EM403" i="1"/>
  <c r="DU403" i="1"/>
  <c r="DT403" i="1"/>
  <c r="DN403" i="1"/>
  <c r="DM403" i="1"/>
  <c r="DL403" i="1"/>
  <c r="DK403" i="1"/>
  <c r="DI403" i="1"/>
  <c r="DJ403" i="1" s="1"/>
  <c r="DC403" i="1"/>
  <c r="CX403" i="1"/>
  <c r="CN403" i="1"/>
  <c r="BX403" i="1"/>
  <c r="BN403" i="1"/>
  <c r="BO403" i="1" s="1"/>
  <c r="BD403" i="1"/>
  <c r="BC403" i="1"/>
  <c r="BB403" i="1"/>
  <c r="BA403" i="1"/>
  <c r="AZ403" i="1"/>
  <c r="AY403" i="1"/>
  <c r="BE403" i="1" s="1" a="1"/>
  <c r="BE403" i="1" s="1"/>
  <c r="AX403" i="1"/>
  <c r="M403" i="1"/>
  <c r="EM405" i="1"/>
  <c r="DU405" i="1"/>
  <c r="DT405" i="1"/>
  <c r="DN405" i="1"/>
  <c r="DM405" i="1"/>
  <c r="DL405" i="1"/>
  <c r="DK405" i="1"/>
  <c r="DI405" i="1"/>
  <c r="DJ405" i="1" s="1"/>
  <c r="DC405" i="1"/>
  <c r="CX405" i="1"/>
  <c r="CN405" i="1"/>
  <c r="CS405" i="1" s="1"/>
  <c r="BX405" i="1"/>
  <c r="BN405" i="1"/>
  <c r="BO405" i="1" s="1"/>
  <c r="BD405" i="1"/>
  <c r="BC405" i="1"/>
  <c r="BB405" i="1"/>
  <c r="BA405" i="1"/>
  <c r="AZ405" i="1"/>
  <c r="AY405" i="1"/>
  <c r="BE405" i="1" s="1" a="1"/>
  <c r="BE405" i="1" s="1"/>
  <c r="AX405" i="1"/>
  <c r="M405" i="1"/>
  <c r="EM404" i="1"/>
  <c r="DU404" i="1"/>
  <c r="DT404" i="1"/>
  <c r="DN404" i="1"/>
  <c r="DM404" i="1"/>
  <c r="DL404" i="1"/>
  <c r="DK404" i="1"/>
  <c r="DI404" i="1"/>
  <c r="DJ404" i="1" s="1"/>
  <c r="DC404" i="1"/>
  <c r="CX404" i="1"/>
  <c r="CN404" i="1"/>
  <c r="CP404" i="1" s="1"/>
  <c r="BX404" i="1"/>
  <c r="BN404" i="1"/>
  <c r="BO404" i="1" s="1"/>
  <c r="BD404" i="1"/>
  <c r="BC404" i="1"/>
  <c r="BB404" i="1"/>
  <c r="BA404" i="1"/>
  <c r="AZ404" i="1"/>
  <c r="BF404" i="1" s="1" a="1"/>
  <c r="BF404" i="1" s="1"/>
  <c r="AY404" i="1"/>
  <c r="BE404" i="1" s="1" a="1"/>
  <c r="BE404" i="1" s="1"/>
  <c r="AX404" i="1"/>
  <c r="M404" i="1"/>
  <c r="EM402" i="1"/>
  <c r="DU402" i="1"/>
  <c r="DT402" i="1"/>
  <c r="DN402" i="1"/>
  <c r="DM402" i="1"/>
  <c r="DL402" i="1"/>
  <c r="DK402" i="1"/>
  <c r="DI402" i="1"/>
  <c r="DJ402" i="1" s="1"/>
  <c r="DC402" i="1"/>
  <c r="CX402" i="1"/>
  <c r="CN402" i="1"/>
  <c r="CS402" i="1" s="1"/>
  <c r="BX402" i="1"/>
  <c r="BN402" i="1"/>
  <c r="BO402" i="1" s="1"/>
  <c r="BD402" i="1"/>
  <c r="BC402" i="1"/>
  <c r="BB402" i="1"/>
  <c r="BA402" i="1"/>
  <c r="AZ402" i="1"/>
  <c r="AY402" i="1"/>
  <c r="BE402" i="1" s="1" a="1"/>
  <c r="BE402" i="1" s="1"/>
  <c r="AX402" i="1"/>
  <c r="M402" i="1"/>
  <c r="EM401" i="1"/>
  <c r="DU401" i="1"/>
  <c r="DT401" i="1"/>
  <c r="DN401" i="1"/>
  <c r="DM401" i="1"/>
  <c r="DL401" i="1"/>
  <c r="DK401" i="1"/>
  <c r="DI401" i="1"/>
  <c r="DJ401" i="1" s="1"/>
  <c r="DC401" i="1"/>
  <c r="CX401" i="1"/>
  <c r="CN401" i="1"/>
  <c r="CS401" i="1" s="1"/>
  <c r="BX401" i="1"/>
  <c r="BN401" i="1"/>
  <c r="BO401" i="1" s="1"/>
  <c r="BD401" i="1"/>
  <c r="BC401" i="1"/>
  <c r="BB401" i="1"/>
  <c r="BA401" i="1"/>
  <c r="AZ401" i="1"/>
  <c r="AY401" i="1"/>
  <c r="BE401" i="1" s="1" a="1"/>
  <c r="BE401" i="1" s="1"/>
  <c r="AX401" i="1"/>
  <c r="M401" i="1"/>
  <c r="EM400" i="1"/>
  <c r="DU400" i="1"/>
  <c r="DT400" i="1"/>
  <c r="DN400" i="1"/>
  <c r="DM400" i="1"/>
  <c r="DL400" i="1"/>
  <c r="DK400" i="1"/>
  <c r="DI400" i="1"/>
  <c r="DJ400" i="1" s="1"/>
  <c r="DC400" i="1"/>
  <c r="CX400" i="1"/>
  <c r="CN400" i="1"/>
  <c r="BX400" i="1"/>
  <c r="BN400" i="1"/>
  <c r="BO400" i="1" s="1"/>
  <c r="BD400" i="1"/>
  <c r="BC400" i="1"/>
  <c r="BB400" i="1"/>
  <c r="BA400" i="1"/>
  <c r="AZ400" i="1"/>
  <c r="AY400" i="1"/>
  <c r="BE400" i="1" s="1" a="1"/>
  <c r="BE400" i="1" s="1"/>
  <c r="AX400" i="1"/>
  <c r="M400" i="1"/>
  <c r="EM399" i="1"/>
  <c r="DU399" i="1"/>
  <c r="DT399" i="1"/>
  <c r="DN399" i="1"/>
  <c r="DM399" i="1"/>
  <c r="DL399" i="1"/>
  <c r="DK399" i="1"/>
  <c r="DI399" i="1"/>
  <c r="DJ399" i="1" s="1"/>
  <c r="DC399" i="1"/>
  <c r="CX399" i="1"/>
  <c r="CN399" i="1"/>
  <c r="CP399" i="1" s="1"/>
  <c r="BX399" i="1"/>
  <c r="BN399" i="1"/>
  <c r="BO399" i="1" s="1"/>
  <c r="BD399" i="1"/>
  <c r="BC399" i="1"/>
  <c r="BB399" i="1"/>
  <c r="BA399" i="1"/>
  <c r="AZ399" i="1"/>
  <c r="AY399" i="1"/>
  <c r="BE399" i="1" s="1" a="1"/>
  <c r="BE399" i="1" s="1"/>
  <c r="AX399" i="1"/>
  <c r="M399" i="1"/>
  <c r="EM379" i="1"/>
  <c r="DU379" i="1"/>
  <c r="DT379" i="1"/>
  <c r="DN379" i="1"/>
  <c r="DM379" i="1"/>
  <c r="DL379" i="1"/>
  <c r="DK379" i="1"/>
  <c r="DI379" i="1"/>
  <c r="DJ379" i="1" s="1"/>
  <c r="DB379" i="1"/>
  <c r="DC379" i="1" s="1"/>
  <c r="CX379" i="1"/>
  <c r="CN379" i="1"/>
  <c r="CO379" i="1" s="1"/>
  <c r="BV379" i="1"/>
  <c r="BX379" i="1" s="1"/>
  <c r="BU379" i="1"/>
  <c r="BN379" i="1"/>
  <c r="BO379" i="1" s="1"/>
  <c r="BM379" i="1"/>
  <c r="BD379" i="1"/>
  <c r="BC379" i="1"/>
  <c r="BB379" i="1"/>
  <c r="BA379" i="1"/>
  <c r="AZ379" i="1"/>
  <c r="AY379" i="1"/>
  <c r="BE379" i="1" s="1" a="1"/>
  <c r="BE379" i="1" s="1"/>
  <c r="AX379" i="1"/>
  <c r="M379" i="1"/>
  <c r="EM377" i="1"/>
  <c r="DU377" i="1"/>
  <c r="DT377" i="1"/>
  <c r="DN377" i="1"/>
  <c r="DM377" i="1"/>
  <c r="DL377" i="1"/>
  <c r="DK377" i="1"/>
  <c r="DI377" i="1"/>
  <c r="DJ377" i="1" s="1"/>
  <c r="DB377" i="1"/>
  <c r="DC377" i="1" s="1"/>
  <c r="CX377" i="1"/>
  <c r="CN377" i="1"/>
  <c r="BV377" i="1"/>
  <c r="BX377" i="1" s="1"/>
  <c r="BU377" i="1"/>
  <c r="BN377" i="1"/>
  <c r="BO377" i="1" s="1"/>
  <c r="BM377" i="1"/>
  <c r="BD377" i="1"/>
  <c r="BC377" i="1"/>
  <c r="BB377" i="1"/>
  <c r="BA377" i="1"/>
  <c r="AZ377" i="1"/>
  <c r="AY377" i="1"/>
  <c r="BE377" i="1" s="1" a="1"/>
  <c r="BE377" i="1" s="1"/>
  <c r="AX377" i="1"/>
  <c r="M377" i="1"/>
  <c r="EM372" i="1"/>
  <c r="DU372" i="1"/>
  <c r="DT372" i="1"/>
  <c r="DN372" i="1"/>
  <c r="DM372" i="1"/>
  <c r="DL372" i="1"/>
  <c r="DK372" i="1"/>
  <c r="DI372" i="1"/>
  <c r="DJ372" i="1" s="1"/>
  <c r="DB372" i="1"/>
  <c r="DC372" i="1" s="1"/>
  <c r="CX372" i="1"/>
  <c r="CN372" i="1"/>
  <c r="CR372" i="1" s="1"/>
  <c r="BV372" i="1"/>
  <c r="BX372" i="1" s="1"/>
  <c r="BU372" i="1"/>
  <c r="BN372" i="1"/>
  <c r="BO372" i="1" s="1"/>
  <c r="BM372" i="1"/>
  <c r="BD372" i="1"/>
  <c r="BC372" i="1"/>
  <c r="BB372" i="1"/>
  <c r="BA372" i="1"/>
  <c r="AZ372" i="1"/>
  <c r="BF372" i="1" s="1" a="1"/>
  <c r="BF372" i="1" s="1"/>
  <c r="AY372" i="1"/>
  <c r="BE372" i="1" s="1" a="1"/>
  <c r="BE372" i="1" s="1"/>
  <c r="AX372" i="1"/>
  <c r="M372" i="1"/>
  <c r="EM371" i="1"/>
  <c r="DU371" i="1"/>
  <c r="DT371" i="1"/>
  <c r="DN371" i="1"/>
  <c r="DM371" i="1"/>
  <c r="DL371" i="1"/>
  <c r="DK371" i="1"/>
  <c r="DI371" i="1"/>
  <c r="DJ371" i="1" s="1"/>
  <c r="DB371" i="1"/>
  <c r="DC371" i="1" s="1"/>
  <c r="CX371" i="1"/>
  <c r="CN371" i="1"/>
  <c r="CP371" i="1" s="1"/>
  <c r="BV371" i="1"/>
  <c r="BX371" i="1" s="1"/>
  <c r="BU371" i="1"/>
  <c r="BN371" i="1"/>
  <c r="BO371" i="1" s="1"/>
  <c r="BM371" i="1"/>
  <c r="BD371" i="1"/>
  <c r="BC371" i="1"/>
  <c r="BB371" i="1"/>
  <c r="BA371" i="1"/>
  <c r="AZ371" i="1"/>
  <c r="BF371" i="1" s="1" a="1"/>
  <c r="BF371" i="1" s="1"/>
  <c r="AY371" i="1"/>
  <c r="BE371" i="1" s="1" a="1"/>
  <c r="BE371" i="1" s="1"/>
  <c r="AX371" i="1"/>
  <c r="M371" i="1"/>
  <c r="EM370" i="1"/>
  <c r="DU370" i="1"/>
  <c r="DT370" i="1"/>
  <c r="DN370" i="1"/>
  <c r="DM370" i="1"/>
  <c r="DL370" i="1"/>
  <c r="DK370" i="1"/>
  <c r="DI370" i="1"/>
  <c r="DJ370" i="1" s="1"/>
  <c r="DB370" i="1"/>
  <c r="DC370" i="1" s="1"/>
  <c r="CX370" i="1"/>
  <c r="CN370" i="1"/>
  <c r="CP370" i="1" s="1"/>
  <c r="BV370" i="1"/>
  <c r="BX370" i="1" s="1"/>
  <c r="BU370" i="1"/>
  <c r="BN370" i="1"/>
  <c r="BO370" i="1" s="1"/>
  <c r="BM370" i="1"/>
  <c r="BD370" i="1"/>
  <c r="BC370" i="1"/>
  <c r="BB370" i="1"/>
  <c r="BA370" i="1"/>
  <c r="AZ370" i="1"/>
  <c r="AY370" i="1"/>
  <c r="BE370" i="1" s="1" a="1"/>
  <c r="BE370" i="1" s="1"/>
  <c r="AX370" i="1"/>
  <c r="M370" i="1"/>
  <c r="EM369" i="1"/>
  <c r="DU369" i="1"/>
  <c r="DT369" i="1"/>
  <c r="DN369" i="1"/>
  <c r="DM369" i="1"/>
  <c r="DL369" i="1"/>
  <c r="DK369" i="1"/>
  <c r="DI369" i="1"/>
  <c r="DJ369" i="1" s="1"/>
  <c r="DB369" i="1"/>
  <c r="DC369" i="1" s="1"/>
  <c r="CX369" i="1"/>
  <c r="CN369" i="1"/>
  <c r="CO369" i="1" s="1"/>
  <c r="BV369" i="1"/>
  <c r="BX369" i="1" s="1"/>
  <c r="BU369" i="1"/>
  <c r="BN369" i="1"/>
  <c r="BO369" i="1" s="1"/>
  <c r="BM369" i="1"/>
  <c r="BD369" i="1"/>
  <c r="BC369" i="1"/>
  <c r="BB369" i="1"/>
  <c r="BA369" i="1"/>
  <c r="AZ369" i="1"/>
  <c r="AY369" i="1"/>
  <c r="BE369" i="1" s="1" a="1"/>
  <c r="BE369" i="1" s="1"/>
  <c r="AX369" i="1"/>
  <c r="M369" i="1"/>
  <c r="EM378" i="1"/>
  <c r="DU378" i="1"/>
  <c r="DT378" i="1"/>
  <c r="DN378" i="1"/>
  <c r="DM378" i="1"/>
  <c r="DL378" i="1"/>
  <c r="DK378" i="1"/>
  <c r="DI378" i="1"/>
  <c r="DJ378" i="1" s="1"/>
  <c r="DB378" i="1"/>
  <c r="DC378" i="1" s="1"/>
  <c r="CX378" i="1"/>
  <c r="CN378" i="1"/>
  <c r="BV378" i="1"/>
  <c r="BX378" i="1" s="1"/>
  <c r="BU378" i="1"/>
  <c r="BN378" i="1"/>
  <c r="BO378" i="1" s="1"/>
  <c r="BM378" i="1"/>
  <c r="BD378" i="1"/>
  <c r="BC378" i="1"/>
  <c r="BB378" i="1"/>
  <c r="BA378" i="1"/>
  <c r="AZ378" i="1"/>
  <c r="AY378" i="1"/>
  <c r="AX378" i="1"/>
  <c r="M378" i="1"/>
  <c r="EM375" i="1"/>
  <c r="DU375" i="1"/>
  <c r="DT375" i="1"/>
  <c r="DN375" i="1"/>
  <c r="DM375" i="1"/>
  <c r="DL375" i="1"/>
  <c r="DK375" i="1"/>
  <c r="DI375" i="1"/>
  <c r="DJ375" i="1" s="1"/>
  <c r="DB375" i="1"/>
  <c r="DC375" i="1" s="1"/>
  <c r="CX375" i="1"/>
  <c r="CN375" i="1"/>
  <c r="CO375" i="1" s="1"/>
  <c r="BV375" i="1"/>
  <c r="BX375" i="1" s="1"/>
  <c r="BU375" i="1"/>
  <c r="BN375" i="1"/>
  <c r="BO375" i="1" s="1"/>
  <c r="BM375" i="1"/>
  <c r="BD375" i="1"/>
  <c r="BC375" i="1"/>
  <c r="BB375" i="1"/>
  <c r="BA375" i="1"/>
  <c r="AZ375" i="1"/>
  <c r="AY375" i="1"/>
  <c r="AX375" i="1"/>
  <c r="M375" i="1"/>
  <c r="EM374" i="1"/>
  <c r="DU374" i="1"/>
  <c r="DT374" i="1"/>
  <c r="DN374" i="1"/>
  <c r="DM374" i="1"/>
  <c r="DL374" i="1"/>
  <c r="DK374" i="1"/>
  <c r="DI374" i="1"/>
  <c r="DJ374" i="1" s="1"/>
  <c r="DB374" i="1"/>
  <c r="DC374" i="1" s="1"/>
  <c r="CX374" i="1"/>
  <c r="CN374" i="1"/>
  <c r="CS374" i="1" s="1"/>
  <c r="BV374" i="1"/>
  <c r="BX374" i="1" s="1"/>
  <c r="BU374" i="1"/>
  <c r="BN374" i="1"/>
  <c r="BO374" i="1" s="1"/>
  <c r="BM374" i="1"/>
  <c r="BD374" i="1"/>
  <c r="BC374" i="1"/>
  <c r="BB374" i="1"/>
  <c r="BA374" i="1"/>
  <c r="AZ374" i="1"/>
  <c r="AY374" i="1"/>
  <c r="AX374" i="1"/>
  <c r="M374" i="1"/>
  <c r="EM376" i="1"/>
  <c r="DU376" i="1"/>
  <c r="DT376" i="1"/>
  <c r="DN376" i="1"/>
  <c r="DM376" i="1"/>
  <c r="DL376" i="1"/>
  <c r="DK376" i="1"/>
  <c r="DI376" i="1"/>
  <c r="DJ376" i="1" s="1"/>
  <c r="DB376" i="1"/>
  <c r="DC376" i="1" s="1"/>
  <c r="CX376" i="1"/>
  <c r="CN376" i="1"/>
  <c r="CR376" i="1" s="1"/>
  <c r="BV376" i="1"/>
  <c r="BX376" i="1" s="1"/>
  <c r="BU376" i="1"/>
  <c r="BN376" i="1"/>
  <c r="BO376" i="1" s="1"/>
  <c r="BM376" i="1"/>
  <c r="BD376" i="1"/>
  <c r="BC376" i="1"/>
  <c r="BB376" i="1"/>
  <c r="BA376" i="1"/>
  <c r="AZ376" i="1"/>
  <c r="AY376" i="1"/>
  <c r="BE376" i="1" s="1" a="1"/>
  <c r="BE376" i="1" s="1"/>
  <c r="AX376" i="1"/>
  <c r="M376" i="1"/>
  <c r="EM373" i="1"/>
  <c r="DU373" i="1"/>
  <c r="DT373" i="1"/>
  <c r="DN373" i="1"/>
  <c r="DM373" i="1"/>
  <c r="DL373" i="1"/>
  <c r="DK373" i="1"/>
  <c r="DI373" i="1"/>
  <c r="DJ373" i="1" s="1"/>
  <c r="DB373" i="1"/>
  <c r="DC373" i="1" s="1"/>
  <c r="CX373" i="1"/>
  <c r="CN373" i="1"/>
  <c r="CP373" i="1" s="1"/>
  <c r="BV373" i="1"/>
  <c r="BX373" i="1" s="1"/>
  <c r="BU373" i="1"/>
  <c r="BN373" i="1"/>
  <c r="BO373" i="1" s="1"/>
  <c r="BM373" i="1"/>
  <c r="BD373" i="1"/>
  <c r="BC373" i="1"/>
  <c r="BB373" i="1"/>
  <c r="BA373" i="1"/>
  <c r="AZ373" i="1"/>
  <c r="BF373" i="1" s="1" a="1"/>
  <c r="BF373" i="1" s="1"/>
  <c r="AY373" i="1"/>
  <c r="BE373" i="1" s="1" a="1"/>
  <c r="BE373" i="1" s="1"/>
  <c r="AX373" i="1"/>
  <c r="M373" i="1"/>
  <c r="EM380" i="1"/>
  <c r="DU380" i="1"/>
  <c r="DT380" i="1"/>
  <c r="DN380" i="1"/>
  <c r="DM380" i="1"/>
  <c r="DL380" i="1"/>
  <c r="DK380" i="1"/>
  <c r="DI380" i="1"/>
  <c r="DJ380" i="1" s="1"/>
  <c r="DB380" i="1"/>
  <c r="DC380" i="1" s="1"/>
  <c r="CX380" i="1"/>
  <c r="CN380" i="1"/>
  <c r="BV380" i="1"/>
  <c r="BX380" i="1" s="1"/>
  <c r="BU380" i="1"/>
  <c r="BN380" i="1"/>
  <c r="BO380" i="1" s="1"/>
  <c r="BM380" i="1"/>
  <c r="BD380" i="1"/>
  <c r="BC380" i="1"/>
  <c r="BB380" i="1"/>
  <c r="BA380" i="1"/>
  <c r="AZ380" i="1"/>
  <c r="BF380" i="1" s="1" a="1"/>
  <c r="BF380" i="1" s="1"/>
  <c r="AY380" i="1"/>
  <c r="BE380" i="1" s="1" a="1"/>
  <c r="BE380" i="1" s="1"/>
  <c r="AX380" i="1"/>
  <c r="M380" i="1"/>
  <c r="EM314" i="1"/>
  <c r="DU314" i="1"/>
  <c r="DT314" i="1"/>
  <c r="DN314" i="1"/>
  <c r="DM314" i="1"/>
  <c r="DL314" i="1"/>
  <c r="DK314" i="1"/>
  <c r="DI314" i="1"/>
  <c r="DJ314" i="1" s="1"/>
  <c r="DC314" i="1"/>
  <c r="CX314" i="1"/>
  <c r="CN314" i="1"/>
  <c r="CP314" i="1" s="1"/>
  <c r="BV314" i="1"/>
  <c r="BX314" i="1" s="1"/>
  <c r="BU314" i="1"/>
  <c r="BN314" i="1"/>
  <c r="BO314" i="1" s="1"/>
  <c r="BD314" i="1"/>
  <c r="BC314" i="1"/>
  <c r="BB314" i="1"/>
  <c r="BA314" i="1"/>
  <c r="AZ314" i="1"/>
  <c r="AY314" i="1"/>
  <c r="BE314" i="1" s="1" a="1"/>
  <c r="BE314" i="1" s="1"/>
  <c r="AX314" i="1"/>
  <c r="M314" i="1"/>
  <c r="EM315" i="1"/>
  <c r="DU315" i="1"/>
  <c r="DT315" i="1"/>
  <c r="DN315" i="1"/>
  <c r="DM315" i="1"/>
  <c r="DL315" i="1"/>
  <c r="DK315" i="1"/>
  <c r="DI315" i="1"/>
  <c r="DJ315" i="1" s="1"/>
  <c r="DC315" i="1"/>
  <c r="CX315" i="1"/>
  <c r="CN315" i="1"/>
  <c r="CR315" i="1" s="1"/>
  <c r="BV315" i="1"/>
  <c r="BX315" i="1" s="1"/>
  <c r="BU315" i="1"/>
  <c r="BN315" i="1"/>
  <c r="BO315" i="1" s="1"/>
  <c r="BD315" i="1"/>
  <c r="BC315" i="1"/>
  <c r="BB315" i="1"/>
  <c r="BA315" i="1"/>
  <c r="AZ315" i="1"/>
  <c r="AY315" i="1"/>
  <c r="BE315" i="1" s="1" a="1"/>
  <c r="BE315" i="1" s="1"/>
  <c r="AX315" i="1"/>
  <c r="M315" i="1"/>
  <c r="EM304" i="1"/>
  <c r="DU304" i="1"/>
  <c r="DT304" i="1"/>
  <c r="DN304" i="1"/>
  <c r="DM304" i="1"/>
  <c r="DL304" i="1"/>
  <c r="DK304" i="1"/>
  <c r="DI304" i="1"/>
  <c r="DJ304" i="1" s="1"/>
  <c r="DC304" i="1"/>
  <c r="CX304" i="1"/>
  <c r="CN304" i="1"/>
  <c r="CP304" i="1" s="1"/>
  <c r="BV304" i="1"/>
  <c r="BX304" i="1" s="1"/>
  <c r="BU304" i="1"/>
  <c r="BN304" i="1"/>
  <c r="BO304" i="1" s="1"/>
  <c r="BD304" i="1"/>
  <c r="BC304" i="1"/>
  <c r="BB304" i="1"/>
  <c r="BA304" i="1"/>
  <c r="AZ304" i="1"/>
  <c r="AY304" i="1"/>
  <c r="BE304" i="1" s="1" a="1"/>
  <c r="BE304" i="1" s="1"/>
  <c r="AX304" i="1"/>
  <c r="M304" i="1"/>
  <c r="EM305" i="1"/>
  <c r="DU305" i="1"/>
  <c r="DT305" i="1"/>
  <c r="DN305" i="1"/>
  <c r="DM305" i="1"/>
  <c r="DL305" i="1"/>
  <c r="DK305" i="1"/>
  <c r="DI305" i="1"/>
  <c r="DJ305" i="1" s="1"/>
  <c r="DC305" i="1"/>
  <c r="CX305" i="1"/>
  <c r="CN305" i="1"/>
  <c r="CR305" i="1" s="1"/>
  <c r="BV305" i="1"/>
  <c r="BX305" i="1" s="1"/>
  <c r="BU305" i="1"/>
  <c r="BN305" i="1"/>
  <c r="BO305" i="1" s="1"/>
  <c r="BD305" i="1"/>
  <c r="BC305" i="1"/>
  <c r="BB305" i="1"/>
  <c r="BA305" i="1"/>
  <c r="AZ305" i="1"/>
  <c r="BF305" i="1" s="1" a="1"/>
  <c r="BF305" i="1" s="1"/>
  <c r="AY305" i="1"/>
  <c r="BE305" i="1" s="1" a="1"/>
  <c r="BE305" i="1" s="1"/>
  <c r="AX305" i="1"/>
  <c r="M305" i="1"/>
  <c r="EM299" i="1"/>
  <c r="DU299" i="1"/>
  <c r="DT299" i="1"/>
  <c r="DN299" i="1"/>
  <c r="DM299" i="1"/>
  <c r="DL299" i="1"/>
  <c r="DK299" i="1"/>
  <c r="DI299" i="1"/>
  <c r="DJ299" i="1" s="1"/>
  <c r="DC299" i="1"/>
  <c r="CX299" i="1"/>
  <c r="CN299" i="1"/>
  <c r="CO299" i="1" s="1"/>
  <c r="BV299" i="1"/>
  <c r="BX299" i="1" s="1"/>
  <c r="BU299" i="1"/>
  <c r="BN299" i="1"/>
  <c r="BO299" i="1" s="1"/>
  <c r="BD299" i="1"/>
  <c r="BC299" i="1"/>
  <c r="BB299" i="1"/>
  <c r="BA299" i="1"/>
  <c r="AZ299" i="1"/>
  <c r="AY299" i="1"/>
  <c r="BE299" i="1" s="1" a="1"/>
  <c r="BE299" i="1" s="1"/>
  <c r="AX299" i="1"/>
  <c r="M299" i="1"/>
  <c r="EM300" i="1"/>
  <c r="DU300" i="1"/>
  <c r="DT300" i="1"/>
  <c r="DN300" i="1"/>
  <c r="DM300" i="1"/>
  <c r="DL300" i="1"/>
  <c r="DK300" i="1"/>
  <c r="DI300" i="1"/>
  <c r="DJ300" i="1" s="1"/>
  <c r="DC300" i="1"/>
  <c r="CX300" i="1"/>
  <c r="CN300" i="1"/>
  <c r="CO300" i="1" s="1"/>
  <c r="BV300" i="1"/>
  <c r="BX300" i="1" s="1"/>
  <c r="BU300" i="1"/>
  <c r="BN300" i="1"/>
  <c r="BO300" i="1" s="1"/>
  <c r="BD300" i="1"/>
  <c r="BC300" i="1"/>
  <c r="BB300" i="1"/>
  <c r="BA300" i="1"/>
  <c r="AZ300" i="1"/>
  <c r="AY300" i="1"/>
  <c r="BE300" i="1" s="1" a="1"/>
  <c r="BE300" i="1" s="1"/>
  <c r="AX300" i="1"/>
  <c r="M300" i="1"/>
  <c r="EM339" i="1"/>
  <c r="DU339" i="1"/>
  <c r="DT339" i="1"/>
  <c r="DN339" i="1"/>
  <c r="DM339" i="1"/>
  <c r="DL339" i="1"/>
  <c r="DK339" i="1"/>
  <c r="DI339" i="1"/>
  <c r="DJ339" i="1" s="1"/>
  <c r="DC339" i="1"/>
  <c r="CX339" i="1"/>
  <c r="BV339" i="1"/>
  <c r="BX339" i="1" s="1"/>
  <c r="BY339" i="1" s="1"/>
  <c r="BU339" i="1"/>
  <c r="BL339" i="1"/>
  <c r="BK339" i="1"/>
  <c r="BD339" i="1"/>
  <c r="BC339" i="1"/>
  <c r="BB339" i="1"/>
  <c r="BA339" i="1"/>
  <c r="AZ339" i="1"/>
  <c r="AY339" i="1"/>
  <c r="BE339" i="1" s="1" a="1"/>
  <c r="BE339" i="1" s="1"/>
  <c r="AX339" i="1"/>
  <c r="M339" i="1"/>
  <c r="EM338" i="1"/>
  <c r="DU338" i="1"/>
  <c r="DT338" i="1"/>
  <c r="DN338" i="1"/>
  <c r="DM338" i="1"/>
  <c r="DL338" i="1"/>
  <c r="DK338" i="1"/>
  <c r="DI338" i="1"/>
  <c r="DJ338" i="1" s="1"/>
  <c r="DC338" i="1"/>
  <c r="CX338" i="1"/>
  <c r="BV338" i="1"/>
  <c r="BX338" i="1" s="1"/>
  <c r="BY338" i="1" s="1"/>
  <c r="BU338" i="1"/>
  <c r="BL338" i="1"/>
  <c r="BK338" i="1"/>
  <c r="BD338" i="1"/>
  <c r="BC338" i="1"/>
  <c r="BB338" i="1"/>
  <c r="BA338" i="1"/>
  <c r="AZ338" i="1"/>
  <c r="BF338" i="1" s="1" a="1"/>
  <c r="BF338" i="1" s="1"/>
  <c r="AY338" i="1"/>
  <c r="BE338" i="1" s="1" a="1"/>
  <c r="BE338" i="1" s="1"/>
  <c r="AX338" i="1"/>
  <c r="M338" i="1"/>
  <c r="EM337" i="1"/>
  <c r="DU337" i="1"/>
  <c r="DT337" i="1"/>
  <c r="DN337" i="1"/>
  <c r="DM337" i="1"/>
  <c r="DL337" i="1"/>
  <c r="DK337" i="1"/>
  <c r="DI337" i="1"/>
  <c r="DJ337" i="1" s="1"/>
  <c r="DC337" i="1"/>
  <c r="CX337" i="1"/>
  <c r="BV337" i="1"/>
  <c r="BX337" i="1" s="1"/>
  <c r="BY337" i="1" s="1"/>
  <c r="BU337" i="1"/>
  <c r="BL337" i="1"/>
  <c r="BK337" i="1"/>
  <c r="BD337" i="1"/>
  <c r="BC337" i="1"/>
  <c r="BB337" i="1"/>
  <c r="BA337" i="1"/>
  <c r="AZ337" i="1"/>
  <c r="AY337" i="1"/>
  <c r="BE337" i="1" s="1" a="1"/>
  <c r="BE337" i="1" s="1"/>
  <c r="AX337" i="1"/>
  <c r="M337" i="1"/>
  <c r="EM336" i="1"/>
  <c r="DU336" i="1"/>
  <c r="DT336" i="1"/>
  <c r="DN336" i="1"/>
  <c r="DM336" i="1"/>
  <c r="DL336" i="1"/>
  <c r="DK336" i="1"/>
  <c r="DI336" i="1"/>
  <c r="DJ336" i="1" s="1"/>
  <c r="DC336" i="1"/>
  <c r="CX336" i="1"/>
  <c r="BV336" i="1"/>
  <c r="BX336" i="1" s="1"/>
  <c r="BY336" i="1" s="1"/>
  <c r="BU336" i="1"/>
  <c r="EP336" i="1" s="1"/>
  <c r="BL336" i="1"/>
  <c r="BK336" i="1"/>
  <c r="BD336" i="1"/>
  <c r="BC336" i="1"/>
  <c r="BB336" i="1"/>
  <c r="BA336" i="1"/>
  <c r="AZ336" i="1"/>
  <c r="AY336" i="1"/>
  <c r="BE336" i="1" s="1" a="1"/>
  <c r="BE336" i="1" s="1"/>
  <c r="AX336" i="1"/>
  <c r="M336" i="1"/>
  <c r="EM335" i="1"/>
  <c r="DU335" i="1"/>
  <c r="DT335" i="1"/>
  <c r="DN335" i="1"/>
  <c r="DM335" i="1"/>
  <c r="DL335" i="1"/>
  <c r="DK335" i="1"/>
  <c r="DI335" i="1"/>
  <c r="DJ335" i="1" s="1"/>
  <c r="DC335" i="1"/>
  <c r="CX335" i="1"/>
  <c r="BV335" i="1"/>
  <c r="BX335" i="1" s="1"/>
  <c r="BY335" i="1" s="1"/>
  <c r="BU335" i="1"/>
  <c r="BL335" i="1"/>
  <c r="BK335" i="1"/>
  <c r="BD335" i="1"/>
  <c r="BC335" i="1"/>
  <c r="BB335" i="1"/>
  <c r="BA335" i="1"/>
  <c r="AZ335" i="1"/>
  <c r="AY335" i="1"/>
  <c r="BE335" i="1" s="1" a="1"/>
  <c r="BE335" i="1" s="1"/>
  <c r="AX335" i="1"/>
  <c r="M335" i="1"/>
  <c r="EM334" i="1"/>
  <c r="DU334" i="1"/>
  <c r="DT334" i="1"/>
  <c r="DN334" i="1"/>
  <c r="DM334" i="1"/>
  <c r="DL334" i="1"/>
  <c r="DK334" i="1"/>
  <c r="DI334" i="1"/>
  <c r="DJ334" i="1" s="1"/>
  <c r="DC334" i="1"/>
  <c r="CX334" i="1"/>
  <c r="BV334" i="1"/>
  <c r="BX334" i="1" s="1"/>
  <c r="BY334" i="1" s="1"/>
  <c r="BU334" i="1"/>
  <c r="EP334" i="1" s="1"/>
  <c r="BL334" i="1"/>
  <c r="BK334" i="1"/>
  <c r="BM334" i="1" s="1"/>
  <c r="BD334" i="1"/>
  <c r="BC334" i="1"/>
  <c r="BB334" i="1"/>
  <c r="BA334" i="1"/>
  <c r="AZ334" i="1"/>
  <c r="BF334" i="1" s="1" a="1"/>
  <c r="BF334" i="1" s="1"/>
  <c r="AY334" i="1"/>
  <c r="BE334" i="1" s="1" a="1"/>
  <c r="BE334" i="1" s="1"/>
  <c r="AX334" i="1"/>
  <c r="M334" i="1"/>
  <c r="EM333" i="1"/>
  <c r="DU333" i="1"/>
  <c r="DT333" i="1"/>
  <c r="DN333" i="1"/>
  <c r="DM333" i="1"/>
  <c r="DL333" i="1"/>
  <c r="DK333" i="1"/>
  <c r="DI333" i="1"/>
  <c r="DJ333" i="1" s="1"/>
  <c r="DC333" i="1"/>
  <c r="CX333" i="1"/>
  <c r="BV333" i="1"/>
  <c r="BX333" i="1" s="1"/>
  <c r="BY333" i="1" s="1"/>
  <c r="BU333" i="1"/>
  <c r="BL333" i="1"/>
  <c r="BK333" i="1"/>
  <c r="BM333" i="1" s="1"/>
  <c r="BD333" i="1"/>
  <c r="BC333" i="1"/>
  <c r="BB333" i="1"/>
  <c r="BA333" i="1"/>
  <c r="AZ333" i="1"/>
  <c r="AY333" i="1"/>
  <c r="BE333" i="1" s="1" a="1"/>
  <c r="BE333" i="1" s="1"/>
  <c r="AX333" i="1"/>
  <c r="M333" i="1"/>
  <c r="EM332" i="1"/>
  <c r="DU332" i="1"/>
  <c r="DT332" i="1"/>
  <c r="DN332" i="1"/>
  <c r="DM332" i="1"/>
  <c r="DL332" i="1"/>
  <c r="DK332" i="1"/>
  <c r="DI332" i="1"/>
  <c r="DJ332" i="1" s="1"/>
  <c r="DC332" i="1"/>
  <c r="CX332" i="1"/>
  <c r="BV332" i="1"/>
  <c r="BX332" i="1" s="1"/>
  <c r="BY332" i="1" s="1"/>
  <c r="BU332" i="1"/>
  <c r="EP332" i="1" s="1"/>
  <c r="BL332" i="1"/>
  <c r="BK332" i="1"/>
  <c r="BM332" i="1" s="1"/>
  <c r="BD332" i="1"/>
  <c r="BC332" i="1"/>
  <c r="BB332" i="1"/>
  <c r="BA332" i="1"/>
  <c r="AZ332" i="1"/>
  <c r="AY332" i="1"/>
  <c r="BE332" i="1" s="1" a="1"/>
  <c r="BE332" i="1" s="1"/>
  <c r="AX332" i="1"/>
  <c r="M332" i="1"/>
  <c r="EM331" i="1"/>
  <c r="DU331" i="1"/>
  <c r="DT331" i="1"/>
  <c r="DN331" i="1"/>
  <c r="DM331" i="1"/>
  <c r="DL331" i="1"/>
  <c r="DK331" i="1"/>
  <c r="DI331" i="1"/>
  <c r="DJ331" i="1" s="1"/>
  <c r="DC331" i="1"/>
  <c r="CX331" i="1"/>
  <c r="BV331" i="1"/>
  <c r="BX331" i="1" s="1"/>
  <c r="BY331" i="1" s="1"/>
  <c r="BU331" i="1"/>
  <c r="BL331" i="1"/>
  <c r="BK331" i="1"/>
  <c r="BN331" i="1" s="1"/>
  <c r="BD331" i="1"/>
  <c r="BC331" i="1"/>
  <c r="BB331" i="1"/>
  <c r="BA331" i="1"/>
  <c r="AZ331" i="1"/>
  <c r="AY331" i="1"/>
  <c r="BE331" i="1" s="1" a="1"/>
  <c r="BE331" i="1" s="1"/>
  <c r="AX331" i="1"/>
  <c r="M331" i="1"/>
  <c r="EM330" i="1"/>
  <c r="DU330" i="1"/>
  <c r="DT330" i="1"/>
  <c r="DN330" i="1"/>
  <c r="DM330" i="1"/>
  <c r="DL330" i="1"/>
  <c r="DK330" i="1"/>
  <c r="DI330" i="1"/>
  <c r="DJ330" i="1" s="1"/>
  <c r="DC330" i="1"/>
  <c r="CX330" i="1"/>
  <c r="BV330" i="1"/>
  <c r="BX330" i="1" s="1"/>
  <c r="BY330" i="1" s="1"/>
  <c r="BU330" i="1"/>
  <c r="EP330" i="1" s="1"/>
  <c r="BL330" i="1"/>
  <c r="BK330" i="1"/>
  <c r="BD330" i="1"/>
  <c r="BC330" i="1"/>
  <c r="BB330" i="1"/>
  <c r="BA330" i="1"/>
  <c r="AZ330" i="1"/>
  <c r="BF330" i="1" s="1" a="1"/>
  <c r="BF330" i="1" s="1"/>
  <c r="AY330" i="1"/>
  <c r="BE330" i="1" s="1" a="1"/>
  <c r="BE330" i="1" s="1"/>
  <c r="AX330" i="1"/>
  <c r="M330" i="1"/>
  <c r="EM329" i="1"/>
  <c r="DU329" i="1"/>
  <c r="DT329" i="1"/>
  <c r="DN329" i="1"/>
  <c r="DM329" i="1"/>
  <c r="DL329" i="1"/>
  <c r="DK329" i="1"/>
  <c r="DI329" i="1"/>
  <c r="DJ329" i="1" s="1"/>
  <c r="DC329" i="1"/>
  <c r="CX329" i="1"/>
  <c r="BV329" i="1"/>
  <c r="BX329" i="1" s="1"/>
  <c r="BY329" i="1" s="1"/>
  <c r="BU329" i="1"/>
  <c r="BL329" i="1"/>
  <c r="BK329" i="1"/>
  <c r="BD329" i="1"/>
  <c r="BC329" i="1"/>
  <c r="BB329" i="1"/>
  <c r="BA329" i="1"/>
  <c r="AZ329" i="1"/>
  <c r="AY329" i="1"/>
  <c r="BE329" i="1" s="1" a="1"/>
  <c r="BE329" i="1" s="1"/>
  <c r="AX329" i="1"/>
  <c r="M329" i="1"/>
  <c r="EM328" i="1"/>
  <c r="DU328" i="1"/>
  <c r="DT328" i="1"/>
  <c r="DN328" i="1"/>
  <c r="DM328" i="1"/>
  <c r="DL328" i="1"/>
  <c r="DK328" i="1"/>
  <c r="DI328" i="1"/>
  <c r="DJ328" i="1" s="1"/>
  <c r="DC328" i="1"/>
  <c r="CX328" i="1"/>
  <c r="BV328" i="1"/>
  <c r="BX328" i="1" s="1"/>
  <c r="BY328" i="1" s="1"/>
  <c r="BU328" i="1"/>
  <c r="EP328" i="1" s="1"/>
  <c r="BL328" i="1"/>
  <c r="BK328" i="1"/>
  <c r="BM328" i="1" s="1"/>
  <c r="BD328" i="1"/>
  <c r="BC328" i="1"/>
  <c r="BB328" i="1"/>
  <c r="BA328" i="1"/>
  <c r="AZ328" i="1"/>
  <c r="AY328" i="1"/>
  <c r="BE328" i="1" s="1" a="1"/>
  <c r="BE328" i="1" s="1"/>
  <c r="AX328" i="1"/>
  <c r="M328" i="1"/>
  <c r="EM327" i="1"/>
  <c r="DU327" i="1"/>
  <c r="DT327" i="1"/>
  <c r="DN327" i="1"/>
  <c r="DM327" i="1"/>
  <c r="DL327" i="1"/>
  <c r="DK327" i="1"/>
  <c r="DI327" i="1"/>
  <c r="DJ327" i="1" s="1"/>
  <c r="DC327" i="1"/>
  <c r="CX327" i="1"/>
  <c r="BV327" i="1"/>
  <c r="BX327" i="1" s="1"/>
  <c r="BY327" i="1" s="1"/>
  <c r="BU327" i="1"/>
  <c r="EP327" i="1" s="1"/>
  <c r="BL327" i="1"/>
  <c r="BK327" i="1"/>
  <c r="BM327" i="1" s="1"/>
  <c r="BD327" i="1"/>
  <c r="BC327" i="1"/>
  <c r="BB327" i="1"/>
  <c r="BA327" i="1"/>
  <c r="AZ327" i="1"/>
  <c r="AY327" i="1"/>
  <c r="BE327" i="1" s="1" a="1"/>
  <c r="BE327" i="1" s="1"/>
  <c r="AX327" i="1"/>
  <c r="M327" i="1"/>
  <c r="EM326" i="1"/>
  <c r="DU326" i="1"/>
  <c r="DT326" i="1"/>
  <c r="DN326" i="1"/>
  <c r="DM326" i="1"/>
  <c r="DL326" i="1"/>
  <c r="DK326" i="1"/>
  <c r="DI326" i="1"/>
  <c r="DJ326" i="1" s="1"/>
  <c r="DC326" i="1"/>
  <c r="CX326" i="1"/>
  <c r="CN326" i="1"/>
  <c r="CR326" i="1" s="1"/>
  <c r="BV326" i="1"/>
  <c r="BX326" i="1" s="1"/>
  <c r="BY326" i="1" s="1"/>
  <c r="BU326" i="1"/>
  <c r="BN326" i="1"/>
  <c r="BM326" i="1"/>
  <c r="BD326" i="1"/>
  <c r="BC326" i="1"/>
  <c r="BB326" i="1"/>
  <c r="BA326" i="1"/>
  <c r="AZ326" i="1"/>
  <c r="BF326" i="1" s="1" a="1"/>
  <c r="BF326" i="1" s="1"/>
  <c r="AY326" i="1"/>
  <c r="BE326" i="1" s="1" a="1"/>
  <c r="BE326" i="1" s="1"/>
  <c r="AX326" i="1"/>
  <c r="M326" i="1"/>
  <c r="EM325" i="1"/>
  <c r="DU325" i="1"/>
  <c r="DT325" i="1"/>
  <c r="DN325" i="1"/>
  <c r="DM325" i="1"/>
  <c r="DL325" i="1"/>
  <c r="DK325" i="1"/>
  <c r="DI325" i="1"/>
  <c r="DJ325" i="1" s="1"/>
  <c r="DC325" i="1"/>
  <c r="CX325" i="1"/>
  <c r="CN325" i="1"/>
  <c r="CO325" i="1" s="1"/>
  <c r="BV325" i="1"/>
  <c r="BX325" i="1" s="1"/>
  <c r="BU325" i="1"/>
  <c r="BN325" i="1"/>
  <c r="BO325" i="1" s="1"/>
  <c r="BM325" i="1"/>
  <c r="BD325" i="1"/>
  <c r="BC325" i="1"/>
  <c r="BB325" i="1"/>
  <c r="BA325" i="1"/>
  <c r="AZ325" i="1"/>
  <c r="BF325" i="1" s="1" a="1"/>
  <c r="BF325" i="1" s="1"/>
  <c r="AY325" i="1"/>
  <c r="BE325" i="1" s="1" a="1"/>
  <c r="BE325" i="1" s="1"/>
  <c r="AX325" i="1"/>
  <c r="M325" i="1"/>
  <c r="EM324" i="1"/>
  <c r="DU324" i="1"/>
  <c r="DT324" i="1"/>
  <c r="DN324" i="1"/>
  <c r="DM324" i="1"/>
  <c r="DL324" i="1"/>
  <c r="DK324" i="1"/>
  <c r="DI324" i="1"/>
  <c r="DJ324" i="1" s="1"/>
  <c r="DC324" i="1"/>
  <c r="CX324" i="1"/>
  <c r="CN324" i="1"/>
  <c r="CO324" i="1" s="1"/>
  <c r="BV324" i="1"/>
  <c r="BX324" i="1" s="1"/>
  <c r="BU324" i="1"/>
  <c r="BN324" i="1"/>
  <c r="BO324" i="1" s="1"/>
  <c r="BM324" i="1"/>
  <c r="BD324" i="1"/>
  <c r="BC324" i="1"/>
  <c r="BB324" i="1"/>
  <c r="BA324" i="1"/>
  <c r="AZ324" i="1"/>
  <c r="AY324" i="1"/>
  <c r="BE324" i="1" s="1" a="1"/>
  <c r="BE324" i="1" s="1"/>
  <c r="AX324" i="1"/>
  <c r="M324" i="1"/>
  <c r="EM323" i="1"/>
  <c r="DU323" i="1"/>
  <c r="DT323" i="1"/>
  <c r="DN323" i="1"/>
  <c r="DM323" i="1"/>
  <c r="DL323" i="1"/>
  <c r="DK323" i="1"/>
  <c r="DI323" i="1"/>
  <c r="DJ323" i="1" s="1"/>
  <c r="DC323" i="1"/>
  <c r="CX323" i="1"/>
  <c r="CN323" i="1"/>
  <c r="BV323" i="1"/>
  <c r="BX323" i="1" s="1"/>
  <c r="BU323" i="1"/>
  <c r="BN323" i="1"/>
  <c r="BO323" i="1" s="1"/>
  <c r="BM323" i="1"/>
  <c r="BD323" i="1"/>
  <c r="BC323" i="1"/>
  <c r="BB323" i="1"/>
  <c r="BA323" i="1"/>
  <c r="AZ323" i="1"/>
  <c r="AY323" i="1"/>
  <c r="BE323" i="1" s="1" a="1"/>
  <c r="BE323" i="1" s="1"/>
  <c r="AX323" i="1"/>
  <c r="M323" i="1"/>
  <c r="EM322" i="1"/>
  <c r="DU322" i="1"/>
  <c r="DT322" i="1"/>
  <c r="DN322" i="1"/>
  <c r="DM322" i="1"/>
  <c r="DL322" i="1"/>
  <c r="DK322" i="1"/>
  <c r="DI322" i="1"/>
  <c r="DJ322" i="1" s="1"/>
  <c r="DC322" i="1"/>
  <c r="CX322" i="1"/>
  <c r="CN322" i="1"/>
  <c r="CR322" i="1" s="1"/>
  <c r="BV322" i="1"/>
  <c r="BX322" i="1" s="1"/>
  <c r="BU322" i="1"/>
  <c r="BN322" i="1"/>
  <c r="BO322" i="1" s="1"/>
  <c r="BM322" i="1"/>
  <c r="BD322" i="1"/>
  <c r="BC322" i="1"/>
  <c r="BB322" i="1"/>
  <c r="BA322" i="1"/>
  <c r="AZ322" i="1"/>
  <c r="AY322" i="1"/>
  <c r="BE322" i="1" s="1" a="1"/>
  <c r="BE322" i="1" s="1"/>
  <c r="AX322" i="1"/>
  <c r="M322" i="1"/>
  <c r="EM321" i="1"/>
  <c r="DU321" i="1"/>
  <c r="DT321" i="1"/>
  <c r="DN321" i="1"/>
  <c r="DM321" i="1"/>
  <c r="DL321" i="1"/>
  <c r="DK321" i="1"/>
  <c r="DI321" i="1"/>
  <c r="DJ321" i="1" s="1"/>
  <c r="DC321" i="1"/>
  <c r="CX321" i="1"/>
  <c r="CN321" i="1"/>
  <c r="BV321" i="1"/>
  <c r="BX321" i="1" s="1"/>
  <c r="BU321" i="1"/>
  <c r="BN321" i="1"/>
  <c r="BO321" i="1" s="1"/>
  <c r="BD321" i="1"/>
  <c r="BC321" i="1"/>
  <c r="BB321" i="1"/>
  <c r="BA321" i="1"/>
  <c r="AZ321" i="1"/>
  <c r="AY321" i="1"/>
  <c r="BE321" i="1" s="1" a="1"/>
  <c r="BE321" i="1" s="1"/>
  <c r="AX321" i="1"/>
  <c r="M321" i="1"/>
  <c r="EM320" i="1"/>
  <c r="DU320" i="1"/>
  <c r="DT320" i="1"/>
  <c r="DN320" i="1"/>
  <c r="DM320" i="1"/>
  <c r="DL320" i="1"/>
  <c r="DK320" i="1"/>
  <c r="DI320" i="1"/>
  <c r="DJ320" i="1" s="1"/>
  <c r="DC320" i="1"/>
  <c r="CX320" i="1"/>
  <c r="CN320" i="1"/>
  <c r="CO320" i="1" s="1"/>
  <c r="BV320" i="1"/>
  <c r="BX320" i="1" s="1"/>
  <c r="BU320" i="1"/>
  <c r="BN320" i="1"/>
  <c r="BO320" i="1" s="1"/>
  <c r="BD320" i="1"/>
  <c r="BC320" i="1"/>
  <c r="BB320" i="1"/>
  <c r="BA320" i="1"/>
  <c r="AZ320" i="1"/>
  <c r="BF320" i="1" s="1" a="1"/>
  <c r="BF320" i="1" s="1"/>
  <c r="AY320" i="1"/>
  <c r="BE320" i="1" s="1" a="1"/>
  <c r="BE320" i="1" s="1"/>
  <c r="AX320" i="1"/>
  <c r="M320" i="1"/>
  <c r="EM319" i="1"/>
  <c r="DU319" i="1"/>
  <c r="DT319" i="1"/>
  <c r="DN319" i="1"/>
  <c r="DM319" i="1"/>
  <c r="DL319" i="1"/>
  <c r="DK319" i="1"/>
  <c r="DI319" i="1"/>
  <c r="DJ319" i="1" s="1"/>
  <c r="DC319" i="1"/>
  <c r="CX319" i="1"/>
  <c r="CN319" i="1"/>
  <c r="CR319" i="1" s="1"/>
  <c r="BV319" i="1"/>
  <c r="BX319" i="1" s="1"/>
  <c r="BU319" i="1"/>
  <c r="BN319" i="1"/>
  <c r="BO319" i="1" s="1"/>
  <c r="BD319" i="1"/>
  <c r="BC319" i="1"/>
  <c r="BB319" i="1"/>
  <c r="BA319" i="1"/>
  <c r="AZ319" i="1"/>
  <c r="AY319" i="1"/>
  <c r="BE319" i="1" s="1" a="1"/>
  <c r="BE319" i="1" s="1"/>
  <c r="AX319" i="1"/>
  <c r="M319" i="1"/>
  <c r="EM318" i="1"/>
  <c r="DU318" i="1"/>
  <c r="DT318" i="1"/>
  <c r="DN318" i="1"/>
  <c r="DM318" i="1"/>
  <c r="DL318" i="1"/>
  <c r="DK318" i="1"/>
  <c r="DI318" i="1"/>
  <c r="DJ318" i="1" s="1"/>
  <c r="DC318" i="1"/>
  <c r="CX318" i="1"/>
  <c r="BV318" i="1"/>
  <c r="BX318" i="1" s="1"/>
  <c r="BU318" i="1"/>
  <c r="EP318" i="1" s="1"/>
  <c r="BL318" i="1"/>
  <c r="BN318" i="1" s="1"/>
  <c r="BO318" i="1" s="1"/>
  <c r="BD318" i="1"/>
  <c r="BC318" i="1"/>
  <c r="BB318" i="1"/>
  <c r="BA318" i="1"/>
  <c r="AZ318" i="1"/>
  <c r="AY318" i="1"/>
  <c r="BE318" i="1" s="1" a="1"/>
  <c r="BE318" i="1" s="1"/>
  <c r="AX318" i="1"/>
  <c r="M318" i="1"/>
  <c r="EM317" i="1"/>
  <c r="DU317" i="1"/>
  <c r="DT317" i="1"/>
  <c r="DN317" i="1"/>
  <c r="DM317" i="1"/>
  <c r="DL317" i="1"/>
  <c r="DK317" i="1"/>
  <c r="DI317" i="1"/>
  <c r="DJ317" i="1" s="1"/>
  <c r="DC317" i="1"/>
  <c r="CX317" i="1"/>
  <c r="BV317" i="1"/>
  <c r="BX317" i="1" s="1"/>
  <c r="BU317" i="1"/>
  <c r="BL317" i="1"/>
  <c r="CN317" i="1" s="1"/>
  <c r="CR317" i="1" s="1"/>
  <c r="BD317" i="1"/>
  <c r="BC317" i="1"/>
  <c r="BB317" i="1"/>
  <c r="BA317" i="1"/>
  <c r="AZ317" i="1"/>
  <c r="BF317" i="1" s="1" a="1"/>
  <c r="BF317" i="1" s="1"/>
  <c r="AY317" i="1"/>
  <c r="BE317" i="1" s="1" a="1"/>
  <c r="BE317" i="1" s="1"/>
  <c r="AX317" i="1"/>
  <c r="M317" i="1"/>
  <c r="EM316" i="1"/>
  <c r="DU316" i="1"/>
  <c r="DT316" i="1"/>
  <c r="DN316" i="1"/>
  <c r="DM316" i="1"/>
  <c r="DL316" i="1"/>
  <c r="DK316" i="1"/>
  <c r="DI316" i="1"/>
  <c r="DJ316" i="1" s="1"/>
  <c r="DC316" i="1"/>
  <c r="CX316" i="1"/>
  <c r="BV316" i="1"/>
  <c r="BX316" i="1" s="1"/>
  <c r="BU316" i="1"/>
  <c r="EP316" i="1" s="1"/>
  <c r="BL316" i="1"/>
  <c r="CN316" i="1" s="1"/>
  <c r="CO316" i="1" s="1"/>
  <c r="BD316" i="1"/>
  <c r="BC316" i="1"/>
  <c r="BB316" i="1"/>
  <c r="BA316" i="1"/>
  <c r="AZ316" i="1"/>
  <c r="AY316" i="1"/>
  <c r="BE316" i="1" s="1" a="1"/>
  <c r="BE316" i="1" s="1"/>
  <c r="AX316" i="1"/>
  <c r="M316" i="1"/>
  <c r="EM313" i="1"/>
  <c r="DU313" i="1"/>
  <c r="DT313" i="1"/>
  <c r="DN313" i="1"/>
  <c r="DM313" i="1"/>
  <c r="DL313" i="1"/>
  <c r="DK313" i="1"/>
  <c r="DI313" i="1"/>
  <c r="DJ313" i="1" s="1"/>
  <c r="DC313" i="1"/>
  <c r="CX313" i="1"/>
  <c r="BV313" i="1"/>
  <c r="BX313" i="1" s="1"/>
  <c r="BU313" i="1"/>
  <c r="BL313" i="1"/>
  <c r="CN313" i="1" s="1"/>
  <c r="CO313" i="1" s="1"/>
  <c r="BD313" i="1"/>
  <c r="BC313" i="1"/>
  <c r="BB313" i="1"/>
  <c r="BA313" i="1"/>
  <c r="AZ313" i="1"/>
  <c r="AY313" i="1"/>
  <c r="BE313" i="1" s="1" a="1"/>
  <c r="BE313" i="1" s="1"/>
  <c r="AX313" i="1"/>
  <c r="M313" i="1"/>
  <c r="EM312" i="1"/>
  <c r="DU312" i="1"/>
  <c r="DT312" i="1"/>
  <c r="DN312" i="1"/>
  <c r="DM312" i="1"/>
  <c r="DL312" i="1"/>
  <c r="DK312" i="1"/>
  <c r="DI312" i="1"/>
  <c r="DJ312" i="1" s="1"/>
  <c r="DC312" i="1"/>
  <c r="CX312" i="1"/>
  <c r="BV312" i="1"/>
  <c r="BX312" i="1" s="1"/>
  <c r="BU312" i="1"/>
  <c r="BL312" i="1"/>
  <c r="CN312" i="1" s="1"/>
  <c r="BD312" i="1"/>
  <c r="BC312" i="1"/>
  <c r="BB312" i="1"/>
  <c r="BA312" i="1"/>
  <c r="AZ312" i="1"/>
  <c r="BF312" i="1" s="1" a="1"/>
  <c r="BF312" i="1" s="1"/>
  <c r="AY312" i="1"/>
  <c r="BE312" i="1" s="1" a="1"/>
  <c r="BE312" i="1" s="1"/>
  <c r="AX312" i="1"/>
  <c r="M312" i="1"/>
  <c r="EM311" i="1"/>
  <c r="DU311" i="1"/>
  <c r="DT311" i="1"/>
  <c r="DN311" i="1"/>
  <c r="DM311" i="1"/>
  <c r="DL311" i="1"/>
  <c r="DK311" i="1"/>
  <c r="DI311" i="1"/>
  <c r="DJ311" i="1" s="1"/>
  <c r="DC311" i="1"/>
  <c r="CX311" i="1"/>
  <c r="BV311" i="1"/>
  <c r="BX311" i="1" s="1"/>
  <c r="BU311" i="1"/>
  <c r="BL311" i="1"/>
  <c r="BN311" i="1" s="1"/>
  <c r="BO311" i="1" s="1"/>
  <c r="BD311" i="1"/>
  <c r="BC311" i="1"/>
  <c r="BB311" i="1"/>
  <c r="BA311" i="1"/>
  <c r="AZ311" i="1"/>
  <c r="AY311" i="1"/>
  <c r="BE311" i="1" s="1" a="1"/>
  <c r="BE311" i="1" s="1"/>
  <c r="AX311" i="1"/>
  <c r="M311" i="1"/>
  <c r="EM310" i="1"/>
  <c r="DU310" i="1"/>
  <c r="DT310" i="1"/>
  <c r="DN310" i="1"/>
  <c r="DM310" i="1"/>
  <c r="DL310" i="1"/>
  <c r="DK310" i="1"/>
  <c r="DI310" i="1"/>
  <c r="DJ310" i="1" s="1"/>
  <c r="DC310" i="1"/>
  <c r="CX310" i="1"/>
  <c r="CN310" i="1"/>
  <c r="BV310" i="1"/>
  <c r="BX310" i="1" s="1"/>
  <c r="BU310" i="1"/>
  <c r="BN310" i="1"/>
  <c r="BO310" i="1" s="1"/>
  <c r="BD310" i="1"/>
  <c r="BC310" i="1"/>
  <c r="BB310" i="1"/>
  <c r="BA310" i="1"/>
  <c r="AZ310" i="1"/>
  <c r="AY310" i="1"/>
  <c r="BE310" i="1" s="1" a="1"/>
  <c r="BE310" i="1" s="1"/>
  <c r="AX310" i="1"/>
  <c r="M310" i="1"/>
  <c r="EM309" i="1"/>
  <c r="DU309" i="1"/>
  <c r="DT309" i="1"/>
  <c r="DN309" i="1"/>
  <c r="DM309" i="1"/>
  <c r="DL309" i="1"/>
  <c r="DK309" i="1"/>
  <c r="DI309" i="1"/>
  <c r="DJ309" i="1" s="1"/>
  <c r="DC309" i="1"/>
  <c r="CX309" i="1"/>
  <c r="BV309" i="1"/>
  <c r="BX309" i="1" s="1"/>
  <c r="BU309" i="1"/>
  <c r="BL309" i="1"/>
  <c r="CN309" i="1" s="1"/>
  <c r="CR309" i="1" s="1"/>
  <c r="BD309" i="1"/>
  <c r="BC309" i="1"/>
  <c r="BB309" i="1"/>
  <c r="BA309" i="1"/>
  <c r="AZ309" i="1"/>
  <c r="BF309" i="1" s="1" a="1"/>
  <c r="BF309" i="1" s="1"/>
  <c r="AY309" i="1"/>
  <c r="BE309" i="1" s="1" a="1"/>
  <c r="BE309" i="1" s="1"/>
  <c r="AX309" i="1"/>
  <c r="M309" i="1"/>
  <c r="EM308" i="1"/>
  <c r="DU308" i="1"/>
  <c r="DT308" i="1"/>
  <c r="DN308" i="1"/>
  <c r="DM308" i="1"/>
  <c r="DL308" i="1"/>
  <c r="DK308" i="1"/>
  <c r="DI308" i="1"/>
  <c r="DJ308" i="1" s="1"/>
  <c r="DC308" i="1"/>
  <c r="CX308" i="1"/>
  <c r="BV308" i="1"/>
  <c r="BX308" i="1" s="1"/>
  <c r="BU308" i="1"/>
  <c r="BL308" i="1"/>
  <c r="BN308" i="1" s="1"/>
  <c r="BO308" i="1" s="1"/>
  <c r="BD308" i="1"/>
  <c r="BC308" i="1"/>
  <c r="BB308" i="1"/>
  <c r="BA308" i="1"/>
  <c r="AZ308" i="1"/>
  <c r="AY308" i="1"/>
  <c r="BE308" i="1" s="1" a="1"/>
  <c r="BE308" i="1" s="1"/>
  <c r="AX308" i="1"/>
  <c r="M308" i="1"/>
  <c r="EM307" i="1"/>
  <c r="DU307" i="1"/>
  <c r="DT307" i="1"/>
  <c r="DN307" i="1"/>
  <c r="DM307" i="1"/>
  <c r="DL307" i="1"/>
  <c r="DK307" i="1"/>
  <c r="DI307" i="1"/>
  <c r="DJ307" i="1" s="1"/>
  <c r="DC307" i="1"/>
  <c r="CX307" i="1"/>
  <c r="BV307" i="1"/>
  <c r="BX307" i="1" s="1"/>
  <c r="BU307" i="1"/>
  <c r="BL307" i="1"/>
  <c r="CN307" i="1" s="1"/>
  <c r="CO307" i="1" s="1"/>
  <c r="BD307" i="1"/>
  <c r="BC307" i="1"/>
  <c r="BB307" i="1"/>
  <c r="BA307" i="1"/>
  <c r="AZ307" i="1"/>
  <c r="AY307" i="1"/>
  <c r="BE307" i="1" s="1" a="1"/>
  <c r="BE307" i="1" s="1"/>
  <c r="AX307" i="1"/>
  <c r="M307" i="1"/>
  <c r="EM306" i="1"/>
  <c r="DU306" i="1"/>
  <c r="DT306" i="1"/>
  <c r="DN306" i="1"/>
  <c r="DM306" i="1"/>
  <c r="DL306" i="1"/>
  <c r="DK306" i="1"/>
  <c r="DI306" i="1"/>
  <c r="DJ306" i="1" s="1"/>
  <c r="DC306" i="1"/>
  <c r="CX306" i="1"/>
  <c r="BV306" i="1"/>
  <c r="BX306" i="1" s="1"/>
  <c r="BU306" i="1"/>
  <c r="BL306" i="1"/>
  <c r="BN306" i="1" s="1"/>
  <c r="BO306" i="1" s="1"/>
  <c r="BD306" i="1"/>
  <c r="BC306" i="1"/>
  <c r="BB306" i="1"/>
  <c r="BA306" i="1"/>
  <c r="AZ306" i="1"/>
  <c r="AY306" i="1"/>
  <c r="BE306" i="1" s="1" a="1"/>
  <c r="BE306" i="1" s="1"/>
  <c r="AX306" i="1"/>
  <c r="M306" i="1"/>
  <c r="EM303" i="1"/>
  <c r="DU303" i="1"/>
  <c r="DT303" i="1"/>
  <c r="DN303" i="1"/>
  <c r="DM303" i="1"/>
  <c r="DL303" i="1"/>
  <c r="DK303" i="1"/>
  <c r="DI303" i="1"/>
  <c r="DJ303" i="1" s="1"/>
  <c r="DC303" i="1"/>
  <c r="CX303" i="1"/>
  <c r="BV303" i="1"/>
  <c r="BX303" i="1" s="1"/>
  <c r="BU303" i="1"/>
  <c r="BL303" i="1"/>
  <c r="BM303" i="1" s="1"/>
  <c r="BD303" i="1"/>
  <c r="BC303" i="1"/>
  <c r="BB303" i="1"/>
  <c r="BA303" i="1"/>
  <c r="AZ303" i="1"/>
  <c r="AY303" i="1"/>
  <c r="BE303" i="1" s="1" a="1"/>
  <c r="BE303" i="1" s="1"/>
  <c r="AX303" i="1"/>
  <c r="M303" i="1"/>
  <c r="EM302" i="1"/>
  <c r="DU302" i="1"/>
  <c r="DT302" i="1"/>
  <c r="DN302" i="1"/>
  <c r="DM302" i="1"/>
  <c r="DL302" i="1"/>
  <c r="DK302" i="1"/>
  <c r="DI302" i="1"/>
  <c r="DJ302" i="1" s="1"/>
  <c r="DC302" i="1"/>
  <c r="CX302" i="1"/>
  <c r="BV302" i="1"/>
  <c r="BX302" i="1" s="1"/>
  <c r="BU302" i="1"/>
  <c r="BL302" i="1"/>
  <c r="BM302" i="1" s="1"/>
  <c r="BD302" i="1"/>
  <c r="BC302" i="1"/>
  <c r="BB302" i="1"/>
  <c r="BA302" i="1"/>
  <c r="AZ302" i="1"/>
  <c r="BF302" i="1" s="1" a="1"/>
  <c r="BF302" i="1" s="1"/>
  <c r="AY302" i="1"/>
  <c r="BE302" i="1" s="1" a="1"/>
  <c r="BE302" i="1" s="1"/>
  <c r="AX302" i="1"/>
  <c r="M302" i="1"/>
  <c r="EM301" i="1"/>
  <c r="DU301" i="1"/>
  <c r="DT301" i="1"/>
  <c r="DN301" i="1"/>
  <c r="DM301" i="1"/>
  <c r="DL301" i="1"/>
  <c r="DK301" i="1"/>
  <c r="DI301" i="1"/>
  <c r="DJ301" i="1" s="1"/>
  <c r="DC301" i="1"/>
  <c r="CX301" i="1"/>
  <c r="BV301" i="1"/>
  <c r="BX301" i="1" s="1"/>
  <c r="BU301" i="1"/>
  <c r="BL301" i="1"/>
  <c r="CN301" i="1" s="1"/>
  <c r="CS301" i="1" s="1"/>
  <c r="BD301" i="1"/>
  <c r="BC301" i="1"/>
  <c r="BB301" i="1"/>
  <c r="BA301" i="1"/>
  <c r="AZ301" i="1"/>
  <c r="AY301" i="1"/>
  <c r="BE301" i="1" s="1" a="1"/>
  <c r="BE301" i="1" s="1"/>
  <c r="AX301" i="1"/>
  <c r="M301" i="1"/>
  <c r="EM298" i="1"/>
  <c r="DU298" i="1"/>
  <c r="DT298" i="1"/>
  <c r="DN298" i="1"/>
  <c r="DM298" i="1"/>
  <c r="DL298" i="1"/>
  <c r="DK298" i="1"/>
  <c r="DI298" i="1"/>
  <c r="DJ298" i="1" s="1"/>
  <c r="DC298" i="1"/>
  <c r="CX298" i="1"/>
  <c r="BV298" i="1"/>
  <c r="BX298" i="1" s="1"/>
  <c r="BU298" i="1"/>
  <c r="BL298" i="1"/>
  <c r="BN298" i="1" s="1"/>
  <c r="BO298" i="1" s="1"/>
  <c r="BD298" i="1"/>
  <c r="BC298" i="1"/>
  <c r="BB298" i="1"/>
  <c r="BA298" i="1"/>
  <c r="AZ298" i="1"/>
  <c r="AY298" i="1"/>
  <c r="BE298" i="1" s="1" a="1"/>
  <c r="BE298" i="1" s="1"/>
  <c r="AX298" i="1"/>
  <c r="M298" i="1"/>
  <c r="EM297" i="1"/>
  <c r="DU297" i="1"/>
  <c r="DT297" i="1"/>
  <c r="DN297" i="1"/>
  <c r="DM297" i="1"/>
  <c r="DL297" i="1"/>
  <c r="DK297" i="1"/>
  <c r="DI297" i="1"/>
  <c r="DJ297" i="1" s="1"/>
  <c r="DC297" i="1"/>
  <c r="CX297" i="1"/>
  <c r="BV297" i="1"/>
  <c r="BX297" i="1" s="1"/>
  <c r="BU297" i="1"/>
  <c r="BL297" i="1"/>
  <c r="BN297" i="1" s="1"/>
  <c r="BO297" i="1" s="1"/>
  <c r="BD297" i="1"/>
  <c r="BC297" i="1"/>
  <c r="BB297" i="1"/>
  <c r="BA297" i="1"/>
  <c r="AZ297" i="1"/>
  <c r="BF297" i="1" s="1" a="1"/>
  <c r="BF297" i="1" s="1"/>
  <c r="AY297" i="1"/>
  <c r="BE297" i="1" s="1" a="1"/>
  <c r="BE297" i="1" s="1"/>
  <c r="AX297" i="1"/>
  <c r="M297" i="1"/>
  <c r="EM296" i="1"/>
  <c r="DU296" i="1"/>
  <c r="DT296" i="1"/>
  <c r="DN296" i="1"/>
  <c r="DM296" i="1"/>
  <c r="DL296" i="1"/>
  <c r="DK296" i="1"/>
  <c r="DI296" i="1"/>
  <c r="DJ296" i="1" s="1"/>
  <c r="DC296" i="1"/>
  <c r="CX296" i="1"/>
  <c r="BV296" i="1"/>
  <c r="BX296" i="1" s="1"/>
  <c r="BU296" i="1"/>
  <c r="BL296" i="1"/>
  <c r="BN296" i="1" s="1"/>
  <c r="BO296" i="1" s="1"/>
  <c r="BD296" i="1"/>
  <c r="BC296" i="1"/>
  <c r="BB296" i="1"/>
  <c r="BA296" i="1"/>
  <c r="AZ296" i="1"/>
  <c r="AY296" i="1"/>
  <c r="BE296" i="1" s="1" a="1"/>
  <c r="BE296" i="1" s="1"/>
  <c r="AX296" i="1"/>
  <c r="M296" i="1"/>
  <c r="EM293" i="1"/>
  <c r="DU293" i="1"/>
  <c r="DT293" i="1"/>
  <c r="DN293" i="1"/>
  <c r="DM293" i="1"/>
  <c r="DL293" i="1"/>
  <c r="DK293" i="1"/>
  <c r="DI293" i="1"/>
  <c r="DJ293" i="1" s="1"/>
  <c r="DC293" i="1"/>
  <c r="CX293" i="1"/>
  <c r="CN293" i="1"/>
  <c r="BT293" i="1"/>
  <c r="BS293" i="1"/>
  <c r="BN293" i="1"/>
  <c r="BO293" i="1" s="1"/>
  <c r="BD293" i="1"/>
  <c r="BC293" i="1"/>
  <c r="BB293" i="1"/>
  <c r="BA293" i="1"/>
  <c r="AZ293" i="1"/>
  <c r="AY293" i="1"/>
  <c r="BE293" i="1" s="1" a="1"/>
  <c r="BE293" i="1" s="1"/>
  <c r="AX293" i="1"/>
  <c r="M293" i="1"/>
  <c r="EM292" i="1"/>
  <c r="DU292" i="1"/>
  <c r="DT292" i="1"/>
  <c r="DN292" i="1"/>
  <c r="DM292" i="1"/>
  <c r="DL292" i="1"/>
  <c r="DK292" i="1"/>
  <c r="DI292" i="1"/>
  <c r="DJ292" i="1" s="1"/>
  <c r="DC292" i="1"/>
  <c r="CX292" i="1"/>
  <c r="CN292" i="1"/>
  <c r="BT292" i="1"/>
  <c r="BS292" i="1"/>
  <c r="BN292" i="1"/>
  <c r="BO292" i="1" s="1"/>
  <c r="BD292" i="1"/>
  <c r="BC292" i="1"/>
  <c r="BB292" i="1"/>
  <c r="BA292" i="1"/>
  <c r="AZ292" i="1"/>
  <c r="BF292" i="1" s="1" a="1"/>
  <c r="BF292" i="1" s="1"/>
  <c r="AY292" i="1"/>
  <c r="BE292" i="1" s="1" a="1"/>
  <c r="BE292" i="1" s="1"/>
  <c r="AX292" i="1"/>
  <c r="M292" i="1"/>
  <c r="EM291" i="1"/>
  <c r="DU291" i="1"/>
  <c r="DT291" i="1"/>
  <c r="DN291" i="1"/>
  <c r="DM291" i="1"/>
  <c r="DL291" i="1"/>
  <c r="DK291" i="1"/>
  <c r="DI291" i="1"/>
  <c r="DJ291" i="1" s="1"/>
  <c r="DC291" i="1"/>
  <c r="CX291" i="1"/>
  <c r="CN291" i="1"/>
  <c r="BT291" i="1"/>
  <c r="BS291" i="1"/>
  <c r="BN291" i="1"/>
  <c r="BO291" i="1" s="1"/>
  <c r="BD291" i="1"/>
  <c r="BC291" i="1"/>
  <c r="BB291" i="1"/>
  <c r="BA291" i="1"/>
  <c r="AZ291" i="1"/>
  <c r="AY291" i="1"/>
  <c r="BE291" i="1" s="1" a="1"/>
  <c r="BE291" i="1" s="1"/>
  <c r="AX291" i="1"/>
  <c r="M291" i="1"/>
  <c r="EM290" i="1"/>
  <c r="DU290" i="1"/>
  <c r="DT290" i="1"/>
  <c r="DN290" i="1"/>
  <c r="DM290" i="1"/>
  <c r="DL290" i="1"/>
  <c r="DK290" i="1"/>
  <c r="DI290" i="1"/>
  <c r="DJ290" i="1" s="1"/>
  <c r="DC290" i="1"/>
  <c r="CX290" i="1"/>
  <c r="CN290" i="1"/>
  <c r="BT290" i="1"/>
  <c r="BS290" i="1"/>
  <c r="BN290" i="1"/>
  <c r="BO290" i="1" s="1"/>
  <c r="BD290" i="1"/>
  <c r="BC290" i="1"/>
  <c r="BB290" i="1"/>
  <c r="BA290" i="1"/>
  <c r="AZ290" i="1"/>
  <c r="AY290" i="1"/>
  <c r="BE290" i="1" s="1" a="1"/>
  <c r="BE290" i="1" s="1"/>
  <c r="AX290" i="1"/>
  <c r="M290" i="1"/>
  <c r="BF406" i="1" l="1" a="1"/>
  <c r="BF406" i="1" s="1"/>
  <c r="BF318" i="1" a="1"/>
  <c r="BF318" i="1" s="1"/>
  <c r="BF328" i="1" a="1"/>
  <c r="BF328" i="1" s="1"/>
  <c r="BF332" i="1" a="1"/>
  <c r="BF332" i="1" s="1"/>
  <c r="BF336" i="1" a="1"/>
  <c r="BF336" i="1" s="1"/>
  <c r="BF300" i="1" a="1"/>
  <c r="BF300" i="1" s="1"/>
  <c r="BF314" i="1" a="1"/>
  <c r="BF314" i="1" s="1"/>
  <c r="BF369" i="1" a="1"/>
  <c r="BF369" i="1" s="1"/>
  <c r="BF403" i="1" a="1"/>
  <c r="BF403" i="1" s="1"/>
  <c r="BF438" i="1" a="1"/>
  <c r="BF438" i="1" s="1"/>
  <c r="BF291" i="1" a="1"/>
  <c r="BF291" i="1" s="1"/>
  <c r="BF306" i="1" a="1"/>
  <c r="BF306" i="1" s="1"/>
  <c r="BF503" i="1" a="1"/>
  <c r="BF503" i="1" s="1"/>
  <c r="BF508" i="1" a="1"/>
  <c r="BF508" i="1" s="1"/>
  <c r="BF524" i="1" a="1"/>
  <c r="BF524" i="1" s="1"/>
  <c r="BE524" i="1" s="1" a="1"/>
  <c r="BE524" i="1" s="1"/>
  <c r="BF516" i="1" a="1"/>
  <c r="BF516" i="1" s="1"/>
  <c r="BF301" i="1" a="1"/>
  <c r="BF301" i="1" s="1"/>
  <c r="BF337" i="1" a="1"/>
  <c r="BF337" i="1" s="1"/>
  <c r="BF299" i="1" a="1"/>
  <c r="BF299" i="1" s="1"/>
  <c r="BF290" i="1" a="1"/>
  <c r="BF290" i="1" s="1"/>
  <c r="BF296" i="1" a="1"/>
  <c r="BF296" i="1" s="1"/>
  <c r="BF308" i="1" a="1"/>
  <c r="BF308" i="1" s="1"/>
  <c r="BF311" i="1" a="1"/>
  <c r="BF311" i="1" s="1"/>
  <c r="BF322" i="1" a="1"/>
  <c r="BF322" i="1" s="1"/>
  <c r="BF316" i="1" a="1"/>
  <c r="BF316" i="1" s="1"/>
  <c r="BF323" i="1" a="1"/>
  <c r="BF323" i="1" s="1"/>
  <c r="BF329" i="1" a="1"/>
  <c r="BF329" i="1" s="1"/>
  <c r="BF333" i="1" a="1"/>
  <c r="BF333" i="1" s="1"/>
  <c r="BF868" i="1" a="1"/>
  <c r="BF868" i="1" s="1"/>
  <c r="BF315" i="1" a="1"/>
  <c r="BF315" i="1" s="1"/>
  <c r="BF319" i="1" a="1"/>
  <c r="BF319" i="1" s="1"/>
  <c r="BF324" i="1" a="1"/>
  <c r="BF324" i="1" s="1"/>
  <c r="BF370" i="1" a="1"/>
  <c r="BF370" i="1" s="1"/>
  <c r="BF400" i="1" a="1"/>
  <c r="BF400" i="1" s="1"/>
  <c r="BF445" i="1" a="1"/>
  <c r="BF445" i="1" s="1"/>
  <c r="BF441" i="1" a="1"/>
  <c r="BF441" i="1" s="1"/>
  <c r="BF465" i="1" a="1"/>
  <c r="BF465" i="1" s="1"/>
  <c r="BF518" i="1" a="1"/>
  <c r="BF518" i="1" s="1"/>
  <c r="BF520" i="1" a="1"/>
  <c r="BF520" i="1" s="1"/>
  <c r="BF521" i="1" a="1"/>
  <c r="BF521" i="1" s="1"/>
  <c r="BF527" i="1" a="1"/>
  <c r="BF527" i="1" s="1"/>
  <c r="BF534" i="1" a="1"/>
  <c r="BF534" i="1" s="1"/>
  <c r="BF541" i="1" a="1"/>
  <c r="BF541" i="1" s="1"/>
  <c r="BF644" i="1" a="1"/>
  <c r="BF644" i="1" s="1"/>
  <c r="BF831" i="1" a="1"/>
  <c r="BF831" i="1" s="1"/>
  <c r="BF852" i="1" a="1"/>
  <c r="BF852" i="1" s="1"/>
  <c r="BF861" i="1" a="1"/>
  <c r="BF861" i="1" s="1"/>
  <c r="BF1015" i="1" a="1"/>
  <c r="BF1015" i="1" s="1"/>
  <c r="BF1019" i="1" a="1"/>
  <c r="BF1019" i="1" s="1"/>
  <c r="BF1023" i="1" a="1"/>
  <c r="BF1023" i="1" s="1"/>
  <c r="BF1037" i="1" a="1"/>
  <c r="BF1037" i="1" s="1"/>
  <c r="BF1099" i="1" a="1"/>
  <c r="BF1099" i="1" s="1"/>
  <c r="BF1476" i="1" a="1"/>
  <c r="BF1476" i="1" s="1"/>
  <c r="BF1482" i="1" a="1"/>
  <c r="BF1482" i="1" s="1"/>
  <c r="BE1482" i="1" s="1" a="1"/>
  <c r="BE1482" i="1" s="1"/>
  <c r="BF1477" i="1" a="1"/>
  <c r="BF1477" i="1" s="1"/>
  <c r="BF1528" i="1" a="1"/>
  <c r="BF1528" i="1" s="1"/>
  <c r="BF1027" i="1" a="1"/>
  <c r="BF1027" i="1" s="1"/>
  <c r="BF1031" i="1" a="1"/>
  <c r="BF1031" i="1" s="1"/>
  <c r="BF1582" i="1" a="1"/>
  <c r="BF1582" i="1" s="1"/>
  <c r="BF1587" i="1" a="1"/>
  <c r="BF1587" i="1" s="1"/>
  <c r="BF860" i="1" a="1"/>
  <c r="BF860" i="1" s="1"/>
  <c r="BF866" i="1" a="1"/>
  <c r="BF866" i="1" s="1"/>
  <c r="BF882" i="1" a="1"/>
  <c r="BF882" i="1" s="1"/>
  <c r="BF964" i="1" a="1"/>
  <c r="BF964" i="1" s="1"/>
  <c r="BF648" i="1" a="1"/>
  <c r="BF648" i="1" s="1"/>
  <c r="BF1581" i="1" a="1"/>
  <c r="BF1581" i="1" s="1"/>
  <c r="BF1589" i="1" a="1"/>
  <c r="BF1589" i="1" s="1"/>
  <c r="BF375" i="1" a="1"/>
  <c r="BF375" i="1" s="1"/>
  <c r="BE375" i="1" s="1" a="1"/>
  <c r="BE375" i="1" s="1"/>
  <c r="BF399" i="1" a="1"/>
  <c r="BF399" i="1" s="1"/>
  <c r="BF444" i="1" a="1"/>
  <c r="BF444" i="1" s="1"/>
  <c r="BF440" i="1" a="1"/>
  <c r="BF440" i="1" s="1"/>
  <c r="BF463" i="1" a="1"/>
  <c r="BF463" i="1" s="1"/>
  <c r="BF488" i="1" a="1"/>
  <c r="BF488" i="1" s="1"/>
  <c r="BF491" i="1" a="1"/>
  <c r="BF491" i="1" s="1"/>
  <c r="BF492" i="1" a="1"/>
  <c r="BF492" i="1" s="1"/>
  <c r="BF494" i="1" a="1"/>
  <c r="BF494" i="1" s="1"/>
  <c r="BF498" i="1" a="1"/>
  <c r="BF498" i="1" s="1"/>
  <c r="BF497" i="1" a="1"/>
  <c r="BF497" i="1" s="1"/>
  <c r="BF502" i="1" a="1"/>
  <c r="BF502" i="1" s="1"/>
  <c r="BF509" i="1" a="1"/>
  <c r="BF509" i="1" s="1"/>
  <c r="BF532" i="1" a="1"/>
  <c r="BF532" i="1" s="1"/>
  <c r="BF539" i="1" a="1"/>
  <c r="BF539" i="1" s="1"/>
  <c r="BF542" i="1" a="1"/>
  <c r="BF542" i="1" s="1"/>
  <c r="BF832" i="1" a="1"/>
  <c r="BF832" i="1" s="1"/>
  <c r="BF869" i="1" a="1"/>
  <c r="BF869" i="1" s="1"/>
  <c r="BF881" i="1" a="1"/>
  <c r="BF881" i="1" s="1"/>
  <c r="BF1028" i="1" a="1"/>
  <c r="BF1028" i="1" s="1"/>
  <c r="BF1032" i="1" a="1"/>
  <c r="BF1032" i="1" s="1"/>
  <c r="BF1016" i="1" a="1"/>
  <c r="BF1016" i="1" s="1"/>
  <c r="BF1020" i="1" a="1"/>
  <c r="BF1020" i="1" s="1"/>
  <c r="BF1024" i="1" a="1"/>
  <c r="BF1024" i="1" s="1"/>
  <c r="BF1038" i="1" a="1"/>
  <c r="BF1038" i="1" s="1"/>
  <c r="BF1473" i="1" a="1"/>
  <c r="BF1473" i="1" s="1"/>
  <c r="BF1481" i="1" a="1"/>
  <c r="BF1481" i="1" s="1"/>
  <c r="BF1529" i="1" a="1"/>
  <c r="BF1529" i="1" s="1"/>
  <c r="BF1585" i="1" a="1"/>
  <c r="BF1585" i="1" s="1"/>
  <c r="BF1591" i="1" a="1"/>
  <c r="BF1591" i="1" s="1"/>
  <c r="BF529" i="1" a="1"/>
  <c r="BF529" i="1" s="1"/>
  <c r="BF963" i="1" a="1"/>
  <c r="BF963" i="1" s="1"/>
  <c r="BF1030" i="1" a="1"/>
  <c r="BF1030" i="1" s="1"/>
  <c r="BF1034" i="1" a="1"/>
  <c r="BF1034" i="1" s="1"/>
  <c r="BF1018" i="1" a="1"/>
  <c r="BF1018" i="1" s="1"/>
  <c r="BF1022" i="1" a="1"/>
  <c r="BF1022" i="1" s="1"/>
  <c r="BF1026" i="1" a="1"/>
  <c r="BF1026" i="1" s="1"/>
  <c r="BF1040" i="1" a="1"/>
  <c r="BF1040" i="1" s="1"/>
  <c r="BF1094" i="1" a="1"/>
  <c r="BF1094" i="1" s="1"/>
  <c r="BF1475" i="1" a="1"/>
  <c r="BF1475" i="1" s="1"/>
  <c r="BF1484" i="1" a="1"/>
  <c r="BF1484" i="1" s="1"/>
  <c r="BE1484" i="1" s="1" a="1"/>
  <c r="BE1484" i="1" s="1"/>
  <c r="BF1480" i="1" a="1"/>
  <c r="BF1480" i="1" s="1"/>
  <c r="BF1664" i="1" a="1"/>
  <c r="BF1664" i="1" s="1"/>
  <c r="BF528" i="1" a="1"/>
  <c r="BF528" i="1" s="1"/>
  <c r="BF722" i="1" a="1"/>
  <c r="BF722" i="1" s="1"/>
  <c r="BF723" i="1" a="1"/>
  <c r="BF723" i="1" s="1"/>
  <c r="BF763" i="1" a="1"/>
  <c r="BF763" i="1" s="1"/>
  <c r="BF833" i="1" a="1"/>
  <c r="BF833" i="1" s="1"/>
  <c r="BF870" i="1" a="1"/>
  <c r="BF870" i="1" s="1"/>
  <c r="BF862" i="1" a="1"/>
  <c r="BF862" i="1" s="1"/>
  <c r="BF876" i="1" a="1"/>
  <c r="BF876" i="1" s="1"/>
  <c r="BF880" i="1" a="1"/>
  <c r="BF880" i="1" s="1"/>
  <c r="BF1095" i="1" a="1"/>
  <c r="BF1095" i="1" s="1"/>
  <c r="BF531" i="1" a="1"/>
  <c r="BF531" i="1" s="1"/>
  <c r="BF535" i="1" a="1"/>
  <c r="BF535" i="1" s="1"/>
  <c r="BF645" i="1" a="1"/>
  <c r="BF645" i="1" s="1"/>
  <c r="BF727" i="1" a="1"/>
  <c r="BF727" i="1" s="1"/>
  <c r="BF726" i="1" a="1"/>
  <c r="BF726" i="1" s="1"/>
  <c r="BF765" i="1" a="1"/>
  <c r="BF765" i="1" s="1"/>
  <c r="BE765" i="1" s="1" a="1"/>
  <c r="BE765" i="1" s="1"/>
  <c r="BF1097" i="1" a="1"/>
  <c r="BF1097" i="1" s="1"/>
  <c r="BF1580" i="1" a="1"/>
  <c r="BF1580" i="1" s="1"/>
  <c r="BF1586" i="1" a="1"/>
  <c r="BF1586" i="1" s="1"/>
  <c r="BF378" i="1" a="1"/>
  <c r="BF378" i="1" s="1"/>
  <c r="BE378" i="1" s="1" a="1"/>
  <c r="BE378" i="1" s="1"/>
  <c r="BF402" i="1" a="1"/>
  <c r="BF402" i="1" s="1"/>
  <c r="BF447" i="1" a="1"/>
  <c r="BF447" i="1" s="1"/>
  <c r="BF443" i="1" a="1"/>
  <c r="BF443" i="1" s="1"/>
  <c r="BF464" i="1" a="1"/>
  <c r="BF464" i="1" s="1"/>
  <c r="BF487" i="1" a="1"/>
  <c r="BF487" i="1" s="1"/>
  <c r="BF489" i="1" a="1"/>
  <c r="BF489" i="1" s="1"/>
  <c r="BF490" i="1" a="1"/>
  <c r="BF490" i="1" s="1"/>
  <c r="BF493" i="1" a="1"/>
  <c r="BF493" i="1" s="1"/>
  <c r="BF496" i="1" a="1"/>
  <c r="BF496" i="1" s="1"/>
  <c r="BF495" i="1" a="1"/>
  <c r="BF495" i="1" s="1"/>
  <c r="BF501" i="1" a="1"/>
  <c r="BF501" i="1" s="1"/>
  <c r="BF507" i="1" a="1"/>
  <c r="BF507" i="1" s="1"/>
  <c r="BF533" i="1" a="1"/>
  <c r="BF533" i="1" s="1"/>
  <c r="BF537" i="1" a="1"/>
  <c r="BF537" i="1" s="1"/>
  <c r="BF720" i="1" a="1"/>
  <c r="BF720" i="1" s="1"/>
  <c r="BF728" i="1" a="1"/>
  <c r="BF728" i="1" s="1"/>
  <c r="BF725" i="1" a="1"/>
  <c r="BF725" i="1" s="1"/>
  <c r="BF764" i="1" a="1"/>
  <c r="BF764" i="1" s="1"/>
  <c r="BE764" i="1" s="1" a="1"/>
  <c r="BE764" i="1" s="1"/>
  <c r="BF830" i="1" a="1"/>
  <c r="BF830" i="1" s="1"/>
  <c r="BF851" i="1" a="1"/>
  <c r="BF851" i="1" s="1"/>
  <c r="BF858" i="1" a="1"/>
  <c r="BF858" i="1" s="1"/>
  <c r="BF867" i="1" a="1"/>
  <c r="BF867" i="1" s="1"/>
  <c r="BF859" i="1" a="1"/>
  <c r="BF859" i="1" s="1"/>
  <c r="BF865" i="1" a="1"/>
  <c r="BF865" i="1" s="1"/>
  <c r="BF1486" i="1" a="1"/>
  <c r="BF1486" i="1" s="1"/>
  <c r="BE1486" i="1" s="1" a="1"/>
  <c r="BE1486" i="1" s="1"/>
  <c r="BF1533" i="1" a="1"/>
  <c r="BF1533" i="1" s="1"/>
  <c r="BF1588" i="1" a="1"/>
  <c r="BF1588" i="1" s="1"/>
  <c r="BF303" i="1" a="1"/>
  <c r="BF303" i="1" s="1"/>
  <c r="BF293" i="1" a="1"/>
  <c r="BF293" i="1" s="1"/>
  <c r="BF298" i="1" a="1"/>
  <c r="BF298" i="1" s="1"/>
  <c r="BF310" i="1" a="1"/>
  <c r="BF310" i="1" s="1"/>
  <c r="BF313" i="1" a="1"/>
  <c r="BF313" i="1" s="1"/>
  <c r="BF321" i="1" a="1"/>
  <c r="BF321" i="1" s="1"/>
  <c r="BF374" i="1" a="1"/>
  <c r="BF374" i="1" s="1"/>
  <c r="BE374" i="1" s="1" a="1"/>
  <c r="BE374" i="1" s="1"/>
  <c r="BF379" i="1" a="1"/>
  <c r="BF379" i="1" s="1"/>
  <c r="BF405" i="1" a="1"/>
  <c r="BF405" i="1" s="1"/>
  <c r="BF437" i="1" a="1"/>
  <c r="BF437" i="1" s="1"/>
  <c r="BF486" i="1" a="1"/>
  <c r="BF486" i="1" s="1"/>
  <c r="BF506" i="1" a="1"/>
  <c r="BF506" i="1" s="1"/>
  <c r="BF523" i="1" a="1"/>
  <c r="BF523" i="1" s="1"/>
  <c r="BE523" i="1" s="1" a="1"/>
  <c r="BE523" i="1" s="1"/>
  <c r="BF525" i="1" a="1"/>
  <c r="BF525" i="1" s="1"/>
  <c r="BE525" i="1" s="1" a="1"/>
  <c r="BE525" i="1" s="1"/>
  <c r="BF517" i="1" a="1"/>
  <c r="BF517" i="1" s="1"/>
  <c r="BF519" i="1" a="1"/>
  <c r="BF519" i="1" s="1"/>
  <c r="BF522" i="1" a="1"/>
  <c r="BF522" i="1" s="1"/>
  <c r="BF526" i="1" a="1"/>
  <c r="BF526" i="1" s="1"/>
  <c r="BF536" i="1" a="1"/>
  <c r="BF536" i="1" s="1"/>
  <c r="BF530" i="1" a="1"/>
  <c r="BF530" i="1" s="1"/>
  <c r="BF647" i="1" a="1"/>
  <c r="BF647" i="1" s="1"/>
  <c r="BF767" i="1" a="1"/>
  <c r="BF767" i="1" s="1"/>
  <c r="BE767" i="1" s="1" a="1"/>
  <c r="BE767" i="1" s="1"/>
  <c r="BF875" i="1" a="1"/>
  <c r="BF875" i="1" s="1"/>
  <c r="BF885" i="1" a="1"/>
  <c r="BF885" i="1" s="1"/>
  <c r="BF1029" i="1" a="1"/>
  <c r="BF1029" i="1" s="1"/>
  <c r="BF1033" i="1" a="1"/>
  <c r="BF1033" i="1" s="1"/>
  <c r="BF1017" i="1" a="1"/>
  <c r="BF1017" i="1" s="1"/>
  <c r="BF1021" i="1" a="1"/>
  <c r="BF1021" i="1" s="1"/>
  <c r="BF1025" i="1" a="1"/>
  <c r="BF1025" i="1" s="1"/>
  <c r="BF1039" i="1" a="1"/>
  <c r="BF1039" i="1" s="1"/>
  <c r="BF1096" i="1" a="1"/>
  <c r="BF1096" i="1" s="1"/>
  <c r="BF1474" i="1" a="1"/>
  <c r="BF1474" i="1" s="1"/>
  <c r="BF1479" i="1" a="1"/>
  <c r="BF1479" i="1" s="1"/>
  <c r="BE1479" i="1" s="1" a="1"/>
  <c r="BE1479" i="1" s="1"/>
  <c r="BF1483" i="1" a="1"/>
  <c r="BF1483" i="1" s="1"/>
  <c r="BE1483" i="1" s="1" a="1"/>
  <c r="BE1483" i="1" s="1"/>
  <c r="BF1532" i="1" a="1"/>
  <c r="BF1532" i="1" s="1"/>
  <c r="BF1583" i="1" a="1"/>
  <c r="BF1583" i="1" s="1"/>
  <c r="BF307" i="1" a="1"/>
  <c r="BF307" i="1" s="1"/>
  <c r="BF327" i="1" a="1"/>
  <c r="BF327" i="1" s="1"/>
  <c r="BF331" i="1" a="1"/>
  <c r="BF331" i="1" s="1"/>
  <c r="BF335" i="1" a="1"/>
  <c r="BF335" i="1" s="1"/>
  <c r="BF339" i="1" a="1"/>
  <c r="BF339" i="1" s="1"/>
  <c r="BF304" i="1" a="1"/>
  <c r="BF304" i="1" s="1"/>
  <c r="BF376" i="1" a="1"/>
  <c r="BF376" i="1" s="1"/>
  <c r="BF377" i="1" a="1"/>
  <c r="BF377" i="1" s="1"/>
  <c r="BF401" i="1" a="1"/>
  <c r="BF401" i="1" s="1"/>
  <c r="BF446" i="1" a="1"/>
  <c r="BF446" i="1" s="1"/>
  <c r="BF442" i="1" a="1"/>
  <c r="BF442" i="1" s="1"/>
  <c r="BF462" i="1" a="1"/>
  <c r="BF462" i="1" s="1"/>
  <c r="BF538" i="1" a="1"/>
  <c r="BF538" i="1" s="1"/>
  <c r="BF646" i="1" a="1"/>
  <c r="BF646" i="1" s="1"/>
  <c r="BF721" i="1" a="1"/>
  <c r="BF721" i="1" s="1"/>
  <c r="BF724" i="1" a="1"/>
  <c r="BF724" i="1" s="1"/>
  <c r="BF766" i="1" a="1"/>
  <c r="BF766" i="1" s="1"/>
  <c r="BE766" i="1" s="1" a="1"/>
  <c r="BE766" i="1" s="1"/>
  <c r="BF829" i="1" a="1"/>
  <c r="BF829" i="1" s="1"/>
  <c r="BF863" i="1" a="1"/>
  <c r="BF863" i="1" s="1"/>
  <c r="BF857" i="1" a="1"/>
  <c r="BF857" i="1" s="1"/>
  <c r="BF864" i="1" a="1"/>
  <c r="BF864" i="1" s="1"/>
  <c r="BF883" i="1" a="1"/>
  <c r="BF883" i="1" s="1"/>
  <c r="BF1098" i="1" a="1"/>
  <c r="BF1098" i="1" s="1"/>
  <c r="BF1531" i="1" a="1"/>
  <c r="BF1531" i="1" s="1"/>
  <c r="BF1584" i="1" a="1"/>
  <c r="BF1584" i="1" s="1"/>
  <c r="BF1663" i="1" a="1"/>
  <c r="BF1663" i="1" s="1"/>
  <c r="CQ1664" i="1"/>
  <c r="BV502" i="1"/>
  <c r="BX502" i="1" s="1"/>
  <c r="CT502" i="1" s="1"/>
  <c r="BN876" i="1"/>
  <c r="BO876" i="1" s="1"/>
  <c r="BY876" i="1" s="1"/>
  <c r="EP876" i="1" s="1"/>
  <c r="CN507" i="1"/>
  <c r="CR507" i="1" s="1"/>
  <c r="BN506" i="1"/>
  <c r="BO506" i="1" s="1"/>
  <c r="BN646" i="1"/>
  <c r="BO646" i="1" s="1"/>
  <c r="CQ646" i="1" s="1"/>
  <c r="BV645" i="1"/>
  <c r="BX645" i="1" s="1"/>
  <c r="CN508" i="1"/>
  <c r="BV501" i="1"/>
  <c r="BX501" i="1" s="1"/>
  <c r="CT501" i="1" s="1"/>
  <c r="BV541" i="1"/>
  <c r="BX541" i="1" s="1"/>
  <c r="BV542" i="1"/>
  <c r="BX542" i="1" s="1"/>
  <c r="BV463" i="1"/>
  <c r="BX463" i="1" s="1"/>
  <c r="BY463" i="1" s="1"/>
  <c r="BV290" i="1"/>
  <c r="BX290" i="1" s="1"/>
  <c r="BY290" i="1" s="1"/>
  <c r="CN298" i="1"/>
  <c r="CO298" i="1" s="1"/>
  <c r="CN302" i="1"/>
  <c r="CO302" i="1" s="1"/>
  <c r="BN335" i="1"/>
  <c r="BM336" i="1"/>
  <c r="BN337" i="1"/>
  <c r="CN647" i="1"/>
  <c r="CR647" i="1" s="1"/>
  <c r="BU833" i="1"/>
  <c r="BM335" i="1"/>
  <c r="CN336" i="1"/>
  <c r="CS336" i="1" s="1"/>
  <c r="BU542" i="1"/>
  <c r="BN647" i="1"/>
  <c r="BV833" i="1"/>
  <c r="BX833" i="1" s="1"/>
  <c r="CN332" i="1"/>
  <c r="CS332" i="1" s="1"/>
  <c r="BV507" i="1"/>
  <c r="BX507" i="1" s="1"/>
  <c r="BM337" i="1"/>
  <c r="BM298" i="1"/>
  <c r="BN317" i="1"/>
  <c r="BO317" i="1" s="1"/>
  <c r="BY317" i="1" s="1"/>
  <c r="EP317" i="1" s="1"/>
  <c r="CN463" i="1"/>
  <c r="CQ463" i="1" s="1"/>
  <c r="BU644" i="1"/>
  <c r="CN331" i="1"/>
  <c r="CO331" i="1" s="1"/>
  <c r="BM317" i="1"/>
  <c r="BM307" i="1"/>
  <c r="CN297" i="1"/>
  <c r="CP297" i="1" s="1"/>
  <c r="BN303" i="1"/>
  <c r="BO303" i="1" s="1"/>
  <c r="BY303" i="1" s="1"/>
  <c r="EP303" i="1" s="1"/>
  <c r="BN307" i="1"/>
  <c r="BO307" i="1" s="1"/>
  <c r="CQ307" i="1" s="1"/>
  <c r="BN485" i="1"/>
  <c r="BO485" i="1" s="1"/>
  <c r="BY485" i="1" s="1"/>
  <c r="EP485" i="1" s="1"/>
  <c r="BN537" i="1"/>
  <c r="BO537" i="1" s="1"/>
  <c r="BY537" i="1" s="1"/>
  <c r="EP537" i="1" s="1"/>
  <c r="BU831" i="1"/>
  <c r="BY1592" i="1"/>
  <c r="EP1592" i="1" s="1"/>
  <c r="BN489" i="1"/>
  <c r="BO489" i="1" s="1"/>
  <c r="BY489" i="1" s="1"/>
  <c r="EP489" i="1" s="1"/>
  <c r="BN491" i="1"/>
  <c r="BO491" i="1" s="1"/>
  <c r="BY491" i="1" s="1"/>
  <c r="EP491" i="1" s="1"/>
  <c r="BN490" i="1"/>
  <c r="BO490" i="1" s="1"/>
  <c r="BY490" i="1" s="1"/>
  <c r="EP490" i="1" s="1"/>
  <c r="BN494" i="1"/>
  <c r="BO494" i="1" s="1"/>
  <c r="BY494" i="1" s="1"/>
  <c r="EP494" i="1" s="1"/>
  <c r="BN495" i="1"/>
  <c r="BO495" i="1" s="1"/>
  <c r="BY495" i="1" s="1"/>
  <c r="EP495" i="1" s="1"/>
  <c r="BN497" i="1"/>
  <c r="BO497" i="1" s="1"/>
  <c r="BY497" i="1" s="1"/>
  <c r="EP497" i="1" s="1"/>
  <c r="CN509" i="1"/>
  <c r="CS509" i="1" s="1"/>
  <c r="BN509" i="1"/>
  <c r="BO509" i="1" s="1"/>
  <c r="BY509" i="1" s="1"/>
  <c r="CN303" i="1"/>
  <c r="CO303" i="1" s="1"/>
  <c r="BN309" i="1"/>
  <c r="BO309" i="1" s="1"/>
  <c r="BY309" i="1" s="1"/>
  <c r="EP309" i="1" s="1"/>
  <c r="BM311" i="1"/>
  <c r="BN333" i="1"/>
  <c r="CN335" i="1"/>
  <c r="CR335" i="1" s="1"/>
  <c r="CN485" i="1"/>
  <c r="CS485" i="1" s="1"/>
  <c r="CN487" i="1"/>
  <c r="CS487" i="1" s="1"/>
  <c r="CN488" i="1"/>
  <c r="CQ488" i="1" s="1"/>
  <c r="CN492" i="1"/>
  <c r="CS492" i="1" s="1"/>
  <c r="CN493" i="1"/>
  <c r="CO493" i="1" s="1"/>
  <c r="CN496" i="1"/>
  <c r="CQ496" i="1" s="1"/>
  <c r="CN498" i="1"/>
  <c r="CQ498" i="1" s="1"/>
  <c r="BV503" i="1"/>
  <c r="BX503" i="1" s="1"/>
  <c r="CT503" i="1" s="1"/>
  <c r="BU541" i="1"/>
  <c r="BN832" i="1"/>
  <c r="BO832" i="1" s="1"/>
  <c r="CQ832" i="1" s="1"/>
  <c r="CN876" i="1"/>
  <c r="CO876" i="1" s="1"/>
  <c r="BN535" i="1"/>
  <c r="BO535" i="1" s="1"/>
  <c r="BY535" i="1" s="1"/>
  <c r="EP535" i="1" s="1"/>
  <c r="BN539" i="1"/>
  <c r="BO539" i="1" s="1"/>
  <c r="BY539" i="1" s="1"/>
  <c r="EP539" i="1" s="1"/>
  <c r="BU290" i="1"/>
  <c r="CN308" i="1"/>
  <c r="CQ308" i="1" s="1"/>
  <c r="BN334" i="1"/>
  <c r="BN462" i="1"/>
  <c r="BO462" i="1" s="1"/>
  <c r="CS501" i="1"/>
  <c r="BU503" i="1"/>
  <c r="BU502" i="1"/>
  <c r="CN506" i="1"/>
  <c r="CR506" i="1" s="1"/>
  <c r="CN539" i="1"/>
  <c r="CR539" i="1" s="1"/>
  <c r="CR831" i="1"/>
  <c r="BM308" i="1"/>
  <c r="CN338" i="1"/>
  <c r="CQ338" i="1" s="1"/>
  <c r="CN296" i="1"/>
  <c r="CQ296" i="1" s="1"/>
  <c r="BN302" i="1"/>
  <c r="BO302" i="1" s="1"/>
  <c r="BY302" i="1" s="1"/>
  <c r="EP302" i="1" s="1"/>
  <c r="BV461" i="1"/>
  <c r="BX461" i="1" s="1"/>
  <c r="CT461" i="1" s="1"/>
  <c r="BU462" i="1"/>
  <c r="BU507" i="1"/>
  <c r="BM309" i="1"/>
  <c r="BN332" i="1"/>
  <c r="BM338" i="1"/>
  <c r="BM339" i="1"/>
  <c r="CN339" i="1"/>
  <c r="CO339" i="1" s="1"/>
  <c r="CR290" i="1"/>
  <c r="CN311" i="1"/>
  <c r="CR311" i="1" s="1"/>
  <c r="CN337" i="1"/>
  <c r="CR337" i="1" s="1"/>
  <c r="CN462" i="1"/>
  <c r="CR462" i="1" s="1"/>
  <c r="BN464" i="1"/>
  <c r="BO464" i="1" s="1"/>
  <c r="CQ464" i="1" s="1"/>
  <c r="BV506" i="1"/>
  <c r="BX506" i="1" s="1"/>
  <c r="BN508" i="1"/>
  <c r="BO508" i="1" s="1"/>
  <c r="BV647" i="1"/>
  <c r="BX647" i="1" s="1"/>
  <c r="BY647" i="1" s="1"/>
  <c r="EP647" i="1" s="1"/>
  <c r="CR1019" i="1"/>
  <c r="CV1019" i="1" s="1"/>
  <c r="CT528" i="1"/>
  <c r="BY323" i="1"/>
  <c r="EP323" i="1" s="1"/>
  <c r="BY1531" i="1"/>
  <c r="EP1531" i="1" s="1"/>
  <c r="BY488" i="1"/>
  <c r="EP488" i="1" s="1"/>
  <c r="CT530" i="1"/>
  <c r="CQ963" i="1"/>
  <c r="BY1486" i="1"/>
  <c r="EP1486" i="1" s="1"/>
  <c r="CS1591" i="1"/>
  <c r="BY765" i="1"/>
  <c r="EP765" i="1" s="1"/>
  <c r="BY1033" i="1"/>
  <c r="EP1033" i="1" s="1"/>
  <c r="CT533" i="1"/>
  <c r="BY321" i="1"/>
  <c r="EP321" i="1" s="1"/>
  <c r="CT402" i="1"/>
  <c r="BY1020" i="1"/>
  <c r="EP1020" i="1" s="1"/>
  <c r="CQ299" i="1"/>
  <c r="CT439" i="1"/>
  <c r="BY1476" i="1"/>
  <c r="EP1476" i="1" s="1"/>
  <c r="BY1590" i="1"/>
  <c r="EP1590" i="1" s="1"/>
  <c r="CQ1591" i="1"/>
  <c r="CP728" i="1"/>
  <c r="BY725" i="1"/>
  <c r="EP725" i="1" s="1"/>
  <c r="CS1028" i="1"/>
  <c r="CV1028" i="1" s="1"/>
  <c r="CS304" i="1"/>
  <c r="CT490" i="1"/>
  <c r="CT721" i="1"/>
  <c r="CR1032" i="1"/>
  <c r="EP326" i="1"/>
  <c r="CQ445" i="1"/>
  <c r="CT1099" i="1"/>
  <c r="CR1589" i="1"/>
  <c r="CO1099" i="1"/>
  <c r="CS1589" i="1"/>
  <c r="CS322" i="1"/>
  <c r="CV322" i="1" s="1"/>
  <c r="BY405" i="1"/>
  <c r="EP405" i="1" s="1"/>
  <c r="CT406" i="1"/>
  <c r="BY446" i="1"/>
  <c r="EP446" i="1" s="1"/>
  <c r="CO726" i="1"/>
  <c r="CT763" i="1"/>
  <c r="BM764" i="1"/>
  <c r="BY883" i="1"/>
  <c r="EP883" i="1" s="1"/>
  <c r="CT1016" i="1"/>
  <c r="BY320" i="1"/>
  <c r="EP320" i="1" s="1"/>
  <c r="CP406" i="1"/>
  <c r="BY444" i="1"/>
  <c r="EP444" i="1" s="1"/>
  <c r="CT497" i="1"/>
  <c r="CQ1030" i="1"/>
  <c r="BY1039" i="1"/>
  <c r="EP1039" i="1" s="1"/>
  <c r="CQ1589" i="1"/>
  <c r="CP326" i="1"/>
  <c r="CR299" i="1"/>
  <c r="CS376" i="1"/>
  <c r="CV376" i="1" s="1"/>
  <c r="CT404" i="1"/>
  <c r="CO405" i="1"/>
  <c r="CR406" i="1"/>
  <c r="CQ880" i="1"/>
  <c r="BY322" i="1"/>
  <c r="EP322" i="1" s="1"/>
  <c r="CS305" i="1"/>
  <c r="CV305" i="1" s="1"/>
  <c r="CS406" i="1"/>
  <c r="CS497" i="1"/>
  <c r="BY533" i="1"/>
  <c r="EP533" i="1" s="1"/>
  <c r="CO869" i="1"/>
  <c r="CR1026" i="1"/>
  <c r="CV1026" i="1" s="1"/>
  <c r="CN1479" i="1"/>
  <c r="CT1479" i="1" s="1"/>
  <c r="BY311" i="1"/>
  <c r="EP311" i="1" s="1"/>
  <c r="CQ1532" i="1"/>
  <c r="CR300" i="1"/>
  <c r="CO441" i="1"/>
  <c r="CR538" i="1"/>
  <c r="CV538" i="1" s="1"/>
  <c r="CQ868" i="1"/>
  <c r="CO880" i="1"/>
  <c r="CR1030" i="1"/>
  <c r="CS300" i="1"/>
  <c r="BY378" i="1"/>
  <c r="EP378" i="1" s="1"/>
  <c r="CR441" i="1"/>
  <c r="BY498" i="1"/>
  <c r="EP498" i="1" s="1"/>
  <c r="CT644" i="1"/>
  <c r="CR721" i="1"/>
  <c r="CV721" i="1" s="1"/>
  <c r="CS859" i="1"/>
  <c r="CV859" i="1" s="1"/>
  <c r="CR1031" i="1"/>
  <c r="CS1017" i="1"/>
  <c r="CV1017" i="1" s="1"/>
  <c r="CR1096" i="1"/>
  <c r="CV1096" i="1" s="1"/>
  <c r="CO1097" i="1"/>
  <c r="BY1474" i="1"/>
  <c r="EP1474" i="1" s="1"/>
  <c r="BY1530" i="1"/>
  <c r="EP1530" i="1" s="1"/>
  <c r="CR1532" i="1"/>
  <c r="CO1583" i="1"/>
  <c r="EP333" i="1"/>
  <c r="CQ436" i="1"/>
  <c r="CS441" i="1"/>
  <c r="BY487" i="1"/>
  <c r="EP487" i="1" s="1"/>
  <c r="CQ536" i="1"/>
  <c r="CS1031" i="1"/>
  <c r="BY1021" i="1"/>
  <c r="EP1021" i="1" s="1"/>
  <c r="CP1097" i="1"/>
  <c r="CS1532" i="1"/>
  <c r="CP1583" i="1"/>
  <c r="CS290" i="1"/>
  <c r="CR307" i="1"/>
  <c r="BY308" i="1"/>
  <c r="EP308" i="1" s="1"/>
  <c r="CP299" i="1"/>
  <c r="CQ304" i="1"/>
  <c r="CQ402" i="1"/>
  <c r="CS442" i="1"/>
  <c r="BY486" i="1"/>
  <c r="EP486" i="1" s="1"/>
  <c r="CS862" i="1"/>
  <c r="CV862" i="1" s="1"/>
  <c r="CP1032" i="1"/>
  <c r="CS1097" i="1"/>
  <c r="CV1097" i="1" s="1"/>
  <c r="BY447" i="1"/>
  <c r="EP447" i="1" s="1"/>
  <c r="CT309" i="1"/>
  <c r="CS299" i="1"/>
  <c r="CQ441" i="1"/>
  <c r="CS490" i="1"/>
  <c r="CR536" i="1"/>
  <c r="CV536" i="1" s="1"/>
  <c r="BY1027" i="1"/>
  <c r="EP1027" i="1" s="1"/>
  <c r="CS1032" i="1"/>
  <c r="CQ1529" i="1"/>
  <c r="BY324" i="1"/>
  <c r="EP324" i="1" s="1"/>
  <c r="BY375" i="1"/>
  <c r="EP375" i="1" s="1"/>
  <c r="CT441" i="1"/>
  <c r="CQ531" i="1"/>
  <c r="CR858" i="1"/>
  <c r="BY1016" i="1"/>
  <c r="EP1016" i="1" s="1"/>
  <c r="BY1095" i="1"/>
  <c r="EP1095" i="1" s="1"/>
  <c r="CR1591" i="1"/>
  <c r="BY881" i="1"/>
  <c r="EP881" i="1" s="1"/>
  <c r="CT881" i="1"/>
  <c r="CN521" i="1"/>
  <c r="CN527" i="1"/>
  <c r="CR527" i="1" s="1"/>
  <c r="BY532" i="1"/>
  <c r="EP532" i="1" s="1"/>
  <c r="CQ764" i="1"/>
  <c r="CS860" i="1"/>
  <c r="CV860" i="1" s="1"/>
  <c r="BY1484" i="1"/>
  <c r="EP1484" i="1" s="1"/>
  <c r="BE1485" i="1" a="1"/>
  <c r="BE1485" i="1" s="1"/>
  <c r="CS314" i="1"/>
  <c r="CP374" i="1"/>
  <c r="CO372" i="1"/>
  <c r="CO401" i="1"/>
  <c r="CR445" i="1"/>
  <c r="CO443" i="1"/>
  <c r="CO491" i="1"/>
  <c r="CO501" i="1"/>
  <c r="CS763" i="1"/>
  <c r="CO831" i="1"/>
  <c r="BN852" i="1"/>
  <c r="BO852" i="1" s="1"/>
  <c r="BY852" i="1" s="1"/>
  <c r="EP852" i="1" s="1"/>
  <c r="CS857" i="1"/>
  <c r="CV857" i="1" s="1"/>
  <c r="CQ1483" i="1"/>
  <c r="CO322" i="1"/>
  <c r="EP331" i="1"/>
  <c r="CQ374" i="1"/>
  <c r="CP401" i="1"/>
  <c r="CS445" i="1"/>
  <c r="CQ447" i="1"/>
  <c r="CS438" i="1"/>
  <c r="CP491" i="1"/>
  <c r="CP501" i="1"/>
  <c r="BN517" i="1"/>
  <c r="BO517" i="1" s="1"/>
  <c r="BY517" i="1" s="1"/>
  <c r="EP517" i="1" s="1"/>
  <c r="BN518" i="1"/>
  <c r="BO518" i="1" s="1"/>
  <c r="BY518" i="1" s="1"/>
  <c r="EP518" i="1" s="1"/>
  <c r="CR531" i="1"/>
  <c r="CV531" i="1" s="1"/>
  <c r="CS528" i="1"/>
  <c r="CO723" i="1"/>
  <c r="CP831" i="1"/>
  <c r="CS867" i="1"/>
  <c r="CV867" i="1" s="1"/>
  <c r="CO859" i="1"/>
  <c r="CQ860" i="1"/>
  <c r="CQ864" i="1"/>
  <c r="CP866" i="1"/>
  <c r="CS1030" i="1"/>
  <c r="CR1018" i="1"/>
  <c r="CP1023" i="1"/>
  <c r="CP1099" i="1"/>
  <c r="BY1473" i="1"/>
  <c r="EP1473" i="1" s="1"/>
  <c r="CR1483" i="1"/>
  <c r="CP1585" i="1"/>
  <c r="CR1584" i="1"/>
  <c r="BY296" i="1"/>
  <c r="EP296" i="1" s="1"/>
  <c r="CS309" i="1"/>
  <c r="CV309" i="1" s="1"/>
  <c r="CP322" i="1"/>
  <c r="CP300" i="1"/>
  <c r="CO376" i="1"/>
  <c r="BY369" i="1"/>
  <c r="EP369" i="1" s="1"/>
  <c r="CR401" i="1"/>
  <c r="CV401" i="1" s="1"/>
  <c r="CS447" i="1"/>
  <c r="CR439" i="1"/>
  <c r="CR440" i="1"/>
  <c r="CV440" i="1" s="1"/>
  <c r="CR491" i="1"/>
  <c r="CV491" i="1" s="1"/>
  <c r="CP497" i="1"/>
  <c r="CR532" i="1"/>
  <c r="CV532" i="1" s="1"/>
  <c r="CO721" i="1"/>
  <c r="CP723" i="1"/>
  <c r="CQ724" i="1"/>
  <c r="CT766" i="1"/>
  <c r="CO868" i="1"/>
  <c r="CP859" i="1"/>
  <c r="CP862" i="1"/>
  <c r="CR866" i="1"/>
  <c r="CV866" i="1" s="1"/>
  <c r="CQ1032" i="1"/>
  <c r="CS1018" i="1"/>
  <c r="CT1019" i="1"/>
  <c r="CR1023" i="1"/>
  <c r="CV1023" i="1" s="1"/>
  <c r="CQ1026" i="1"/>
  <c r="CP1037" i="1"/>
  <c r="CT1038" i="1"/>
  <c r="CS1099" i="1"/>
  <c r="CV1099" i="1" s="1"/>
  <c r="CO1094" i="1"/>
  <c r="CQ1475" i="1"/>
  <c r="CS1484" i="1"/>
  <c r="CV1484" i="1" s="1"/>
  <c r="CO1531" i="1"/>
  <c r="BE1533" i="1" a="1"/>
  <c r="BE1533" i="1" s="1"/>
  <c r="CR1585" i="1"/>
  <c r="CS1584" i="1"/>
  <c r="CP1664" i="1"/>
  <c r="CP307" i="1"/>
  <c r="CT315" i="1"/>
  <c r="CP376" i="1"/>
  <c r="CQ369" i="1"/>
  <c r="CR497" i="1"/>
  <c r="CQ501" i="1"/>
  <c r="BY525" i="1"/>
  <c r="EP525" i="1" s="1"/>
  <c r="CT532" i="1"/>
  <c r="CP721" i="1"/>
  <c r="BY727" i="1"/>
  <c r="EP727" i="1" s="1"/>
  <c r="CQ831" i="1"/>
  <c r="CN852" i="1"/>
  <c r="CS852" i="1" s="1"/>
  <c r="CP868" i="1"/>
  <c r="CT860" i="1"/>
  <c r="CQ862" i="1"/>
  <c r="CO963" i="1"/>
  <c r="CP1094" i="1"/>
  <c r="CT1475" i="1"/>
  <c r="CT1531" i="1"/>
  <c r="CQ1581" i="1"/>
  <c r="CS1585" i="1"/>
  <c r="BY964" i="1"/>
  <c r="EP964" i="1" s="1"/>
  <c r="CQ1025" i="1"/>
  <c r="CQ322" i="1"/>
  <c r="CQ326" i="1"/>
  <c r="CP315" i="1"/>
  <c r="CS375" i="1"/>
  <c r="CS369" i="1"/>
  <c r="BY400" i="1"/>
  <c r="EP400" i="1" s="1"/>
  <c r="CP405" i="1"/>
  <c r="CT442" i="1"/>
  <c r="CP490" i="1"/>
  <c r="BY496" i="1"/>
  <c r="EP496" i="1" s="1"/>
  <c r="BY522" i="1"/>
  <c r="EP522" i="1" s="1"/>
  <c r="CT536" i="1"/>
  <c r="CQ723" i="1"/>
  <c r="CS767" i="1"/>
  <c r="CR868" i="1"/>
  <c r="CV868" i="1" s="1"/>
  <c r="CQ859" i="1"/>
  <c r="CO860" i="1"/>
  <c r="CO864" i="1"/>
  <c r="CQ866" i="1"/>
  <c r="CT1027" i="1"/>
  <c r="CQ1018" i="1"/>
  <c r="CQ1039" i="1"/>
  <c r="CO1096" i="1"/>
  <c r="CR1475" i="1"/>
  <c r="CV1475" i="1" s="1"/>
  <c r="BY1528" i="1"/>
  <c r="EP1528" i="1" s="1"/>
  <c r="CQ1585" i="1"/>
  <c r="CQ300" i="1"/>
  <c r="CQ376" i="1"/>
  <c r="CT401" i="1"/>
  <c r="CR490" i="1"/>
  <c r="CT531" i="1"/>
  <c r="CQ766" i="1"/>
  <c r="BY764" i="1"/>
  <c r="EP764" i="1" s="1"/>
  <c r="BY870" i="1"/>
  <c r="EP870" i="1" s="1"/>
  <c r="CP860" i="1"/>
  <c r="CS864" i="1"/>
  <c r="CV864" i="1" s="1"/>
  <c r="CO1028" i="1"/>
  <c r="BY1029" i="1"/>
  <c r="EP1029" i="1" s="1"/>
  <c r="CS1016" i="1"/>
  <c r="CV1016" i="1" s="1"/>
  <c r="CO1026" i="1"/>
  <c r="CR1037" i="1"/>
  <c r="CR1039" i="1"/>
  <c r="CV1039" i="1" s="1"/>
  <c r="CP1096" i="1"/>
  <c r="CR1583" i="1"/>
  <c r="CV1583" i="1" s="1"/>
  <c r="BY325" i="1"/>
  <c r="EP325" i="1" s="1"/>
  <c r="BY305" i="1"/>
  <c r="EP305" i="1" s="1"/>
  <c r="CT305" i="1"/>
  <c r="BY534" i="1"/>
  <c r="EP534" i="1" s="1"/>
  <c r="CS319" i="1"/>
  <c r="CV319" i="1" s="1"/>
  <c r="EP329" i="1"/>
  <c r="EP337" i="1"/>
  <c r="CR304" i="1"/>
  <c r="CR375" i="1"/>
  <c r="CR369" i="1"/>
  <c r="BY371" i="1"/>
  <c r="EP371" i="1" s="1"/>
  <c r="CS372" i="1"/>
  <c r="CV372" i="1" s="1"/>
  <c r="CT379" i="1"/>
  <c r="CR404" i="1"/>
  <c r="CQ406" i="1"/>
  <c r="CO445" i="1"/>
  <c r="CS437" i="1"/>
  <c r="CP439" i="1"/>
  <c r="CP442" i="1"/>
  <c r="CR464" i="1"/>
  <c r="CR501" i="1"/>
  <c r="CN522" i="1"/>
  <c r="CQ522" i="1" s="1"/>
  <c r="CQ532" i="1"/>
  <c r="CR528" i="1"/>
  <c r="CQ528" i="1"/>
  <c r="BY314" i="1"/>
  <c r="EP314" i="1" s="1"/>
  <c r="CQ291" i="1"/>
  <c r="CS291" i="1"/>
  <c r="CS317" i="1"/>
  <c r="CV317" i="1" s="1"/>
  <c r="CO371" i="1"/>
  <c r="CP379" i="1"/>
  <c r="CP438" i="1"/>
  <c r="CS439" i="1"/>
  <c r="CR502" i="1"/>
  <c r="BY531" i="1"/>
  <c r="EP531" i="1" s="1"/>
  <c r="BY538" i="1"/>
  <c r="EP538" i="1" s="1"/>
  <c r="CS530" i="1"/>
  <c r="CR530" i="1"/>
  <c r="CQ371" i="1"/>
  <c r="CR379" i="1"/>
  <c r="BY404" i="1"/>
  <c r="EP404" i="1" s="1"/>
  <c r="CT405" i="1"/>
  <c r="BY437" i="1"/>
  <c r="EP437" i="1" s="1"/>
  <c r="CQ438" i="1"/>
  <c r="BY443" i="1"/>
  <c r="EP443" i="1" s="1"/>
  <c r="CN519" i="1"/>
  <c r="CR519" i="1" s="1"/>
  <c r="BY724" i="1"/>
  <c r="EP724" i="1" s="1"/>
  <c r="CT724" i="1"/>
  <c r="BY318" i="1"/>
  <c r="BY304" i="1"/>
  <c r="EP304" i="1" s="1"/>
  <c r="BY373" i="1"/>
  <c r="EP373" i="1" s="1"/>
  <c r="CS371" i="1"/>
  <c r="CS379" i="1"/>
  <c r="CR438" i="1"/>
  <c r="BY442" i="1"/>
  <c r="EP442" i="1" s="1"/>
  <c r="BY523" i="1"/>
  <c r="EP523" i="1" s="1"/>
  <c r="CN520" i="1"/>
  <c r="CS520" i="1" s="1"/>
  <c r="BM765" i="1"/>
  <c r="CN765" i="1"/>
  <c r="CR765" i="1" s="1"/>
  <c r="EP338" i="1"/>
  <c r="CT371" i="1"/>
  <c r="BY377" i="1"/>
  <c r="EP377" i="1" s="1"/>
  <c r="CO646" i="1"/>
  <c r="CR646" i="1"/>
  <c r="CO304" i="1"/>
  <c r="BY374" i="1"/>
  <c r="EP374" i="1" s="1"/>
  <c r="CP369" i="1"/>
  <c r="CP372" i="1"/>
  <c r="BY399" i="1"/>
  <c r="EP399" i="1" s="1"/>
  <c r="CO404" i="1"/>
  <c r="CQ405" i="1"/>
  <c r="CO437" i="1"/>
  <c r="CQ443" i="1"/>
  <c r="BY536" i="1"/>
  <c r="EP536" i="1" s="1"/>
  <c r="BY1588" i="1"/>
  <c r="EP1588" i="1" s="1"/>
  <c r="CT1588" i="1"/>
  <c r="CQ290" i="1"/>
  <c r="BY306" i="1"/>
  <c r="EP306" i="1" s="1"/>
  <c r="CQ305" i="1"/>
  <c r="CT376" i="1"/>
  <c r="CR405" i="1"/>
  <c r="CV405" i="1" s="1"/>
  <c r="BY441" i="1"/>
  <c r="EP441" i="1" s="1"/>
  <c r="CT491" i="1"/>
  <c r="BY528" i="1"/>
  <c r="EP528" i="1" s="1"/>
  <c r="BY644" i="1"/>
  <c r="CT723" i="1"/>
  <c r="BY723" i="1"/>
  <c r="EP723" i="1" s="1"/>
  <c r="CS1478" i="1"/>
  <c r="CT728" i="1"/>
  <c r="CR723" i="1"/>
  <c r="CV723" i="1" s="1"/>
  <c r="CO763" i="1"/>
  <c r="CO766" i="1"/>
  <c r="CT767" i="1"/>
  <c r="CO830" i="1"/>
  <c r="CS858" i="1"/>
  <c r="CQ869" i="1"/>
  <c r="CO867" i="1"/>
  <c r="CQ870" i="1"/>
  <c r="CO857" i="1"/>
  <c r="CP864" i="1"/>
  <c r="CQ865" i="1"/>
  <c r="CT1017" i="1"/>
  <c r="CO1024" i="1"/>
  <c r="CR1481" i="1"/>
  <c r="CV1481" i="1" s="1"/>
  <c r="CS1483" i="1"/>
  <c r="BN1480" i="1"/>
  <c r="BO1480" i="1" s="1"/>
  <c r="BY1480" i="1" s="1"/>
  <c r="EP1480" i="1" s="1"/>
  <c r="BY1485" i="1"/>
  <c r="EP1485" i="1" s="1"/>
  <c r="CR1531" i="1"/>
  <c r="CV1531" i="1" s="1"/>
  <c r="CP1532" i="1"/>
  <c r="CR1581" i="1"/>
  <c r="CO728" i="1"/>
  <c r="CP763" i="1"/>
  <c r="CR766" i="1"/>
  <c r="CT858" i="1"/>
  <c r="CT869" i="1"/>
  <c r="CP867" i="1"/>
  <c r="CP857" i="1"/>
  <c r="CO862" i="1"/>
  <c r="CO866" i="1"/>
  <c r="BY875" i="1"/>
  <c r="EP875" i="1" s="1"/>
  <c r="CP1031" i="1"/>
  <c r="CO1016" i="1"/>
  <c r="CO1023" i="1"/>
  <c r="CR1024" i="1"/>
  <c r="CV1024" i="1" s="1"/>
  <c r="CS1038" i="1"/>
  <c r="BY1098" i="1"/>
  <c r="EP1098" i="1" s="1"/>
  <c r="CS1094" i="1"/>
  <c r="CV1094" i="1" s="1"/>
  <c r="BY1096" i="1"/>
  <c r="EP1096" i="1" s="1"/>
  <c r="CT1473" i="1"/>
  <c r="BY1479" i="1"/>
  <c r="EP1479" i="1" s="1"/>
  <c r="BE1529" i="1" a="1"/>
  <c r="BE1529" i="1" s="1"/>
  <c r="CT1529" i="1"/>
  <c r="CS1581" i="1"/>
  <c r="CR763" i="1"/>
  <c r="CS766" i="1"/>
  <c r="BY863" i="1"/>
  <c r="EP863" i="1" s="1"/>
  <c r="CT885" i="1"/>
  <c r="BY1034" i="1"/>
  <c r="EP1034" i="1" s="1"/>
  <c r="CQ1484" i="1"/>
  <c r="BY1529" i="1"/>
  <c r="EP1529" i="1" s="1"/>
  <c r="BY859" i="1"/>
  <c r="EP859" i="1" s="1"/>
  <c r="BY1099" i="1"/>
  <c r="EP1099" i="1" s="1"/>
  <c r="CP726" i="1"/>
  <c r="BY829" i="1"/>
  <c r="EP829" i="1" s="1"/>
  <c r="CS831" i="1"/>
  <c r="CP869" i="1"/>
  <c r="CO870" i="1"/>
  <c r="CQ857" i="1"/>
  <c r="CO865" i="1"/>
  <c r="CP882" i="1"/>
  <c r="CP880" i="1"/>
  <c r="CQ885" i="1"/>
  <c r="CP963" i="1"/>
  <c r="CQ1031" i="1"/>
  <c r="BY1017" i="1"/>
  <c r="EP1017" i="1" s="1"/>
  <c r="BY1025" i="1"/>
  <c r="EP1025" i="1" s="1"/>
  <c r="CP1026" i="1"/>
  <c r="CQ1037" i="1"/>
  <c r="CO1038" i="1"/>
  <c r="CQ1097" i="1"/>
  <c r="CS1476" i="1"/>
  <c r="CV1476" i="1" s="1"/>
  <c r="BM1478" i="1"/>
  <c r="CP1529" i="1"/>
  <c r="BE1531" i="1" a="1"/>
  <c r="BE1531" i="1" s="1"/>
  <c r="BY1580" i="1"/>
  <c r="EP1580" i="1" s="1"/>
  <c r="CQ1583" i="1"/>
  <c r="CR726" i="1"/>
  <c r="CV726" i="1" s="1"/>
  <c r="CR869" i="1"/>
  <c r="CV869" i="1" s="1"/>
  <c r="CQ867" i="1"/>
  <c r="CP870" i="1"/>
  <c r="CP865" i="1"/>
  <c r="CQ882" i="1"/>
  <c r="CR885" i="1"/>
  <c r="CR963" i="1"/>
  <c r="CV963" i="1" s="1"/>
  <c r="CP1038" i="1"/>
  <c r="CQ1481" i="1"/>
  <c r="BN1478" i="1"/>
  <c r="BO1478" i="1" s="1"/>
  <c r="BY1478" i="1" s="1"/>
  <c r="EP1478" i="1" s="1"/>
  <c r="CR1529" i="1"/>
  <c r="BY1581" i="1"/>
  <c r="EP1581" i="1" s="1"/>
  <c r="EP648" i="1"/>
  <c r="CR767" i="1"/>
  <c r="BY867" i="1"/>
  <c r="EP867" i="1" s="1"/>
  <c r="CR870" i="1"/>
  <c r="CV870" i="1" s="1"/>
  <c r="CT857" i="1"/>
  <c r="CR865" i="1"/>
  <c r="CV865" i="1" s="1"/>
  <c r="CR882" i="1"/>
  <c r="CS885" i="1"/>
  <c r="BY1022" i="1"/>
  <c r="EP1022" i="1" s="1"/>
  <c r="CS1037" i="1"/>
  <c r="CR1038" i="1"/>
  <c r="BY1040" i="1"/>
  <c r="EP1040" i="1" s="1"/>
  <c r="BY1481" i="1"/>
  <c r="EP1481" i="1" s="1"/>
  <c r="CS1529" i="1"/>
  <c r="BY1587" i="1"/>
  <c r="EP1587" i="1" s="1"/>
  <c r="CS882" i="1"/>
  <c r="CQ1038" i="1"/>
  <c r="CP1591" i="1"/>
  <c r="BY379" i="1"/>
  <c r="EP379" i="1" s="1"/>
  <c r="CQ379" i="1"/>
  <c r="CT317" i="1"/>
  <c r="BY319" i="1"/>
  <c r="EP319" i="1" s="1"/>
  <c r="CT319" i="1"/>
  <c r="BY372" i="1"/>
  <c r="EP372" i="1" s="1"/>
  <c r="CT372" i="1"/>
  <c r="BY297" i="1"/>
  <c r="EP297" i="1" s="1"/>
  <c r="BY315" i="1"/>
  <c r="EP315" i="1" s="1"/>
  <c r="CQ315" i="1"/>
  <c r="BY380" i="1"/>
  <c r="EP380" i="1" s="1"/>
  <c r="CT380" i="1"/>
  <c r="CT323" i="1"/>
  <c r="CQ323" i="1"/>
  <c r="CS323" i="1"/>
  <c r="CR323" i="1"/>
  <c r="CR324" i="1"/>
  <c r="CT324" i="1"/>
  <c r="CS324" i="1"/>
  <c r="CQ324" i="1"/>
  <c r="CP325" i="1"/>
  <c r="CR325" i="1"/>
  <c r="CT325" i="1"/>
  <c r="CS325" i="1"/>
  <c r="BY445" i="1"/>
  <c r="EP445" i="1" s="1"/>
  <c r="CT445" i="1"/>
  <c r="CQ530" i="1"/>
  <c r="BY530" i="1"/>
  <c r="EP530" i="1" s="1"/>
  <c r="CT964" i="1"/>
  <c r="CS964" i="1"/>
  <c r="CR964" i="1"/>
  <c r="CP964" i="1"/>
  <c r="CQ964" i="1"/>
  <c r="CO964" i="1"/>
  <c r="BV291" i="1"/>
  <c r="BX291" i="1" s="1"/>
  <c r="BV293" i="1"/>
  <c r="BX293" i="1" s="1"/>
  <c r="BY293" i="1" s="1"/>
  <c r="CS307" i="1"/>
  <c r="CT307" i="1"/>
  <c r="CQ320" i="1"/>
  <c r="CT320" i="1"/>
  <c r="CS320" i="1"/>
  <c r="CR320" i="1"/>
  <c r="CP320" i="1"/>
  <c r="CO323" i="1"/>
  <c r="CP324" i="1"/>
  <c r="CQ325" i="1"/>
  <c r="BN327" i="1"/>
  <c r="BN328" i="1"/>
  <c r="BM330" i="1"/>
  <c r="BN330" i="1"/>
  <c r="BN338" i="1"/>
  <c r="CO374" i="1"/>
  <c r="CR374" i="1"/>
  <c r="CV374" i="1" s="1"/>
  <c r="CT374" i="1"/>
  <c r="CS518" i="1"/>
  <c r="CR518" i="1"/>
  <c r="CT518" i="1"/>
  <c r="CQ767" i="1"/>
  <c r="BY767" i="1"/>
  <c r="EP767" i="1" s="1"/>
  <c r="CR301" i="1"/>
  <c r="CV301" i="1" s="1"/>
  <c r="CO301" i="1"/>
  <c r="CP301" i="1"/>
  <c r="CO373" i="1"/>
  <c r="CT373" i="1"/>
  <c r="CS373" i="1"/>
  <c r="CR373" i="1"/>
  <c r="CQ373" i="1"/>
  <c r="BU291" i="1"/>
  <c r="BV292" i="1"/>
  <c r="BX292" i="1" s="1"/>
  <c r="BY292" i="1" s="1"/>
  <c r="BU292" i="1"/>
  <c r="CT301" i="1"/>
  <c r="BY310" i="1"/>
  <c r="EP310" i="1" s="1"/>
  <c r="CT313" i="1"/>
  <c r="CS313" i="1"/>
  <c r="CP313" i="1"/>
  <c r="CR313" i="1"/>
  <c r="CT316" i="1"/>
  <c r="CS316" i="1"/>
  <c r="CP316" i="1"/>
  <c r="CR316" i="1"/>
  <c r="CT322" i="1"/>
  <c r="CP323" i="1"/>
  <c r="CN329" i="1"/>
  <c r="BM329" i="1"/>
  <c r="BN329" i="1"/>
  <c r="BY370" i="1"/>
  <c r="EP370" i="1" s="1"/>
  <c r="CQ728" i="1"/>
  <c r="BY728" i="1"/>
  <c r="EP728" i="1" s="1"/>
  <c r="BY403" i="1"/>
  <c r="EP403" i="1" s="1"/>
  <c r="BY519" i="1"/>
  <c r="EP519" i="1" s="1"/>
  <c r="CQ721" i="1"/>
  <c r="BY721" i="1"/>
  <c r="EP721" i="1" s="1"/>
  <c r="CQ439" i="1"/>
  <c r="BY439" i="1"/>
  <c r="EP439" i="1" s="1"/>
  <c r="CT310" i="1"/>
  <c r="CS310" i="1"/>
  <c r="CQ310" i="1"/>
  <c r="CR310" i="1"/>
  <c r="CO312" i="1"/>
  <c r="CT312" i="1"/>
  <c r="CS312" i="1"/>
  <c r="CR312" i="1"/>
  <c r="CQ378" i="1"/>
  <c r="CT378" i="1"/>
  <c r="CP378" i="1"/>
  <c r="CO378" i="1"/>
  <c r="CS378" i="1"/>
  <c r="CR378" i="1"/>
  <c r="CP321" i="1"/>
  <c r="CT321" i="1"/>
  <c r="CS321" i="1"/>
  <c r="CQ321" i="1"/>
  <c r="CR321" i="1"/>
  <c r="BN339" i="1"/>
  <c r="CT314" i="1"/>
  <c r="CR377" i="1"/>
  <c r="CP377" i="1"/>
  <c r="CT377" i="1"/>
  <c r="CS377" i="1"/>
  <c r="CQ377" i="1"/>
  <c r="CR403" i="1"/>
  <c r="CO403" i="1"/>
  <c r="CT403" i="1"/>
  <c r="CQ403" i="1"/>
  <c r="CS403" i="1"/>
  <c r="CO399" i="1"/>
  <c r="CQ399" i="1"/>
  <c r="CT399" i="1"/>
  <c r="CS399" i="1"/>
  <c r="CR399" i="1"/>
  <c r="CS370" i="1"/>
  <c r="CR370" i="1"/>
  <c r="CO370" i="1"/>
  <c r="CO310" i="1"/>
  <c r="CP310" i="1"/>
  <c r="BM316" i="1"/>
  <c r="BN316" i="1"/>
  <c r="BO316" i="1" s="1"/>
  <c r="CQ316" i="1" s="1"/>
  <c r="CO321" i="1"/>
  <c r="CO326" i="1"/>
  <c r="CS326" i="1"/>
  <c r="CV326" i="1" s="1"/>
  <c r="CT326" i="1"/>
  <c r="CN327" i="1"/>
  <c r="EP339" i="1"/>
  <c r="BY300" i="1"/>
  <c r="EP300" i="1" s="1"/>
  <c r="CT300" i="1"/>
  <c r="CT299" i="1"/>
  <c r="BY299" i="1"/>
  <c r="EP299" i="1" s="1"/>
  <c r="CQ370" i="1"/>
  <c r="CO377" i="1"/>
  <c r="BY401" i="1"/>
  <c r="EP401" i="1" s="1"/>
  <c r="CP403" i="1"/>
  <c r="CQ446" i="1"/>
  <c r="CR446" i="1"/>
  <c r="CS446" i="1"/>
  <c r="CP446" i="1"/>
  <c r="CT446" i="1"/>
  <c r="CS436" i="1"/>
  <c r="CO436" i="1"/>
  <c r="CT436" i="1"/>
  <c r="CR436" i="1"/>
  <c r="CT494" i="1"/>
  <c r="BN542" i="1"/>
  <c r="BO542" i="1" s="1"/>
  <c r="BM542" i="1"/>
  <c r="CN542" i="1"/>
  <c r="CS293" i="1"/>
  <c r="BM301" i="1"/>
  <c r="BN301" i="1"/>
  <c r="BO301" i="1" s="1"/>
  <c r="BY301" i="1" s="1"/>
  <c r="EP301" i="1" s="1"/>
  <c r="CP400" i="1"/>
  <c r="CT400" i="1"/>
  <c r="CQ400" i="1"/>
  <c r="CS400" i="1"/>
  <c r="CR400" i="1"/>
  <c r="CO400" i="1"/>
  <c r="CQ292" i="1"/>
  <c r="CQ293" i="1"/>
  <c r="CP312" i="1"/>
  <c r="CR291" i="1"/>
  <c r="CR292" i="1"/>
  <c r="CR293" i="1"/>
  <c r="CS292" i="1"/>
  <c r="BM296" i="1"/>
  <c r="BY298" i="1"/>
  <c r="EP298" i="1" s="1"/>
  <c r="BM312" i="1"/>
  <c r="BN312" i="1"/>
  <c r="BO312" i="1" s="1"/>
  <c r="BY312" i="1" s="1"/>
  <c r="EP312" i="1" s="1"/>
  <c r="BM313" i="1"/>
  <c r="BN313" i="1"/>
  <c r="BO313" i="1" s="1"/>
  <c r="CQ313" i="1" s="1"/>
  <c r="CN328" i="1"/>
  <c r="CN330" i="1"/>
  <c r="EP335" i="1"/>
  <c r="BY376" i="1"/>
  <c r="EP376" i="1" s="1"/>
  <c r="CT370" i="1"/>
  <c r="BY406" i="1"/>
  <c r="EP406" i="1" s="1"/>
  <c r="CO446" i="1"/>
  <c r="CP436" i="1"/>
  <c r="CT489" i="1"/>
  <c r="CS489" i="1"/>
  <c r="CR489" i="1"/>
  <c r="CP380" i="1"/>
  <c r="CO380" i="1"/>
  <c r="BM306" i="1"/>
  <c r="CP309" i="1"/>
  <c r="CP317" i="1"/>
  <c r="BM318" i="1"/>
  <c r="CO319" i="1"/>
  <c r="BM331" i="1"/>
  <c r="CN334" i="1"/>
  <c r="CO305" i="1"/>
  <c r="CR314" i="1"/>
  <c r="CO314" i="1"/>
  <c r="CQ380" i="1"/>
  <c r="CT375" i="1"/>
  <c r="CQ375" i="1"/>
  <c r="BY402" i="1"/>
  <c r="EP402" i="1" s="1"/>
  <c r="BU461" i="1"/>
  <c r="BV462" i="1"/>
  <c r="BX462" i="1" s="1"/>
  <c r="CN465" i="1"/>
  <c r="BN465" i="1"/>
  <c r="BO465" i="1" s="1"/>
  <c r="CP489" i="1"/>
  <c r="CN645" i="1"/>
  <c r="BN645" i="1"/>
  <c r="BO645" i="1" s="1"/>
  <c r="BV508" i="1"/>
  <c r="BX508" i="1" s="1"/>
  <c r="BU508" i="1"/>
  <c r="CN306" i="1"/>
  <c r="CO309" i="1"/>
  <c r="CN318" i="1"/>
  <c r="CN333" i="1"/>
  <c r="CQ372" i="1"/>
  <c r="CO444" i="1"/>
  <c r="CT444" i="1"/>
  <c r="CQ444" i="1"/>
  <c r="BU293" i="1"/>
  <c r="CP290" i="1"/>
  <c r="BM297" i="1"/>
  <c r="CP319" i="1"/>
  <c r="CP305" i="1"/>
  <c r="CR380" i="1"/>
  <c r="CT369" i="1"/>
  <c r="CR402" i="1"/>
  <c r="CV402" i="1" s="1"/>
  <c r="CP402" i="1"/>
  <c r="CR444" i="1"/>
  <c r="BY440" i="1"/>
  <c r="EP440" i="1" s="1"/>
  <c r="BV464" i="1"/>
  <c r="BX464" i="1" s="1"/>
  <c r="CS464" i="1"/>
  <c r="BY493" i="1"/>
  <c r="EP493" i="1" s="1"/>
  <c r="CO317" i="1"/>
  <c r="BU464" i="1"/>
  <c r="CO489" i="1"/>
  <c r="BY492" i="1"/>
  <c r="EP492" i="1" s="1"/>
  <c r="CO290" i="1"/>
  <c r="CQ319" i="1"/>
  <c r="BN336" i="1"/>
  <c r="CS315" i="1"/>
  <c r="CV315" i="1" s="1"/>
  <c r="CO315" i="1"/>
  <c r="CQ314" i="1"/>
  <c r="CS380" i="1"/>
  <c r="CP375" i="1"/>
  <c r="CO402" i="1"/>
  <c r="CS404" i="1"/>
  <c r="CQ404" i="1"/>
  <c r="CS444" i="1"/>
  <c r="BY436" i="1"/>
  <c r="EP436" i="1" s="1"/>
  <c r="BV465" i="1"/>
  <c r="BX465" i="1" s="1"/>
  <c r="BU465" i="1"/>
  <c r="CQ534" i="1"/>
  <c r="CT534" i="1"/>
  <c r="CS534" i="1"/>
  <c r="CR534" i="1"/>
  <c r="CT1020" i="1"/>
  <c r="CS1020" i="1"/>
  <c r="CR1020" i="1"/>
  <c r="CQ1020" i="1"/>
  <c r="CP1020" i="1"/>
  <c r="CO1020" i="1"/>
  <c r="CR1022" i="1"/>
  <c r="CT1022" i="1"/>
  <c r="CS1022" i="1"/>
  <c r="CQ1022" i="1"/>
  <c r="CP1022" i="1"/>
  <c r="CO1022" i="1"/>
  <c r="CT437" i="1"/>
  <c r="CQ437" i="1"/>
  <c r="CT438" i="1"/>
  <c r="CT517" i="1"/>
  <c r="CS517" i="1"/>
  <c r="CR517" i="1"/>
  <c r="CS533" i="1"/>
  <c r="CR533" i="1"/>
  <c r="CQ533" i="1"/>
  <c r="BY868" i="1"/>
  <c r="EP868" i="1" s="1"/>
  <c r="CT868" i="1"/>
  <c r="CO440" i="1"/>
  <c r="CT440" i="1"/>
  <c r="CS461" i="1"/>
  <c r="CT495" i="1"/>
  <c r="CS495" i="1"/>
  <c r="CR495" i="1"/>
  <c r="CS503" i="1"/>
  <c r="CR503" i="1"/>
  <c r="CQ503" i="1"/>
  <c r="CP503" i="1"/>
  <c r="BN516" i="1"/>
  <c r="BO516" i="1" s="1"/>
  <c r="BY516" i="1" s="1"/>
  <c r="EP516" i="1" s="1"/>
  <c r="CN516" i="1"/>
  <c r="CR447" i="1"/>
  <c r="CT447" i="1"/>
  <c r="CP440" i="1"/>
  <c r="BU463" i="1"/>
  <c r="CO495" i="1"/>
  <c r="CO503" i="1"/>
  <c r="CT304" i="1"/>
  <c r="CR371" i="1"/>
  <c r="CQ401" i="1"/>
  <c r="CO447" i="1"/>
  <c r="CR437" i="1"/>
  <c r="CQ440" i="1"/>
  <c r="CR443" i="1"/>
  <c r="CV443" i="1" s="1"/>
  <c r="CT443" i="1"/>
  <c r="CP443" i="1"/>
  <c r="BN461" i="1"/>
  <c r="BO461" i="1" s="1"/>
  <c r="CR461" i="1"/>
  <c r="CP495" i="1"/>
  <c r="BU506" i="1"/>
  <c r="CN524" i="1"/>
  <c r="BN524" i="1"/>
  <c r="BO524" i="1" s="1"/>
  <c r="BY524" i="1" s="1"/>
  <c r="EP524" i="1" s="1"/>
  <c r="CN720" i="1"/>
  <c r="BN720" i="1"/>
  <c r="BO720" i="1" s="1"/>
  <c r="BY720" i="1" s="1"/>
  <c r="EP720" i="1" s="1"/>
  <c r="CR725" i="1"/>
  <c r="CT725" i="1"/>
  <c r="CS725" i="1"/>
  <c r="CQ725" i="1"/>
  <c r="CP725" i="1"/>
  <c r="CO725" i="1"/>
  <c r="BU509" i="1"/>
  <c r="CN523" i="1"/>
  <c r="CN525" i="1"/>
  <c r="BY529" i="1"/>
  <c r="EP529" i="1" s="1"/>
  <c r="CN541" i="1"/>
  <c r="BN541" i="1"/>
  <c r="BO541" i="1" s="1"/>
  <c r="BM541" i="1"/>
  <c r="BY726" i="1"/>
  <c r="EP726" i="1" s="1"/>
  <c r="BY1026" i="1"/>
  <c r="EP1026" i="1" s="1"/>
  <c r="CQ442" i="1"/>
  <c r="CO494" i="1"/>
  <c r="CO502" i="1"/>
  <c r="BN526" i="1"/>
  <c r="BO526" i="1" s="1"/>
  <c r="BY526" i="1" s="1"/>
  <c r="EP526" i="1" s="1"/>
  <c r="CN526" i="1"/>
  <c r="CT529" i="1"/>
  <c r="CS529" i="1"/>
  <c r="CR529" i="1"/>
  <c r="CN648" i="1"/>
  <c r="BN648" i="1"/>
  <c r="CS644" i="1"/>
  <c r="CV644" i="1" s="1"/>
  <c r="CQ644" i="1"/>
  <c r="CP644" i="1"/>
  <c r="CO644" i="1"/>
  <c r="CP646" i="1"/>
  <c r="CT646" i="1"/>
  <c r="CS646" i="1"/>
  <c r="BM722" i="1"/>
  <c r="CN722" i="1"/>
  <c r="CT1028" i="1"/>
  <c r="BY1028" i="1"/>
  <c r="EP1028" i="1" s="1"/>
  <c r="CN486" i="1"/>
  <c r="CP494" i="1"/>
  <c r="BU501" i="1"/>
  <c r="CQ502" i="1"/>
  <c r="CT538" i="1"/>
  <c r="CQ529" i="1"/>
  <c r="BN722" i="1"/>
  <c r="BO722" i="1" s="1"/>
  <c r="BY722" i="1" s="1"/>
  <c r="EP722" i="1" s="1"/>
  <c r="CT727" i="1"/>
  <c r="CS727" i="1"/>
  <c r="CR727" i="1"/>
  <c r="CQ727" i="1"/>
  <c r="CP727" i="1"/>
  <c r="CT829" i="1"/>
  <c r="CS829" i="1"/>
  <c r="CV829" i="1" s="1"/>
  <c r="CP829" i="1"/>
  <c r="CO829" i="1"/>
  <c r="CQ829" i="1"/>
  <c r="BY438" i="1"/>
  <c r="EP438" i="1" s="1"/>
  <c r="CR442" i="1"/>
  <c r="CO490" i="1"/>
  <c r="CS494" i="1"/>
  <c r="CV494" i="1" s="1"/>
  <c r="CS502" i="1"/>
  <c r="BY520" i="1"/>
  <c r="EP520" i="1" s="1"/>
  <c r="CT535" i="1"/>
  <c r="CS535" i="1"/>
  <c r="CR535" i="1"/>
  <c r="CN537" i="1"/>
  <c r="BU646" i="1"/>
  <c r="BV830" i="1"/>
  <c r="BX830" i="1" s="1"/>
  <c r="CT830" i="1" s="1"/>
  <c r="BU830" i="1"/>
  <c r="CQ726" i="1"/>
  <c r="CT863" i="1"/>
  <c r="CR863" i="1"/>
  <c r="CQ863" i="1"/>
  <c r="CP863" i="1"/>
  <c r="BY861" i="1"/>
  <c r="EP861" i="1" s="1"/>
  <c r="BY864" i="1"/>
  <c r="EP864" i="1" s="1"/>
  <c r="CT864" i="1"/>
  <c r="CQ1029" i="1"/>
  <c r="CP1029" i="1"/>
  <c r="CO1029" i="1"/>
  <c r="CT1029" i="1"/>
  <c r="CS1029" i="1"/>
  <c r="CR1029" i="1"/>
  <c r="CT1015" i="1"/>
  <c r="BY1015" i="1"/>
  <c r="EP1015" i="1" s="1"/>
  <c r="CS1021" i="1"/>
  <c r="CT1021" i="1"/>
  <c r="CR1021" i="1"/>
  <c r="CQ1021" i="1"/>
  <c r="CP1021" i="1"/>
  <c r="CO1021" i="1"/>
  <c r="BY763" i="1"/>
  <c r="EP763" i="1" s="1"/>
  <c r="CQ861" i="1"/>
  <c r="CP861" i="1"/>
  <c r="CO861" i="1"/>
  <c r="CT861" i="1"/>
  <c r="CS861" i="1"/>
  <c r="BY860" i="1"/>
  <c r="EP860" i="1" s="1"/>
  <c r="CQ538" i="1"/>
  <c r="CS863" i="1"/>
  <c r="CR861" i="1"/>
  <c r="BY862" i="1"/>
  <c r="EP862" i="1" s="1"/>
  <c r="CT862" i="1"/>
  <c r="CS724" i="1"/>
  <c r="CR724" i="1"/>
  <c r="CT764" i="1"/>
  <c r="CS764" i="1"/>
  <c r="CP764" i="1"/>
  <c r="CO764" i="1"/>
  <c r="CN833" i="1"/>
  <c r="BN833" i="1"/>
  <c r="BO833" i="1" s="1"/>
  <c r="CQ858" i="1"/>
  <c r="BY869" i="1"/>
  <c r="EP869" i="1" s="1"/>
  <c r="CT1030" i="1"/>
  <c r="BY1030" i="1"/>
  <c r="EP1030" i="1" s="1"/>
  <c r="BY1094" i="1"/>
  <c r="EP1094" i="1" s="1"/>
  <c r="CT1094" i="1"/>
  <c r="CS728" i="1"/>
  <c r="CV728" i="1" s="1"/>
  <c r="CP724" i="1"/>
  <c r="CT726" i="1"/>
  <c r="BY766" i="1"/>
  <c r="EP766" i="1" s="1"/>
  <c r="CR764" i="1"/>
  <c r="CS830" i="1"/>
  <c r="CR830" i="1"/>
  <c r="CR832" i="1"/>
  <c r="CP832" i="1"/>
  <c r="CO832" i="1"/>
  <c r="CS832" i="1"/>
  <c r="BY857" i="1"/>
  <c r="EP857" i="1" s="1"/>
  <c r="BY882" i="1"/>
  <c r="EP882" i="1" s="1"/>
  <c r="CT882" i="1"/>
  <c r="CQ1019" i="1"/>
  <c r="BY1037" i="1"/>
  <c r="EP1037" i="1" s="1"/>
  <c r="CT1037" i="1"/>
  <c r="BV831" i="1"/>
  <c r="BX831" i="1" s="1"/>
  <c r="BU832" i="1"/>
  <c r="CP858" i="1"/>
  <c r="CT870" i="1"/>
  <c r="CS881" i="1"/>
  <c r="CR881" i="1"/>
  <c r="CQ881" i="1"/>
  <c r="CS1027" i="1"/>
  <c r="CR1027" i="1"/>
  <c r="CQ1027" i="1"/>
  <c r="CO1027" i="1"/>
  <c r="CQ763" i="1"/>
  <c r="CP767" i="1"/>
  <c r="BN830" i="1"/>
  <c r="BO830" i="1" s="1"/>
  <c r="CQ830" i="1" s="1"/>
  <c r="BV832" i="1"/>
  <c r="BX832" i="1" s="1"/>
  <c r="CO881" i="1"/>
  <c r="CP1027" i="1"/>
  <c r="BY1019" i="1"/>
  <c r="EP1019" i="1" s="1"/>
  <c r="CR1587" i="1"/>
  <c r="CQ1587" i="1"/>
  <c r="CP1587" i="1"/>
  <c r="CO1587" i="1"/>
  <c r="CT1587" i="1"/>
  <c r="CS1587" i="1"/>
  <c r="BY880" i="1"/>
  <c r="EP880" i="1" s="1"/>
  <c r="CQ883" i="1"/>
  <c r="CP883" i="1"/>
  <c r="CO883" i="1"/>
  <c r="BY1031" i="1"/>
  <c r="EP1031" i="1" s="1"/>
  <c r="BY1032" i="1"/>
  <c r="EP1032" i="1" s="1"/>
  <c r="CT1032" i="1"/>
  <c r="CT1033" i="1"/>
  <c r="CS1033" i="1"/>
  <c r="CR1033" i="1"/>
  <c r="CQ1033" i="1"/>
  <c r="BY1018" i="1"/>
  <c r="EP1018" i="1" s="1"/>
  <c r="CT1018" i="1"/>
  <c r="CN851" i="1"/>
  <c r="CT867" i="1"/>
  <c r="CT859" i="1"/>
  <c r="CT880" i="1"/>
  <c r="CS880" i="1"/>
  <c r="CV880" i="1" s="1"/>
  <c r="CR883" i="1"/>
  <c r="BY885" i="1"/>
  <c r="EP885" i="1" s="1"/>
  <c r="BY963" i="1"/>
  <c r="EP963" i="1" s="1"/>
  <c r="CT963" i="1"/>
  <c r="CO1033" i="1"/>
  <c r="CT1034" i="1"/>
  <c r="CS1034" i="1"/>
  <c r="CR1034" i="1"/>
  <c r="CQ1034" i="1"/>
  <c r="CP1034" i="1"/>
  <c r="CS1015" i="1"/>
  <c r="CR1015" i="1"/>
  <c r="CQ1015" i="1"/>
  <c r="CP1015" i="1"/>
  <c r="CO1015" i="1"/>
  <c r="CQ1017" i="1"/>
  <c r="CT1098" i="1"/>
  <c r="BY858" i="1"/>
  <c r="EP858" i="1" s="1"/>
  <c r="BY865" i="1"/>
  <c r="EP865" i="1" s="1"/>
  <c r="CT865" i="1"/>
  <c r="CS883" i="1"/>
  <c r="CP1033" i="1"/>
  <c r="BY1023" i="1"/>
  <c r="EP1023" i="1" s="1"/>
  <c r="CT1023" i="1"/>
  <c r="BY1024" i="1"/>
  <c r="EP1024" i="1" s="1"/>
  <c r="CT1024" i="1"/>
  <c r="CQ1040" i="1"/>
  <c r="CP1040" i="1"/>
  <c r="CT1040" i="1"/>
  <c r="CS1040" i="1"/>
  <c r="CR1040" i="1"/>
  <c r="BN851" i="1"/>
  <c r="BO851" i="1" s="1"/>
  <c r="BY851" i="1" s="1"/>
  <c r="EP851" i="1" s="1"/>
  <c r="BY866" i="1"/>
  <c r="EP866" i="1" s="1"/>
  <c r="CT883" i="1"/>
  <c r="BY1038" i="1"/>
  <c r="EP1038" i="1" s="1"/>
  <c r="CO1040" i="1"/>
  <c r="CT1474" i="1"/>
  <c r="CR1474" i="1"/>
  <c r="CQ1474" i="1"/>
  <c r="CS1474" i="1"/>
  <c r="CT1533" i="1"/>
  <c r="BY1533" i="1"/>
  <c r="EP1533" i="1" s="1"/>
  <c r="BY1582" i="1"/>
  <c r="EP1582" i="1" s="1"/>
  <c r="CT1582" i="1"/>
  <c r="CP1025" i="1"/>
  <c r="CO1025" i="1"/>
  <c r="CT1025" i="1"/>
  <c r="CT1483" i="1"/>
  <c r="BY1483" i="1"/>
  <c r="EP1483" i="1" s="1"/>
  <c r="CT1530" i="1"/>
  <c r="CS1530" i="1"/>
  <c r="CV1530" i="1" s="1"/>
  <c r="CQ1530" i="1"/>
  <c r="CP1530" i="1"/>
  <c r="CO1530" i="1"/>
  <c r="BY1584" i="1"/>
  <c r="EP1584" i="1" s="1"/>
  <c r="CT1584" i="1"/>
  <c r="CT1592" i="1"/>
  <c r="CS1592" i="1"/>
  <c r="CR1592" i="1"/>
  <c r="CQ1592" i="1"/>
  <c r="CP1592" i="1"/>
  <c r="CO1592" i="1"/>
  <c r="BY1663" i="1"/>
  <c r="EP1663" i="1" s="1"/>
  <c r="CT1031" i="1"/>
  <c r="CT1026" i="1"/>
  <c r="CR1528" i="1"/>
  <c r="CQ1528" i="1"/>
  <c r="CO1528" i="1"/>
  <c r="CS1528" i="1"/>
  <c r="CP1528" i="1"/>
  <c r="BY1583" i="1"/>
  <c r="EP1583" i="1" s="1"/>
  <c r="BY1589" i="1"/>
  <c r="EP1589" i="1" s="1"/>
  <c r="CT1589" i="1"/>
  <c r="CT1586" i="1"/>
  <c r="CS1586" i="1"/>
  <c r="CR1586" i="1"/>
  <c r="CQ1586" i="1"/>
  <c r="CP1586" i="1"/>
  <c r="CO1586" i="1"/>
  <c r="BY1591" i="1"/>
  <c r="EP1591" i="1" s="1"/>
  <c r="CT1591" i="1"/>
  <c r="CT866" i="1"/>
  <c r="CN875" i="1"/>
  <c r="CP1028" i="1"/>
  <c r="CP1016" i="1"/>
  <c r="CO1017" i="1"/>
  <c r="CO1019" i="1"/>
  <c r="CR1025" i="1"/>
  <c r="BY1097" i="1"/>
  <c r="EP1097" i="1" s="1"/>
  <c r="CT1097" i="1"/>
  <c r="BY1475" i="1"/>
  <c r="EP1475" i="1" s="1"/>
  <c r="CN1482" i="1"/>
  <c r="BN1482" i="1"/>
  <c r="BO1482" i="1" s="1"/>
  <c r="BY1482" i="1" s="1"/>
  <c r="EP1482" i="1" s="1"/>
  <c r="BM1482" i="1"/>
  <c r="CT1528" i="1"/>
  <c r="BM875" i="1"/>
  <c r="CO885" i="1"/>
  <c r="CQ1028" i="1"/>
  <c r="CO1030" i="1"/>
  <c r="CQ1016" i="1"/>
  <c r="CP1017" i="1"/>
  <c r="CO1018" i="1"/>
  <c r="CP1019" i="1"/>
  <c r="CS1025" i="1"/>
  <c r="CV1025" i="1" s="1"/>
  <c r="CQ1098" i="1"/>
  <c r="CP1098" i="1"/>
  <c r="CO1098" i="1"/>
  <c r="CT1095" i="1"/>
  <c r="CS1095" i="1"/>
  <c r="CR1095" i="1"/>
  <c r="CP1095" i="1"/>
  <c r="CO1095" i="1"/>
  <c r="BY1477" i="1"/>
  <c r="EP1477" i="1" s="1"/>
  <c r="CQ1023" i="1"/>
  <c r="CQ1024" i="1"/>
  <c r="CP1024" i="1"/>
  <c r="CP1039" i="1"/>
  <c r="CO1039" i="1"/>
  <c r="CT1039" i="1"/>
  <c r="CR1098" i="1"/>
  <c r="CV1098" i="1" s="1"/>
  <c r="CQ1095" i="1"/>
  <c r="CT1477" i="1"/>
  <c r="CS1477" i="1"/>
  <c r="CR1477" i="1"/>
  <c r="CQ1477" i="1"/>
  <c r="CQ1096" i="1"/>
  <c r="CQ1476" i="1"/>
  <c r="CT1484" i="1"/>
  <c r="CT1580" i="1"/>
  <c r="CS1580" i="1"/>
  <c r="CR1580" i="1"/>
  <c r="CT1590" i="1"/>
  <c r="CS1590" i="1"/>
  <c r="CR1590" i="1"/>
  <c r="CQ1590" i="1"/>
  <c r="BY1586" i="1"/>
  <c r="EP1586" i="1" s="1"/>
  <c r="CT1096" i="1"/>
  <c r="CT1476" i="1"/>
  <c r="CR1485" i="1"/>
  <c r="CQ1485" i="1"/>
  <c r="CT1486" i="1"/>
  <c r="CR1486" i="1"/>
  <c r="CQ1531" i="1"/>
  <c r="CT1581" i="1"/>
  <c r="CP1580" i="1"/>
  <c r="CP1590" i="1"/>
  <c r="CQ1099" i="1"/>
  <c r="CQ1094" i="1"/>
  <c r="CQ1473" i="1"/>
  <c r="CT1481" i="1"/>
  <c r="BM1479" i="1"/>
  <c r="CS1485" i="1"/>
  <c r="CQ1486" i="1"/>
  <c r="CS1533" i="1"/>
  <c r="CR1533" i="1"/>
  <c r="CQ1533" i="1"/>
  <c r="CP1533" i="1"/>
  <c r="CQ1580" i="1"/>
  <c r="CQ1584" i="1"/>
  <c r="BY1664" i="1"/>
  <c r="EP1664" i="1" s="1"/>
  <c r="CR1473" i="1"/>
  <c r="CV1473" i="1" s="1"/>
  <c r="CN1480" i="1"/>
  <c r="CT1485" i="1"/>
  <c r="CS1486" i="1"/>
  <c r="CS1588" i="1"/>
  <c r="CR1588" i="1"/>
  <c r="CQ1588" i="1"/>
  <c r="CP1588" i="1"/>
  <c r="CT1664" i="1"/>
  <c r="CS1664" i="1"/>
  <c r="CR1664" i="1"/>
  <c r="CT1478" i="1"/>
  <c r="CR1478" i="1"/>
  <c r="BY1532" i="1"/>
  <c r="EP1532" i="1" s="1"/>
  <c r="CR1582" i="1"/>
  <c r="CV1582" i="1" s="1"/>
  <c r="CQ1582" i="1"/>
  <c r="CP1582" i="1"/>
  <c r="CO1582" i="1"/>
  <c r="BY1585" i="1"/>
  <c r="EP1585" i="1" s="1"/>
  <c r="CT1585" i="1"/>
  <c r="CT1532" i="1"/>
  <c r="CT1583" i="1"/>
  <c r="CN1663" i="1"/>
  <c r="CP1531" i="1"/>
  <c r="CO1581" i="1"/>
  <c r="CP1584" i="1"/>
  <c r="CO1589" i="1"/>
  <c r="BM1663" i="1"/>
  <c r="CS496" i="1" l="1"/>
  <c r="CP311" i="1"/>
  <c r="CU1532" i="1"/>
  <c r="CT496" i="1"/>
  <c r="CQ490" i="1"/>
  <c r="CT290" i="1"/>
  <c r="CU290" i="1" s="1"/>
  <c r="CU1099" i="1"/>
  <c r="CT302" i="1"/>
  <c r="CR521" i="1"/>
  <c r="CQ521" i="1"/>
  <c r="CQ493" i="1"/>
  <c r="CV497" i="1"/>
  <c r="CQ507" i="1"/>
  <c r="CS506" i="1"/>
  <c r="CV506" i="1" s="1"/>
  <c r="CU1016" i="1"/>
  <c r="CQ297" i="1"/>
  <c r="CQ491" i="1"/>
  <c r="CU491" i="1" s="1"/>
  <c r="CQ311" i="1"/>
  <c r="CV314" i="1"/>
  <c r="CP302" i="1"/>
  <c r="CS507" i="1"/>
  <c r="CV507" i="1" s="1"/>
  <c r="CQ539" i="1"/>
  <c r="CO496" i="1"/>
  <c r="CS539" i="1"/>
  <c r="CV539" i="1" s="1"/>
  <c r="CP496" i="1"/>
  <c r="CT539" i="1"/>
  <c r="CR496" i="1"/>
  <c r="CV496" i="1" s="1"/>
  <c r="CT507" i="1"/>
  <c r="BY501" i="1"/>
  <c r="EP501" i="1" s="1"/>
  <c r="CT339" i="1"/>
  <c r="BY502" i="1"/>
  <c r="EP502" i="1" s="1"/>
  <c r="CU1664" i="1"/>
  <c r="CQ535" i="1"/>
  <c r="CU535" i="1" s="1"/>
  <c r="CP492" i="1"/>
  <c r="BY507" i="1"/>
  <c r="EP507" i="1" s="1"/>
  <c r="CS303" i="1"/>
  <c r="CS339" i="1"/>
  <c r="CQ647" i="1"/>
  <c r="CT492" i="1"/>
  <c r="CQ489" i="1"/>
  <c r="CU489" i="1" s="1"/>
  <c r="CS647" i="1"/>
  <c r="CV647" i="1" s="1"/>
  <c r="CQ492" i="1"/>
  <c r="BY542" i="1"/>
  <c r="EP542" i="1" s="1"/>
  <c r="CT303" i="1"/>
  <c r="CT332" i="1"/>
  <c r="CQ339" i="1"/>
  <c r="CU339" i="1" s="1"/>
  <c r="CP339" i="1"/>
  <c r="CP647" i="1"/>
  <c r="CO332" i="1"/>
  <c r="CR303" i="1"/>
  <c r="CO647" i="1"/>
  <c r="CO492" i="1"/>
  <c r="BY461" i="1"/>
  <c r="EP461" i="1" s="1"/>
  <c r="CP303" i="1"/>
  <c r="CU304" i="1"/>
  <c r="CR339" i="1"/>
  <c r="CR492" i="1"/>
  <c r="CV492" i="1" s="1"/>
  <c r="CR331" i="1"/>
  <c r="CV300" i="1"/>
  <c r="CU963" i="1"/>
  <c r="BY833" i="1"/>
  <c r="EP833" i="1" s="1"/>
  <c r="CS493" i="1"/>
  <c r="CQ302" i="1"/>
  <c r="BY541" i="1"/>
  <c r="EP541" i="1" s="1"/>
  <c r="CV447" i="1"/>
  <c r="CT647" i="1"/>
  <c r="CO336" i="1"/>
  <c r="EP290" i="1"/>
  <c r="CP336" i="1"/>
  <c r="CQ336" i="1"/>
  <c r="CS298" i="1"/>
  <c r="CR308" i="1"/>
  <c r="CV290" i="1"/>
  <c r="CT308" i="1"/>
  <c r="CU308" i="1" s="1"/>
  <c r="CQ508" i="1"/>
  <c r="CR298" i="1"/>
  <c r="CR508" i="1"/>
  <c r="CS508" i="1"/>
  <c r="CS302" i="1"/>
  <c r="CT298" i="1"/>
  <c r="CQ317" i="1"/>
  <c r="CU317" i="1" s="1"/>
  <c r="CR463" i="1"/>
  <c r="EP644" i="1"/>
  <c r="CR493" i="1"/>
  <c r="CQ494" i="1"/>
  <c r="CU494" i="1" s="1"/>
  <c r="CS498" i="1"/>
  <c r="CO297" i="1"/>
  <c r="CS337" i="1"/>
  <c r="CV337" i="1" s="1"/>
  <c r="BY307" i="1"/>
  <c r="EP307" i="1" s="1"/>
  <c r="CQ303" i="1"/>
  <c r="CS311" i="1"/>
  <c r="CV311" i="1" s="1"/>
  <c r="CQ506" i="1"/>
  <c r="CO308" i="1"/>
  <c r="CT463" i="1"/>
  <c r="CU463" i="1" s="1"/>
  <c r="CS297" i="1"/>
  <c r="CR302" i="1"/>
  <c r="CS335" i="1"/>
  <c r="CV335" i="1" s="1"/>
  <c r="CU723" i="1"/>
  <c r="CT498" i="1"/>
  <c r="CU498" i="1" s="1"/>
  <c r="CU868" i="1"/>
  <c r="CO311" i="1"/>
  <c r="CT311" i="1"/>
  <c r="CS463" i="1"/>
  <c r="CT297" i="1"/>
  <c r="CU297" i="1" s="1"/>
  <c r="BY646" i="1"/>
  <c r="EP646" i="1" s="1"/>
  <c r="CP493" i="1"/>
  <c r="CP498" i="1"/>
  <c r="CQ298" i="1"/>
  <c r="CP298" i="1"/>
  <c r="CO498" i="1"/>
  <c r="CR498" i="1"/>
  <c r="BY645" i="1"/>
  <c r="EP645" i="1" s="1"/>
  <c r="CU866" i="1"/>
  <c r="CU401" i="1"/>
  <c r="CU1591" i="1"/>
  <c r="CU1589" i="1"/>
  <c r="CQ309" i="1"/>
  <c r="CU309" i="1" s="1"/>
  <c r="CT493" i="1"/>
  <c r="CT485" i="1"/>
  <c r="CT336" i="1"/>
  <c r="CR297" i="1"/>
  <c r="CR336" i="1"/>
  <c r="CV336" i="1" s="1"/>
  <c r="CU646" i="1"/>
  <c r="CV1032" i="1"/>
  <c r="CS331" i="1"/>
  <c r="CT331" i="1"/>
  <c r="CP331" i="1"/>
  <c r="CQ331" i="1"/>
  <c r="BY506" i="1"/>
  <c r="EP506" i="1" s="1"/>
  <c r="CQ332" i="1"/>
  <c r="CR332" i="1"/>
  <c r="CV332" i="1" s="1"/>
  <c r="CU1019" i="1"/>
  <c r="CP332" i="1"/>
  <c r="CU766" i="1"/>
  <c r="CT765" i="1"/>
  <c r="CP765" i="1"/>
  <c r="CU1031" i="1"/>
  <c r="CU436" i="1"/>
  <c r="CP308" i="1"/>
  <c r="CV1591" i="1"/>
  <c r="CS308" i="1"/>
  <c r="CU402" i="1"/>
  <c r="CU528" i="1"/>
  <c r="CQ495" i="1"/>
  <c r="CU495" i="1" s="1"/>
  <c r="CO337" i="1"/>
  <c r="CP335" i="1"/>
  <c r="CU315" i="1"/>
  <c r="CV831" i="1"/>
  <c r="CT335" i="1"/>
  <c r="CP337" i="1"/>
  <c r="CQ335" i="1"/>
  <c r="CT337" i="1"/>
  <c r="CO335" i="1"/>
  <c r="BY503" i="1"/>
  <c r="EP503" i="1" s="1"/>
  <c r="CQ337" i="1"/>
  <c r="BY462" i="1"/>
  <c r="EP462" i="1" s="1"/>
  <c r="CQ485" i="1"/>
  <c r="CR485" i="1"/>
  <c r="CV485" i="1" s="1"/>
  <c r="CU882" i="1"/>
  <c r="CQ462" i="1"/>
  <c r="CS462" i="1"/>
  <c r="CV462" i="1" s="1"/>
  <c r="CQ497" i="1"/>
  <c r="CU497" i="1" s="1"/>
  <c r="CU880" i="1"/>
  <c r="CR522" i="1"/>
  <c r="CV766" i="1"/>
  <c r="CV371" i="1"/>
  <c r="CU1481" i="1"/>
  <c r="CU1529" i="1"/>
  <c r="CV325" i="1"/>
  <c r="CT487" i="1"/>
  <c r="CQ487" i="1"/>
  <c r="BY464" i="1"/>
  <c r="EP464" i="1" s="1"/>
  <c r="CP852" i="1"/>
  <c r="CR852" i="1"/>
  <c r="CV852" i="1" s="1"/>
  <c r="CV379" i="1"/>
  <c r="CV375" i="1"/>
  <c r="CU1583" i="1"/>
  <c r="CS522" i="1"/>
  <c r="CU490" i="1"/>
  <c r="CO338" i="1"/>
  <c r="CU299" i="1"/>
  <c r="CR296" i="1"/>
  <c r="CP338" i="1"/>
  <c r="CU1038" i="1"/>
  <c r="CO296" i="1"/>
  <c r="CP296" i="1"/>
  <c r="CT338" i="1"/>
  <c r="CU338" i="1" s="1"/>
  <c r="CV501" i="1"/>
  <c r="CV299" i="1"/>
  <c r="CU1588" i="1"/>
  <c r="CO487" i="1"/>
  <c r="CT296" i="1"/>
  <c r="CU296" i="1" s="1"/>
  <c r="CS296" i="1"/>
  <c r="CR338" i="1"/>
  <c r="CS338" i="1"/>
  <c r="CU857" i="1"/>
  <c r="CU369" i="1"/>
  <c r="CT876" i="1"/>
  <c r="CP487" i="1"/>
  <c r="CV763" i="1"/>
  <c r="CV304" i="1"/>
  <c r="CU536" i="1"/>
  <c r="CQ876" i="1"/>
  <c r="CR876" i="1"/>
  <c r="CO488" i="1"/>
  <c r="CP488" i="1"/>
  <c r="BY832" i="1"/>
  <c r="EP832" i="1" s="1"/>
  <c r="CS488" i="1"/>
  <c r="CQ518" i="1"/>
  <c r="CU518" i="1" s="1"/>
  <c r="CR487" i="1"/>
  <c r="CV487" i="1" s="1"/>
  <c r="CU439" i="1"/>
  <c r="CT506" i="1"/>
  <c r="CQ509" i="1"/>
  <c r="CV406" i="1"/>
  <c r="CU530" i="1"/>
  <c r="CS876" i="1"/>
  <c r="CR509" i="1"/>
  <c r="CV509" i="1" s="1"/>
  <c r="CP876" i="1"/>
  <c r="CR488" i="1"/>
  <c r="CQ765" i="1"/>
  <c r="CU445" i="1"/>
  <c r="CT509" i="1"/>
  <c r="CT488" i="1"/>
  <c r="CU488" i="1" s="1"/>
  <c r="CO765" i="1"/>
  <c r="CU447" i="1"/>
  <c r="CQ519" i="1"/>
  <c r="CO852" i="1"/>
  <c r="CU767" i="1"/>
  <c r="CU441" i="1"/>
  <c r="CV1478" i="1"/>
  <c r="CR1479" i="1"/>
  <c r="CQ1479" i="1"/>
  <c r="CU1479" i="1" s="1"/>
  <c r="CS1479" i="1"/>
  <c r="CT852" i="1"/>
  <c r="CU1032" i="1"/>
  <c r="CU864" i="1"/>
  <c r="CU533" i="1"/>
  <c r="CU406" i="1"/>
  <c r="CU1027" i="1"/>
  <c r="CU1025" i="1"/>
  <c r="CU1030" i="1"/>
  <c r="CU764" i="1"/>
  <c r="CU404" i="1"/>
  <c r="CU721" i="1"/>
  <c r="CV767" i="1"/>
  <c r="CV528" i="1"/>
  <c r="CU726" i="1"/>
  <c r="CV885" i="1"/>
  <c r="CV882" i="1"/>
  <c r="CU860" i="1"/>
  <c r="CU883" i="1"/>
  <c r="CV445" i="1"/>
  <c r="CV863" i="1"/>
  <c r="CU531" i="1"/>
  <c r="CV446" i="1"/>
  <c r="CU1096" i="1"/>
  <c r="CV1581" i="1"/>
  <c r="CV1038" i="1"/>
  <c r="CU858" i="1"/>
  <c r="CV646" i="1"/>
  <c r="CU1586" i="1"/>
  <c r="EP509" i="1"/>
  <c r="CU501" i="1"/>
  <c r="CU305" i="1"/>
  <c r="CV441" i="1"/>
  <c r="CV444" i="1"/>
  <c r="CT293" i="1"/>
  <c r="CU293" i="1" s="1"/>
  <c r="CU399" i="1"/>
  <c r="CV1030" i="1"/>
  <c r="CV1532" i="1"/>
  <c r="CV1589" i="1"/>
  <c r="CU1531" i="1"/>
  <c r="CU859" i="1"/>
  <c r="CU300" i="1"/>
  <c r="CU862" i="1"/>
  <c r="CU1473" i="1"/>
  <c r="CV464" i="1"/>
  <c r="CT521" i="1"/>
  <c r="CU442" i="1"/>
  <c r="CR520" i="1"/>
  <c r="CV520" i="1" s="1"/>
  <c r="CQ520" i="1"/>
  <c r="CV533" i="1"/>
  <c r="CS519" i="1"/>
  <c r="CV519" i="1" s="1"/>
  <c r="CV1037" i="1"/>
  <c r="CV1483" i="1"/>
  <c r="CV369" i="1"/>
  <c r="CU1581" i="1"/>
  <c r="CU870" i="1"/>
  <c r="CU881" i="1"/>
  <c r="CQ461" i="1"/>
  <c r="CU461" i="1" s="1"/>
  <c r="CU374" i="1"/>
  <c r="CU379" i="1"/>
  <c r="CU1484" i="1"/>
  <c r="CU644" i="1"/>
  <c r="CU867" i="1"/>
  <c r="CT519" i="1"/>
  <c r="CV293" i="1"/>
  <c r="CQ301" i="1"/>
  <c r="CU301" i="1" s="1"/>
  <c r="CV442" i="1"/>
  <c r="CV725" i="1"/>
  <c r="CT464" i="1"/>
  <c r="CU464" i="1" s="1"/>
  <c r="CT522" i="1"/>
  <c r="CU522" i="1" s="1"/>
  <c r="CQ852" i="1"/>
  <c r="CU1483" i="1"/>
  <c r="CU1585" i="1"/>
  <c r="CT520" i="1"/>
  <c r="CU322" i="1"/>
  <c r="CU1023" i="1"/>
  <c r="CU1018" i="1"/>
  <c r="CU763" i="1"/>
  <c r="CU1037" i="1"/>
  <c r="CS765" i="1"/>
  <c r="CV765" i="1" s="1"/>
  <c r="CV502" i="1"/>
  <c r="CS521" i="1"/>
  <c r="CV521" i="1" s="1"/>
  <c r="CU725" i="1"/>
  <c r="CV307" i="1"/>
  <c r="CV438" i="1"/>
  <c r="CU724" i="1"/>
  <c r="CV439" i="1"/>
  <c r="CV1585" i="1"/>
  <c r="CV490" i="1"/>
  <c r="CV1031" i="1"/>
  <c r="CU1017" i="1"/>
  <c r="CU376" i="1"/>
  <c r="CU532" i="1"/>
  <c r="CU1039" i="1"/>
  <c r="CU1475" i="1"/>
  <c r="CS527" i="1"/>
  <c r="CV527" i="1" s="1"/>
  <c r="CV858" i="1"/>
  <c r="CU1097" i="1"/>
  <c r="CV404" i="1"/>
  <c r="CT527" i="1"/>
  <c r="CU527" i="1" s="1"/>
  <c r="CU1582" i="1"/>
  <c r="CV861" i="1"/>
  <c r="CV495" i="1"/>
  <c r="CU326" i="1"/>
  <c r="CV323" i="1"/>
  <c r="CU405" i="1"/>
  <c r="CU1026" i="1"/>
  <c r="CQ517" i="1"/>
  <c r="CU517" i="1" s="1"/>
  <c r="EP293" i="1"/>
  <c r="CV399" i="1"/>
  <c r="CV310" i="1"/>
  <c r="CU375" i="1"/>
  <c r="CV964" i="1"/>
  <c r="CT462" i="1"/>
  <c r="CU1485" i="1"/>
  <c r="CU534" i="1"/>
  <c r="CV292" i="1"/>
  <c r="CV377" i="1"/>
  <c r="CV1018" i="1"/>
  <c r="CV1584" i="1"/>
  <c r="CU440" i="1"/>
  <c r="CV373" i="1"/>
  <c r="CU403" i="1"/>
  <c r="CU1021" i="1"/>
  <c r="CV727" i="1"/>
  <c r="CV461" i="1"/>
  <c r="CV489" i="1"/>
  <c r="CU400" i="1"/>
  <c r="CU310" i="1"/>
  <c r="CV1529" i="1"/>
  <c r="CU1477" i="1"/>
  <c r="CU1592" i="1"/>
  <c r="CU1094" i="1"/>
  <c r="CU1028" i="1"/>
  <c r="CV321" i="1"/>
  <c r="CQ1478" i="1"/>
  <c r="CU1478" i="1" s="1"/>
  <c r="CV1588" i="1"/>
  <c r="CU1533" i="1"/>
  <c r="CV883" i="1"/>
  <c r="CV1587" i="1"/>
  <c r="CU861" i="1"/>
  <c r="CU443" i="1"/>
  <c r="CU503" i="1"/>
  <c r="BY465" i="1"/>
  <c r="EP465" i="1" s="1"/>
  <c r="CU377" i="1"/>
  <c r="CU885" i="1"/>
  <c r="CV1592" i="1"/>
  <c r="CV403" i="1"/>
  <c r="CU371" i="1"/>
  <c r="CV1477" i="1"/>
  <c r="CV1664" i="1"/>
  <c r="CV1486" i="1"/>
  <c r="CV1485" i="1"/>
  <c r="CU865" i="1"/>
  <c r="CT832" i="1"/>
  <c r="CU832" i="1" s="1"/>
  <c r="CU529" i="1"/>
  <c r="CV1022" i="1"/>
  <c r="CU1020" i="1"/>
  <c r="CV291" i="1"/>
  <c r="CQ312" i="1"/>
  <c r="CU312" i="1" s="1"/>
  <c r="CU964" i="1"/>
  <c r="CV530" i="1"/>
  <c r="CV437" i="1"/>
  <c r="CU438" i="1"/>
  <c r="CU728" i="1"/>
  <c r="CU869" i="1"/>
  <c r="CU1034" i="1"/>
  <c r="CU830" i="1"/>
  <c r="CV1533" i="1"/>
  <c r="CV1580" i="1"/>
  <c r="CV1095" i="1"/>
  <c r="CV1528" i="1"/>
  <c r="CV1474" i="1"/>
  <c r="CO851" i="1"/>
  <c r="CQ851" i="1"/>
  <c r="CP851" i="1"/>
  <c r="CT851" i="1"/>
  <c r="CS851" i="1"/>
  <c r="CR851" i="1"/>
  <c r="CV832" i="1"/>
  <c r="CV724" i="1"/>
  <c r="CU829" i="1"/>
  <c r="CR525" i="1"/>
  <c r="CT525" i="1"/>
  <c r="CS525" i="1"/>
  <c r="CQ525" i="1"/>
  <c r="CV517" i="1"/>
  <c r="CU437" i="1"/>
  <c r="CU444" i="1"/>
  <c r="CS465" i="1"/>
  <c r="CQ465" i="1"/>
  <c r="CR465" i="1"/>
  <c r="CT465" i="1"/>
  <c r="CS330" i="1"/>
  <c r="CT330" i="1"/>
  <c r="CR330" i="1"/>
  <c r="CP330" i="1"/>
  <c r="CQ330" i="1"/>
  <c r="CO330" i="1"/>
  <c r="CT292" i="1"/>
  <c r="CU292" i="1" s="1"/>
  <c r="CU378" i="1"/>
  <c r="CV320" i="1"/>
  <c r="CU372" i="1"/>
  <c r="CP1663" i="1"/>
  <c r="CO1663" i="1"/>
  <c r="CS1663" i="1"/>
  <c r="CR1663" i="1"/>
  <c r="CQ1663" i="1"/>
  <c r="CT1663" i="1"/>
  <c r="CU1580" i="1"/>
  <c r="CU1095" i="1"/>
  <c r="CQ1482" i="1"/>
  <c r="CT1482" i="1"/>
  <c r="CS1482" i="1"/>
  <c r="CR1482" i="1"/>
  <c r="CT831" i="1"/>
  <c r="CU831" i="1" s="1"/>
  <c r="BY831" i="1"/>
  <c r="EP831" i="1" s="1"/>
  <c r="CV1021" i="1"/>
  <c r="CU863" i="1"/>
  <c r="CT523" i="1"/>
  <c r="CS523" i="1"/>
  <c r="CR523" i="1"/>
  <c r="CQ523" i="1"/>
  <c r="CV503" i="1"/>
  <c r="CQ328" i="1"/>
  <c r="CT328" i="1"/>
  <c r="CS328" i="1"/>
  <c r="CR328" i="1"/>
  <c r="CO328" i="1"/>
  <c r="CP328" i="1"/>
  <c r="CU321" i="1"/>
  <c r="CV313" i="1"/>
  <c r="CU320" i="1"/>
  <c r="CU325" i="1"/>
  <c r="BY313" i="1"/>
  <c r="EP313" i="1" s="1"/>
  <c r="CQ524" i="1"/>
  <c r="CR524" i="1"/>
  <c r="CT524" i="1"/>
  <c r="CS524" i="1"/>
  <c r="CU1486" i="1"/>
  <c r="CP875" i="1"/>
  <c r="CO875" i="1"/>
  <c r="CT875" i="1"/>
  <c r="CR875" i="1"/>
  <c r="CQ875" i="1"/>
  <c r="CS875" i="1"/>
  <c r="CV1586" i="1"/>
  <c r="CU1024" i="1"/>
  <c r="CU1098" i="1"/>
  <c r="CV1015" i="1"/>
  <c r="CV881" i="1"/>
  <c r="CS833" i="1"/>
  <c r="CR833" i="1"/>
  <c r="CQ833" i="1"/>
  <c r="CT833" i="1"/>
  <c r="CP833" i="1"/>
  <c r="CO833" i="1"/>
  <c r="CT537" i="1"/>
  <c r="CS537" i="1"/>
  <c r="CR537" i="1"/>
  <c r="CQ537" i="1"/>
  <c r="CT722" i="1"/>
  <c r="CQ722" i="1"/>
  <c r="CO722" i="1"/>
  <c r="CS722" i="1"/>
  <c r="CR722" i="1"/>
  <c r="CP722" i="1"/>
  <c r="CV529" i="1"/>
  <c r="CV400" i="1"/>
  <c r="CT542" i="1"/>
  <c r="CR542" i="1"/>
  <c r="CQ542" i="1"/>
  <c r="CP542" i="1"/>
  <c r="CO542" i="1"/>
  <c r="CS542" i="1"/>
  <c r="CV436" i="1"/>
  <c r="CU502" i="1"/>
  <c r="CU313" i="1"/>
  <c r="CU380" i="1"/>
  <c r="CU1474" i="1"/>
  <c r="CU1015" i="1"/>
  <c r="CP720" i="1"/>
  <c r="CT720" i="1"/>
  <c r="CS720" i="1"/>
  <c r="CR720" i="1"/>
  <c r="CQ720" i="1"/>
  <c r="CO720" i="1"/>
  <c r="EP463" i="1"/>
  <c r="CT516" i="1"/>
  <c r="CQ516" i="1"/>
  <c r="CR516" i="1"/>
  <c r="CS516" i="1"/>
  <c r="CV1020" i="1"/>
  <c r="CR333" i="1"/>
  <c r="CQ333" i="1"/>
  <c r="CP333" i="1"/>
  <c r="CO333" i="1"/>
  <c r="CT333" i="1"/>
  <c r="CS333" i="1"/>
  <c r="BY508" i="1"/>
  <c r="EP508" i="1" s="1"/>
  <c r="CT508" i="1"/>
  <c r="CU446" i="1"/>
  <c r="CT327" i="1"/>
  <c r="CR327" i="1"/>
  <c r="CS327" i="1"/>
  <c r="CO327" i="1"/>
  <c r="CP327" i="1"/>
  <c r="CQ327" i="1"/>
  <c r="CV316" i="1"/>
  <c r="CV518" i="1"/>
  <c r="BY316" i="1"/>
  <c r="CU316" i="1"/>
  <c r="CS1480" i="1"/>
  <c r="CQ1480" i="1"/>
  <c r="CT1480" i="1"/>
  <c r="CR1480" i="1"/>
  <c r="CV1590" i="1"/>
  <c r="CU1530" i="1"/>
  <c r="CV1040" i="1"/>
  <c r="CV1033" i="1"/>
  <c r="CV764" i="1"/>
  <c r="CV1029" i="1"/>
  <c r="BY830" i="1"/>
  <c r="EP830" i="1" s="1"/>
  <c r="CV535" i="1"/>
  <c r="CU727" i="1"/>
  <c r="CU1022" i="1"/>
  <c r="CS645" i="1"/>
  <c r="CR645" i="1"/>
  <c r="CQ645" i="1"/>
  <c r="CP645" i="1"/>
  <c r="CO645" i="1"/>
  <c r="CT645" i="1"/>
  <c r="CU314" i="1"/>
  <c r="CV378" i="1"/>
  <c r="CV312" i="1"/>
  <c r="CU373" i="1"/>
  <c r="CU307" i="1"/>
  <c r="CV324" i="1"/>
  <c r="CQ486" i="1"/>
  <c r="CS486" i="1"/>
  <c r="CT486" i="1"/>
  <c r="CR486" i="1"/>
  <c r="CT648" i="1"/>
  <c r="CS648" i="1"/>
  <c r="CR648" i="1"/>
  <c r="CQ648" i="1"/>
  <c r="CP648" i="1"/>
  <c r="CO648" i="1"/>
  <c r="CS526" i="1"/>
  <c r="CR526" i="1"/>
  <c r="CT526" i="1"/>
  <c r="CU526" i="1" s="1"/>
  <c r="CR541" i="1"/>
  <c r="CP541" i="1"/>
  <c r="CO541" i="1"/>
  <c r="CT541" i="1"/>
  <c r="CS541" i="1"/>
  <c r="CQ541" i="1"/>
  <c r="CS318" i="1"/>
  <c r="CQ318" i="1"/>
  <c r="CP318" i="1"/>
  <c r="CO318" i="1"/>
  <c r="CR318" i="1"/>
  <c r="CT318" i="1"/>
  <c r="BY291" i="1"/>
  <c r="EP291" i="1" s="1"/>
  <c r="CT291" i="1"/>
  <c r="CU291" i="1" s="1"/>
  <c r="CU1476" i="1"/>
  <c r="CU1590" i="1"/>
  <c r="CU1528" i="1"/>
  <c r="CU1584" i="1"/>
  <c r="CU1040" i="1"/>
  <c r="CV1034" i="1"/>
  <c r="CU1033" i="1"/>
  <c r="CU1587" i="1"/>
  <c r="CV1027" i="1"/>
  <c r="CV830" i="1"/>
  <c r="CU1029" i="1"/>
  <c r="CU538" i="1"/>
  <c r="CU496" i="1"/>
  <c r="CV534" i="1"/>
  <c r="CV380" i="1"/>
  <c r="CQ306" i="1"/>
  <c r="CP306" i="1"/>
  <c r="CO306" i="1"/>
  <c r="CR306" i="1"/>
  <c r="CT306" i="1"/>
  <c r="CS306" i="1"/>
  <c r="CO334" i="1"/>
  <c r="CQ334" i="1"/>
  <c r="CP334" i="1"/>
  <c r="CS334" i="1"/>
  <c r="CT334" i="1"/>
  <c r="CR334" i="1"/>
  <c r="CU370" i="1"/>
  <c r="CV370" i="1"/>
  <c r="CT329" i="1"/>
  <c r="CS329" i="1"/>
  <c r="CR329" i="1"/>
  <c r="CQ329" i="1"/>
  <c r="CP329" i="1"/>
  <c r="CO329" i="1"/>
  <c r="EP292" i="1"/>
  <c r="CU324" i="1"/>
  <c r="CU323" i="1"/>
  <c r="CU319" i="1"/>
  <c r="CU302" i="1" l="1"/>
  <c r="CU493" i="1"/>
  <c r="CU521" i="1"/>
  <c r="CU539" i="1"/>
  <c r="CU507" i="1"/>
  <c r="CV498" i="1"/>
  <c r="CU311" i="1"/>
  <c r="CU492" i="1"/>
  <c r="CV508" i="1"/>
  <c r="CV493" i="1"/>
  <c r="CU647" i="1"/>
  <c r="CV308" i="1"/>
  <c r="CV303" i="1"/>
  <c r="CU332" i="1"/>
  <c r="CV339" i="1"/>
  <c r="CU303" i="1"/>
  <c r="CU298" i="1"/>
  <c r="CV331" i="1"/>
  <c r="CV302" i="1"/>
  <c r="CV298" i="1"/>
  <c r="CU506" i="1"/>
  <c r="CV522" i="1"/>
  <c r="CU508" i="1"/>
  <c r="CU331" i="1"/>
  <c r="CU485" i="1"/>
  <c r="CU336" i="1"/>
  <c r="CV463" i="1"/>
  <c r="CV297" i="1"/>
  <c r="CU852" i="1"/>
  <c r="CU765" i="1"/>
  <c r="CU462" i="1"/>
  <c r="CU335" i="1"/>
  <c r="CU337" i="1"/>
  <c r="CU509" i="1"/>
  <c r="CV296" i="1"/>
  <c r="CU487" i="1"/>
  <c r="CU876" i="1"/>
  <c r="CV338" i="1"/>
  <c r="CU519" i="1"/>
  <c r="CV876" i="1"/>
  <c r="CV488" i="1"/>
  <c r="CV1479" i="1"/>
  <c r="CU520" i="1"/>
  <c r="CV1482" i="1"/>
  <c r="CV1663" i="1"/>
  <c r="CV525" i="1"/>
  <c r="CV875" i="1"/>
  <c r="CU523" i="1"/>
  <c r="CU329" i="1"/>
  <c r="CV334" i="1"/>
  <c r="CU318" i="1"/>
  <c r="CU541" i="1"/>
  <c r="CU645" i="1"/>
  <c r="CU524" i="1"/>
  <c r="CU328" i="1"/>
  <c r="CV542" i="1"/>
  <c r="CU851" i="1"/>
  <c r="CV306" i="1"/>
  <c r="CU1480" i="1"/>
  <c r="CU1663" i="1"/>
  <c r="CV327" i="1"/>
  <c r="CU465" i="1"/>
  <c r="CV516" i="1"/>
  <c r="CV526" i="1"/>
  <c r="CU833" i="1"/>
  <c r="CV524" i="1"/>
  <c r="CV328" i="1"/>
  <c r="CV465" i="1"/>
  <c r="CU516" i="1"/>
  <c r="CU330" i="1"/>
  <c r="CU648" i="1"/>
  <c r="CV1480" i="1"/>
  <c r="CV333" i="1"/>
  <c r="CV537" i="1"/>
  <c r="CU875" i="1"/>
  <c r="CV330" i="1"/>
  <c r="CU525" i="1"/>
  <c r="CU306" i="1"/>
  <c r="CV318" i="1"/>
  <c r="CV645" i="1"/>
  <c r="CU333" i="1"/>
  <c r="CU537" i="1"/>
  <c r="CU722" i="1"/>
  <c r="CU486" i="1"/>
  <c r="CV720" i="1"/>
  <c r="CV722" i="1"/>
  <c r="CV648" i="1"/>
  <c r="CV833" i="1"/>
  <c r="CV851" i="1"/>
  <c r="CV329" i="1"/>
  <c r="CU334" i="1"/>
  <c r="CV541" i="1"/>
  <c r="CV486" i="1"/>
  <c r="CU327" i="1"/>
  <c r="CU720" i="1"/>
  <c r="CU542" i="1"/>
  <c r="CV523" i="1"/>
  <c r="CU1482" i="1"/>
  <c r="EM1156" i="1" l="1"/>
  <c r="DU1156" i="1"/>
  <c r="DT1156" i="1"/>
  <c r="DN1156" i="1"/>
  <c r="DM1156" i="1"/>
  <c r="DL1156" i="1"/>
  <c r="DK1156" i="1"/>
  <c r="DI1156" i="1"/>
  <c r="DJ1156" i="1" s="1"/>
  <c r="DC1156" i="1"/>
  <c r="CX1156" i="1"/>
  <c r="CN1156" i="1"/>
  <c r="BV1156" i="1"/>
  <c r="BX1156" i="1" s="1"/>
  <c r="BO1156" i="1"/>
  <c r="BN1156" i="1"/>
  <c r="BM1156" i="1"/>
  <c r="BD1156" i="1"/>
  <c r="BC1156" i="1"/>
  <c r="BB1156" i="1"/>
  <c r="BA1156" i="1"/>
  <c r="AZ1156" i="1"/>
  <c r="AY1156" i="1"/>
  <c r="AX1156" i="1"/>
  <c r="M1156" i="1"/>
  <c r="EM1157" i="1"/>
  <c r="DU1157" i="1"/>
  <c r="DT1157" i="1"/>
  <c r="DN1157" i="1"/>
  <c r="DM1157" i="1"/>
  <c r="DL1157" i="1"/>
  <c r="DK1157" i="1"/>
  <c r="DI1157" i="1"/>
  <c r="DJ1157" i="1" s="1"/>
  <c r="DC1157" i="1"/>
  <c r="CX1157" i="1"/>
  <c r="CN1157" i="1"/>
  <c r="BV1157" i="1"/>
  <c r="BX1157" i="1" s="1"/>
  <c r="BO1157" i="1"/>
  <c r="BN1157" i="1"/>
  <c r="BM1157" i="1"/>
  <c r="BD1157" i="1"/>
  <c r="BC1157" i="1"/>
  <c r="BB1157" i="1"/>
  <c r="BA1157" i="1"/>
  <c r="AZ1157" i="1"/>
  <c r="AY1157" i="1"/>
  <c r="AX1157" i="1"/>
  <c r="M1157" i="1"/>
  <c r="EM850" i="1"/>
  <c r="DU850" i="1"/>
  <c r="DT850" i="1"/>
  <c r="DN850" i="1"/>
  <c r="DM850" i="1"/>
  <c r="DL850" i="1"/>
  <c r="DK850" i="1"/>
  <c r="DI850" i="1"/>
  <c r="DJ850" i="1" s="1"/>
  <c r="DC850" i="1"/>
  <c r="CX850" i="1"/>
  <c r="CN850" i="1"/>
  <c r="CR850" i="1" s="1"/>
  <c r="BV850" i="1"/>
  <c r="BX850" i="1" s="1"/>
  <c r="BU850" i="1"/>
  <c r="BN850" i="1"/>
  <c r="BO850" i="1" s="1"/>
  <c r="BM850" i="1"/>
  <c r="BD850" i="1"/>
  <c r="BC850" i="1"/>
  <c r="BB850" i="1"/>
  <c r="BA850" i="1"/>
  <c r="AZ850" i="1"/>
  <c r="AY850" i="1"/>
  <c r="AX850" i="1"/>
  <c r="M850" i="1"/>
  <c r="EM845" i="1"/>
  <c r="DU845" i="1"/>
  <c r="DT845" i="1"/>
  <c r="DN845" i="1"/>
  <c r="DM845" i="1"/>
  <c r="DL845" i="1"/>
  <c r="DK845" i="1"/>
  <c r="DI845" i="1"/>
  <c r="DJ845" i="1" s="1"/>
  <c r="DC845" i="1"/>
  <c r="CX845" i="1"/>
  <c r="CN845" i="1"/>
  <c r="CP845" i="1" s="1"/>
  <c r="BV845" i="1"/>
  <c r="BX845" i="1" s="1"/>
  <c r="BU845" i="1"/>
  <c r="BN845" i="1"/>
  <c r="BO845" i="1" s="1"/>
  <c r="BM845" i="1"/>
  <c r="BD845" i="1"/>
  <c r="BC845" i="1"/>
  <c r="BB845" i="1"/>
  <c r="BA845" i="1"/>
  <c r="AZ845" i="1"/>
  <c r="AY845" i="1"/>
  <c r="AX845" i="1"/>
  <c r="M845" i="1"/>
  <c r="EM848" i="1"/>
  <c r="DU848" i="1"/>
  <c r="DT848" i="1"/>
  <c r="DN848" i="1"/>
  <c r="DM848" i="1"/>
  <c r="DL848" i="1"/>
  <c r="DK848" i="1"/>
  <c r="DI848" i="1"/>
  <c r="DJ848" i="1" s="1"/>
  <c r="DC848" i="1"/>
  <c r="CX848" i="1"/>
  <c r="CN848" i="1"/>
  <c r="CR848" i="1" s="1"/>
  <c r="BV848" i="1"/>
  <c r="BX848" i="1" s="1"/>
  <c r="BU848" i="1"/>
  <c r="BN848" i="1"/>
  <c r="BO848" i="1" s="1"/>
  <c r="BM848" i="1"/>
  <c r="BD848" i="1"/>
  <c r="BC848" i="1"/>
  <c r="BB848" i="1"/>
  <c r="BA848" i="1"/>
  <c r="AZ848" i="1"/>
  <c r="BF848" i="1" s="1" a="1"/>
  <c r="BF848" i="1" s="1"/>
  <c r="AY848" i="1"/>
  <c r="AX848" i="1"/>
  <c r="M848" i="1"/>
  <c r="EM846" i="1"/>
  <c r="DU846" i="1"/>
  <c r="DT846" i="1"/>
  <c r="DN846" i="1"/>
  <c r="DM846" i="1"/>
  <c r="DL846" i="1"/>
  <c r="DK846" i="1"/>
  <c r="DI846" i="1"/>
  <c r="DJ846" i="1" s="1"/>
  <c r="DC846" i="1"/>
  <c r="CX846" i="1"/>
  <c r="CN846" i="1"/>
  <c r="BV846" i="1"/>
  <c r="BX846" i="1" s="1"/>
  <c r="BU846" i="1"/>
  <c r="BN846" i="1"/>
  <c r="BO846" i="1" s="1"/>
  <c r="BM846" i="1"/>
  <c r="BD846" i="1"/>
  <c r="BC846" i="1"/>
  <c r="BB846" i="1"/>
  <c r="BA846" i="1"/>
  <c r="AZ846" i="1"/>
  <c r="AY846" i="1"/>
  <c r="AX846" i="1"/>
  <c r="M846" i="1"/>
  <c r="EM849" i="1"/>
  <c r="DU849" i="1"/>
  <c r="DT849" i="1"/>
  <c r="DN849" i="1"/>
  <c r="DM849" i="1"/>
  <c r="DL849" i="1"/>
  <c r="DK849" i="1"/>
  <c r="DI849" i="1"/>
  <c r="DJ849" i="1" s="1"/>
  <c r="DC849" i="1"/>
  <c r="CX849" i="1"/>
  <c r="CN849" i="1"/>
  <c r="CS849" i="1" s="1"/>
  <c r="BV849" i="1"/>
  <c r="BX849" i="1" s="1"/>
  <c r="BU849" i="1"/>
  <c r="BN849" i="1"/>
  <c r="BO849" i="1" s="1"/>
  <c r="BM849" i="1"/>
  <c r="BD849" i="1"/>
  <c r="BC849" i="1"/>
  <c r="BB849" i="1"/>
  <c r="BA849" i="1"/>
  <c r="AZ849" i="1"/>
  <c r="AY849" i="1"/>
  <c r="AX849" i="1"/>
  <c r="M849" i="1"/>
  <c r="EM847" i="1"/>
  <c r="DU847" i="1"/>
  <c r="DT847" i="1"/>
  <c r="DN847" i="1"/>
  <c r="DM847" i="1"/>
  <c r="DL847" i="1"/>
  <c r="DK847" i="1"/>
  <c r="DI847" i="1"/>
  <c r="DJ847" i="1" s="1"/>
  <c r="DC847" i="1"/>
  <c r="CX847" i="1"/>
  <c r="CN847" i="1"/>
  <c r="CP847" i="1" s="1"/>
  <c r="BV847" i="1"/>
  <c r="BX847" i="1" s="1"/>
  <c r="BU847" i="1"/>
  <c r="BN847" i="1"/>
  <c r="BO847" i="1" s="1"/>
  <c r="BM847" i="1"/>
  <c r="BD847" i="1"/>
  <c r="BC847" i="1"/>
  <c r="BB847" i="1"/>
  <c r="BA847" i="1"/>
  <c r="AZ847" i="1"/>
  <c r="AY847" i="1"/>
  <c r="AX847" i="1"/>
  <c r="M847" i="1"/>
  <c r="EM837" i="1"/>
  <c r="DT837" i="1"/>
  <c r="DN837" i="1"/>
  <c r="DM837" i="1"/>
  <c r="DL837" i="1"/>
  <c r="DK837" i="1"/>
  <c r="DJ837" i="1"/>
  <c r="DC837" i="1"/>
  <c r="CX837" i="1"/>
  <c r="CN837" i="1"/>
  <c r="CP837" i="1" s="1"/>
  <c r="BX837" i="1"/>
  <c r="BN837" i="1"/>
  <c r="BO837" i="1" s="1"/>
  <c r="BD837" i="1"/>
  <c r="BC837" i="1"/>
  <c r="BB837" i="1"/>
  <c r="BA837" i="1"/>
  <c r="AZ837" i="1"/>
  <c r="AY837" i="1"/>
  <c r="BE837" i="1" s="1" a="1"/>
  <c r="BE837" i="1" s="1"/>
  <c r="AX837" i="1"/>
  <c r="M837" i="1"/>
  <c r="EM838" i="1"/>
  <c r="DT838" i="1"/>
  <c r="DN838" i="1"/>
  <c r="DM838" i="1"/>
  <c r="DL838" i="1"/>
  <c r="DK838" i="1"/>
  <c r="DJ838" i="1"/>
  <c r="DC838" i="1"/>
  <c r="CX838" i="1"/>
  <c r="CN838" i="1"/>
  <c r="CO838" i="1" s="1"/>
  <c r="BX838" i="1"/>
  <c r="BN838" i="1"/>
  <c r="BO838" i="1" s="1"/>
  <c r="BD838" i="1"/>
  <c r="BC838" i="1"/>
  <c r="BB838" i="1"/>
  <c r="BA838" i="1"/>
  <c r="AZ838" i="1"/>
  <c r="AY838" i="1"/>
  <c r="BE838" i="1" s="1" a="1"/>
  <c r="BE838" i="1" s="1"/>
  <c r="AX838" i="1"/>
  <c r="M838" i="1"/>
  <c r="EM836" i="1"/>
  <c r="DT836" i="1"/>
  <c r="DN836" i="1"/>
  <c r="DM836" i="1"/>
  <c r="DL836" i="1"/>
  <c r="DK836" i="1"/>
  <c r="DJ836" i="1"/>
  <c r="DC836" i="1"/>
  <c r="CX836" i="1"/>
  <c r="CN836" i="1"/>
  <c r="CR836" i="1" s="1"/>
  <c r="BX836" i="1"/>
  <c r="BN836" i="1"/>
  <c r="BO836" i="1" s="1"/>
  <c r="BD836" i="1"/>
  <c r="BC836" i="1"/>
  <c r="BB836" i="1"/>
  <c r="BA836" i="1"/>
  <c r="AZ836" i="1"/>
  <c r="AY836" i="1"/>
  <c r="BE836" i="1" s="1" a="1"/>
  <c r="BE836" i="1" s="1"/>
  <c r="AX836" i="1"/>
  <c r="M836" i="1"/>
  <c r="EM841" i="1"/>
  <c r="DT841" i="1"/>
  <c r="DN841" i="1"/>
  <c r="DM841" i="1"/>
  <c r="DL841" i="1"/>
  <c r="DK841" i="1"/>
  <c r="DJ841" i="1"/>
  <c r="DC841" i="1"/>
  <c r="CX841" i="1"/>
  <c r="CN841" i="1"/>
  <c r="CO841" i="1" s="1"/>
  <c r="BX841" i="1"/>
  <c r="BN841" i="1"/>
  <c r="BO841" i="1" s="1"/>
  <c r="BD841" i="1"/>
  <c r="BC841" i="1"/>
  <c r="BB841" i="1"/>
  <c r="BA841" i="1"/>
  <c r="AZ841" i="1"/>
  <c r="AY841" i="1"/>
  <c r="BE841" i="1" s="1" a="1"/>
  <c r="BE841" i="1" s="1"/>
  <c r="AX841" i="1"/>
  <c r="M841" i="1"/>
  <c r="EM840" i="1"/>
  <c r="DT840" i="1"/>
  <c r="DN840" i="1"/>
  <c r="DM840" i="1"/>
  <c r="DL840" i="1"/>
  <c r="DK840" i="1"/>
  <c r="DJ840" i="1"/>
  <c r="DC840" i="1"/>
  <c r="CX840" i="1"/>
  <c r="CN840" i="1"/>
  <c r="BV840" i="1"/>
  <c r="BX840" i="1" s="1"/>
  <c r="BN840" i="1"/>
  <c r="BO840" i="1" s="1"/>
  <c r="BD840" i="1"/>
  <c r="BC840" i="1"/>
  <c r="BB840" i="1"/>
  <c r="BA840" i="1"/>
  <c r="AZ840" i="1"/>
  <c r="AY840" i="1"/>
  <c r="BE840" i="1" s="1" a="1"/>
  <c r="BE840" i="1" s="1"/>
  <c r="AX840" i="1"/>
  <c r="M840" i="1"/>
  <c r="EM839" i="1"/>
  <c r="DT839" i="1"/>
  <c r="DN839" i="1"/>
  <c r="DM839" i="1"/>
  <c r="DL839" i="1"/>
  <c r="DK839" i="1"/>
  <c r="DJ839" i="1"/>
  <c r="DC839" i="1"/>
  <c r="CX839" i="1"/>
  <c r="CN839" i="1"/>
  <c r="CR839" i="1" s="1"/>
  <c r="BX839" i="1"/>
  <c r="BN839" i="1"/>
  <c r="BO839" i="1" s="1"/>
  <c r="BD839" i="1"/>
  <c r="BC839" i="1"/>
  <c r="BB839" i="1"/>
  <c r="BA839" i="1"/>
  <c r="AZ839" i="1"/>
  <c r="AY839" i="1"/>
  <c r="BE839" i="1" s="1" a="1"/>
  <c r="BE839" i="1" s="1"/>
  <c r="AX839" i="1"/>
  <c r="M839" i="1"/>
  <c r="EM797" i="1"/>
  <c r="DU797" i="1"/>
  <c r="DT797" i="1"/>
  <c r="DN797" i="1"/>
  <c r="DM797" i="1"/>
  <c r="DL797" i="1"/>
  <c r="DK797" i="1"/>
  <c r="DI797" i="1"/>
  <c r="DJ797" i="1" s="1"/>
  <c r="DC797" i="1"/>
  <c r="CX797" i="1"/>
  <c r="CN797" i="1"/>
  <c r="CR797" i="1" s="1"/>
  <c r="BV797" i="1"/>
  <c r="BX797" i="1" s="1"/>
  <c r="BU797" i="1"/>
  <c r="BN797" i="1"/>
  <c r="BO797" i="1" s="1"/>
  <c r="BD797" i="1"/>
  <c r="BC797" i="1"/>
  <c r="BB797" i="1"/>
  <c r="BA797" i="1"/>
  <c r="AZ797" i="1"/>
  <c r="AY797" i="1"/>
  <c r="BE797" i="1" s="1" a="1"/>
  <c r="BE797" i="1" s="1"/>
  <c r="AX797" i="1"/>
  <c r="M797" i="1"/>
  <c r="EM796" i="1"/>
  <c r="DU796" i="1"/>
  <c r="DT796" i="1"/>
  <c r="DN796" i="1"/>
  <c r="DM796" i="1"/>
  <c r="DL796" i="1"/>
  <c r="DK796" i="1"/>
  <c r="DI796" i="1"/>
  <c r="DJ796" i="1" s="1"/>
  <c r="DC796" i="1"/>
  <c r="CX796" i="1"/>
  <c r="CN796" i="1"/>
  <c r="CR796" i="1" s="1"/>
  <c r="BV796" i="1"/>
  <c r="BX796" i="1" s="1"/>
  <c r="BU796" i="1"/>
  <c r="BN796" i="1"/>
  <c r="BO796" i="1" s="1"/>
  <c r="BD796" i="1"/>
  <c r="BC796" i="1"/>
  <c r="BB796" i="1"/>
  <c r="BA796" i="1"/>
  <c r="AZ796" i="1"/>
  <c r="AY796" i="1"/>
  <c r="BE796" i="1" s="1" a="1"/>
  <c r="BE796" i="1" s="1"/>
  <c r="AX796" i="1"/>
  <c r="M796" i="1"/>
  <c r="EM795" i="1"/>
  <c r="DU795" i="1"/>
  <c r="DT795" i="1"/>
  <c r="DN795" i="1"/>
  <c r="DM795" i="1"/>
  <c r="DL795" i="1"/>
  <c r="DK795" i="1"/>
  <c r="DI795" i="1"/>
  <c r="DJ795" i="1" s="1"/>
  <c r="DC795" i="1"/>
  <c r="CX795" i="1"/>
  <c r="CN795" i="1"/>
  <c r="CS795" i="1" s="1"/>
  <c r="BV795" i="1"/>
  <c r="BX795" i="1" s="1"/>
  <c r="BU795" i="1"/>
  <c r="BN795" i="1"/>
  <c r="BO795" i="1" s="1"/>
  <c r="BD795" i="1"/>
  <c r="BC795" i="1"/>
  <c r="BB795" i="1"/>
  <c r="BA795" i="1"/>
  <c r="AZ795" i="1"/>
  <c r="AY795" i="1"/>
  <c r="BE795" i="1" s="1" a="1"/>
  <c r="BE795" i="1" s="1"/>
  <c r="AX795" i="1"/>
  <c r="M795" i="1"/>
  <c r="EM794" i="1"/>
  <c r="DU794" i="1"/>
  <c r="DT794" i="1"/>
  <c r="DN794" i="1"/>
  <c r="DM794" i="1"/>
  <c r="DL794" i="1"/>
  <c r="DK794" i="1"/>
  <c r="DI794" i="1"/>
  <c r="DJ794" i="1" s="1"/>
  <c r="DC794" i="1"/>
  <c r="CX794" i="1"/>
  <c r="CN794" i="1"/>
  <c r="BV794" i="1"/>
  <c r="BX794" i="1" s="1"/>
  <c r="BU794" i="1"/>
  <c r="BN794" i="1"/>
  <c r="BO794" i="1" s="1"/>
  <c r="BD794" i="1"/>
  <c r="BC794" i="1"/>
  <c r="BB794" i="1"/>
  <c r="BA794" i="1"/>
  <c r="AZ794" i="1"/>
  <c r="AY794" i="1"/>
  <c r="BE794" i="1" s="1" a="1"/>
  <c r="BE794" i="1" s="1"/>
  <c r="AX794" i="1"/>
  <c r="M794" i="1"/>
  <c r="EM793" i="1"/>
  <c r="DU793" i="1"/>
  <c r="DT793" i="1"/>
  <c r="DN793" i="1"/>
  <c r="DM793" i="1"/>
  <c r="DL793" i="1"/>
  <c r="DK793" i="1"/>
  <c r="DI793" i="1"/>
  <c r="DJ793" i="1" s="1"/>
  <c r="DC793" i="1"/>
  <c r="CX793" i="1"/>
  <c r="CN793" i="1"/>
  <c r="BV793" i="1"/>
  <c r="BX793" i="1" s="1"/>
  <c r="BU793" i="1"/>
  <c r="BN793" i="1"/>
  <c r="BO793" i="1" s="1"/>
  <c r="BD793" i="1"/>
  <c r="BC793" i="1"/>
  <c r="BB793" i="1"/>
  <c r="BA793" i="1"/>
  <c r="AZ793" i="1"/>
  <c r="AY793" i="1"/>
  <c r="BE793" i="1" s="1" a="1"/>
  <c r="BE793" i="1" s="1"/>
  <c r="AX793" i="1"/>
  <c r="M793" i="1"/>
  <c r="EM792" i="1"/>
  <c r="DU792" i="1"/>
  <c r="DT792" i="1"/>
  <c r="DN792" i="1"/>
  <c r="DM792" i="1"/>
  <c r="DL792" i="1"/>
  <c r="DK792" i="1"/>
  <c r="DI792" i="1"/>
  <c r="DJ792" i="1" s="1"/>
  <c r="DC792" i="1"/>
  <c r="CX792" i="1"/>
  <c r="CN792" i="1"/>
  <c r="CS792" i="1" s="1"/>
  <c r="BV792" i="1"/>
  <c r="BX792" i="1" s="1"/>
  <c r="BU792" i="1"/>
  <c r="BN792" i="1"/>
  <c r="BO792" i="1" s="1"/>
  <c r="BD792" i="1"/>
  <c r="BC792" i="1"/>
  <c r="BB792" i="1"/>
  <c r="BA792" i="1"/>
  <c r="AZ792" i="1"/>
  <c r="AY792" i="1"/>
  <c r="BE792" i="1" s="1" a="1"/>
  <c r="BE792" i="1" s="1"/>
  <c r="AX792" i="1"/>
  <c r="M792" i="1"/>
  <c r="EM800" i="1"/>
  <c r="DU800" i="1"/>
  <c r="DT800" i="1"/>
  <c r="DN800" i="1"/>
  <c r="DM800" i="1"/>
  <c r="DL800" i="1"/>
  <c r="DK800" i="1"/>
  <c r="DI800" i="1"/>
  <c r="DJ800" i="1" s="1"/>
  <c r="DC800" i="1"/>
  <c r="CX800" i="1"/>
  <c r="CN800" i="1"/>
  <c r="CO800" i="1" s="1"/>
  <c r="BV800" i="1"/>
  <c r="BX800" i="1" s="1"/>
  <c r="BU800" i="1"/>
  <c r="BN800" i="1"/>
  <c r="BO800" i="1" s="1"/>
  <c r="BD800" i="1"/>
  <c r="BC800" i="1"/>
  <c r="BB800" i="1"/>
  <c r="BA800" i="1"/>
  <c r="AZ800" i="1"/>
  <c r="AY800" i="1"/>
  <c r="BE800" i="1" s="1" a="1"/>
  <c r="BE800" i="1" s="1"/>
  <c r="AX800" i="1"/>
  <c r="M800" i="1"/>
  <c r="EM798" i="1"/>
  <c r="DU798" i="1"/>
  <c r="DT798" i="1"/>
  <c r="DN798" i="1"/>
  <c r="DM798" i="1"/>
  <c r="DL798" i="1"/>
  <c r="DK798" i="1"/>
  <c r="DI798" i="1"/>
  <c r="DJ798" i="1" s="1"/>
  <c r="DC798" i="1"/>
  <c r="CX798" i="1"/>
  <c r="CN798" i="1"/>
  <c r="CP798" i="1" s="1"/>
  <c r="BV798" i="1"/>
  <c r="BX798" i="1" s="1"/>
  <c r="BU798" i="1"/>
  <c r="BN798" i="1"/>
  <c r="BO798" i="1" s="1"/>
  <c r="BD798" i="1"/>
  <c r="BC798" i="1"/>
  <c r="BB798" i="1"/>
  <c r="BA798" i="1"/>
  <c r="AZ798" i="1"/>
  <c r="AY798" i="1"/>
  <c r="BE798" i="1" s="1" a="1"/>
  <c r="BE798" i="1" s="1"/>
  <c r="AX798" i="1"/>
  <c r="M798" i="1"/>
  <c r="EM799" i="1"/>
  <c r="DU799" i="1"/>
  <c r="DT799" i="1"/>
  <c r="DN799" i="1"/>
  <c r="DM799" i="1"/>
  <c r="DL799" i="1"/>
  <c r="DK799" i="1"/>
  <c r="DI799" i="1"/>
  <c r="DJ799" i="1" s="1"/>
  <c r="DC799" i="1"/>
  <c r="CX799" i="1"/>
  <c r="CN799" i="1"/>
  <c r="CR799" i="1" s="1"/>
  <c r="BV799" i="1"/>
  <c r="BX799" i="1" s="1"/>
  <c r="BU799" i="1"/>
  <c r="BN799" i="1"/>
  <c r="BO799" i="1" s="1"/>
  <c r="BD799" i="1"/>
  <c r="BC799" i="1"/>
  <c r="BB799" i="1"/>
  <c r="BA799" i="1"/>
  <c r="AZ799" i="1"/>
  <c r="AY799" i="1"/>
  <c r="BE799" i="1" s="1" a="1"/>
  <c r="BE799" i="1" s="1"/>
  <c r="AX799" i="1"/>
  <c r="M799" i="1"/>
  <c r="EM803" i="1"/>
  <c r="DU803" i="1"/>
  <c r="DT803" i="1"/>
  <c r="DN803" i="1"/>
  <c r="DM803" i="1"/>
  <c r="DL803" i="1"/>
  <c r="DK803" i="1"/>
  <c r="DI803" i="1"/>
  <c r="DJ803" i="1" s="1"/>
  <c r="DC803" i="1"/>
  <c r="CX803" i="1"/>
  <c r="CN803" i="1"/>
  <c r="BV803" i="1"/>
  <c r="BX803" i="1" s="1"/>
  <c r="BU803" i="1"/>
  <c r="BN803" i="1"/>
  <c r="BO803" i="1" s="1"/>
  <c r="BD803" i="1"/>
  <c r="BC803" i="1"/>
  <c r="BB803" i="1"/>
  <c r="BA803" i="1"/>
  <c r="AZ803" i="1"/>
  <c r="AY803" i="1"/>
  <c r="BE803" i="1" s="1" a="1"/>
  <c r="BE803" i="1" s="1"/>
  <c r="AX803" i="1"/>
  <c r="M803" i="1"/>
  <c r="EM802" i="1"/>
  <c r="DU802" i="1"/>
  <c r="DT802" i="1"/>
  <c r="DN802" i="1"/>
  <c r="DM802" i="1"/>
  <c r="DL802" i="1"/>
  <c r="DK802" i="1"/>
  <c r="DI802" i="1"/>
  <c r="DJ802" i="1" s="1"/>
  <c r="DC802" i="1"/>
  <c r="CX802" i="1"/>
  <c r="CN802" i="1"/>
  <c r="CO802" i="1" s="1"/>
  <c r="BV802" i="1"/>
  <c r="BX802" i="1" s="1"/>
  <c r="BU802" i="1"/>
  <c r="BN802" i="1"/>
  <c r="BO802" i="1" s="1"/>
  <c r="BD802" i="1"/>
  <c r="BC802" i="1"/>
  <c r="BB802" i="1"/>
  <c r="BA802" i="1"/>
  <c r="AZ802" i="1"/>
  <c r="AY802" i="1"/>
  <c r="BE802" i="1" s="1" a="1"/>
  <c r="BE802" i="1" s="1"/>
  <c r="AX802" i="1"/>
  <c r="M802" i="1"/>
  <c r="EM801" i="1"/>
  <c r="DU801" i="1"/>
  <c r="DT801" i="1"/>
  <c r="DN801" i="1"/>
  <c r="DM801" i="1"/>
  <c r="DL801" i="1"/>
  <c r="DK801" i="1"/>
  <c r="DI801" i="1"/>
  <c r="DJ801" i="1" s="1"/>
  <c r="DC801" i="1"/>
  <c r="CX801" i="1"/>
  <c r="CN801" i="1"/>
  <c r="BV801" i="1"/>
  <c r="BX801" i="1" s="1"/>
  <c r="BU801" i="1"/>
  <c r="BN801" i="1"/>
  <c r="BO801" i="1" s="1"/>
  <c r="BD801" i="1"/>
  <c r="BC801" i="1"/>
  <c r="BB801" i="1"/>
  <c r="BA801" i="1"/>
  <c r="AZ801" i="1"/>
  <c r="AY801" i="1"/>
  <c r="BE801" i="1" s="1" a="1"/>
  <c r="BE801" i="1" s="1"/>
  <c r="AX801" i="1"/>
  <c r="M801" i="1"/>
  <c r="EM745" i="1"/>
  <c r="DU745" i="1"/>
  <c r="DT745" i="1"/>
  <c r="DN745" i="1"/>
  <c r="DM745" i="1"/>
  <c r="DL745" i="1"/>
  <c r="DK745" i="1"/>
  <c r="DI745" i="1"/>
  <c r="DJ745" i="1" s="1"/>
  <c r="DC745" i="1"/>
  <c r="CX745" i="1"/>
  <c r="CN745" i="1"/>
  <c r="CR745" i="1" s="1"/>
  <c r="BY745" i="1"/>
  <c r="EP745" i="1" s="1"/>
  <c r="BX745" i="1"/>
  <c r="BO745" i="1"/>
  <c r="BN745" i="1"/>
  <c r="BD745" i="1"/>
  <c r="BC745" i="1"/>
  <c r="BB745" i="1"/>
  <c r="BA745" i="1"/>
  <c r="AZ745" i="1"/>
  <c r="AY745" i="1"/>
  <c r="BE745" i="1" s="1" a="1"/>
  <c r="BE745" i="1" s="1"/>
  <c r="AX745" i="1"/>
  <c r="M745" i="1"/>
  <c r="EM760" i="1"/>
  <c r="DU760" i="1"/>
  <c r="DT760" i="1"/>
  <c r="DN760" i="1"/>
  <c r="DM760" i="1"/>
  <c r="DL760" i="1"/>
  <c r="DK760" i="1"/>
  <c r="DI760" i="1"/>
  <c r="DJ760" i="1" s="1"/>
  <c r="DC760" i="1"/>
  <c r="CX760" i="1"/>
  <c r="CN760" i="1"/>
  <c r="BX760" i="1"/>
  <c r="BO760" i="1"/>
  <c r="BN760" i="1"/>
  <c r="BD760" i="1"/>
  <c r="BC760" i="1"/>
  <c r="BB760" i="1"/>
  <c r="BA760" i="1"/>
  <c r="AZ760" i="1"/>
  <c r="AY760" i="1"/>
  <c r="BE760" i="1" s="1" a="1"/>
  <c r="BE760" i="1" s="1"/>
  <c r="AX760" i="1"/>
  <c r="M760" i="1"/>
  <c r="EM759" i="1"/>
  <c r="DU759" i="1"/>
  <c r="DT759" i="1"/>
  <c r="DN759" i="1"/>
  <c r="DM759" i="1"/>
  <c r="DL759" i="1"/>
  <c r="DK759" i="1"/>
  <c r="DI759" i="1"/>
  <c r="DJ759" i="1" s="1"/>
  <c r="DC759" i="1"/>
  <c r="CX759" i="1"/>
  <c r="CN759" i="1"/>
  <c r="CR759" i="1" s="1"/>
  <c r="BX759" i="1"/>
  <c r="BO759" i="1"/>
  <c r="BN759" i="1"/>
  <c r="BD759" i="1"/>
  <c r="BC759" i="1"/>
  <c r="BB759" i="1"/>
  <c r="BA759" i="1"/>
  <c r="AZ759" i="1"/>
  <c r="AY759" i="1"/>
  <c r="BE759" i="1" s="1" a="1"/>
  <c r="BE759" i="1" s="1"/>
  <c r="AX759" i="1"/>
  <c r="M759" i="1"/>
  <c r="EM758" i="1"/>
  <c r="DU758" i="1"/>
  <c r="DT758" i="1"/>
  <c r="DN758" i="1"/>
  <c r="DM758" i="1"/>
  <c r="DL758" i="1"/>
  <c r="DK758" i="1"/>
  <c r="DI758" i="1"/>
  <c r="DJ758" i="1" s="1"/>
  <c r="DC758" i="1"/>
  <c r="CX758" i="1"/>
  <c r="CN758" i="1"/>
  <c r="BX758" i="1"/>
  <c r="BO758" i="1"/>
  <c r="BN758" i="1"/>
  <c r="BD758" i="1"/>
  <c r="BC758" i="1"/>
  <c r="BB758" i="1"/>
  <c r="BA758" i="1"/>
  <c r="AZ758" i="1"/>
  <c r="AY758" i="1"/>
  <c r="BE758" i="1" s="1" a="1"/>
  <c r="BE758" i="1" s="1"/>
  <c r="AX758" i="1"/>
  <c r="M758" i="1"/>
  <c r="EM757" i="1"/>
  <c r="DU757" i="1"/>
  <c r="DT757" i="1"/>
  <c r="DN757" i="1"/>
  <c r="DM757" i="1"/>
  <c r="DL757" i="1"/>
  <c r="DK757" i="1"/>
  <c r="DI757" i="1"/>
  <c r="DJ757" i="1" s="1"/>
  <c r="DC757" i="1"/>
  <c r="CX757" i="1"/>
  <c r="CN757" i="1"/>
  <c r="CP757" i="1" s="1"/>
  <c r="BX757" i="1"/>
  <c r="BO757" i="1"/>
  <c r="BN757" i="1"/>
  <c r="BD757" i="1"/>
  <c r="BC757" i="1"/>
  <c r="BB757" i="1"/>
  <c r="BA757" i="1"/>
  <c r="AZ757" i="1"/>
  <c r="AY757" i="1"/>
  <c r="BE757" i="1" s="1" a="1"/>
  <c r="BE757" i="1" s="1"/>
  <c r="AX757" i="1"/>
  <c r="M757" i="1"/>
  <c r="EM756" i="1"/>
  <c r="DU756" i="1"/>
  <c r="DT756" i="1"/>
  <c r="DN756" i="1"/>
  <c r="DM756" i="1"/>
  <c r="DL756" i="1"/>
  <c r="DK756" i="1"/>
  <c r="DI756" i="1"/>
  <c r="DJ756" i="1" s="1"/>
  <c r="DC756" i="1"/>
  <c r="CX756" i="1"/>
  <c r="CN756" i="1"/>
  <c r="CP756" i="1" s="1"/>
  <c r="BX756" i="1"/>
  <c r="BO756" i="1"/>
  <c r="BN756" i="1"/>
  <c r="BD756" i="1"/>
  <c r="BC756" i="1"/>
  <c r="BB756" i="1"/>
  <c r="BA756" i="1"/>
  <c r="AZ756" i="1"/>
  <c r="AY756" i="1"/>
  <c r="BE756" i="1" s="1" a="1"/>
  <c r="BE756" i="1" s="1"/>
  <c r="AX756" i="1"/>
  <c r="M756" i="1"/>
  <c r="EM755" i="1"/>
  <c r="DU755" i="1"/>
  <c r="DT755" i="1"/>
  <c r="DN755" i="1"/>
  <c r="DM755" i="1"/>
  <c r="DL755" i="1"/>
  <c r="DK755" i="1"/>
  <c r="DI755" i="1"/>
  <c r="DJ755" i="1" s="1"/>
  <c r="DC755" i="1"/>
  <c r="CX755" i="1"/>
  <c r="CN755" i="1"/>
  <c r="BX755" i="1"/>
  <c r="BO755" i="1"/>
  <c r="BN755" i="1"/>
  <c r="BD755" i="1"/>
  <c r="BC755" i="1"/>
  <c r="BB755" i="1"/>
  <c r="BA755" i="1"/>
  <c r="AZ755" i="1"/>
  <c r="AY755" i="1"/>
  <c r="BE755" i="1" s="1" a="1"/>
  <c r="BE755" i="1" s="1"/>
  <c r="AX755" i="1"/>
  <c r="M755" i="1"/>
  <c r="EM754" i="1"/>
  <c r="DU754" i="1"/>
  <c r="DT754" i="1"/>
  <c r="DN754" i="1"/>
  <c r="DM754" i="1"/>
  <c r="DL754" i="1"/>
  <c r="DK754" i="1"/>
  <c r="DI754" i="1"/>
  <c r="DJ754" i="1" s="1"/>
  <c r="DC754" i="1"/>
  <c r="CX754" i="1"/>
  <c r="CN754" i="1"/>
  <c r="CR754" i="1" s="1"/>
  <c r="BX754" i="1"/>
  <c r="BO754" i="1"/>
  <c r="BN754" i="1"/>
  <c r="BD754" i="1"/>
  <c r="BC754" i="1"/>
  <c r="BB754" i="1"/>
  <c r="BA754" i="1"/>
  <c r="AZ754" i="1"/>
  <c r="AY754" i="1"/>
  <c r="BE754" i="1" s="1" a="1"/>
  <c r="BE754" i="1" s="1"/>
  <c r="AX754" i="1"/>
  <c r="M754" i="1"/>
  <c r="EM753" i="1"/>
  <c r="DU753" i="1"/>
  <c r="DT753" i="1"/>
  <c r="DN753" i="1"/>
  <c r="DM753" i="1"/>
  <c r="DL753" i="1"/>
  <c r="DK753" i="1"/>
  <c r="DI753" i="1"/>
  <c r="DJ753" i="1" s="1"/>
  <c r="DC753" i="1"/>
  <c r="CX753" i="1"/>
  <c r="CN753" i="1"/>
  <c r="BX753" i="1"/>
  <c r="BO753" i="1"/>
  <c r="BN753" i="1"/>
  <c r="BD753" i="1"/>
  <c r="BC753" i="1"/>
  <c r="BB753" i="1"/>
  <c r="BA753" i="1"/>
  <c r="AZ753" i="1"/>
  <c r="AY753" i="1"/>
  <c r="BE753" i="1" s="1" a="1"/>
  <c r="BE753" i="1" s="1"/>
  <c r="AX753" i="1"/>
  <c r="M753" i="1"/>
  <c r="EM752" i="1"/>
  <c r="DU752" i="1"/>
  <c r="DT752" i="1"/>
  <c r="DN752" i="1"/>
  <c r="DM752" i="1"/>
  <c r="DL752" i="1"/>
  <c r="DK752" i="1"/>
  <c r="DI752" i="1"/>
  <c r="DJ752" i="1" s="1"/>
  <c r="DC752" i="1"/>
  <c r="CX752" i="1"/>
  <c r="CN752" i="1"/>
  <c r="CP752" i="1" s="1"/>
  <c r="BX752" i="1"/>
  <c r="BO752" i="1"/>
  <c r="BN752" i="1"/>
  <c r="BD752" i="1"/>
  <c r="BC752" i="1"/>
  <c r="BB752" i="1"/>
  <c r="BA752" i="1"/>
  <c r="AZ752" i="1"/>
  <c r="AY752" i="1"/>
  <c r="BE752" i="1" s="1" a="1"/>
  <c r="BE752" i="1" s="1"/>
  <c r="AX752" i="1"/>
  <c r="M752" i="1"/>
  <c r="EM751" i="1"/>
  <c r="DU751" i="1"/>
  <c r="DT751" i="1"/>
  <c r="DN751" i="1"/>
  <c r="DM751" i="1"/>
  <c r="DL751" i="1"/>
  <c r="DK751" i="1"/>
  <c r="DI751" i="1"/>
  <c r="DJ751" i="1" s="1"/>
  <c r="DC751" i="1"/>
  <c r="CX751" i="1"/>
  <c r="CN751" i="1"/>
  <c r="CS751" i="1" s="1"/>
  <c r="BX751" i="1"/>
  <c r="BO751" i="1"/>
  <c r="BN751" i="1"/>
  <c r="BD751" i="1"/>
  <c r="BC751" i="1"/>
  <c r="BB751" i="1"/>
  <c r="BA751" i="1"/>
  <c r="AZ751" i="1"/>
  <c r="AY751" i="1"/>
  <c r="BE751" i="1" s="1" a="1"/>
  <c r="BE751" i="1" s="1"/>
  <c r="AX751" i="1"/>
  <c r="M751" i="1"/>
  <c r="EM750" i="1"/>
  <c r="DU750" i="1"/>
  <c r="DT750" i="1"/>
  <c r="DN750" i="1"/>
  <c r="DM750" i="1"/>
  <c r="DL750" i="1"/>
  <c r="DK750" i="1"/>
  <c r="DI750" i="1"/>
  <c r="DJ750" i="1" s="1"/>
  <c r="DC750" i="1"/>
  <c r="CX750" i="1"/>
  <c r="CN750" i="1"/>
  <c r="CP750" i="1" s="1"/>
  <c r="BX750" i="1"/>
  <c r="BO750" i="1"/>
  <c r="BN750" i="1"/>
  <c r="BM750" i="1"/>
  <c r="BD750" i="1"/>
  <c r="BC750" i="1"/>
  <c r="BB750" i="1"/>
  <c r="BA750" i="1"/>
  <c r="AZ750" i="1"/>
  <c r="AY750" i="1"/>
  <c r="BE750" i="1" s="1" a="1"/>
  <c r="BE750" i="1" s="1"/>
  <c r="AX750" i="1"/>
  <c r="M750" i="1"/>
  <c r="EM749" i="1"/>
  <c r="DU749" i="1"/>
  <c r="DT749" i="1"/>
  <c r="DN749" i="1"/>
  <c r="DM749" i="1"/>
  <c r="DL749" i="1"/>
  <c r="DK749" i="1"/>
  <c r="DI749" i="1"/>
  <c r="DJ749" i="1" s="1"/>
  <c r="DC749" i="1"/>
  <c r="CX749" i="1"/>
  <c r="CN749" i="1"/>
  <c r="BX749" i="1"/>
  <c r="BO749" i="1"/>
  <c r="BN749" i="1"/>
  <c r="BD749" i="1"/>
  <c r="BC749" i="1"/>
  <c r="BB749" i="1"/>
  <c r="BA749" i="1"/>
  <c r="AZ749" i="1"/>
  <c r="AY749" i="1"/>
  <c r="BE749" i="1" s="1" a="1"/>
  <c r="BE749" i="1" s="1"/>
  <c r="AX749" i="1"/>
  <c r="M749" i="1"/>
  <c r="EM748" i="1"/>
  <c r="DU748" i="1"/>
  <c r="DT748" i="1"/>
  <c r="DN748" i="1"/>
  <c r="DM748" i="1"/>
  <c r="DL748" i="1"/>
  <c r="DK748" i="1"/>
  <c r="DI748" i="1"/>
  <c r="DJ748" i="1" s="1"/>
  <c r="DC748" i="1"/>
  <c r="CX748" i="1"/>
  <c r="CN748" i="1"/>
  <c r="CP748" i="1" s="1"/>
  <c r="BX748" i="1"/>
  <c r="BO748" i="1"/>
  <c r="BN748" i="1"/>
  <c r="BD748" i="1"/>
  <c r="BC748" i="1"/>
  <c r="BB748" i="1"/>
  <c r="BA748" i="1"/>
  <c r="AZ748" i="1"/>
  <c r="AY748" i="1"/>
  <c r="BE748" i="1" s="1" a="1"/>
  <c r="BE748" i="1" s="1"/>
  <c r="AX748" i="1"/>
  <c r="M748" i="1"/>
  <c r="EM747" i="1"/>
  <c r="DU747" i="1"/>
  <c r="DT747" i="1"/>
  <c r="DN747" i="1"/>
  <c r="DM747" i="1"/>
  <c r="DL747" i="1"/>
  <c r="DK747" i="1"/>
  <c r="DI747" i="1"/>
  <c r="DJ747" i="1" s="1"/>
  <c r="DC747" i="1"/>
  <c r="CX747" i="1"/>
  <c r="CN747" i="1"/>
  <c r="CP747" i="1" s="1"/>
  <c r="BX747" i="1"/>
  <c r="BO747" i="1"/>
  <c r="BN747" i="1"/>
  <c r="BD747" i="1"/>
  <c r="BC747" i="1"/>
  <c r="BB747" i="1"/>
  <c r="BA747" i="1"/>
  <c r="AZ747" i="1"/>
  <c r="AY747" i="1"/>
  <c r="BE747" i="1" s="1" a="1"/>
  <c r="BE747" i="1" s="1"/>
  <c r="AX747" i="1"/>
  <c r="M747" i="1"/>
  <c r="EM746" i="1"/>
  <c r="DU746" i="1"/>
  <c r="DT746" i="1"/>
  <c r="DN746" i="1"/>
  <c r="DM746" i="1"/>
  <c r="DL746" i="1"/>
  <c r="DK746" i="1"/>
  <c r="DI746" i="1"/>
  <c r="DJ746" i="1" s="1"/>
  <c r="DC746" i="1"/>
  <c r="CX746" i="1"/>
  <c r="CN746" i="1"/>
  <c r="BX746" i="1"/>
  <c r="BO746" i="1"/>
  <c r="BN746" i="1"/>
  <c r="BD746" i="1"/>
  <c r="BC746" i="1"/>
  <c r="BB746" i="1"/>
  <c r="BA746" i="1"/>
  <c r="AZ746" i="1"/>
  <c r="AY746" i="1"/>
  <c r="BE746" i="1" s="1" a="1"/>
  <c r="BE746" i="1" s="1"/>
  <c r="AX746" i="1"/>
  <c r="M746" i="1"/>
  <c r="EM744" i="1"/>
  <c r="DU744" i="1"/>
  <c r="DT744" i="1"/>
  <c r="DN744" i="1"/>
  <c r="DM744" i="1"/>
  <c r="DL744" i="1"/>
  <c r="DK744" i="1"/>
  <c r="DI744" i="1"/>
  <c r="DJ744" i="1" s="1"/>
  <c r="DC744" i="1"/>
  <c r="CX744" i="1"/>
  <c r="CN744" i="1"/>
  <c r="CR744" i="1" s="1"/>
  <c r="BX744" i="1"/>
  <c r="BO744" i="1"/>
  <c r="BN744" i="1"/>
  <c r="BD744" i="1"/>
  <c r="BC744" i="1"/>
  <c r="BB744" i="1"/>
  <c r="BA744" i="1"/>
  <c r="AZ744" i="1"/>
  <c r="AY744" i="1"/>
  <c r="BE744" i="1" s="1" a="1"/>
  <c r="BE744" i="1" s="1"/>
  <c r="AX744" i="1"/>
  <c r="M744" i="1"/>
  <c r="EM762" i="1"/>
  <c r="DU762" i="1"/>
  <c r="DT762" i="1"/>
  <c r="DN762" i="1"/>
  <c r="DM762" i="1"/>
  <c r="DL762" i="1"/>
  <c r="DK762" i="1"/>
  <c r="DI762" i="1"/>
  <c r="DJ762" i="1" s="1"/>
  <c r="DC762" i="1"/>
  <c r="CX762" i="1"/>
  <c r="CN762" i="1"/>
  <c r="CO762" i="1" s="1"/>
  <c r="BV762" i="1"/>
  <c r="BX762" i="1" s="1"/>
  <c r="BU762" i="1"/>
  <c r="BO762" i="1"/>
  <c r="BN762" i="1"/>
  <c r="BM762" i="1"/>
  <c r="BD762" i="1"/>
  <c r="BC762" i="1"/>
  <c r="BB762" i="1"/>
  <c r="BA762" i="1"/>
  <c r="AZ762" i="1"/>
  <c r="AY762" i="1"/>
  <c r="BE762" i="1" s="1" a="1"/>
  <c r="BE762" i="1" s="1"/>
  <c r="AX762" i="1"/>
  <c r="M762" i="1"/>
  <c r="EM761" i="1"/>
  <c r="DU761" i="1"/>
  <c r="DT761" i="1"/>
  <c r="DN761" i="1"/>
  <c r="DM761" i="1"/>
  <c r="DL761" i="1"/>
  <c r="DK761" i="1"/>
  <c r="DI761" i="1"/>
  <c r="DJ761" i="1" s="1"/>
  <c r="DC761" i="1"/>
  <c r="CX761" i="1"/>
  <c r="CN761" i="1"/>
  <c r="BX761" i="1"/>
  <c r="BO761" i="1"/>
  <c r="BN761" i="1"/>
  <c r="BD761" i="1"/>
  <c r="BC761" i="1"/>
  <c r="BB761" i="1"/>
  <c r="BA761" i="1"/>
  <c r="AZ761" i="1"/>
  <c r="AY761" i="1"/>
  <c r="BE761" i="1" s="1" a="1"/>
  <c r="BE761" i="1" s="1"/>
  <c r="AX761" i="1"/>
  <c r="M761" i="1"/>
  <c r="EM435" i="1"/>
  <c r="DU435" i="1"/>
  <c r="DT435" i="1"/>
  <c r="DN435" i="1"/>
  <c r="DM435" i="1"/>
  <c r="DL435" i="1"/>
  <c r="DK435" i="1"/>
  <c r="DI435" i="1"/>
  <c r="DJ435" i="1" s="1"/>
  <c r="DB435" i="1"/>
  <c r="DC435" i="1" s="1"/>
  <c r="CX435" i="1"/>
  <c r="CN435" i="1"/>
  <c r="BV435" i="1"/>
  <c r="BX435" i="1" s="1"/>
  <c r="BU435" i="1"/>
  <c r="BN435" i="1"/>
  <c r="BO435" i="1" s="1"/>
  <c r="BD435" i="1"/>
  <c r="BC435" i="1"/>
  <c r="BB435" i="1"/>
  <c r="BA435" i="1"/>
  <c r="AZ435" i="1"/>
  <c r="AY435" i="1"/>
  <c r="BE435" i="1" s="1" a="1"/>
  <c r="BE435" i="1" s="1"/>
  <c r="AX435" i="1"/>
  <c r="M435" i="1"/>
  <c r="EM434" i="1"/>
  <c r="DU434" i="1"/>
  <c r="DT434" i="1"/>
  <c r="DN434" i="1"/>
  <c r="DM434" i="1"/>
  <c r="DL434" i="1"/>
  <c r="DK434" i="1"/>
  <c r="DI434" i="1"/>
  <c r="DJ434" i="1" s="1"/>
  <c r="DB434" i="1"/>
  <c r="DC434" i="1" s="1"/>
  <c r="CX434" i="1"/>
  <c r="CN434" i="1"/>
  <c r="CO434" i="1" s="1"/>
  <c r="BV434" i="1"/>
  <c r="BX434" i="1" s="1"/>
  <c r="BU434" i="1"/>
  <c r="BN434" i="1"/>
  <c r="BO434" i="1" s="1"/>
  <c r="BD434" i="1"/>
  <c r="BC434" i="1"/>
  <c r="BB434" i="1"/>
  <c r="BA434" i="1"/>
  <c r="AZ434" i="1"/>
  <c r="AY434" i="1"/>
  <c r="BE434" i="1" s="1" a="1"/>
  <c r="BE434" i="1" s="1"/>
  <c r="AX434" i="1"/>
  <c r="M434" i="1"/>
  <c r="EM433" i="1"/>
  <c r="DU433" i="1"/>
  <c r="DT433" i="1"/>
  <c r="DN433" i="1"/>
  <c r="DM433" i="1"/>
  <c r="DL433" i="1"/>
  <c r="DK433" i="1"/>
  <c r="DI433" i="1"/>
  <c r="DJ433" i="1" s="1"/>
  <c r="DB433" i="1"/>
  <c r="DC433" i="1" s="1"/>
  <c r="CX433" i="1"/>
  <c r="CN433" i="1"/>
  <c r="CO433" i="1" s="1"/>
  <c r="BV433" i="1"/>
  <c r="BX433" i="1" s="1"/>
  <c r="BU433" i="1"/>
  <c r="BN433" i="1"/>
  <c r="BO433" i="1" s="1"/>
  <c r="BD433" i="1"/>
  <c r="BC433" i="1"/>
  <c r="BB433" i="1"/>
  <c r="BA433" i="1"/>
  <c r="AZ433" i="1"/>
  <c r="AY433" i="1"/>
  <c r="BE433" i="1" s="1" a="1"/>
  <c r="BE433" i="1" s="1"/>
  <c r="AX433" i="1"/>
  <c r="M433" i="1"/>
  <c r="EM432" i="1"/>
  <c r="DU432" i="1"/>
  <c r="DT432" i="1"/>
  <c r="DN432" i="1"/>
  <c r="DM432" i="1"/>
  <c r="DL432" i="1"/>
  <c r="DK432" i="1"/>
  <c r="DI432" i="1"/>
  <c r="DJ432" i="1" s="1"/>
  <c r="DB432" i="1"/>
  <c r="DC432" i="1" s="1"/>
  <c r="CX432" i="1"/>
  <c r="BV432" i="1"/>
  <c r="BX432" i="1" s="1"/>
  <c r="BU432" i="1"/>
  <c r="BL432" i="1"/>
  <c r="BD432" i="1"/>
  <c r="BC432" i="1"/>
  <c r="BB432" i="1"/>
  <c r="BA432" i="1"/>
  <c r="AZ432" i="1"/>
  <c r="AY432" i="1"/>
  <c r="BE432" i="1" s="1" a="1"/>
  <c r="BE432" i="1" s="1"/>
  <c r="AX432" i="1"/>
  <c r="M432" i="1"/>
  <c r="EM431" i="1"/>
  <c r="DU431" i="1"/>
  <c r="DT431" i="1"/>
  <c r="DN431" i="1"/>
  <c r="DM431" i="1"/>
  <c r="DL431" i="1"/>
  <c r="DK431" i="1"/>
  <c r="DI431" i="1"/>
  <c r="DJ431" i="1" s="1"/>
  <c r="DB431" i="1"/>
  <c r="DC431" i="1" s="1"/>
  <c r="CX431" i="1"/>
  <c r="CN431" i="1"/>
  <c r="CS431" i="1" s="1"/>
  <c r="BV431" i="1"/>
  <c r="BX431" i="1" s="1"/>
  <c r="BU431" i="1"/>
  <c r="BN431" i="1"/>
  <c r="BO431" i="1" s="1"/>
  <c r="BD431" i="1"/>
  <c r="BC431" i="1"/>
  <c r="BB431" i="1"/>
  <c r="BA431" i="1"/>
  <c r="AZ431" i="1"/>
  <c r="AY431" i="1"/>
  <c r="BE431" i="1" s="1" a="1"/>
  <c r="BE431" i="1" s="1"/>
  <c r="AX431" i="1"/>
  <c r="M431" i="1"/>
  <c r="EM430" i="1"/>
  <c r="DU430" i="1"/>
  <c r="DT430" i="1"/>
  <c r="DN430" i="1"/>
  <c r="DM430" i="1"/>
  <c r="DL430" i="1"/>
  <c r="DK430" i="1"/>
  <c r="DI430" i="1"/>
  <c r="DJ430" i="1" s="1"/>
  <c r="DB430" i="1"/>
  <c r="DC430" i="1" s="1"/>
  <c r="CX430" i="1"/>
  <c r="CN430" i="1"/>
  <c r="CS430" i="1" s="1"/>
  <c r="BV430" i="1"/>
  <c r="BX430" i="1" s="1"/>
  <c r="BU430" i="1"/>
  <c r="BN430" i="1"/>
  <c r="BO430" i="1" s="1"/>
  <c r="BD430" i="1"/>
  <c r="BC430" i="1"/>
  <c r="BB430" i="1"/>
  <c r="BA430" i="1"/>
  <c r="AZ430" i="1"/>
  <c r="AY430" i="1"/>
  <c r="BE430" i="1" s="1" a="1"/>
  <c r="BE430" i="1" s="1"/>
  <c r="AX430" i="1"/>
  <c r="M430" i="1"/>
  <c r="EM285" i="1"/>
  <c r="DU285" i="1"/>
  <c r="DT285" i="1"/>
  <c r="DN285" i="1"/>
  <c r="DM285" i="1"/>
  <c r="DL285" i="1"/>
  <c r="DK285" i="1"/>
  <c r="DI285" i="1"/>
  <c r="DJ285" i="1" s="1"/>
  <c r="DB285" i="1"/>
  <c r="DC285" i="1" s="1"/>
  <c r="CX285" i="1"/>
  <c r="CN285" i="1"/>
  <c r="BV285" i="1"/>
  <c r="BX285" i="1" s="1"/>
  <c r="BU285" i="1"/>
  <c r="BN285" i="1"/>
  <c r="BO285" i="1" s="1"/>
  <c r="BM285" i="1"/>
  <c r="BD285" i="1"/>
  <c r="BC285" i="1"/>
  <c r="BB285" i="1"/>
  <c r="BA285" i="1"/>
  <c r="AZ285" i="1"/>
  <c r="AY285" i="1"/>
  <c r="AX285" i="1"/>
  <c r="M285" i="1"/>
  <c r="EM283" i="1"/>
  <c r="DU283" i="1"/>
  <c r="DT283" i="1"/>
  <c r="DN283" i="1"/>
  <c r="DM283" i="1"/>
  <c r="DL283" i="1"/>
  <c r="DK283" i="1"/>
  <c r="DI283" i="1"/>
  <c r="DJ283" i="1" s="1"/>
  <c r="DB283" i="1"/>
  <c r="DC283" i="1" s="1"/>
  <c r="CX283" i="1"/>
  <c r="CN283" i="1"/>
  <c r="BV283" i="1"/>
  <c r="BX283" i="1" s="1"/>
  <c r="BU283" i="1"/>
  <c r="BN283" i="1"/>
  <c r="BO283" i="1" s="1"/>
  <c r="BM283" i="1"/>
  <c r="BD283" i="1"/>
  <c r="BC283" i="1"/>
  <c r="BB283" i="1"/>
  <c r="BA283" i="1"/>
  <c r="AZ283" i="1"/>
  <c r="AY283" i="1"/>
  <c r="AX283" i="1"/>
  <c r="M283" i="1"/>
  <c r="EM282" i="1"/>
  <c r="DU282" i="1"/>
  <c r="DT282" i="1"/>
  <c r="DN282" i="1"/>
  <c r="DM282" i="1"/>
  <c r="DL282" i="1"/>
  <c r="DK282" i="1"/>
  <c r="DI282" i="1"/>
  <c r="DJ282" i="1" s="1"/>
  <c r="DB282" i="1"/>
  <c r="DC282" i="1" s="1"/>
  <c r="CX282" i="1"/>
  <c r="CN282" i="1"/>
  <c r="CR282" i="1" s="1"/>
  <c r="BV282" i="1"/>
  <c r="BX282" i="1" s="1"/>
  <c r="BU282" i="1"/>
  <c r="BN282" i="1"/>
  <c r="BO282" i="1" s="1"/>
  <c r="BM282" i="1"/>
  <c r="BD282" i="1"/>
  <c r="BC282" i="1"/>
  <c r="BB282" i="1"/>
  <c r="BA282" i="1"/>
  <c r="AZ282" i="1"/>
  <c r="AY282" i="1"/>
  <c r="AX282" i="1"/>
  <c r="M282" i="1"/>
  <c r="EM280" i="1"/>
  <c r="DU280" i="1"/>
  <c r="DT280" i="1"/>
  <c r="DN280" i="1"/>
  <c r="DM280" i="1"/>
  <c r="DL280" i="1"/>
  <c r="DK280" i="1"/>
  <c r="DI280" i="1"/>
  <c r="DJ280" i="1" s="1"/>
  <c r="DB280" i="1"/>
  <c r="DC280" i="1" s="1"/>
  <c r="CX280" i="1"/>
  <c r="CN280" i="1"/>
  <c r="CS280" i="1" s="1"/>
  <c r="BV280" i="1"/>
  <c r="BX280" i="1" s="1"/>
  <c r="BU280" i="1"/>
  <c r="BN280" i="1"/>
  <c r="BO280" i="1" s="1"/>
  <c r="BM280" i="1"/>
  <c r="BD280" i="1"/>
  <c r="BC280" i="1"/>
  <c r="BB280" i="1"/>
  <c r="BA280" i="1"/>
  <c r="AZ280" i="1"/>
  <c r="AY280" i="1"/>
  <c r="AX280" i="1"/>
  <c r="M280" i="1"/>
  <c r="EM279" i="1"/>
  <c r="DU279" i="1"/>
  <c r="DT279" i="1"/>
  <c r="DN279" i="1"/>
  <c r="DM279" i="1"/>
  <c r="DL279" i="1"/>
  <c r="DK279" i="1"/>
  <c r="DI279" i="1"/>
  <c r="DJ279" i="1" s="1"/>
  <c r="DB279" i="1"/>
  <c r="DC279" i="1" s="1"/>
  <c r="CX279" i="1"/>
  <c r="CN279" i="1"/>
  <c r="BV279" i="1"/>
  <c r="BX279" i="1" s="1"/>
  <c r="BU279" i="1"/>
  <c r="BN279" i="1"/>
  <c r="BO279" i="1" s="1"/>
  <c r="BM279" i="1"/>
  <c r="BD279" i="1"/>
  <c r="BC279" i="1"/>
  <c r="BB279" i="1"/>
  <c r="BA279" i="1"/>
  <c r="AZ279" i="1"/>
  <c r="AY279" i="1"/>
  <c r="AX279" i="1"/>
  <c r="M279" i="1"/>
  <c r="EM278" i="1"/>
  <c r="DU278" i="1"/>
  <c r="DT278" i="1"/>
  <c r="DN278" i="1"/>
  <c r="DM278" i="1"/>
  <c r="DL278" i="1"/>
  <c r="DK278" i="1"/>
  <c r="DI278" i="1"/>
  <c r="DJ278" i="1" s="1"/>
  <c r="DB278" i="1"/>
  <c r="DC278" i="1" s="1"/>
  <c r="CX278" i="1"/>
  <c r="CN278" i="1"/>
  <c r="CP278" i="1" s="1"/>
  <c r="BV278" i="1"/>
  <c r="BX278" i="1" s="1"/>
  <c r="BU278" i="1"/>
  <c r="BN278" i="1"/>
  <c r="BO278" i="1" s="1"/>
  <c r="BM278" i="1"/>
  <c r="BD278" i="1"/>
  <c r="BC278" i="1"/>
  <c r="BB278" i="1"/>
  <c r="BA278" i="1"/>
  <c r="AZ278" i="1"/>
  <c r="AY278" i="1"/>
  <c r="AX278" i="1"/>
  <c r="M278" i="1"/>
  <c r="EM276" i="1"/>
  <c r="DU276" i="1"/>
  <c r="DT276" i="1"/>
  <c r="DN276" i="1"/>
  <c r="DM276" i="1"/>
  <c r="DL276" i="1"/>
  <c r="DK276" i="1"/>
  <c r="DI276" i="1"/>
  <c r="DJ276" i="1" s="1"/>
  <c r="DB276" i="1"/>
  <c r="DC276" i="1" s="1"/>
  <c r="CX276" i="1"/>
  <c r="CN276" i="1"/>
  <c r="CR276" i="1" s="1"/>
  <c r="BV276" i="1"/>
  <c r="BX276" i="1" s="1"/>
  <c r="BU276" i="1"/>
  <c r="BN276" i="1"/>
  <c r="BO276" i="1" s="1"/>
  <c r="BM276" i="1"/>
  <c r="BD276" i="1"/>
  <c r="BC276" i="1"/>
  <c r="BB276" i="1"/>
  <c r="BA276" i="1"/>
  <c r="AZ276" i="1"/>
  <c r="AY276" i="1"/>
  <c r="AX276" i="1"/>
  <c r="M276" i="1"/>
  <c r="EM274" i="1"/>
  <c r="DU274" i="1"/>
  <c r="DT274" i="1"/>
  <c r="DN274" i="1"/>
  <c r="DM274" i="1"/>
  <c r="DL274" i="1"/>
  <c r="DK274" i="1"/>
  <c r="DI274" i="1"/>
  <c r="DJ274" i="1" s="1"/>
  <c r="DB274" i="1"/>
  <c r="DC274" i="1" s="1"/>
  <c r="CX274" i="1"/>
  <c r="CN274" i="1"/>
  <c r="BV274" i="1"/>
  <c r="BX274" i="1" s="1"/>
  <c r="BU274" i="1"/>
  <c r="BN274" i="1"/>
  <c r="BO274" i="1" s="1"/>
  <c r="BM274" i="1"/>
  <c r="BD274" i="1"/>
  <c r="BC274" i="1"/>
  <c r="BB274" i="1"/>
  <c r="BA274" i="1"/>
  <c r="AZ274" i="1"/>
  <c r="AY274" i="1"/>
  <c r="AX274" i="1"/>
  <c r="M274" i="1"/>
  <c r="EM284" i="1"/>
  <c r="DU284" i="1"/>
  <c r="DT284" i="1"/>
  <c r="DN284" i="1"/>
  <c r="DM284" i="1"/>
  <c r="DL284" i="1"/>
  <c r="DK284" i="1"/>
  <c r="DI284" i="1"/>
  <c r="DJ284" i="1" s="1"/>
  <c r="DB284" i="1"/>
  <c r="DC284" i="1" s="1"/>
  <c r="CX284" i="1"/>
  <c r="CN284" i="1"/>
  <c r="CS284" i="1" s="1"/>
  <c r="BV284" i="1"/>
  <c r="BX284" i="1" s="1"/>
  <c r="BU284" i="1"/>
  <c r="BN284" i="1"/>
  <c r="BO284" i="1" s="1"/>
  <c r="BM284" i="1"/>
  <c r="BD284" i="1"/>
  <c r="BC284" i="1"/>
  <c r="BB284" i="1"/>
  <c r="BA284" i="1"/>
  <c r="AZ284" i="1"/>
  <c r="AY284" i="1"/>
  <c r="AX284" i="1"/>
  <c r="M284" i="1"/>
  <c r="EM281" i="1"/>
  <c r="DU281" i="1"/>
  <c r="DT281" i="1"/>
  <c r="DN281" i="1"/>
  <c r="DM281" i="1"/>
  <c r="DL281" i="1"/>
  <c r="DK281" i="1"/>
  <c r="DI281" i="1"/>
  <c r="DJ281" i="1" s="1"/>
  <c r="DB281" i="1"/>
  <c r="DC281" i="1" s="1"/>
  <c r="CX281" i="1"/>
  <c r="CN281" i="1"/>
  <c r="BV281" i="1"/>
  <c r="BX281" i="1" s="1"/>
  <c r="BU281" i="1"/>
  <c r="BN281" i="1"/>
  <c r="BO281" i="1" s="1"/>
  <c r="BM281" i="1"/>
  <c r="BD281" i="1"/>
  <c r="BC281" i="1"/>
  <c r="BB281" i="1"/>
  <c r="BA281" i="1"/>
  <c r="AZ281" i="1"/>
  <c r="AY281" i="1"/>
  <c r="AX281" i="1"/>
  <c r="M281" i="1"/>
  <c r="EM277" i="1"/>
  <c r="DU277" i="1"/>
  <c r="DT277" i="1"/>
  <c r="DN277" i="1"/>
  <c r="DM277" i="1"/>
  <c r="DL277" i="1"/>
  <c r="DK277" i="1"/>
  <c r="DI277" i="1"/>
  <c r="DJ277" i="1" s="1"/>
  <c r="DB277" i="1"/>
  <c r="DC277" i="1" s="1"/>
  <c r="CX277" i="1"/>
  <c r="CN277" i="1"/>
  <c r="CS277" i="1" s="1"/>
  <c r="BV277" i="1"/>
  <c r="BX277" i="1" s="1"/>
  <c r="BU277" i="1"/>
  <c r="BN277" i="1"/>
  <c r="BO277" i="1" s="1"/>
  <c r="BM277" i="1"/>
  <c r="BD277" i="1"/>
  <c r="BC277" i="1"/>
  <c r="BB277" i="1"/>
  <c r="BA277" i="1"/>
  <c r="AZ277" i="1"/>
  <c r="AY277" i="1"/>
  <c r="AX277" i="1"/>
  <c r="M277" i="1"/>
  <c r="EM275" i="1"/>
  <c r="DU275" i="1"/>
  <c r="DT275" i="1"/>
  <c r="DN275" i="1"/>
  <c r="DM275" i="1"/>
  <c r="DL275" i="1"/>
  <c r="DK275" i="1"/>
  <c r="DI275" i="1"/>
  <c r="DJ275" i="1" s="1"/>
  <c r="DB275" i="1"/>
  <c r="DC275" i="1" s="1"/>
  <c r="CX275" i="1"/>
  <c r="CN275" i="1"/>
  <c r="CS275" i="1" s="1"/>
  <c r="BV275" i="1"/>
  <c r="BX275" i="1" s="1"/>
  <c r="BU275" i="1"/>
  <c r="BN275" i="1"/>
  <c r="BO275" i="1" s="1"/>
  <c r="BM275" i="1"/>
  <c r="BD275" i="1"/>
  <c r="BC275" i="1"/>
  <c r="BB275" i="1"/>
  <c r="BA275" i="1"/>
  <c r="AZ275" i="1"/>
  <c r="AY275" i="1"/>
  <c r="AX275" i="1"/>
  <c r="M275" i="1"/>
  <c r="EM213" i="1"/>
  <c r="DU213" i="1"/>
  <c r="DT213" i="1"/>
  <c r="DN213" i="1"/>
  <c r="DM213" i="1"/>
  <c r="DL213" i="1"/>
  <c r="DK213" i="1"/>
  <c r="DI213" i="1"/>
  <c r="DJ213" i="1" s="1"/>
  <c r="DC213" i="1"/>
  <c r="CX213" i="1"/>
  <c r="CN213" i="1"/>
  <c r="CO213" i="1" s="1"/>
  <c r="BV213" i="1"/>
  <c r="BX213" i="1" s="1"/>
  <c r="BU213" i="1"/>
  <c r="BN213" i="1"/>
  <c r="BO213" i="1" s="1"/>
  <c r="BM213" i="1"/>
  <c r="BD213" i="1"/>
  <c r="BC213" i="1"/>
  <c r="BB213" i="1"/>
  <c r="BA213" i="1"/>
  <c r="AZ213" i="1"/>
  <c r="AY213" i="1"/>
  <c r="BE213" i="1" s="1" a="1"/>
  <c r="BE213" i="1" s="1"/>
  <c r="AX213" i="1"/>
  <c r="M213" i="1"/>
  <c r="EM212" i="1"/>
  <c r="DU212" i="1"/>
  <c r="DT212" i="1"/>
  <c r="DN212" i="1"/>
  <c r="DM212" i="1"/>
  <c r="DL212" i="1"/>
  <c r="DK212" i="1"/>
  <c r="DI212" i="1"/>
  <c r="DJ212" i="1" s="1"/>
  <c r="DC212" i="1"/>
  <c r="CX212" i="1"/>
  <c r="CN212" i="1"/>
  <c r="CR212" i="1" s="1"/>
  <c r="BV212" i="1"/>
  <c r="BX212" i="1" s="1"/>
  <c r="BU212" i="1"/>
  <c r="BN212" i="1"/>
  <c r="BO212" i="1" s="1"/>
  <c r="BM212" i="1"/>
  <c r="BD212" i="1"/>
  <c r="BC212" i="1"/>
  <c r="BB212" i="1"/>
  <c r="BA212" i="1"/>
  <c r="AZ212" i="1"/>
  <c r="AY212" i="1"/>
  <c r="BE212" i="1" s="1" a="1"/>
  <c r="BE212" i="1" s="1"/>
  <c r="AX212" i="1"/>
  <c r="M212" i="1"/>
  <c r="EM1603" i="1"/>
  <c r="DU1603" i="1"/>
  <c r="DT1603" i="1"/>
  <c r="DN1603" i="1"/>
  <c r="DM1603" i="1"/>
  <c r="DL1603" i="1"/>
  <c r="DK1603" i="1"/>
  <c r="DI1603" i="1"/>
  <c r="DJ1603" i="1" s="1"/>
  <c r="DC1603" i="1"/>
  <c r="CX1603" i="1"/>
  <c r="CN1603" i="1"/>
  <c r="CO1603" i="1" s="1"/>
  <c r="BV1603" i="1"/>
  <c r="BX1603" i="1" s="1"/>
  <c r="BU1603" i="1"/>
  <c r="BN1603" i="1"/>
  <c r="BO1603" i="1" s="1"/>
  <c r="BM1603" i="1"/>
  <c r="BD1603" i="1"/>
  <c r="BC1603" i="1"/>
  <c r="BB1603" i="1"/>
  <c r="BA1603" i="1"/>
  <c r="AZ1603" i="1"/>
  <c r="AY1603" i="1"/>
  <c r="BE1603" i="1" s="1" a="1"/>
  <c r="BE1603" i="1" s="1"/>
  <c r="AX1603" i="1"/>
  <c r="M1603" i="1"/>
  <c r="EM1601" i="1"/>
  <c r="DU1601" i="1"/>
  <c r="DT1601" i="1"/>
  <c r="DN1601" i="1"/>
  <c r="DM1601" i="1"/>
  <c r="DL1601" i="1"/>
  <c r="DK1601" i="1"/>
  <c r="DI1601" i="1"/>
  <c r="DJ1601" i="1" s="1"/>
  <c r="DC1601" i="1"/>
  <c r="CX1601" i="1"/>
  <c r="CN1601" i="1"/>
  <c r="BV1601" i="1"/>
  <c r="BX1601" i="1" s="1"/>
  <c r="BU1601" i="1"/>
  <c r="BN1601" i="1"/>
  <c r="BO1601" i="1" s="1"/>
  <c r="BM1601" i="1"/>
  <c r="BD1601" i="1"/>
  <c r="BC1601" i="1"/>
  <c r="BB1601" i="1"/>
  <c r="BA1601" i="1"/>
  <c r="AZ1601" i="1"/>
  <c r="AY1601" i="1"/>
  <c r="BE1601" i="1" s="1" a="1"/>
  <c r="BE1601" i="1" s="1"/>
  <c r="AX1601" i="1"/>
  <c r="M1601" i="1"/>
  <c r="EM1600" i="1"/>
  <c r="DU1600" i="1"/>
  <c r="DT1600" i="1"/>
  <c r="DN1600" i="1"/>
  <c r="DM1600" i="1"/>
  <c r="DL1600" i="1"/>
  <c r="DK1600" i="1"/>
  <c r="DI1600" i="1"/>
  <c r="DJ1600" i="1" s="1"/>
  <c r="DC1600" i="1"/>
  <c r="CX1600" i="1"/>
  <c r="CN1600" i="1"/>
  <c r="CS1600" i="1" s="1"/>
  <c r="BV1600" i="1"/>
  <c r="BX1600" i="1" s="1"/>
  <c r="BU1600" i="1"/>
  <c r="BN1600" i="1"/>
  <c r="BO1600" i="1" s="1"/>
  <c r="BM1600" i="1"/>
  <c r="BD1600" i="1"/>
  <c r="BC1600" i="1"/>
  <c r="BB1600" i="1"/>
  <c r="BA1600" i="1"/>
  <c r="AZ1600" i="1"/>
  <c r="AY1600" i="1"/>
  <c r="BE1600" i="1" s="1" a="1"/>
  <c r="BE1600" i="1" s="1"/>
  <c r="AX1600" i="1"/>
  <c r="M1600" i="1"/>
  <c r="EM1604" i="1"/>
  <c r="DU1604" i="1"/>
  <c r="DT1604" i="1"/>
  <c r="DN1604" i="1"/>
  <c r="DM1604" i="1"/>
  <c r="DL1604" i="1"/>
  <c r="DK1604" i="1"/>
  <c r="DI1604" i="1"/>
  <c r="DJ1604" i="1" s="1"/>
  <c r="DC1604" i="1"/>
  <c r="CX1604" i="1"/>
  <c r="CN1604" i="1"/>
  <c r="BV1604" i="1"/>
  <c r="BX1604" i="1" s="1"/>
  <c r="BU1604" i="1"/>
  <c r="BN1604" i="1"/>
  <c r="BO1604" i="1" s="1"/>
  <c r="BM1604" i="1"/>
  <c r="BD1604" i="1"/>
  <c r="BC1604" i="1"/>
  <c r="BB1604" i="1"/>
  <c r="BA1604" i="1"/>
  <c r="AZ1604" i="1"/>
  <c r="AY1604" i="1"/>
  <c r="AX1604" i="1"/>
  <c r="M1604" i="1"/>
  <c r="EM1602" i="1"/>
  <c r="DU1602" i="1"/>
  <c r="DT1602" i="1"/>
  <c r="DN1602" i="1"/>
  <c r="DM1602" i="1"/>
  <c r="DL1602" i="1"/>
  <c r="DK1602" i="1"/>
  <c r="DI1602" i="1"/>
  <c r="DJ1602" i="1" s="1"/>
  <c r="DC1602" i="1"/>
  <c r="CX1602" i="1"/>
  <c r="CN1602" i="1"/>
  <c r="CO1602" i="1" s="1"/>
  <c r="BV1602" i="1"/>
  <c r="BX1602" i="1" s="1"/>
  <c r="BU1602" i="1"/>
  <c r="BN1602" i="1"/>
  <c r="BO1602" i="1" s="1"/>
  <c r="BM1602" i="1"/>
  <c r="BD1602" i="1"/>
  <c r="BC1602" i="1"/>
  <c r="BB1602" i="1"/>
  <c r="BA1602" i="1"/>
  <c r="AZ1602" i="1"/>
  <c r="AY1602" i="1"/>
  <c r="AX1602" i="1"/>
  <c r="M1602" i="1"/>
  <c r="EM1599" i="1"/>
  <c r="DU1599" i="1"/>
  <c r="DT1599" i="1"/>
  <c r="DN1599" i="1"/>
  <c r="DM1599" i="1"/>
  <c r="DL1599" i="1"/>
  <c r="DK1599" i="1"/>
  <c r="DI1599" i="1"/>
  <c r="DJ1599" i="1" s="1"/>
  <c r="DC1599" i="1"/>
  <c r="CX1599" i="1"/>
  <c r="CN1599" i="1"/>
  <c r="CO1599" i="1" s="1"/>
  <c r="BV1599" i="1"/>
  <c r="BX1599" i="1" s="1"/>
  <c r="BU1599" i="1"/>
  <c r="BN1599" i="1"/>
  <c r="BO1599" i="1" s="1"/>
  <c r="BM1599" i="1"/>
  <c r="BD1599" i="1"/>
  <c r="BC1599" i="1"/>
  <c r="BB1599" i="1"/>
  <c r="BA1599" i="1"/>
  <c r="AZ1599" i="1"/>
  <c r="AY1599" i="1"/>
  <c r="AX1599" i="1"/>
  <c r="M1599" i="1"/>
  <c r="EM805" i="1"/>
  <c r="DU805" i="1"/>
  <c r="DT805" i="1"/>
  <c r="DN805" i="1"/>
  <c r="DM805" i="1"/>
  <c r="DL805" i="1"/>
  <c r="DK805" i="1"/>
  <c r="DI805" i="1"/>
  <c r="DJ805" i="1" s="1"/>
  <c r="DC805" i="1"/>
  <c r="CX805" i="1"/>
  <c r="BV805" i="1"/>
  <c r="BX805" i="1" s="1"/>
  <c r="BL805" i="1"/>
  <c r="CN805" i="1" s="1"/>
  <c r="BD805" i="1"/>
  <c r="BC805" i="1"/>
  <c r="BB805" i="1"/>
  <c r="BA805" i="1"/>
  <c r="AZ805" i="1"/>
  <c r="AY805" i="1"/>
  <c r="BE805" i="1" s="1" a="1"/>
  <c r="BE805" i="1" s="1"/>
  <c r="AX805" i="1"/>
  <c r="M805" i="1"/>
  <c r="EM804" i="1"/>
  <c r="DU804" i="1"/>
  <c r="DT804" i="1"/>
  <c r="DN804" i="1"/>
  <c r="DM804" i="1"/>
  <c r="DL804" i="1"/>
  <c r="DK804" i="1"/>
  <c r="DI804" i="1"/>
  <c r="DJ804" i="1" s="1"/>
  <c r="DC804" i="1"/>
  <c r="CX804" i="1"/>
  <c r="BV804" i="1"/>
  <c r="BX804" i="1" s="1"/>
  <c r="BL804" i="1"/>
  <c r="BN804" i="1" s="1"/>
  <c r="BD804" i="1"/>
  <c r="BC804" i="1"/>
  <c r="BB804" i="1"/>
  <c r="BA804" i="1"/>
  <c r="AZ804" i="1"/>
  <c r="AY804" i="1"/>
  <c r="BE804" i="1" s="1" a="1"/>
  <c r="BE804" i="1" s="1"/>
  <c r="AX804" i="1"/>
  <c r="M804" i="1"/>
  <c r="EM484" i="1"/>
  <c r="DU484" i="1"/>
  <c r="DT484" i="1"/>
  <c r="DN484" i="1"/>
  <c r="DM484" i="1"/>
  <c r="DL484" i="1"/>
  <c r="DK484" i="1"/>
  <c r="DI484" i="1"/>
  <c r="DJ484" i="1" s="1"/>
  <c r="DC484" i="1"/>
  <c r="CX484" i="1"/>
  <c r="CN484" i="1"/>
  <c r="CS484" i="1" s="1"/>
  <c r="BX484" i="1"/>
  <c r="BN484" i="1"/>
  <c r="BO484" i="1" s="1"/>
  <c r="BD484" i="1"/>
  <c r="BC484" i="1"/>
  <c r="BB484" i="1"/>
  <c r="BA484" i="1"/>
  <c r="AZ484" i="1"/>
  <c r="AY484" i="1"/>
  <c r="BE484" i="1" s="1" a="1"/>
  <c r="BE484" i="1" s="1"/>
  <c r="AX484" i="1"/>
  <c r="M484" i="1"/>
  <c r="EM483" i="1"/>
  <c r="DU483" i="1"/>
  <c r="DT483" i="1"/>
  <c r="DN483" i="1"/>
  <c r="DM483" i="1"/>
  <c r="DL483" i="1"/>
  <c r="DK483" i="1"/>
  <c r="DI483" i="1"/>
  <c r="DJ483" i="1" s="1"/>
  <c r="DC483" i="1"/>
  <c r="CX483" i="1"/>
  <c r="CN483" i="1"/>
  <c r="CP483" i="1" s="1"/>
  <c r="BX483" i="1"/>
  <c r="BN483" i="1"/>
  <c r="BO483" i="1" s="1"/>
  <c r="BD483" i="1"/>
  <c r="BC483" i="1"/>
  <c r="BB483" i="1"/>
  <c r="BA483" i="1"/>
  <c r="AZ483" i="1"/>
  <c r="AY483" i="1"/>
  <c r="BE483" i="1" s="1" a="1"/>
  <c r="BE483" i="1" s="1"/>
  <c r="AX483" i="1"/>
  <c r="M483" i="1"/>
  <c r="EM482" i="1"/>
  <c r="DU482" i="1"/>
  <c r="DT482" i="1"/>
  <c r="DN482" i="1"/>
  <c r="DM482" i="1"/>
  <c r="DL482" i="1"/>
  <c r="DK482" i="1"/>
  <c r="DI482" i="1"/>
  <c r="DJ482" i="1" s="1"/>
  <c r="DC482" i="1"/>
  <c r="CX482" i="1"/>
  <c r="CN482" i="1"/>
  <c r="CO482" i="1" s="1"/>
  <c r="BX482" i="1"/>
  <c r="BN482" i="1"/>
  <c r="BO482" i="1" s="1"/>
  <c r="BD482" i="1"/>
  <c r="BC482" i="1"/>
  <c r="BB482" i="1"/>
  <c r="BA482" i="1"/>
  <c r="AZ482" i="1"/>
  <c r="AY482" i="1"/>
  <c r="BE482" i="1" s="1" a="1"/>
  <c r="BE482" i="1" s="1"/>
  <c r="AX482" i="1"/>
  <c r="M482" i="1"/>
  <c r="EM481" i="1"/>
  <c r="DU481" i="1"/>
  <c r="DT481" i="1"/>
  <c r="DN481" i="1"/>
  <c r="DM481" i="1"/>
  <c r="DL481" i="1"/>
  <c r="DK481" i="1"/>
  <c r="DI481" i="1"/>
  <c r="DJ481" i="1" s="1"/>
  <c r="DC481" i="1"/>
  <c r="CX481" i="1"/>
  <c r="CN481" i="1"/>
  <c r="CS481" i="1" s="1"/>
  <c r="BX481" i="1"/>
  <c r="BN481" i="1"/>
  <c r="BO481" i="1" s="1"/>
  <c r="BD481" i="1"/>
  <c r="BC481" i="1"/>
  <c r="BB481" i="1"/>
  <c r="BA481" i="1"/>
  <c r="AZ481" i="1"/>
  <c r="AY481" i="1"/>
  <c r="BE481" i="1" s="1" a="1"/>
  <c r="BE481" i="1" s="1"/>
  <c r="AX481" i="1"/>
  <c r="M481" i="1"/>
  <c r="EM272" i="1"/>
  <c r="DU272" i="1"/>
  <c r="DT272" i="1"/>
  <c r="DN272" i="1"/>
  <c r="DM272" i="1"/>
  <c r="DL272" i="1"/>
  <c r="DK272" i="1"/>
  <c r="DI272" i="1"/>
  <c r="DJ272" i="1" s="1"/>
  <c r="DC272" i="1"/>
  <c r="CX272" i="1"/>
  <c r="CN272" i="1"/>
  <c r="BT272" i="1"/>
  <c r="BS272" i="1"/>
  <c r="BN272" i="1"/>
  <c r="BO272" i="1" s="1"/>
  <c r="BD272" i="1"/>
  <c r="BC272" i="1"/>
  <c r="BB272" i="1"/>
  <c r="BA272" i="1"/>
  <c r="AZ272" i="1"/>
  <c r="AY272" i="1"/>
  <c r="BE272" i="1" s="1" a="1"/>
  <c r="BE272" i="1" s="1"/>
  <c r="AX272" i="1"/>
  <c r="M272" i="1"/>
  <c r="EM124" i="1"/>
  <c r="DU124" i="1"/>
  <c r="DT124" i="1"/>
  <c r="DN124" i="1"/>
  <c r="DM124" i="1"/>
  <c r="DL124" i="1"/>
  <c r="DK124" i="1"/>
  <c r="DI124" i="1"/>
  <c r="DJ124" i="1" s="1"/>
  <c r="DC124" i="1"/>
  <c r="CX124" i="1"/>
  <c r="CN124" i="1"/>
  <c r="CS124" i="1" s="1"/>
  <c r="BV124" i="1"/>
  <c r="BX124" i="1" s="1"/>
  <c r="BU124" i="1"/>
  <c r="BN124" i="1"/>
  <c r="BO124" i="1" s="1"/>
  <c r="BM124" i="1"/>
  <c r="BD124" i="1"/>
  <c r="BC124" i="1"/>
  <c r="BB124" i="1"/>
  <c r="BA124" i="1"/>
  <c r="AZ124" i="1"/>
  <c r="AY124" i="1"/>
  <c r="BE124" i="1" s="1" a="1"/>
  <c r="BE124" i="1" s="1"/>
  <c r="AX124" i="1"/>
  <c r="M124" i="1"/>
  <c r="EM123" i="1"/>
  <c r="DU123" i="1"/>
  <c r="DT123" i="1"/>
  <c r="DN123" i="1"/>
  <c r="DM123" i="1"/>
  <c r="DL123" i="1"/>
  <c r="DK123" i="1"/>
  <c r="DI123" i="1"/>
  <c r="DJ123" i="1" s="1"/>
  <c r="DC123" i="1"/>
  <c r="CX123" i="1"/>
  <c r="CN123" i="1"/>
  <c r="CP123" i="1" s="1"/>
  <c r="BV123" i="1"/>
  <c r="BX123" i="1" s="1"/>
  <c r="BU123" i="1"/>
  <c r="BN123" i="1"/>
  <c r="BO123" i="1" s="1"/>
  <c r="BM123" i="1"/>
  <c r="BD123" i="1"/>
  <c r="BC123" i="1"/>
  <c r="BB123" i="1"/>
  <c r="BA123" i="1"/>
  <c r="AZ123" i="1"/>
  <c r="AY123" i="1"/>
  <c r="BE123" i="1" s="1" a="1"/>
  <c r="BE123" i="1" s="1"/>
  <c r="AX123" i="1"/>
  <c r="M123" i="1"/>
  <c r="BF212" i="1" l="1" a="1"/>
  <c r="BF212" i="1" s="1"/>
  <c r="BF278" i="1" a="1"/>
  <c r="BF278" i="1" s="1"/>
  <c r="BF431" i="1" a="1"/>
  <c r="BF431" i="1" s="1"/>
  <c r="BF751" i="1" a="1"/>
  <c r="BF751" i="1" s="1"/>
  <c r="BF755" i="1" a="1"/>
  <c r="BF755" i="1" s="1"/>
  <c r="BF759" i="1" a="1"/>
  <c r="BF759" i="1" s="1"/>
  <c r="BF283" i="1" a="1"/>
  <c r="BF283" i="1" s="1"/>
  <c r="BE283" i="1" s="1" a="1"/>
  <c r="BE283" i="1" s="1"/>
  <c r="BF753" i="1" a="1"/>
  <c r="BF753" i="1" s="1"/>
  <c r="BF757" i="1" a="1"/>
  <c r="BF757" i="1" s="1"/>
  <c r="BF745" i="1" a="1"/>
  <c r="BF745" i="1" s="1"/>
  <c r="BF1156" i="1" a="1"/>
  <c r="BF1156" i="1" s="1"/>
  <c r="BE1156" i="1" s="1" a="1"/>
  <c r="BE1156" i="1" s="1"/>
  <c r="BF481" i="1" a="1"/>
  <c r="BF481" i="1" s="1"/>
  <c r="BF805" i="1" a="1"/>
  <c r="BF805" i="1" s="1"/>
  <c r="BF1601" i="1" a="1"/>
  <c r="BF1601" i="1" s="1"/>
  <c r="BF1600" i="1" a="1"/>
  <c r="BF1600" i="1" s="1"/>
  <c r="BF284" i="1" a="1"/>
  <c r="BF284" i="1" s="1"/>
  <c r="BE284" i="1" s="1" a="1"/>
  <c r="BE284" i="1" s="1"/>
  <c r="BF285" i="1" a="1"/>
  <c r="BF285" i="1" s="1"/>
  <c r="BF433" i="1" a="1"/>
  <c r="BF433" i="1" s="1"/>
  <c r="BF762" i="1" a="1"/>
  <c r="BF762" i="1" s="1"/>
  <c r="BF744" i="1" a="1"/>
  <c r="BF744" i="1" s="1"/>
  <c r="BF749" i="1" a="1"/>
  <c r="BF749" i="1" s="1"/>
  <c r="BF801" i="1" a="1"/>
  <c r="BF801" i="1" s="1"/>
  <c r="BF798" i="1" a="1"/>
  <c r="BF798" i="1" s="1"/>
  <c r="BF794" i="1" a="1"/>
  <c r="BF794" i="1" s="1"/>
  <c r="BF839" i="1" a="1"/>
  <c r="BF839" i="1" s="1"/>
  <c r="BF841" i="1" a="1"/>
  <c r="BF841" i="1" s="1"/>
  <c r="BF838" i="1" a="1"/>
  <c r="BF838" i="1" s="1"/>
  <c r="BF847" i="1" a="1"/>
  <c r="BF847" i="1" s="1"/>
  <c r="BF484" i="1" a="1"/>
  <c r="BF484" i="1" s="1"/>
  <c r="BF1603" i="1" a="1"/>
  <c r="BF1603" i="1" s="1"/>
  <c r="BF276" i="1" a="1"/>
  <c r="BF276" i="1" s="1"/>
  <c r="BE276" i="1" s="1" a="1"/>
  <c r="BE276" i="1" s="1"/>
  <c r="BF434" i="1" a="1"/>
  <c r="BF434" i="1" s="1"/>
  <c r="BF746" i="1" a="1"/>
  <c r="BF746" i="1" s="1"/>
  <c r="BF750" i="1" a="1"/>
  <c r="BF750" i="1" s="1"/>
  <c r="BF802" i="1" a="1"/>
  <c r="BF802" i="1" s="1"/>
  <c r="BF800" i="1" a="1"/>
  <c r="BF800" i="1" s="1"/>
  <c r="BF795" i="1" a="1"/>
  <c r="BF795" i="1" s="1"/>
  <c r="BF846" i="1" a="1"/>
  <c r="BF846" i="1" s="1"/>
  <c r="BE846" i="1" s="1" a="1"/>
  <c r="BE846" i="1" s="1"/>
  <c r="BF274" i="1" a="1"/>
  <c r="BF274" i="1" s="1"/>
  <c r="BE274" i="1" s="1" a="1"/>
  <c r="BE274" i="1" s="1"/>
  <c r="BF430" i="1" a="1"/>
  <c r="BF430" i="1" s="1"/>
  <c r="BF754" i="1" a="1"/>
  <c r="BF754" i="1" s="1"/>
  <c r="BF758" i="1" a="1"/>
  <c r="BF758" i="1" s="1"/>
  <c r="BF849" i="1" a="1"/>
  <c r="BF849" i="1" s="1"/>
  <c r="BE849" i="1" s="1" a="1"/>
  <c r="BE849" i="1" s="1"/>
  <c r="BF272" i="1" a="1"/>
  <c r="BF272" i="1" s="1"/>
  <c r="BF483" i="1" a="1"/>
  <c r="BF483" i="1" s="1"/>
  <c r="BF1604" i="1" a="1"/>
  <c r="BF1604" i="1" s="1"/>
  <c r="BE1604" i="1" s="1" a="1"/>
  <c r="BE1604" i="1" s="1"/>
  <c r="BF281" i="1" a="1"/>
  <c r="BF281" i="1" s="1"/>
  <c r="BE281" i="1" s="1" a="1"/>
  <c r="BE281" i="1" s="1"/>
  <c r="BF124" i="1" a="1"/>
  <c r="BF124" i="1" s="1"/>
  <c r="BF1602" i="1" a="1"/>
  <c r="BF1602" i="1" s="1"/>
  <c r="BE1602" i="1" s="1" a="1"/>
  <c r="BE1602" i="1" s="1"/>
  <c r="BF277" i="1" a="1"/>
  <c r="BF277" i="1" s="1"/>
  <c r="BE277" i="1" s="1" a="1"/>
  <c r="BE277" i="1" s="1"/>
  <c r="BF282" i="1" a="1"/>
  <c r="BF282" i="1" s="1"/>
  <c r="BE282" i="1" s="1" a="1"/>
  <c r="BE282" i="1" s="1"/>
  <c r="BF761" i="1" a="1"/>
  <c r="BF761" i="1" s="1"/>
  <c r="BF748" i="1" a="1"/>
  <c r="BF748" i="1" s="1"/>
  <c r="BF799" i="1" a="1"/>
  <c r="BF799" i="1" s="1"/>
  <c r="BF793" i="1" a="1"/>
  <c r="BF793" i="1" s="1"/>
  <c r="BF797" i="1" a="1"/>
  <c r="BF797" i="1" s="1"/>
  <c r="BF1157" i="1" a="1"/>
  <c r="BF1157" i="1" s="1"/>
  <c r="BE1157" i="1" s="1" a="1"/>
  <c r="BE1157" i="1" s="1"/>
  <c r="BF123" i="1" a="1"/>
  <c r="BF123" i="1" s="1"/>
  <c r="BF804" i="1" a="1"/>
  <c r="BF804" i="1" s="1"/>
  <c r="BF1599" i="1" a="1"/>
  <c r="BF1599" i="1" s="1"/>
  <c r="BE1599" i="1" s="1" a="1"/>
  <c r="BE1599" i="1" s="1"/>
  <c r="BF275" i="1" a="1"/>
  <c r="BF275" i="1" s="1"/>
  <c r="BE275" i="1" s="1" a="1"/>
  <c r="BE275" i="1" s="1"/>
  <c r="BF280" i="1" a="1"/>
  <c r="BF280" i="1" s="1"/>
  <c r="BE280" i="1" s="1" a="1"/>
  <c r="BE280" i="1" s="1"/>
  <c r="BF432" i="1" a="1"/>
  <c r="BF432" i="1" s="1"/>
  <c r="BF752" i="1" a="1"/>
  <c r="BF752" i="1" s="1"/>
  <c r="BF756" i="1" a="1"/>
  <c r="BF756" i="1" s="1"/>
  <c r="BF760" i="1" a="1"/>
  <c r="BF760" i="1" s="1"/>
  <c r="BF850" i="1" a="1"/>
  <c r="BF850" i="1" s="1"/>
  <c r="BE850" i="1" s="1" a="1"/>
  <c r="BE850" i="1" s="1"/>
  <c r="BF482" i="1" a="1"/>
  <c r="BF482" i="1" s="1"/>
  <c r="BF213" i="1" a="1"/>
  <c r="BF213" i="1" s="1"/>
  <c r="BF279" i="1" a="1"/>
  <c r="BF279" i="1" s="1"/>
  <c r="BE279" i="1" s="1" a="1"/>
  <c r="BE279" i="1" s="1"/>
  <c r="BF435" i="1" a="1"/>
  <c r="BF435" i="1" s="1"/>
  <c r="BF747" i="1" a="1"/>
  <c r="BF747" i="1" s="1"/>
  <c r="BF803" i="1" a="1"/>
  <c r="BF803" i="1" s="1"/>
  <c r="BF792" i="1" a="1"/>
  <c r="BF792" i="1" s="1"/>
  <c r="BF796" i="1" a="1"/>
  <c r="BF796" i="1" s="1"/>
  <c r="BF840" i="1" a="1"/>
  <c r="BF840" i="1" s="1"/>
  <c r="BF836" i="1" a="1"/>
  <c r="BF836" i="1" s="1"/>
  <c r="BF837" i="1" a="1"/>
  <c r="BF837" i="1" s="1"/>
  <c r="BF845" i="1" a="1"/>
  <c r="BF845" i="1" s="1"/>
  <c r="BE845" i="1" s="1" a="1"/>
  <c r="BE845" i="1" s="1"/>
  <c r="BV272" i="1"/>
  <c r="BX272" i="1" s="1"/>
  <c r="BY272" i="1" s="1"/>
  <c r="CP850" i="1"/>
  <c r="CS850" i="1"/>
  <c r="CV850" i="1" s="1"/>
  <c r="BO804" i="1"/>
  <c r="BY804" i="1" s="1"/>
  <c r="EP804" i="1" s="1"/>
  <c r="CN804" i="1"/>
  <c r="CP804" i="1" s="1"/>
  <c r="BY757" i="1"/>
  <c r="EP757" i="1" s="1"/>
  <c r="CQ800" i="1"/>
  <c r="CP799" i="1"/>
  <c r="CS837" i="1"/>
  <c r="BY1156" i="1"/>
  <c r="EP1156" i="1" s="1"/>
  <c r="CO481" i="1"/>
  <c r="CS799" i="1"/>
  <c r="CV799" i="1" s="1"/>
  <c r="CQ433" i="1"/>
  <c r="CO759" i="1"/>
  <c r="CR278" i="1"/>
  <c r="CQ282" i="1"/>
  <c r="CQ762" i="1"/>
  <c r="CR757" i="1"/>
  <c r="BY759" i="1"/>
  <c r="EP759" i="1" s="1"/>
  <c r="CQ277" i="1"/>
  <c r="CP484" i="1"/>
  <c r="CQ430" i="1"/>
  <c r="BY760" i="1"/>
  <c r="EP760" i="1" s="1"/>
  <c r="BY1604" i="1"/>
  <c r="EP1604" i="1" s="1"/>
  <c r="BY803" i="1"/>
  <c r="EP803" i="1" s="1"/>
  <c r="BY799" i="1"/>
  <c r="EP799" i="1" s="1"/>
  <c r="BY755" i="1"/>
  <c r="EP755" i="1" s="1"/>
  <c r="CR277" i="1"/>
  <c r="CV277" i="1" s="1"/>
  <c r="CO845" i="1"/>
  <c r="BY483" i="1"/>
  <c r="EP483" i="1" s="1"/>
  <c r="CQ1602" i="1"/>
  <c r="CS1603" i="1"/>
  <c r="CR284" i="1"/>
  <c r="CV284" i="1" s="1"/>
  <c r="CT280" i="1"/>
  <c r="BY753" i="1"/>
  <c r="EP753" i="1" s="1"/>
  <c r="CQ745" i="1"/>
  <c r="CQ798" i="1"/>
  <c r="BY846" i="1"/>
  <c r="EP846" i="1" s="1"/>
  <c r="BY1599" i="1"/>
  <c r="EP1599" i="1" s="1"/>
  <c r="CQ753" i="1"/>
  <c r="BY213" i="1"/>
  <c r="EP213" i="1" s="1"/>
  <c r="CS753" i="1"/>
  <c r="CQ1603" i="1"/>
  <c r="CO748" i="1"/>
  <c r="CO745" i="1"/>
  <c r="CR798" i="1"/>
  <c r="BY279" i="1"/>
  <c r="EP279" i="1" s="1"/>
  <c r="BY793" i="1"/>
  <c r="EP793" i="1" s="1"/>
  <c r="CT1603" i="1"/>
  <c r="CR430" i="1"/>
  <c r="CV430" i="1" s="1"/>
  <c r="CQ752" i="1"/>
  <c r="CT802" i="1"/>
  <c r="CQ276" i="1"/>
  <c r="CQ283" i="1"/>
  <c r="BY212" i="1"/>
  <c r="EP212" i="1" s="1"/>
  <c r="CR280" i="1"/>
  <c r="CV280" i="1" s="1"/>
  <c r="BY434" i="1"/>
  <c r="EP434" i="1" s="1"/>
  <c r="CP753" i="1"/>
  <c r="CQ754" i="1"/>
  <c r="CQ272" i="1"/>
  <c r="CQ284" i="1"/>
  <c r="BY282" i="1"/>
  <c r="EP282" i="1" s="1"/>
  <c r="CP433" i="1"/>
  <c r="BY746" i="1"/>
  <c r="EP746" i="1" s="1"/>
  <c r="CQ747" i="1"/>
  <c r="BY751" i="1"/>
  <c r="EP751" i="1" s="1"/>
  <c r="CR753" i="1"/>
  <c r="CR756" i="1"/>
  <c r="CQ792" i="1"/>
  <c r="BE847" i="1" a="1"/>
  <c r="BE847" i="1" s="1"/>
  <c r="CQ481" i="1"/>
  <c r="CQ1601" i="1"/>
  <c r="CQ213" i="1"/>
  <c r="CO282" i="1"/>
  <c r="CO751" i="1"/>
  <c r="BY752" i="1"/>
  <c r="EP752" i="1" s="1"/>
  <c r="CP754" i="1"/>
  <c r="CQ757" i="1"/>
  <c r="CS797" i="1"/>
  <c r="CV797" i="1" s="1"/>
  <c r="CP841" i="1"/>
  <c r="BY482" i="1"/>
  <c r="EP482" i="1" s="1"/>
  <c r="BY484" i="1"/>
  <c r="EP484" i="1" s="1"/>
  <c r="CT1602" i="1"/>
  <c r="CS282" i="1"/>
  <c r="CV282" i="1" s="1"/>
  <c r="BY431" i="1"/>
  <c r="EP431" i="1" s="1"/>
  <c r="CR747" i="1"/>
  <c r="CR751" i="1"/>
  <c r="CV751" i="1" s="1"/>
  <c r="CS754" i="1"/>
  <c r="CV754" i="1" s="1"/>
  <c r="CO757" i="1"/>
  <c r="CP800" i="1"/>
  <c r="CS839" i="1"/>
  <c r="CV839" i="1" s="1"/>
  <c r="CQ841" i="1"/>
  <c r="CQ847" i="1"/>
  <c r="BY275" i="1"/>
  <c r="EP275" i="1" s="1"/>
  <c r="BY283" i="1"/>
  <c r="EP283" i="1" s="1"/>
  <c r="CT754" i="1"/>
  <c r="CS800" i="1"/>
  <c r="CO850" i="1"/>
  <c r="CP1602" i="1"/>
  <c r="BY750" i="1"/>
  <c r="EP750" i="1" s="1"/>
  <c r="BE848" i="1" a="1"/>
  <c r="BE848" i="1" s="1"/>
  <c r="CQ123" i="1"/>
  <c r="CS482" i="1"/>
  <c r="CT483" i="1"/>
  <c r="CO484" i="1"/>
  <c r="CR1602" i="1"/>
  <c r="CR275" i="1"/>
  <c r="CV275" i="1" s="1"/>
  <c r="BE278" i="1" a="1"/>
  <c r="BE278" i="1" s="1"/>
  <c r="CP280" i="1"/>
  <c r="CO753" i="1"/>
  <c r="CS757" i="1"/>
  <c r="BY758" i="1"/>
  <c r="EP758" i="1" s="1"/>
  <c r="CT745" i="1"/>
  <c r="CR792" i="1"/>
  <c r="CV792" i="1" s="1"/>
  <c r="BY848" i="1"/>
  <c r="EP848" i="1" s="1"/>
  <c r="BY762" i="1"/>
  <c r="EP762" i="1" s="1"/>
  <c r="CT762" i="1"/>
  <c r="CT435" i="1"/>
  <c r="BY435" i="1"/>
  <c r="EP435" i="1" s="1"/>
  <c r="CR123" i="1"/>
  <c r="CR272" i="1"/>
  <c r="CR484" i="1"/>
  <c r="CV484" i="1" s="1"/>
  <c r="CS1602" i="1"/>
  <c r="CP1603" i="1"/>
  <c r="CR213" i="1"/>
  <c r="BY278" i="1"/>
  <c r="EP278" i="1" s="1"/>
  <c r="CO431" i="1"/>
  <c r="CR762" i="1"/>
  <c r="CS748" i="1"/>
  <c r="CQ756" i="1"/>
  <c r="BY794" i="1"/>
  <c r="EP794" i="1" s="1"/>
  <c r="CQ837" i="1"/>
  <c r="CS847" i="1"/>
  <c r="CT848" i="1"/>
  <c r="CT123" i="1"/>
  <c r="CP482" i="1"/>
  <c r="CQ483" i="1"/>
  <c r="BY1601" i="1"/>
  <c r="EP1601" i="1" s="1"/>
  <c r="CR1603" i="1"/>
  <c r="CT213" i="1"/>
  <c r="CO284" i="1"/>
  <c r="CO280" i="1"/>
  <c r="CS762" i="1"/>
  <c r="CQ744" i="1"/>
  <c r="CO747" i="1"/>
  <c r="BY749" i="1"/>
  <c r="EP749" i="1" s="1"/>
  <c r="CQ751" i="1"/>
  <c r="CO754" i="1"/>
  <c r="BY756" i="1"/>
  <c r="EP756" i="1" s="1"/>
  <c r="CS796" i="1"/>
  <c r="CV796" i="1" s="1"/>
  <c r="BY840" i="1"/>
  <c r="EP840" i="1" s="1"/>
  <c r="CR837" i="1"/>
  <c r="CQ482" i="1"/>
  <c r="BY277" i="1"/>
  <c r="EP277" i="1" s="1"/>
  <c r="BY281" i="1"/>
  <c r="EP281" i="1" s="1"/>
  <c r="BY276" i="1"/>
  <c r="EP276" i="1" s="1"/>
  <c r="BY430" i="1"/>
  <c r="EP430" i="1" s="1"/>
  <c r="CT744" i="1"/>
  <c r="CT759" i="1"/>
  <c r="BY792" i="1"/>
  <c r="EP792" i="1" s="1"/>
  <c r="CT751" i="1"/>
  <c r="CO797" i="1"/>
  <c r="CO849" i="1"/>
  <c r="CO124" i="1"/>
  <c r="CP481" i="1"/>
  <c r="CO483" i="1"/>
  <c r="BY1600" i="1"/>
  <c r="EP1600" i="1" s="1"/>
  <c r="CO275" i="1"/>
  <c r="CO277" i="1"/>
  <c r="CP276" i="1"/>
  <c r="CP282" i="1"/>
  <c r="CO430" i="1"/>
  <c r="CP744" i="1"/>
  <c r="CS747" i="1"/>
  <c r="BY748" i="1"/>
  <c r="EP748" i="1" s="1"/>
  <c r="CT756" i="1"/>
  <c r="CT757" i="1"/>
  <c r="CS745" i="1"/>
  <c r="CV745" i="1" s="1"/>
  <c r="CS798" i="1"/>
  <c r="BY800" i="1"/>
  <c r="EP800" i="1" s="1"/>
  <c r="CO792" i="1"/>
  <c r="CP797" i="1"/>
  <c r="CR841" i="1"/>
  <c r="CP849" i="1"/>
  <c r="BY1157" i="1"/>
  <c r="EP1157" i="1" s="1"/>
  <c r="CP124" i="1"/>
  <c r="CR481" i="1"/>
  <c r="CV481" i="1" s="1"/>
  <c r="CR483" i="1"/>
  <c r="CQ484" i="1"/>
  <c r="CT1604" i="1"/>
  <c r="CP275" i="1"/>
  <c r="CP277" i="1"/>
  <c r="BY274" i="1"/>
  <c r="EP274" i="1" s="1"/>
  <c r="CS276" i="1"/>
  <c r="CV276" i="1" s="1"/>
  <c r="CP430" i="1"/>
  <c r="CS744" i="1"/>
  <c r="CV744" i="1" s="1"/>
  <c r="CT752" i="1"/>
  <c r="CO799" i="1"/>
  <c r="CP792" i="1"/>
  <c r="CS841" i="1"/>
  <c r="CS836" i="1"/>
  <c r="CV836" i="1" s="1"/>
  <c r="BY838" i="1"/>
  <c r="EP838" i="1" s="1"/>
  <c r="BY837" i="1"/>
  <c r="EP837" i="1" s="1"/>
  <c r="CO847" i="1"/>
  <c r="CR849" i="1"/>
  <c r="CV849" i="1" s="1"/>
  <c r="CQ845" i="1"/>
  <c r="CQ850" i="1"/>
  <c r="BY123" i="1"/>
  <c r="EP123" i="1" s="1"/>
  <c r="CR124" i="1"/>
  <c r="CV124" i="1" s="1"/>
  <c r="CO848" i="1"/>
  <c r="CR845" i="1"/>
  <c r="BY284" i="1"/>
  <c r="EP284" i="1" s="1"/>
  <c r="CR433" i="1"/>
  <c r="BY761" i="1"/>
  <c r="EP761" i="1" s="1"/>
  <c r="CP762" i="1"/>
  <c r="BY747" i="1"/>
  <c r="EP747" i="1" s="1"/>
  <c r="CS752" i="1"/>
  <c r="BY754" i="1"/>
  <c r="EP754" i="1" s="1"/>
  <c r="BY801" i="1"/>
  <c r="EP801" i="1" s="1"/>
  <c r="CR800" i="1"/>
  <c r="BY841" i="1"/>
  <c r="EP841" i="1" s="1"/>
  <c r="CO837" i="1"/>
  <c r="CR847" i="1"/>
  <c r="CQ849" i="1"/>
  <c r="CS848" i="1"/>
  <c r="CV848" i="1" s="1"/>
  <c r="CS845" i="1"/>
  <c r="CO805" i="1"/>
  <c r="CT805" i="1"/>
  <c r="CS805" i="1"/>
  <c r="CP805" i="1"/>
  <c r="CR805" i="1"/>
  <c r="BY481" i="1"/>
  <c r="EP481" i="1" s="1"/>
  <c r="BY124" i="1"/>
  <c r="EP124" i="1" s="1"/>
  <c r="CQ124" i="1"/>
  <c r="CS283" i="1"/>
  <c r="CP283" i="1"/>
  <c r="CO283" i="1"/>
  <c r="CR749" i="1"/>
  <c r="CT749" i="1"/>
  <c r="CS749" i="1"/>
  <c r="CQ749" i="1"/>
  <c r="CP749" i="1"/>
  <c r="CO749" i="1"/>
  <c r="BY1603" i="1"/>
  <c r="EP1603" i="1" s="1"/>
  <c r="CT277" i="1"/>
  <c r="CT279" i="1"/>
  <c r="CQ279" i="1"/>
  <c r="CP279" i="1"/>
  <c r="CT794" i="1"/>
  <c r="CS794" i="1"/>
  <c r="CR794" i="1"/>
  <c r="CQ794" i="1"/>
  <c r="CP794" i="1"/>
  <c r="CO794" i="1"/>
  <c r="BN805" i="1"/>
  <c r="BY1602" i="1"/>
  <c r="EP1602" i="1" s="1"/>
  <c r="CS123" i="1"/>
  <c r="CR482" i="1"/>
  <c r="CS483" i="1"/>
  <c r="CT484" i="1"/>
  <c r="BO805" i="1"/>
  <c r="CQ805" i="1" s="1"/>
  <c r="CP1599" i="1"/>
  <c r="CO1604" i="1"/>
  <c r="CO1600" i="1"/>
  <c r="CO1601" i="1"/>
  <c r="CO212" i="1"/>
  <c r="CT275" i="1"/>
  <c r="CO279" i="1"/>
  <c r="CR283" i="1"/>
  <c r="BY285" i="1"/>
  <c r="EP285" i="1" s="1"/>
  <c r="CT434" i="1"/>
  <c r="CS434" i="1"/>
  <c r="CR434" i="1"/>
  <c r="CQ434" i="1"/>
  <c r="CT801" i="1"/>
  <c r="CS801" i="1"/>
  <c r="CQ801" i="1"/>
  <c r="CR801" i="1"/>
  <c r="CP801" i="1"/>
  <c r="CQ1599" i="1"/>
  <c r="CP1604" i="1"/>
  <c r="CP1600" i="1"/>
  <c r="CP1601" i="1"/>
  <c r="CP212" i="1"/>
  <c r="CS281" i="1"/>
  <c r="CP281" i="1"/>
  <c r="CR274" i="1"/>
  <c r="CQ274" i="1"/>
  <c r="CR279" i="1"/>
  <c r="BY280" i="1"/>
  <c r="EP280" i="1" s="1"/>
  <c r="CT283" i="1"/>
  <c r="CP285" i="1"/>
  <c r="CT285" i="1"/>
  <c r="BN432" i="1"/>
  <c r="BO432" i="1" s="1"/>
  <c r="BY432" i="1" s="1"/>
  <c r="EP432" i="1" s="1"/>
  <c r="CN432" i="1"/>
  <c r="BY433" i="1"/>
  <c r="EP433" i="1" s="1"/>
  <c r="CS761" i="1"/>
  <c r="CR761" i="1"/>
  <c r="CQ761" i="1"/>
  <c r="CP761" i="1"/>
  <c r="CO761" i="1"/>
  <c r="BY744" i="1"/>
  <c r="EP744" i="1" s="1"/>
  <c r="CO746" i="1"/>
  <c r="CT746" i="1"/>
  <c r="CS746" i="1"/>
  <c r="CR746" i="1"/>
  <c r="CQ746" i="1"/>
  <c r="CP746" i="1"/>
  <c r="CT748" i="1"/>
  <c r="CO755" i="1"/>
  <c r="CT755" i="1"/>
  <c r="CS755" i="1"/>
  <c r="CR755" i="1"/>
  <c r="CQ755" i="1"/>
  <c r="CO801" i="1"/>
  <c r="CT482" i="1"/>
  <c r="CR1599" i="1"/>
  <c r="CQ1604" i="1"/>
  <c r="CQ1600" i="1"/>
  <c r="CR1601" i="1"/>
  <c r="CQ212" i="1"/>
  <c r="CO281" i="1"/>
  <c r="CO274" i="1"/>
  <c r="CT276" i="1"/>
  <c r="CS279" i="1"/>
  <c r="CQ280" i="1"/>
  <c r="CO285" i="1"/>
  <c r="CP434" i="1"/>
  <c r="CS435" i="1"/>
  <c r="CR435" i="1"/>
  <c r="CQ435" i="1"/>
  <c r="CP435" i="1"/>
  <c r="CO435" i="1"/>
  <c r="CT761" i="1"/>
  <c r="CP755" i="1"/>
  <c r="CT481" i="1"/>
  <c r="CS1599" i="1"/>
  <c r="CR1604" i="1"/>
  <c r="CR1600" i="1"/>
  <c r="CV1600" i="1" s="1"/>
  <c r="CS1601" i="1"/>
  <c r="CS212" i="1"/>
  <c r="CV212" i="1" s="1"/>
  <c r="CQ275" i="1"/>
  <c r="CQ281" i="1"/>
  <c r="CP274" i="1"/>
  <c r="CO278" i="1"/>
  <c r="CT278" i="1"/>
  <c r="CS278" i="1"/>
  <c r="CQ285" i="1"/>
  <c r="CT431" i="1"/>
  <c r="CQ431" i="1"/>
  <c r="CP431" i="1"/>
  <c r="CT795" i="1"/>
  <c r="BY795" i="1"/>
  <c r="EP795" i="1" s="1"/>
  <c r="CT124" i="1"/>
  <c r="CS272" i="1"/>
  <c r="CO123" i="1"/>
  <c r="BU272" i="1"/>
  <c r="CT1599" i="1"/>
  <c r="CS1604" i="1"/>
  <c r="CT1600" i="1"/>
  <c r="CT1601" i="1"/>
  <c r="CT212" i="1"/>
  <c r="CR281" i="1"/>
  <c r="CS274" i="1"/>
  <c r="CT282" i="1"/>
  <c r="CR285" i="1"/>
  <c r="CT430" i="1"/>
  <c r="CR750" i="1"/>
  <c r="CT750" i="1"/>
  <c r="CS750" i="1"/>
  <c r="CQ750" i="1"/>
  <c r="CT760" i="1"/>
  <c r="CQ760" i="1"/>
  <c r="CS760" i="1"/>
  <c r="CR760" i="1"/>
  <c r="CP760" i="1"/>
  <c r="CO760" i="1"/>
  <c r="BY802" i="1"/>
  <c r="EP802" i="1" s="1"/>
  <c r="CR803" i="1"/>
  <c r="CQ803" i="1"/>
  <c r="CO803" i="1"/>
  <c r="CT803" i="1"/>
  <c r="CS803" i="1"/>
  <c r="CT799" i="1"/>
  <c r="BY839" i="1"/>
  <c r="EP839" i="1" s="1"/>
  <c r="CT839" i="1"/>
  <c r="CS213" i="1"/>
  <c r="CP213" i="1"/>
  <c r="CT281" i="1"/>
  <c r="CP284" i="1"/>
  <c r="CT284" i="1"/>
  <c r="CT274" i="1"/>
  <c r="CQ278" i="1"/>
  <c r="BE285" i="1" a="1"/>
  <c r="BE285" i="1" s="1"/>
  <c r="CS285" i="1"/>
  <c r="CR431" i="1"/>
  <c r="CV431" i="1" s="1"/>
  <c r="CO750" i="1"/>
  <c r="CP803" i="1"/>
  <c r="BY796" i="1"/>
  <c r="EP796" i="1" s="1"/>
  <c r="CT796" i="1"/>
  <c r="CT793" i="1"/>
  <c r="CS793" i="1"/>
  <c r="CR793" i="1"/>
  <c r="CQ793" i="1"/>
  <c r="CT1156" i="1"/>
  <c r="CS1156" i="1"/>
  <c r="CR1156" i="1"/>
  <c r="CQ1156" i="1"/>
  <c r="CP1156" i="1"/>
  <c r="CO1156" i="1"/>
  <c r="CR758" i="1"/>
  <c r="CO758" i="1"/>
  <c r="CO793" i="1"/>
  <c r="BY836" i="1"/>
  <c r="EP836" i="1" s="1"/>
  <c r="CS433" i="1"/>
  <c r="CP758" i="1"/>
  <c r="CQ799" i="1"/>
  <c r="BY798" i="1"/>
  <c r="EP798" i="1" s="1"/>
  <c r="CT798" i="1"/>
  <c r="CP793" i="1"/>
  <c r="BY797" i="1"/>
  <c r="EP797" i="1" s="1"/>
  <c r="CT797" i="1"/>
  <c r="BY850" i="1"/>
  <c r="EP850" i="1" s="1"/>
  <c r="CT850" i="1"/>
  <c r="CT1157" i="1"/>
  <c r="CS1157" i="1"/>
  <c r="CR1157" i="1"/>
  <c r="CQ1157" i="1"/>
  <c r="CP1157" i="1"/>
  <c r="CO276" i="1"/>
  <c r="CT433" i="1"/>
  <c r="CO744" i="1"/>
  <c r="CT747" i="1"/>
  <c r="CQ748" i="1"/>
  <c r="CO752" i="1"/>
  <c r="CO756" i="1"/>
  <c r="CQ758" i="1"/>
  <c r="CQ797" i="1"/>
  <c r="CO1157" i="1"/>
  <c r="CT753" i="1"/>
  <c r="CS758" i="1"/>
  <c r="CS759" i="1"/>
  <c r="CV759" i="1" s="1"/>
  <c r="CP759" i="1"/>
  <c r="CS802" i="1"/>
  <c r="CR802" i="1"/>
  <c r="CP802" i="1"/>
  <c r="CT836" i="1"/>
  <c r="BY849" i="1"/>
  <c r="EP849" i="1" s="1"/>
  <c r="CT849" i="1"/>
  <c r="BY845" i="1"/>
  <c r="EP845" i="1" s="1"/>
  <c r="CT845" i="1"/>
  <c r="CT758" i="1"/>
  <c r="CT840" i="1"/>
  <c r="CS840" i="1"/>
  <c r="CR840" i="1"/>
  <c r="CQ840" i="1"/>
  <c r="CP840" i="1"/>
  <c r="CO840" i="1"/>
  <c r="CR748" i="1"/>
  <c r="CP751" i="1"/>
  <c r="CR752" i="1"/>
  <c r="CS756" i="1"/>
  <c r="CQ759" i="1"/>
  <c r="CP745" i="1"/>
  <c r="CQ802" i="1"/>
  <c r="CT838" i="1"/>
  <c r="CS838" i="1"/>
  <c r="CR838" i="1"/>
  <c r="CQ838" i="1"/>
  <c r="CP838" i="1"/>
  <c r="BY847" i="1"/>
  <c r="EP847" i="1" s="1"/>
  <c r="CT847" i="1"/>
  <c r="CT846" i="1"/>
  <c r="CS846" i="1"/>
  <c r="CR846" i="1"/>
  <c r="CQ846" i="1"/>
  <c r="CP846" i="1"/>
  <c r="CO846" i="1"/>
  <c r="CO795" i="1"/>
  <c r="CT837" i="1"/>
  <c r="CT800" i="1"/>
  <c r="CP795" i="1"/>
  <c r="CO796" i="1"/>
  <c r="CO839" i="1"/>
  <c r="CT841" i="1"/>
  <c r="CO836" i="1"/>
  <c r="CT792" i="1"/>
  <c r="CQ795" i="1"/>
  <c r="CP796" i="1"/>
  <c r="CP839" i="1"/>
  <c r="CP836" i="1"/>
  <c r="CP848" i="1"/>
  <c r="CO798" i="1"/>
  <c r="CR795" i="1"/>
  <c r="CV795" i="1" s="1"/>
  <c r="CQ796" i="1"/>
  <c r="CQ839" i="1"/>
  <c r="CQ836" i="1"/>
  <c r="CQ848" i="1"/>
  <c r="CU762" i="1" l="1"/>
  <c r="CU277" i="1"/>
  <c r="CT272" i="1"/>
  <c r="CU272" i="1" s="1"/>
  <c r="CU800" i="1"/>
  <c r="CU747" i="1"/>
  <c r="CS804" i="1"/>
  <c r="CR804" i="1"/>
  <c r="CT804" i="1"/>
  <c r="CQ804" i="1"/>
  <c r="CO804" i="1"/>
  <c r="CU1603" i="1"/>
  <c r="CU481" i="1"/>
  <c r="CV757" i="1"/>
  <c r="CU841" i="1"/>
  <c r="CU433" i="1"/>
  <c r="CV278" i="1"/>
  <c r="CV841" i="1"/>
  <c r="CU284" i="1"/>
  <c r="CV756" i="1"/>
  <c r="CU282" i="1"/>
  <c r="CV837" i="1"/>
  <c r="CU753" i="1"/>
  <c r="CV1603" i="1"/>
  <c r="CV272" i="1"/>
  <c r="CU745" i="1"/>
  <c r="CU756" i="1"/>
  <c r="CU280" i="1"/>
  <c r="CU213" i="1"/>
  <c r="CU802" i="1"/>
  <c r="CU752" i="1"/>
  <c r="CV798" i="1"/>
  <c r="CU430" i="1"/>
  <c r="CU123" i="1"/>
  <c r="CV800" i="1"/>
  <c r="CV123" i="1"/>
  <c r="CV753" i="1"/>
  <c r="CU751" i="1"/>
  <c r="CV747" i="1"/>
  <c r="CU1601" i="1"/>
  <c r="CV752" i="1"/>
  <c r="CU757" i="1"/>
  <c r="CU754" i="1"/>
  <c r="CU847" i="1"/>
  <c r="EP272" i="1"/>
  <c r="CU483" i="1"/>
  <c r="CU849" i="1"/>
  <c r="CU283" i="1"/>
  <c r="CU1602" i="1"/>
  <c r="CU848" i="1"/>
  <c r="CV433" i="1"/>
  <c r="CV845" i="1"/>
  <c r="CU212" i="1"/>
  <c r="CV1602" i="1"/>
  <c r="CU759" i="1"/>
  <c r="CU840" i="1"/>
  <c r="CU798" i="1"/>
  <c r="CV758" i="1"/>
  <c r="CU801" i="1"/>
  <c r="CU435" i="1"/>
  <c r="CU276" i="1"/>
  <c r="CV748" i="1"/>
  <c r="CU1599" i="1"/>
  <c r="CU482" i="1"/>
  <c r="CV482" i="1"/>
  <c r="CU837" i="1"/>
  <c r="CU792" i="1"/>
  <c r="CU845" i="1"/>
  <c r="CU850" i="1"/>
  <c r="CV274" i="1"/>
  <c r="BY805" i="1"/>
  <c r="EP805" i="1" s="1"/>
  <c r="CV1599" i="1"/>
  <c r="CU484" i="1"/>
  <c r="CU793" i="1"/>
  <c r="CV285" i="1"/>
  <c r="CV1601" i="1"/>
  <c r="CV847" i="1"/>
  <c r="CV762" i="1"/>
  <c r="CV213" i="1"/>
  <c r="CU797" i="1"/>
  <c r="CU744" i="1"/>
  <c r="CU836" i="1"/>
  <c r="CU839" i="1"/>
  <c r="CV750" i="1"/>
  <c r="CU124" i="1"/>
  <c r="CU761" i="1"/>
  <c r="CV755" i="1"/>
  <c r="CV746" i="1"/>
  <c r="CV761" i="1"/>
  <c r="CV801" i="1"/>
  <c r="CU755" i="1"/>
  <c r="CU746" i="1"/>
  <c r="CU1600" i="1"/>
  <c r="CU795" i="1"/>
  <c r="CU1604" i="1"/>
  <c r="CV793" i="1"/>
  <c r="CU281" i="1"/>
  <c r="CU803" i="1"/>
  <c r="CV760" i="1"/>
  <c r="CV1604" i="1"/>
  <c r="CV483" i="1"/>
  <c r="CU796" i="1"/>
  <c r="CQ432" i="1"/>
  <c r="CP432" i="1"/>
  <c r="CO432" i="1"/>
  <c r="CT432" i="1"/>
  <c r="CS432" i="1"/>
  <c r="CR432" i="1"/>
  <c r="CV435" i="1"/>
  <c r="CV279" i="1"/>
  <c r="CU758" i="1"/>
  <c r="CU760" i="1"/>
  <c r="CU748" i="1"/>
  <c r="CU285" i="1"/>
  <c r="CU275" i="1"/>
  <c r="CV283" i="1"/>
  <c r="CV802" i="1"/>
  <c r="CU1157" i="1"/>
  <c r="CU274" i="1"/>
  <c r="CV281" i="1"/>
  <c r="CV434" i="1"/>
  <c r="CV805" i="1"/>
  <c r="CU1156" i="1"/>
  <c r="CU431" i="1"/>
  <c r="CV1157" i="1"/>
  <c r="CV846" i="1"/>
  <c r="CU278" i="1"/>
  <c r="CU434" i="1"/>
  <c r="CV794" i="1"/>
  <c r="CV749" i="1"/>
  <c r="CU805" i="1"/>
  <c r="CV1156" i="1"/>
  <c r="CV838" i="1"/>
  <c r="CU799" i="1"/>
  <c r="CU750" i="1"/>
  <c r="CU838" i="1"/>
  <c r="CU846" i="1"/>
  <c r="CV840" i="1"/>
  <c r="CV803" i="1"/>
  <c r="CU794" i="1"/>
  <c r="CU279" i="1"/>
  <c r="CU749" i="1"/>
  <c r="CU804" i="1" l="1"/>
  <c r="CV804" i="1"/>
  <c r="CU432" i="1"/>
  <c r="CV432" i="1"/>
  <c r="EM1714" i="1" l="1"/>
  <c r="DU1714" i="1"/>
  <c r="DT1714" i="1"/>
  <c r="DN1714" i="1"/>
  <c r="DM1714" i="1"/>
  <c r="DL1714" i="1"/>
  <c r="DK1714" i="1"/>
  <c r="DI1714" i="1"/>
  <c r="DJ1714" i="1" s="1"/>
  <c r="DB1714" i="1"/>
  <c r="DC1714" i="1" s="1"/>
  <c r="CX1714" i="1"/>
  <c r="CN1714" i="1"/>
  <c r="BV1714" i="1"/>
  <c r="BX1714" i="1" s="1"/>
  <c r="BU1714" i="1"/>
  <c r="BN1714" i="1"/>
  <c r="BO1714" i="1" s="1"/>
  <c r="BM1714" i="1"/>
  <c r="BD1714" i="1"/>
  <c r="BC1714" i="1"/>
  <c r="BB1714" i="1"/>
  <c r="BA1714" i="1"/>
  <c r="AZ1714" i="1"/>
  <c r="AY1714" i="1"/>
  <c r="BE1714" i="1" s="1" a="1"/>
  <c r="BE1714" i="1" s="1"/>
  <c r="AX1714" i="1"/>
  <c r="M1714" i="1"/>
  <c r="EM1699" i="1"/>
  <c r="DU1699" i="1"/>
  <c r="DT1699" i="1"/>
  <c r="DN1699" i="1"/>
  <c r="DM1699" i="1"/>
  <c r="DL1699" i="1"/>
  <c r="DK1699" i="1"/>
  <c r="DI1699" i="1"/>
  <c r="DJ1699" i="1" s="1"/>
  <c r="DB1699" i="1"/>
  <c r="DC1699" i="1" s="1"/>
  <c r="CX1699" i="1"/>
  <c r="CN1699" i="1"/>
  <c r="CP1699" i="1" s="1"/>
  <c r="BV1699" i="1"/>
  <c r="BX1699" i="1" s="1"/>
  <c r="BU1699" i="1"/>
  <c r="BN1699" i="1"/>
  <c r="BO1699" i="1" s="1"/>
  <c r="BM1699" i="1"/>
  <c r="BD1699" i="1"/>
  <c r="BC1699" i="1"/>
  <c r="BB1699" i="1"/>
  <c r="BA1699" i="1"/>
  <c r="AZ1699" i="1"/>
  <c r="AY1699" i="1"/>
  <c r="AX1699" i="1"/>
  <c r="M1699" i="1"/>
  <c r="EM1697" i="1"/>
  <c r="DU1697" i="1"/>
  <c r="DT1697" i="1"/>
  <c r="DN1697" i="1"/>
  <c r="DM1697" i="1"/>
  <c r="DL1697" i="1"/>
  <c r="DK1697" i="1"/>
  <c r="DI1697" i="1"/>
  <c r="DJ1697" i="1" s="1"/>
  <c r="DB1697" i="1"/>
  <c r="DC1697" i="1" s="1"/>
  <c r="CX1697" i="1"/>
  <c r="CN1697" i="1"/>
  <c r="CS1697" i="1" s="1"/>
  <c r="BV1697" i="1"/>
  <c r="BX1697" i="1" s="1"/>
  <c r="BU1697" i="1"/>
  <c r="BN1697" i="1"/>
  <c r="BO1697" i="1" s="1"/>
  <c r="BM1697" i="1"/>
  <c r="BD1697" i="1"/>
  <c r="BC1697" i="1"/>
  <c r="BB1697" i="1"/>
  <c r="BA1697" i="1"/>
  <c r="AZ1697" i="1"/>
  <c r="AY1697" i="1"/>
  <c r="AX1697" i="1"/>
  <c r="M1697" i="1"/>
  <c r="EM1692" i="1"/>
  <c r="DU1692" i="1"/>
  <c r="DT1692" i="1"/>
  <c r="DN1692" i="1"/>
  <c r="DM1692" i="1"/>
  <c r="DL1692" i="1"/>
  <c r="DK1692" i="1"/>
  <c r="DI1692" i="1"/>
  <c r="DJ1692" i="1" s="1"/>
  <c r="DB1692" i="1"/>
  <c r="DC1692" i="1" s="1"/>
  <c r="CX1692" i="1"/>
  <c r="CN1692" i="1"/>
  <c r="CS1692" i="1" s="1"/>
  <c r="BV1692" i="1"/>
  <c r="BX1692" i="1" s="1"/>
  <c r="BU1692" i="1"/>
  <c r="BN1692" i="1"/>
  <c r="BO1692" i="1" s="1"/>
  <c r="BM1692" i="1"/>
  <c r="BD1692" i="1"/>
  <c r="BC1692" i="1"/>
  <c r="BB1692" i="1"/>
  <c r="BA1692" i="1"/>
  <c r="AZ1692" i="1"/>
  <c r="AY1692" i="1"/>
  <c r="AX1692" i="1"/>
  <c r="M1692" i="1"/>
  <c r="EM1690" i="1"/>
  <c r="DU1690" i="1"/>
  <c r="DT1690" i="1"/>
  <c r="DN1690" i="1"/>
  <c r="DM1690" i="1"/>
  <c r="DL1690" i="1"/>
  <c r="DK1690" i="1"/>
  <c r="DI1690" i="1"/>
  <c r="DJ1690" i="1" s="1"/>
  <c r="DB1690" i="1"/>
  <c r="DC1690" i="1" s="1"/>
  <c r="CX1690" i="1"/>
  <c r="CN1690" i="1"/>
  <c r="CR1690" i="1" s="1"/>
  <c r="BV1690" i="1"/>
  <c r="BX1690" i="1" s="1"/>
  <c r="BU1690" i="1"/>
  <c r="BN1690" i="1"/>
  <c r="BO1690" i="1" s="1"/>
  <c r="BM1690" i="1"/>
  <c r="BD1690" i="1"/>
  <c r="BC1690" i="1"/>
  <c r="BB1690" i="1"/>
  <c r="BA1690" i="1"/>
  <c r="AZ1690" i="1"/>
  <c r="AY1690" i="1"/>
  <c r="AX1690" i="1"/>
  <c r="M1690" i="1"/>
  <c r="EM1689" i="1"/>
  <c r="DU1689" i="1"/>
  <c r="DT1689" i="1"/>
  <c r="DN1689" i="1"/>
  <c r="DM1689" i="1"/>
  <c r="DL1689" i="1"/>
  <c r="DK1689" i="1"/>
  <c r="DI1689" i="1"/>
  <c r="DJ1689" i="1" s="1"/>
  <c r="DB1689" i="1"/>
  <c r="DC1689" i="1" s="1"/>
  <c r="CX1689" i="1"/>
  <c r="CN1689" i="1"/>
  <c r="CP1689" i="1" s="1"/>
  <c r="BV1689" i="1"/>
  <c r="BX1689" i="1" s="1"/>
  <c r="BU1689" i="1"/>
  <c r="BN1689" i="1"/>
  <c r="BO1689" i="1" s="1"/>
  <c r="BM1689" i="1"/>
  <c r="BD1689" i="1"/>
  <c r="BC1689" i="1"/>
  <c r="BB1689" i="1"/>
  <c r="BA1689" i="1"/>
  <c r="AZ1689" i="1"/>
  <c r="AY1689" i="1"/>
  <c r="AX1689" i="1"/>
  <c r="M1689" i="1"/>
  <c r="EM1713" i="1"/>
  <c r="DU1713" i="1"/>
  <c r="DT1713" i="1"/>
  <c r="DN1713" i="1"/>
  <c r="DM1713" i="1"/>
  <c r="DL1713" i="1"/>
  <c r="DK1713" i="1"/>
  <c r="DI1713" i="1"/>
  <c r="DJ1713" i="1" s="1"/>
  <c r="DB1713" i="1"/>
  <c r="DC1713" i="1" s="1"/>
  <c r="CX1713" i="1"/>
  <c r="CN1713" i="1"/>
  <c r="CO1713" i="1" s="1"/>
  <c r="BV1713" i="1"/>
  <c r="BX1713" i="1" s="1"/>
  <c r="BU1713" i="1"/>
  <c r="BN1713" i="1"/>
  <c r="BO1713" i="1" s="1"/>
  <c r="BM1713" i="1"/>
  <c r="BD1713" i="1"/>
  <c r="BC1713" i="1"/>
  <c r="BB1713" i="1"/>
  <c r="BA1713" i="1"/>
  <c r="AZ1713" i="1"/>
  <c r="AY1713" i="1"/>
  <c r="BE1713" i="1" s="1" a="1"/>
  <c r="BE1713" i="1" s="1"/>
  <c r="AX1713" i="1"/>
  <c r="M1713" i="1"/>
  <c r="EM1712" i="1"/>
  <c r="DU1712" i="1"/>
  <c r="DT1712" i="1"/>
  <c r="DN1712" i="1"/>
  <c r="DM1712" i="1"/>
  <c r="DL1712" i="1"/>
  <c r="DK1712" i="1"/>
  <c r="DI1712" i="1"/>
  <c r="DJ1712" i="1" s="1"/>
  <c r="DB1712" i="1"/>
  <c r="DC1712" i="1" s="1"/>
  <c r="CX1712" i="1"/>
  <c r="CN1712" i="1"/>
  <c r="CR1712" i="1" s="1"/>
  <c r="BV1712" i="1"/>
  <c r="BX1712" i="1" s="1"/>
  <c r="BU1712" i="1"/>
  <c r="BN1712" i="1"/>
  <c r="BO1712" i="1" s="1"/>
  <c r="BM1712" i="1"/>
  <c r="BD1712" i="1"/>
  <c r="BC1712" i="1"/>
  <c r="BB1712" i="1"/>
  <c r="BA1712" i="1"/>
  <c r="AZ1712" i="1"/>
  <c r="AY1712" i="1"/>
  <c r="BE1712" i="1" s="1" a="1"/>
  <c r="BE1712" i="1" s="1"/>
  <c r="AX1712" i="1"/>
  <c r="M1712" i="1"/>
  <c r="EM1733" i="1"/>
  <c r="DU1733" i="1"/>
  <c r="DT1733" i="1"/>
  <c r="DN1733" i="1"/>
  <c r="DM1733" i="1"/>
  <c r="DL1733" i="1"/>
  <c r="DK1733" i="1"/>
  <c r="DI1733" i="1"/>
  <c r="DJ1733" i="1" s="1"/>
  <c r="DB1733" i="1"/>
  <c r="DC1733" i="1" s="1"/>
  <c r="CX1733" i="1"/>
  <c r="CN1733" i="1"/>
  <c r="BV1733" i="1"/>
  <c r="BX1733" i="1" s="1"/>
  <c r="BY1733" i="1" s="1"/>
  <c r="BU1733" i="1"/>
  <c r="BD1733" i="1"/>
  <c r="BC1733" i="1"/>
  <c r="BB1733" i="1"/>
  <c r="BA1733" i="1"/>
  <c r="AZ1733" i="1"/>
  <c r="AY1733" i="1"/>
  <c r="AX1733" i="1"/>
  <c r="M1733" i="1"/>
  <c r="EM1737" i="1"/>
  <c r="DU1737" i="1"/>
  <c r="DT1737" i="1"/>
  <c r="DN1737" i="1"/>
  <c r="DM1737" i="1"/>
  <c r="DL1737" i="1"/>
  <c r="DK1737" i="1"/>
  <c r="DI1737" i="1"/>
  <c r="DJ1737" i="1" s="1"/>
  <c r="DB1737" i="1"/>
  <c r="DC1737" i="1" s="1"/>
  <c r="CX1737" i="1"/>
  <c r="CN1737" i="1"/>
  <c r="CR1737" i="1" s="1"/>
  <c r="BV1737" i="1"/>
  <c r="BX1737" i="1" s="1"/>
  <c r="BY1737" i="1" s="1"/>
  <c r="BU1737" i="1"/>
  <c r="BD1737" i="1"/>
  <c r="BC1737" i="1"/>
  <c r="BB1737" i="1"/>
  <c r="BA1737" i="1"/>
  <c r="AZ1737" i="1"/>
  <c r="AY1737" i="1"/>
  <c r="BE1737" i="1" s="1" a="1"/>
  <c r="BE1737" i="1" s="1"/>
  <c r="AX1737" i="1"/>
  <c r="M1737" i="1"/>
  <c r="EM1732" i="1"/>
  <c r="DU1732" i="1"/>
  <c r="DT1732" i="1"/>
  <c r="DN1732" i="1"/>
  <c r="DM1732" i="1"/>
  <c r="DL1732" i="1"/>
  <c r="DK1732" i="1"/>
  <c r="DI1732" i="1"/>
  <c r="DJ1732" i="1" s="1"/>
  <c r="DB1732" i="1"/>
  <c r="DC1732" i="1" s="1"/>
  <c r="CX1732" i="1"/>
  <c r="CN1732" i="1"/>
  <c r="CR1732" i="1" s="1"/>
  <c r="BV1732" i="1"/>
  <c r="BX1732" i="1" s="1"/>
  <c r="BU1732" i="1"/>
  <c r="BD1732" i="1"/>
  <c r="BC1732" i="1"/>
  <c r="BB1732" i="1"/>
  <c r="BA1732" i="1"/>
  <c r="AZ1732" i="1"/>
  <c r="AY1732" i="1"/>
  <c r="AX1732" i="1"/>
  <c r="M1732" i="1"/>
  <c r="EM1731" i="1"/>
  <c r="DU1731" i="1"/>
  <c r="DT1731" i="1"/>
  <c r="DN1731" i="1"/>
  <c r="DM1731" i="1"/>
  <c r="DL1731" i="1"/>
  <c r="DK1731" i="1"/>
  <c r="DI1731" i="1"/>
  <c r="DJ1731" i="1" s="1"/>
  <c r="DB1731" i="1"/>
  <c r="DC1731" i="1" s="1"/>
  <c r="CX1731" i="1"/>
  <c r="CN1731" i="1"/>
  <c r="CR1731" i="1" s="1"/>
  <c r="BV1731" i="1"/>
  <c r="BX1731" i="1" s="1"/>
  <c r="BY1731" i="1" s="1"/>
  <c r="BU1731" i="1"/>
  <c r="BD1731" i="1"/>
  <c r="BC1731" i="1"/>
  <c r="BB1731" i="1"/>
  <c r="BA1731" i="1"/>
  <c r="AZ1731" i="1"/>
  <c r="AY1731" i="1"/>
  <c r="AX1731" i="1"/>
  <c r="M1731" i="1"/>
  <c r="EM1730" i="1"/>
  <c r="DU1730" i="1"/>
  <c r="DT1730" i="1"/>
  <c r="DN1730" i="1"/>
  <c r="DM1730" i="1"/>
  <c r="DL1730" i="1"/>
  <c r="DK1730" i="1"/>
  <c r="DI1730" i="1"/>
  <c r="DJ1730" i="1" s="1"/>
  <c r="DB1730" i="1"/>
  <c r="DC1730" i="1" s="1"/>
  <c r="CX1730" i="1"/>
  <c r="CN1730" i="1"/>
  <c r="CR1730" i="1" s="1"/>
  <c r="BV1730" i="1"/>
  <c r="BX1730" i="1" s="1"/>
  <c r="BY1730" i="1" s="1"/>
  <c r="BU1730" i="1"/>
  <c r="BD1730" i="1"/>
  <c r="BC1730" i="1"/>
  <c r="BB1730" i="1"/>
  <c r="BA1730" i="1"/>
  <c r="AZ1730" i="1"/>
  <c r="AY1730" i="1"/>
  <c r="AX1730" i="1"/>
  <c r="M1730" i="1"/>
  <c r="EM1736" i="1"/>
  <c r="DU1736" i="1"/>
  <c r="DT1736" i="1"/>
  <c r="DN1736" i="1"/>
  <c r="DM1736" i="1"/>
  <c r="DL1736" i="1"/>
  <c r="DK1736" i="1"/>
  <c r="DI1736" i="1"/>
  <c r="DJ1736" i="1" s="1"/>
  <c r="DB1736" i="1"/>
  <c r="DC1736" i="1" s="1"/>
  <c r="CX1736" i="1"/>
  <c r="CN1736" i="1"/>
  <c r="CS1736" i="1" s="1"/>
  <c r="BV1736" i="1"/>
  <c r="BX1736" i="1" s="1"/>
  <c r="BU1736" i="1"/>
  <c r="BD1736" i="1"/>
  <c r="BC1736" i="1"/>
  <c r="BB1736" i="1"/>
  <c r="BA1736" i="1"/>
  <c r="AZ1736" i="1"/>
  <c r="AY1736" i="1"/>
  <c r="BE1736" i="1" s="1" a="1"/>
  <c r="BE1736" i="1" s="1"/>
  <c r="AX1736" i="1"/>
  <c r="M1736" i="1"/>
  <c r="EM1729" i="1"/>
  <c r="DU1729" i="1"/>
  <c r="DT1729" i="1"/>
  <c r="DN1729" i="1"/>
  <c r="DM1729" i="1"/>
  <c r="DL1729" i="1"/>
  <c r="DK1729" i="1"/>
  <c r="DI1729" i="1"/>
  <c r="DJ1729" i="1" s="1"/>
  <c r="DB1729" i="1"/>
  <c r="DC1729" i="1" s="1"/>
  <c r="CX1729" i="1"/>
  <c r="CN1729" i="1"/>
  <c r="CS1729" i="1" s="1"/>
  <c r="BV1729" i="1"/>
  <c r="BX1729" i="1" s="1"/>
  <c r="BY1729" i="1" s="1"/>
  <c r="BU1729" i="1"/>
  <c r="BD1729" i="1"/>
  <c r="BC1729" i="1"/>
  <c r="BB1729" i="1"/>
  <c r="BA1729" i="1"/>
  <c r="AZ1729" i="1"/>
  <c r="AY1729" i="1"/>
  <c r="AX1729" i="1"/>
  <c r="M1729" i="1"/>
  <c r="EM1728" i="1"/>
  <c r="DU1728" i="1"/>
  <c r="DT1728" i="1"/>
  <c r="DN1728" i="1"/>
  <c r="DM1728" i="1"/>
  <c r="DL1728" i="1"/>
  <c r="DK1728" i="1"/>
  <c r="DI1728" i="1"/>
  <c r="DJ1728" i="1" s="1"/>
  <c r="DB1728" i="1"/>
  <c r="DC1728" i="1" s="1"/>
  <c r="CX1728" i="1"/>
  <c r="CN1728" i="1"/>
  <c r="BV1728" i="1"/>
  <c r="BX1728" i="1" s="1"/>
  <c r="BY1728" i="1" s="1"/>
  <c r="BU1728" i="1"/>
  <c r="BD1728" i="1"/>
  <c r="BC1728" i="1"/>
  <c r="BB1728" i="1"/>
  <c r="BA1728" i="1"/>
  <c r="AZ1728" i="1"/>
  <c r="AY1728" i="1"/>
  <c r="AX1728" i="1"/>
  <c r="M1728" i="1"/>
  <c r="EM1702" i="1"/>
  <c r="DU1702" i="1"/>
  <c r="DT1702" i="1"/>
  <c r="DN1702" i="1"/>
  <c r="DM1702" i="1"/>
  <c r="DL1702" i="1"/>
  <c r="DK1702" i="1"/>
  <c r="DI1702" i="1"/>
  <c r="DJ1702" i="1" s="1"/>
  <c r="DB1702" i="1"/>
  <c r="DC1702" i="1" s="1"/>
  <c r="CX1702" i="1"/>
  <c r="CN1702" i="1"/>
  <c r="CS1702" i="1" s="1"/>
  <c r="BV1702" i="1"/>
  <c r="BX1702" i="1" s="1"/>
  <c r="BU1702" i="1"/>
  <c r="BN1702" i="1"/>
  <c r="BO1702" i="1" s="1"/>
  <c r="BM1702" i="1"/>
  <c r="BD1702" i="1"/>
  <c r="BC1702" i="1"/>
  <c r="BB1702" i="1"/>
  <c r="BA1702" i="1"/>
  <c r="AZ1702" i="1"/>
  <c r="AY1702" i="1"/>
  <c r="AX1702" i="1"/>
  <c r="M1702" i="1"/>
  <c r="EM1701" i="1"/>
  <c r="DU1701" i="1"/>
  <c r="DT1701" i="1"/>
  <c r="DN1701" i="1"/>
  <c r="DM1701" i="1"/>
  <c r="DL1701" i="1"/>
  <c r="DK1701" i="1"/>
  <c r="DI1701" i="1"/>
  <c r="DJ1701" i="1" s="1"/>
  <c r="DB1701" i="1"/>
  <c r="DC1701" i="1" s="1"/>
  <c r="CX1701" i="1"/>
  <c r="CN1701" i="1"/>
  <c r="BV1701" i="1"/>
  <c r="BX1701" i="1" s="1"/>
  <c r="BU1701" i="1"/>
  <c r="BN1701" i="1"/>
  <c r="BO1701" i="1" s="1"/>
  <c r="BM1701" i="1"/>
  <c r="BD1701" i="1"/>
  <c r="BC1701" i="1"/>
  <c r="BB1701" i="1"/>
  <c r="BA1701" i="1"/>
  <c r="AZ1701" i="1"/>
  <c r="AY1701" i="1"/>
  <c r="AX1701" i="1"/>
  <c r="M1701" i="1"/>
  <c r="EM1698" i="1"/>
  <c r="DU1698" i="1"/>
  <c r="DT1698" i="1"/>
  <c r="DN1698" i="1"/>
  <c r="DM1698" i="1"/>
  <c r="DL1698" i="1"/>
  <c r="DK1698" i="1"/>
  <c r="DI1698" i="1"/>
  <c r="DJ1698" i="1" s="1"/>
  <c r="DB1698" i="1"/>
  <c r="DC1698" i="1" s="1"/>
  <c r="CX1698" i="1"/>
  <c r="CN1698" i="1"/>
  <c r="CS1698" i="1" s="1"/>
  <c r="BV1698" i="1"/>
  <c r="BX1698" i="1" s="1"/>
  <c r="BU1698" i="1"/>
  <c r="BN1698" i="1"/>
  <c r="BO1698" i="1" s="1"/>
  <c r="BM1698" i="1"/>
  <c r="BD1698" i="1"/>
  <c r="BC1698" i="1"/>
  <c r="BB1698" i="1"/>
  <c r="BA1698" i="1"/>
  <c r="AZ1698" i="1"/>
  <c r="AY1698" i="1"/>
  <c r="AX1698" i="1"/>
  <c r="M1698" i="1"/>
  <c r="EM1696" i="1"/>
  <c r="DU1696" i="1"/>
  <c r="DT1696" i="1"/>
  <c r="DN1696" i="1"/>
  <c r="DM1696" i="1"/>
  <c r="DL1696" i="1"/>
  <c r="DK1696" i="1"/>
  <c r="DI1696" i="1"/>
  <c r="DJ1696" i="1" s="1"/>
  <c r="DB1696" i="1"/>
  <c r="DC1696" i="1" s="1"/>
  <c r="CX1696" i="1"/>
  <c r="CN1696" i="1"/>
  <c r="CR1696" i="1" s="1"/>
  <c r="BV1696" i="1"/>
  <c r="BX1696" i="1" s="1"/>
  <c r="BU1696" i="1"/>
  <c r="BN1696" i="1"/>
  <c r="BO1696" i="1" s="1"/>
  <c r="BM1696" i="1"/>
  <c r="BD1696" i="1"/>
  <c r="BC1696" i="1"/>
  <c r="BB1696" i="1"/>
  <c r="BA1696" i="1"/>
  <c r="AZ1696" i="1"/>
  <c r="AY1696" i="1"/>
  <c r="AX1696" i="1"/>
  <c r="M1696" i="1"/>
  <c r="EM1695" i="1"/>
  <c r="DU1695" i="1"/>
  <c r="DT1695" i="1"/>
  <c r="DN1695" i="1"/>
  <c r="DM1695" i="1"/>
  <c r="DL1695" i="1"/>
  <c r="DK1695" i="1"/>
  <c r="DI1695" i="1"/>
  <c r="DJ1695" i="1" s="1"/>
  <c r="DB1695" i="1"/>
  <c r="DC1695" i="1" s="1"/>
  <c r="CX1695" i="1"/>
  <c r="CN1695" i="1"/>
  <c r="CR1695" i="1" s="1"/>
  <c r="BV1695" i="1"/>
  <c r="BX1695" i="1" s="1"/>
  <c r="BU1695" i="1"/>
  <c r="BN1695" i="1"/>
  <c r="BO1695" i="1" s="1"/>
  <c r="BM1695" i="1"/>
  <c r="BD1695" i="1"/>
  <c r="BC1695" i="1"/>
  <c r="BB1695" i="1"/>
  <c r="BA1695" i="1"/>
  <c r="AZ1695" i="1"/>
  <c r="AY1695" i="1"/>
  <c r="AX1695" i="1"/>
  <c r="M1695" i="1"/>
  <c r="EM1688" i="1"/>
  <c r="DU1688" i="1"/>
  <c r="DT1688" i="1"/>
  <c r="DN1688" i="1"/>
  <c r="DM1688" i="1"/>
  <c r="DL1688" i="1"/>
  <c r="DK1688" i="1"/>
  <c r="DI1688" i="1"/>
  <c r="DJ1688" i="1" s="1"/>
  <c r="DB1688" i="1"/>
  <c r="DC1688" i="1" s="1"/>
  <c r="CX1688" i="1"/>
  <c r="CN1688" i="1"/>
  <c r="BV1688" i="1"/>
  <c r="BX1688" i="1" s="1"/>
  <c r="BU1688" i="1"/>
  <c r="BN1688" i="1"/>
  <c r="BO1688" i="1" s="1"/>
  <c r="BM1688" i="1"/>
  <c r="BD1688" i="1"/>
  <c r="BC1688" i="1"/>
  <c r="BB1688" i="1"/>
  <c r="BA1688" i="1"/>
  <c r="AZ1688" i="1"/>
  <c r="AY1688" i="1"/>
  <c r="AX1688" i="1"/>
  <c r="M1688" i="1"/>
  <c r="EM1711" i="1"/>
  <c r="DU1711" i="1"/>
  <c r="DT1711" i="1"/>
  <c r="DN1711" i="1"/>
  <c r="DM1711" i="1"/>
  <c r="DL1711" i="1"/>
  <c r="DK1711" i="1"/>
  <c r="DI1711" i="1"/>
  <c r="DJ1711" i="1" s="1"/>
  <c r="DB1711" i="1"/>
  <c r="DC1711" i="1" s="1"/>
  <c r="CX1711" i="1"/>
  <c r="CN1711" i="1"/>
  <c r="CO1711" i="1" s="1"/>
  <c r="BV1711" i="1"/>
  <c r="BX1711" i="1" s="1"/>
  <c r="BU1711" i="1"/>
  <c r="BN1711" i="1"/>
  <c r="BO1711" i="1" s="1"/>
  <c r="BM1711" i="1"/>
  <c r="BD1711" i="1"/>
  <c r="BC1711" i="1"/>
  <c r="BB1711" i="1"/>
  <c r="BA1711" i="1"/>
  <c r="AZ1711" i="1"/>
  <c r="AY1711" i="1"/>
  <c r="BE1711" i="1" s="1" a="1"/>
  <c r="BE1711" i="1" s="1"/>
  <c r="AX1711" i="1"/>
  <c r="M1711" i="1"/>
  <c r="EM1708" i="1"/>
  <c r="DU1708" i="1"/>
  <c r="DT1708" i="1"/>
  <c r="DN1708" i="1"/>
  <c r="DM1708" i="1"/>
  <c r="DL1708" i="1"/>
  <c r="DK1708" i="1"/>
  <c r="DI1708" i="1"/>
  <c r="DJ1708" i="1" s="1"/>
  <c r="DB1708" i="1"/>
  <c r="DC1708" i="1" s="1"/>
  <c r="CX1708" i="1"/>
  <c r="CN1708" i="1"/>
  <c r="CS1708" i="1" s="1"/>
  <c r="BV1708" i="1"/>
  <c r="BX1708" i="1" s="1"/>
  <c r="BU1708" i="1"/>
  <c r="BN1708" i="1"/>
  <c r="BO1708" i="1" s="1"/>
  <c r="BM1708" i="1"/>
  <c r="BD1708" i="1"/>
  <c r="BC1708" i="1"/>
  <c r="BB1708" i="1"/>
  <c r="BA1708" i="1"/>
  <c r="AZ1708" i="1"/>
  <c r="AY1708" i="1"/>
  <c r="BE1708" i="1" s="1" a="1"/>
  <c r="BE1708" i="1" s="1"/>
  <c r="AX1708" i="1"/>
  <c r="M1708" i="1"/>
  <c r="EM1703" i="1"/>
  <c r="DU1703" i="1"/>
  <c r="DT1703" i="1"/>
  <c r="DN1703" i="1"/>
  <c r="DM1703" i="1"/>
  <c r="DL1703" i="1"/>
  <c r="DK1703" i="1"/>
  <c r="DI1703" i="1"/>
  <c r="DJ1703" i="1" s="1"/>
  <c r="DB1703" i="1"/>
  <c r="DC1703" i="1" s="1"/>
  <c r="CX1703" i="1"/>
  <c r="CN1703" i="1"/>
  <c r="CR1703" i="1" s="1"/>
  <c r="BV1703" i="1"/>
  <c r="BX1703" i="1" s="1"/>
  <c r="BU1703" i="1"/>
  <c r="BN1703" i="1"/>
  <c r="BO1703" i="1" s="1"/>
  <c r="BM1703" i="1"/>
  <c r="BD1703" i="1"/>
  <c r="BC1703" i="1"/>
  <c r="BB1703" i="1"/>
  <c r="BA1703" i="1"/>
  <c r="AZ1703" i="1"/>
  <c r="AY1703" i="1"/>
  <c r="AX1703" i="1"/>
  <c r="M1703" i="1"/>
  <c r="EM1700" i="1"/>
  <c r="DU1700" i="1"/>
  <c r="DT1700" i="1"/>
  <c r="DN1700" i="1"/>
  <c r="DM1700" i="1"/>
  <c r="DL1700" i="1"/>
  <c r="DK1700" i="1"/>
  <c r="DI1700" i="1"/>
  <c r="DJ1700" i="1" s="1"/>
  <c r="DB1700" i="1"/>
  <c r="DC1700" i="1" s="1"/>
  <c r="CX1700" i="1"/>
  <c r="CN1700" i="1"/>
  <c r="BV1700" i="1"/>
  <c r="BX1700" i="1" s="1"/>
  <c r="BU1700" i="1"/>
  <c r="BN1700" i="1"/>
  <c r="BO1700" i="1" s="1"/>
  <c r="BM1700" i="1"/>
  <c r="BD1700" i="1"/>
  <c r="BC1700" i="1"/>
  <c r="BB1700" i="1"/>
  <c r="BA1700" i="1"/>
  <c r="AZ1700" i="1"/>
  <c r="AY1700" i="1"/>
  <c r="AX1700" i="1"/>
  <c r="M1700" i="1"/>
  <c r="EM1694" i="1"/>
  <c r="DU1694" i="1"/>
  <c r="DT1694" i="1"/>
  <c r="DN1694" i="1"/>
  <c r="DM1694" i="1"/>
  <c r="DL1694" i="1"/>
  <c r="DK1694" i="1"/>
  <c r="DI1694" i="1"/>
  <c r="DJ1694" i="1" s="1"/>
  <c r="DB1694" i="1"/>
  <c r="DC1694" i="1" s="1"/>
  <c r="CX1694" i="1"/>
  <c r="CN1694" i="1"/>
  <c r="CS1694" i="1" s="1"/>
  <c r="BV1694" i="1"/>
  <c r="BX1694" i="1" s="1"/>
  <c r="BU1694" i="1"/>
  <c r="BN1694" i="1"/>
  <c r="BO1694" i="1" s="1"/>
  <c r="BM1694" i="1"/>
  <c r="BD1694" i="1"/>
  <c r="BC1694" i="1"/>
  <c r="BB1694" i="1"/>
  <c r="BA1694" i="1"/>
  <c r="AZ1694" i="1"/>
  <c r="AY1694" i="1"/>
  <c r="AX1694" i="1"/>
  <c r="M1694" i="1"/>
  <c r="EM1693" i="1"/>
  <c r="DU1693" i="1"/>
  <c r="DT1693" i="1"/>
  <c r="DN1693" i="1"/>
  <c r="DM1693" i="1"/>
  <c r="DL1693" i="1"/>
  <c r="DK1693" i="1"/>
  <c r="DI1693" i="1"/>
  <c r="DJ1693" i="1" s="1"/>
  <c r="DB1693" i="1"/>
  <c r="DC1693" i="1" s="1"/>
  <c r="CX1693" i="1"/>
  <c r="CN1693" i="1"/>
  <c r="CS1693" i="1" s="1"/>
  <c r="BV1693" i="1"/>
  <c r="BX1693" i="1" s="1"/>
  <c r="BU1693" i="1"/>
  <c r="BN1693" i="1"/>
  <c r="BO1693" i="1" s="1"/>
  <c r="BM1693" i="1"/>
  <c r="BD1693" i="1"/>
  <c r="BC1693" i="1"/>
  <c r="BB1693" i="1"/>
  <c r="BA1693" i="1"/>
  <c r="AZ1693" i="1"/>
  <c r="AY1693" i="1"/>
  <c r="AX1693" i="1"/>
  <c r="M1693" i="1"/>
  <c r="EM1691" i="1"/>
  <c r="DU1691" i="1"/>
  <c r="DT1691" i="1"/>
  <c r="DN1691" i="1"/>
  <c r="DM1691" i="1"/>
  <c r="DL1691" i="1"/>
  <c r="DK1691" i="1"/>
  <c r="DI1691" i="1"/>
  <c r="DJ1691" i="1" s="1"/>
  <c r="DB1691" i="1"/>
  <c r="DC1691" i="1" s="1"/>
  <c r="CX1691" i="1"/>
  <c r="CN1691" i="1"/>
  <c r="CP1691" i="1" s="1"/>
  <c r="BV1691" i="1"/>
  <c r="BX1691" i="1" s="1"/>
  <c r="BU1691" i="1"/>
  <c r="BN1691" i="1"/>
  <c r="BO1691" i="1" s="1"/>
  <c r="BM1691" i="1"/>
  <c r="BD1691" i="1"/>
  <c r="BC1691" i="1"/>
  <c r="BB1691" i="1"/>
  <c r="BA1691" i="1"/>
  <c r="AZ1691" i="1"/>
  <c r="AY1691" i="1"/>
  <c r="AX1691" i="1"/>
  <c r="M1691" i="1"/>
  <c r="EM1709" i="1"/>
  <c r="DU1709" i="1"/>
  <c r="DT1709" i="1"/>
  <c r="DN1709" i="1"/>
  <c r="DM1709" i="1"/>
  <c r="DL1709" i="1"/>
  <c r="DK1709" i="1"/>
  <c r="DI1709" i="1"/>
  <c r="DJ1709" i="1" s="1"/>
  <c r="DB1709" i="1"/>
  <c r="DC1709" i="1" s="1"/>
  <c r="CX1709" i="1"/>
  <c r="CN1709" i="1"/>
  <c r="CR1709" i="1" s="1"/>
  <c r="BV1709" i="1"/>
  <c r="BX1709" i="1" s="1"/>
  <c r="BU1709" i="1"/>
  <c r="BN1709" i="1"/>
  <c r="BO1709" i="1" s="1"/>
  <c r="BM1709" i="1"/>
  <c r="BD1709" i="1"/>
  <c r="BC1709" i="1"/>
  <c r="BB1709" i="1"/>
  <c r="BA1709" i="1"/>
  <c r="AZ1709" i="1"/>
  <c r="AY1709" i="1"/>
  <c r="BE1709" i="1" s="1" a="1"/>
  <c r="BE1709" i="1" s="1"/>
  <c r="AX1709" i="1"/>
  <c r="M1709" i="1"/>
  <c r="EM1706" i="1"/>
  <c r="DU1706" i="1"/>
  <c r="DT1706" i="1"/>
  <c r="DN1706" i="1"/>
  <c r="DM1706" i="1"/>
  <c r="DL1706" i="1"/>
  <c r="DK1706" i="1"/>
  <c r="DI1706" i="1"/>
  <c r="DJ1706" i="1" s="1"/>
  <c r="DB1706" i="1"/>
  <c r="DC1706" i="1" s="1"/>
  <c r="CX1706" i="1"/>
  <c r="CN1706" i="1"/>
  <c r="CR1706" i="1" s="1"/>
  <c r="BV1706" i="1"/>
  <c r="BX1706" i="1" s="1"/>
  <c r="BU1706" i="1"/>
  <c r="BN1706" i="1"/>
  <c r="BO1706" i="1" s="1"/>
  <c r="BM1706" i="1"/>
  <c r="BD1706" i="1"/>
  <c r="BC1706" i="1"/>
  <c r="BB1706" i="1"/>
  <c r="BA1706" i="1"/>
  <c r="AZ1706" i="1"/>
  <c r="AY1706" i="1"/>
  <c r="BE1706" i="1" s="1" a="1"/>
  <c r="BE1706" i="1" s="1"/>
  <c r="AX1706" i="1"/>
  <c r="M1706" i="1"/>
  <c r="EM1710" i="1"/>
  <c r="DU1710" i="1"/>
  <c r="DT1710" i="1"/>
  <c r="DN1710" i="1"/>
  <c r="DM1710" i="1"/>
  <c r="DL1710" i="1"/>
  <c r="DK1710" i="1"/>
  <c r="DI1710" i="1"/>
  <c r="DJ1710" i="1" s="1"/>
  <c r="DB1710" i="1"/>
  <c r="DC1710" i="1" s="1"/>
  <c r="CX1710" i="1"/>
  <c r="CN1710" i="1"/>
  <c r="CP1710" i="1" s="1"/>
  <c r="BV1710" i="1"/>
  <c r="BX1710" i="1" s="1"/>
  <c r="BU1710" i="1"/>
  <c r="BN1710" i="1"/>
  <c r="BO1710" i="1" s="1"/>
  <c r="BM1710" i="1"/>
  <c r="BD1710" i="1"/>
  <c r="BC1710" i="1"/>
  <c r="BB1710" i="1"/>
  <c r="BA1710" i="1"/>
  <c r="AZ1710" i="1"/>
  <c r="AY1710" i="1"/>
  <c r="BE1710" i="1" s="1" a="1"/>
  <c r="BE1710" i="1" s="1"/>
  <c r="AX1710" i="1"/>
  <c r="M1710" i="1"/>
  <c r="EM1727" i="1"/>
  <c r="DU1727" i="1"/>
  <c r="DT1727" i="1"/>
  <c r="DN1727" i="1"/>
  <c r="DM1727" i="1"/>
  <c r="DL1727" i="1"/>
  <c r="DK1727" i="1"/>
  <c r="DI1727" i="1"/>
  <c r="DJ1727" i="1" s="1"/>
  <c r="DB1727" i="1"/>
  <c r="DC1727" i="1" s="1"/>
  <c r="CX1727" i="1"/>
  <c r="CN1727" i="1"/>
  <c r="CR1727" i="1" s="1"/>
  <c r="BV1727" i="1"/>
  <c r="BX1727" i="1" s="1"/>
  <c r="BY1727" i="1" s="1"/>
  <c r="BU1727" i="1"/>
  <c r="BD1727" i="1"/>
  <c r="BC1727" i="1"/>
  <c r="BB1727" i="1"/>
  <c r="BA1727" i="1"/>
  <c r="AZ1727" i="1"/>
  <c r="AY1727" i="1"/>
  <c r="AX1727" i="1"/>
  <c r="M1727" i="1"/>
  <c r="EM1726" i="1"/>
  <c r="DU1726" i="1"/>
  <c r="DT1726" i="1"/>
  <c r="DN1726" i="1"/>
  <c r="DM1726" i="1"/>
  <c r="DL1726" i="1"/>
  <c r="DK1726" i="1"/>
  <c r="DI1726" i="1"/>
  <c r="DJ1726" i="1" s="1"/>
  <c r="DB1726" i="1"/>
  <c r="DC1726" i="1" s="1"/>
  <c r="CX1726" i="1"/>
  <c r="CN1726" i="1"/>
  <c r="CR1726" i="1" s="1"/>
  <c r="BV1726" i="1"/>
  <c r="BX1726" i="1" s="1"/>
  <c r="BY1726" i="1" s="1"/>
  <c r="BU1726" i="1"/>
  <c r="BD1726" i="1"/>
  <c r="BC1726" i="1"/>
  <c r="BB1726" i="1"/>
  <c r="BA1726" i="1"/>
  <c r="AZ1726" i="1"/>
  <c r="AY1726" i="1"/>
  <c r="AX1726" i="1"/>
  <c r="M1726" i="1"/>
  <c r="EM1745" i="1"/>
  <c r="DU1745" i="1"/>
  <c r="DT1745" i="1"/>
  <c r="DN1745" i="1"/>
  <c r="DM1745" i="1"/>
  <c r="DL1745" i="1"/>
  <c r="DK1745" i="1"/>
  <c r="DI1745" i="1"/>
  <c r="DJ1745" i="1" s="1"/>
  <c r="DB1745" i="1"/>
  <c r="DC1745" i="1" s="1"/>
  <c r="CX1745" i="1"/>
  <c r="CN1745" i="1"/>
  <c r="BV1745" i="1"/>
  <c r="BX1745" i="1" s="1"/>
  <c r="BY1745" i="1" s="1"/>
  <c r="BU1745" i="1"/>
  <c r="BD1745" i="1"/>
  <c r="BC1745" i="1"/>
  <c r="BB1745" i="1"/>
  <c r="BA1745" i="1"/>
  <c r="AZ1745" i="1"/>
  <c r="AY1745" i="1"/>
  <c r="BE1745" i="1" s="1" a="1"/>
  <c r="BE1745" i="1" s="1"/>
  <c r="AX1745" i="1"/>
  <c r="M1745" i="1"/>
  <c r="EM1744" i="1"/>
  <c r="DU1744" i="1"/>
  <c r="DT1744" i="1"/>
  <c r="DN1744" i="1"/>
  <c r="DM1744" i="1"/>
  <c r="DL1744" i="1"/>
  <c r="DK1744" i="1"/>
  <c r="DI1744" i="1"/>
  <c r="DJ1744" i="1" s="1"/>
  <c r="DB1744" i="1"/>
  <c r="DC1744" i="1" s="1"/>
  <c r="CX1744" i="1"/>
  <c r="CN1744" i="1"/>
  <c r="CS1744" i="1" s="1"/>
  <c r="BV1744" i="1"/>
  <c r="BX1744" i="1" s="1"/>
  <c r="BY1744" i="1" s="1"/>
  <c r="BU1744" i="1"/>
  <c r="BD1744" i="1"/>
  <c r="BC1744" i="1"/>
  <c r="BB1744" i="1"/>
  <c r="BA1744" i="1"/>
  <c r="AZ1744" i="1"/>
  <c r="AY1744" i="1"/>
  <c r="BE1744" i="1" s="1" a="1"/>
  <c r="BE1744" i="1" s="1"/>
  <c r="AX1744" i="1"/>
  <c r="M1744" i="1"/>
  <c r="EM1725" i="1"/>
  <c r="DU1725" i="1"/>
  <c r="DT1725" i="1"/>
  <c r="DN1725" i="1"/>
  <c r="DM1725" i="1"/>
  <c r="DL1725" i="1"/>
  <c r="DK1725" i="1"/>
  <c r="DI1725" i="1"/>
  <c r="DJ1725" i="1" s="1"/>
  <c r="DB1725" i="1"/>
  <c r="DC1725" i="1" s="1"/>
  <c r="CX1725" i="1"/>
  <c r="CN1725" i="1"/>
  <c r="CS1725" i="1" s="1"/>
  <c r="BV1725" i="1"/>
  <c r="BX1725" i="1" s="1"/>
  <c r="BU1725" i="1"/>
  <c r="BD1725" i="1"/>
  <c r="BC1725" i="1"/>
  <c r="BB1725" i="1"/>
  <c r="BA1725" i="1"/>
  <c r="AZ1725" i="1"/>
  <c r="AY1725" i="1"/>
  <c r="AX1725" i="1"/>
  <c r="M1725" i="1"/>
  <c r="EM1724" i="1"/>
  <c r="DU1724" i="1"/>
  <c r="DT1724" i="1"/>
  <c r="DN1724" i="1"/>
  <c r="DM1724" i="1"/>
  <c r="DL1724" i="1"/>
  <c r="DK1724" i="1"/>
  <c r="DI1724" i="1"/>
  <c r="DJ1724" i="1" s="1"/>
  <c r="DB1724" i="1"/>
  <c r="DC1724" i="1" s="1"/>
  <c r="CX1724" i="1"/>
  <c r="CN1724" i="1"/>
  <c r="BV1724" i="1"/>
  <c r="BX1724" i="1" s="1"/>
  <c r="BY1724" i="1" s="1"/>
  <c r="BU1724" i="1"/>
  <c r="BD1724" i="1"/>
  <c r="BC1724" i="1"/>
  <c r="BB1724" i="1"/>
  <c r="BA1724" i="1"/>
  <c r="AZ1724" i="1"/>
  <c r="AY1724" i="1"/>
  <c r="AX1724" i="1"/>
  <c r="M1724" i="1"/>
  <c r="EM1723" i="1"/>
  <c r="DU1723" i="1"/>
  <c r="DT1723" i="1"/>
  <c r="DN1723" i="1"/>
  <c r="DM1723" i="1"/>
  <c r="DL1723" i="1"/>
  <c r="DK1723" i="1"/>
  <c r="DI1723" i="1"/>
  <c r="DJ1723" i="1" s="1"/>
  <c r="DB1723" i="1"/>
  <c r="DC1723" i="1" s="1"/>
  <c r="CX1723" i="1"/>
  <c r="CN1723" i="1"/>
  <c r="CS1723" i="1" s="1"/>
  <c r="BV1723" i="1"/>
  <c r="BX1723" i="1" s="1"/>
  <c r="BY1723" i="1" s="1"/>
  <c r="BU1723" i="1"/>
  <c r="BD1723" i="1"/>
  <c r="BC1723" i="1"/>
  <c r="BB1723" i="1"/>
  <c r="BA1723" i="1"/>
  <c r="AZ1723" i="1"/>
  <c r="AY1723" i="1"/>
  <c r="AX1723" i="1"/>
  <c r="M1723" i="1"/>
  <c r="EM1722" i="1"/>
  <c r="DU1722" i="1"/>
  <c r="DT1722" i="1"/>
  <c r="DN1722" i="1"/>
  <c r="DM1722" i="1"/>
  <c r="DL1722" i="1"/>
  <c r="DK1722" i="1"/>
  <c r="DI1722" i="1"/>
  <c r="DJ1722" i="1" s="1"/>
  <c r="DB1722" i="1"/>
  <c r="DC1722" i="1" s="1"/>
  <c r="CX1722" i="1"/>
  <c r="CN1722" i="1"/>
  <c r="CR1722" i="1" s="1"/>
  <c r="BV1722" i="1"/>
  <c r="BX1722" i="1" s="1"/>
  <c r="BY1722" i="1" s="1"/>
  <c r="BU1722" i="1"/>
  <c r="BD1722" i="1"/>
  <c r="BC1722" i="1"/>
  <c r="BB1722" i="1"/>
  <c r="BA1722" i="1"/>
  <c r="AZ1722" i="1"/>
  <c r="AY1722" i="1"/>
  <c r="AX1722" i="1"/>
  <c r="M1722" i="1"/>
  <c r="EM1721" i="1"/>
  <c r="DU1721" i="1"/>
  <c r="DT1721" i="1"/>
  <c r="DN1721" i="1"/>
  <c r="DM1721" i="1"/>
  <c r="DL1721" i="1"/>
  <c r="DK1721" i="1"/>
  <c r="DI1721" i="1"/>
  <c r="DJ1721" i="1" s="1"/>
  <c r="DB1721" i="1"/>
  <c r="DC1721" i="1" s="1"/>
  <c r="CX1721" i="1"/>
  <c r="CN1721" i="1"/>
  <c r="BV1721" i="1"/>
  <c r="BX1721" i="1" s="1"/>
  <c r="BY1721" i="1" s="1"/>
  <c r="BU1721" i="1"/>
  <c r="BD1721" i="1"/>
  <c r="BC1721" i="1"/>
  <c r="BB1721" i="1"/>
  <c r="BA1721" i="1"/>
  <c r="AZ1721" i="1"/>
  <c r="AY1721" i="1"/>
  <c r="AX1721" i="1"/>
  <c r="M1721" i="1"/>
  <c r="EM1720" i="1"/>
  <c r="DU1720" i="1"/>
  <c r="DT1720" i="1"/>
  <c r="DN1720" i="1"/>
  <c r="DM1720" i="1"/>
  <c r="DL1720" i="1"/>
  <c r="DK1720" i="1"/>
  <c r="DI1720" i="1"/>
  <c r="DJ1720" i="1" s="1"/>
  <c r="DB1720" i="1"/>
  <c r="DC1720" i="1" s="1"/>
  <c r="CX1720" i="1"/>
  <c r="CN1720" i="1"/>
  <c r="BV1720" i="1"/>
  <c r="BX1720" i="1" s="1"/>
  <c r="BY1720" i="1" s="1"/>
  <c r="BU1720" i="1"/>
  <c r="BD1720" i="1"/>
  <c r="BC1720" i="1"/>
  <c r="BB1720" i="1"/>
  <c r="BA1720" i="1"/>
  <c r="AZ1720" i="1"/>
  <c r="AY1720" i="1"/>
  <c r="AX1720" i="1"/>
  <c r="M1720" i="1"/>
  <c r="EM1743" i="1"/>
  <c r="DU1743" i="1"/>
  <c r="DT1743" i="1"/>
  <c r="DN1743" i="1"/>
  <c r="DM1743" i="1"/>
  <c r="DL1743" i="1"/>
  <c r="DK1743" i="1"/>
  <c r="DI1743" i="1"/>
  <c r="DJ1743" i="1" s="1"/>
  <c r="DB1743" i="1"/>
  <c r="DC1743" i="1" s="1"/>
  <c r="CX1743" i="1"/>
  <c r="CN1743" i="1"/>
  <c r="CS1743" i="1" s="1"/>
  <c r="BV1743" i="1"/>
  <c r="BX1743" i="1" s="1"/>
  <c r="BU1743" i="1"/>
  <c r="BD1743" i="1"/>
  <c r="BC1743" i="1"/>
  <c r="BB1743" i="1"/>
  <c r="BA1743" i="1"/>
  <c r="AZ1743" i="1"/>
  <c r="AY1743" i="1"/>
  <c r="BE1743" i="1" s="1" a="1"/>
  <c r="BE1743" i="1" s="1"/>
  <c r="AX1743" i="1"/>
  <c r="M1743" i="1"/>
  <c r="EM1742" i="1"/>
  <c r="DU1742" i="1"/>
  <c r="DT1742" i="1"/>
  <c r="DN1742" i="1"/>
  <c r="DM1742" i="1"/>
  <c r="DL1742" i="1"/>
  <c r="DK1742" i="1"/>
  <c r="DI1742" i="1"/>
  <c r="DJ1742" i="1" s="1"/>
  <c r="DB1742" i="1"/>
  <c r="DC1742" i="1" s="1"/>
  <c r="CX1742" i="1"/>
  <c r="CN1742" i="1"/>
  <c r="BV1742" i="1"/>
  <c r="BX1742" i="1" s="1"/>
  <c r="BY1742" i="1" s="1"/>
  <c r="BU1742" i="1"/>
  <c r="BD1742" i="1"/>
  <c r="BC1742" i="1"/>
  <c r="BB1742" i="1"/>
  <c r="BA1742" i="1"/>
  <c r="AZ1742" i="1"/>
  <c r="AY1742" i="1"/>
  <c r="BE1742" i="1" s="1" a="1"/>
  <c r="BE1742" i="1" s="1"/>
  <c r="AX1742" i="1"/>
  <c r="M1742" i="1"/>
  <c r="EM1719" i="1"/>
  <c r="DU1719" i="1"/>
  <c r="DT1719" i="1"/>
  <c r="DN1719" i="1"/>
  <c r="DM1719" i="1"/>
  <c r="DL1719" i="1"/>
  <c r="DK1719" i="1"/>
  <c r="DI1719" i="1"/>
  <c r="DJ1719" i="1" s="1"/>
  <c r="DB1719" i="1"/>
  <c r="DC1719" i="1" s="1"/>
  <c r="CX1719" i="1"/>
  <c r="CN1719" i="1"/>
  <c r="CR1719" i="1" s="1"/>
  <c r="BV1719" i="1"/>
  <c r="BX1719" i="1" s="1"/>
  <c r="BY1719" i="1" s="1"/>
  <c r="BU1719" i="1"/>
  <c r="BD1719" i="1"/>
  <c r="BC1719" i="1"/>
  <c r="BB1719" i="1"/>
  <c r="BA1719" i="1"/>
  <c r="AZ1719" i="1"/>
  <c r="AY1719" i="1"/>
  <c r="AX1719" i="1"/>
  <c r="M1719" i="1"/>
  <c r="EM1718" i="1"/>
  <c r="DU1718" i="1"/>
  <c r="DT1718" i="1"/>
  <c r="DN1718" i="1"/>
  <c r="DM1718" i="1"/>
  <c r="DL1718" i="1"/>
  <c r="DK1718" i="1"/>
  <c r="DI1718" i="1"/>
  <c r="DJ1718" i="1" s="1"/>
  <c r="DB1718" i="1"/>
  <c r="DC1718" i="1" s="1"/>
  <c r="CX1718" i="1"/>
  <c r="CN1718" i="1"/>
  <c r="BV1718" i="1"/>
  <c r="BX1718" i="1" s="1"/>
  <c r="BY1718" i="1" s="1"/>
  <c r="BU1718" i="1"/>
  <c r="BD1718" i="1"/>
  <c r="BC1718" i="1"/>
  <c r="BB1718" i="1"/>
  <c r="BA1718" i="1"/>
  <c r="AZ1718" i="1"/>
  <c r="AY1718" i="1"/>
  <c r="AX1718" i="1"/>
  <c r="M1718" i="1"/>
  <c r="EM1717" i="1"/>
  <c r="DU1717" i="1"/>
  <c r="DT1717" i="1"/>
  <c r="DN1717" i="1"/>
  <c r="DM1717" i="1"/>
  <c r="DL1717" i="1"/>
  <c r="DK1717" i="1"/>
  <c r="DI1717" i="1"/>
  <c r="DJ1717" i="1" s="1"/>
  <c r="DB1717" i="1"/>
  <c r="DC1717" i="1" s="1"/>
  <c r="CX1717" i="1"/>
  <c r="CN1717" i="1"/>
  <c r="CR1717" i="1" s="1"/>
  <c r="BV1717" i="1"/>
  <c r="BX1717" i="1" s="1"/>
  <c r="BY1717" i="1" s="1"/>
  <c r="BU1717" i="1"/>
  <c r="BD1717" i="1"/>
  <c r="BC1717" i="1"/>
  <c r="BB1717" i="1"/>
  <c r="BA1717" i="1"/>
  <c r="AZ1717" i="1"/>
  <c r="AY1717" i="1"/>
  <c r="AX1717" i="1"/>
  <c r="M1717" i="1"/>
  <c r="EM1716" i="1"/>
  <c r="DU1716" i="1"/>
  <c r="DT1716" i="1"/>
  <c r="DN1716" i="1"/>
  <c r="DM1716" i="1"/>
  <c r="DL1716" i="1"/>
  <c r="DK1716" i="1"/>
  <c r="DI1716" i="1"/>
  <c r="DJ1716" i="1" s="1"/>
  <c r="DB1716" i="1"/>
  <c r="DC1716" i="1" s="1"/>
  <c r="CX1716" i="1"/>
  <c r="CN1716" i="1"/>
  <c r="CS1716" i="1" s="1"/>
  <c r="BV1716" i="1"/>
  <c r="BX1716" i="1" s="1"/>
  <c r="BY1716" i="1" s="1"/>
  <c r="BU1716" i="1"/>
  <c r="BD1716" i="1"/>
  <c r="BC1716" i="1"/>
  <c r="BB1716" i="1"/>
  <c r="BA1716" i="1"/>
  <c r="AZ1716" i="1"/>
  <c r="AY1716" i="1"/>
  <c r="AX1716" i="1"/>
  <c r="M1716" i="1"/>
  <c r="EM1707" i="1"/>
  <c r="DU1707" i="1"/>
  <c r="DT1707" i="1"/>
  <c r="DN1707" i="1"/>
  <c r="DM1707" i="1"/>
  <c r="DL1707" i="1"/>
  <c r="DK1707" i="1"/>
  <c r="DI1707" i="1"/>
  <c r="DJ1707" i="1" s="1"/>
  <c r="DB1707" i="1"/>
  <c r="DC1707" i="1" s="1"/>
  <c r="CX1707" i="1"/>
  <c r="CN1707" i="1"/>
  <c r="CS1707" i="1" s="1"/>
  <c r="BV1707" i="1"/>
  <c r="BX1707" i="1" s="1"/>
  <c r="BU1707" i="1"/>
  <c r="BN1707" i="1"/>
  <c r="BO1707" i="1" s="1"/>
  <c r="BM1707" i="1"/>
  <c r="BD1707" i="1"/>
  <c r="BC1707" i="1"/>
  <c r="BB1707" i="1"/>
  <c r="BA1707" i="1"/>
  <c r="AZ1707" i="1"/>
  <c r="AY1707" i="1"/>
  <c r="BE1707" i="1" s="1" a="1"/>
  <c r="BE1707" i="1" s="1"/>
  <c r="AX1707" i="1"/>
  <c r="M1707" i="1"/>
  <c r="EM1705" i="1"/>
  <c r="DU1705" i="1"/>
  <c r="DT1705" i="1"/>
  <c r="DN1705" i="1"/>
  <c r="DM1705" i="1"/>
  <c r="DL1705" i="1"/>
  <c r="DK1705" i="1"/>
  <c r="DI1705" i="1"/>
  <c r="DJ1705" i="1" s="1"/>
  <c r="DB1705" i="1"/>
  <c r="DC1705" i="1" s="1"/>
  <c r="CX1705" i="1"/>
  <c r="CN1705" i="1"/>
  <c r="CR1705" i="1" s="1"/>
  <c r="BV1705" i="1"/>
  <c r="BX1705" i="1" s="1"/>
  <c r="BU1705" i="1"/>
  <c r="BN1705" i="1"/>
  <c r="BO1705" i="1" s="1"/>
  <c r="BM1705" i="1"/>
  <c r="BD1705" i="1"/>
  <c r="BC1705" i="1"/>
  <c r="BB1705" i="1"/>
  <c r="BA1705" i="1"/>
  <c r="AZ1705" i="1"/>
  <c r="AY1705" i="1"/>
  <c r="BE1705" i="1" s="1" a="1"/>
  <c r="BE1705" i="1" s="1"/>
  <c r="AX1705" i="1"/>
  <c r="M1705" i="1"/>
  <c r="EM1704" i="1"/>
  <c r="DU1704" i="1"/>
  <c r="DT1704" i="1"/>
  <c r="DN1704" i="1"/>
  <c r="DM1704" i="1"/>
  <c r="DL1704" i="1"/>
  <c r="DK1704" i="1"/>
  <c r="DI1704" i="1"/>
  <c r="DJ1704" i="1" s="1"/>
  <c r="DB1704" i="1"/>
  <c r="DC1704" i="1" s="1"/>
  <c r="CX1704" i="1"/>
  <c r="CN1704" i="1"/>
  <c r="CS1704" i="1" s="1"/>
  <c r="BV1704" i="1"/>
  <c r="BX1704" i="1" s="1"/>
  <c r="BU1704" i="1"/>
  <c r="BN1704" i="1"/>
  <c r="BO1704" i="1" s="1"/>
  <c r="BM1704" i="1"/>
  <c r="BD1704" i="1"/>
  <c r="BC1704" i="1"/>
  <c r="BB1704" i="1"/>
  <c r="BA1704" i="1"/>
  <c r="AZ1704" i="1"/>
  <c r="AY1704" i="1"/>
  <c r="BE1704" i="1" s="1" a="1"/>
  <c r="BE1704" i="1" s="1"/>
  <c r="AX1704" i="1"/>
  <c r="M1704" i="1"/>
  <c r="EM1715" i="1"/>
  <c r="DU1715" i="1"/>
  <c r="DT1715" i="1"/>
  <c r="DN1715" i="1"/>
  <c r="DM1715" i="1"/>
  <c r="DL1715" i="1"/>
  <c r="DK1715" i="1"/>
  <c r="DI1715" i="1"/>
  <c r="DJ1715" i="1" s="1"/>
  <c r="DB1715" i="1"/>
  <c r="DC1715" i="1" s="1"/>
  <c r="CX1715" i="1"/>
  <c r="CN1715" i="1"/>
  <c r="BV1715" i="1"/>
  <c r="BX1715" i="1" s="1"/>
  <c r="BU1715" i="1"/>
  <c r="BN1715" i="1"/>
  <c r="BO1715" i="1" s="1"/>
  <c r="BM1715" i="1"/>
  <c r="BD1715" i="1"/>
  <c r="BC1715" i="1"/>
  <c r="BB1715" i="1"/>
  <c r="BA1715" i="1"/>
  <c r="AZ1715" i="1"/>
  <c r="AY1715" i="1"/>
  <c r="BE1715" i="1" s="1" a="1"/>
  <c r="BE1715" i="1" s="1"/>
  <c r="AX1715" i="1"/>
  <c r="M1715" i="1"/>
  <c r="EM1686" i="1"/>
  <c r="DU1686" i="1"/>
  <c r="DT1686" i="1"/>
  <c r="DN1686" i="1"/>
  <c r="DM1686" i="1"/>
  <c r="DL1686" i="1"/>
  <c r="DK1686" i="1"/>
  <c r="DI1686" i="1"/>
  <c r="DJ1686" i="1" s="1"/>
  <c r="DB1686" i="1"/>
  <c r="DC1686" i="1" s="1"/>
  <c r="CX1686" i="1"/>
  <c r="CN1686" i="1"/>
  <c r="CR1686" i="1" s="1"/>
  <c r="BV1686" i="1"/>
  <c r="BX1686" i="1" s="1"/>
  <c r="BU1686" i="1"/>
  <c r="BN1686" i="1"/>
  <c r="BO1686" i="1" s="1"/>
  <c r="BM1686" i="1"/>
  <c r="BD1686" i="1"/>
  <c r="BC1686" i="1"/>
  <c r="BB1686" i="1"/>
  <c r="BA1686" i="1"/>
  <c r="AZ1686" i="1"/>
  <c r="AY1686" i="1"/>
  <c r="BE1686" i="1" s="1" a="1"/>
  <c r="BE1686" i="1" s="1"/>
  <c r="AX1686" i="1"/>
  <c r="M1686" i="1"/>
  <c r="EM1687" i="1"/>
  <c r="DU1687" i="1"/>
  <c r="DT1687" i="1"/>
  <c r="DN1687" i="1"/>
  <c r="DM1687" i="1"/>
  <c r="DL1687" i="1"/>
  <c r="DK1687" i="1"/>
  <c r="DI1687" i="1"/>
  <c r="DJ1687" i="1" s="1"/>
  <c r="DB1687" i="1"/>
  <c r="DC1687" i="1" s="1"/>
  <c r="CX1687" i="1"/>
  <c r="CN1687" i="1"/>
  <c r="BV1687" i="1"/>
  <c r="BX1687" i="1" s="1"/>
  <c r="BU1687" i="1"/>
  <c r="BN1687" i="1"/>
  <c r="BO1687" i="1" s="1"/>
  <c r="BM1687" i="1"/>
  <c r="BD1687" i="1"/>
  <c r="BC1687" i="1"/>
  <c r="BB1687" i="1"/>
  <c r="BA1687" i="1"/>
  <c r="AZ1687" i="1"/>
  <c r="AY1687" i="1"/>
  <c r="AX1687" i="1"/>
  <c r="M1687" i="1"/>
  <c r="EM1735" i="1"/>
  <c r="DU1735" i="1"/>
  <c r="DT1735" i="1"/>
  <c r="DN1735" i="1"/>
  <c r="DM1735" i="1"/>
  <c r="DL1735" i="1"/>
  <c r="DK1735" i="1"/>
  <c r="DI1735" i="1"/>
  <c r="DJ1735" i="1" s="1"/>
  <c r="DB1735" i="1"/>
  <c r="DC1735" i="1" s="1"/>
  <c r="CX1735" i="1"/>
  <c r="CN1735" i="1"/>
  <c r="CS1735" i="1" s="1"/>
  <c r="BV1735" i="1"/>
  <c r="BX1735" i="1" s="1"/>
  <c r="BU1735" i="1"/>
  <c r="BD1735" i="1"/>
  <c r="BC1735" i="1"/>
  <c r="BB1735" i="1"/>
  <c r="BA1735" i="1"/>
  <c r="AZ1735" i="1"/>
  <c r="AY1735" i="1"/>
  <c r="BE1735" i="1" s="1" a="1"/>
  <c r="BE1735" i="1" s="1"/>
  <c r="AX1735" i="1"/>
  <c r="M1735" i="1"/>
  <c r="EM1741" i="1"/>
  <c r="DU1741" i="1"/>
  <c r="DT1741" i="1"/>
  <c r="DN1741" i="1"/>
  <c r="DM1741" i="1"/>
  <c r="DL1741" i="1"/>
  <c r="DK1741" i="1"/>
  <c r="DI1741" i="1"/>
  <c r="DJ1741" i="1" s="1"/>
  <c r="DB1741" i="1"/>
  <c r="DC1741" i="1" s="1"/>
  <c r="CX1741" i="1"/>
  <c r="CN1741" i="1"/>
  <c r="BV1741" i="1"/>
  <c r="BX1741" i="1" s="1"/>
  <c r="BY1741" i="1" s="1"/>
  <c r="BU1741" i="1"/>
  <c r="BD1741" i="1"/>
  <c r="BC1741" i="1"/>
  <c r="BB1741" i="1"/>
  <c r="BA1741" i="1"/>
  <c r="AZ1741" i="1"/>
  <c r="AY1741" i="1"/>
  <c r="BE1741" i="1" s="1" a="1"/>
  <c r="BE1741" i="1" s="1"/>
  <c r="AX1741" i="1"/>
  <c r="M1741" i="1"/>
  <c r="EM1740" i="1"/>
  <c r="DU1740" i="1"/>
  <c r="DT1740" i="1"/>
  <c r="DN1740" i="1"/>
  <c r="DM1740" i="1"/>
  <c r="DL1740" i="1"/>
  <c r="DK1740" i="1"/>
  <c r="DI1740" i="1"/>
  <c r="DJ1740" i="1" s="1"/>
  <c r="DB1740" i="1"/>
  <c r="DC1740" i="1" s="1"/>
  <c r="CX1740" i="1"/>
  <c r="CN1740" i="1"/>
  <c r="CS1740" i="1" s="1"/>
  <c r="BV1740" i="1"/>
  <c r="BX1740" i="1" s="1"/>
  <c r="BY1740" i="1" s="1"/>
  <c r="BU1740" i="1"/>
  <c r="BD1740" i="1"/>
  <c r="BC1740" i="1"/>
  <c r="BB1740" i="1"/>
  <c r="BA1740" i="1"/>
  <c r="AZ1740" i="1"/>
  <c r="AY1740" i="1"/>
  <c r="BE1740" i="1" s="1" a="1"/>
  <c r="BE1740" i="1" s="1"/>
  <c r="AX1740" i="1"/>
  <c r="M1740" i="1"/>
  <c r="EM1734" i="1"/>
  <c r="DU1734" i="1"/>
  <c r="DT1734" i="1"/>
  <c r="DN1734" i="1"/>
  <c r="DM1734" i="1"/>
  <c r="DL1734" i="1"/>
  <c r="DK1734" i="1"/>
  <c r="DI1734" i="1"/>
  <c r="DJ1734" i="1" s="1"/>
  <c r="DB1734" i="1"/>
  <c r="DC1734" i="1" s="1"/>
  <c r="CX1734" i="1"/>
  <c r="CN1734" i="1"/>
  <c r="BV1734" i="1"/>
  <c r="BX1734" i="1" s="1"/>
  <c r="BY1734" i="1" s="1"/>
  <c r="BU1734" i="1"/>
  <c r="BD1734" i="1"/>
  <c r="BC1734" i="1"/>
  <c r="BB1734" i="1"/>
  <c r="BA1734" i="1"/>
  <c r="AZ1734" i="1"/>
  <c r="AY1734" i="1"/>
  <c r="BE1734" i="1" s="1" a="1"/>
  <c r="BE1734" i="1" s="1"/>
  <c r="AX1734" i="1"/>
  <c r="M1734" i="1"/>
  <c r="EM1739" i="1"/>
  <c r="DU1739" i="1"/>
  <c r="DT1739" i="1"/>
  <c r="DN1739" i="1"/>
  <c r="DM1739" i="1"/>
  <c r="DL1739" i="1"/>
  <c r="DK1739" i="1"/>
  <c r="DI1739" i="1"/>
  <c r="DJ1739" i="1" s="1"/>
  <c r="DB1739" i="1"/>
  <c r="DC1739" i="1" s="1"/>
  <c r="CX1739" i="1"/>
  <c r="CN1739" i="1"/>
  <c r="CR1739" i="1" s="1"/>
  <c r="BV1739" i="1"/>
  <c r="BX1739" i="1" s="1"/>
  <c r="BY1739" i="1" s="1"/>
  <c r="BU1739" i="1"/>
  <c r="BD1739" i="1"/>
  <c r="BC1739" i="1"/>
  <c r="BB1739" i="1"/>
  <c r="BA1739" i="1"/>
  <c r="AZ1739" i="1"/>
  <c r="AY1739" i="1"/>
  <c r="BE1739" i="1" s="1" a="1"/>
  <c r="BE1739" i="1" s="1"/>
  <c r="AX1739" i="1"/>
  <c r="M1739" i="1"/>
  <c r="EM1738" i="1"/>
  <c r="DU1738" i="1"/>
  <c r="DT1738" i="1"/>
  <c r="DN1738" i="1"/>
  <c r="DM1738" i="1"/>
  <c r="DL1738" i="1"/>
  <c r="DK1738" i="1"/>
  <c r="DI1738" i="1"/>
  <c r="DJ1738" i="1" s="1"/>
  <c r="DB1738" i="1"/>
  <c r="DC1738" i="1" s="1"/>
  <c r="CX1738" i="1"/>
  <c r="CN1738" i="1"/>
  <c r="BV1738" i="1"/>
  <c r="BX1738" i="1" s="1"/>
  <c r="BY1738" i="1" s="1"/>
  <c r="BU1738" i="1"/>
  <c r="BD1738" i="1"/>
  <c r="BC1738" i="1"/>
  <c r="BB1738" i="1"/>
  <c r="BA1738" i="1"/>
  <c r="AZ1738" i="1"/>
  <c r="AY1738" i="1"/>
  <c r="BE1738" i="1" s="1" a="1"/>
  <c r="BE1738" i="1" s="1"/>
  <c r="AX1738" i="1"/>
  <c r="M1738" i="1"/>
  <c r="EM1661" i="1"/>
  <c r="DU1661" i="1"/>
  <c r="DT1661" i="1"/>
  <c r="DN1661" i="1"/>
  <c r="DM1661" i="1"/>
  <c r="DL1661" i="1"/>
  <c r="DK1661" i="1"/>
  <c r="DI1661" i="1"/>
  <c r="DJ1661" i="1" s="1"/>
  <c r="DB1661" i="1"/>
  <c r="DC1661" i="1" s="1"/>
  <c r="CX1661" i="1"/>
  <c r="CN1661" i="1"/>
  <c r="CR1661" i="1" s="1"/>
  <c r="BV1661" i="1"/>
  <c r="BX1661" i="1" s="1"/>
  <c r="BU1661" i="1"/>
  <c r="BN1661" i="1"/>
  <c r="BO1661" i="1" s="1"/>
  <c r="BM1661" i="1"/>
  <c r="BD1661" i="1"/>
  <c r="BC1661" i="1"/>
  <c r="BB1661" i="1"/>
  <c r="BA1661" i="1"/>
  <c r="AZ1661" i="1"/>
  <c r="AY1661" i="1"/>
  <c r="AX1661" i="1"/>
  <c r="M1661" i="1"/>
  <c r="EM1660" i="1"/>
  <c r="DU1660" i="1"/>
  <c r="DT1660" i="1"/>
  <c r="DN1660" i="1"/>
  <c r="DM1660" i="1"/>
  <c r="DL1660" i="1"/>
  <c r="DK1660" i="1"/>
  <c r="DI1660" i="1"/>
  <c r="DJ1660" i="1" s="1"/>
  <c r="DB1660" i="1"/>
  <c r="DC1660" i="1" s="1"/>
  <c r="CX1660" i="1"/>
  <c r="CN1660" i="1"/>
  <c r="CP1660" i="1" s="1"/>
  <c r="BV1660" i="1"/>
  <c r="BX1660" i="1" s="1"/>
  <c r="BU1660" i="1"/>
  <c r="BN1660" i="1"/>
  <c r="BO1660" i="1" s="1"/>
  <c r="BM1660" i="1"/>
  <c r="BD1660" i="1"/>
  <c r="BC1660" i="1"/>
  <c r="BB1660" i="1"/>
  <c r="BA1660" i="1"/>
  <c r="AZ1660" i="1"/>
  <c r="AY1660" i="1"/>
  <c r="AX1660" i="1"/>
  <c r="M1660" i="1"/>
  <c r="EM1659" i="1"/>
  <c r="DU1659" i="1"/>
  <c r="DT1659" i="1"/>
  <c r="DN1659" i="1"/>
  <c r="DM1659" i="1"/>
  <c r="DL1659" i="1"/>
  <c r="DK1659" i="1"/>
  <c r="DI1659" i="1"/>
  <c r="DJ1659" i="1" s="1"/>
  <c r="DB1659" i="1"/>
  <c r="DC1659" i="1" s="1"/>
  <c r="CX1659" i="1"/>
  <c r="CN1659" i="1"/>
  <c r="BV1659" i="1"/>
  <c r="BX1659" i="1" s="1"/>
  <c r="BU1659" i="1"/>
  <c r="BN1659" i="1"/>
  <c r="BO1659" i="1" s="1"/>
  <c r="BM1659" i="1"/>
  <c r="BD1659" i="1"/>
  <c r="BC1659" i="1"/>
  <c r="BB1659" i="1"/>
  <c r="BA1659" i="1"/>
  <c r="AZ1659" i="1"/>
  <c r="AY1659" i="1"/>
  <c r="AX1659" i="1"/>
  <c r="M1659" i="1"/>
  <c r="EM1658" i="1"/>
  <c r="DU1658" i="1"/>
  <c r="DT1658" i="1"/>
  <c r="DN1658" i="1"/>
  <c r="DM1658" i="1"/>
  <c r="DL1658" i="1"/>
  <c r="DK1658" i="1"/>
  <c r="DI1658" i="1"/>
  <c r="DJ1658" i="1" s="1"/>
  <c r="DB1658" i="1"/>
  <c r="DC1658" i="1" s="1"/>
  <c r="CX1658" i="1"/>
  <c r="CN1658" i="1"/>
  <c r="CS1658" i="1" s="1"/>
  <c r="BV1658" i="1"/>
  <c r="BX1658" i="1" s="1"/>
  <c r="BU1658" i="1"/>
  <c r="BN1658" i="1"/>
  <c r="BO1658" i="1" s="1"/>
  <c r="BM1658" i="1"/>
  <c r="BD1658" i="1"/>
  <c r="BC1658" i="1"/>
  <c r="BB1658" i="1"/>
  <c r="BA1658" i="1"/>
  <c r="AZ1658" i="1"/>
  <c r="AY1658" i="1"/>
  <c r="AX1658" i="1"/>
  <c r="M1658" i="1"/>
  <c r="EM1657" i="1"/>
  <c r="DU1657" i="1"/>
  <c r="DT1657" i="1"/>
  <c r="DN1657" i="1"/>
  <c r="DM1657" i="1"/>
  <c r="DL1657" i="1"/>
  <c r="DK1657" i="1"/>
  <c r="DI1657" i="1"/>
  <c r="DJ1657" i="1" s="1"/>
  <c r="DB1657" i="1"/>
  <c r="DC1657" i="1" s="1"/>
  <c r="CX1657" i="1"/>
  <c r="CN1657" i="1"/>
  <c r="CR1657" i="1" s="1"/>
  <c r="BV1657" i="1"/>
  <c r="BX1657" i="1" s="1"/>
  <c r="BU1657" i="1"/>
  <c r="BN1657" i="1"/>
  <c r="BO1657" i="1" s="1"/>
  <c r="BM1657" i="1"/>
  <c r="BD1657" i="1"/>
  <c r="BC1657" i="1"/>
  <c r="BB1657" i="1"/>
  <c r="BA1657" i="1"/>
  <c r="AZ1657" i="1"/>
  <c r="AY1657" i="1"/>
  <c r="AX1657" i="1"/>
  <c r="M1657" i="1"/>
  <c r="EM1656" i="1"/>
  <c r="DU1656" i="1"/>
  <c r="DT1656" i="1"/>
  <c r="DN1656" i="1"/>
  <c r="DM1656" i="1"/>
  <c r="DL1656" i="1"/>
  <c r="DK1656" i="1"/>
  <c r="DI1656" i="1"/>
  <c r="DJ1656" i="1" s="1"/>
  <c r="DB1656" i="1"/>
  <c r="DC1656" i="1" s="1"/>
  <c r="CX1656" i="1"/>
  <c r="CN1656" i="1"/>
  <c r="CS1656" i="1" s="1"/>
  <c r="BV1656" i="1"/>
  <c r="BX1656" i="1" s="1"/>
  <c r="BU1656" i="1"/>
  <c r="BN1656" i="1"/>
  <c r="BO1656" i="1" s="1"/>
  <c r="BM1656" i="1"/>
  <c r="BD1656" i="1"/>
  <c r="BC1656" i="1"/>
  <c r="BB1656" i="1"/>
  <c r="BA1656" i="1"/>
  <c r="AZ1656" i="1"/>
  <c r="AY1656" i="1"/>
  <c r="AX1656" i="1"/>
  <c r="M1656" i="1"/>
  <c r="EM1653" i="1"/>
  <c r="DU1653" i="1"/>
  <c r="DT1653" i="1"/>
  <c r="DN1653" i="1"/>
  <c r="DM1653" i="1"/>
  <c r="DL1653" i="1"/>
  <c r="DK1653" i="1"/>
  <c r="DI1653" i="1"/>
  <c r="DJ1653" i="1" s="1"/>
  <c r="DB1653" i="1"/>
  <c r="DC1653" i="1" s="1"/>
  <c r="CX1653" i="1"/>
  <c r="CN1653" i="1"/>
  <c r="BV1653" i="1"/>
  <c r="BX1653" i="1" s="1"/>
  <c r="BU1653" i="1"/>
  <c r="BN1653" i="1"/>
  <c r="BO1653" i="1" s="1"/>
  <c r="BM1653" i="1"/>
  <c r="BD1653" i="1"/>
  <c r="BC1653" i="1"/>
  <c r="BB1653" i="1"/>
  <c r="BA1653" i="1"/>
  <c r="AZ1653" i="1"/>
  <c r="AY1653" i="1"/>
  <c r="AX1653" i="1"/>
  <c r="M1653" i="1"/>
  <c r="EM1650" i="1"/>
  <c r="DU1650" i="1"/>
  <c r="DT1650" i="1"/>
  <c r="DN1650" i="1"/>
  <c r="DM1650" i="1"/>
  <c r="DL1650" i="1"/>
  <c r="DK1650" i="1"/>
  <c r="DI1650" i="1"/>
  <c r="DJ1650" i="1" s="1"/>
  <c r="DB1650" i="1"/>
  <c r="DC1650" i="1" s="1"/>
  <c r="CX1650" i="1"/>
  <c r="CN1650" i="1"/>
  <c r="CO1650" i="1" s="1"/>
  <c r="BV1650" i="1"/>
  <c r="BX1650" i="1" s="1"/>
  <c r="BU1650" i="1"/>
  <c r="BN1650" i="1"/>
  <c r="BO1650" i="1" s="1"/>
  <c r="BM1650" i="1"/>
  <c r="BD1650" i="1"/>
  <c r="BC1650" i="1"/>
  <c r="BB1650" i="1"/>
  <c r="BA1650" i="1"/>
  <c r="AZ1650" i="1"/>
  <c r="AY1650" i="1"/>
  <c r="AX1650" i="1"/>
  <c r="M1650" i="1"/>
  <c r="EM1646" i="1"/>
  <c r="DU1646" i="1"/>
  <c r="DT1646" i="1"/>
  <c r="DN1646" i="1"/>
  <c r="DM1646" i="1"/>
  <c r="DL1646" i="1"/>
  <c r="DK1646" i="1"/>
  <c r="DI1646" i="1"/>
  <c r="DJ1646" i="1" s="1"/>
  <c r="DB1646" i="1"/>
  <c r="DC1646" i="1" s="1"/>
  <c r="CX1646" i="1"/>
  <c r="CN1646" i="1"/>
  <c r="CR1646" i="1" s="1"/>
  <c r="BV1646" i="1"/>
  <c r="BX1646" i="1" s="1"/>
  <c r="BU1646" i="1"/>
  <c r="BN1646" i="1"/>
  <c r="BO1646" i="1" s="1"/>
  <c r="BM1646" i="1"/>
  <c r="BD1646" i="1"/>
  <c r="BC1646" i="1"/>
  <c r="BB1646" i="1"/>
  <c r="BA1646" i="1"/>
  <c r="AZ1646" i="1"/>
  <c r="AY1646" i="1"/>
  <c r="AX1646" i="1"/>
  <c r="M1646" i="1"/>
  <c r="EM1645" i="1"/>
  <c r="DU1645" i="1"/>
  <c r="DT1645" i="1"/>
  <c r="DN1645" i="1"/>
  <c r="DM1645" i="1"/>
  <c r="DL1645" i="1"/>
  <c r="DK1645" i="1"/>
  <c r="DI1645" i="1"/>
  <c r="DJ1645" i="1" s="1"/>
  <c r="DB1645" i="1"/>
  <c r="DC1645" i="1" s="1"/>
  <c r="CX1645" i="1"/>
  <c r="CN1645" i="1"/>
  <c r="BV1645" i="1"/>
  <c r="BX1645" i="1" s="1"/>
  <c r="BU1645" i="1"/>
  <c r="BN1645" i="1"/>
  <c r="BO1645" i="1" s="1"/>
  <c r="BM1645" i="1"/>
  <c r="BD1645" i="1"/>
  <c r="BC1645" i="1"/>
  <c r="BB1645" i="1"/>
  <c r="BA1645" i="1"/>
  <c r="AZ1645" i="1"/>
  <c r="AY1645" i="1"/>
  <c r="AX1645" i="1"/>
  <c r="M1645" i="1"/>
  <c r="EM1631" i="1"/>
  <c r="DU1631" i="1"/>
  <c r="DT1631" i="1"/>
  <c r="DN1631" i="1"/>
  <c r="DM1631" i="1"/>
  <c r="DL1631" i="1"/>
  <c r="DK1631" i="1"/>
  <c r="DI1631" i="1"/>
  <c r="DJ1631" i="1" s="1"/>
  <c r="DB1631" i="1"/>
  <c r="DC1631" i="1" s="1"/>
  <c r="CX1631" i="1"/>
  <c r="CN1631" i="1"/>
  <c r="CO1631" i="1" s="1"/>
  <c r="BV1631" i="1"/>
  <c r="BX1631" i="1" s="1"/>
  <c r="BU1631" i="1"/>
  <c r="BN1631" i="1"/>
  <c r="BO1631" i="1" s="1"/>
  <c r="BM1631" i="1"/>
  <c r="BD1631" i="1"/>
  <c r="BC1631" i="1"/>
  <c r="BB1631" i="1"/>
  <c r="BA1631" i="1"/>
  <c r="AZ1631" i="1"/>
  <c r="AY1631" i="1"/>
  <c r="AX1631" i="1"/>
  <c r="M1631" i="1"/>
  <c r="EM1640" i="1"/>
  <c r="DU1640" i="1"/>
  <c r="DT1640" i="1"/>
  <c r="DN1640" i="1"/>
  <c r="DM1640" i="1"/>
  <c r="DL1640" i="1"/>
  <c r="DK1640" i="1"/>
  <c r="DI1640" i="1"/>
  <c r="DJ1640" i="1" s="1"/>
  <c r="DB1640" i="1"/>
  <c r="DC1640" i="1" s="1"/>
  <c r="CX1640" i="1"/>
  <c r="CN1640" i="1"/>
  <c r="CP1640" i="1" s="1"/>
  <c r="BV1640" i="1"/>
  <c r="BX1640" i="1" s="1"/>
  <c r="BU1640" i="1"/>
  <c r="BN1640" i="1"/>
  <c r="BO1640" i="1" s="1"/>
  <c r="BM1640" i="1"/>
  <c r="BD1640" i="1"/>
  <c r="BC1640" i="1"/>
  <c r="BB1640" i="1"/>
  <c r="BA1640" i="1"/>
  <c r="AZ1640" i="1"/>
  <c r="AY1640" i="1"/>
  <c r="AX1640" i="1"/>
  <c r="M1640" i="1"/>
  <c r="EM1639" i="1"/>
  <c r="DU1639" i="1"/>
  <c r="DT1639" i="1"/>
  <c r="DN1639" i="1"/>
  <c r="DM1639" i="1"/>
  <c r="DL1639" i="1"/>
  <c r="DK1639" i="1"/>
  <c r="DI1639" i="1"/>
  <c r="DJ1639" i="1" s="1"/>
  <c r="DB1639" i="1"/>
  <c r="DC1639" i="1" s="1"/>
  <c r="CX1639" i="1"/>
  <c r="CN1639" i="1"/>
  <c r="CP1639" i="1" s="1"/>
  <c r="BV1639" i="1"/>
  <c r="BX1639" i="1" s="1"/>
  <c r="BU1639" i="1"/>
  <c r="BN1639" i="1"/>
  <c r="BO1639" i="1" s="1"/>
  <c r="BM1639" i="1"/>
  <c r="BD1639" i="1"/>
  <c r="BC1639" i="1"/>
  <c r="BB1639" i="1"/>
  <c r="BA1639" i="1"/>
  <c r="AZ1639" i="1"/>
  <c r="AY1639" i="1"/>
  <c r="AX1639" i="1"/>
  <c r="M1639" i="1"/>
  <c r="EM1637" i="1"/>
  <c r="DU1637" i="1"/>
  <c r="DT1637" i="1"/>
  <c r="DN1637" i="1"/>
  <c r="DM1637" i="1"/>
  <c r="DL1637" i="1"/>
  <c r="DK1637" i="1"/>
  <c r="DI1637" i="1"/>
  <c r="DJ1637" i="1" s="1"/>
  <c r="DB1637" i="1"/>
  <c r="DC1637" i="1" s="1"/>
  <c r="CX1637" i="1"/>
  <c r="CN1637" i="1"/>
  <c r="CR1637" i="1" s="1"/>
  <c r="BV1637" i="1"/>
  <c r="BX1637" i="1" s="1"/>
  <c r="BU1637" i="1"/>
  <c r="BN1637" i="1"/>
  <c r="BO1637" i="1" s="1"/>
  <c r="BM1637" i="1"/>
  <c r="BD1637" i="1"/>
  <c r="BC1637" i="1"/>
  <c r="BB1637" i="1"/>
  <c r="BA1637" i="1"/>
  <c r="AZ1637" i="1"/>
  <c r="AY1637" i="1"/>
  <c r="AX1637" i="1"/>
  <c r="M1637" i="1"/>
  <c r="EM1630" i="1"/>
  <c r="DU1630" i="1"/>
  <c r="DT1630" i="1"/>
  <c r="DN1630" i="1"/>
  <c r="DM1630" i="1"/>
  <c r="DL1630" i="1"/>
  <c r="DK1630" i="1"/>
  <c r="DI1630" i="1"/>
  <c r="DJ1630" i="1" s="1"/>
  <c r="DB1630" i="1"/>
  <c r="DC1630" i="1" s="1"/>
  <c r="CX1630" i="1"/>
  <c r="CN1630" i="1"/>
  <c r="CS1630" i="1" s="1"/>
  <c r="BV1630" i="1"/>
  <c r="BX1630" i="1" s="1"/>
  <c r="BU1630" i="1"/>
  <c r="BN1630" i="1"/>
  <c r="BO1630" i="1" s="1"/>
  <c r="BM1630" i="1"/>
  <c r="BD1630" i="1"/>
  <c r="BC1630" i="1"/>
  <c r="BB1630" i="1"/>
  <c r="BA1630" i="1"/>
  <c r="AZ1630" i="1"/>
  <c r="AY1630" i="1"/>
  <c r="AX1630" i="1"/>
  <c r="M1630" i="1"/>
  <c r="EM1655" i="1"/>
  <c r="DU1655" i="1"/>
  <c r="DT1655" i="1"/>
  <c r="DN1655" i="1"/>
  <c r="DM1655" i="1"/>
  <c r="DL1655" i="1"/>
  <c r="DK1655" i="1"/>
  <c r="DI1655" i="1"/>
  <c r="DJ1655" i="1" s="1"/>
  <c r="DB1655" i="1"/>
  <c r="DC1655" i="1" s="1"/>
  <c r="CX1655" i="1"/>
  <c r="CN1655" i="1"/>
  <c r="CR1655" i="1" s="1"/>
  <c r="BV1655" i="1"/>
  <c r="BX1655" i="1" s="1"/>
  <c r="BU1655" i="1"/>
  <c r="BN1655" i="1"/>
  <c r="BO1655" i="1" s="1"/>
  <c r="BM1655" i="1"/>
  <c r="BD1655" i="1"/>
  <c r="BC1655" i="1"/>
  <c r="BB1655" i="1"/>
  <c r="BA1655" i="1"/>
  <c r="AZ1655" i="1"/>
  <c r="AY1655" i="1"/>
  <c r="AX1655" i="1"/>
  <c r="M1655" i="1"/>
  <c r="EM1654" i="1"/>
  <c r="DU1654" i="1"/>
  <c r="DT1654" i="1"/>
  <c r="DN1654" i="1"/>
  <c r="DM1654" i="1"/>
  <c r="DL1654" i="1"/>
  <c r="DK1654" i="1"/>
  <c r="DI1654" i="1"/>
  <c r="DJ1654" i="1" s="1"/>
  <c r="DB1654" i="1"/>
  <c r="DC1654" i="1" s="1"/>
  <c r="CX1654" i="1"/>
  <c r="CN1654" i="1"/>
  <c r="CR1654" i="1" s="1"/>
  <c r="BV1654" i="1"/>
  <c r="BX1654" i="1" s="1"/>
  <c r="BU1654" i="1"/>
  <c r="BN1654" i="1"/>
  <c r="BO1654" i="1" s="1"/>
  <c r="BM1654" i="1"/>
  <c r="BD1654" i="1"/>
  <c r="BC1654" i="1"/>
  <c r="BB1654" i="1"/>
  <c r="BA1654" i="1"/>
  <c r="AZ1654" i="1"/>
  <c r="AY1654" i="1"/>
  <c r="AX1654" i="1"/>
  <c r="M1654" i="1"/>
  <c r="EM1652" i="1"/>
  <c r="DU1652" i="1"/>
  <c r="DT1652" i="1"/>
  <c r="DN1652" i="1"/>
  <c r="DM1652" i="1"/>
  <c r="DL1652" i="1"/>
  <c r="DK1652" i="1"/>
  <c r="DI1652" i="1"/>
  <c r="DJ1652" i="1" s="1"/>
  <c r="DB1652" i="1"/>
  <c r="DC1652" i="1" s="1"/>
  <c r="CX1652" i="1"/>
  <c r="CN1652" i="1"/>
  <c r="CO1652" i="1" s="1"/>
  <c r="BV1652" i="1"/>
  <c r="BX1652" i="1" s="1"/>
  <c r="BU1652" i="1"/>
  <c r="BN1652" i="1"/>
  <c r="BO1652" i="1" s="1"/>
  <c r="BM1652" i="1"/>
  <c r="BD1652" i="1"/>
  <c r="BC1652" i="1"/>
  <c r="BB1652" i="1"/>
  <c r="BA1652" i="1"/>
  <c r="AZ1652" i="1"/>
  <c r="AY1652" i="1"/>
  <c r="AX1652" i="1"/>
  <c r="M1652" i="1"/>
  <c r="EM1648" i="1"/>
  <c r="DU1648" i="1"/>
  <c r="DT1648" i="1"/>
  <c r="DN1648" i="1"/>
  <c r="DM1648" i="1"/>
  <c r="DL1648" i="1"/>
  <c r="DK1648" i="1"/>
  <c r="DI1648" i="1"/>
  <c r="DJ1648" i="1" s="1"/>
  <c r="DB1648" i="1"/>
  <c r="DC1648" i="1" s="1"/>
  <c r="CX1648" i="1"/>
  <c r="CN1648" i="1"/>
  <c r="CP1648" i="1" s="1"/>
  <c r="BV1648" i="1"/>
  <c r="BX1648" i="1" s="1"/>
  <c r="BU1648" i="1"/>
  <c r="BN1648" i="1"/>
  <c r="BO1648" i="1" s="1"/>
  <c r="BM1648" i="1"/>
  <c r="BD1648" i="1"/>
  <c r="BC1648" i="1"/>
  <c r="BB1648" i="1"/>
  <c r="BA1648" i="1"/>
  <c r="AZ1648" i="1"/>
  <c r="AY1648" i="1"/>
  <c r="AX1648" i="1"/>
  <c r="M1648" i="1"/>
  <c r="EM1647" i="1"/>
  <c r="DU1647" i="1"/>
  <c r="DT1647" i="1"/>
  <c r="DN1647" i="1"/>
  <c r="DM1647" i="1"/>
  <c r="DL1647" i="1"/>
  <c r="DK1647" i="1"/>
  <c r="DI1647" i="1"/>
  <c r="DJ1647" i="1" s="1"/>
  <c r="DB1647" i="1"/>
  <c r="DC1647" i="1" s="1"/>
  <c r="CX1647" i="1"/>
  <c r="CN1647" i="1"/>
  <c r="CR1647" i="1" s="1"/>
  <c r="BV1647" i="1"/>
  <c r="BX1647" i="1" s="1"/>
  <c r="BU1647" i="1"/>
  <c r="BN1647" i="1"/>
  <c r="BO1647" i="1" s="1"/>
  <c r="BM1647" i="1"/>
  <c r="BD1647" i="1"/>
  <c r="BC1647" i="1"/>
  <c r="BB1647" i="1"/>
  <c r="BA1647" i="1"/>
  <c r="AZ1647" i="1"/>
  <c r="AY1647" i="1"/>
  <c r="AX1647" i="1"/>
  <c r="M1647" i="1"/>
  <c r="EM1644" i="1"/>
  <c r="DU1644" i="1"/>
  <c r="DT1644" i="1"/>
  <c r="DN1644" i="1"/>
  <c r="DM1644" i="1"/>
  <c r="DL1644" i="1"/>
  <c r="DK1644" i="1"/>
  <c r="DI1644" i="1"/>
  <c r="DJ1644" i="1" s="1"/>
  <c r="DB1644" i="1"/>
  <c r="DC1644" i="1" s="1"/>
  <c r="CX1644" i="1"/>
  <c r="CN1644" i="1"/>
  <c r="CR1644" i="1" s="1"/>
  <c r="BV1644" i="1"/>
  <c r="BX1644" i="1" s="1"/>
  <c r="BU1644" i="1"/>
  <c r="BN1644" i="1"/>
  <c r="BO1644" i="1" s="1"/>
  <c r="BM1644" i="1"/>
  <c r="BD1644" i="1"/>
  <c r="BC1644" i="1"/>
  <c r="BB1644" i="1"/>
  <c r="BA1644" i="1"/>
  <c r="AZ1644" i="1"/>
  <c r="AY1644" i="1"/>
  <c r="AX1644" i="1"/>
  <c r="M1644" i="1"/>
  <c r="EM1634" i="1"/>
  <c r="DU1634" i="1"/>
  <c r="DT1634" i="1"/>
  <c r="DN1634" i="1"/>
  <c r="DM1634" i="1"/>
  <c r="DL1634" i="1"/>
  <c r="DK1634" i="1"/>
  <c r="DI1634" i="1"/>
  <c r="DJ1634" i="1" s="1"/>
  <c r="DB1634" i="1"/>
  <c r="DC1634" i="1" s="1"/>
  <c r="CX1634" i="1"/>
  <c r="CN1634" i="1"/>
  <c r="CS1634" i="1" s="1"/>
  <c r="BV1634" i="1"/>
  <c r="BX1634" i="1" s="1"/>
  <c r="BU1634" i="1"/>
  <c r="BN1634" i="1"/>
  <c r="BO1634" i="1" s="1"/>
  <c r="BM1634" i="1"/>
  <c r="BD1634" i="1"/>
  <c r="BC1634" i="1"/>
  <c r="BB1634" i="1"/>
  <c r="BA1634" i="1"/>
  <c r="AZ1634" i="1"/>
  <c r="AY1634" i="1"/>
  <c r="AX1634" i="1"/>
  <c r="M1634" i="1"/>
  <c r="EM1651" i="1"/>
  <c r="DU1651" i="1"/>
  <c r="DT1651" i="1"/>
  <c r="DN1651" i="1"/>
  <c r="DM1651" i="1"/>
  <c r="DL1651" i="1"/>
  <c r="DK1651" i="1"/>
  <c r="DI1651" i="1"/>
  <c r="DJ1651" i="1" s="1"/>
  <c r="DB1651" i="1"/>
  <c r="DC1651" i="1" s="1"/>
  <c r="CX1651" i="1"/>
  <c r="CN1651" i="1"/>
  <c r="CP1651" i="1" s="1"/>
  <c r="BV1651" i="1"/>
  <c r="BX1651" i="1" s="1"/>
  <c r="BU1651" i="1"/>
  <c r="BN1651" i="1"/>
  <c r="BO1651" i="1" s="1"/>
  <c r="BM1651" i="1"/>
  <c r="BD1651" i="1"/>
  <c r="BC1651" i="1"/>
  <c r="BB1651" i="1"/>
  <c r="BA1651" i="1"/>
  <c r="AZ1651" i="1"/>
  <c r="AY1651" i="1"/>
  <c r="AX1651" i="1"/>
  <c r="M1651" i="1"/>
  <c r="EM1649" i="1"/>
  <c r="DU1649" i="1"/>
  <c r="DT1649" i="1"/>
  <c r="DN1649" i="1"/>
  <c r="DM1649" i="1"/>
  <c r="DL1649" i="1"/>
  <c r="DK1649" i="1"/>
  <c r="DI1649" i="1"/>
  <c r="DJ1649" i="1" s="1"/>
  <c r="DB1649" i="1"/>
  <c r="DC1649" i="1" s="1"/>
  <c r="CX1649" i="1"/>
  <c r="CN1649" i="1"/>
  <c r="CS1649" i="1" s="1"/>
  <c r="BV1649" i="1"/>
  <c r="BX1649" i="1" s="1"/>
  <c r="BU1649" i="1"/>
  <c r="BN1649" i="1"/>
  <c r="BO1649" i="1" s="1"/>
  <c r="BM1649" i="1"/>
  <c r="BD1649" i="1"/>
  <c r="BC1649" i="1"/>
  <c r="BB1649" i="1"/>
  <c r="BA1649" i="1"/>
  <c r="AZ1649" i="1"/>
  <c r="AY1649" i="1"/>
  <c r="AX1649" i="1"/>
  <c r="M1649" i="1"/>
  <c r="EM1643" i="1"/>
  <c r="DU1643" i="1"/>
  <c r="DT1643" i="1"/>
  <c r="DN1643" i="1"/>
  <c r="DM1643" i="1"/>
  <c r="DL1643" i="1"/>
  <c r="DK1643" i="1"/>
  <c r="DI1643" i="1"/>
  <c r="DJ1643" i="1" s="1"/>
  <c r="DB1643" i="1"/>
  <c r="DC1643" i="1" s="1"/>
  <c r="CX1643" i="1"/>
  <c r="CN1643" i="1"/>
  <c r="CR1643" i="1" s="1"/>
  <c r="BV1643" i="1"/>
  <c r="BX1643" i="1" s="1"/>
  <c r="BU1643" i="1"/>
  <c r="BN1643" i="1"/>
  <c r="BO1643" i="1" s="1"/>
  <c r="BM1643" i="1"/>
  <c r="BD1643" i="1"/>
  <c r="BC1643" i="1"/>
  <c r="BB1643" i="1"/>
  <c r="BA1643" i="1"/>
  <c r="AZ1643" i="1"/>
  <c r="AY1643" i="1"/>
  <c r="AX1643" i="1"/>
  <c r="M1643" i="1"/>
  <c r="EM1642" i="1"/>
  <c r="DU1642" i="1"/>
  <c r="DT1642" i="1"/>
  <c r="DN1642" i="1"/>
  <c r="DM1642" i="1"/>
  <c r="DL1642" i="1"/>
  <c r="DK1642" i="1"/>
  <c r="DI1642" i="1"/>
  <c r="DJ1642" i="1" s="1"/>
  <c r="DB1642" i="1"/>
  <c r="DC1642" i="1" s="1"/>
  <c r="CX1642" i="1"/>
  <c r="CN1642" i="1"/>
  <c r="CS1642" i="1" s="1"/>
  <c r="BV1642" i="1"/>
  <c r="BX1642" i="1" s="1"/>
  <c r="BU1642" i="1"/>
  <c r="BN1642" i="1"/>
  <c r="BO1642" i="1" s="1"/>
  <c r="BM1642" i="1"/>
  <c r="BD1642" i="1"/>
  <c r="BC1642" i="1"/>
  <c r="BB1642" i="1"/>
  <c r="BA1642" i="1"/>
  <c r="AZ1642" i="1"/>
  <c r="AY1642" i="1"/>
  <c r="AX1642" i="1"/>
  <c r="M1642" i="1"/>
  <c r="EM1641" i="1"/>
  <c r="DU1641" i="1"/>
  <c r="DT1641" i="1"/>
  <c r="DN1641" i="1"/>
  <c r="DM1641" i="1"/>
  <c r="DL1641" i="1"/>
  <c r="DK1641" i="1"/>
  <c r="DI1641" i="1"/>
  <c r="DJ1641" i="1" s="1"/>
  <c r="DB1641" i="1"/>
  <c r="DC1641" i="1" s="1"/>
  <c r="CX1641" i="1"/>
  <c r="CN1641" i="1"/>
  <c r="CS1641" i="1" s="1"/>
  <c r="BV1641" i="1"/>
  <c r="BX1641" i="1" s="1"/>
  <c r="BU1641" i="1"/>
  <c r="BN1641" i="1"/>
  <c r="BO1641" i="1" s="1"/>
  <c r="BM1641" i="1"/>
  <c r="BD1641" i="1"/>
  <c r="BC1641" i="1"/>
  <c r="BB1641" i="1"/>
  <c r="BA1641" i="1"/>
  <c r="AZ1641" i="1"/>
  <c r="AY1641" i="1"/>
  <c r="AX1641" i="1"/>
  <c r="M1641" i="1"/>
  <c r="EM1638" i="1"/>
  <c r="DU1638" i="1"/>
  <c r="DT1638" i="1"/>
  <c r="DN1638" i="1"/>
  <c r="DM1638" i="1"/>
  <c r="DL1638" i="1"/>
  <c r="DK1638" i="1"/>
  <c r="DI1638" i="1"/>
  <c r="DJ1638" i="1" s="1"/>
  <c r="DB1638" i="1"/>
  <c r="DC1638" i="1" s="1"/>
  <c r="CX1638" i="1"/>
  <c r="CN1638" i="1"/>
  <c r="BV1638" i="1"/>
  <c r="BX1638" i="1" s="1"/>
  <c r="BU1638" i="1"/>
  <c r="BN1638" i="1"/>
  <c r="BO1638" i="1" s="1"/>
  <c r="BM1638" i="1"/>
  <c r="BD1638" i="1"/>
  <c r="BC1638" i="1"/>
  <c r="BB1638" i="1"/>
  <c r="BA1638" i="1"/>
  <c r="AZ1638" i="1"/>
  <c r="AY1638" i="1"/>
  <c r="AX1638" i="1"/>
  <c r="M1638" i="1"/>
  <c r="EM1636" i="1"/>
  <c r="DU1636" i="1"/>
  <c r="DT1636" i="1"/>
  <c r="DN1636" i="1"/>
  <c r="DM1636" i="1"/>
  <c r="DL1636" i="1"/>
  <c r="DK1636" i="1"/>
  <c r="DI1636" i="1"/>
  <c r="DJ1636" i="1" s="1"/>
  <c r="DB1636" i="1"/>
  <c r="DC1636" i="1" s="1"/>
  <c r="CX1636" i="1"/>
  <c r="CN1636" i="1"/>
  <c r="BV1636" i="1"/>
  <c r="BX1636" i="1" s="1"/>
  <c r="BU1636" i="1"/>
  <c r="BN1636" i="1"/>
  <c r="BO1636" i="1" s="1"/>
  <c r="BM1636" i="1"/>
  <c r="BD1636" i="1"/>
  <c r="BC1636" i="1"/>
  <c r="BB1636" i="1"/>
  <c r="BA1636" i="1"/>
  <c r="AZ1636" i="1"/>
  <c r="AY1636" i="1"/>
  <c r="AX1636" i="1"/>
  <c r="M1636" i="1"/>
  <c r="EM1635" i="1"/>
  <c r="DU1635" i="1"/>
  <c r="DT1635" i="1"/>
  <c r="DN1635" i="1"/>
  <c r="DM1635" i="1"/>
  <c r="DL1635" i="1"/>
  <c r="DK1635" i="1"/>
  <c r="DI1635" i="1"/>
  <c r="DJ1635" i="1" s="1"/>
  <c r="DB1635" i="1"/>
  <c r="DC1635" i="1" s="1"/>
  <c r="CX1635" i="1"/>
  <c r="CN1635" i="1"/>
  <c r="CP1635" i="1" s="1"/>
  <c r="BV1635" i="1"/>
  <c r="BX1635" i="1" s="1"/>
  <c r="BU1635" i="1"/>
  <c r="BN1635" i="1"/>
  <c r="BO1635" i="1" s="1"/>
  <c r="BM1635" i="1"/>
  <c r="BD1635" i="1"/>
  <c r="BC1635" i="1"/>
  <c r="BB1635" i="1"/>
  <c r="BA1635" i="1"/>
  <c r="AZ1635" i="1"/>
  <c r="AY1635" i="1"/>
  <c r="AX1635" i="1"/>
  <c r="M1635" i="1"/>
  <c r="EM1633" i="1"/>
  <c r="DU1633" i="1"/>
  <c r="DT1633" i="1"/>
  <c r="DN1633" i="1"/>
  <c r="DM1633" i="1"/>
  <c r="DL1633" i="1"/>
  <c r="DK1633" i="1"/>
  <c r="DI1633" i="1"/>
  <c r="DJ1633" i="1" s="1"/>
  <c r="DB1633" i="1"/>
  <c r="DC1633" i="1" s="1"/>
  <c r="CX1633" i="1"/>
  <c r="CN1633" i="1"/>
  <c r="CS1633" i="1" s="1"/>
  <c r="BV1633" i="1"/>
  <c r="BX1633" i="1" s="1"/>
  <c r="BU1633" i="1"/>
  <c r="BN1633" i="1"/>
  <c r="BO1633" i="1" s="1"/>
  <c r="BM1633" i="1"/>
  <c r="BD1633" i="1"/>
  <c r="BC1633" i="1"/>
  <c r="BB1633" i="1"/>
  <c r="BA1633" i="1"/>
  <c r="AZ1633" i="1"/>
  <c r="AY1633" i="1"/>
  <c r="AX1633" i="1"/>
  <c r="M1633" i="1"/>
  <c r="EM1632" i="1"/>
  <c r="DU1632" i="1"/>
  <c r="DT1632" i="1"/>
  <c r="DN1632" i="1"/>
  <c r="DM1632" i="1"/>
  <c r="DL1632" i="1"/>
  <c r="DK1632" i="1"/>
  <c r="DI1632" i="1"/>
  <c r="DJ1632" i="1" s="1"/>
  <c r="DB1632" i="1"/>
  <c r="DC1632" i="1" s="1"/>
  <c r="CX1632" i="1"/>
  <c r="CN1632" i="1"/>
  <c r="CO1632" i="1" s="1"/>
  <c r="BV1632" i="1"/>
  <c r="BX1632" i="1" s="1"/>
  <c r="BU1632" i="1"/>
  <c r="BN1632" i="1"/>
  <c r="BO1632" i="1" s="1"/>
  <c r="BM1632" i="1"/>
  <c r="BD1632" i="1"/>
  <c r="BC1632" i="1"/>
  <c r="BB1632" i="1"/>
  <c r="BA1632" i="1"/>
  <c r="AZ1632" i="1"/>
  <c r="AY1632" i="1"/>
  <c r="AX1632" i="1"/>
  <c r="M1632" i="1"/>
  <c r="EM1629" i="1"/>
  <c r="DU1629" i="1"/>
  <c r="DT1629" i="1"/>
  <c r="DN1629" i="1"/>
  <c r="DM1629" i="1"/>
  <c r="DL1629" i="1"/>
  <c r="DK1629" i="1"/>
  <c r="DI1629" i="1"/>
  <c r="DJ1629" i="1" s="1"/>
  <c r="DB1629" i="1"/>
  <c r="DC1629" i="1" s="1"/>
  <c r="CX1629" i="1"/>
  <c r="CN1629" i="1"/>
  <c r="CR1629" i="1" s="1"/>
  <c r="BV1629" i="1"/>
  <c r="BX1629" i="1" s="1"/>
  <c r="BU1629" i="1"/>
  <c r="BN1629" i="1"/>
  <c r="BO1629" i="1" s="1"/>
  <c r="BM1629" i="1"/>
  <c r="BD1629" i="1"/>
  <c r="BC1629" i="1"/>
  <c r="BB1629" i="1"/>
  <c r="BA1629" i="1"/>
  <c r="AZ1629" i="1"/>
  <c r="AY1629" i="1"/>
  <c r="AX1629" i="1"/>
  <c r="M1629" i="1"/>
  <c r="EM1628" i="1"/>
  <c r="DU1628" i="1"/>
  <c r="DT1628" i="1"/>
  <c r="DN1628" i="1"/>
  <c r="DM1628" i="1"/>
  <c r="DL1628" i="1"/>
  <c r="DK1628" i="1"/>
  <c r="DI1628" i="1"/>
  <c r="DJ1628" i="1" s="1"/>
  <c r="DB1628" i="1"/>
  <c r="DC1628" i="1" s="1"/>
  <c r="CX1628" i="1"/>
  <c r="CN1628" i="1"/>
  <c r="CR1628" i="1" s="1"/>
  <c r="BT1628" i="1"/>
  <c r="BV1628" i="1" s="1"/>
  <c r="BX1628" i="1" s="1"/>
  <c r="BN1628" i="1"/>
  <c r="BO1628" i="1" s="1"/>
  <c r="BD1628" i="1"/>
  <c r="BC1628" i="1"/>
  <c r="BB1628" i="1"/>
  <c r="BA1628" i="1"/>
  <c r="AZ1628" i="1"/>
  <c r="AY1628" i="1"/>
  <c r="BE1628" i="1" s="1" a="1"/>
  <c r="BE1628" i="1" s="1"/>
  <c r="AX1628" i="1"/>
  <c r="M1628" i="1"/>
  <c r="EM1578" i="1"/>
  <c r="DU1578" i="1"/>
  <c r="DT1578" i="1"/>
  <c r="DN1578" i="1"/>
  <c r="DM1578" i="1"/>
  <c r="DL1578" i="1"/>
  <c r="DK1578" i="1"/>
  <c r="DI1578" i="1"/>
  <c r="DJ1578" i="1" s="1"/>
  <c r="DC1578" i="1"/>
  <c r="DA1578" i="1"/>
  <c r="CX1578" i="1"/>
  <c r="CN1578" i="1"/>
  <c r="BX1578" i="1"/>
  <c r="BN1578" i="1"/>
  <c r="BO1578" i="1" s="1"/>
  <c r="BD1578" i="1"/>
  <c r="BC1578" i="1"/>
  <c r="BB1578" i="1"/>
  <c r="BA1578" i="1"/>
  <c r="AZ1578" i="1"/>
  <c r="AY1578" i="1"/>
  <c r="BE1578" i="1" s="1" a="1"/>
  <c r="BE1578" i="1" s="1"/>
  <c r="AX1578" i="1"/>
  <c r="M1578" i="1"/>
  <c r="EM1577" i="1"/>
  <c r="DU1577" i="1"/>
  <c r="DT1577" i="1"/>
  <c r="DN1577" i="1"/>
  <c r="DM1577" i="1"/>
  <c r="DL1577" i="1"/>
  <c r="DK1577" i="1"/>
  <c r="DI1577" i="1"/>
  <c r="DJ1577" i="1" s="1"/>
  <c r="DC1577" i="1"/>
  <c r="DA1577" i="1"/>
  <c r="CX1577" i="1"/>
  <c r="CN1577" i="1"/>
  <c r="CS1577" i="1" s="1"/>
  <c r="BX1577" i="1"/>
  <c r="BN1577" i="1"/>
  <c r="BO1577" i="1" s="1"/>
  <c r="BD1577" i="1"/>
  <c r="BC1577" i="1"/>
  <c r="BB1577" i="1"/>
  <c r="BA1577" i="1"/>
  <c r="AZ1577" i="1"/>
  <c r="AY1577" i="1"/>
  <c r="BE1577" i="1" s="1" a="1"/>
  <c r="BE1577" i="1" s="1"/>
  <c r="AX1577" i="1"/>
  <c r="M1577" i="1"/>
  <c r="EM1575" i="1"/>
  <c r="DU1575" i="1"/>
  <c r="DT1575" i="1"/>
  <c r="DN1575" i="1"/>
  <c r="DM1575" i="1"/>
  <c r="DL1575" i="1"/>
  <c r="DK1575" i="1"/>
  <c r="DI1575" i="1"/>
  <c r="DJ1575" i="1" s="1"/>
  <c r="DC1575" i="1"/>
  <c r="DA1575" i="1"/>
  <c r="CX1575" i="1"/>
  <c r="CN1575" i="1"/>
  <c r="CO1575" i="1" s="1"/>
  <c r="BX1575" i="1"/>
  <c r="BN1575" i="1"/>
  <c r="BO1575" i="1" s="1"/>
  <c r="BD1575" i="1"/>
  <c r="BC1575" i="1"/>
  <c r="BB1575" i="1"/>
  <c r="BA1575" i="1"/>
  <c r="AZ1575" i="1"/>
  <c r="AY1575" i="1"/>
  <c r="BE1575" i="1" s="1" a="1"/>
  <c r="BE1575" i="1" s="1"/>
  <c r="AX1575" i="1"/>
  <c r="M1575" i="1"/>
  <c r="EM1576" i="1"/>
  <c r="DU1576" i="1"/>
  <c r="DT1576" i="1"/>
  <c r="DN1576" i="1"/>
  <c r="DM1576" i="1"/>
  <c r="DL1576" i="1"/>
  <c r="DK1576" i="1"/>
  <c r="DI1576" i="1"/>
  <c r="DJ1576" i="1" s="1"/>
  <c r="DC1576" i="1"/>
  <c r="DA1576" i="1"/>
  <c r="CX1576" i="1"/>
  <c r="CN1576" i="1"/>
  <c r="BX1576" i="1"/>
  <c r="BN1576" i="1"/>
  <c r="BO1576" i="1" s="1"/>
  <c r="BD1576" i="1"/>
  <c r="BC1576" i="1"/>
  <c r="BB1576" i="1"/>
  <c r="BA1576" i="1"/>
  <c r="AZ1576" i="1"/>
  <c r="AY1576" i="1"/>
  <c r="BE1576" i="1" s="1" a="1"/>
  <c r="BE1576" i="1" s="1"/>
  <c r="AX1576" i="1"/>
  <c r="M1576" i="1"/>
  <c r="EM1566" i="1"/>
  <c r="DU1566" i="1"/>
  <c r="DT1566" i="1"/>
  <c r="DN1566" i="1"/>
  <c r="DM1566" i="1"/>
  <c r="DL1566" i="1"/>
  <c r="DK1566" i="1"/>
  <c r="DI1566" i="1"/>
  <c r="DJ1566" i="1" s="1"/>
  <c r="DB1566" i="1"/>
  <c r="DC1566" i="1" s="1"/>
  <c r="CX1566" i="1"/>
  <c r="CN1566" i="1"/>
  <c r="CR1566" i="1" s="1"/>
  <c r="BV1566" i="1"/>
  <c r="BX1566" i="1" s="1"/>
  <c r="BU1566" i="1"/>
  <c r="BN1566" i="1"/>
  <c r="BO1566" i="1" s="1"/>
  <c r="BM1566" i="1"/>
  <c r="BD1566" i="1"/>
  <c r="BC1566" i="1"/>
  <c r="BB1566" i="1"/>
  <c r="BA1566" i="1"/>
  <c r="AZ1566" i="1"/>
  <c r="BF1566" i="1" s="1" a="1"/>
  <c r="BF1566" i="1" s="1"/>
  <c r="AY1566" i="1"/>
  <c r="BE1566" i="1" s="1" a="1"/>
  <c r="BE1566" i="1" s="1"/>
  <c r="AX1566" i="1"/>
  <c r="M1566" i="1"/>
  <c r="EM1521" i="1"/>
  <c r="DU1521" i="1"/>
  <c r="DT1521" i="1"/>
  <c r="DN1521" i="1"/>
  <c r="DM1521" i="1"/>
  <c r="DL1521" i="1"/>
  <c r="DK1521" i="1"/>
  <c r="DI1521" i="1"/>
  <c r="DJ1521" i="1" s="1"/>
  <c r="DC1521" i="1"/>
  <c r="CX1521" i="1"/>
  <c r="CN1521" i="1"/>
  <c r="CS1521" i="1" s="1"/>
  <c r="BV1521" i="1"/>
  <c r="BX1521" i="1" s="1"/>
  <c r="BU1521" i="1"/>
  <c r="BN1521" i="1"/>
  <c r="BO1521" i="1" s="1"/>
  <c r="BM1521" i="1"/>
  <c r="BD1521" i="1"/>
  <c r="BC1521" i="1"/>
  <c r="BB1521" i="1"/>
  <c r="BA1521" i="1"/>
  <c r="AZ1521" i="1"/>
  <c r="AY1521" i="1"/>
  <c r="BE1521" i="1" s="1" a="1"/>
  <c r="BE1521" i="1" s="1"/>
  <c r="AX1521" i="1"/>
  <c r="M1521" i="1"/>
  <c r="EM1520" i="1"/>
  <c r="DU1520" i="1"/>
  <c r="DT1520" i="1"/>
  <c r="DN1520" i="1"/>
  <c r="DM1520" i="1"/>
  <c r="DL1520" i="1"/>
  <c r="DK1520" i="1"/>
  <c r="DI1520" i="1"/>
  <c r="DJ1520" i="1" s="1"/>
  <c r="DC1520" i="1"/>
  <c r="CX1520" i="1"/>
  <c r="CN1520" i="1"/>
  <c r="CR1520" i="1" s="1"/>
  <c r="BV1520" i="1"/>
  <c r="BX1520" i="1" s="1"/>
  <c r="BU1520" i="1"/>
  <c r="BN1520" i="1"/>
  <c r="BO1520" i="1" s="1"/>
  <c r="BM1520" i="1"/>
  <c r="BD1520" i="1"/>
  <c r="BC1520" i="1"/>
  <c r="BB1520" i="1"/>
  <c r="BA1520" i="1"/>
  <c r="AZ1520" i="1"/>
  <c r="AY1520" i="1"/>
  <c r="BE1520" i="1" s="1" a="1"/>
  <c r="BE1520" i="1" s="1"/>
  <c r="AX1520" i="1"/>
  <c r="M1520" i="1"/>
  <c r="EM1519" i="1"/>
  <c r="DU1519" i="1"/>
  <c r="DT1519" i="1"/>
  <c r="DN1519" i="1"/>
  <c r="DM1519" i="1"/>
  <c r="DL1519" i="1"/>
  <c r="DK1519" i="1"/>
  <c r="DI1519" i="1"/>
  <c r="DJ1519" i="1" s="1"/>
  <c r="DC1519" i="1"/>
  <c r="CX1519" i="1"/>
  <c r="CN1519" i="1"/>
  <c r="CP1519" i="1" s="1"/>
  <c r="BV1519" i="1"/>
  <c r="BX1519" i="1" s="1"/>
  <c r="BU1519" i="1"/>
  <c r="BN1519" i="1"/>
  <c r="BO1519" i="1" s="1"/>
  <c r="BM1519" i="1"/>
  <c r="BD1519" i="1"/>
  <c r="BC1519" i="1"/>
  <c r="BB1519" i="1"/>
  <c r="BA1519" i="1"/>
  <c r="AZ1519" i="1"/>
  <c r="AY1519" i="1"/>
  <c r="BE1519" i="1" s="1" a="1"/>
  <c r="BE1519" i="1" s="1"/>
  <c r="AX1519" i="1"/>
  <c r="M1519" i="1"/>
  <c r="EM1518" i="1"/>
  <c r="DU1518" i="1"/>
  <c r="DT1518" i="1"/>
  <c r="DN1518" i="1"/>
  <c r="DM1518" i="1"/>
  <c r="DL1518" i="1"/>
  <c r="DK1518" i="1"/>
  <c r="DI1518" i="1"/>
  <c r="DJ1518" i="1" s="1"/>
  <c r="DC1518" i="1"/>
  <c r="CX1518" i="1"/>
  <c r="CN1518" i="1"/>
  <c r="BV1518" i="1"/>
  <c r="BX1518" i="1" s="1"/>
  <c r="BU1518" i="1"/>
  <c r="BN1518" i="1"/>
  <c r="BO1518" i="1" s="1"/>
  <c r="BM1518" i="1"/>
  <c r="BD1518" i="1"/>
  <c r="BC1518" i="1"/>
  <c r="BB1518" i="1"/>
  <c r="BA1518" i="1"/>
  <c r="AZ1518" i="1"/>
  <c r="AY1518" i="1"/>
  <c r="BE1518" i="1" s="1" a="1"/>
  <c r="BE1518" i="1" s="1"/>
  <c r="AX1518" i="1"/>
  <c r="M1518" i="1"/>
  <c r="EM1463" i="1"/>
  <c r="DU1463" i="1"/>
  <c r="DT1463" i="1"/>
  <c r="DN1463" i="1"/>
  <c r="DM1463" i="1"/>
  <c r="DL1463" i="1"/>
  <c r="DK1463" i="1"/>
  <c r="DI1463" i="1"/>
  <c r="DJ1463" i="1" s="1"/>
  <c r="DC1463" i="1"/>
  <c r="CX1463" i="1"/>
  <c r="BT1463" i="1"/>
  <c r="BS1463" i="1"/>
  <c r="BU1463" i="1" s="1"/>
  <c r="BL1463" i="1"/>
  <c r="BK1463" i="1"/>
  <c r="BD1463" i="1"/>
  <c r="BC1463" i="1"/>
  <c r="BB1463" i="1"/>
  <c r="BA1463" i="1"/>
  <c r="AZ1463" i="1"/>
  <c r="AY1463" i="1"/>
  <c r="BE1463" i="1" s="1" a="1"/>
  <c r="BE1463" i="1" s="1"/>
  <c r="AX1463" i="1"/>
  <c r="M1463" i="1"/>
  <c r="EM1447" i="1"/>
  <c r="DU1447" i="1"/>
  <c r="DT1447" i="1"/>
  <c r="DN1447" i="1"/>
  <c r="DM1447" i="1"/>
  <c r="DL1447" i="1"/>
  <c r="DK1447" i="1"/>
  <c r="DI1447" i="1"/>
  <c r="DJ1447" i="1" s="1"/>
  <c r="DC1447" i="1"/>
  <c r="CX1447" i="1"/>
  <c r="CN1447" i="1"/>
  <c r="CR1447" i="1" s="1"/>
  <c r="BX1447" i="1"/>
  <c r="BV1447" i="1"/>
  <c r="BN1447" i="1"/>
  <c r="BO1447" i="1" s="1"/>
  <c r="BD1447" i="1"/>
  <c r="BC1447" i="1"/>
  <c r="BB1447" i="1"/>
  <c r="BA1447" i="1"/>
  <c r="AZ1447" i="1"/>
  <c r="BF1447" i="1" s="1" a="1"/>
  <c r="BF1447" i="1" s="1"/>
  <c r="AY1447" i="1"/>
  <c r="BE1447" i="1" s="1" a="1"/>
  <c r="BE1447" i="1" s="1"/>
  <c r="AX1447" i="1"/>
  <c r="M1447" i="1"/>
  <c r="EM1448" i="1"/>
  <c r="DU1448" i="1"/>
  <c r="DT1448" i="1"/>
  <c r="DN1448" i="1"/>
  <c r="DM1448" i="1"/>
  <c r="DL1448" i="1"/>
  <c r="DK1448" i="1"/>
  <c r="DI1448" i="1"/>
  <c r="DJ1448" i="1" s="1"/>
  <c r="DC1448" i="1"/>
  <c r="CX1448" i="1"/>
  <c r="CN1448" i="1"/>
  <c r="CO1448" i="1" s="1"/>
  <c r="BV1448" i="1"/>
  <c r="BX1448" i="1" s="1"/>
  <c r="BN1448" i="1"/>
  <c r="BO1448" i="1" s="1"/>
  <c r="BD1448" i="1"/>
  <c r="BC1448" i="1"/>
  <c r="BB1448" i="1"/>
  <c r="BA1448" i="1"/>
  <c r="AZ1448" i="1"/>
  <c r="AY1448" i="1"/>
  <c r="BE1448" i="1" s="1" a="1"/>
  <c r="BE1448" i="1" s="1"/>
  <c r="AX1448" i="1"/>
  <c r="M1448" i="1"/>
  <c r="EM1451" i="1"/>
  <c r="DU1451" i="1"/>
  <c r="DT1451" i="1"/>
  <c r="DN1451" i="1"/>
  <c r="DM1451" i="1"/>
  <c r="DL1451" i="1"/>
  <c r="DK1451" i="1"/>
  <c r="DI1451" i="1"/>
  <c r="DJ1451" i="1" s="1"/>
  <c r="DC1451" i="1"/>
  <c r="CX1451" i="1"/>
  <c r="CN1451" i="1"/>
  <c r="CP1451" i="1" s="1"/>
  <c r="BV1451" i="1"/>
  <c r="BX1451" i="1" s="1"/>
  <c r="BN1451" i="1"/>
  <c r="BO1451" i="1" s="1"/>
  <c r="BD1451" i="1"/>
  <c r="BC1451" i="1"/>
  <c r="BB1451" i="1"/>
  <c r="BA1451" i="1"/>
  <c r="AZ1451" i="1"/>
  <c r="AY1451" i="1"/>
  <c r="AX1451" i="1"/>
  <c r="M1451" i="1"/>
  <c r="EM1444" i="1"/>
  <c r="DU1444" i="1"/>
  <c r="DT1444" i="1"/>
  <c r="DN1444" i="1"/>
  <c r="DM1444" i="1"/>
  <c r="DL1444" i="1"/>
  <c r="DK1444" i="1"/>
  <c r="DI1444" i="1"/>
  <c r="DJ1444" i="1" s="1"/>
  <c r="DC1444" i="1"/>
  <c r="CX1444" i="1"/>
  <c r="CN1444" i="1"/>
  <c r="BV1444" i="1"/>
  <c r="BX1444" i="1" s="1"/>
  <c r="BN1444" i="1"/>
  <c r="BO1444" i="1" s="1"/>
  <c r="BD1444" i="1"/>
  <c r="BC1444" i="1"/>
  <c r="BB1444" i="1"/>
  <c r="BA1444" i="1"/>
  <c r="AZ1444" i="1"/>
  <c r="AY1444" i="1"/>
  <c r="BE1444" i="1" s="1" a="1"/>
  <c r="BE1444" i="1" s="1"/>
  <c r="AX1444" i="1"/>
  <c r="M1444" i="1"/>
  <c r="EM1456" i="1"/>
  <c r="DU1456" i="1"/>
  <c r="DT1456" i="1"/>
  <c r="DN1456" i="1"/>
  <c r="DM1456" i="1"/>
  <c r="DL1456" i="1"/>
  <c r="DK1456" i="1"/>
  <c r="DI1456" i="1"/>
  <c r="DJ1456" i="1" s="1"/>
  <c r="DC1456" i="1"/>
  <c r="CX1456" i="1"/>
  <c r="CN1456" i="1"/>
  <c r="CR1456" i="1" s="1"/>
  <c r="BV1456" i="1"/>
  <c r="BX1456" i="1" s="1"/>
  <c r="BN1456" i="1"/>
  <c r="BO1456" i="1" s="1"/>
  <c r="BD1456" i="1"/>
  <c r="BC1456" i="1"/>
  <c r="BB1456" i="1"/>
  <c r="BA1456" i="1"/>
  <c r="AZ1456" i="1"/>
  <c r="AY1456" i="1"/>
  <c r="AX1456" i="1"/>
  <c r="M1456" i="1"/>
  <c r="EM1452" i="1"/>
  <c r="DU1452" i="1"/>
  <c r="DT1452" i="1"/>
  <c r="DN1452" i="1"/>
  <c r="DM1452" i="1"/>
  <c r="DL1452" i="1"/>
  <c r="DK1452" i="1"/>
  <c r="DI1452" i="1"/>
  <c r="DJ1452" i="1" s="1"/>
  <c r="DC1452" i="1"/>
  <c r="CX1452" i="1"/>
  <c r="CN1452" i="1"/>
  <c r="CS1452" i="1" s="1"/>
  <c r="BV1452" i="1"/>
  <c r="BX1452" i="1" s="1"/>
  <c r="BN1452" i="1"/>
  <c r="BO1452" i="1" s="1"/>
  <c r="BD1452" i="1"/>
  <c r="BC1452" i="1"/>
  <c r="BB1452" i="1"/>
  <c r="BA1452" i="1"/>
  <c r="AZ1452" i="1"/>
  <c r="AY1452" i="1"/>
  <c r="BE1452" i="1" s="1" a="1"/>
  <c r="BE1452" i="1" s="1"/>
  <c r="AX1452" i="1"/>
  <c r="M1452" i="1"/>
  <c r="EM1454" i="1"/>
  <c r="DU1454" i="1"/>
  <c r="DT1454" i="1"/>
  <c r="DN1454" i="1"/>
  <c r="DM1454" i="1"/>
  <c r="DL1454" i="1"/>
  <c r="DK1454" i="1"/>
  <c r="DI1454" i="1"/>
  <c r="DJ1454" i="1" s="1"/>
  <c r="DC1454" i="1"/>
  <c r="CX1454" i="1"/>
  <c r="CN1454" i="1"/>
  <c r="CS1454" i="1" s="1"/>
  <c r="BV1454" i="1"/>
  <c r="BX1454" i="1" s="1"/>
  <c r="BN1454" i="1"/>
  <c r="BO1454" i="1" s="1"/>
  <c r="BD1454" i="1"/>
  <c r="BC1454" i="1"/>
  <c r="BB1454" i="1"/>
  <c r="BA1454" i="1"/>
  <c r="AZ1454" i="1"/>
  <c r="AY1454" i="1"/>
  <c r="BE1454" i="1" s="1" a="1"/>
  <c r="BE1454" i="1" s="1"/>
  <c r="AX1454" i="1"/>
  <c r="M1454" i="1"/>
  <c r="EM1455" i="1"/>
  <c r="DU1455" i="1"/>
  <c r="DT1455" i="1"/>
  <c r="DN1455" i="1"/>
  <c r="DM1455" i="1"/>
  <c r="DL1455" i="1"/>
  <c r="DK1455" i="1"/>
  <c r="DI1455" i="1"/>
  <c r="DJ1455" i="1" s="1"/>
  <c r="DC1455" i="1"/>
  <c r="CX1455" i="1"/>
  <c r="CN1455" i="1"/>
  <c r="CO1455" i="1" s="1"/>
  <c r="BV1455" i="1"/>
  <c r="BX1455" i="1" s="1"/>
  <c r="BN1455" i="1"/>
  <c r="BO1455" i="1" s="1"/>
  <c r="BD1455" i="1"/>
  <c r="BC1455" i="1"/>
  <c r="BB1455" i="1"/>
  <c r="BA1455" i="1"/>
  <c r="AZ1455" i="1"/>
  <c r="AY1455" i="1"/>
  <c r="AX1455" i="1"/>
  <c r="M1455" i="1"/>
  <c r="EM1445" i="1"/>
  <c r="DU1445" i="1"/>
  <c r="DT1445" i="1"/>
  <c r="DN1445" i="1"/>
  <c r="DM1445" i="1"/>
  <c r="DL1445" i="1"/>
  <c r="DK1445" i="1"/>
  <c r="DI1445" i="1"/>
  <c r="DJ1445" i="1" s="1"/>
  <c r="DC1445" i="1"/>
  <c r="CX1445" i="1"/>
  <c r="CN1445" i="1"/>
  <c r="CO1445" i="1" s="1"/>
  <c r="BV1445" i="1"/>
  <c r="BX1445" i="1" s="1"/>
  <c r="BN1445" i="1"/>
  <c r="BO1445" i="1" s="1"/>
  <c r="BD1445" i="1"/>
  <c r="BC1445" i="1"/>
  <c r="BB1445" i="1"/>
  <c r="BA1445" i="1"/>
  <c r="AZ1445" i="1"/>
  <c r="BF1445" i="1" s="1" a="1"/>
  <c r="BF1445" i="1" s="1"/>
  <c r="AY1445" i="1"/>
  <c r="BE1445" i="1" s="1" a="1"/>
  <c r="BE1445" i="1" s="1"/>
  <c r="AX1445" i="1"/>
  <c r="M1445" i="1"/>
  <c r="EM1458" i="1"/>
  <c r="DU1458" i="1"/>
  <c r="DT1458" i="1"/>
  <c r="DN1458" i="1"/>
  <c r="DM1458" i="1"/>
  <c r="DL1458" i="1"/>
  <c r="DK1458" i="1"/>
  <c r="DI1458" i="1"/>
  <c r="DJ1458" i="1" s="1"/>
  <c r="DC1458" i="1"/>
  <c r="CX1458" i="1"/>
  <c r="CN1458" i="1"/>
  <c r="CS1458" i="1" s="1"/>
  <c r="BV1458" i="1"/>
  <c r="BX1458" i="1" s="1"/>
  <c r="BN1458" i="1"/>
  <c r="BO1458" i="1" s="1"/>
  <c r="BD1458" i="1"/>
  <c r="BC1458" i="1"/>
  <c r="BB1458" i="1"/>
  <c r="BA1458" i="1"/>
  <c r="AZ1458" i="1"/>
  <c r="AY1458" i="1"/>
  <c r="AX1458" i="1"/>
  <c r="M1458" i="1"/>
  <c r="EM1449" i="1"/>
  <c r="DU1449" i="1"/>
  <c r="DT1449" i="1"/>
  <c r="DN1449" i="1"/>
  <c r="DM1449" i="1"/>
  <c r="DL1449" i="1"/>
  <c r="DK1449" i="1"/>
  <c r="DI1449" i="1"/>
  <c r="DJ1449" i="1" s="1"/>
  <c r="DC1449" i="1"/>
  <c r="CX1449" i="1"/>
  <c r="CN1449" i="1"/>
  <c r="CS1449" i="1" s="1"/>
  <c r="BV1449" i="1"/>
  <c r="BX1449" i="1" s="1"/>
  <c r="BN1449" i="1"/>
  <c r="BO1449" i="1" s="1"/>
  <c r="BD1449" i="1"/>
  <c r="BC1449" i="1"/>
  <c r="BB1449" i="1"/>
  <c r="BA1449" i="1"/>
  <c r="AZ1449" i="1"/>
  <c r="AY1449" i="1"/>
  <c r="BE1449" i="1" s="1" a="1"/>
  <c r="BE1449" i="1" s="1"/>
  <c r="AX1449" i="1"/>
  <c r="M1449" i="1"/>
  <c r="EM1450" i="1"/>
  <c r="DU1450" i="1"/>
  <c r="DT1450" i="1"/>
  <c r="DN1450" i="1"/>
  <c r="DM1450" i="1"/>
  <c r="DL1450" i="1"/>
  <c r="DK1450" i="1"/>
  <c r="DI1450" i="1"/>
  <c r="DJ1450" i="1" s="1"/>
  <c r="DC1450" i="1"/>
  <c r="CX1450" i="1"/>
  <c r="CN1450" i="1"/>
  <c r="CO1450" i="1" s="1"/>
  <c r="BV1450" i="1"/>
  <c r="BX1450" i="1" s="1"/>
  <c r="BN1450" i="1"/>
  <c r="BO1450" i="1" s="1"/>
  <c r="BD1450" i="1"/>
  <c r="BC1450" i="1"/>
  <c r="BB1450" i="1"/>
  <c r="BA1450" i="1"/>
  <c r="AZ1450" i="1"/>
  <c r="AY1450" i="1"/>
  <c r="BE1450" i="1" s="1" a="1"/>
  <c r="BE1450" i="1" s="1"/>
  <c r="AX1450" i="1"/>
  <c r="M1450" i="1"/>
  <c r="EM1453" i="1"/>
  <c r="DU1453" i="1"/>
  <c r="DT1453" i="1"/>
  <c r="DN1453" i="1"/>
  <c r="DM1453" i="1"/>
  <c r="DL1453" i="1"/>
  <c r="DK1453" i="1"/>
  <c r="DI1453" i="1"/>
  <c r="DJ1453" i="1" s="1"/>
  <c r="DC1453" i="1"/>
  <c r="CX1453" i="1"/>
  <c r="CN1453" i="1"/>
  <c r="CP1453" i="1" s="1"/>
  <c r="BV1453" i="1"/>
  <c r="BX1453" i="1" s="1"/>
  <c r="BN1453" i="1"/>
  <c r="BO1453" i="1" s="1"/>
  <c r="BD1453" i="1"/>
  <c r="BC1453" i="1"/>
  <c r="BB1453" i="1"/>
  <c r="BA1453" i="1"/>
  <c r="AZ1453" i="1"/>
  <c r="AY1453" i="1"/>
  <c r="AX1453" i="1"/>
  <c r="M1453" i="1"/>
  <c r="EM1446" i="1"/>
  <c r="DU1446" i="1"/>
  <c r="DT1446" i="1"/>
  <c r="DN1446" i="1"/>
  <c r="DM1446" i="1"/>
  <c r="DL1446" i="1"/>
  <c r="DK1446" i="1"/>
  <c r="DI1446" i="1"/>
  <c r="DJ1446" i="1" s="1"/>
  <c r="DC1446" i="1"/>
  <c r="CX1446" i="1"/>
  <c r="CN1446" i="1"/>
  <c r="BV1446" i="1"/>
  <c r="BX1446" i="1" s="1"/>
  <c r="BN1446" i="1"/>
  <c r="BO1446" i="1" s="1"/>
  <c r="BD1446" i="1"/>
  <c r="BC1446" i="1"/>
  <c r="BB1446" i="1"/>
  <c r="BA1446" i="1"/>
  <c r="AZ1446" i="1"/>
  <c r="AY1446" i="1"/>
  <c r="BE1446" i="1" s="1" a="1"/>
  <c r="BE1446" i="1" s="1"/>
  <c r="AX1446" i="1"/>
  <c r="M1446" i="1"/>
  <c r="EM1457" i="1"/>
  <c r="DU1457" i="1"/>
  <c r="DT1457" i="1"/>
  <c r="DN1457" i="1"/>
  <c r="DM1457" i="1"/>
  <c r="DL1457" i="1"/>
  <c r="DK1457" i="1"/>
  <c r="DI1457" i="1"/>
  <c r="DJ1457" i="1" s="1"/>
  <c r="DC1457" i="1"/>
  <c r="CX1457" i="1"/>
  <c r="CN1457" i="1"/>
  <c r="BV1457" i="1"/>
  <c r="BX1457" i="1" s="1"/>
  <c r="BN1457" i="1"/>
  <c r="BO1457" i="1" s="1"/>
  <c r="BD1457" i="1"/>
  <c r="BC1457" i="1"/>
  <c r="BB1457" i="1"/>
  <c r="BA1457" i="1"/>
  <c r="AZ1457" i="1"/>
  <c r="AY1457" i="1"/>
  <c r="AX1457" i="1"/>
  <c r="M1457" i="1"/>
  <c r="EM1462" i="1"/>
  <c r="DU1462" i="1"/>
  <c r="DT1462" i="1"/>
  <c r="DN1462" i="1"/>
  <c r="DM1462" i="1"/>
  <c r="DL1462" i="1"/>
  <c r="DK1462" i="1"/>
  <c r="DI1462" i="1"/>
  <c r="DJ1462" i="1" s="1"/>
  <c r="DC1462" i="1"/>
  <c r="CX1462" i="1"/>
  <c r="CN1462" i="1"/>
  <c r="CR1462" i="1" s="1"/>
  <c r="BX1462" i="1"/>
  <c r="BY1462" i="1" s="1"/>
  <c r="BT1462" i="1"/>
  <c r="BD1462" i="1"/>
  <c r="BC1462" i="1"/>
  <c r="BB1462" i="1"/>
  <c r="BA1462" i="1"/>
  <c r="AZ1462" i="1"/>
  <c r="AY1462" i="1"/>
  <c r="BE1462" i="1" s="1" a="1"/>
  <c r="BE1462" i="1" s="1"/>
  <c r="AX1462" i="1"/>
  <c r="M1462" i="1"/>
  <c r="EM1461" i="1"/>
  <c r="DU1461" i="1"/>
  <c r="DT1461" i="1"/>
  <c r="DN1461" i="1"/>
  <c r="DM1461" i="1"/>
  <c r="DL1461" i="1"/>
  <c r="DK1461" i="1"/>
  <c r="DI1461" i="1"/>
  <c r="DJ1461" i="1" s="1"/>
  <c r="DC1461" i="1"/>
  <c r="CX1461" i="1"/>
  <c r="CN1461" i="1"/>
  <c r="BX1461" i="1"/>
  <c r="BY1461" i="1" s="1"/>
  <c r="BT1461" i="1"/>
  <c r="BU1461" i="1" s="1"/>
  <c r="BD1461" i="1"/>
  <c r="BC1461" i="1"/>
  <c r="BB1461" i="1"/>
  <c r="BA1461" i="1"/>
  <c r="AZ1461" i="1"/>
  <c r="BF1461" i="1" s="1" a="1"/>
  <c r="BF1461" i="1" s="1"/>
  <c r="AY1461" i="1"/>
  <c r="BE1461" i="1" s="1" a="1"/>
  <c r="BE1461" i="1" s="1"/>
  <c r="AX1461" i="1"/>
  <c r="M1461" i="1"/>
  <c r="EM1460" i="1"/>
  <c r="DU1460" i="1"/>
  <c r="DT1460" i="1"/>
  <c r="DN1460" i="1"/>
  <c r="DM1460" i="1"/>
  <c r="DL1460" i="1"/>
  <c r="DK1460" i="1"/>
  <c r="DI1460" i="1"/>
  <c r="DJ1460" i="1" s="1"/>
  <c r="DC1460" i="1"/>
  <c r="CX1460" i="1"/>
  <c r="CN1460" i="1"/>
  <c r="BX1460" i="1"/>
  <c r="BY1460" i="1" s="1"/>
  <c r="BT1460" i="1"/>
  <c r="BU1460" i="1" s="1"/>
  <c r="BD1460" i="1"/>
  <c r="BC1460" i="1"/>
  <c r="BB1460" i="1"/>
  <c r="BA1460" i="1"/>
  <c r="AZ1460" i="1"/>
  <c r="AY1460" i="1"/>
  <c r="BE1460" i="1" s="1" a="1"/>
  <c r="BE1460" i="1" s="1"/>
  <c r="AX1460" i="1"/>
  <c r="M1460" i="1"/>
  <c r="EM1459" i="1"/>
  <c r="DU1459" i="1"/>
  <c r="DT1459" i="1"/>
  <c r="DN1459" i="1"/>
  <c r="DM1459" i="1"/>
  <c r="DL1459" i="1"/>
  <c r="DK1459" i="1"/>
  <c r="DI1459" i="1"/>
  <c r="DJ1459" i="1" s="1"/>
  <c r="DC1459" i="1"/>
  <c r="CX1459" i="1"/>
  <c r="CN1459" i="1"/>
  <c r="BX1459" i="1"/>
  <c r="BY1459" i="1" s="1"/>
  <c r="BT1459" i="1"/>
  <c r="BU1459" i="1" s="1"/>
  <c r="BD1459" i="1"/>
  <c r="BC1459" i="1"/>
  <c r="BB1459" i="1"/>
  <c r="BA1459" i="1"/>
  <c r="AZ1459" i="1"/>
  <c r="AY1459" i="1"/>
  <c r="BE1459" i="1" s="1" a="1"/>
  <c r="BE1459" i="1" s="1"/>
  <c r="AX1459" i="1"/>
  <c r="M1459" i="1"/>
  <c r="EM1423" i="1"/>
  <c r="DU1423" i="1"/>
  <c r="DT1423" i="1"/>
  <c r="DN1423" i="1"/>
  <c r="DM1423" i="1"/>
  <c r="DL1423" i="1"/>
  <c r="DK1423" i="1"/>
  <c r="DI1423" i="1"/>
  <c r="DJ1423" i="1" s="1"/>
  <c r="DC1423" i="1"/>
  <c r="CX1423" i="1"/>
  <c r="CN1423" i="1"/>
  <c r="CS1423" i="1" s="1"/>
  <c r="BV1423" i="1"/>
  <c r="BX1423" i="1" s="1"/>
  <c r="BN1423" i="1"/>
  <c r="BO1423" i="1" s="1"/>
  <c r="BD1423" i="1"/>
  <c r="BC1423" i="1"/>
  <c r="BB1423" i="1"/>
  <c r="BA1423" i="1"/>
  <c r="AZ1423" i="1"/>
  <c r="AY1423" i="1"/>
  <c r="BE1423" i="1" s="1" a="1"/>
  <c r="BE1423" i="1" s="1"/>
  <c r="AX1423" i="1"/>
  <c r="M1423" i="1"/>
  <c r="EM1348" i="1"/>
  <c r="DU1348" i="1"/>
  <c r="DT1348" i="1"/>
  <c r="DN1348" i="1"/>
  <c r="DM1348" i="1"/>
  <c r="DL1348" i="1"/>
  <c r="DK1348" i="1"/>
  <c r="DI1348" i="1"/>
  <c r="DJ1348" i="1" s="1"/>
  <c r="DC1348" i="1"/>
  <c r="CX1348" i="1"/>
  <c r="BV1348" i="1"/>
  <c r="BX1348" i="1" s="1"/>
  <c r="BU1348" i="1"/>
  <c r="BL1348" i="1"/>
  <c r="BK1348" i="1"/>
  <c r="BD1348" i="1"/>
  <c r="BC1348" i="1"/>
  <c r="BB1348" i="1"/>
  <c r="BA1348" i="1"/>
  <c r="AZ1348" i="1"/>
  <c r="AY1348" i="1"/>
  <c r="AX1348" i="1"/>
  <c r="M1348" i="1"/>
  <c r="EM1347" i="1"/>
  <c r="DU1347" i="1"/>
  <c r="DT1347" i="1"/>
  <c r="DN1347" i="1"/>
  <c r="DM1347" i="1"/>
  <c r="DL1347" i="1"/>
  <c r="DK1347" i="1"/>
  <c r="DI1347" i="1"/>
  <c r="DJ1347" i="1" s="1"/>
  <c r="DC1347" i="1"/>
  <c r="CX1347" i="1"/>
  <c r="BV1347" i="1"/>
  <c r="BX1347" i="1" s="1"/>
  <c r="BU1347" i="1"/>
  <c r="BL1347" i="1"/>
  <c r="BK1347" i="1"/>
  <c r="BD1347" i="1"/>
  <c r="BC1347" i="1"/>
  <c r="BB1347" i="1"/>
  <c r="BA1347" i="1"/>
  <c r="AZ1347" i="1"/>
  <c r="AY1347" i="1"/>
  <c r="AX1347" i="1"/>
  <c r="M1347" i="1"/>
  <c r="EM1346" i="1"/>
  <c r="DU1346" i="1"/>
  <c r="DT1346" i="1"/>
  <c r="DN1346" i="1"/>
  <c r="DM1346" i="1"/>
  <c r="DL1346" i="1"/>
  <c r="DK1346" i="1"/>
  <c r="DI1346" i="1"/>
  <c r="DJ1346" i="1" s="1"/>
  <c r="DC1346" i="1"/>
  <c r="CX1346" i="1"/>
  <c r="BV1346" i="1"/>
  <c r="BX1346" i="1" s="1"/>
  <c r="BU1346" i="1"/>
  <c r="BL1346" i="1"/>
  <c r="BK1346" i="1"/>
  <c r="BD1346" i="1"/>
  <c r="BC1346" i="1"/>
  <c r="BB1346" i="1"/>
  <c r="BA1346" i="1"/>
  <c r="AZ1346" i="1"/>
  <c r="AY1346" i="1"/>
  <c r="AX1346" i="1"/>
  <c r="M1346" i="1"/>
  <c r="EM1345" i="1"/>
  <c r="DU1345" i="1"/>
  <c r="DT1345" i="1"/>
  <c r="DN1345" i="1"/>
  <c r="DM1345" i="1"/>
  <c r="DL1345" i="1"/>
  <c r="DK1345" i="1"/>
  <c r="DI1345" i="1"/>
  <c r="DJ1345" i="1" s="1"/>
  <c r="DC1345" i="1"/>
  <c r="CX1345" i="1"/>
  <c r="BV1345" i="1"/>
  <c r="BX1345" i="1" s="1"/>
  <c r="BU1345" i="1"/>
  <c r="BL1345" i="1"/>
  <c r="BK1345" i="1"/>
  <c r="BD1345" i="1"/>
  <c r="BC1345" i="1"/>
  <c r="BB1345" i="1"/>
  <c r="BA1345" i="1"/>
  <c r="AZ1345" i="1"/>
  <c r="AY1345" i="1"/>
  <c r="AX1345" i="1"/>
  <c r="M1345" i="1"/>
  <c r="EM1343" i="1"/>
  <c r="DU1343" i="1"/>
  <c r="DT1343" i="1"/>
  <c r="DN1343" i="1"/>
  <c r="DM1343" i="1"/>
  <c r="DL1343" i="1"/>
  <c r="DK1343" i="1"/>
  <c r="DI1343" i="1"/>
  <c r="DJ1343" i="1" s="1"/>
  <c r="DB1343" i="1"/>
  <c r="DC1343" i="1" s="1"/>
  <c r="CX1343" i="1"/>
  <c r="CV1343" i="1"/>
  <c r="CN1343" i="1"/>
  <c r="BN1343" i="1"/>
  <c r="BO1343" i="1" s="1"/>
  <c r="BY1343" i="1" s="1"/>
  <c r="EP1343" i="1" s="1"/>
  <c r="BD1343" i="1"/>
  <c r="BC1343" i="1"/>
  <c r="BB1343" i="1"/>
  <c r="BA1343" i="1"/>
  <c r="AZ1343" i="1"/>
  <c r="AY1343" i="1"/>
  <c r="BE1343" i="1" s="1" a="1"/>
  <c r="BE1343" i="1" s="1"/>
  <c r="AX1343" i="1"/>
  <c r="M1343" i="1"/>
  <c r="EM1342" i="1"/>
  <c r="DU1342" i="1"/>
  <c r="DT1342" i="1"/>
  <c r="DN1342" i="1"/>
  <c r="DM1342" i="1"/>
  <c r="DL1342" i="1"/>
  <c r="DK1342" i="1"/>
  <c r="DI1342" i="1"/>
  <c r="DJ1342" i="1" s="1"/>
  <c r="DB1342" i="1"/>
  <c r="DC1342" i="1" s="1"/>
  <c r="CX1342" i="1"/>
  <c r="CV1342" i="1"/>
  <c r="CN1342" i="1"/>
  <c r="BN1342" i="1"/>
  <c r="BO1342" i="1" s="1"/>
  <c r="BD1342" i="1"/>
  <c r="BC1342" i="1"/>
  <c r="BB1342" i="1"/>
  <c r="BA1342" i="1"/>
  <c r="AZ1342" i="1"/>
  <c r="AY1342" i="1"/>
  <c r="BE1342" i="1" s="1" a="1"/>
  <c r="BE1342" i="1" s="1"/>
  <c r="AX1342" i="1"/>
  <c r="M1342" i="1"/>
  <c r="EM1340" i="1"/>
  <c r="DU1340" i="1"/>
  <c r="DT1340" i="1"/>
  <c r="DN1340" i="1"/>
  <c r="DM1340" i="1"/>
  <c r="DL1340" i="1"/>
  <c r="DK1340" i="1"/>
  <c r="DI1340" i="1"/>
  <c r="DJ1340" i="1" s="1"/>
  <c r="DB1340" i="1"/>
  <c r="DC1340" i="1" s="1"/>
  <c r="CX1340" i="1"/>
  <c r="CV1340" i="1"/>
  <c r="CN1340" i="1"/>
  <c r="CP1340" i="1" s="1"/>
  <c r="BN1340" i="1"/>
  <c r="BO1340" i="1" s="1"/>
  <c r="BY1340" i="1" s="1"/>
  <c r="BD1340" i="1"/>
  <c r="BC1340" i="1"/>
  <c r="BB1340" i="1"/>
  <c r="BA1340" i="1"/>
  <c r="AZ1340" i="1"/>
  <c r="AY1340" i="1"/>
  <c r="BE1340" i="1" s="1" a="1"/>
  <c r="BE1340" i="1" s="1"/>
  <c r="AX1340" i="1"/>
  <c r="M1340" i="1"/>
  <c r="EM1341" i="1"/>
  <c r="DU1341" i="1"/>
  <c r="DT1341" i="1"/>
  <c r="DN1341" i="1"/>
  <c r="DM1341" i="1"/>
  <c r="DL1341" i="1"/>
  <c r="DK1341" i="1"/>
  <c r="DI1341" i="1"/>
  <c r="DJ1341" i="1" s="1"/>
  <c r="DB1341" i="1"/>
  <c r="DC1341" i="1" s="1"/>
  <c r="CX1341" i="1"/>
  <c r="CV1341" i="1"/>
  <c r="CN1341" i="1"/>
  <c r="CP1341" i="1" s="1"/>
  <c r="BN1341" i="1"/>
  <c r="BO1341" i="1" s="1"/>
  <c r="BD1341" i="1"/>
  <c r="BC1341" i="1"/>
  <c r="BB1341" i="1"/>
  <c r="BA1341" i="1"/>
  <c r="AZ1341" i="1"/>
  <c r="AY1341" i="1"/>
  <c r="BE1341" i="1" s="1" a="1"/>
  <c r="BE1341" i="1" s="1"/>
  <c r="AX1341" i="1"/>
  <c r="M1341" i="1"/>
  <c r="EM1315" i="1"/>
  <c r="DU1315" i="1"/>
  <c r="DT1315" i="1"/>
  <c r="DN1315" i="1"/>
  <c r="DM1315" i="1"/>
  <c r="DL1315" i="1"/>
  <c r="DK1315" i="1"/>
  <c r="DI1315" i="1"/>
  <c r="DJ1315" i="1" s="1"/>
  <c r="DC1315" i="1"/>
  <c r="CX1315" i="1"/>
  <c r="CN1315" i="1"/>
  <c r="CP1315" i="1" s="1"/>
  <c r="BV1315" i="1"/>
  <c r="BX1315" i="1" s="1"/>
  <c r="BU1315" i="1"/>
  <c r="BN1315" i="1"/>
  <c r="BO1315" i="1" s="1"/>
  <c r="BD1315" i="1"/>
  <c r="BC1315" i="1"/>
  <c r="BB1315" i="1"/>
  <c r="BA1315" i="1"/>
  <c r="AZ1315" i="1"/>
  <c r="AY1315" i="1"/>
  <c r="AX1315" i="1"/>
  <c r="M1315" i="1"/>
  <c r="EM1312" i="1"/>
  <c r="DU1312" i="1"/>
  <c r="DT1312" i="1"/>
  <c r="DN1312" i="1"/>
  <c r="DM1312" i="1"/>
  <c r="DL1312" i="1"/>
  <c r="DK1312" i="1"/>
  <c r="DI1312" i="1"/>
  <c r="DJ1312" i="1" s="1"/>
  <c r="DC1312" i="1"/>
  <c r="CX1312" i="1"/>
  <c r="CN1312" i="1"/>
  <c r="CS1312" i="1" s="1"/>
  <c r="BV1312" i="1"/>
  <c r="BX1312" i="1" s="1"/>
  <c r="BU1312" i="1"/>
  <c r="BN1312" i="1"/>
  <c r="BO1312" i="1" s="1"/>
  <c r="BD1312" i="1"/>
  <c r="BC1312" i="1"/>
  <c r="BB1312" i="1"/>
  <c r="BA1312" i="1"/>
  <c r="AZ1312" i="1"/>
  <c r="AY1312" i="1"/>
  <c r="AX1312" i="1"/>
  <c r="M1312" i="1"/>
  <c r="EM1313" i="1"/>
  <c r="DU1313" i="1"/>
  <c r="DT1313" i="1"/>
  <c r="DN1313" i="1"/>
  <c r="DM1313" i="1"/>
  <c r="DL1313" i="1"/>
  <c r="DK1313" i="1"/>
  <c r="DI1313" i="1"/>
  <c r="DJ1313" i="1" s="1"/>
  <c r="DC1313" i="1"/>
  <c r="CX1313" i="1"/>
  <c r="CN1313" i="1"/>
  <c r="CS1313" i="1" s="1"/>
  <c r="BV1313" i="1"/>
  <c r="BX1313" i="1" s="1"/>
  <c r="BU1313" i="1"/>
  <c r="BN1313" i="1"/>
  <c r="BO1313" i="1" s="1"/>
  <c r="BD1313" i="1"/>
  <c r="BC1313" i="1"/>
  <c r="BB1313" i="1"/>
  <c r="BA1313" i="1"/>
  <c r="AZ1313" i="1"/>
  <c r="AY1313" i="1"/>
  <c r="AX1313" i="1"/>
  <c r="M1313" i="1"/>
  <c r="EM1314" i="1"/>
  <c r="DU1314" i="1"/>
  <c r="DT1314" i="1"/>
  <c r="DN1314" i="1"/>
  <c r="DM1314" i="1"/>
  <c r="DL1314" i="1"/>
  <c r="DK1314" i="1"/>
  <c r="DI1314" i="1"/>
  <c r="DJ1314" i="1" s="1"/>
  <c r="DC1314" i="1"/>
  <c r="CX1314" i="1"/>
  <c r="CN1314" i="1"/>
  <c r="CP1314" i="1" s="1"/>
  <c r="BV1314" i="1"/>
  <c r="BX1314" i="1" s="1"/>
  <c r="BU1314" i="1"/>
  <c r="BN1314" i="1"/>
  <c r="BO1314" i="1" s="1"/>
  <c r="BD1314" i="1"/>
  <c r="BC1314" i="1"/>
  <c r="BB1314" i="1"/>
  <c r="BA1314" i="1"/>
  <c r="AZ1314" i="1"/>
  <c r="AY1314" i="1"/>
  <c r="AX1314" i="1"/>
  <c r="M1314" i="1"/>
  <c r="EM1207" i="1"/>
  <c r="DU1207" i="1"/>
  <c r="DN1207" i="1"/>
  <c r="DM1207" i="1"/>
  <c r="DL1207" i="1"/>
  <c r="DK1207" i="1"/>
  <c r="DI1207" i="1"/>
  <c r="DJ1207" i="1" s="1"/>
  <c r="DC1207" i="1"/>
  <c r="CX1207" i="1"/>
  <c r="CN1207" i="1"/>
  <c r="CO1207" i="1" s="1"/>
  <c r="BT1207" i="1"/>
  <c r="BS1207" i="1"/>
  <c r="BN1207" i="1"/>
  <c r="BO1207" i="1" s="1"/>
  <c r="BM1207" i="1"/>
  <c r="BD1207" i="1"/>
  <c r="BC1207" i="1"/>
  <c r="BB1207" i="1"/>
  <c r="BA1207" i="1"/>
  <c r="AZ1207" i="1"/>
  <c r="AY1207" i="1"/>
  <c r="BE1207" i="1" s="1" a="1"/>
  <c r="BE1207" i="1" s="1"/>
  <c r="AX1207" i="1"/>
  <c r="M1207" i="1"/>
  <c r="EM1210" i="1"/>
  <c r="DU1210" i="1"/>
  <c r="DN1210" i="1"/>
  <c r="DM1210" i="1"/>
  <c r="DL1210" i="1"/>
  <c r="DK1210" i="1"/>
  <c r="DI1210" i="1"/>
  <c r="DJ1210" i="1" s="1"/>
  <c r="DC1210" i="1"/>
  <c r="CX1210" i="1"/>
  <c r="CN1210" i="1"/>
  <c r="CO1210" i="1" s="1"/>
  <c r="BV1210" i="1"/>
  <c r="BX1210" i="1" s="1"/>
  <c r="BU1210" i="1"/>
  <c r="BN1210" i="1"/>
  <c r="BO1210" i="1" s="1"/>
  <c r="BM1210" i="1"/>
  <c r="BD1210" i="1"/>
  <c r="BC1210" i="1"/>
  <c r="BB1210" i="1"/>
  <c r="BA1210" i="1"/>
  <c r="AZ1210" i="1"/>
  <c r="AY1210" i="1"/>
  <c r="BE1210" i="1" s="1" a="1"/>
  <c r="BE1210" i="1" s="1"/>
  <c r="AX1210" i="1"/>
  <c r="M1210" i="1"/>
  <c r="EM1212" i="1"/>
  <c r="DU1212" i="1"/>
  <c r="DN1212" i="1"/>
  <c r="DM1212" i="1"/>
  <c r="DL1212" i="1"/>
  <c r="DK1212" i="1"/>
  <c r="DI1212" i="1"/>
  <c r="DJ1212" i="1" s="1"/>
  <c r="DC1212" i="1"/>
  <c r="CX1212" i="1"/>
  <c r="CN1212" i="1"/>
  <c r="CO1212" i="1" s="1"/>
  <c r="BV1212" i="1"/>
  <c r="BX1212" i="1" s="1"/>
  <c r="BU1212" i="1"/>
  <c r="BN1212" i="1"/>
  <c r="BO1212" i="1" s="1"/>
  <c r="BM1212" i="1"/>
  <c r="BD1212" i="1"/>
  <c r="BC1212" i="1"/>
  <c r="BB1212" i="1"/>
  <c r="BA1212" i="1"/>
  <c r="AZ1212" i="1"/>
  <c r="AY1212" i="1"/>
  <c r="BE1212" i="1" s="1" a="1"/>
  <c r="BE1212" i="1" s="1"/>
  <c r="AX1212" i="1"/>
  <c r="M1212" i="1"/>
  <c r="EM1205" i="1"/>
  <c r="DU1205" i="1"/>
  <c r="DN1205" i="1"/>
  <c r="DM1205" i="1"/>
  <c r="DL1205" i="1"/>
  <c r="DK1205" i="1"/>
  <c r="DI1205" i="1"/>
  <c r="DJ1205" i="1" s="1"/>
  <c r="DC1205" i="1"/>
  <c r="CX1205" i="1"/>
  <c r="CN1205" i="1"/>
  <c r="CR1205" i="1" s="1"/>
  <c r="BT1205" i="1"/>
  <c r="BV1205" i="1" s="1"/>
  <c r="BX1205" i="1" s="1"/>
  <c r="BN1205" i="1"/>
  <c r="BO1205" i="1" s="1"/>
  <c r="BM1205" i="1"/>
  <c r="BD1205" i="1"/>
  <c r="BC1205" i="1"/>
  <c r="BB1205" i="1"/>
  <c r="BA1205" i="1"/>
  <c r="AZ1205" i="1"/>
  <c r="AY1205" i="1"/>
  <c r="BE1205" i="1" s="1" a="1"/>
  <c r="BE1205" i="1" s="1"/>
  <c r="AX1205" i="1"/>
  <c r="M1205" i="1"/>
  <c r="EM1206" i="1"/>
  <c r="DU1206" i="1"/>
  <c r="DN1206" i="1"/>
  <c r="DM1206" i="1"/>
  <c r="DL1206" i="1"/>
  <c r="DK1206" i="1"/>
  <c r="DI1206" i="1"/>
  <c r="DJ1206" i="1" s="1"/>
  <c r="DC1206" i="1"/>
  <c r="CX1206" i="1"/>
  <c r="CN1206" i="1"/>
  <c r="CR1206" i="1" s="1"/>
  <c r="BV1206" i="1"/>
  <c r="BX1206" i="1" s="1"/>
  <c r="BU1206" i="1"/>
  <c r="BN1206" i="1"/>
  <c r="BO1206" i="1" s="1"/>
  <c r="BM1206" i="1"/>
  <c r="BD1206" i="1"/>
  <c r="BC1206" i="1"/>
  <c r="BB1206" i="1"/>
  <c r="BA1206" i="1"/>
  <c r="AZ1206" i="1"/>
  <c r="BF1206" i="1" s="1" a="1"/>
  <c r="BF1206" i="1" s="1"/>
  <c r="AY1206" i="1"/>
  <c r="BE1206" i="1" s="1" a="1"/>
  <c r="BE1206" i="1" s="1"/>
  <c r="AX1206" i="1"/>
  <c r="M1206" i="1"/>
  <c r="EM1208" i="1"/>
  <c r="DU1208" i="1"/>
  <c r="DN1208" i="1"/>
  <c r="DM1208" i="1"/>
  <c r="DL1208" i="1"/>
  <c r="DK1208" i="1"/>
  <c r="DI1208" i="1"/>
  <c r="DJ1208" i="1" s="1"/>
  <c r="DC1208" i="1"/>
  <c r="CX1208" i="1"/>
  <c r="CN1208" i="1"/>
  <c r="CS1208" i="1" s="1"/>
  <c r="BV1208" i="1"/>
  <c r="BX1208" i="1" s="1"/>
  <c r="BU1208" i="1"/>
  <c r="BN1208" i="1"/>
  <c r="BO1208" i="1" s="1"/>
  <c r="BM1208" i="1"/>
  <c r="BD1208" i="1"/>
  <c r="BC1208" i="1"/>
  <c r="BB1208" i="1"/>
  <c r="BA1208" i="1"/>
  <c r="AZ1208" i="1"/>
  <c r="AY1208" i="1"/>
  <c r="BE1208" i="1" s="1" a="1"/>
  <c r="BE1208" i="1" s="1"/>
  <c r="AX1208" i="1"/>
  <c r="M1208" i="1"/>
  <c r="EM1203" i="1"/>
  <c r="DU1203" i="1"/>
  <c r="DN1203" i="1"/>
  <c r="DM1203" i="1"/>
  <c r="DL1203" i="1"/>
  <c r="DK1203" i="1"/>
  <c r="DI1203" i="1"/>
  <c r="DJ1203" i="1" s="1"/>
  <c r="DC1203" i="1"/>
  <c r="CX1203" i="1"/>
  <c r="CN1203" i="1"/>
  <c r="BT1203" i="1"/>
  <c r="BS1203" i="1"/>
  <c r="BN1203" i="1"/>
  <c r="BO1203" i="1" s="1"/>
  <c r="BM1203" i="1"/>
  <c r="BD1203" i="1"/>
  <c r="BC1203" i="1"/>
  <c r="BB1203" i="1"/>
  <c r="BA1203" i="1"/>
  <c r="AZ1203" i="1"/>
  <c r="AY1203" i="1"/>
  <c r="BE1203" i="1" s="1" a="1"/>
  <c r="BE1203" i="1" s="1"/>
  <c r="AX1203" i="1"/>
  <c r="M1203" i="1"/>
  <c r="EM1204" i="1"/>
  <c r="DU1204" i="1"/>
  <c r="DN1204" i="1"/>
  <c r="DM1204" i="1"/>
  <c r="DL1204" i="1"/>
  <c r="DK1204" i="1"/>
  <c r="DI1204" i="1"/>
  <c r="DJ1204" i="1" s="1"/>
  <c r="DC1204" i="1"/>
  <c r="CX1204" i="1"/>
  <c r="CN1204" i="1"/>
  <c r="BV1204" i="1"/>
  <c r="BX1204" i="1" s="1"/>
  <c r="BU1204" i="1"/>
  <c r="BN1204" i="1"/>
  <c r="BO1204" i="1" s="1"/>
  <c r="BM1204" i="1"/>
  <c r="BD1204" i="1"/>
  <c r="BC1204" i="1"/>
  <c r="BB1204" i="1"/>
  <c r="BA1204" i="1"/>
  <c r="AZ1204" i="1"/>
  <c r="AY1204" i="1"/>
  <c r="BE1204" i="1" s="1" a="1"/>
  <c r="BE1204" i="1" s="1"/>
  <c r="AX1204" i="1"/>
  <c r="M1204" i="1"/>
  <c r="EM1209" i="1"/>
  <c r="DU1209" i="1"/>
  <c r="DN1209" i="1"/>
  <c r="DM1209" i="1"/>
  <c r="DL1209" i="1"/>
  <c r="DK1209" i="1"/>
  <c r="DI1209" i="1"/>
  <c r="DJ1209" i="1" s="1"/>
  <c r="DC1209" i="1"/>
  <c r="CX1209" i="1"/>
  <c r="CN1209" i="1"/>
  <c r="CR1209" i="1" s="1"/>
  <c r="BV1209" i="1"/>
  <c r="BX1209" i="1" s="1"/>
  <c r="BU1209" i="1"/>
  <c r="BN1209" i="1"/>
  <c r="BO1209" i="1" s="1"/>
  <c r="BM1209" i="1"/>
  <c r="BD1209" i="1"/>
  <c r="BC1209" i="1"/>
  <c r="BB1209" i="1"/>
  <c r="BA1209" i="1"/>
  <c r="AZ1209" i="1"/>
  <c r="BF1209" i="1" s="1" a="1"/>
  <c r="BF1209" i="1" s="1"/>
  <c r="AY1209" i="1"/>
  <c r="BE1209" i="1" s="1" a="1"/>
  <c r="BE1209" i="1" s="1"/>
  <c r="AX1209" i="1"/>
  <c r="M1209" i="1"/>
  <c r="EM1211" i="1"/>
  <c r="DU1211" i="1"/>
  <c r="DN1211" i="1"/>
  <c r="DM1211" i="1"/>
  <c r="DL1211" i="1"/>
  <c r="DK1211" i="1"/>
  <c r="DI1211" i="1"/>
  <c r="DJ1211" i="1" s="1"/>
  <c r="DC1211" i="1"/>
  <c r="CX1211" i="1"/>
  <c r="CN1211" i="1"/>
  <c r="CP1211" i="1" s="1"/>
  <c r="BT1211" i="1"/>
  <c r="BS1211" i="1"/>
  <c r="BN1211" i="1"/>
  <c r="BO1211" i="1" s="1"/>
  <c r="BM1211" i="1"/>
  <c r="BD1211" i="1"/>
  <c r="BC1211" i="1"/>
  <c r="BB1211" i="1"/>
  <c r="BA1211" i="1"/>
  <c r="AZ1211" i="1"/>
  <c r="AY1211" i="1"/>
  <c r="BE1211" i="1" s="1" a="1"/>
  <c r="BE1211" i="1" s="1"/>
  <c r="AX1211" i="1"/>
  <c r="M1211" i="1"/>
  <c r="EM1213" i="1"/>
  <c r="DU1213" i="1"/>
  <c r="DN1213" i="1"/>
  <c r="DM1213" i="1"/>
  <c r="DL1213" i="1"/>
  <c r="DK1213" i="1"/>
  <c r="DI1213" i="1"/>
  <c r="DJ1213" i="1" s="1"/>
  <c r="DC1213" i="1"/>
  <c r="CX1213" i="1"/>
  <c r="CN1213" i="1"/>
  <c r="CS1213" i="1" s="1"/>
  <c r="BV1213" i="1"/>
  <c r="BX1213" i="1" s="1"/>
  <c r="BU1213" i="1"/>
  <c r="BN1213" i="1"/>
  <c r="BO1213" i="1" s="1"/>
  <c r="BM1213" i="1"/>
  <c r="BD1213" i="1"/>
  <c r="BC1213" i="1"/>
  <c r="BB1213" i="1"/>
  <c r="BA1213" i="1"/>
  <c r="AZ1213" i="1"/>
  <c r="AY1213" i="1"/>
  <c r="BE1213" i="1" s="1" a="1"/>
  <c r="BE1213" i="1" s="1"/>
  <c r="AX1213" i="1"/>
  <c r="M1213" i="1"/>
  <c r="EM1214" i="1"/>
  <c r="DU1214" i="1"/>
  <c r="DN1214" i="1"/>
  <c r="DM1214" i="1"/>
  <c r="DL1214" i="1"/>
  <c r="DK1214" i="1"/>
  <c r="DI1214" i="1"/>
  <c r="DJ1214" i="1" s="1"/>
  <c r="DC1214" i="1"/>
  <c r="CX1214" i="1"/>
  <c r="CN1214" i="1"/>
  <c r="CR1214" i="1" s="1"/>
  <c r="BV1214" i="1"/>
  <c r="BX1214" i="1" s="1"/>
  <c r="BU1214" i="1"/>
  <c r="BN1214" i="1"/>
  <c r="BO1214" i="1" s="1"/>
  <c r="BM1214" i="1"/>
  <c r="BD1214" i="1"/>
  <c r="BC1214" i="1"/>
  <c r="BB1214" i="1"/>
  <c r="BA1214" i="1"/>
  <c r="AZ1214" i="1"/>
  <c r="AY1214" i="1"/>
  <c r="BE1214" i="1" s="1" a="1"/>
  <c r="BE1214" i="1" s="1"/>
  <c r="AX1214" i="1"/>
  <c r="M1214" i="1"/>
  <c r="EM1160" i="1"/>
  <c r="DU1160" i="1"/>
  <c r="DT1160" i="1"/>
  <c r="DN1160" i="1"/>
  <c r="DM1160" i="1"/>
  <c r="DL1160" i="1"/>
  <c r="DK1160" i="1"/>
  <c r="DI1160" i="1"/>
  <c r="DJ1160" i="1" s="1"/>
  <c r="DC1160" i="1"/>
  <c r="CX1160" i="1"/>
  <c r="BT1160" i="1"/>
  <c r="BS1160" i="1"/>
  <c r="BL1160" i="1"/>
  <c r="BK1160" i="1"/>
  <c r="BD1160" i="1"/>
  <c r="BC1160" i="1"/>
  <c r="BB1160" i="1"/>
  <c r="BA1160" i="1"/>
  <c r="AZ1160" i="1"/>
  <c r="BF1160" i="1" s="1" a="1"/>
  <c r="BF1160" i="1" s="1"/>
  <c r="AY1160" i="1"/>
  <c r="BE1160" i="1" s="1" a="1"/>
  <c r="BE1160" i="1" s="1"/>
  <c r="AX1160" i="1"/>
  <c r="M1160" i="1"/>
  <c r="EM1161" i="1"/>
  <c r="DU1161" i="1"/>
  <c r="DT1161" i="1"/>
  <c r="DN1161" i="1"/>
  <c r="DM1161" i="1"/>
  <c r="DL1161" i="1"/>
  <c r="DK1161" i="1"/>
  <c r="DI1161" i="1"/>
  <c r="DJ1161" i="1" s="1"/>
  <c r="DC1161" i="1"/>
  <c r="CX1161" i="1"/>
  <c r="BT1161" i="1"/>
  <c r="BS1161" i="1"/>
  <c r="BL1161" i="1"/>
  <c r="BK1161" i="1"/>
  <c r="BD1161" i="1"/>
  <c r="BC1161" i="1"/>
  <c r="BB1161" i="1"/>
  <c r="BA1161" i="1"/>
  <c r="AZ1161" i="1"/>
  <c r="AY1161" i="1"/>
  <c r="BE1161" i="1" s="1" a="1"/>
  <c r="BE1161" i="1" s="1"/>
  <c r="AX1161" i="1"/>
  <c r="M1161" i="1"/>
  <c r="EM1162" i="1"/>
  <c r="DU1162" i="1"/>
  <c r="DT1162" i="1"/>
  <c r="DN1162" i="1"/>
  <c r="DM1162" i="1"/>
  <c r="DL1162" i="1"/>
  <c r="DK1162" i="1"/>
  <c r="DI1162" i="1"/>
  <c r="DJ1162" i="1" s="1"/>
  <c r="DC1162" i="1"/>
  <c r="CX1162" i="1"/>
  <c r="BV1162" i="1"/>
  <c r="BX1162" i="1" s="1"/>
  <c r="BL1162" i="1"/>
  <c r="BM1162" i="1" s="1"/>
  <c r="BK1162" i="1"/>
  <c r="BD1162" i="1"/>
  <c r="BC1162" i="1"/>
  <c r="BB1162" i="1"/>
  <c r="BA1162" i="1"/>
  <c r="AZ1162" i="1"/>
  <c r="AY1162" i="1"/>
  <c r="BE1162" i="1" s="1" a="1"/>
  <c r="BE1162" i="1" s="1"/>
  <c r="AX1162" i="1"/>
  <c r="M1162" i="1"/>
  <c r="EM1158" i="1"/>
  <c r="DU1158" i="1"/>
  <c r="DT1158" i="1"/>
  <c r="DN1158" i="1"/>
  <c r="DM1158" i="1"/>
  <c r="DL1158" i="1"/>
  <c r="DK1158" i="1"/>
  <c r="DI1158" i="1"/>
  <c r="DJ1158" i="1" s="1"/>
  <c r="DC1158" i="1"/>
  <c r="CX1158" i="1"/>
  <c r="BV1158" i="1"/>
  <c r="BX1158" i="1" s="1"/>
  <c r="BL1158" i="1"/>
  <c r="BK1158" i="1"/>
  <c r="BD1158" i="1"/>
  <c r="BC1158" i="1"/>
  <c r="BB1158" i="1"/>
  <c r="BA1158" i="1"/>
  <c r="AZ1158" i="1"/>
  <c r="BF1158" i="1" s="1" a="1"/>
  <c r="BF1158" i="1" s="1"/>
  <c r="AY1158" i="1"/>
  <c r="BE1158" i="1" s="1" a="1"/>
  <c r="BE1158" i="1" s="1"/>
  <c r="AX1158" i="1"/>
  <c r="M1158" i="1"/>
  <c r="EM1159" i="1"/>
  <c r="DU1159" i="1"/>
  <c r="DT1159" i="1"/>
  <c r="DN1159" i="1"/>
  <c r="DM1159" i="1"/>
  <c r="DL1159" i="1"/>
  <c r="DK1159" i="1"/>
  <c r="DI1159" i="1"/>
  <c r="DJ1159" i="1" s="1"/>
  <c r="DC1159" i="1"/>
  <c r="CX1159" i="1"/>
  <c r="BV1159" i="1"/>
  <c r="BX1159" i="1" s="1"/>
  <c r="BL1159" i="1"/>
  <c r="BK1159" i="1"/>
  <c r="BD1159" i="1"/>
  <c r="BC1159" i="1"/>
  <c r="BB1159" i="1"/>
  <c r="BA1159" i="1"/>
  <c r="AZ1159" i="1"/>
  <c r="AY1159" i="1"/>
  <c r="BE1159" i="1" s="1" a="1"/>
  <c r="BE1159" i="1" s="1"/>
  <c r="AX1159" i="1"/>
  <c r="M1159" i="1"/>
  <c r="EM1165" i="1"/>
  <c r="DU1165" i="1"/>
  <c r="DT1165" i="1"/>
  <c r="DN1165" i="1"/>
  <c r="DM1165" i="1"/>
  <c r="DL1165" i="1"/>
  <c r="DK1165" i="1"/>
  <c r="DI1165" i="1"/>
  <c r="DJ1165" i="1" s="1"/>
  <c r="DC1165" i="1"/>
  <c r="CX1165" i="1"/>
  <c r="BV1165" i="1"/>
  <c r="BX1165" i="1" s="1"/>
  <c r="BL1165" i="1"/>
  <c r="BK1165" i="1"/>
  <c r="BD1165" i="1"/>
  <c r="BC1165" i="1"/>
  <c r="BB1165" i="1"/>
  <c r="BA1165" i="1"/>
  <c r="AZ1165" i="1"/>
  <c r="AY1165" i="1"/>
  <c r="BE1165" i="1" s="1" a="1"/>
  <c r="BE1165" i="1" s="1"/>
  <c r="AX1165" i="1"/>
  <c r="M1165" i="1"/>
  <c r="EM1164" i="1"/>
  <c r="DU1164" i="1"/>
  <c r="DT1164" i="1"/>
  <c r="DN1164" i="1"/>
  <c r="DM1164" i="1"/>
  <c r="DL1164" i="1"/>
  <c r="DK1164" i="1"/>
  <c r="DI1164" i="1"/>
  <c r="DJ1164" i="1" s="1"/>
  <c r="DC1164" i="1"/>
  <c r="CX1164" i="1"/>
  <c r="BV1164" i="1"/>
  <c r="BX1164" i="1" s="1"/>
  <c r="BL1164" i="1"/>
  <c r="BK1164" i="1"/>
  <c r="BD1164" i="1"/>
  <c r="BC1164" i="1"/>
  <c r="BB1164" i="1"/>
  <c r="BA1164" i="1"/>
  <c r="AZ1164" i="1"/>
  <c r="AY1164" i="1"/>
  <c r="BE1164" i="1" s="1" a="1"/>
  <c r="BE1164" i="1" s="1"/>
  <c r="AX1164" i="1"/>
  <c r="M1164" i="1"/>
  <c r="EM1163" i="1"/>
  <c r="DU1163" i="1"/>
  <c r="DT1163" i="1"/>
  <c r="DN1163" i="1"/>
  <c r="DM1163" i="1"/>
  <c r="DL1163" i="1"/>
  <c r="DK1163" i="1"/>
  <c r="DI1163" i="1"/>
  <c r="DJ1163" i="1" s="1"/>
  <c r="DC1163" i="1"/>
  <c r="CX1163" i="1"/>
  <c r="BV1163" i="1"/>
  <c r="BX1163" i="1" s="1"/>
  <c r="BL1163" i="1"/>
  <c r="BK1163" i="1"/>
  <c r="BD1163" i="1"/>
  <c r="BC1163" i="1"/>
  <c r="BB1163" i="1"/>
  <c r="BA1163" i="1"/>
  <c r="AZ1163" i="1"/>
  <c r="AY1163" i="1"/>
  <c r="BE1163" i="1" s="1" a="1"/>
  <c r="BE1163" i="1" s="1"/>
  <c r="AX1163" i="1"/>
  <c r="M1163" i="1"/>
  <c r="EM1154" i="1"/>
  <c r="DU1154" i="1"/>
  <c r="DT1154" i="1"/>
  <c r="DN1154" i="1"/>
  <c r="DM1154" i="1"/>
  <c r="DL1154" i="1"/>
  <c r="DK1154" i="1"/>
  <c r="DI1154" i="1"/>
  <c r="DJ1154" i="1" s="1"/>
  <c r="DC1154" i="1"/>
  <c r="CX1154" i="1"/>
  <c r="CN1154" i="1"/>
  <c r="CO1154" i="1" s="1"/>
  <c r="BX1154" i="1"/>
  <c r="BY1154" i="1" s="1"/>
  <c r="BN1154" i="1"/>
  <c r="BM1154" i="1"/>
  <c r="BD1154" i="1"/>
  <c r="BC1154" i="1"/>
  <c r="BB1154" i="1"/>
  <c r="BA1154" i="1"/>
  <c r="AZ1154" i="1"/>
  <c r="AY1154" i="1"/>
  <c r="BE1154" i="1" s="1" a="1"/>
  <c r="BE1154" i="1" s="1"/>
  <c r="AX1154" i="1"/>
  <c r="M1154" i="1"/>
  <c r="EM1151" i="1"/>
  <c r="DU1151" i="1"/>
  <c r="DT1151" i="1"/>
  <c r="DN1151" i="1"/>
  <c r="DM1151" i="1"/>
  <c r="DL1151" i="1"/>
  <c r="DK1151" i="1"/>
  <c r="DI1151" i="1"/>
  <c r="DJ1151" i="1" s="1"/>
  <c r="DC1151" i="1"/>
  <c r="CX1151" i="1"/>
  <c r="CN1151" i="1"/>
  <c r="CO1151" i="1" s="1"/>
  <c r="BX1151" i="1"/>
  <c r="BY1151" i="1" s="1"/>
  <c r="BN1151" i="1"/>
  <c r="BM1151" i="1"/>
  <c r="BD1151" i="1"/>
  <c r="BC1151" i="1"/>
  <c r="BB1151" i="1"/>
  <c r="BA1151" i="1"/>
  <c r="AZ1151" i="1"/>
  <c r="BF1151" i="1" s="1" a="1"/>
  <c r="BF1151" i="1" s="1"/>
  <c r="AY1151" i="1"/>
  <c r="BE1151" i="1" s="1" a="1"/>
  <c r="BE1151" i="1" s="1"/>
  <c r="AX1151" i="1"/>
  <c r="M1151" i="1"/>
  <c r="EM1150" i="1"/>
  <c r="DU1150" i="1"/>
  <c r="DT1150" i="1"/>
  <c r="DN1150" i="1"/>
  <c r="DM1150" i="1"/>
  <c r="DL1150" i="1"/>
  <c r="DK1150" i="1"/>
  <c r="DI1150" i="1"/>
  <c r="DJ1150" i="1" s="1"/>
  <c r="DC1150" i="1"/>
  <c r="CX1150" i="1"/>
  <c r="CN1150" i="1"/>
  <c r="CP1150" i="1" s="1"/>
  <c r="BX1150" i="1"/>
  <c r="BY1150" i="1" s="1"/>
  <c r="BN1150" i="1"/>
  <c r="BM1150" i="1"/>
  <c r="BD1150" i="1"/>
  <c r="BC1150" i="1"/>
  <c r="BB1150" i="1"/>
  <c r="BA1150" i="1"/>
  <c r="AZ1150" i="1"/>
  <c r="AY1150" i="1"/>
  <c r="BE1150" i="1" s="1" a="1"/>
  <c r="BE1150" i="1" s="1"/>
  <c r="AX1150" i="1"/>
  <c r="M1150" i="1"/>
  <c r="EM1148" i="1"/>
  <c r="DU1148" i="1"/>
  <c r="DT1148" i="1"/>
  <c r="DN1148" i="1"/>
  <c r="DM1148" i="1"/>
  <c r="DL1148" i="1"/>
  <c r="DK1148" i="1"/>
  <c r="DI1148" i="1"/>
  <c r="DJ1148" i="1" s="1"/>
  <c r="DC1148" i="1"/>
  <c r="CX1148" i="1"/>
  <c r="CN1148" i="1"/>
  <c r="CR1148" i="1" s="1"/>
  <c r="BX1148" i="1"/>
  <c r="BY1148" i="1" s="1"/>
  <c r="BN1148" i="1"/>
  <c r="BM1148" i="1"/>
  <c r="BD1148" i="1"/>
  <c r="BC1148" i="1"/>
  <c r="BB1148" i="1"/>
  <c r="BA1148" i="1"/>
  <c r="AZ1148" i="1"/>
  <c r="AY1148" i="1"/>
  <c r="BE1148" i="1" s="1" a="1"/>
  <c r="BE1148" i="1" s="1"/>
  <c r="AX1148" i="1"/>
  <c r="M1148" i="1"/>
  <c r="EM1147" i="1"/>
  <c r="DU1147" i="1"/>
  <c r="DT1147" i="1"/>
  <c r="DN1147" i="1"/>
  <c r="DM1147" i="1"/>
  <c r="DL1147" i="1"/>
  <c r="DK1147" i="1"/>
  <c r="DI1147" i="1"/>
  <c r="DJ1147" i="1" s="1"/>
  <c r="DC1147" i="1"/>
  <c r="CX1147" i="1"/>
  <c r="CN1147" i="1"/>
  <c r="CO1147" i="1" s="1"/>
  <c r="BX1147" i="1"/>
  <c r="BY1147" i="1" s="1"/>
  <c r="BN1147" i="1"/>
  <c r="BM1147" i="1"/>
  <c r="BD1147" i="1"/>
  <c r="BC1147" i="1"/>
  <c r="BB1147" i="1"/>
  <c r="BA1147" i="1"/>
  <c r="AZ1147" i="1"/>
  <c r="AY1147" i="1"/>
  <c r="BE1147" i="1" s="1" a="1"/>
  <c r="BE1147" i="1" s="1"/>
  <c r="AX1147" i="1"/>
  <c r="M1147" i="1"/>
  <c r="EM1146" i="1"/>
  <c r="DU1146" i="1"/>
  <c r="DT1146" i="1"/>
  <c r="DN1146" i="1"/>
  <c r="DM1146" i="1"/>
  <c r="DL1146" i="1"/>
  <c r="DK1146" i="1"/>
  <c r="DI1146" i="1"/>
  <c r="DJ1146" i="1" s="1"/>
  <c r="DC1146" i="1"/>
  <c r="CX1146" i="1"/>
  <c r="CN1146" i="1"/>
  <c r="BX1146" i="1"/>
  <c r="BY1146" i="1" s="1"/>
  <c r="BN1146" i="1"/>
  <c r="BM1146" i="1"/>
  <c r="BD1146" i="1"/>
  <c r="BC1146" i="1"/>
  <c r="BB1146" i="1"/>
  <c r="BA1146" i="1"/>
  <c r="AZ1146" i="1"/>
  <c r="BF1146" i="1" s="1" a="1"/>
  <c r="BF1146" i="1" s="1"/>
  <c r="AY1146" i="1"/>
  <c r="BE1146" i="1" s="1" a="1"/>
  <c r="BE1146" i="1" s="1"/>
  <c r="AX1146" i="1"/>
  <c r="M1146" i="1"/>
  <c r="EM1142" i="1"/>
  <c r="DU1142" i="1"/>
  <c r="DT1142" i="1"/>
  <c r="DN1142" i="1"/>
  <c r="DM1142" i="1"/>
  <c r="DL1142" i="1"/>
  <c r="DK1142" i="1"/>
  <c r="DI1142" i="1"/>
  <c r="DJ1142" i="1" s="1"/>
  <c r="DC1142" i="1"/>
  <c r="CX1142" i="1"/>
  <c r="CN1142" i="1"/>
  <c r="CO1142" i="1" s="1"/>
  <c r="BX1142" i="1"/>
  <c r="BY1142" i="1" s="1"/>
  <c r="BN1142" i="1"/>
  <c r="BM1142" i="1"/>
  <c r="BD1142" i="1"/>
  <c r="BC1142" i="1"/>
  <c r="BB1142" i="1"/>
  <c r="BA1142" i="1"/>
  <c r="AZ1142" i="1"/>
  <c r="AY1142" i="1"/>
  <c r="BE1142" i="1" s="1" a="1"/>
  <c r="BE1142" i="1" s="1"/>
  <c r="AX1142" i="1"/>
  <c r="M1142" i="1"/>
  <c r="EM1153" i="1"/>
  <c r="DU1153" i="1"/>
  <c r="DT1153" i="1"/>
  <c r="DN1153" i="1"/>
  <c r="DM1153" i="1"/>
  <c r="DL1153" i="1"/>
  <c r="DK1153" i="1"/>
  <c r="DI1153" i="1"/>
  <c r="DJ1153" i="1" s="1"/>
  <c r="DC1153" i="1"/>
  <c r="CX1153" i="1"/>
  <c r="CN1153" i="1"/>
  <c r="CS1153" i="1" s="1"/>
  <c r="BX1153" i="1"/>
  <c r="BN1153" i="1"/>
  <c r="BM1153" i="1"/>
  <c r="BD1153" i="1"/>
  <c r="BC1153" i="1"/>
  <c r="BB1153" i="1"/>
  <c r="BA1153" i="1"/>
  <c r="AZ1153" i="1"/>
  <c r="AY1153" i="1"/>
  <c r="BE1153" i="1" s="1" a="1"/>
  <c r="BE1153" i="1" s="1"/>
  <c r="AX1153" i="1"/>
  <c r="M1153" i="1"/>
  <c r="EM1152" i="1"/>
  <c r="DU1152" i="1"/>
  <c r="DT1152" i="1"/>
  <c r="DN1152" i="1"/>
  <c r="DM1152" i="1"/>
  <c r="DL1152" i="1"/>
  <c r="DK1152" i="1"/>
  <c r="DI1152" i="1"/>
  <c r="DJ1152" i="1" s="1"/>
  <c r="DC1152" i="1"/>
  <c r="CX1152" i="1"/>
  <c r="CN1152" i="1"/>
  <c r="CS1152" i="1" s="1"/>
  <c r="BX1152" i="1"/>
  <c r="BN1152" i="1"/>
  <c r="BM1152" i="1"/>
  <c r="BD1152" i="1"/>
  <c r="BC1152" i="1"/>
  <c r="BB1152" i="1"/>
  <c r="BA1152" i="1"/>
  <c r="AZ1152" i="1"/>
  <c r="AY1152" i="1"/>
  <c r="BE1152" i="1" s="1" a="1"/>
  <c r="BE1152" i="1" s="1"/>
  <c r="AX1152" i="1"/>
  <c r="M1152" i="1"/>
  <c r="EM1149" i="1"/>
  <c r="DU1149" i="1"/>
  <c r="DT1149" i="1"/>
  <c r="DN1149" i="1"/>
  <c r="DM1149" i="1"/>
  <c r="DL1149" i="1"/>
  <c r="DK1149" i="1"/>
  <c r="DI1149" i="1"/>
  <c r="DJ1149" i="1" s="1"/>
  <c r="DC1149" i="1"/>
  <c r="CX1149" i="1"/>
  <c r="CN1149" i="1"/>
  <c r="CS1149" i="1" s="1"/>
  <c r="BX1149" i="1"/>
  <c r="BY1149" i="1" s="1"/>
  <c r="BN1149" i="1"/>
  <c r="BM1149" i="1"/>
  <c r="BD1149" i="1"/>
  <c r="BC1149" i="1"/>
  <c r="BB1149" i="1"/>
  <c r="BA1149" i="1"/>
  <c r="AZ1149" i="1"/>
  <c r="BF1149" i="1" s="1" a="1"/>
  <c r="BF1149" i="1" s="1"/>
  <c r="AY1149" i="1"/>
  <c r="BE1149" i="1" s="1" a="1"/>
  <c r="BE1149" i="1" s="1"/>
  <c r="AX1149" i="1"/>
  <c r="M1149" i="1"/>
  <c r="EM1145" i="1"/>
  <c r="DU1145" i="1"/>
  <c r="DT1145" i="1"/>
  <c r="DN1145" i="1"/>
  <c r="DM1145" i="1"/>
  <c r="DL1145" i="1"/>
  <c r="DK1145" i="1"/>
  <c r="DI1145" i="1"/>
  <c r="DJ1145" i="1" s="1"/>
  <c r="DC1145" i="1"/>
  <c r="CX1145" i="1"/>
  <c r="CN1145" i="1"/>
  <c r="CS1145" i="1" s="1"/>
  <c r="BX1145" i="1"/>
  <c r="BY1145" i="1" s="1"/>
  <c r="BN1145" i="1"/>
  <c r="BM1145" i="1"/>
  <c r="BD1145" i="1"/>
  <c r="BC1145" i="1"/>
  <c r="BB1145" i="1"/>
  <c r="BA1145" i="1"/>
  <c r="AZ1145" i="1"/>
  <c r="AY1145" i="1"/>
  <c r="BE1145" i="1" s="1" a="1"/>
  <c r="BE1145" i="1" s="1"/>
  <c r="AX1145" i="1"/>
  <c r="M1145" i="1"/>
  <c r="EM1144" i="1"/>
  <c r="DU1144" i="1"/>
  <c r="DT1144" i="1"/>
  <c r="DN1144" i="1"/>
  <c r="DM1144" i="1"/>
  <c r="DL1144" i="1"/>
  <c r="DK1144" i="1"/>
  <c r="DI1144" i="1"/>
  <c r="DJ1144" i="1" s="1"/>
  <c r="DC1144" i="1"/>
  <c r="CX1144" i="1"/>
  <c r="CN1144" i="1"/>
  <c r="CR1144" i="1" s="1"/>
  <c r="BX1144" i="1"/>
  <c r="BY1144" i="1" s="1"/>
  <c r="BN1144" i="1"/>
  <c r="BM1144" i="1"/>
  <c r="BD1144" i="1"/>
  <c r="BC1144" i="1"/>
  <c r="BB1144" i="1"/>
  <c r="BA1144" i="1"/>
  <c r="AZ1144" i="1"/>
  <c r="AY1144" i="1"/>
  <c r="BE1144" i="1" s="1" a="1"/>
  <c r="BE1144" i="1" s="1"/>
  <c r="AX1144" i="1"/>
  <c r="M1144" i="1"/>
  <c r="EM1143" i="1"/>
  <c r="DU1143" i="1"/>
  <c r="DT1143" i="1"/>
  <c r="DN1143" i="1"/>
  <c r="DM1143" i="1"/>
  <c r="DL1143" i="1"/>
  <c r="DK1143" i="1"/>
  <c r="DI1143" i="1"/>
  <c r="DJ1143" i="1" s="1"/>
  <c r="DC1143" i="1"/>
  <c r="CX1143" i="1"/>
  <c r="CN1143" i="1"/>
  <c r="CQ1143" i="1" s="1"/>
  <c r="BX1143" i="1"/>
  <c r="BN1143" i="1"/>
  <c r="BM1143" i="1"/>
  <c r="BD1143" i="1"/>
  <c r="BC1143" i="1"/>
  <c r="BB1143" i="1"/>
  <c r="BA1143" i="1"/>
  <c r="AZ1143" i="1"/>
  <c r="AY1143" i="1"/>
  <c r="BE1143" i="1" s="1" a="1"/>
  <c r="BE1143" i="1" s="1"/>
  <c r="AX1143" i="1"/>
  <c r="M1143" i="1"/>
  <c r="EM1093" i="1"/>
  <c r="DU1093" i="1"/>
  <c r="DN1093" i="1"/>
  <c r="DM1093" i="1"/>
  <c r="DL1093" i="1"/>
  <c r="DK1093" i="1"/>
  <c r="DI1093" i="1"/>
  <c r="DJ1093" i="1" s="1"/>
  <c r="CX1093" i="1"/>
  <c r="CN1093" i="1"/>
  <c r="BX1093" i="1"/>
  <c r="BN1093" i="1"/>
  <c r="BO1093" i="1" s="1"/>
  <c r="BM1093" i="1"/>
  <c r="BD1093" i="1"/>
  <c r="BC1093" i="1"/>
  <c r="BB1093" i="1"/>
  <c r="BA1093" i="1"/>
  <c r="AZ1093" i="1"/>
  <c r="AY1093" i="1"/>
  <c r="BE1093" i="1" s="1" a="1"/>
  <c r="BE1093" i="1" s="1"/>
  <c r="AX1093" i="1"/>
  <c r="M1093" i="1"/>
  <c r="EM1092" i="1"/>
  <c r="DU1092" i="1"/>
  <c r="DN1092" i="1"/>
  <c r="DM1092" i="1"/>
  <c r="DL1092" i="1"/>
  <c r="DK1092" i="1"/>
  <c r="DI1092" i="1"/>
  <c r="DJ1092" i="1" s="1"/>
  <c r="CX1092" i="1"/>
  <c r="CN1092" i="1"/>
  <c r="BX1092" i="1"/>
  <c r="BN1092" i="1"/>
  <c r="BO1092" i="1" s="1"/>
  <c r="BM1092" i="1"/>
  <c r="BD1092" i="1"/>
  <c r="BC1092" i="1"/>
  <c r="BB1092" i="1"/>
  <c r="BA1092" i="1"/>
  <c r="AZ1092" i="1"/>
  <c r="AY1092" i="1"/>
  <c r="BE1092" i="1" s="1" a="1"/>
  <c r="BE1092" i="1" s="1"/>
  <c r="AX1092" i="1"/>
  <c r="M1092" i="1"/>
  <c r="EM1073" i="1"/>
  <c r="DU1073" i="1"/>
  <c r="DN1073" i="1"/>
  <c r="DM1073" i="1"/>
  <c r="DL1073" i="1"/>
  <c r="DK1073" i="1"/>
  <c r="DI1073" i="1"/>
  <c r="DJ1073" i="1" s="1"/>
  <c r="DB1073" i="1"/>
  <c r="DC1073" i="1" s="1"/>
  <c r="CX1073" i="1"/>
  <c r="CN1073" i="1"/>
  <c r="CR1073" i="1" s="1"/>
  <c r="BX1073" i="1"/>
  <c r="BN1073" i="1"/>
  <c r="BO1073" i="1" s="1"/>
  <c r="BM1073" i="1"/>
  <c r="BD1073" i="1"/>
  <c r="BC1073" i="1"/>
  <c r="BB1073" i="1"/>
  <c r="BA1073" i="1"/>
  <c r="AZ1073" i="1"/>
  <c r="AY1073" i="1"/>
  <c r="AX1073" i="1"/>
  <c r="M1073" i="1"/>
  <c r="EM1085" i="1"/>
  <c r="DU1085" i="1"/>
  <c r="DN1085" i="1"/>
  <c r="DM1085" i="1"/>
  <c r="DL1085" i="1"/>
  <c r="DK1085" i="1"/>
  <c r="DI1085" i="1"/>
  <c r="DJ1085" i="1" s="1"/>
  <c r="DB1085" i="1"/>
  <c r="DC1085" i="1" s="1"/>
  <c r="CX1085" i="1"/>
  <c r="CN1085" i="1"/>
  <c r="BX1085" i="1"/>
  <c r="BN1085" i="1"/>
  <c r="BO1085" i="1" s="1"/>
  <c r="BM1085" i="1"/>
  <c r="BD1085" i="1"/>
  <c r="BC1085" i="1"/>
  <c r="BB1085" i="1"/>
  <c r="BA1085" i="1"/>
  <c r="AZ1085" i="1"/>
  <c r="AY1085" i="1"/>
  <c r="AX1085" i="1"/>
  <c r="M1085" i="1"/>
  <c r="EM1069" i="1"/>
  <c r="DU1069" i="1"/>
  <c r="DN1069" i="1"/>
  <c r="DM1069" i="1"/>
  <c r="DL1069" i="1"/>
  <c r="DK1069" i="1"/>
  <c r="DI1069" i="1"/>
  <c r="DJ1069" i="1" s="1"/>
  <c r="DB1069" i="1"/>
  <c r="DC1069" i="1" s="1"/>
  <c r="CX1069" i="1"/>
  <c r="CN1069" i="1"/>
  <c r="BX1069" i="1"/>
  <c r="BN1069" i="1"/>
  <c r="BO1069" i="1" s="1"/>
  <c r="BM1069" i="1"/>
  <c r="BD1069" i="1"/>
  <c r="BC1069" i="1"/>
  <c r="BB1069" i="1"/>
  <c r="BA1069" i="1"/>
  <c r="AZ1069" i="1"/>
  <c r="AY1069" i="1"/>
  <c r="AX1069" i="1"/>
  <c r="M1069" i="1"/>
  <c r="EM1078" i="1"/>
  <c r="DU1078" i="1"/>
  <c r="DN1078" i="1"/>
  <c r="DM1078" i="1"/>
  <c r="DL1078" i="1"/>
  <c r="DK1078" i="1"/>
  <c r="DI1078" i="1"/>
  <c r="DJ1078" i="1" s="1"/>
  <c r="DB1078" i="1"/>
  <c r="DC1078" i="1" s="1"/>
  <c r="CX1078" i="1"/>
  <c r="CN1078" i="1"/>
  <c r="BX1078" i="1"/>
  <c r="BN1078" i="1"/>
  <c r="BO1078" i="1" s="1"/>
  <c r="BM1078" i="1"/>
  <c r="BD1078" i="1"/>
  <c r="BC1078" i="1"/>
  <c r="BB1078" i="1"/>
  <c r="BA1078" i="1"/>
  <c r="AZ1078" i="1"/>
  <c r="AY1078" i="1"/>
  <c r="AX1078" i="1"/>
  <c r="M1078" i="1"/>
  <c r="EM1070" i="1"/>
  <c r="DU1070" i="1"/>
  <c r="DN1070" i="1"/>
  <c r="DM1070" i="1"/>
  <c r="DL1070" i="1"/>
  <c r="DK1070" i="1"/>
  <c r="DI1070" i="1"/>
  <c r="DJ1070" i="1" s="1"/>
  <c r="DB1070" i="1"/>
  <c r="DC1070" i="1" s="1"/>
  <c r="CX1070" i="1"/>
  <c r="CN1070" i="1"/>
  <c r="CS1070" i="1" s="1"/>
  <c r="BX1070" i="1"/>
  <c r="BN1070" i="1"/>
  <c r="BO1070" i="1" s="1"/>
  <c r="BM1070" i="1"/>
  <c r="BD1070" i="1"/>
  <c r="BC1070" i="1"/>
  <c r="BB1070" i="1"/>
  <c r="BA1070" i="1"/>
  <c r="AZ1070" i="1"/>
  <c r="AY1070" i="1"/>
  <c r="BE1070" i="1" s="1" a="1"/>
  <c r="BE1070" i="1" s="1"/>
  <c r="AX1070" i="1"/>
  <c r="M1070" i="1"/>
  <c r="EM1081" i="1"/>
  <c r="DU1081" i="1"/>
  <c r="DN1081" i="1"/>
  <c r="DM1081" i="1"/>
  <c r="DL1081" i="1"/>
  <c r="DK1081" i="1"/>
  <c r="DI1081" i="1"/>
  <c r="DJ1081" i="1" s="1"/>
  <c r="DB1081" i="1"/>
  <c r="DC1081" i="1" s="1"/>
  <c r="CX1081" i="1"/>
  <c r="CN1081" i="1"/>
  <c r="BX1081" i="1"/>
  <c r="BN1081" i="1"/>
  <c r="BO1081" i="1" s="1"/>
  <c r="BM1081" i="1"/>
  <c r="BD1081" i="1"/>
  <c r="BC1081" i="1"/>
  <c r="BB1081" i="1"/>
  <c r="BA1081" i="1"/>
  <c r="AZ1081" i="1"/>
  <c r="BF1081" i="1" s="1" a="1"/>
  <c r="BF1081" i="1" s="1"/>
  <c r="AY1081" i="1"/>
  <c r="BE1081" i="1" s="1" a="1"/>
  <c r="BE1081" i="1" s="1"/>
  <c r="AX1081" i="1"/>
  <c r="M1081" i="1"/>
  <c r="EM1068" i="1"/>
  <c r="DU1068" i="1"/>
  <c r="DN1068" i="1"/>
  <c r="DM1068" i="1"/>
  <c r="DL1068" i="1"/>
  <c r="DK1068" i="1"/>
  <c r="DI1068" i="1"/>
  <c r="DJ1068" i="1" s="1"/>
  <c r="DB1068" i="1"/>
  <c r="DC1068" i="1" s="1"/>
  <c r="CX1068" i="1"/>
  <c r="CN1068" i="1"/>
  <c r="CO1068" i="1" s="1"/>
  <c r="BX1068" i="1"/>
  <c r="BN1068" i="1"/>
  <c r="BO1068" i="1" s="1"/>
  <c r="BM1068" i="1"/>
  <c r="BD1068" i="1"/>
  <c r="BC1068" i="1"/>
  <c r="BB1068" i="1"/>
  <c r="BA1068" i="1"/>
  <c r="AZ1068" i="1"/>
  <c r="AY1068" i="1"/>
  <c r="BE1068" i="1" s="1" a="1"/>
  <c r="BE1068" i="1" s="1"/>
  <c r="AX1068" i="1"/>
  <c r="M1068" i="1"/>
  <c r="EM1076" i="1"/>
  <c r="DU1076" i="1"/>
  <c r="DN1076" i="1"/>
  <c r="DM1076" i="1"/>
  <c r="DL1076" i="1"/>
  <c r="DK1076" i="1"/>
  <c r="DI1076" i="1"/>
  <c r="DJ1076" i="1" s="1"/>
  <c r="DB1076" i="1"/>
  <c r="DC1076" i="1" s="1"/>
  <c r="CX1076" i="1"/>
  <c r="CN1076" i="1"/>
  <c r="CP1076" i="1" s="1"/>
  <c r="BX1076" i="1"/>
  <c r="BN1076" i="1"/>
  <c r="BO1076" i="1" s="1"/>
  <c r="BM1076" i="1"/>
  <c r="BD1076" i="1"/>
  <c r="BC1076" i="1"/>
  <c r="BB1076" i="1"/>
  <c r="BA1076" i="1"/>
  <c r="AZ1076" i="1"/>
  <c r="AY1076" i="1"/>
  <c r="BE1076" i="1" s="1" a="1"/>
  <c r="BE1076" i="1" s="1"/>
  <c r="AX1076" i="1"/>
  <c r="M1076" i="1"/>
  <c r="EM1077" i="1"/>
  <c r="DU1077" i="1"/>
  <c r="DN1077" i="1"/>
  <c r="DM1077" i="1"/>
  <c r="DL1077" i="1"/>
  <c r="DK1077" i="1"/>
  <c r="DI1077" i="1"/>
  <c r="DJ1077" i="1" s="1"/>
  <c r="DB1077" i="1"/>
  <c r="DC1077" i="1" s="1"/>
  <c r="CX1077" i="1"/>
  <c r="CN1077" i="1"/>
  <c r="BX1077" i="1"/>
  <c r="BN1077" i="1"/>
  <c r="BO1077" i="1" s="1"/>
  <c r="BM1077" i="1"/>
  <c r="BD1077" i="1"/>
  <c r="BC1077" i="1"/>
  <c r="BB1077" i="1"/>
  <c r="BA1077" i="1"/>
  <c r="AZ1077" i="1"/>
  <c r="AY1077" i="1"/>
  <c r="AX1077" i="1"/>
  <c r="M1077" i="1"/>
  <c r="EM1084" i="1"/>
  <c r="DU1084" i="1"/>
  <c r="DN1084" i="1"/>
  <c r="DM1084" i="1"/>
  <c r="DL1084" i="1"/>
  <c r="DK1084" i="1"/>
  <c r="DI1084" i="1"/>
  <c r="DJ1084" i="1" s="1"/>
  <c r="DB1084" i="1"/>
  <c r="DC1084" i="1" s="1"/>
  <c r="CX1084" i="1"/>
  <c r="CN1084" i="1"/>
  <c r="CO1084" i="1" s="1"/>
  <c r="BX1084" i="1"/>
  <c r="BN1084" i="1"/>
  <c r="BO1084" i="1" s="1"/>
  <c r="BM1084" i="1"/>
  <c r="BD1084" i="1"/>
  <c r="BC1084" i="1"/>
  <c r="BB1084" i="1"/>
  <c r="BA1084" i="1"/>
  <c r="AZ1084" i="1"/>
  <c r="AY1084" i="1"/>
  <c r="AX1084" i="1"/>
  <c r="M1084" i="1"/>
  <c r="EM1072" i="1"/>
  <c r="DU1072" i="1"/>
  <c r="DN1072" i="1"/>
  <c r="DM1072" i="1"/>
  <c r="DL1072" i="1"/>
  <c r="DK1072" i="1"/>
  <c r="DI1072" i="1"/>
  <c r="DJ1072" i="1" s="1"/>
  <c r="DB1072" i="1"/>
  <c r="DC1072" i="1" s="1"/>
  <c r="CX1072" i="1"/>
  <c r="CN1072" i="1"/>
  <c r="CS1072" i="1" s="1"/>
  <c r="BX1072" i="1"/>
  <c r="BN1072" i="1"/>
  <c r="BO1072" i="1" s="1"/>
  <c r="BM1072" i="1"/>
  <c r="BD1072" i="1"/>
  <c r="BC1072" i="1"/>
  <c r="BB1072" i="1"/>
  <c r="BA1072" i="1"/>
  <c r="AZ1072" i="1"/>
  <c r="AY1072" i="1"/>
  <c r="AX1072" i="1"/>
  <c r="M1072" i="1"/>
  <c r="EM1079" i="1"/>
  <c r="DU1079" i="1"/>
  <c r="DN1079" i="1"/>
  <c r="DM1079" i="1"/>
  <c r="DL1079" i="1"/>
  <c r="DK1079" i="1"/>
  <c r="DI1079" i="1"/>
  <c r="DJ1079" i="1" s="1"/>
  <c r="DB1079" i="1"/>
  <c r="DC1079" i="1" s="1"/>
  <c r="CX1079" i="1"/>
  <c r="CN1079" i="1"/>
  <c r="CO1079" i="1" s="1"/>
  <c r="BX1079" i="1"/>
  <c r="BN1079" i="1"/>
  <c r="BO1079" i="1" s="1"/>
  <c r="BM1079" i="1"/>
  <c r="BD1079" i="1"/>
  <c r="BC1079" i="1"/>
  <c r="BB1079" i="1"/>
  <c r="BA1079" i="1"/>
  <c r="AZ1079" i="1"/>
  <c r="AY1079" i="1"/>
  <c r="BE1079" i="1" s="1" a="1"/>
  <c r="BE1079" i="1" s="1"/>
  <c r="AX1079" i="1"/>
  <c r="M1079" i="1"/>
  <c r="EM1074" i="1"/>
  <c r="DU1074" i="1"/>
  <c r="DN1074" i="1"/>
  <c r="DM1074" i="1"/>
  <c r="DL1074" i="1"/>
  <c r="DK1074" i="1"/>
  <c r="DI1074" i="1"/>
  <c r="DJ1074" i="1" s="1"/>
  <c r="DB1074" i="1"/>
  <c r="DC1074" i="1" s="1"/>
  <c r="CX1074" i="1"/>
  <c r="CN1074" i="1"/>
  <c r="CS1074" i="1" s="1"/>
  <c r="BX1074" i="1"/>
  <c r="BN1074" i="1"/>
  <c r="BO1074" i="1" s="1"/>
  <c r="BM1074" i="1"/>
  <c r="BD1074" i="1"/>
  <c r="BC1074" i="1"/>
  <c r="BB1074" i="1"/>
  <c r="BA1074" i="1"/>
  <c r="AZ1074" i="1"/>
  <c r="AY1074" i="1"/>
  <c r="BE1074" i="1" s="1" a="1"/>
  <c r="BE1074" i="1" s="1"/>
  <c r="AX1074" i="1"/>
  <c r="M1074" i="1"/>
  <c r="EM1071" i="1"/>
  <c r="DU1071" i="1"/>
  <c r="DN1071" i="1"/>
  <c r="DM1071" i="1"/>
  <c r="DL1071" i="1"/>
  <c r="DK1071" i="1"/>
  <c r="DI1071" i="1"/>
  <c r="DJ1071" i="1" s="1"/>
  <c r="DB1071" i="1"/>
  <c r="DC1071" i="1" s="1"/>
  <c r="CX1071" i="1"/>
  <c r="CN1071" i="1"/>
  <c r="CR1071" i="1" s="1"/>
  <c r="BX1071" i="1"/>
  <c r="BN1071" i="1"/>
  <c r="BO1071" i="1" s="1"/>
  <c r="BM1071" i="1"/>
  <c r="BD1071" i="1"/>
  <c r="BC1071" i="1"/>
  <c r="BB1071" i="1"/>
  <c r="BA1071" i="1"/>
  <c r="AZ1071" i="1"/>
  <c r="BF1071" i="1" s="1" a="1"/>
  <c r="BF1071" i="1" s="1"/>
  <c r="AY1071" i="1"/>
  <c r="BE1071" i="1" s="1" a="1"/>
  <c r="BE1071" i="1" s="1"/>
  <c r="AX1071" i="1"/>
  <c r="M1071" i="1"/>
  <c r="EM1075" i="1"/>
  <c r="DU1075" i="1"/>
  <c r="DN1075" i="1"/>
  <c r="DM1075" i="1"/>
  <c r="DL1075" i="1"/>
  <c r="DK1075" i="1"/>
  <c r="DI1075" i="1"/>
  <c r="DJ1075" i="1" s="1"/>
  <c r="DB1075" i="1"/>
  <c r="DC1075" i="1" s="1"/>
  <c r="CX1075" i="1"/>
  <c r="CN1075" i="1"/>
  <c r="BX1075" i="1"/>
  <c r="BN1075" i="1"/>
  <c r="BO1075" i="1" s="1"/>
  <c r="BM1075" i="1"/>
  <c r="BD1075" i="1"/>
  <c r="BC1075" i="1"/>
  <c r="BB1075" i="1"/>
  <c r="BA1075" i="1"/>
  <c r="AZ1075" i="1"/>
  <c r="AY1075" i="1"/>
  <c r="BE1075" i="1" s="1" a="1"/>
  <c r="BE1075" i="1" s="1"/>
  <c r="AX1075" i="1"/>
  <c r="M1075" i="1"/>
  <c r="EM1089" i="1"/>
  <c r="DU1089" i="1"/>
  <c r="DN1089" i="1"/>
  <c r="DM1089" i="1"/>
  <c r="DL1089" i="1"/>
  <c r="DK1089" i="1"/>
  <c r="DI1089" i="1"/>
  <c r="DJ1089" i="1" s="1"/>
  <c r="DB1089" i="1"/>
  <c r="DC1089" i="1" s="1"/>
  <c r="CX1089" i="1"/>
  <c r="CN1089" i="1"/>
  <c r="CO1089" i="1" s="1"/>
  <c r="BX1089" i="1"/>
  <c r="BN1089" i="1"/>
  <c r="BO1089" i="1" s="1"/>
  <c r="BM1089" i="1"/>
  <c r="BD1089" i="1"/>
  <c r="BC1089" i="1"/>
  <c r="BB1089" i="1"/>
  <c r="BA1089" i="1"/>
  <c r="AZ1089" i="1"/>
  <c r="AY1089" i="1"/>
  <c r="AX1089" i="1"/>
  <c r="M1089" i="1"/>
  <c r="EM1090" i="1"/>
  <c r="DU1090" i="1"/>
  <c r="DN1090" i="1"/>
  <c r="DM1090" i="1"/>
  <c r="DL1090" i="1"/>
  <c r="DK1090" i="1"/>
  <c r="DI1090" i="1"/>
  <c r="DJ1090" i="1" s="1"/>
  <c r="DB1090" i="1"/>
  <c r="DC1090" i="1" s="1"/>
  <c r="CX1090" i="1"/>
  <c r="CN1090" i="1"/>
  <c r="BX1090" i="1"/>
  <c r="BN1090" i="1"/>
  <c r="BO1090" i="1" s="1"/>
  <c r="BM1090" i="1"/>
  <c r="BD1090" i="1"/>
  <c r="BC1090" i="1"/>
  <c r="BB1090" i="1"/>
  <c r="BA1090" i="1"/>
  <c r="AZ1090" i="1"/>
  <c r="AY1090" i="1"/>
  <c r="AX1090" i="1"/>
  <c r="M1090" i="1"/>
  <c r="EM1067" i="1"/>
  <c r="DU1067" i="1"/>
  <c r="DN1067" i="1"/>
  <c r="DM1067" i="1"/>
  <c r="DL1067" i="1"/>
  <c r="DK1067" i="1"/>
  <c r="DI1067" i="1"/>
  <c r="DJ1067" i="1" s="1"/>
  <c r="DB1067" i="1"/>
  <c r="DC1067" i="1" s="1"/>
  <c r="CX1067" i="1"/>
  <c r="CN1067" i="1"/>
  <c r="BX1067" i="1"/>
  <c r="BN1067" i="1"/>
  <c r="BO1067" i="1" s="1"/>
  <c r="BM1067" i="1"/>
  <c r="BD1067" i="1"/>
  <c r="BC1067" i="1"/>
  <c r="BB1067" i="1"/>
  <c r="BA1067" i="1"/>
  <c r="AZ1067" i="1"/>
  <c r="AY1067" i="1"/>
  <c r="AX1067" i="1"/>
  <c r="M1067" i="1"/>
  <c r="EM1087" i="1"/>
  <c r="DU1087" i="1"/>
  <c r="DN1087" i="1"/>
  <c r="DM1087" i="1"/>
  <c r="DL1087" i="1"/>
  <c r="DK1087" i="1"/>
  <c r="DI1087" i="1"/>
  <c r="DJ1087" i="1" s="1"/>
  <c r="DB1087" i="1"/>
  <c r="DC1087" i="1" s="1"/>
  <c r="CX1087" i="1"/>
  <c r="CN1087" i="1"/>
  <c r="BX1087" i="1"/>
  <c r="BN1087" i="1"/>
  <c r="BO1087" i="1" s="1"/>
  <c r="BM1087" i="1"/>
  <c r="BD1087" i="1"/>
  <c r="BC1087" i="1"/>
  <c r="BB1087" i="1"/>
  <c r="BA1087" i="1"/>
  <c r="AZ1087" i="1"/>
  <c r="AY1087" i="1"/>
  <c r="AX1087" i="1"/>
  <c r="M1087" i="1"/>
  <c r="EM1082" i="1"/>
  <c r="DU1082" i="1"/>
  <c r="DN1082" i="1"/>
  <c r="DM1082" i="1"/>
  <c r="DL1082" i="1"/>
  <c r="DK1082" i="1"/>
  <c r="DI1082" i="1"/>
  <c r="DJ1082" i="1" s="1"/>
  <c r="DB1082" i="1"/>
  <c r="DC1082" i="1" s="1"/>
  <c r="CX1082" i="1"/>
  <c r="CN1082" i="1"/>
  <c r="CP1082" i="1" s="1"/>
  <c r="BX1082" i="1"/>
  <c r="BN1082" i="1"/>
  <c r="BO1082" i="1" s="1"/>
  <c r="BM1082" i="1"/>
  <c r="BD1082" i="1"/>
  <c r="BC1082" i="1"/>
  <c r="BB1082" i="1"/>
  <c r="BA1082" i="1"/>
  <c r="AZ1082" i="1"/>
  <c r="AY1082" i="1"/>
  <c r="AX1082" i="1"/>
  <c r="M1082" i="1"/>
  <c r="EM1083" i="1"/>
  <c r="DU1083" i="1"/>
  <c r="DN1083" i="1"/>
  <c r="DM1083" i="1"/>
  <c r="DL1083" i="1"/>
  <c r="DK1083" i="1"/>
  <c r="DI1083" i="1"/>
  <c r="DJ1083" i="1" s="1"/>
  <c r="DB1083" i="1"/>
  <c r="DC1083" i="1" s="1"/>
  <c r="CX1083" i="1"/>
  <c r="CN1083" i="1"/>
  <c r="CR1083" i="1" s="1"/>
  <c r="BX1083" i="1"/>
  <c r="BN1083" i="1"/>
  <c r="BO1083" i="1" s="1"/>
  <c r="BM1083" i="1"/>
  <c r="BD1083" i="1"/>
  <c r="BC1083" i="1"/>
  <c r="BB1083" i="1"/>
  <c r="BA1083" i="1"/>
  <c r="AZ1083" i="1"/>
  <c r="AY1083" i="1"/>
  <c r="BE1083" i="1" s="1" a="1"/>
  <c r="BE1083" i="1" s="1"/>
  <c r="AX1083" i="1"/>
  <c r="M1083" i="1"/>
  <c r="EM1088" i="1"/>
  <c r="DU1088" i="1"/>
  <c r="DN1088" i="1"/>
  <c r="DM1088" i="1"/>
  <c r="DL1088" i="1"/>
  <c r="DK1088" i="1"/>
  <c r="DI1088" i="1"/>
  <c r="DJ1088" i="1" s="1"/>
  <c r="DB1088" i="1"/>
  <c r="DC1088" i="1" s="1"/>
  <c r="CX1088" i="1"/>
  <c r="CN1088" i="1"/>
  <c r="BX1088" i="1"/>
  <c r="BN1088" i="1"/>
  <c r="BO1088" i="1" s="1"/>
  <c r="BM1088" i="1"/>
  <c r="BD1088" i="1"/>
  <c r="BC1088" i="1"/>
  <c r="BB1088" i="1"/>
  <c r="BA1088" i="1"/>
  <c r="AZ1088" i="1"/>
  <c r="AY1088" i="1"/>
  <c r="BE1088" i="1" s="1" a="1"/>
  <c r="BE1088" i="1" s="1"/>
  <c r="AX1088" i="1"/>
  <c r="M1088" i="1"/>
  <c r="EM1086" i="1"/>
  <c r="DU1086" i="1"/>
  <c r="DN1086" i="1"/>
  <c r="DM1086" i="1"/>
  <c r="DL1086" i="1"/>
  <c r="DK1086" i="1"/>
  <c r="DI1086" i="1"/>
  <c r="DJ1086" i="1" s="1"/>
  <c r="DB1086" i="1"/>
  <c r="DC1086" i="1" s="1"/>
  <c r="CX1086" i="1"/>
  <c r="CN1086" i="1"/>
  <c r="CP1086" i="1" s="1"/>
  <c r="BX1086" i="1"/>
  <c r="BN1086" i="1"/>
  <c r="BO1086" i="1" s="1"/>
  <c r="BM1086" i="1"/>
  <c r="BD1086" i="1"/>
  <c r="BC1086" i="1"/>
  <c r="BB1086" i="1"/>
  <c r="BA1086" i="1"/>
  <c r="AZ1086" i="1"/>
  <c r="AY1086" i="1"/>
  <c r="BE1086" i="1" s="1" a="1"/>
  <c r="BE1086" i="1" s="1"/>
  <c r="AX1086" i="1"/>
  <c r="M1086" i="1"/>
  <c r="EM1080" i="1"/>
  <c r="DU1080" i="1"/>
  <c r="DN1080" i="1"/>
  <c r="DM1080" i="1"/>
  <c r="DL1080" i="1"/>
  <c r="DK1080" i="1"/>
  <c r="DI1080" i="1"/>
  <c r="DJ1080" i="1" s="1"/>
  <c r="DB1080" i="1"/>
  <c r="DC1080" i="1" s="1"/>
  <c r="CX1080" i="1"/>
  <c r="CN1080" i="1"/>
  <c r="CS1080" i="1" s="1"/>
  <c r="BX1080" i="1"/>
  <c r="BN1080" i="1"/>
  <c r="BO1080" i="1" s="1"/>
  <c r="BM1080" i="1"/>
  <c r="BD1080" i="1"/>
  <c r="BC1080" i="1"/>
  <c r="BB1080" i="1"/>
  <c r="BA1080" i="1"/>
  <c r="AZ1080" i="1"/>
  <c r="AY1080" i="1"/>
  <c r="BE1080" i="1" s="1" a="1"/>
  <c r="BE1080" i="1" s="1"/>
  <c r="AX1080" i="1"/>
  <c r="M1080" i="1"/>
  <c r="EM1066" i="1"/>
  <c r="DU1066" i="1"/>
  <c r="DN1066" i="1"/>
  <c r="DM1066" i="1"/>
  <c r="DL1066" i="1"/>
  <c r="DK1066" i="1"/>
  <c r="DI1066" i="1"/>
  <c r="DJ1066" i="1" s="1"/>
  <c r="DC1066" i="1"/>
  <c r="CX1066" i="1"/>
  <c r="CN1066" i="1"/>
  <c r="CP1066" i="1" s="1"/>
  <c r="BV1066" i="1"/>
  <c r="BX1066" i="1" s="1"/>
  <c r="BU1066" i="1"/>
  <c r="BN1066" i="1"/>
  <c r="BO1066" i="1" s="1"/>
  <c r="BM1066" i="1"/>
  <c r="BD1066" i="1"/>
  <c r="BC1066" i="1"/>
  <c r="BB1066" i="1"/>
  <c r="BA1066" i="1"/>
  <c r="AZ1066" i="1"/>
  <c r="AY1066" i="1"/>
  <c r="BE1066" i="1" s="1" a="1"/>
  <c r="BE1066" i="1" s="1"/>
  <c r="AX1066" i="1"/>
  <c r="M1066" i="1"/>
  <c r="EM1065" i="1"/>
  <c r="DU1065" i="1"/>
  <c r="DN1065" i="1"/>
  <c r="DM1065" i="1"/>
  <c r="DL1065" i="1"/>
  <c r="DK1065" i="1"/>
  <c r="DI1065" i="1"/>
  <c r="DJ1065" i="1" s="1"/>
  <c r="DC1065" i="1"/>
  <c r="CX1065" i="1"/>
  <c r="CN1065" i="1"/>
  <c r="CS1065" i="1" s="1"/>
  <c r="BV1065" i="1"/>
  <c r="BX1065" i="1" s="1"/>
  <c r="BU1065" i="1"/>
  <c r="BN1065" i="1"/>
  <c r="BO1065" i="1" s="1"/>
  <c r="BM1065" i="1"/>
  <c r="BD1065" i="1"/>
  <c r="BC1065" i="1"/>
  <c r="BB1065" i="1"/>
  <c r="BA1065" i="1"/>
  <c r="AZ1065" i="1"/>
  <c r="AY1065" i="1"/>
  <c r="BE1065" i="1" s="1" a="1"/>
  <c r="BE1065" i="1" s="1"/>
  <c r="AX1065" i="1"/>
  <c r="M1065" i="1"/>
  <c r="EM1064" i="1"/>
  <c r="DU1064" i="1"/>
  <c r="DN1064" i="1"/>
  <c r="DM1064" i="1"/>
  <c r="DL1064" i="1"/>
  <c r="DK1064" i="1"/>
  <c r="DI1064" i="1"/>
  <c r="DJ1064" i="1" s="1"/>
  <c r="DC1064" i="1"/>
  <c r="CX1064" i="1"/>
  <c r="CN1064" i="1"/>
  <c r="CS1064" i="1" s="1"/>
  <c r="BV1064" i="1"/>
  <c r="BX1064" i="1" s="1"/>
  <c r="BU1064" i="1"/>
  <c r="BN1064" i="1"/>
  <c r="BO1064" i="1" s="1"/>
  <c r="BM1064" i="1"/>
  <c r="BD1064" i="1"/>
  <c r="BC1064" i="1"/>
  <c r="BB1064" i="1"/>
  <c r="BA1064" i="1"/>
  <c r="AZ1064" i="1"/>
  <c r="AY1064" i="1"/>
  <c r="BE1064" i="1" s="1" a="1"/>
  <c r="BE1064" i="1" s="1"/>
  <c r="AX1064" i="1"/>
  <c r="M1064" i="1"/>
  <c r="EM1063" i="1"/>
  <c r="DU1063" i="1"/>
  <c r="DN1063" i="1"/>
  <c r="DM1063" i="1"/>
  <c r="DL1063" i="1"/>
  <c r="DK1063" i="1"/>
  <c r="DI1063" i="1"/>
  <c r="DJ1063" i="1" s="1"/>
  <c r="DC1063" i="1"/>
  <c r="CX1063" i="1"/>
  <c r="CN1063" i="1"/>
  <c r="BV1063" i="1"/>
  <c r="BX1063" i="1" s="1"/>
  <c r="BU1063" i="1"/>
  <c r="BN1063" i="1"/>
  <c r="BO1063" i="1" s="1"/>
  <c r="BM1063" i="1"/>
  <c r="BD1063" i="1"/>
  <c r="BC1063" i="1"/>
  <c r="BB1063" i="1"/>
  <c r="BA1063" i="1"/>
  <c r="AZ1063" i="1"/>
  <c r="AY1063" i="1"/>
  <c r="BE1063" i="1" s="1" a="1"/>
  <c r="BE1063" i="1" s="1"/>
  <c r="AX1063" i="1"/>
  <c r="M1063" i="1"/>
  <c r="EM1051" i="1"/>
  <c r="DT1051" i="1"/>
  <c r="DN1051" i="1"/>
  <c r="DM1051" i="1"/>
  <c r="DL1051" i="1"/>
  <c r="DK1051" i="1"/>
  <c r="DJ1051" i="1"/>
  <c r="DC1051" i="1"/>
  <c r="CX1051" i="1"/>
  <c r="CN1051" i="1"/>
  <c r="BT1051" i="1"/>
  <c r="BS1051" i="1"/>
  <c r="BN1051" i="1"/>
  <c r="BO1051" i="1" s="1"/>
  <c r="BD1051" i="1"/>
  <c r="BC1051" i="1"/>
  <c r="BB1051" i="1"/>
  <c r="BA1051" i="1"/>
  <c r="AZ1051" i="1"/>
  <c r="AY1051" i="1"/>
  <c r="BE1051" i="1" s="1" a="1"/>
  <c r="BE1051" i="1" s="1"/>
  <c r="AX1051" i="1"/>
  <c r="M1051" i="1"/>
  <c r="EM1050" i="1"/>
  <c r="DT1050" i="1"/>
  <c r="DN1050" i="1"/>
  <c r="DM1050" i="1"/>
  <c r="DL1050" i="1"/>
  <c r="DK1050" i="1"/>
  <c r="DJ1050" i="1"/>
  <c r="DC1050" i="1"/>
  <c r="CX1050" i="1"/>
  <c r="CN1050" i="1"/>
  <c r="BT1050" i="1"/>
  <c r="BS1050" i="1"/>
  <c r="BN1050" i="1"/>
  <c r="BO1050" i="1" s="1"/>
  <c r="BD1050" i="1"/>
  <c r="BC1050" i="1"/>
  <c r="BB1050" i="1"/>
  <c r="BA1050" i="1"/>
  <c r="AZ1050" i="1"/>
  <c r="AY1050" i="1"/>
  <c r="BE1050" i="1" s="1" a="1"/>
  <c r="BE1050" i="1" s="1"/>
  <c r="AX1050" i="1"/>
  <c r="M1050" i="1"/>
  <c r="EM1049" i="1"/>
  <c r="DT1049" i="1"/>
  <c r="DN1049" i="1"/>
  <c r="DM1049" i="1"/>
  <c r="DL1049" i="1"/>
  <c r="DK1049" i="1"/>
  <c r="DJ1049" i="1"/>
  <c r="DC1049" i="1"/>
  <c r="CX1049" i="1"/>
  <c r="CN1049" i="1"/>
  <c r="BT1049" i="1"/>
  <c r="BS1049" i="1"/>
  <c r="BN1049" i="1"/>
  <c r="BO1049" i="1" s="1"/>
  <c r="BD1049" i="1"/>
  <c r="BC1049" i="1"/>
  <c r="BB1049" i="1"/>
  <c r="BA1049" i="1"/>
  <c r="AZ1049" i="1"/>
  <c r="AY1049" i="1"/>
  <c r="BE1049" i="1" s="1" a="1"/>
  <c r="BE1049" i="1" s="1"/>
  <c r="AX1049" i="1"/>
  <c r="M1049" i="1"/>
  <c r="EM1047" i="1"/>
  <c r="DT1047" i="1"/>
  <c r="DN1047" i="1"/>
  <c r="DM1047" i="1"/>
  <c r="DL1047" i="1"/>
  <c r="DK1047" i="1"/>
  <c r="DJ1047" i="1"/>
  <c r="DC1047" i="1"/>
  <c r="CX1047" i="1"/>
  <c r="CN1047" i="1"/>
  <c r="CS1047" i="1" s="1"/>
  <c r="BV1047" i="1"/>
  <c r="BN1047" i="1"/>
  <c r="BO1047" i="1" s="1"/>
  <c r="BD1047" i="1"/>
  <c r="BC1047" i="1"/>
  <c r="BB1047" i="1"/>
  <c r="BA1047" i="1"/>
  <c r="AZ1047" i="1"/>
  <c r="AY1047" i="1"/>
  <c r="BE1047" i="1" s="1" a="1"/>
  <c r="BE1047" i="1" s="1"/>
  <c r="AX1047" i="1"/>
  <c r="M1047" i="1"/>
  <c r="EM1046" i="1"/>
  <c r="DT1046" i="1"/>
  <c r="DN1046" i="1"/>
  <c r="DM1046" i="1"/>
  <c r="DL1046" i="1"/>
  <c r="DK1046" i="1"/>
  <c r="DJ1046" i="1"/>
  <c r="DC1046" i="1"/>
  <c r="CX1046" i="1"/>
  <c r="CN1046" i="1"/>
  <c r="CT1046" i="1" s="1"/>
  <c r="BV1046" i="1"/>
  <c r="BN1046" i="1"/>
  <c r="BO1046" i="1" s="1"/>
  <c r="BD1046" i="1"/>
  <c r="BC1046" i="1"/>
  <c r="BB1046" i="1"/>
  <c r="BA1046" i="1"/>
  <c r="AZ1046" i="1"/>
  <c r="AY1046" i="1"/>
  <c r="BE1046" i="1" s="1" a="1"/>
  <c r="BE1046" i="1" s="1"/>
  <c r="AX1046" i="1"/>
  <c r="M1046" i="1"/>
  <c r="EM1045" i="1"/>
  <c r="DT1045" i="1"/>
  <c r="DN1045" i="1"/>
  <c r="DM1045" i="1"/>
  <c r="DL1045" i="1"/>
  <c r="DK1045" i="1"/>
  <c r="DJ1045" i="1"/>
  <c r="DC1045" i="1"/>
  <c r="CX1045" i="1"/>
  <c r="CN1045" i="1"/>
  <c r="CT1045" i="1" s="1"/>
  <c r="BV1045" i="1"/>
  <c r="BN1045" i="1"/>
  <c r="BO1045" i="1" s="1"/>
  <c r="BY1045" i="1" s="1"/>
  <c r="BD1045" i="1"/>
  <c r="BC1045" i="1"/>
  <c r="BB1045" i="1"/>
  <c r="BA1045" i="1"/>
  <c r="AZ1045" i="1"/>
  <c r="AY1045" i="1"/>
  <c r="BE1045" i="1" s="1" a="1"/>
  <c r="BE1045" i="1" s="1"/>
  <c r="AX1045" i="1"/>
  <c r="M1045" i="1"/>
  <c r="EM1044" i="1"/>
  <c r="DT1044" i="1"/>
  <c r="DN1044" i="1"/>
  <c r="DM1044" i="1"/>
  <c r="DL1044" i="1"/>
  <c r="DK1044" i="1"/>
  <c r="DJ1044" i="1"/>
  <c r="DC1044" i="1"/>
  <c r="CX1044" i="1"/>
  <c r="CN1044" i="1"/>
  <c r="CR1044" i="1" s="1"/>
  <c r="BV1044" i="1"/>
  <c r="BN1044" i="1"/>
  <c r="BO1044" i="1" s="1"/>
  <c r="BD1044" i="1"/>
  <c r="BC1044" i="1"/>
  <c r="BB1044" i="1"/>
  <c r="BA1044" i="1"/>
  <c r="AZ1044" i="1"/>
  <c r="AY1044" i="1"/>
  <c r="BE1044" i="1" s="1" a="1"/>
  <c r="BE1044" i="1" s="1"/>
  <c r="AX1044" i="1"/>
  <c r="M1044" i="1"/>
  <c r="EM1043" i="1"/>
  <c r="DT1043" i="1"/>
  <c r="DN1043" i="1"/>
  <c r="DM1043" i="1"/>
  <c r="DL1043" i="1"/>
  <c r="DK1043" i="1"/>
  <c r="DJ1043" i="1"/>
  <c r="DC1043" i="1"/>
  <c r="CX1043" i="1"/>
  <c r="CN1043" i="1"/>
  <c r="BV1043" i="1"/>
  <c r="BX1043" i="1" s="1"/>
  <c r="BN1043" i="1"/>
  <c r="BO1043" i="1" s="1"/>
  <c r="BD1043" i="1"/>
  <c r="BC1043" i="1"/>
  <c r="BB1043" i="1"/>
  <c r="BA1043" i="1"/>
  <c r="AZ1043" i="1"/>
  <c r="AY1043" i="1"/>
  <c r="BE1043" i="1" s="1" a="1"/>
  <c r="BE1043" i="1" s="1"/>
  <c r="AX1043" i="1"/>
  <c r="M1043" i="1"/>
  <c r="EM1042" i="1"/>
  <c r="DT1042" i="1"/>
  <c r="DN1042" i="1"/>
  <c r="DM1042" i="1"/>
  <c r="DL1042" i="1"/>
  <c r="DK1042" i="1"/>
  <c r="DJ1042" i="1"/>
  <c r="DC1042" i="1"/>
  <c r="CX1042" i="1"/>
  <c r="CN1042" i="1"/>
  <c r="CS1042" i="1" s="1"/>
  <c r="BV1042" i="1"/>
  <c r="BX1042" i="1" s="1"/>
  <c r="BN1042" i="1"/>
  <c r="BO1042" i="1" s="1"/>
  <c r="BD1042" i="1"/>
  <c r="BC1042" i="1"/>
  <c r="BB1042" i="1"/>
  <c r="BA1042" i="1"/>
  <c r="AZ1042" i="1"/>
  <c r="AY1042" i="1"/>
  <c r="BE1042" i="1" s="1" a="1"/>
  <c r="BE1042" i="1" s="1"/>
  <c r="AX1042" i="1"/>
  <c r="M1042" i="1"/>
  <c r="EM1041" i="1"/>
  <c r="DT1041" i="1"/>
  <c r="DN1041" i="1"/>
  <c r="DM1041" i="1"/>
  <c r="DL1041" i="1"/>
  <c r="DK1041" i="1"/>
  <c r="DJ1041" i="1"/>
  <c r="DC1041" i="1"/>
  <c r="CX1041" i="1"/>
  <c r="CN1041" i="1"/>
  <c r="CR1041" i="1" s="1"/>
  <c r="BV1041" i="1"/>
  <c r="BX1041" i="1" s="1"/>
  <c r="BN1041" i="1"/>
  <c r="BO1041" i="1" s="1"/>
  <c r="BD1041" i="1"/>
  <c r="BC1041" i="1"/>
  <c r="BB1041" i="1"/>
  <c r="BA1041" i="1"/>
  <c r="AZ1041" i="1"/>
  <c r="AY1041" i="1"/>
  <c r="BE1041" i="1" s="1" a="1"/>
  <c r="BE1041" i="1" s="1"/>
  <c r="AX1041" i="1"/>
  <c r="M1041" i="1"/>
  <c r="EM1013" i="1"/>
  <c r="DU1013" i="1"/>
  <c r="DT1013" i="1"/>
  <c r="DN1013" i="1"/>
  <c r="DM1013" i="1"/>
  <c r="DL1013" i="1"/>
  <c r="DK1013" i="1"/>
  <c r="DI1013" i="1"/>
  <c r="DJ1013" i="1" s="1"/>
  <c r="DC1013" i="1"/>
  <c r="CX1013" i="1"/>
  <c r="CN1013" i="1"/>
  <c r="CS1013" i="1" s="1"/>
  <c r="BV1013" i="1"/>
  <c r="BX1013" i="1" s="1"/>
  <c r="BN1013" i="1"/>
  <c r="BO1013" i="1" s="1"/>
  <c r="BD1013" i="1"/>
  <c r="BC1013" i="1"/>
  <c r="BB1013" i="1"/>
  <c r="BA1013" i="1"/>
  <c r="AZ1013" i="1"/>
  <c r="AY1013" i="1"/>
  <c r="BE1013" i="1" s="1" a="1"/>
  <c r="BE1013" i="1" s="1"/>
  <c r="AX1013" i="1"/>
  <c r="M1013" i="1"/>
  <c r="EM1005" i="1"/>
  <c r="DU1005" i="1"/>
  <c r="DT1005" i="1"/>
  <c r="DN1005" i="1"/>
  <c r="DM1005" i="1"/>
  <c r="DL1005" i="1"/>
  <c r="DK1005" i="1"/>
  <c r="DI1005" i="1"/>
  <c r="DJ1005" i="1" s="1"/>
  <c r="DC1005" i="1"/>
  <c r="CX1005" i="1"/>
  <c r="CN1005" i="1"/>
  <c r="BV1005" i="1"/>
  <c r="BX1005" i="1" s="1"/>
  <c r="BU1005" i="1"/>
  <c r="BN1005" i="1"/>
  <c r="BO1005" i="1" s="1"/>
  <c r="BM1005" i="1"/>
  <c r="BD1005" i="1"/>
  <c r="BC1005" i="1"/>
  <c r="BB1005" i="1"/>
  <c r="BA1005" i="1"/>
  <c r="AZ1005" i="1"/>
  <c r="AY1005" i="1"/>
  <c r="BE1005" i="1" s="1" a="1"/>
  <c r="BE1005" i="1" s="1"/>
  <c r="AX1005" i="1"/>
  <c r="M1005" i="1"/>
  <c r="EM1003" i="1"/>
  <c r="DU1003" i="1"/>
  <c r="DT1003" i="1"/>
  <c r="DN1003" i="1"/>
  <c r="DM1003" i="1"/>
  <c r="DL1003" i="1"/>
  <c r="DK1003" i="1"/>
  <c r="DI1003" i="1"/>
  <c r="DJ1003" i="1" s="1"/>
  <c r="DC1003" i="1"/>
  <c r="CX1003" i="1"/>
  <c r="CN1003" i="1"/>
  <c r="CP1003" i="1" s="1"/>
  <c r="BV1003" i="1"/>
  <c r="BX1003" i="1" s="1"/>
  <c r="BU1003" i="1"/>
  <c r="BN1003" i="1"/>
  <c r="BO1003" i="1" s="1"/>
  <c r="BM1003" i="1"/>
  <c r="BD1003" i="1"/>
  <c r="BC1003" i="1"/>
  <c r="BB1003" i="1"/>
  <c r="BA1003" i="1"/>
  <c r="AZ1003" i="1"/>
  <c r="AY1003" i="1"/>
  <c r="BE1003" i="1" s="1" a="1"/>
  <c r="BE1003" i="1" s="1"/>
  <c r="AX1003" i="1"/>
  <c r="M1003" i="1"/>
  <c r="EM1004" i="1"/>
  <c r="DU1004" i="1"/>
  <c r="DT1004" i="1"/>
  <c r="DN1004" i="1"/>
  <c r="DM1004" i="1"/>
  <c r="DL1004" i="1"/>
  <c r="DK1004" i="1"/>
  <c r="DI1004" i="1"/>
  <c r="DJ1004" i="1" s="1"/>
  <c r="DC1004" i="1"/>
  <c r="CX1004" i="1"/>
  <c r="CN1004" i="1"/>
  <c r="BV1004" i="1"/>
  <c r="BX1004" i="1" s="1"/>
  <c r="BU1004" i="1"/>
  <c r="BN1004" i="1"/>
  <c r="BO1004" i="1" s="1"/>
  <c r="BM1004" i="1"/>
  <c r="BD1004" i="1"/>
  <c r="BC1004" i="1"/>
  <c r="BB1004" i="1"/>
  <c r="BA1004" i="1"/>
  <c r="AZ1004" i="1"/>
  <c r="AY1004" i="1"/>
  <c r="BE1004" i="1" s="1" a="1"/>
  <c r="BE1004" i="1" s="1"/>
  <c r="AX1004" i="1"/>
  <c r="M1004" i="1"/>
  <c r="EM994" i="1"/>
  <c r="DU994" i="1"/>
  <c r="DT994" i="1"/>
  <c r="DN994" i="1"/>
  <c r="DM994" i="1"/>
  <c r="DL994" i="1"/>
  <c r="DK994" i="1"/>
  <c r="DI994" i="1"/>
  <c r="DJ994" i="1" s="1"/>
  <c r="DB994" i="1"/>
  <c r="DC994" i="1" s="1"/>
  <c r="CX994" i="1"/>
  <c r="CN994" i="1"/>
  <c r="CO994" i="1" s="1"/>
  <c r="BV994" i="1"/>
  <c r="BX994" i="1" s="1"/>
  <c r="BY994" i="1" s="1"/>
  <c r="BU994" i="1"/>
  <c r="BD994" i="1"/>
  <c r="BC994" i="1"/>
  <c r="BB994" i="1"/>
  <c r="BA994" i="1"/>
  <c r="AZ994" i="1"/>
  <c r="AY994" i="1"/>
  <c r="BE994" i="1" s="1" a="1"/>
  <c r="BE994" i="1" s="1"/>
  <c r="AX994" i="1"/>
  <c r="M994" i="1"/>
  <c r="EM993" i="1"/>
  <c r="DU993" i="1"/>
  <c r="DT993" i="1"/>
  <c r="DN993" i="1"/>
  <c r="DM993" i="1"/>
  <c r="DL993" i="1"/>
  <c r="DK993" i="1"/>
  <c r="DI993" i="1"/>
  <c r="DJ993" i="1" s="1"/>
  <c r="DB993" i="1"/>
  <c r="DC993" i="1" s="1"/>
  <c r="CX993" i="1"/>
  <c r="CN993" i="1"/>
  <c r="CO993" i="1" s="1"/>
  <c r="BV993" i="1"/>
  <c r="BX993" i="1" s="1"/>
  <c r="BU993" i="1"/>
  <c r="BD993" i="1"/>
  <c r="BC993" i="1"/>
  <c r="BB993" i="1"/>
  <c r="BA993" i="1"/>
  <c r="AZ993" i="1"/>
  <c r="AY993" i="1"/>
  <c r="BE993" i="1" s="1" a="1"/>
  <c r="BE993" i="1" s="1"/>
  <c r="AX993" i="1"/>
  <c r="M993" i="1"/>
  <c r="EM992" i="1"/>
  <c r="DU992" i="1"/>
  <c r="DT992" i="1"/>
  <c r="DN992" i="1"/>
  <c r="DM992" i="1"/>
  <c r="DL992" i="1"/>
  <c r="DK992" i="1"/>
  <c r="DI992" i="1"/>
  <c r="DJ992" i="1" s="1"/>
  <c r="DB992" i="1"/>
  <c r="DC992" i="1" s="1"/>
  <c r="CX992" i="1"/>
  <c r="CN992" i="1"/>
  <c r="CO992" i="1" s="1"/>
  <c r="BV992" i="1"/>
  <c r="BX992" i="1" s="1"/>
  <c r="BU992" i="1"/>
  <c r="BD992" i="1"/>
  <c r="BC992" i="1"/>
  <c r="BB992" i="1"/>
  <c r="BA992" i="1"/>
  <c r="AZ992" i="1"/>
  <c r="AY992" i="1"/>
  <c r="BE992" i="1" s="1" a="1"/>
  <c r="BE992" i="1" s="1"/>
  <c r="AX992" i="1"/>
  <c r="M992" i="1"/>
  <c r="EM991" i="1"/>
  <c r="DU991" i="1"/>
  <c r="DT991" i="1"/>
  <c r="DN991" i="1"/>
  <c r="DM991" i="1"/>
  <c r="DL991" i="1"/>
  <c r="DK991" i="1"/>
  <c r="DI991" i="1"/>
  <c r="DJ991" i="1" s="1"/>
  <c r="DB991" i="1"/>
  <c r="DC991" i="1" s="1"/>
  <c r="CX991" i="1"/>
  <c r="CN991" i="1"/>
  <c r="CS991" i="1" s="1"/>
  <c r="BV991" i="1"/>
  <c r="BX991" i="1" s="1"/>
  <c r="BU991" i="1"/>
  <c r="BD991" i="1"/>
  <c r="BC991" i="1"/>
  <c r="BB991" i="1"/>
  <c r="BA991" i="1"/>
  <c r="AZ991" i="1"/>
  <c r="AY991" i="1"/>
  <c r="BE991" i="1" s="1" a="1"/>
  <c r="BE991" i="1" s="1"/>
  <c r="AX991" i="1"/>
  <c r="M991" i="1"/>
  <c r="EM990" i="1"/>
  <c r="DU990" i="1"/>
  <c r="DT990" i="1"/>
  <c r="DN990" i="1"/>
  <c r="DM990" i="1"/>
  <c r="DL990" i="1"/>
  <c r="DK990" i="1"/>
  <c r="DI990" i="1"/>
  <c r="DJ990" i="1" s="1"/>
  <c r="DB990" i="1"/>
  <c r="DC990" i="1" s="1"/>
  <c r="CX990" i="1"/>
  <c r="CN990" i="1"/>
  <c r="BV990" i="1"/>
  <c r="BX990" i="1" s="1"/>
  <c r="BY990" i="1" s="1"/>
  <c r="BU990" i="1"/>
  <c r="BD990" i="1"/>
  <c r="BC990" i="1"/>
  <c r="BB990" i="1"/>
  <c r="BA990" i="1"/>
  <c r="AZ990" i="1"/>
  <c r="AY990" i="1"/>
  <c r="BE990" i="1" s="1" a="1"/>
  <c r="BE990" i="1" s="1"/>
  <c r="AX990" i="1"/>
  <c r="M990" i="1"/>
  <c r="EM989" i="1"/>
  <c r="DU989" i="1"/>
  <c r="DT989" i="1"/>
  <c r="DN989" i="1"/>
  <c r="DM989" i="1"/>
  <c r="DL989" i="1"/>
  <c r="DK989" i="1"/>
  <c r="DI989" i="1"/>
  <c r="DJ989" i="1" s="1"/>
  <c r="DB989" i="1"/>
  <c r="DC989" i="1" s="1"/>
  <c r="CX989" i="1"/>
  <c r="CN989" i="1"/>
  <c r="CO989" i="1" s="1"/>
  <c r="BV989" i="1"/>
  <c r="BX989" i="1" s="1"/>
  <c r="BU989" i="1"/>
  <c r="BD989" i="1"/>
  <c r="BC989" i="1"/>
  <c r="BB989" i="1"/>
  <c r="BA989" i="1"/>
  <c r="AZ989" i="1"/>
  <c r="AY989" i="1"/>
  <c r="BE989" i="1" s="1" a="1"/>
  <c r="BE989" i="1" s="1"/>
  <c r="AX989" i="1"/>
  <c r="M989" i="1"/>
  <c r="EM985" i="1"/>
  <c r="DU985" i="1"/>
  <c r="DT985" i="1"/>
  <c r="DN985" i="1"/>
  <c r="DM985" i="1"/>
  <c r="DL985" i="1"/>
  <c r="DK985" i="1"/>
  <c r="DI985" i="1"/>
  <c r="DJ985" i="1" s="1"/>
  <c r="DB985" i="1"/>
  <c r="DC985" i="1" s="1"/>
  <c r="CX985" i="1"/>
  <c r="BT985" i="1"/>
  <c r="BV985" i="1" s="1"/>
  <c r="BX985" i="1" s="1"/>
  <c r="BL985" i="1"/>
  <c r="BK985" i="1"/>
  <c r="BD985" i="1"/>
  <c r="BC985" i="1"/>
  <c r="BB985" i="1"/>
  <c r="BA985" i="1"/>
  <c r="AZ985" i="1"/>
  <c r="AY985" i="1"/>
  <c r="BE985" i="1" s="1" a="1"/>
  <c r="BE985" i="1" s="1"/>
  <c r="AX985" i="1"/>
  <c r="M985" i="1"/>
  <c r="EM982" i="1"/>
  <c r="DU982" i="1"/>
  <c r="DT982" i="1"/>
  <c r="DN982" i="1"/>
  <c r="DM982" i="1"/>
  <c r="DL982" i="1"/>
  <c r="DK982" i="1"/>
  <c r="DI982" i="1"/>
  <c r="DJ982" i="1" s="1"/>
  <c r="DB982" i="1"/>
  <c r="DC982" i="1" s="1"/>
  <c r="CX982" i="1"/>
  <c r="BS982" i="1"/>
  <c r="BV982" i="1" s="1"/>
  <c r="BX982" i="1" s="1"/>
  <c r="BL982" i="1"/>
  <c r="BK982" i="1"/>
  <c r="BD982" i="1"/>
  <c r="BC982" i="1"/>
  <c r="BB982" i="1"/>
  <c r="BA982" i="1"/>
  <c r="AZ982" i="1"/>
  <c r="AY982" i="1"/>
  <c r="BE982" i="1" s="1" a="1"/>
  <c r="BE982" i="1" s="1"/>
  <c r="AX982" i="1"/>
  <c r="M982" i="1"/>
  <c r="EM972" i="1"/>
  <c r="DU972" i="1"/>
  <c r="DT972" i="1"/>
  <c r="DN972" i="1"/>
  <c r="DM972" i="1"/>
  <c r="DL972" i="1"/>
  <c r="DK972" i="1"/>
  <c r="DI972" i="1"/>
  <c r="DJ972" i="1" s="1"/>
  <c r="DB972" i="1"/>
  <c r="DC972" i="1" s="1"/>
  <c r="CX972" i="1"/>
  <c r="BV972" i="1"/>
  <c r="BX972" i="1" s="1"/>
  <c r="BU972" i="1"/>
  <c r="BL972" i="1"/>
  <c r="CN972" i="1" s="1"/>
  <c r="CP972" i="1" s="1"/>
  <c r="BD972" i="1"/>
  <c r="BC972" i="1"/>
  <c r="BB972" i="1"/>
  <c r="BA972" i="1"/>
  <c r="AZ972" i="1"/>
  <c r="AY972" i="1"/>
  <c r="BE972" i="1" s="1" a="1"/>
  <c r="BE972" i="1" s="1"/>
  <c r="AX972" i="1"/>
  <c r="M972" i="1"/>
  <c r="EM984" i="1"/>
  <c r="DU984" i="1"/>
  <c r="DT984" i="1"/>
  <c r="DN984" i="1"/>
  <c r="DM984" i="1"/>
  <c r="DL984" i="1"/>
  <c r="DK984" i="1"/>
  <c r="DI984" i="1"/>
  <c r="DJ984" i="1" s="1"/>
  <c r="DB984" i="1"/>
  <c r="DC984" i="1" s="1"/>
  <c r="CX984" i="1"/>
  <c r="BV984" i="1"/>
  <c r="BX984" i="1" s="1"/>
  <c r="BU984" i="1"/>
  <c r="BL984" i="1"/>
  <c r="BK984" i="1"/>
  <c r="CN984" i="1" s="1"/>
  <c r="BD984" i="1"/>
  <c r="BC984" i="1"/>
  <c r="BB984" i="1"/>
  <c r="BA984" i="1"/>
  <c r="AZ984" i="1"/>
  <c r="AY984" i="1"/>
  <c r="BE984" i="1" s="1" a="1"/>
  <c r="BE984" i="1" s="1"/>
  <c r="AX984" i="1"/>
  <c r="M984" i="1"/>
  <c r="EM981" i="1"/>
  <c r="DU981" i="1"/>
  <c r="DT981" i="1"/>
  <c r="DN981" i="1"/>
  <c r="DM981" i="1"/>
  <c r="DL981" i="1"/>
  <c r="DK981" i="1"/>
  <c r="DI981" i="1"/>
  <c r="DJ981" i="1" s="1"/>
  <c r="DB981" i="1"/>
  <c r="DC981" i="1" s="1"/>
  <c r="CX981" i="1"/>
  <c r="BV981" i="1"/>
  <c r="BX981" i="1" s="1"/>
  <c r="BU981" i="1"/>
  <c r="BL981" i="1"/>
  <c r="BK981" i="1"/>
  <c r="BD981" i="1"/>
  <c r="BC981" i="1"/>
  <c r="BB981" i="1"/>
  <c r="BA981" i="1"/>
  <c r="AZ981" i="1"/>
  <c r="AY981" i="1"/>
  <c r="BE981" i="1" s="1" a="1"/>
  <c r="BE981" i="1" s="1"/>
  <c r="AX981" i="1"/>
  <c r="M981" i="1"/>
  <c r="EM973" i="1"/>
  <c r="DU973" i="1"/>
  <c r="DT973" i="1"/>
  <c r="DN973" i="1"/>
  <c r="DM973" i="1"/>
  <c r="DL973" i="1"/>
  <c r="DK973" i="1"/>
  <c r="DI973" i="1"/>
  <c r="DJ973" i="1" s="1"/>
  <c r="DB973" i="1"/>
  <c r="DC973" i="1" s="1"/>
  <c r="CX973" i="1"/>
  <c r="BV973" i="1"/>
  <c r="BX973" i="1" s="1"/>
  <c r="BU973" i="1"/>
  <c r="BL973" i="1"/>
  <c r="BN973" i="1" s="1"/>
  <c r="BO973" i="1" s="1"/>
  <c r="BD973" i="1"/>
  <c r="BC973" i="1"/>
  <c r="BB973" i="1"/>
  <c r="BA973" i="1"/>
  <c r="AZ973" i="1"/>
  <c r="AY973" i="1"/>
  <c r="BE973" i="1" s="1" a="1"/>
  <c r="BE973" i="1" s="1"/>
  <c r="AX973" i="1"/>
  <c r="M973" i="1"/>
  <c r="EM974" i="1"/>
  <c r="DU974" i="1"/>
  <c r="DT974" i="1"/>
  <c r="DN974" i="1"/>
  <c r="DM974" i="1"/>
  <c r="DL974" i="1"/>
  <c r="DK974" i="1"/>
  <c r="DI974" i="1"/>
  <c r="DJ974" i="1" s="1"/>
  <c r="DB974" i="1"/>
  <c r="DC974" i="1" s="1"/>
  <c r="CX974" i="1"/>
  <c r="BV974" i="1"/>
  <c r="BX974" i="1" s="1"/>
  <c r="BS974" i="1"/>
  <c r="BL974" i="1"/>
  <c r="BK974" i="1"/>
  <c r="BD974" i="1"/>
  <c r="BC974" i="1"/>
  <c r="BB974" i="1"/>
  <c r="BA974" i="1"/>
  <c r="AZ974" i="1"/>
  <c r="AY974" i="1"/>
  <c r="BE974" i="1" s="1" a="1"/>
  <c r="BE974" i="1" s="1"/>
  <c r="AX974" i="1"/>
  <c r="M974" i="1"/>
  <c r="EM980" i="1"/>
  <c r="DU980" i="1"/>
  <c r="DT980" i="1"/>
  <c r="DN980" i="1"/>
  <c r="DM980" i="1"/>
  <c r="DL980" i="1"/>
  <c r="DK980" i="1"/>
  <c r="DI980" i="1"/>
  <c r="DJ980" i="1" s="1"/>
  <c r="DB980" i="1"/>
  <c r="DC980" i="1" s="1"/>
  <c r="CX980" i="1"/>
  <c r="BS980" i="1"/>
  <c r="BV980" i="1" s="1"/>
  <c r="BX980" i="1" s="1"/>
  <c r="BL980" i="1"/>
  <c r="BK980" i="1"/>
  <c r="BD980" i="1"/>
  <c r="BC980" i="1"/>
  <c r="BB980" i="1"/>
  <c r="BA980" i="1"/>
  <c r="AZ980" i="1"/>
  <c r="AY980" i="1"/>
  <c r="BE980" i="1" s="1" a="1"/>
  <c r="BE980" i="1" s="1"/>
  <c r="AX980" i="1"/>
  <c r="M980" i="1"/>
  <c r="EM978" i="1"/>
  <c r="DU978" i="1"/>
  <c r="DT978" i="1"/>
  <c r="DN978" i="1"/>
  <c r="DM978" i="1"/>
  <c r="DL978" i="1"/>
  <c r="DK978" i="1"/>
  <c r="DI978" i="1"/>
  <c r="DJ978" i="1" s="1"/>
  <c r="DB978" i="1"/>
  <c r="DC978" i="1" s="1"/>
  <c r="CX978" i="1"/>
  <c r="BT978" i="1"/>
  <c r="BL978" i="1"/>
  <c r="BK978" i="1"/>
  <c r="BD978" i="1"/>
  <c r="BC978" i="1"/>
  <c r="BB978" i="1"/>
  <c r="BA978" i="1"/>
  <c r="AZ978" i="1"/>
  <c r="AY978" i="1"/>
  <c r="BE978" i="1" s="1" a="1"/>
  <c r="BE978" i="1" s="1"/>
  <c r="AX978" i="1"/>
  <c r="M978" i="1"/>
  <c r="EM977" i="1"/>
  <c r="DU977" i="1"/>
  <c r="DT977" i="1"/>
  <c r="DN977" i="1"/>
  <c r="DM977" i="1"/>
  <c r="DL977" i="1"/>
  <c r="DK977" i="1"/>
  <c r="DI977" i="1"/>
  <c r="DJ977" i="1" s="1"/>
  <c r="DB977" i="1"/>
  <c r="DC977" i="1" s="1"/>
  <c r="CX977" i="1"/>
  <c r="BS977" i="1"/>
  <c r="BV977" i="1" s="1"/>
  <c r="BX977" i="1" s="1"/>
  <c r="BL977" i="1"/>
  <c r="BK977" i="1"/>
  <c r="BD977" i="1"/>
  <c r="BC977" i="1"/>
  <c r="BB977" i="1"/>
  <c r="BA977" i="1"/>
  <c r="AZ977" i="1"/>
  <c r="AY977" i="1"/>
  <c r="BE977" i="1" s="1" a="1"/>
  <c r="BE977" i="1" s="1"/>
  <c r="AX977" i="1"/>
  <c r="M977" i="1"/>
  <c r="EM983" i="1"/>
  <c r="DU983" i="1"/>
  <c r="DT983" i="1"/>
  <c r="DN983" i="1"/>
  <c r="DM983" i="1"/>
  <c r="DL983" i="1"/>
  <c r="DK983" i="1"/>
  <c r="DI983" i="1"/>
  <c r="DJ983" i="1" s="1"/>
  <c r="DB983" i="1"/>
  <c r="DC983" i="1" s="1"/>
  <c r="CX983" i="1"/>
  <c r="BV983" i="1"/>
  <c r="BX983" i="1" s="1"/>
  <c r="BU983" i="1"/>
  <c r="BL983" i="1"/>
  <c r="BK983" i="1"/>
  <c r="BN983" i="1" s="1"/>
  <c r="BO983" i="1" s="1"/>
  <c r="BD983" i="1"/>
  <c r="BC983" i="1"/>
  <c r="BB983" i="1"/>
  <c r="BA983" i="1"/>
  <c r="AZ983" i="1"/>
  <c r="AY983" i="1"/>
  <c r="BE983" i="1" s="1" a="1"/>
  <c r="BE983" i="1" s="1"/>
  <c r="AX983" i="1"/>
  <c r="M983" i="1"/>
  <c r="EM979" i="1"/>
  <c r="DU979" i="1"/>
  <c r="DT979" i="1"/>
  <c r="DN979" i="1"/>
  <c r="DM979" i="1"/>
  <c r="DL979" i="1"/>
  <c r="DK979" i="1"/>
  <c r="DI979" i="1"/>
  <c r="DJ979" i="1" s="1"/>
  <c r="DB979" i="1"/>
  <c r="DC979" i="1" s="1"/>
  <c r="CX979" i="1"/>
  <c r="BV979" i="1"/>
  <c r="BX979" i="1" s="1"/>
  <c r="BU979" i="1"/>
  <c r="BL979" i="1"/>
  <c r="BK979" i="1"/>
  <c r="BD979" i="1"/>
  <c r="BC979" i="1"/>
  <c r="BB979" i="1"/>
  <c r="BA979" i="1"/>
  <c r="AZ979" i="1"/>
  <c r="AY979" i="1"/>
  <c r="BE979" i="1" s="1" a="1"/>
  <c r="BE979" i="1" s="1"/>
  <c r="AX979" i="1"/>
  <c r="M979" i="1"/>
  <c r="EM975" i="1"/>
  <c r="DU975" i="1"/>
  <c r="DT975" i="1"/>
  <c r="DN975" i="1"/>
  <c r="DM975" i="1"/>
  <c r="DL975" i="1"/>
  <c r="DK975" i="1"/>
  <c r="DI975" i="1"/>
  <c r="DJ975" i="1" s="1"/>
  <c r="DB975" i="1"/>
  <c r="DC975" i="1" s="1"/>
  <c r="CX975" i="1"/>
  <c r="BV975" i="1"/>
  <c r="BX975" i="1" s="1"/>
  <c r="BU975" i="1"/>
  <c r="BL975" i="1"/>
  <c r="CN975" i="1" s="1"/>
  <c r="CR975" i="1" s="1"/>
  <c r="BK975" i="1"/>
  <c r="BD975" i="1"/>
  <c r="BC975" i="1"/>
  <c r="BB975" i="1"/>
  <c r="BA975" i="1"/>
  <c r="AZ975" i="1"/>
  <c r="AY975" i="1"/>
  <c r="BE975" i="1" s="1" a="1"/>
  <c r="BE975" i="1" s="1"/>
  <c r="AX975" i="1"/>
  <c r="M975" i="1"/>
  <c r="EM976" i="1"/>
  <c r="DU976" i="1"/>
  <c r="DT976" i="1"/>
  <c r="DN976" i="1"/>
  <c r="DM976" i="1"/>
  <c r="DL976" i="1"/>
  <c r="DK976" i="1"/>
  <c r="DI976" i="1"/>
  <c r="DJ976" i="1" s="1"/>
  <c r="DB976" i="1"/>
  <c r="DC976" i="1" s="1"/>
  <c r="CX976" i="1"/>
  <c r="BS976" i="1"/>
  <c r="BL976" i="1"/>
  <c r="BK976" i="1"/>
  <c r="BD976" i="1"/>
  <c r="BC976" i="1"/>
  <c r="BB976" i="1"/>
  <c r="BA976" i="1"/>
  <c r="AZ976" i="1"/>
  <c r="AY976" i="1"/>
  <c r="BE976" i="1" s="1" a="1"/>
  <c r="BE976" i="1" s="1"/>
  <c r="AX976" i="1"/>
  <c r="M976" i="1"/>
  <c r="EM967" i="1"/>
  <c r="DU967" i="1"/>
  <c r="DT967" i="1"/>
  <c r="DN967" i="1"/>
  <c r="DM967" i="1"/>
  <c r="DL967" i="1"/>
  <c r="DK967" i="1"/>
  <c r="DI967" i="1"/>
  <c r="DJ967" i="1" s="1"/>
  <c r="DC967" i="1"/>
  <c r="CX967" i="1"/>
  <c r="BT967" i="1"/>
  <c r="BS967" i="1"/>
  <c r="BL967" i="1"/>
  <c r="BK967" i="1"/>
  <c r="BD967" i="1"/>
  <c r="BC967" i="1"/>
  <c r="BB967" i="1"/>
  <c r="BA967" i="1"/>
  <c r="AZ967" i="1"/>
  <c r="AY967" i="1"/>
  <c r="BE967" i="1" s="1" a="1"/>
  <c r="BE967" i="1" s="1"/>
  <c r="AX967" i="1"/>
  <c r="M967" i="1"/>
  <c r="EM966" i="1"/>
  <c r="DU966" i="1"/>
  <c r="DT966" i="1"/>
  <c r="DN966" i="1"/>
  <c r="DM966" i="1"/>
  <c r="DL966" i="1"/>
  <c r="DK966" i="1"/>
  <c r="DI966" i="1"/>
  <c r="DJ966" i="1" s="1"/>
  <c r="DC966" i="1"/>
  <c r="CX966" i="1"/>
  <c r="BT966" i="1"/>
  <c r="BL966" i="1"/>
  <c r="CN966" i="1" s="1"/>
  <c r="BD966" i="1"/>
  <c r="BC966" i="1"/>
  <c r="BB966" i="1"/>
  <c r="BA966" i="1"/>
  <c r="AZ966" i="1"/>
  <c r="AY966" i="1"/>
  <c r="BE966" i="1" s="1" a="1"/>
  <c r="BE966" i="1" s="1"/>
  <c r="AX966" i="1"/>
  <c r="M966" i="1"/>
  <c r="EM965" i="1"/>
  <c r="DU965" i="1"/>
  <c r="DT965" i="1"/>
  <c r="DN965" i="1"/>
  <c r="DM965" i="1"/>
  <c r="DL965" i="1"/>
  <c r="DK965" i="1"/>
  <c r="DI965" i="1"/>
  <c r="DJ965" i="1" s="1"/>
  <c r="DC965" i="1"/>
  <c r="CX965" i="1"/>
  <c r="BT965" i="1"/>
  <c r="BL965" i="1"/>
  <c r="BN965" i="1" s="1"/>
  <c r="BO965" i="1" s="1"/>
  <c r="BD965" i="1"/>
  <c r="BC965" i="1"/>
  <c r="BB965" i="1"/>
  <c r="BA965" i="1"/>
  <c r="AZ965" i="1"/>
  <c r="AY965" i="1"/>
  <c r="BE965" i="1" s="1" a="1"/>
  <c r="BE965" i="1" s="1"/>
  <c r="AX965" i="1"/>
  <c r="M965" i="1"/>
  <c r="EM953" i="1"/>
  <c r="DU953" i="1"/>
  <c r="DT953" i="1"/>
  <c r="DN953" i="1"/>
  <c r="DM953" i="1"/>
  <c r="DL953" i="1"/>
  <c r="DK953" i="1"/>
  <c r="DI953" i="1"/>
  <c r="DJ953" i="1" s="1"/>
  <c r="DC953" i="1"/>
  <c r="CX953" i="1"/>
  <c r="CN953" i="1"/>
  <c r="BV953" i="1"/>
  <c r="BX953" i="1" s="1"/>
  <c r="BU953" i="1"/>
  <c r="BN953" i="1"/>
  <c r="BO953" i="1" s="1"/>
  <c r="BD953" i="1"/>
  <c r="BC953" i="1"/>
  <c r="BB953" i="1"/>
  <c r="BA953" i="1"/>
  <c r="AZ953" i="1"/>
  <c r="AY953" i="1"/>
  <c r="BE953" i="1" s="1" a="1"/>
  <c r="BE953" i="1" s="1"/>
  <c r="AX953" i="1"/>
  <c r="M953" i="1"/>
  <c r="EM952" i="1"/>
  <c r="DU952" i="1"/>
  <c r="DT952" i="1"/>
  <c r="DN952" i="1"/>
  <c r="DM952" i="1"/>
  <c r="DL952" i="1"/>
  <c r="DK952" i="1"/>
  <c r="DI952" i="1"/>
  <c r="DJ952" i="1" s="1"/>
  <c r="DC952" i="1"/>
  <c r="CX952" i="1"/>
  <c r="BV952" i="1"/>
  <c r="BX952" i="1" s="1"/>
  <c r="BU952" i="1"/>
  <c r="BL952" i="1"/>
  <c r="CN952" i="1" s="1"/>
  <c r="CO952" i="1" s="1"/>
  <c r="BD952" i="1"/>
  <c r="BC952" i="1"/>
  <c r="BB952" i="1"/>
  <c r="BA952" i="1"/>
  <c r="AZ952" i="1"/>
  <c r="AY952" i="1"/>
  <c r="BE952" i="1" s="1" a="1"/>
  <c r="BE952" i="1" s="1"/>
  <c r="AX952" i="1"/>
  <c r="M952" i="1"/>
  <c r="EM937" i="1"/>
  <c r="DU937" i="1"/>
  <c r="DT937" i="1"/>
  <c r="DN937" i="1"/>
  <c r="DM937" i="1"/>
  <c r="DL937" i="1"/>
  <c r="DK937" i="1"/>
  <c r="DI937" i="1"/>
  <c r="DJ937" i="1" s="1"/>
  <c r="DC937" i="1"/>
  <c r="CX937" i="1"/>
  <c r="CN937" i="1"/>
  <c r="CS937" i="1" s="1"/>
  <c r="BV937" i="1"/>
  <c r="BX937" i="1" s="1"/>
  <c r="BY937" i="1" s="1"/>
  <c r="BU937" i="1"/>
  <c r="BD937" i="1"/>
  <c r="BC937" i="1"/>
  <c r="BB937" i="1"/>
  <c r="BA937" i="1"/>
  <c r="AZ937" i="1"/>
  <c r="AY937" i="1"/>
  <c r="BE937" i="1" s="1" a="1"/>
  <c r="BE937" i="1" s="1"/>
  <c r="AX937" i="1"/>
  <c r="M937" i="1"/>
  <c r="EM936" i="1"/>
  <c r="DU936" i="1"/>
  <c r="DT936" i="1"/>
  <c r="DN936" i="1"/>
  <c r="DM936" i="1"/>
  <c r="DL936" i="1"/>
  <c r="DK936" i="1"/>
  <c r="DI936" i="1"/>
  <c r="DJ936" i="1" s="1"/>
  <c r="DC936" i="1"/>
  <c r="CX936" i="1"/>
  <c r="CN936" i="1"/>
  <c r="CR936" i="1" s="1"/>
  <c r="BV936" i="1"/>
  <c r="BX936" i="1" s="1"/>
  <c r="BY936" i="1" s="1"/>
  <c r="BU936" i="1"/>
  <c r="BD936" i="1"/>
  <c r="BC936" i="1"/>
  <c r="BB936" i="1"/>
  <c r="BA936" i="1"/>
  <c r="AZ936" i="1"/>
  <c r="AY936" i="1"/>
  <c r="BE936" i="1" s="1" a="1"/>
  <c r="BE936" i="1" s="1"/>
  <c r="AX936" i="1"/>
  <c r="M936" i="1"/>
  <c r="EM935" i="1"/>
  <c r="DU935" i="1"/>
  <c r="DT935" i="1"/>
  <c r="DN935" i="1"/>
  <c r="DM935" i="1"/>
  <c r="DL935" i="1"/>
  <c r="DK935" i="1"/>
  <c r="DI935" i="1"/>
  <c r="DJ935" i="1" s="1"/>
  <c r="DC935" i="1"/>
  <c r="CX935" i="1"/>
  <c r="CN935" i="1"/>
  <c r="CS935" i="1" s="1"/>
  <c r="BV935" i="1"/>
  <c r="BX935" i="1" s="1"/>
  <c r="BY935" i="1" s="1"/>
  <c r="BU935" i="1"/>
  <c r="BD935" i="1"/>
  <c r="BC935" i="1"/>
  <c r="BB935" i="1"/>
  <c r="BA935" i="1"/>
  <c r="AZ935" i="1"/>
  <c r="AY935" i="1"/>
  <c r="BE935" i="1" s="1" a="1"/>
  <c r="BE935" i="1" s="1"/>
  <c r="AX935" i="1"/>
  <c r="M935" i="1"/>
  <c r="EM934" i="1"/>
  <c r="DU934" i="1"/>
  <c r="DT934" i="1"/>
  <c r="DN934" i="1"/>
  <c r="DM934" i="1"/>
  <c r="DL934" i="1"/>
  <c r="DK934" i="1"/>
  <c r="DI934" i="1"/>
  <c r="DJ934" i="1" s="1"/>
  <c r="DC934" i="1"/>
  <c r="CX934" i="1"/>
  <c r="CN934" i="1"/>
  <c r="BV934" i="1"/>
  <c r="BX934" i="1" s="1"/>
  <c r="BY934" i="1" s="1"/>
  <c r="BU934" i="1"/>
  <c r="BD934" i="1"/>
  <c r="BC934" i="1"/>
  <c r="BB934" i="1"/>
  <c r="BA934" i="1"/>
  <c r="AZ934" i="1"/>
  <c r="AY934" i="1"/>
  <c r="BE934" i="1" s="1" a="1"/>
  <c r="BE934" i="1" s="1"/>
  <c r="AX934" i="1"/>
  <c r="M934" i="1"/>
  <c r="EM929" i="1"/>
  <c r="DU929" i="1"/>
  <c r="DT929" i="1"/>
  <c r="DN929" i="1"/>
  <c r="DM929" i="1"/>
  <c r="DL929" i="1"/>
  <c r="DK929" i="1"/>
  <c r="DI929" i="1"/>
  <c r="DJ929" i="1" s="1"/>
  <c r="DC929" i="1"/>
  <c r="CX929" i="1"/>
  <c r="BV929" i="1"/>
  <c r="BX929" i="1" s="1"/>
  <c r="BU929" i="1"/>
  <c r="BL929" i="1"/>
  <c r="BK929" i="1"/>
  <c r="BD929" i="1"/>
  <c r="BC929" i="1"/>
  <c r="BB929" i="1"/>
  <c r="BA929" i="1"/>
  <c r="AZ929" i="1"/>
  <c r="AY929" i="1"/>
  <c r="BE929" i="1" s="1" a="1"/>
  <c r="BE929" i="1" s="1"/>
  <c r="AX929" i="1"/>
  <c r="M929" i="1"/>
  <c r="EM928" i="1"/>
  <c r="DU928" i="1"/>
  <c r="DT928" i="1"/>
  <c r="DN928" i="1"/>
  <c r="DM928" i="1"/>
  <c r="DL928" i="1"/>
  <c r="DK928" i="1"/>
  <c r="DI928" i="1"/>
  <c r="DJ928" i="1" s="1"/>
  <c r="DC928" i="1"/>
  <c r="CX928" i="1"/>
  <c r="BV928" i="1"/>
  <c r="BX928" i="1" s="1"/>
  <c r="BU928" i="1"/>
  <c r="BL928" i="1"/>
  <c r="BK928" i="1"/>
  <c r="CN928" i="1" s="1"/>
  <c r="CS928" i="1" s="1"/>
  <c r="BD928" i="1"/>
  <c r="BC928" i="1"/>
  <c r="BB928" i="1"/>
  <c r="BA928" i="1"/>
  <c r="AZ928" i="1"/>
  <c r="AY928" i="1"/>
  <c r="BE928" i="1" s="1" a="1"/>
  <c r="BE928" i="1" s="1"/>
  <c r="AX928" i="1"/>
  <c r="M928" i="1"/>
  <c r="EM927" i="1"/>
  <c r="DU927" i="1"/>
  <c r="DT927" i="1"/>
  <c r="DN927" i="1"/>
  <c r="DM927" i="1"/>
  <c r="DL927" i="1"/>
  <c r="DK927" i="1"/>
  <c r="DI927" i="1"/>
  <c r="DJ927" i="1" s="1"/>
  <c r="DC927" i="1"/>
  <c r="CX927" i="1"/>
  <c r="BV927" i="1"/>
  <c r="BX927" i="1" s="1"/>
  <c r="BU927" i="1"/>
  <c r="BL927" i="1"/>
  <c r="BK927" i="1"/>
  <c r="BD927" i="1"/>
  <c r="BC927" i="1"/>
  <c r="BB927" i="1"/>
  <c r="BA927" i="1"/>
  <c r="AZ927" i="1"/>
  <c r="AY927" i="1"/>
  <c r="BE927" i="1" s="1" a="1"/>
  <c r="BE927" i="1" s="1"/>
  <c r="AX927" i="1"/>
  <c r="M927" i="1"/>
  <c r="EM926" i="1"/>
  <c r="DU926" i="1"/>
  <c r="DT926" i="1"/>
  <c r="DN926" i="1"/>
  <c r="DM926" i="1"/>
  <c r="DL926" i="1"/>
  <c r="DK926" i="1"/>
  <c r="DI926" i="1"/>
  <c r="DJ926" i="1" s="1"/>
  <c r="DC926" i="1"/>
  <c r="CX926" i="1"/>
  <c r="BV926" i="1"/>
  <c r="BX926" i="1" s="1"/>
  <c r="BU926" i="1"/>
  <c r="BL926" i="1"/>
  <c r="BK926" i="1"/>
  <c r="BD926" i="1"/>
  <c r="BC926" i="1"/>
  <c r="BB926" i="1"/>
  <c r="BA926" i="1"/>
  <c r="AZ926" i="1"/>
  <c r="AY926" i="1"/>
  <c r="BE926" i="1" s="1" a="1"/>
  <c r="BE926" i="1" s="1"/>
  <c r="AX926" i="1"/>
  <c r="M926" i="1"/>
  <c r="EM933" i="1"/>
  <c r="DU933" i="1"/>
  <c r="DT933" i="1"/>
  <c r="DN933" i="1"/>
  <c r="DM933" i="1"/>
  <c r="DL933" i="1"/>
  <c r="DK933" i="1"/>
  <c r="DI933" i="1"/>
  <c r="DJ933" i="1" s="1"/>
  <c r="DC933" i="1"/>
  <c r="CX933" i="1"/>
  <c r="CN933" i="1"/>
  <c r="BV933" i="1"/>
  <c r="BX933" i="1" s="1"/>
  <c r="BU933" i="1"/>
  <c r="BD933" i="1"/>
  <c r="BC933" i="1"/>
  <c r="BB933" i="1"/>
  <c r="BA933" i="1"/>
  <c r="AZ933" i="1"/>
  <c r="AY933" i="1"/>
  <c r="BE933" i="1" s="1" a="1"/>
  <c r="BE933" i="1" s="1"/>
  <c r="AX933" i="1"/>
  <c r="M933" i="1"/>
  <c r="EM932" i="1"/>
  <c r="DU932" i="1"/>
  <c r="DT932" i="1"/>
  <c r="DN932" i="1"/>
  <c r="DM932" i="1"/>
  <c r="DL932" i="1"/>
  <c r="DK932" i="1"/>
  <c r="DI932" i="1"/>
  <c r="DJ932" i="1" s="1"/>
  <c r="DC932" i="1"/>
  <c r="CX932" i="1"/>
  <c r="CN932" i="1"/>
  <c r="CS932" i="1" s="1"/>
  <c r="BV932" i="1"/>
  <c r="BX932" i="1" s="1"/>
  <c r="BY932" i="1" s="1"/>
  <c r="BU932" i="1"/>
  <c r="BD932" i="1"/>
  <c r="BC932" i="1"/>
  <c r="BB932" i="1"/>
  <c r="BA932" i="1"/>
  <c r="AZ932" i="1"/>
  <c r="AY932" i="1"/>
  <c r="BE932" i="1" s="1" a="1"/>
  <c r="BE932" i="1" s="1"/>
  <c r="AX932" i="1"/>
  <c r="M932" i="1"/>
  <c r="EM931" i="1"/>
  <c r="DU931" i="1"/>
  <c r="DT931" i="1"/>
  <c r="DN931" i="1"/>
  <c r="DM931" i="1"/>
  <c r="DL931" i="1"/>
  <c r="DK931" i="1"/>
  <c r="DI931" i="1"/>
  <c r="DJ931" i="1" s="1"/>
  <c r="DC931" i="1"/>
  <c r="CX931" i="1"/>
  <c r="CN931" i="1"/>
  <c r="CR931" i="1" s="1"/>
  <c r="BV931" i="1"/>
  <c r="BX931" i="1" s="1"/>
  <c r="BY931" i="1" s="1"/>
  <c r="BU931" i="1"/>
  <c r="BD931" i="1"/>
  <c r="BC931" i="1"/>
  <c r="BB931" i="1"/>
  <c r="BA931" i="1"/>
  <c r="AZ931" i="1"/>
  <c r="AY931" i="1"/>
  <c r="BE931" i="1" s="1" a="1"/>
  <c r="BE931" i="1" s="1"/>
  <c r="AX931" i="1"/>
  <c r="M931" i="1"/>
  <c r="EM930" i="1"/>
  <c r="DU930" i="1"/>
  <c r="DT930" i="1"/>
  <c r="DN930" i="1"/>
  <c r="DM930" i="1"/>
  <c r="DL930" i="1"/>
  <c r="DK930" i="1"/>
  <c r="DI930" i="1"/>
  <c r="DJ930" i="1" s="1"/>
  <c r="DC930" i="1"/>
  <c r="CX930" i="1"/>
  <c r="CN930" i="1"/>
  <c r="BV930" i="1"/>
  <c r="BX930" i="1" s="1"/>
  <c r="BY930" i="1" s="1"/>
  <c r="BU930" i="1"/>
  <c r="BD930" i="1"/>
  <c r="BC930" i="1"/>
  <c r="BB930" i="1"/>
  <c r="BA930" i="1"/>
  <c r="AZ930" i="1"/>
  <c r="AY930" i="1"/>
  <c r="BE930" i="1" s="1" a="1"/>
  <c r="BE930" i="1" s="1"/>
  <c r="AX930" i="1"/>
  <c r="M930" i="1"/>
  <c r="EM900" i="1"/>
  <c r="DT900" i="1"/>
  <c r="DN900" i="1"/>
  <c r="DM900" i="1"/>
  <c r="DL900" i="1"/>
  <c r="DK900" i="1"/>
  <c r="DJ900" i="1"/>
  <c r="DC900" i="1"/>
  <c r="CX900" i="1"/>
  <c r="CN900" i="1"/>
  <c r="BV900" i="1"/>
  <c r="BX900" i="1" s="1"/>
  <c r="BN900" i="1"/>
  <c r="BO900" i="1" s="1"/>
  <c r="BD900" i="1"/>
  <c r="BC900" i="1"/>
  <c r="BB900" i="1"/>
  <c r="BA900" i="1"/>
  <c r="AZ900" i="1"/>
  <c r="AY900" i="1"/>
  <c r="BE900" i="1" s="1" a="1"/>
  <c r="BE900" i="1" s="1"/>
  <c r="AX900" i="1"/>
  <c r="M900" i="1"/>
  <c r="EM889" i="1"/>
  <c r="DT889" i="1"/>
  <c r="DN889" i="1"/>
  <c r="DM889" i="1"/>
  <c r="DL889" i="1"/>
  <c r="DK889" i="1"/>
  <c r="DJ889" i="1"/>
  <c r="DC889" i="1"/>
  <c r="CX889" i="1"/>
  <c r="CN889" i="1"/>
  <c r="BV889" i="1"/>
  <c r="BX889" i="1" s="1"/>
  <c r="BN889" i="1"/>
  <c r="BO889" i="1" s="1"/>
  <c r="BD889" i="1"/>
  <c r="BC889" i="1"/>
  <c r="BB889" i="1"/>
  <c r="BA889" i="1"/>
  <c r="AZ889" i="1"/>
  <c r="AY889" i="1"/>
  <c r="BE889" i="1" s="1" a="1"/>
  <c r="BE889" i="1" s="1"/>
  <c r="AX889" i="1"/>
  <c r="M889" i="1"/>
  <c r="EM887" i="1"/>
  <c r="DT887" i="1"/>
  <c r="DN887" i="1"/>
  <c r="DM887" i="1"/>
  <c r="DL887" i="1"/>
  <c r="DK887" i="1"/>
  <c r="DJ887" i="1"/>
  <c r="DC887" i="1"/>
  <c r="CX887" i="1"/>
  <c r="CN887" i="1"/>
  <c r="CO887" i="1" s="1"/>
  <c r="BV887" i="1"/>
  <c r="BX887" i="1" s="1"/>
  <c r="BN887" i="1"/>
  <c r="BO887" i="1" s="1"/>
  <c r="BD887" i="1"/>
  <c r="BC887" i="1"/>
  <c r="BB887" i="1"/>
  <c r="BA887" i="1"/>
  <c r="AZ887" i="1"/>
  <c r="AY887" i="1"/>
  <c r="BE887" i="1" s="1" a="1"/>
  <c r="BE887" i="1" s="1"/>
  <c r="AX887" i="1"/>
  <c r="M887" i="1"/>
  <c r="EM895" i="1"/>
  <c r="DT895" i="1"/>
  <c r="DN895" i="1"/>
  <c r="DM895" i="1"/>
  <c r="DL895" i="1"/>
  <c r="DK895" i="1"/>
  <c r="DJ895" i="1"/>
  <c r="DC895" i="1"/>
  <c r="CX895" i="1"/>
  <c r="CN895" i="1"/>
  <c r="BV895" i="1"/>
  <c r="BX895" i="1" s="1"/>
  <c r="BN895" i="1"/>
  <c r="BO895" i="1" s="1"/>
  <c r="BD895" i="1"/>
  <c r="BC895" i="1"/>
  <c r="BB895" i="1"/>
  <c r="BA895" i="1"/>
  <c r="AZ895" i="1"/>
  <c r="AY895" i="1"/>
  <c r="BE895" i="1" s="1" a="1"/>
  <c r="BE895" i="1" s="1"/>
  <c r="AX895" i="1"/>
  <c r="M895" i="1"/>
  <c r="EM888" i="1"/>
  <c r="DT888" i="1"/>
  <c r="DN888" i="1"/>
  <c r="DM888" i="1"/>
  <c r="DL888" i="1"/>
  <c r="DK888" i="1"/>
  <c r="DJ888" i="1"/>
  <c r="DC888" i="1"/>
  <c r="CX888" i="1"/>
  <c r="CN888" i="1"/>
  <c r="CR888" i="1" s="1"/>
  <c r="BV888" i="1"/>
  <c r="BX888" i="1" s="1"/>
  <c r="BN888" i="1"/>
  <c r="BO888" i="1" s="1"/>
  <c r="BD888" i="1"/>
  <c r="BC888" i="1"/>
  <c r="BB888" i="1"/>
  <c r="BA888" i="1"/>
  <c r="AZ888" i="1"/>
  <c r="AY888" i="1"/>
  <c r="BE888" i="1" s="1" a="1"/>
  <c r="BE888" i="1" s="1"/>
  <c r="AX888" i="1"/>
  <c r="M888" i="1"/>
  <c r="EM898" i="1"/>
  <c r="DT898" i="1"/>
  <c r="DN898" i="1"/>
  <c r="DM898" i="1"/>
  <c r="DL898" i="1"/>
  <c r="DK898" i="1"/>
  <c r="DJ898" i="1"/>
  <c r="DC898" i="1"/>
  <c r="CX898" i="1"/>
  <c r="CN898" i="1"/>
  <c r="CS898" i="1" s="1"/>
  <c r="BV898" i="1"/>
  <c r="BX898" i="1" s="1"/>
  <c r="BN898" i="1"/>
  <c r="BO898" i="1" s="1"/>
  <c r="BD898" i="1"/>
  <c r="BC898" i="1"/>
  <c r="BB898" i="1"/>
  <c r="BA898" i="1"/>
  <c r="AZ898" i="1"/>
  <c r="AY898" i="1"/>
  <c r="BE898" i="1" s="1" a="1"/>
  <c r="BE898" i="1" s="1"/>
  <c r="AX898" i="1"/>
  <c r="M898" i="1"/>
  <c r="EM894" i="1"/>
  <c r="DT894" i="1"/>
  <c r="DN894" i="1"/>
  <c r="DM894" i="1"/>
  <c r="DL894" i="1"/>
  <c r="DK894" i="1"/>
  <c r="DJ894" i="1"/>
  <c r="DC894" i="1"/>
  <c r="CX894" i="1"/>
  <c r="CN894" i="1"/>
  <c r="CP894" i="1" s="1"/>
  <c r="BV894" i="1"/>
  <c r="BX894" i="1" s="1"/>
  <c r="BN894" i="1"/>
  <c r="BO894" i="1" s="1"/>
  <c r="BD894" i="1"/>
  <c r="BC894" i="1"/>
  <c r="BB894" i="1"/>
  <c r="BA894" i="1"/>
  <c r="AZ894" i="1"/>
  <c r="AY894" i="1"/>
  <c r="BE894" i="1" s="1" a="1"/>
  <c r="BE894" i="1" s="1"/>
  <c r="AX894" i="1"/>
  <c r="M894" i="1"/>
  <c r="EM893" i="1"/>
  <c r="DT893" i="1"/>
  <c r="DN893" i="1"/>
  <c r="DM893" i="1"/>
  <c r="DL893" i="1"/>
  <c r="DK893" i="1"/>
  <c r="DJ893" i="1"/>
  <c r="DC893" i="1"/>
  <c r="CX893" i="1"/>
  <c r="CN893" i="1"/>
  <c r="BV893" i="1"/>
  <c r="BX893" i="1" s="1"/>
  <c r="BN893" i="1"/>
  <c r="BO893" i="1" s="1"/>
  <c r="BD893" i="1"/>
  <c r="BC893" i="1"/>
  <c r="BB893" i="1"/>
  <c r="BA893" i="1"/>
  <c r="AZ893" i="1"/>
  <c r="AY893" i="1"/>
  <c r="BE893" i="1" s="1" a="1"/>
  <c r="BE893" i="1" s="1"/>
  <c r="AX893" i="1"/>
  <c r="M893" i="1"/>
  <c r="EM897" i="1"/>
  <c r="DT897" i="1"/>
  <c r="DN897" i="1"/>
  <c r="DM897" i="1"/>
  <c r="DL897" i="1"/>
  <c r="DK897" i="1"/>
  <c r="DJ897" i="1"/>
  <c r="DC897" i="1"/>
  <c r="CX897" i="1"/>
  <c r="CN897" i="1"/>
  <c r="CR897" i="1" s="1"/>
  <c r="BV897" i="1"/>
  <c r="BX897" i="1" s="1"/>
  <c r="BN897" i="1"/>
  <c r="BO897" i="1" s="1"/>
  <c r="BD897" i="1"/>
  <c r="BC897" i="1"/>
  <c r="BB897" i="1"/>
  <c r="BA897" i="1"/>
  <c r="AZ897" i="1"/>
  <c r="AY897" i="1"/>
  <c r="BE897" i="1" s="1" a="1"/>
  <c r="BE897" i="1" s="1"/>
  <c r="AX897" i="1"/>
  <c r="M897" i="1"/>
  <c r="EM896" i="1"/>
  <c r="DT896" i="1"/>
  <c r="DN896" i="1"/>
  <c r="DM896" i="1"/>
  <c r="DL896" i="1"/>
  <c r="DK896" i="1"/>
  <c r="DJ896" i="1"/>
  <c r="DC896" i="1"/>
  <c r="CX896" i="1"/>
  <c r="CN896" i="1"/>
  <c r="CP896" i="1" s="1"/>
  <c r="BV896" i="1"/>
  <c r="BX896" i="1" s="1"/>
  <c r="BN896" i="1"/>
  <c r="BO896" i="1" s="1"/>
  <c r="BD896" i="1"/>
  <c r="BC896" i="1"/>
  <c r="BB896" i="1"/>
  <c r="BA896" i="1"/>
  <c r="AZ896" i="1"/>
  <c r="AY896" i="1"/>
  <c r="BE896" i="1" s="1" a="1"/>
  <c r="BE896" i="1" s="1"/>
  <c r="AX896" i="1"/>
  <c r="M896" i="1"/>
  <c r="EM886" i="1"/>
  <c r="DT886" i="1"/>
  <c r="DN886" i="1"/>
  <c r="DM886" i="1"/>
  <c r="DL886" i="1"/>
  <c r="DK886" i="1"/>
  <c r="DJ886" i="1"/>
  <c r="DC886" i="1"/>
  <c r="CX886" i="1"/>
  <c r="CN886" i="1"/>
  <c r="CP886" i="1" s="1"/>
  <c r="BV886" i="1"/>
  <c r="BX886" i="1" s="1"/>
  <c r="BN886" i="1"/>
  <c r="BO886" i="1" s="1"/>
  <c r="BD886" i="1"/>
  <c r="BC886" i="1"/>
  <c r="BB886" i="1"/>
  <c r="BA886" i="1"/>
  <c r="AZ886" i="1"/>
  <c r="AY886" i="1"/>
  <c r="BE886" i="1" s="1" a="1"/>
  <c r="BE886" i="1" s="1"/>
  <c r="AX886" i="1"/>
  <c r="M886" i="1"/>
  <c r="EM903" i="1"/>
  <c r="DT903" i="1"/>
  <c r="DN903" i="1"/>
  <c r="DM903" i="1"/>
  <c r="DL903" i="1"/>
  <c r="DK903" i="1"/>
  <c r="DJ903" i="1"/>
  <c r="DC903" i="1"/>
  <c r="CX903" i="1"/>
  <c r="CN903" i="1"/>
  <c r="CS903" i="1" s="1"/>
  <c r="BV903" i="1"/>
  <c r="BX903" i="1" s="1"/>
  <c r="BN903" i="1"/>
  <c r="BO903" i="1" s="1"/>
  <c r="BD903" i="1"/>
  <c r="BC903" i="1"/>
  <c r="BB903" i="1"/>
  <c r="BA903" i="1"/>
  <c r="AZ903" i="1"/>
  <c r="AY903" i="1"/>
  <c r="BE903" i="1" s="1" a="1"/>
  <c r="BE903" i="1" s="1"/>
  <c r="AX903" i="1"/>
  <c r="M903" i="1"/>
  <c r="EM899" i="1"/>
  <c r="DT899" i="1"/>
  <c r="DN899" i="1"/>
  <c r="DM899" i="1"/>
  <c r="DL899" i="1"/>
  <c r="DK899" i="1"/>
  <c r="DJ899" i="1"/>
  <c r="DC899" i="1"/>
  <c r="CX899" i="1"/>
  <c r="CN899" i="1"/>
  <c r="CS899" i="1" s="1"/>
  <c r="BV899" i="1"/>
  <c r="BX899" i="1" s="1"/>
  <c r="BN899" i="1"/>
  <c r="BO899" i="1" s="1"/>
  <c r="BD899" i="1"/>
  <c r="BC899" i="1"/>
  <c r="BB899" i="1"/>
  <c r="BA899" i="1"/>
  <c r="AZ899" i="1"/>
  <c r="AY899" i="1"/>
  <c r="BE899" i="1" s="1" a="1"/>
  <c r="BE899" i="1" s="1"/>
  <c r="AX899" i="1"/>
  <c r="M899" i="1"/>
  <c r="EM892" i="1"/>
  <c r="DT892" i="1"/>
  <c r="DN892" i="1"/>
  <c r="DM892" i="1"/>
  <c r="DL892" i="1"/>
  <c r="DK892" i="1"/>
  <c r="DJ892" i="1"/>
  <c r="DC892" i="1"/>
  <c r="CX892" i="1"/>
  <c r="CN892" i="1"/>
  <c r="BV892" i="1"/>
  <c r="BX892" i="1" s="1"/>
  <c r="BN892" i="1"/>
  <c r="BO892" i="1" s="1"/>
  <c r="BD892" i="1"/>
  <c r="BC892" i="1"/>
  <c r="BB892" i="1"/>
  <c r="BA892" i="1"/>
  <c r="AZ892" i="1"/>
  <c r="AY892" i="1"/>
  <c r="BE892" i="1" s="1" a="1"/>
  <c r="BE892" i="1" s="1"/>
  <c r="AX892" i="1"/>
  <c r="M892" i="1"/>
  <c r="EM902" i="1"/>
  <c r="DT902" i="1"/>
  <c r="DN902" i="1"/>
  <c r="DM902" i="1"/>
  <c r="DL902" i="1"/>
  <c r="DK902" i="1"/>
  <c r="DJ902" i="1"/>
  <c r="DC902" i="1"/>
  <c r="CX902" i="1"/>
  <c r="CN902" i="1"/>
  <c r="BV902" i="1"/>
  <c r="BX902" i="1" s="1"/>
  <c r="BN902" i="1"/>
  <c r="BO902" i="1" s="1"/>
  <c r="BD902" i="1"/>
  <c r="BC902" i="1"/>
  <c r="BB902" i="1"/>
  <c r="BA902" i="1"/>
  <c r="AZ902" i="1"/>
  <c r="AY902" i="1"/>
  <c r="BE902" i="1" s="1" a="1"/>
  <c r="BE902" i="1" s="1"/>
  <c r="AX902" i="1"/>
  <c r="M902" i="1"/>
  <c r="EM901" i="1"/>
  <c r="DT901" i="1"/>
  <c r="DN901" i="1"/>
  <c r="DM901" i="1"/>
  <c r="DL901" i="1"/>
  <c r="DK901" i="1"/>
  <c r="DJ901" i="1"/>
  <c r="DC901" i="1"/>
  <c r="CX901" i="1"/>
  <c r="CN901" i="1"/>
  <c r="BV901" i="1"/>
  <c r="BX901" i="1" s="1"/>
  <c r="BN901" i="1"/>
  <c r="BO901" i="1" s="1"/>
  <c r="BD901" i="1"/>
  <c r="BC901" i="1"/>
  <c r="BB901" i="1"/>
  <c r="BA901" i="1"/>
  <c r="AZ901" i="1"/>
  <c r="AY901" i="1"/>
  <c r="BE901" i="1" s="1" a="1"/>
  <c r="BE901" i="1" s="1"/>
  <c r="AX901" i="1"/>
  <c r="M901" i="1"/>
  <c r="EM891" i="1"/>
  <c r="DT891" i="1"/>
  <c r="DN891" i="1"/>
  <c r="DM891" i="1"/>
  <c r="DL891" i="1"/>
  <c r="DK891" i="1"/>
  <c r="DJ891" i="1"/>
  <c r="DC891" i="1"/>
  <c r="CX891" i="1"/>
  <c r="CN891" i="1"/>
  <c r="CS891" i="1" s="1"/>
  <c r="BV891" i="1"/>
  <c r="BX891" i="1" s="1"/>
  <c r="BN891" i="1"/>
  <c r="BO891" i="1" s="1"/>
  <c r="BD891" i="1"/>
  <c r="BC891" i="1"/>
  <c r="BB891" i="1"/>
  <c r="BA891" i="1"/>
  <c r="AZ891" i="1"/>
  <c r="AY891" i="1"/>
  <c r="BE891" i="1" s="1" a="1"/>
  <c r="BE891" i="1" s="1"/>
  <c r="AX891" i="1"/>
  <c r="M891" i="1"/>
  <c r="EM890" i="1"/>
  <c r="DT890" i="1"/>
  <c r="DN890" i="1"/>
  <c r="DM890" i="1"/>
  <c r="DL890" i="1"/>
  <c r="DK890" i="1"/>
  <c r="DJ890" i="1"/>
  <c r="DC890" i="1"/>
  <c r="CX890" i="1"/>
  <c r="CN890" i="1"/>
  <c r="CR890" i="1" s="1"/>
  <c r="BV890" i="1"/>
  <c r="BX890" i="1" s="1"/>
  <c r="BN890" i="1"/>
  <c r="BO890" i="1" s="1"/>
  <c r="BD890" i="1"/>
  <c r="BC890" i="1"/>
  <c r="BB890" i="1"/>
  <c r="BA890" i="1"/>
  <c r="AZ890" i="1"/>
  <c r="AY890" i="1"/>
  <c r="BE890" i="1" s="1" a="1"/>
  <c r="BE890" i="1" s="1"/>
  <c r="AX890" i="1"/>
  <c r="M890" i="1"/>
  <c r="EM871" i="1"/>
  <c r="DT871" i="1"/>
  <c r="DN871" i="1"/>
  <c r="DM871" i="1"/>
  <c r="DL871" i="1"/>
  <c r="DK871" i="1"/>
  <c r="DJ871" i="1"/>
  <c r="DC871" i="1"/>
  <c r="CX871" i="1"/>
  <c r="CN871" i="1"/>
  <c r="BV871" i="1"/>
  <c r="BX871" i="1" s="1"/>
  <c r="BN871" i="1"/>
  <c r="BO871" i="1" s="1"/>
  <c r="BD871" i="1"/>
  <c r="BC871" i="1"/>
  <c r="BB871" i="1"/>
  <c r="BA871" i="1"/>
  <c r="AZ871" i="1"/>
  <c r="AY871" i="1"/>
  <c r="BE871" i="1" s="1" a="1"/>
  <c r="BE871" i="1" s="1"/>
  <c r="AX871" i="1"/>
  <c r="M871" i="1"/>
  <c r="EM874" i="1"/>
  <c r="DT874" i="1"/>
  <c r="DN874" i="1"/>
  <c r="DM874" i="1"/>
  <c r="DL874" i="1"/>
  <c r="DK874" i="1"/>
  <c r="DJ874" i="1"/>
  <c r="DC874" i="1"/>
  <c r="CX874" i="1"/>
  <c r="CN874" i="1"/>
  <c r="CS874" i="1" s="1"/>
  <c r="BV874" i="1"/>
  <c r="BX874" i="1" s="1"/>
  <c r="BN874" i="1"/>
  <c r="BO874" i="1" s="1"/>
  <c r="BD874" i="1"/>
  <c r="BC874" i="1"/>
  <c r="BB874" i="1"/>
  <c r="BA874" i="1"/>
  <c r="AZ874" i="1"/>
  <c r="AY874" i="1"/>
  <c r="BE874" i="1" s="1" a="1"/>
  <c r="BE874" i="1" s="1"/>
  <c r="AX874" i="1"/>
  <c r="M874" i="1"/>
  <c r="EM872" i="1"/>
  <c r="DT872" i="1"/>
  <c r="DN872" i="1"/>
  <c r="DM872" i="1"/>
  <c r="DL872" i="1"/>
  <c r="DK872" i="1"/>
  <c r="DJ872" i="1"/>
  <c r="DC872" i="1"/>
  <c r="CX872" i="1"/>
  <c r="CN872" i="1"/>
  <c r="CS872" i="1" s="1"/>
  <c r="BV872" i="1"/>
  <c r="BX872" i="1" s="1"/>
  <c r="BN872" i="1"/>
  <c r="BO872" i="1" s="1"/>
  <c r="BD872" i="1"/>
  <c r="BC872" i="1"/>
  <c r="BB872" i="1"/>
  <c r="BA872" i="1"/>
  <c r="AZ872" i="1"/>
  <c r="AY872" i="1"/>
  <c r="BE872" i="1" s="1" a="1"/>
  <c r="BE872" i="1" s="1"/>
  <c r="AX872" i="1"/>
  <c r="M872" i="1"/>
  <c r="EM873" i="1"/>
  <c r="DT873" i="1"/>
  <c r="DN873" i="1"/>
  <c r="DM873" i="1"/>
  <c r="DL873" i="1"/>
  <c r="DK873" i="1"/>
  <c r="DI873" i="1"/>
  <c r="DJ873" i="1" s="1"/>
  <c r="DC873" i="1"/>
  <c r="CX873" i="1"/>
  <c r="CN873" i="1"/>
  <c r="CS873" i="1" s="1"/>
  <c r="BV873" i="1"/>
  <c r="BX873" i="1" s="1"/>
  <c r="BN873" i="1"/>
  <c r="BO873" i="1" s="1"/>
  <c r="BD873" i="1"/>
  <c r="BC873" i="1"/>
  <c r="BB873" i="1"/>
  <c r="BA873" i="1"/>
  <c r="AZ873" i="1"/>
  <c r="AY873" i="1"/>
  <c r="BE873" i="1" s="1" a="1"/>
  <c r="BE873" i="1" s="1"/>
  <c r="AX873" i="1"/>
  <c r="M873" i="1"/>
  <c r="EM855" i="1"/>
  <c r="DU855" i="1"/>
  <c r="DT855" i="1"/>
  <c r="DN855" i="1"/>
  <c r="DM855" i="1"/>
  <c r="DL855" i="1"/>
  <c r="DK855" i="1"/>
  <c r="DI855" i="1"/>
  <c r="DJ855" i="1" s="1"/>
  <c r="DC855" i="1"/>
  <c r="CX855" i="1"/>
  <c r="CN855" i="1"/>
  <c r="CS855" i="1" s="1"/>
  <c r="BV855" i="1"/>
  <c r="BX855" i="1" s="1"/>
  <c r="BU855" i="1"/>
  <c r="BN855" i="1"/>
  <c r="BO855" i="1" s="1"/>
  <c r="BD855" i="1"/>
  <c r="BC855" i="1"/>
  <c r="BB855" i="1"/>
  <c r="BA855" i="1"/>
  <c r="AZ855" i="1"/>
  <c r="AY855" i="1"/>
  <c r="BE855" i="1" s="1" a="1"/>
  <c r="BE855" i="1" s="1"/>
  <c r="AX855" i="1"/>
  <c r="M855" i="1"/>
  <c r="EM856" i="1"/>
  <c r="DU856" i="1"/>
  <c r="DT856" i="1"/>
  <c r="DN856" i="1"/>
  <c r="DM856" i="1"/>
  <c r="DL856" i="1"/>
  <c r="DK856" i="1"/>
  <c r="DI856" i="1"/>
  <c r="DJ856" i="1" s="1"/>
  <c r="DC856" i="1"/>
  <c r="CX856" i="1"/>
  <c r="CN856" i="1"/>
  <c r="CS856" i="1" s="1"/>
  <c r="BV856" i="1"/>
  <c r="BX856" i="1" s="1"/>
  <c r="BU856" i="1"/>
  <c r="BN856" i="1"/>
  <c r="BO856" i="1" s="1"/>
  <c r="BD856" i="1"/>
  <c r="BC856" i="1"/>
  <c r="BB856" i="1"/>
  <c r="BA856" i="1"/>
  <c r="AZ856" i="1"/>
  <c r="AY856" i="1"/>
  <c r="BE856" i="1" s="1" a="1"/>
  <c r="BE856" i="1" s="1"/>
  <c r="AX856" i="1"/>
  <c r="M856" i="1"/>
  <c r="EM825" i="1"/>
  <c r="DU825" i="1"/>
  <c r="DT825" i="1"/>
  <c r="DN825" i="1"/>
  <c r="DM825" i="1"/>
  <c r="DL825" i="1"/>
  <c r="DK825" i="1"/>
  <c r="DI825" i="1"/>
  <c r="DJ825" i="1" s="1"/>
  <c r="DC825" i="1"/>
  <c r="CX825" i="1"/>
  <c r="CN825" i="1"/>
  <c r="BT825" i="1"/>
  <c r="BV825" i="1" s="1"/>
  <c r="BX825" i="1" s="1"/>
  <c r="BN825" i="1"/>
  <c r="BO825" i="1" s="1"/>
  <c r="BD825" i="1"/>
  <c r="BC825" i="1"/>
  <c r="BB825" i="1"/>
  <c r="BA825" i="1"/>
  <c r="AZ825" i="1"/>
  <c r="AY825" i="1"/>
  <c r="BE825" i="1" s="1" a="1"/>
  <c r="BE825" i="1" s="1"/>
  <c r="AX825" i="1"/>
  <c r="M825" i="1"/>
  <c r="EM824" i="1"/>
  <c r="DU824" i="1"/>
  <c r="DT824" i="1"/>
  <c r="DN824" i="1"/>
  <c r="DM824" i="1"/>
  <c r="DL824" i="1"/>
  <c r="DK824" i="1"/>
  <c r="DI824" i="1"/>
  <c r="DJ824" i="1" s="1"/>
  <c r="DC824" i="1"/>
  <c r="CX824" i="1"/>
  <c r="CN824" i="1"/>
  <c r="BT824" i="1"/>
  <c r="BV824" i="1" s="1"/>
  <c r="BX824" i="1" s="1"/>
  <c r="BN824" i="1"/>
  <c r="BO824" i="1" s="1"/>
  <c r="BD824" i="1"/>
  <c r="BC824" i="1"/>
  <c r="BB824" i="1"/>
  <c r="BA824" i="1"/>
  <c r="AZ824" i="1"/>
  <c r="AY824" i="1"/>
  <c r="BE824" i="1" s="1" a="1"/>
  <c r="BE824" i="1" s="1"/>
  <c r="AX824" i="1"/>
  <c r="M824" i="1"/>
  <c r="EM651" i="1"/>
  <c r="DU651" i="1"/>
  <c r="DT651" i="1"/>
  <c r="DN651" i="1"/>
  <c r="DM651" i="1"/>
  <c r="DL651" i="1"/>
  <c r="DK651" i="1"/>
  <c r="DI651" i="1"/>
  <c r="DJ651" i="1" s="1"/>
  <c r="DC651" i="1"/>
  <c r="CX651" i="1"/>
  <c r="BV651" i="1"/>
  <c r="BX651" i="1" s="1"/>
  <c r="BU651" i="1"/>
  <c r="BL651" i="1"/>
  <c r="CN651" i="1" s="1"/>
  <c r="CO651" i="1" s="1"/>
  <c r="BD651" i="1"/>
  <c r="BC651" i="1"/>
  <c r="BB651" i="1"/>
  <c r="BA651" i="1"/>
  <c r="AZ651" i="1"/>
  <c r="AY651" i="1"/>
  <c r="BE651" i="1" s="1" a="1"/>
  <c r="BE651" i="1" s="1"/>
  <c r="AX651" i="1"/>
  <c r="M651" i="1"/>
  <c r="EM609" i="1"/>
  <c r="DU609" i="1"/>
  <c r="DT609" i="1"/>
  <c r="DN609" i="1"/>
  <c r="DM609" i="1"/>
  <c r="DL609" i="1"/>
  <c r="DK609" i="1"/>
  <c r="DI609" i="1"/>
  <c r="DJ609" i="1" s="1"/>
  <c r="DC609" i="1"/>
  <c r="CX609" i="1"/>
  <c r="BV609" i="1"/>
  <c r="BX609" i="1" s="1"/>
  <c r="BL609" i="1"/>
  <c r="CN609" i="1" s="1"/>
  <c r="BD609" i="1"/>
  <c r="BC609" i="1"/>
  <c r="BB609" i="1"/>
  <c r="BA609" i="1"/>
  <c r="AZ609" i="1"/>
  <c r="AY609" i="1"/>
  <c r="BE609" i="1" s="1" a="1"/>
  <c r="BE609" i="1" s="1"/>
  <c r="AX609" i="1"/>
  <c r="M609" i="1"/>
  <c r="EM616" i="1"/>
  <c r="DU616" i="1"/>
  <c r="DT616" i="1"/>
  <c r="DN616" i="1"/>
  <c r="DM616" i="1"/>
  <c r="DL616" i="1"/>
  <c r="DK616" i="1"/>
  <c r="DI616" i="1"/>
  <c r="DJ616" i="1" s="1"/>
  <c r="DC616" i="1"/>
  <c r="CX616" i="1"/>
  <c r="BV616" i="1"/>
  <c r="BX616" i="1" s="1"/>
  <c r="BL616" i="1"/>
  <c r="CN616" i="1" s="1"/>
  <c r="CS616" i="1" s="1"/>
  <c r="BD616" i="1"/>
  <c r="BC616" i="1"/>
  <c r="BB616" i="1"/>
  <c r="BA616" i="1"/>
  <c r="AZ616" i="1"/>
  <c r="AY616" i="1"/>
  <c r="BE616" i="1" s="1" a="1"/>
  <c r="BE616" i="1" s="1"/>
  <c r="AX616" i="1"/>
  <c r="M616" i="1"/>
  <c r="EM610" i="1"/>
  <c r="DU610" i="1"/>
  <c r="DT610" i="1"/>
  <c r="DN610" i="1"/>
  <c r="DM610" i="1"/>
  <c r="DL610" i="1"/>
  <c r="DK610" i="1"/>
  <c r="DI610" i="1"/>
  <c r="DJ610" i="1" s="1"/>
  <c r="DC610" i="1"/>
  <c r="CX610" i="1"/>
  <c r="BV610" i="1"/>
  <c r="BX610" i="1" s="1"/>
  <c r="BL610" i="1"/>
  <c r="CN610" i="1" s="1"/>
  <c r="BD610" i="1"/>
  <c r="BC610" i="1"/>
  <c r="BB610" i="1"/>
  <c r="BA610" i="1"/>
  <c r="AZ610" i="1"/>
  <c r="AY610" i="1"/>
  <c r="BE610" i="1" s="1" a="1"/>
  <c r="BE610" i="1" s="1"/>
  <c r="AX610" i="1"/>
  <c r="M610" i="1"/>
  <c r="EM615" i="1"/>
  <c r="DU615" i="1"/>
  <c r="DT615" i="1"/>
  <c r="DN615" i="1"/>
  <c r="DM615" i="1"/>
  <c r="DL615" i="1"/>
  <c r="DK615" i="1"/>
  <c r="DI615" i="1"/>
  <c r="DJ615" i="1" s="1"/>
  <c r="DC615" i="1"/>
  <c r="CX615" i="1"/>
  <c r="BV615" i="1"/>
  <c r="BX615" i="1" s="1"/>
  <c r="BL615" i="1"/>
  <c r="CN615" i="1" s="1"/>
  <c r="BD615" i="1"/>
  <c r="BC615" i="1"/>
  <c r="BB615" i="1"/>
  <c r="BA615" i="1"/>
  <c r="AZ615" i="1"/>
  <c r="AY615" i="1"/>
  <c r="BE615" i="1" s="1" a="1"/>
  <c r="BE615" i="1" s="1"/>
  <c r="AX615" i="1"/>
  <c r="M615" i="1"/>
  <c r="EM608" i="1"/>
  <c r="DU608" i="1"/>
  <c r="DT608" i="1"/>
  <c r="DN608" i="1"/>
  <c r="DM608" i="1"/>
  <c r="DL608" i="1"/>
  <c r="DK608" i="1"/>
  <c r="DI608" i="1"/>
  <c r="DJ608" i="1" s="1"/>
  <c r="DC608" i="1"/>
  <c r="CX608" i="1"/>
  <c r="BV608" i="1"/>
  <c r="BX608" i="1" s="1"/>
  <c r="BL608" i="1"/>
  <c r="BN608" i="1" s="1"/>
  <c r="BO608" i="1" s="1"/>
  <c r="BD608" i="1"/>
  <c r="BC608" i="1"/>
  <c r="BB608" i="1"/>
  <c r="BA608" i="1"/>
  <c r="AZ608" i="1"/>
  <c r="AY608" i="1"/>
  <c r="BE608" i="1" s="1" a="1"/>
  <c r="BE608" i="1" s="1"/>
  <c r="AX608" i="1"/>
  <c r="M608" i="1"/>
  <c r="EM623" i="1"/>
  <c r="DU623" i="1"/>
  <c r="DT623" i="1"/>
  <c r="DN623" i="1"/>
  <c r="DM623" i="1"/>
  <c r="DL623" i="1"/>
  <c r="DK623" i="1"/>
  <c r="DI623" i="1"/>
  <c r="DJ623" i="1" s="1"/>
  <c r="DC623" i="1"/>
  <c r="CX623" i="1"/>
  <c r="BV623" i="1"/>
  <c r="BX623" i="1" s="1"/>
  <c r="BL623" i="1"/>
  <c r="BN623" i="1" s="1"/>
  <c r="BO623" i="1" s="1"/>
  <c r="BD623" i="1"/>
  <c r="BC623" i="1"/>
  <c r="BB623" i="1"/>
  <c r="BA623" i="1"/>
  <c r="AZ623" i="1"/>
  <c r="AY623" i="1"/>
  <c r="BE623" i="1" s="1" a="1"/>
  <c r="BE623" i="1" s="1"/>
  <c r="AX623" i="1"/>
  <c r="M623" i="1"/>
  <c r="EM614" i="1"/>
  <c r="DU614" i="1"/>
  <c r="DT614" i="1"/>
  <c r="DN614" i="1"/>
  <c r="DM614" i="1"/>
  <c r="DL614" i="1"/>
  <c r="DK614" i="1"/>
  <c r="DI614" i="1"/>
  <c r="DJ614" i="1" s="1"/>
  <c r="DC614" i="1"/>
  <c r="CX614" i="1"/>
  <c r="BV614" i="1"/>
  <c r="BX614" i="1" s="1"/>
  <c r="BL614" i="1"/>
  <c r="CN614" i="1" s="1"/>
  <c r="CO614" i="1" s="1"/>
  <c r="BD614" i="1"/>
  <c r="BC614" i="1"/>
  <c r="BB614" i="1"/>
  <c r="BA614" i="1"/>
  <c r="AZ614" i="1"/>
  <c r="AY614" i="1"/>
  <c r="BE614" i="1" s="1" a="1"/>
  <c r="BE614" i="1" s="1"/>
  <c r="AX614" i="1"/>
  <c r="M614" i="1"/>
  <c r="EM618" i="1"/>
  <c r="DU618" i="1"/>
  <c r="DT618" i="1"/>
  <c r="DN618" i="1"/>
  <c r="DM618" i="1"/>
  <c r="DL618" i="1"/>
  <c r="DK618" i="1"/>
  <c r="DI618" i="1"/>
  <c r="DJ618" i="1" s="1"/>
  <c r="DC618" i="1"/>
  <c r="CX618" i="1"/>
  <c r="BV618" i="1"/>
  <c r="BX618" i="1" s="1"/>
  <c r="BL618" i="1"/>
  <c r="BN618" i="1" s="1"/>
  <c r="BO618" i="1" s="1"/>
  <c r="BD618" i="1"/>
  <c r="BC618" i="1"/>
  <c r="BB618" i="1"/>
  <c r="BA618" i="1"/>
  <c r="AZ618" i="1"/>
  <c r="AY618" i="1"/>
  <c r="BE618" i="1" s="1" a="1"/>
  <c r="BE618" i="1" s="1"/>
  <c r="AX618" i="1"/>
  <c r="M618" i="1"/>
  <c r="EM611" i="1"/>
  <c r="DU611" i="1"/>
  <c r="DT611" i="1"/>
  <c r="DN611" i="1"/>
  <c r="DM611" i="1"/>
  <c r="DL611" i="1"/>
  <c r="DK611" i="1"/>
  <c r="DI611" i="1"/>
  <c r="DJ611" i="1" s="1"/>
  <c r="DC611" i="1"/>
  <c r="CX611" i="1"/>
  <c r="BV611" i="1"/>
  <c r="BX611" i="1" s="1"/>
  <c r="BL611" i="1"/>
  <c r="CN611" i="1" s="1"/>
  <c r="CS611" i="1" s="1"/>
  <c r="BD611" i="1"/>
  <c r="BC611" i="1"/>
  <c r="BB611" i="1"/>
  <c r="BA611" i="1"/>
  <c r="AZ611" i="1"/>
  <c r="AY611" i="1"/>
  <c r="BE611" i="1" s="1" a="1"/>
  <c r="BE611" i="1" s="1"/>
  <c r="AX611" i="1"/>
  <c r="M611" i="1"/>
  <c r="EM621" i="1"/>
  <c r="DU621" i="1"/>
  <c r="DT621" i="1"/>
  <c r="DN621" i="1"/>
  <c r="DM621" i="1"/>
  <c r="DL621" i="1"/>
  <c r="DK621" i="1"/>
  <c r="DI621" i="1"/>
  <c r="DJ621" i="1" s="1"/>
  <c r="DC621" i="1"/>
  <c r="CX621" i="1"/>
  <c r="BV621" i="1"/>
  <c r="BX621" i="1" s="1"/>
  <c r="BL621" i="1"/>
  <c r="CN621" i="1" s="1"/>
  <c r="CO621" i="1" s="1"/>
  <c r="BD621" i="1"/>
  <c r="BC621" i="1"/>
  <c r="BB621" i="1"/>
  <c r="BA621" i="1"/>
  <c r="AZ621" i="1"/>
  <c r="AY621" i="1"/>
  <c r="BE621" i="1" s="1" a="1"/>
  <c r="BE621" i="1" s="1"/>
  <c r="AX621" i="1"/>
  <c r="M621" i="1"/>
  <c r="EM619" i="1"/>
  <c r="DU619" i="1"/>
  <c r="DT619" i="1"/>
  <c r="DN619" i="1"/>
  <c r="DM619" i="1"/>
  <c r="DL619" i="1"/>
  <c r="DK619" i="1"/>
  <c r="DI619" i="1"/>
  <c r="DJ619" i="1" s="1"/>
  <c r="DC619" i="1"/>
  <c r="CX619" i="1"/>
  <c r="BX619" i="1"/>
  <c r="BL619" i="1"/>
  <c r="CN619" i="1" s="1"/>
  <c r="CS619" i="1" s="1"/>
  <c r="BD619" i="1"/>
  <c r="BC619" i="1"/>
  <c r="BB619" i="1"/>
  <c r="BA619" i="1"/>
  <c r="AZ619" i="1"/>
  <c r="AY619" i="1"/>
  <c r="BE619" i="1" s="1" a="1"/>
  <c r="BE619" i="1" s="1"/>
  <c r="AX619" i="1"/>
  <c r="M619" i="1"/>
  <c r="EM613" i="1"/>
  <c r="DU613" i="1"/>
  <c r="DT613" i="1"/>
  <c r="DN613" i="1"/>
  <c r="DM613" i="1"/>
  <c r="DL613" i="1"/>
  <c r="DK613" i="1"/>
  <c r="DI613" i="1"/>
  <c r="DJ613" i="1" s="1"/>
  <c r="DC613" i="1"/>
  <c r="CX613" i="1"/>
  <c r="BV613" i="1"/>
  <c r="BX613" i="1" s="1"/>
  <c r="BL613" i="1"/>
  <c r="CN613" i="1" s="1"/>
  <c r="BD613" i="1"/>
  <c r="BC613" i="1"/>
  <c r="BB613" i="1"/>
  <c r="BA613" i="1"/>
  <c r="AZ613" i="1"/>
  <c r="AY613" i="1"/>
  <c r="BE613" i="1" s="1" a="1"/>
  <c r="BE613" i="1" s="1"/>
  <c r="AX613" i="1"/>
  <c r="M613" i="1"/>
  <c r="EM617" i="1"/>
  <c r="DU617" i="1"/>
  <c r="DT617" i="1"/>
  <c r="DN617" i="1"/>
  <c r="DM617" i="1"/>
  <c r="DL617" i="1"/>
  <c r="DK617" i="1"/>
  <c r="DI617" i="1"/>
  <c r="DJ617" i="1" s="1"/>
  <c r="DC617" i="1"/>
  <c r="CX617" i="1"/>
  <c r="BV617" i="1"/>
  <c r="BX617" i="1" s="1"/>
  <c r="BL617" i="1"/>
  <c r="BN617" i="1" s="1"/>
  <c r="BO617" i="1" s="1"/>
  <c r="BD617" i="1"/>
  <c r="BC617" i="1"/>
  <c r="BB617" i="1"/>
  <c r="BA617" i="1"/>
  <c r="AZ617" i="1"/>
  <c r="AY617" i="1"/>
  <c r="BE617" i="1" s="1" a="1"/>
  <c r="BE617" i="1" s="1"/>
  <c r="AX617" i="1"/>
  <c r="M617" i="1"/>
  <c r="EM607" i="1"/>
  <c r="DU607" i="1"/>
  <c r="DT607" i="1"/>
  <c r="DN607" i="1"/>
  <c r="DM607" i="1"/>
  <c r="DL607" i="1"/>
  <c r="DK607" i="1"/>
  <c r="DI607" i="1"/>
  <c r="DJ607" i="1" s="1"/>
  <c r="DC607" i="1"/>
  <c r="CX607" i="1"/>
  <c r="CN607" i="1"/>
  <c r="CS607" i="1" s="1"/>
  <c r="BS607" i="1"/>
  <c r="BV607" i="1" s="1"/>
  <c r="BX607" i="1" s="1"/>
  <c r="BN607" i="1"/>
  <c r="BO607" i="1" s="1"/>
  <c r="BD607" i="1"/>
  <c r="BC607" i="1"/>
  <c r="BB607" i="1"/>
  <c r="BA607" i="1"/>
  <c r="AZ607" i="1"/>
  <c r="AY607" i="1"/>
  <c r="BE607" i="1" s="1" a="1"/>
  <c r="BE607" i="1" s="1"/>
  <c r="AX607" i="1"/>
  <c r="M607" i="1"/>
  <c r="EM627" i="1"/>
  <c r="DU627" i="1"/>
  <c r="DT627" i="1"/>
  <c r="DN627" i="1"/>
  <c r="DM627" i="1"/>
  <c r="DL627" i="1"/>
  <c r="DK627" i="1"/>
  <c r="DI627" i="1"/>
  <c r="DJ627" i="1" s="1"/>
  <c r="DC627" i="1"/>
  <c r="CX627" i="1"/>
  <c r="CN627" i="1"/>
  <c r="BV627" i="1"/>
  <c r="BX627" i="1" s="1"/>
  <c r="BN627" i="1"/>
  <c r="BO627" i="1" s="1"/>
  <c r="BD627" i="1"/>
  <c r="BC627" i="1"/>
  <c r="BB627" i="1"/>
  <c r="BA627" i="1"/>
  <c r="AZ627" i="1"/>
  <c r="AY627" i="1"/>
  <c r="BE627" i="1" s="1" a="1"/>
  <c r="BE627" i="1" s="1"/>
  <c r="AX627" i="1"/>
  <c r="M627" i="1"/>
  <c r="EM612" i="1"/>
  <c r="DU612" i="1"/>
  <c r="DT612" i="1"/>
  <c r="DN612" i="1"/>
  <c r="DM612" i="1"/>
  <c r="DL612" i="1"/>
  <c r="DK612" i="1"/>
  <c r="DI612" i="1"/>
  <c r="DJ612" i="1" s="1"/>
  <c r="DC612" i="1"/>
  <c r="CX612" i="1"/>
  <c r="CN612" i="1"/>
  <c r="BV612" i="1"/>
  <c r="BX612" i="1" s="1"/>
  <c r="BN612" i="1"/>
  <c r="BO612" i="1" s="1"/>
  <c r="BD612" i="1"/>
  <c r="BC612" i="1"/>
  <c r="BB612" i="1"/>
  <c r="BA612" i="1"/>
  <c r="AZ612" i="1"/>
  <c r="AY612" i="1"/>
  <c r="BE612" i="1" s="1" a="1"/>
  <c r="BE612" i="1" s="1"/>
  <c r="AX612" i="1"/>
  <c r="M612" i="1"/>
  <c r="EM625" i="1"/>
  <c r="DU625" i="1"/>
  <c r="DT625" i="1"/>
  <c r="DN625" i="1"/>
  <c r="DM625" i="1"/>
  <c r="DL625" i="1"/>
  <c r="DK625" i="1"/>
  <c r="DI625" i="1"/>
  <c r="DJ625" i="1" s="1"/>
  <c r="DC625" i="1"/>
  <c r="CX625" i="1"/>
  <c r="CN625" i="1"/>
  <c r="BV625" i="1"/>
  <c r="BX625" i="1" s="1"/>
  <c r="BN625" i="1"/>
  <c r="BO625" i="1" s="1"/>
  <c r="BD625" i="1"/>
  <c r="BC625" i="1"/>
  <c r="BB625" i="1"/>
  <c r="BA625" i="1"/>
  <c r="AZ625" i="1"/>
  <c r="AY625" i="1"/>
  <c r="BE625" i="1" s="1" a="1"/>
  <c r="BE625" i="1" s="1"/>
  <c r="AX625" i="1"/>
  <c r="M625" i="1"/>
  <c r="EM637" i="1"/>
  <c r="DU637" i="1"/>
  <c r="DT637" i="1"/>
  <c r="DN637" i="1"/>
  <c r="DM637" i="1"/>
  <c r="DL637" i="1"/>
  <c r="DK637" i="1"/>
  <c r="DI637" i="1"/>
  <c r="DJ637" i="1" s="1"/>
  <c r="DC637" i="1"/>
  <c r="CX637" i="1"/>
  <c r="CN637" i="1"/>
  <c r="CP637" i="1" s="1"/>
  <c r="BV637" i="1"/>
  <c r="BX637" i="1" s="1"/>
  <c r="BN637" i="1"/>
  <c r="BO637" i="1" s="1"/>
  <c r="BD637" i="1"/>
  <c r="BC637" i="1"/>
  <c r="BB637" i="1"/>
  <c r="BA637" i="1"/>
  <c r="AZ637" i="1"/>
  <c r="AY637" i="1"/>
  <c r="BE637" i="1" s="1" a="1"/>
  <c r="BE637" i="1" s="1"/>
  <c r="AX637" i="1"/>
  <c r="M637" i="1"/>
  <c r="EM636" i="1"/>
  <c r="DU636" i="1"/>
  <c r="DT636" i="1"/>
  <c r="DN636" i="1"/>
  <c r="DM636" i="1"/>
  <c r="DL636" i="1"/>
  <c r="DK636" i="1"/>
  <c r="DI636" i="1"/>
  <c r="DJ636" i="1" s="1"/>
  <c r="DC636" i="1"/>
  <c r="CX636" i="1"/>
  <c r="CN636" i="1"/>
  <c r="CO636" i="1" s="1"/>
  <c r="BV636" i="1"/>
  <c r="BX636" i="1" s="1"/>
  <c r="BN636" i="1"/>
  <c r="BO636" i="1" s="1"/>
  <c r="BD636" i="1"/>
  <c r="BC636" i="1"/>
  <c r="BB636" i="1"/>
  <c r="BA636" i="1"/>
  <c r="AZ636" i="1"/>
  <c r="AY636" i="1"/>
  <c r="BE636" i="1" s="1" a="1"/>
  <c r="BE636" i="1" s="1"/>
  <c r="AX636" i="1"/>
  <c r="M636" i="1"/>
  <c r="EM635" i="1"/>
  <c r="DU635" i="1"/>
  <c r="DT635" i="1"/>
  <c r="DN635" i="1"/>
  <c r="DM635" i="1"/>
  <c r="DL635" i="1"/>
  <c r="DK635" i="1"/>
  <c r="DI635" i="1"/>
  <c r="DJ635" i="1" s="1"/>
  <c r="DC635" i="1"/>
  <c r="CX635" i="1"/>
  <c r="CN635" i="1"/>
  <c r="BV635" i="1"/>
  <c r="BX635" i="1" s="1"/>
  <c r="BN635" i="1"/>
  <c r="BO635" i="1" s="1"/>
  <c r="BD635" i="1"/>
  <c r="BC635" i="1"/>
  <c r="BB635" i="1"/>
  <c r="BA635" i="1"/>
  <c r="AZ635" i="1"/>
  <c r="AY635" i="1"/>
  <c r="BE635" i="1" s="1" a="1"/>
  <c r="BE635" i="1" s="1"/>
  <c r="AX635" i="1"/>
  <c r="M635" i="1"/>
  <c r="EM634" i="1"/>
  <c r="DU634" i="1"/>
  <c r="DT634" i="1"/>
  <c r="DN634" i="1"/>
  <c r="DM634" i="1"/>
  <c r="DL634" i="1"/>
  <c r="DK634" i="1"/>
  <c r="DI634" i="1"/>
  <c r="DJ634" i="1" s="1"/>
  <c r="DC634" i="1"/>
  <c r="CX634" i="1"/>
  <c r="CN634" i="1"/>
  <c r="BV634" i="1"/>
  <c r="BX634" i="1" s="1"/>
  <c r="BN634" i="1"/>
  <c r="BO634" i="1" s="1"/>
  <c r="BD634" i="1"/>
  <c r="BC634" i="1"/>
  <c r="BB634" i="1"/>
  <c r="BA634" i="1"/>
  <c r="AZ634" i="1"/>
  <c r="AY634" i="1"/>
  <c r="BE634" i="1" s="1" a="1"/>
  <c r="BE634" i="1" s="1"/>
  <c r="AX634" i="1"/>
  <c r="M634" i="1"/>
  <c r="EM624" i="1"/>
  <c r="DU624" i="1"/>
  <c r="DT624" i="1"/>
  <c r="DN624" i="1"/>
  <c r="DM624" i="1"/>
  <c r="DL624" i="1"/>
  <c r="DK624" i="1"/>
  <c r="DI624" i="1"/>
  <c r="DJ624" i="1" s="1"/>
  <c r="DC624" i="1"/>
  <c r="CX624" i="1"/>
  <c r="CN624" i="1"/>
  <c r="BV624" i="1"/>
  <c r="BX624" i="1" s="1"/>
  <c r="BN624" i="1"/>
  <c r="BO624" i="1" s="1"/>
  <c r="BM624" i="1"/>
  <c r="BD624" i="1"/>
  <c r="BC624" i="1"/>
  <c r="BB624" i="1"/>
  <c r="BA624" i="1"/>
  <c r="AZ624" i="1"/>
  <c r="AY624" i="1"/>
  <c r="BE624" i="1" s="1" a="1"/>
  <c r="BE624" i="1" s="1"/>
  <c r="AX624" i="1"/>
  <c r="M624" i="1"/>
  <c r="EM620" i="1"/>
  <c r="DU620" i="1"/>
  <c r="DT620" i="1"/>
  <c r="DN620" i="1"/>
  <c r="DM620" i="1"/>
  <c r="DL620" i="1"/>
  <c r="DK620" i="1"/>
  <c r="DI620" i="1"/>
  <c r="DJ620" i="1" s="1"/>
  <c r="DC620" i="1"/>
  <c r="CX620" i="1"/>
  <c r="CN620" i="1"/>
  <c r="CR620" i="1" s="1"/>
  <c r="BV620" i="1"/>
  <c r="BX620" i="1" s="1"/>
  <c r="BN620" i="1"/>
  <c r="BO620" i="1" s="1"/>
  <c r="BD620" i="1"/>
  <c r="BC620" i="1"/>
  <c r="BB620" i="1"/>
  <c r="BA620" i="1"/>
  <c r="AZ620" i="1"/>
  <c r="AY620" i="1"/>
  <c r="BE620" i="1" s="1" a="1"/>
  <c r="BE620" i="1" s="1"/>
  <c r="AX620" i="1"/>
  <c r="M620" i="1"/>
  <c r="EM632" i="1"/>
  <c r="DU632" i="1"/>
  <c r="DT632" i="1"/>
  <c r="DN632" i="1"/>
  <c r="DM632" i="1"/>
  <c r="DL632" i="1"/>
  <c r="DK632" i="1"/>
  <c r="DI632" i="1"/>
  <c r="DJ632" i="1" s="1"/>
  <c r="DC632" i="1"/>
  <c r="CX632" i="1"/>
  <c r="CN632" i="1"/>
  <c r="BV632" i="1"/>
  <c r="BX632" i="1" s="1"/>
  <c r="BN632" i="1"/>
  <c r="BO632" i="1" s="1"/>
  <c r="BD632" i="1"/>
  <c r="BC632" i="1"/>
  <c r="BB632" i="1"/>
  <c r="BA632" i="1"/>
  <c r="AZ632" i="1"/>
  <c r="AY632" i="1"/>
  <c r="BE632" i="1" s="1" a="1"/>
  <c r="BE632" i="1" s="1"/>
  <c r="AX632" i="1"/>
  <c r="M632" i="1"/>
  <c r="EM629" i="1"/>
  <c r="DU629" i="1"/>
  <c r="DT629" i="1"/>
  <c r="DN629" i="1"/>
  <c r="DM629" i="1"/>
  <c r="DL629" i="1"/>
  <c r="DK629" i="1"/>
  <c r="DI629" i="1"/>
  <c r="DJ629" i="1" s="1"/>
  <c r="DC629" i="1"/>
  <c r="CX629" i="1"/>
  <c r="CN629" i="1"/>
  <c r="BV629" i="1"/>
  <c r="BX629" i="1" s="1"/>
  <c r="BN629" i="1"/>
  <c r="BO629" i="1" s="1"/>
  <c r="BM629" i="1"/>
  <c r="BD629" i="1"/>
  <c r="BC629" i="1"/>
  <c r="BB629" i="1"/>
  <c r="BA629" i="1"/>
  <c r="AZ629" i="1"/>
  <c r="AY629" i="1"/>
  <c r="BE629" i="1" s="1" a="1"/>
  <c r="BE629" i="1" s="1"/>
  <c r="AX629" i="1"/>
  <c r="M629" i="1"/>
  <c r="EM622" i="1"/>
  <c r="DU622" i="1"/>
  <c r="DT622" i="1"/>
  <c r="DN622" i="1"/>
  <c r="DM622" i="1"/>
  <c r="DL622" i="1"/>
  <c r="DK622" i="1"/>
  <c r="DI622" i="1"/>
  <c r="DJ622" i="1" s="1"/>
  <c r="DC622" i="1"/>
  <c r="CX622" i="1"/>
  <c r="CN622" i="1"/>
  <c r="CP622" i="1" s="1"/>
  <c r="BV622" i="1"/>
  <c r="BX622" i="1" s="1"/>
  <c r="BU622" i="1"/>
  <c r="BN622" i="1"/>
  <c r="BO622" i="1" s="1"/>
  <c r="BM622" i="1"/>
  <c r="BD622" i="1"/>
  <c r="BC622" i="1"/>
  <c r="BB622" i="1"/>
  <c r="BA622" i="1"/>
  <c r="AZ622" i="1"/>
  <c r="AY622" i="1"/>
  <c r="BE622" i="1" s="1" a="1"/>
  <c r="BE622" i="1" s="1"/>
  <c r="AX622" i="1"/>
  <c r="M622" i="1"/>
  <c r="EM631" i="1"/>
  <c r="DU631" i="1"/>
  <c r="DT631" i="1"/>
  <c r="DN631" i="1"/>
  <c r="DM631" i="1"/>
  <c r="DL631" i="1"/>
  <c r="DK631" i="1"/>
  <c r="DI631" i="1"/>
  <c r="DJ631" i="1" s="1"/>
  <c r="DC631" i="1"/>
  <c r="CX631" i="1"/>
  <c r="CN631" i="1"/>
  <c r="CS631" i="1" s="1"/>
  <c r="BV631" i="1"/>
  <c r="BX631" i="1" s="1"/>
  <c r="BN631" i="1"/>
  <c r="BO631" i="1" s="1"/>
  <c r="BD631" i="1"/>
  <c r="BC631" i="1"/>
  <c r="BB631" i="1"/>
  <c r="BA631" i="1"/>
  <c r="AZ631" i="1"/>
  <c r="AY631" i="1"/>
  <c r="BE631" i="1" s="1" a="1"/>
  <c r="BE631" i="1" s="1"/>
  <c r="AX631" i="1"/>
  <c r="M631" i="1"/>
  <c r="EM628" i="1"/>
  <c r="DU628" i="1"/>
  <c r="DT628" i="1"/>
  <c r="DN628" i="1"/>
  <c r="DM628" i="1"/>
  <c r="DL628" i="1"/>
  <c r="DK628" i="1"/>
  <c r="DI628" i="1"/>
  <c r="DJ628" i="1" s="1"/>
  <c r="DC628" i="1"/>
  <c r="CX628" i="1"/>
  <c r="CN628" i="1"/>
  <c r="CS628" i="1" s="1"/>
  <c r="BV628" i="1"/>
  <c r="BX628" i="1" s="1"/>
  <c r="BN628" i="1"/>
  <c r="BO628" i="1" s="1"/>
  <c r="BD628" i="1"/>
  <c r="BC628" i="1"/>
  <c r="BB628" i="1"/>
  <c r="BA628" i="1"/>
  <c r="AZ628" i="1"/>
  <c r="AY628" i="1"/>
  <c r="BE628" i="1" s="1" a="1"/>
  <c r="BE628" i="1" s="1"/>
  <c r="AX628" i="1"/>
  <c r="M628" i="1"/>
  <c r="EM626" i="1"/>
  <c r="DU626" i="1"/>
  <c r="DT626" i="1"/>
  <c r="DN626" i="1"/>
  <c r="DM626" i="1"/>
  <c r="DL626" i="1"/>
  <c r="DK626" i="1"/>
  <c r="DI626" i="1"/>
  <c r="DJ626" i="1" s="1"/>
  <c r="DC626" i="1"/>
  <c r="CX626" i="1"/>
  <c r="CN626" i="1"/>
  <c r="BV626" i="1"/>
  <c r="BX626" i="1" s="1"/>
  <c r="BN626" i="1"/>
  <c r="BO626" i="1" s="1"/>
  <c r="BM626" i="1"/>
  <c r="BD626" i="1"/>
  <c r="BC626" i="1"/>
  <c r="BB626" i="1"/>
  <c r="BA626" i="1"/>
  <c r="AZ626" i="1"/>
  <c r="AY626" i="1"/>
  <c r="BE626" i="1" s="1" a="1"/>
  <c r="BE626" i="1" s="1"/>
  <c r="AX626" i="1"/>
  <c r="M626" i="1"/>
  <c r="EM633" i="1"/>
  <c r="DU633" i="1"/>
  <c r="DT633" i="1"/>
  <c r="DN633" i="1"/>
  <c r="DM633" i="1"/>
  <c r="DL633" i="1"/>
  <c r="DK633" i="1"/>
  <c r="DI633" i="1"/>
  <c r="DJ633" i="1" s="1"/>
  <c r="DC633" i="1"/>
  <c r="CX633" i="1"/>
  <c r="CN633" i="1"/>
  <c r="CS633" i="1" s="1"/>
  <c r="BV633" i="1"/>
  <c r="BX633" i="1" s="1"/>
  <c r="BN633" i="1"/>
  <c r="BO633" i="1" s="1"/>
  <c r="BD633" i="1"/>
  <c r="BC633" i="1"/>
  <c r="BB633" i="1"/>
  <c r="BA633" i="1"/>
  <c r="AZ633" i="1"/>
  <c r="AY633" i="1"/>
  <c r="BE633" i="1" s="1" a="1"/>
  <c r="BE633" i="1" s="1"/>
  <c r="AX633" i="1"/>
  <c r="M633" i="1"/>
  <c r="EM630" i="1"/>
  <c r="DU630" i="1"/>
  <c r="DT630" i="1"/>
  <c r="DN630" i="1"/>
  <c r="DM630" i="1"/>
  <c r="DL630" i="1"/>
  <c r="DK630" i="1"/>
  <c r="DI630" i="1"/>
  <c r="DJ630" i="1" s="1"/>
  <c r="DC630" i="1"/>
  <c r="CX630" i="1"/>
  <c r="CN630" i="1"/>
  <c r="BV630" i="1"/>
  <c r="BX630" i="1" s="1"/>
  <c r="BU630" i="1"/>
  <c r="BN630" i="1"/>
  <c r="BO630" i="1" s="1"/>
  <c r="BM630" i="1"/>
  <c r="BD630" i="1"/>
  <c r="BC630" i="1"/>
  <c r="BB630" i="1"/>
  <c r="BA630" i="1"/>
  <c r="AZ630" i="1"/>
  <c r="AY630" i="1"/>
  <c r="BE630" i="1" s="1" a="1"/>
  <c r="BE630" i="1" s="1"/>
  <c r="AX630" i="1"/>
  <c r="M630" i="1"/>
  <c r="EM505" i="1"/>
  <c r="DU505" i="1"/>
  <c r="DT505" i="1"/>
  <c r="DN505" i="1"/>
  <c r="DM505" i="1"/>
  <c r="DL505" i="1"/>
  <c r="DK505" i="1"/>
  <c r="DI505" i="1"/>
  <c r="DJ505" i="1" s="1"/>
  <c r="DC505" i="1"/>
  <c r="CX505" i="1"/>
  <c r="CN505" i="1"/>
  <c r="BV505" i="1"/>
  <c r="BX505" i="1" s="1"/>
  <c r="BU505" i="1"/>
  <c r="BN505" i="1"/>
  <c r="BO505" i="1" s="1"/>
  <c r="BD505" i="1"/>
  <c r="BC505" i="1"/>
  <c r="BB505" i="1"/>
  <c r="BA505" i="1"/>
  <c r="AZ505" i="1"/>
  <c r="AY505" i="1"/>
  <c r="BE505" i="1" s="1" a="1"/>
  <c r="BE505" i="1" s="1"/>
  <c r="AX505" i="1"/>
  <c r="M505" i="1"/>
  <c r="EM504" i="1"/>
  <c r="DU504" i="1"/>
  <c r="DT504" i="1"/>
  <c r="DN504" i="1"/>
  <c r="DM504" i="1"/>
  <c r="DL504" i="1"/>
  <c r="DK504" i="1"/>
  <c r="DI504" i="1"/>
  <c r="DJ504" i="1" s="1"/>
  <c r="DC504" i="1"/>
  <c r="CX504" i="1"/>
  <c r="CN504" i="1"/>
  <c r="BV504" i="1"/>
  <c r="BX504" i="1" s="1"/>
  <c r="BU504" i="1"/>
  <c r="BN504" i="1"/>
  <c r="BO504" i="1" s="1"/>
  <c r="BD504" i="1"/>
  <c r="BC504" i="1"/>
  <c r="BB504" i="1"/>
  <c r="BA504" i="1"/>
  <c r="AZ504" i="1"/>
  <c r="AY504" i="1"/>
  <c r="BE504" i="1" s="1" a="1"/>
  <c r="BE504" i="1" s="1"/>
  <c r="AX504" i="1"/>
  <c r="M504" i="1"/>
  <c r="EM358" i="1"/>
  <c r="DN358" i="1"/>
  <c r="DM358" i="1"/>
  <c r="DL358" i="1"/>
  <c r="DK358" i="1"/>
  <c r="DI358" i="1"/>
  <c r="DJ358" i="1" s="1"/>
  <c r="DB358" i="1"/>
  <c r="DC358" i="1" s="1"/>
  <c r="CX358" i="1"/>
  <c r="CN358" i="1"/>
  <c r="BV358" i="1"/>
  <c r="BX358" i="1" s="1"/>
  <c r="BU358" i="1"/>
  <c r="BN358" i="1"/>
  <c r="BO358" i="1" s="1"/>
  <c r="BM358" i="1"/>
  <c r="BD358" i="1"/>
  <c r="BC358" i="1"/>
  <c r="BB358" i="1"/>
  <c r="BA358" i="1"/>
  <c r="AZ358" i="1"/>
  <c r="AY358" i="1"/>
  <c r="BE358" i="1" s="1" a="1"/>
  <c r="BE358" i="1" s="1"/>
  <c r="AX358" i="1"/>
  <c r="M358" i="1"/>
  <c r="EM260" i="1"/>
  <c r="DU260" i="1"/>
  <c r="DT260" i="1"/>
  <c r="DN260" i="1"/>
  <c r="DM260" i="1"/>
  <c r="DL260" i="1"/>
  <c r="DK260" i="1"/>
  <c r="DI260" i="1"/>
  <c r="DJ260" i="1" s="1"/>
  <c r="DC260" i="1"/>
  <c r="CX260" i="1"/>
  <c r="CN260" i="1"/>
  <c r="CO260" i="1" s="1"/>
  <c r="BX260" i="1"/>
  <c r="BN260" i="1"/>
  <c r="BO260" i="1" s="1"/>
  <c r="BD260" i="1"/>
  <c r="BC260" i="1"/>
  <c r="BB260" i="1"/>
  <c r="BA260" i="1"/>
  <c r="AZ260" i="1"/>
  <c r="AY260" i="1"/>
  <c r="BE260" i="1" s="1" a="1"/>
  <c r="BE260" i="1" s="1"/>
  <c r="AX260" i="1"/>
  <c r="M260" i="1"/>
  <c r="EM261" i="1"/>
  <c r="DU261" i="1"/>
  <c r="DT261" i="1"/>
  <c r="DN261" i="1"/>
  <c r="DM261" i="1"/>
  <c r="DL261" i="1"/>
  <c r="DK261" i="1"/>
  <c r="DI261" i="1"/>
  <c r="DJ261" i="1" s="1"/>
  <c r="DC261" i="1"/>
  <c r="CX261" i="1"/>
  <c r="CN261" i="1"/>
  <c r="CR261" i="1" s="1"/>
  <c r="BX261" i="1"/>
  <c r="BN261" i="1"/>
  <c r="BO261" i="1" s="1"/>
  <c r="BD261" i="1"/>
  <c r="BC261" i="1"/>
  <c r="BB261" i="1"/>
  <c r="BA261" i="1"/>
  <c r="AZ261" i="1"/>
  <c r="AY261" i="1"/>
  <c r="BE261" i="1" s="1" a="1"/>
  <c r="BE261" i="1" s="1"/>
  <c r="AX261" i="1"/>
  <c r="M261" i="1"/>
  <c r="EM263" i="1"/>
  <c r="DU263" i="1"/>
  <c r="DT263" i="1"/>
  <c r="DN263" i="1"/>
  <c r="DM263" i="1"/>
  <c r="DL263" i="1"/>
  <c r="DK263" i="1"/>
  <c r="DI263" i="1"/>
  <c r="DJ263" i="1" s="1"/>
  <c r="DC263" i="1"/>
  <c r="CX263" i="1"/>
  <c r="CN263" i="1"/>
  <c r="BX263" i="1"/>
  <c r="BN263" i="1"/>
  <c r="BO263" i="1" s="1"/>
  <c r="BD263" i="1"/>
  <c r="BC263" i="1"/>
  <c r="BB263" i="1"/>
  <c r="BA263" i="1"/>
  <c r="AZ263" i="1"/>
  <c r="AY263" i="1"/>
  <c r="BE263" i="1" s="1" a="1"/>
  <c r="BE263" i="1" s="1"/>
  <c r="AX263" i="1"/>
  <c r="M263" i="1"/>
  <c r="EM249" i="1"/>
  <c r="DU249" i="1"/>
  <c r="DT249" i="1"/>
  <c r="DN249" i="1"/>
  <c r="DM249" i="1"/>
  <c r="DL249" i="1"/>
  <c r="DK249" i="1"/>
  <c r="DI249" i="1"/>
  <c r="DJ249" i="1" s="1"/>
  <c r="DC249" i="1"/>
  <c r="CX249" i="1"/>
  <c r="CN249" i="1"/>
  <c r="BX249" i="1"/>
  <c r="BN249" i="1"/>
  <c r="BO249" i="1" s="1"/>
  <c r="BD249" i="1"/>
  <c r="BC249" i="1"/>
  <c r="BB249" i="1"/>
  <c r="BA249" i="1"/>
  <c r="AZ249" i="1"/>
  <c r="AY249" i="1"/>
  <c r="BE249" i="1" s="1" a="1"/>
  <c r="BE249" i="1" s="1"/>
  <c r="AX249" i="1"/>
  <c r="M249" i="1"/>
  <c r="EM251" i="1"/>
  <c r="DU251" i="1"/>
  <c r="DT251" i="1"/>
  <c r="DN251" i="1"/>
  <c r="DM251" i="1"/>
  <c r="DL251" i="1"/>
  <c r="DK251" i="1"/>
  <c r="DI251" i="1"/>
  <c r="DJ251" i="1" s="1"/>
  <c r="DC251" i="1"/>
  <c r="CX251" i="1"/>
  <c r="CN251" i="1"/>
  <c r="BX251" i="1"/>
  <c r="BN251" i="1"/>
  <c r="BO251" i="1" s="1"/>
  <c r="BD251" i="1"/>
  <c r="BC251" i="1"/>
  <c r="BB251" i="1"/>
  <c r="BA251" i="1"/>
  <c r="AZ251" i="1"/>
  <c r="AY251" i="1"/>
  <c r="BE251" i="1" s="1" a="1"/>
  <c r="BE251" i="1" s="1"/>
  <c r="AX251" i="1"/>
  <c r="M251" i="1"/>
  <c r="EM252" i="1"/>
  <c r="DU252" i="1"/>
  <c r="DT252" i="1"/>
  <c r="DN252" i="1"/>
  <c r="DM252" i="1"/>
  <c r="DL252" i="1"/>
  <c r="DK252" i="1"/>
  <c r="DI252" i="1"/>
  <c r="DJ252" i="1" s="1"/>
  <c r="DC252" i="1"/>
  <c r="CX252" i="1"/>
  <c r="CN252" i="1"/>
  <c r="CR252" i="1" s="1"/>
  <c r="BX252" i="1"/>
  <c r="BN252" i="1"/>
  <c r="BO252" i="1" s="1"/>
  <c r="BD252" i="1"/>
  <c r="BC252" i="1"/>
  <c r="BB252" i="1"/>
  <c r="BA252" i="1"/>
  <c r="AZ252" i="1"/>
  <c r="AY252" i="1"/>
  <c r="BE252" i="1" s="1" a="1"/>
  <c r="BE252" i="1" s="1"/>
  <c r="AX252" i="1"/>
  <c r="M252" i="1"/>
  <c r="EM247" i="1"/>
  <c r="DU247" i="1"/>
  <c r="DT247" i="1"/>
  <c r="DN247" i="1"/>
  <c r="DM247" i="1"/>
  <c r="DL247" i="1"/>
  <c r="DK247" i="1"/>
  <c r="DI247" i="1"/>
  <c r="DJ247" i="1" s="1"/>
  <c r="DC247" i="1"/>
  <c r="CX247" i="1"/>
  <c r="CN247" i="1"/>
  <c r="BX247" i="1"/>
  <c r="BN247" i="1"/>
  <c r="BO247" i="1" s="1"/>
  <c r="BD247" i="1"/>
  <c r="BC247" i="1"/>
  <c r="BB247" i="1"/>
  <c r="BA247" i="1"/>
  <c r="AZ247" i="1"/>
  <c r="AY247" i="1"/>
  <c r="BE247" i="1" s="1" a="1"/>
  <c r="BE247" i="1" s="1"/>
  <c r="AX247" i="1"/>
  <c r="M247" i="1"/>
  <c r="EM248" i="1"/>
  <c r="DU248" i="1"/>
  <c r="DT248" i="1"/>
  <c r="DN248" i="1"/>
  <c r="DM248" i="1"/>
  <c r="DL248" i="1"/>
  <c r="DK248" i="1"/>
  <c r="DI248" i="1"/>
  <c r="DJ248" i="1" s="1"/>
  <c r="DC248" i="1"/>
  <c r="CX248" i="1"/>
  <c r="CN248" i="1"/>
  <c r="CR248" i="1" s="1"/>
  <c r="BX248" i="1"/>
  <c r="BN248" i="1"/>
  <c r="BO248" i="1" s="1"/>
  <c r="BD248" i="1"/>
  <c r="BC248" i="1"/>
  <c r="BB248" i="1"/>
  <c r="BA248" i="1"/>
  <c r="AZ248" i="1"/>
  <c r="AY248" i="1"/>
  <c r="BE248" i="1" s="1" a="1"/>
  <c r="BE248" i="1" s="1"/>
  <c r="AX248" i="1"/>
  <c r="M248" i="1"/>
  <c r="EM250" i="1"/>
  <c r="DU250" i="1"/>
  <c r="DT250" i="1"/>
  <c r="DN250" i="1"/>
  <c r="DM250" i="1"/>
  <c r="DL250" i="1"/>
  <c r="DK250" i="1"/>
  <c r="DI250" i="1"/>
  <c r="DJ250" i="1" s="1"/>
  <c r="DC250" i="1"/>
  <c r="CX250" i="1"/>
  <c r="CN250" i="1"/>
  <c r="CP250" i="1" s="1"/>
  <c r="BX250" i="1"/>
  <c r="BN250" i="1"/>
  <c r="BO250" i="1" s="1"/>
  <c r="BD250" i="1"/>
  <c r="BC250" i="1"/>
  <c r="BB250" i="1"/>
  <c r="BA250" i="1"/>
  <c r="AZ250" i="1"/>
  <c r="AY250" i="1"/>
  <c r="BE250" i="1" s="1" a="1"/>
  <c r="BE250" i="1" s="1"/>
  <c r="AX250" i="1"/>
  <c r="M250" i="1"/>
  <c r="EM253" i="1"/>
  <c r="DU253" i="1"/>
  <c r="DT253" i="1"/>
  <c r="DN253" i="1"/>
  <c r="DM253" i="1"/>
  <c r="DL253" i="1"/>
  <c r="DK253" i="1"/>
  <c r="DI253" i="1"/>
  <c r="DJ253" i="1" s="1"/>
  <c r="DC253" i="1"/>
  <c r="CX253" i="1"/>
  <c r="CN253" i="1"/>
  <c r="CO253" i="1" s="1"/>
  <c r="BX253" i="1"/>
  <c r="BN253" i="1"/>
  <c r="BO253" i="1" s="1"/>
  <c r="BD253" i="1"/>
  <c r="BC253" i="1"/>
  <c r="BB253" i="1"/>
  <c r="BA253" i="1"/>
  <c r="AZ253" i="1"/>
  <c r="AY253" i="1"/>
  <c r="BE253" i="1" s="1" a="1"/>
  <c r="BE253" i="1" s="1"/>
  <c r="AX253" i="1"/>
  <c r="M253" i="1"/>
  <c r="EM255" i="1"/>
  <c r="DU255" i="1"/>
  <c r="DT255" i="1"/>
  <c r="DN255" i="1"/>
  <c r="DM255" i="1"/>
  <c r="DL255" i="1"/>
  <c r="DK255" i="1"/>
  <c r="DI255" i="1"/>
  <c r="DJ255" i="1" s="1"/>
  <c r="DC255" i="1"/>
  <c r="CX255" i="1"/>
  <c r="CN255" i="1"/>
  <c r="BX255" i="1"/>
  <c r="BN255" i="1"/>
  <c r="BO255" i="1" s="1"/>
  <c r="BD255" i="1"/>
  <c r="BC255" i="1"/>
  <c r="BB255" i="1"/>
  <c r="BA255" i="1"/>
  <c r="AZ255" i="1"/>
  <c r="AY255" i="1"/>
  <c r="BE255" i="1" s="1" a="1"/>
  <c r="BE255" i="1" s="1"/>
  <c r="AX255" i="1"/>
  <c r="M255" i="1"/>
  <c r="EM257" i="1"/>
  <c r="DU257" i="1"/>
  <c r="DT257" i="1"/>
  <c r="DN257" i="1"/>
  <c r="DM257" i="1"/>
  <c r="DL257" i="1"/>
  <c r="DK257" i="1"/>
  <c r="DI257" i="1"/>
  <c r="DJ257" i="1" s="1"/>
  <c r="DC257" i="1"/>
  <c r="CX257" i="1"/>
  <c r="CN257" i="1"/>
  <c r="BX257" i="1"/>
  <c r="BN257" i="1"/>
  <c r="BO257" i="1" s="1"/>
  <c r="BD257" i="1"/>
  <c r="BC257" i="1"/>
  <c r="BB257" i="1"/>
  <c r="BA257" i="1"/>
  <c r="AZ257" i="1"/>
  <c r="AY257" i="1"/>
  <c r="BE257" i="1" s="1" a="1"/>
  <c r="BE257" i="1" s="1"/>
  <c r="AX257" i="1"/>
  <c r="M257" i="1"/>
  <c r="EM259" i="1"/>
  <c r="DU259" i="1"/>
  <c r="DT259" i="1"/>
  <c r="DN259" i="1"/>
  <c r="DM259" i="1"/>
  <c r="DL259" i="1"/>
  <c r="DK259" i="1"/>
  <c r="DI259" i="1"/>
  <c r="DJ259" i="1" s="1"/>
  <c r="DC259" i="1"/>
  <c r="CX259" i="1"/>
  <c r="CN259" i="1"/>
  <c r="CR259" i="1" s="1"/>
  <c r="BX259" i="1"/>
  <c r="BN259" i="1"/>
  <c r="BO259" i="1" s="1"/>
  <c r="BD259" i="1"/>
  <c r="BC259" i="1"/>
  <c r="BB259" i="1"/>
  <c r="BA259" i="1"/>
  <c r="AZ259" i="1"/>
  <c r="AY259" i="1"/>
  <c r="BE259" i="1" s="1" a="1"/>
  <c r="BE259" i="1" s="1"/>
  <c r="AX259" i="1"/>
  <c r="M259" i="1"/>
  <c r="EM266" i="1"/>
  <c r="DU266" i="1"/>
  <c r="DT266" i="1"/>
  <c r="DN266" i="1"/>
  <c r="DM266" i="1"/>
  <c r="DL266" i="1"/>
  <c r="DK266" i="1"/>
  <c r="DI266" i="1"/>
  <c r="DJ266" i="1" s="1"/>
  <c r="DC266" i="1"/>
  <c r="CX266" i="1"/>
  <c r="CN266" i="1"/>
  <c r="BX266" i="1"/>
  <c r="BN266" i="1"/>
  <c r="BO266" i="1" s="1"/>
  <c r="BD266" i="1"/>
  <c r="BC266" i="1"/>
  <c r="BB266" i="1"/>
  <c r="BA266" i="1"/>
  <c r="AZ266" i="1"/>
  <c r="AY266" i="1"/>
  <c r="BE266" i="1" s="1" a="1"/>
  <c r="BE266" i="1" s="1"/>
  <c r="AX266" i="1"/>
  <c r="M266" i="1"/>
  <c r="EM268" i="1"/>
  <c r="DU268" i="1"/>
  <c r="DT268" i="1"/>
  <c r="DN268" i="1"/>
  <c r="DM268" i="1"/>
  <c r="DL268" i="1"/>
  <c r="DK268" i="1"/>
  <c r="DI268" i="1"/>
  <c r="DJ268" i="1" s="1"/>
  <c r="DC268" i="1"/>
  <c r="CX268" i="1"/>
  <c r="CN268" i="1"/>
  <c r="CS268" i="1" s="1"/>
  <c r="BX268" i="1"/>
  <c r="BN268" i="1"/>
  <c r="BO268" i="1" s="1"/>
  <c r="BD268" i="1"/>
  <c r="BC268" i="1"/>
  <c r="BB268" i="1"/>
  <c r="BA268" i="1"/>
  <c r="AZ268" i="1"/>
  <c r="AY268" i="1"/>
  <c r="BE268" i="1" s="1" a="1"/>
  <c r="BE268" i="1" s="1"/>
  <c r="AX268" i="1"/>
  <c r="M268" i="1"/>
  <c r="EM264" i="1"/>
  <c r="DU264" i="1"/>
  <c r="DT264" i="1"/>
  <c r="DN264" i="1"/>
  <c r="DM264" i="1"/>
  <c r="DL264" i="1"/>
  <c r="DK264" i="1"/>
  <c r="DI264" i="1"/>
  <c r="DJ264" i="1" s="1"/>
  <c r="DC264" i="1"/>
  <c r="CX264" i="1"/>
  <c r="CN264" i="1"/>
  <c r="CS264" i="1" s="1"/>
  <c r="BX264" i="1"/>
  <c r="BN264" i="1"/>
  <c r="BO264" i="1" s="1"/>
  <c r="BD264" i="1"/>
  <c r="BC264" i="1"/>
  <c r="BB264" i="1"/>
  <c r="BA264" i="1"/>
  <c r="AZ264" i="1"/>
  <c r="AY264" i="1"/>
  <c r="BE264" i="1" s="1" a="1"/>
  <c r="BE264" i="1" s="1"/>
  <c r="AX264" i="1"/>
  <c r="M264" i="1"/>
  <c r="EM265" i="1"/>
  <c r="DU265" i="1"/>
  <c r="DT265" i="1"/>
  <c r="DN265" i="1"/>
  <c r="DM265" i="1"/>
  <c r="DL265" i="1"/>
  <c r="DK265" i="1"/>
  <c r="DI265" i="1"/>
  <c r="DJ265" i="1" s="1"/>
  <c r="DC265" i="1"/>
  <c r="CX265" i="1"/>
  <c r="CN265" i="1"/>
  <c r="CR265" i="1" s="1"/>
  <c r="BX265" i="1"/>
  <c r="BN265" i="1"/>
  <c r="BO265" i="1" s="1"/>
  <c r="BD265" i="1"/>
  <c r="BC265" i="1"/>
  <c r="BB265" i="1"/>
  <c r="BA265" i="1"/>
  <c r="AZ265" i="1"/>
  <c r="AY265" i="1"/>
  <c r="BE265" i="1" s="1" a="1"/>
  <c r="BE265" i="1" s="1"/>
  <c r="AX265" i="1"/>
  <c r="M265" i="1"/>
  <c r="EM267" i="1"/>
  <c r="DU267" i="1"/>
  <c r="DT267" i="1"/>
  <c r="DN267" i="1"/>
  <c r="DM267" i="1"/>
  <c r="DL267" i="1"/>
  <c r="DK267" i="1"/>
  <c r="DI267" i="1"/>
  <c r="DJ267" i="1" s="1"/>
  <c r="DC267" i="1"/>
  <c r="CX267" i="1"/>
  <c r="CN267" i="1"/>
  <c r="BX267" i="1"/>
  <c r="BN267" i="1"/>
  <c r="BO267" i="1" s="1"/>
  <c r="BD267" i="1"/>
  <c r="BC267" i="1"/>
  <c r="BB267" i="1"/>
  <c r="BA267" i="1"/>
  <c r="AZ267" i="1"/>
  <c r="AY267" i="1"/>
  <c r="BE267" i="1" s="1" a="1"/>
  <c r="BE267" i="1" s="1"/>
  <c r="AX267" i="1"/>
  <c r="M267" i="1"/>
  <c r="EM244" i="1"/>
  <c r="DU244" i="1"/>
  <c r="DT244" i="1"/>
  <c r="DN244" i="1"/>
  <c r="DM244" i="1"/>
  <c r="DL244" i="1"/>
  <c r="DK244" i="1"/>
  <c r="DI244" i="1"/>
  <c r="DJ244" i="1" s="1"/>
  <c r="DC244" i="1"/>
  <c r="CX244" i="1"/>
  <c r="CN244" i="1"/>
  <c r="CR244" i="1" s="1"/>
  <c r="BX244" i="1"/>
  <c r="BN244" i="1"/>
  <c r="BO244" i="1" s="1"/>
  <c r="BD244" i="1"/>
  <c r="BC244" i="1"/>
  <c r="BB244" i="1"/>
  <c r="BA244" i="1"/>
  <c r="AZ244" i="1"/>
  <c r="AY244" i="1"/>
  <c r="BE244" i="1" s="1" a="1"/>
  <c r="BE244" i="1" s="1"/>
  <c r="AX244" i="1"/>
  <c r="M244" i="1"/>
  <c r="EM245" i="1"/>
  <c r="DU245" i="1"/>
  <c r="DT245" i="1"/>
  <c r="DN245" i="1"/>
  <c r="DM245" i="1"/>
  <c r="DL245" i="1"/>
  <c r="DK245" i="1"/>
  <c r="DI245" i="1"/>
  <c r="DJ245" i="1" s="1"/>
  <c r="DC245" i="1"/>
  <c r="CX245" i="1"/>
  <c r="CN245" i="1"/>
  <c r="BX245" i="1"/>
  <c r="BN245" i="1"/>
  <c r="BO245" i="1" s="1"/>
  <c r="BD245" i="1"/>
  <c r="BC245" i="1"/>
  <c r="BB245" i="1"/>
  <c r="BA245" i="1"/>
  <c r="AZ245" i="1"/>
  <c r="AY245" i="1"/>
  <c r="BE245" i="1" s="1" a="1"/>
  <c r="BE245" i="1" s="1"/>
  <c r="AX245" i="1"/>
  <c r="M245" i="1"/>
  <c r="EM246" i="1"/>
  <c r="DU246" i="1"/>
  <c r="DT246" i="1"/>
  <c r="DN246" i="1"/>
  <c r="DM246" i="1"/>
  <c r="DL246" i="1"/>
  <c r="DK246" i="1"/>
  <c r="DI246" i="1"/>
  <c r="DJ246" i="1" s="1"/>
  <c r="DC246" i="1"/>
  <c r="CX246" i="1"/>
  <c r="CN246" i="1"/>
  <c r="BX246" i="1"/>
  <c r="BN246" i="1"/>
  <c r="BO246" i="1" s="1"/>
  <c r="BD246" i="1"/>
  <c r="BC246" i="1"/>
  <c r="BB246" i="1"/>
  <c r="BA246" i="1"/>
  <c r="AZ246" i="1"/>
  <c r="AY246" i="1"/>
  <c r="BE246" i="1" s="1" a="1"/>
  <c r="BE246" i="1" s="1"/>
  <c r="AX246" i="1"/>
  <c r="M246" i="1"/>
  <c r="EM241" i="1"/>
  <c r="DU241" i="1"/>
  <c r="DT241" i="1"/>
  <c r="DN241" i="1"/>
  <c r="DM241" i="1"/>
  <c r="DL241" i="1"/>
  <c r="DK241" i="1"/>
  <c r="DI241" i="1"/>
  <c r="DJ241" i="1" s="1"/>
  <c r="DC241" i="1"/>
  <c r="CX241" i="1"/>
  <c r="CN241" i="1"/>
  <c r="BX241" i="1"/>
  <c r="BN241" i="1"/>
  <c r="BO241" i="1" s="1"/>
  <c r="BD241" i="1"/>
  <c r="BC241" i="1"/>
  <c r="BB241" i="1"/>
  <c r="BA241" i="1"/>
  <c r="AZ241" i="1"/>
  <c r="AY241" i="1"/>
  <c r="BE241" i="1" s="1" a="1"/>
  <c r="BE241" i="1" s="1"/>
  <c r="AX241" i="1"/>
  <c r="M241" i="1"/>
  <c r="EM242" i="1"/>
  <c r="DU242" i="1"/>
  <c r="DT242" i="1"/>
  <c r="DN242" i="1"/>
  <c r="DM242" i="1"/>
  <c r="DL242" i="1"/>
  <c r="DK242" i="1"/>
  <c r="DI242" i="1"/>
  <c r="DJ242" i="1" s="1"/>
  <c r="DC242" i="1"/>
  <c r="CX242" i="1"/>
  <c r="CN242" i="1"/>
  <c r="BX242" i="1"/>
  <c r="BN242" i="1"/>
  <c r="BO242" i="1" s="1"/>
  <c r="BD242" i="1"/>
  <c r="BC242" i="1"/>
  <c r="BB242" i="1"/>
  <c r="BA242" i="1"/>
  <c r="AZ242" i="1"/>
  <c r="AY242" i="1"/>
  <c r="BE242" i="1" s="1" a="1"/>
  <c r="BE242" i="1" s="1"/>
  <c r="AX242" i="1"/>
  <c r="M242" i="1"/>
  <c r="EM243" i="1"/>
  <c r="DU243" i="1"/>
  <c r="DT243" i="1"/>
  <c r="DN243" i="1"/>
  <c r="DM243" i="1"/>
  <c r="DL243" i="1"/>
  <c r="DK243" i="1"/>
  <c r="DI243" i="1"/>
  <c r="DJ243" i="1" s="1"/>
  <c r="DC243" i="1"/>
  <c r="CX243" i="1"/>
  <c r="CN243" i="1"/>
  <c r="CR243" i="1" s="1"/>
  <c r="BX243" i="1"/>
  <c r="BN243" i="1"/>
  <c r="BO243" i="1" s="1"/>
  <c r="BD243" i="1"/>
  <c r="BC243" i="1"/>
  <c r="BB243" i="1"/>
  <c r="BA243" i="1"/>
  <c r="AZ243" i="1"/>
  <c r="AY243" i="1"/>
  <c r="BE243" i="1" s="1" a="1"/>
  <c r="BE243" i="1" s="1"/>
  <c r="AX243" i="1"/>
  <c r="M243" i="1"/>
  <c r="EM254" i="1"/>
  <c r="DU254" i="1"/>
  <c r="DT254" i="1"/>
  <c r="DN254" i="1"/>
  <c r="DM254" i="1"/>
  <c r="DL254" i="1"/>
  <c r="DK254" i="1"/>
  <c r="DI254" i="1"/>
  <c r="DJ254" i="1" s="1"/>
  <c r="DC254" i="1"/>
  <c r="CX254" i="1"/>
  <c r="CN254" i="1"/>
  <c r="BX254" i="1"/>
  <c r="BN254" i="1"/>
  <c r="BO254" i="1" s="1"/>
  <c r="BD254" i="1"/>
  <c r="BC254" i="1"/>
  <c r="BB254" i="1"/>
  <c r="BA254" i="1"/>
  <c r="AZ254" i="1"/>
  <c r="AY254" i="1"/>
  <c r="BE254" i="1" s="1" a="1"/>
  <c r="BE254" i="1" s="1"/>
  <c r="AX254" i="1"/>
  <c r="M254" i="1"/>
  <c r="EM256" i="1"/>
  <c r="DU256" i="1"/>
  <c r="DT256" i="1"/>
  <c r="DN256" i="1"/>
  <c r="DM256" i="1"/>
  <c r="DL256" i="1"/>
  <c r="DK256" i="1"/>
  <c r="DI256" i="1"/>
  <c r="DJ256" i="1" s="1"/>
  <c r="DC256" i="1"/>
  <c r="CX256" i="1"/>
  <c r="CN256" i="1"/>
  <c r="BX256" i="1"/>
  <c r="BN256" i="1"/>
  <c r="BO256" i="1" s="1"/>
  <c r="BD256" i="1"/>
  <c r="BC256" i="1"/>
  <c r="BB256" i="1"/>
  <c r="BA256" i="1"/>
  <c r="AZ256" i="1"/>
  <c r="AY256" i="1"/>
  <c r="BE256" i="1" s="1" a="1"/>
  <c r="BE256" i="1" s="1"/>
  <c r="AX256" i="1"/>
  <c r="M256" i="1"/>
  <c r="EM258" i="1"/>
  <c r="DU258" i="1"/>
  <c r="DT258" i="1"/>
  <c r="DN258" i="1"/>
  <c r="DM258" i="1"/>
  <c r="DL258" i="1"/>
  <c r="DK258" i="1"/>
  <c r="DI258" i="1"/>
  <c r="DJ258" i="1" s="1"/>
  <c r="DC258" i="1"/>
  <c r="CX258" i="1"/>
  <c r="CN258" i="1"/>
  <c r="CR258" i="1" s="1"/>
  <c r="BX258" i="1"/>
  <c r="BN258" i="1"/>
  <c r="BO258" i="1" s="1"/>
  <c r="BD258" i="1"/>
  <c r="BC258" i="1"/>
  <c r="BB258" i="1"/>
  <c r="BA258" i="1"/>
  <c r="AZ258" i="1"/>
  <c r="AY258" i="1"/>
  <c r="BE258" i="1" s="1" a="1"/>
  <c r="BE258" i="1" s="1"/>
  <c r="AX258" i="1"/>
  <c r="M258" i="1"/>
  <c r="EM262" i="1"/>
  <c r="DU262" i="1"/>
  <c r="DT262" i="1"/>
  <c r="DN262" i="1"/>
  <c r="DM262" i="1"/>
  <c r="DL262" i="1"/>
  <c r="DK262" i="1"/>
  <c r="DI262" i="1"/>
  <c r="DJ262" i="1" s="1"/>
  <c r="DC262" i="1"/>
  <c r="CX262" i="1"/>
  <c r="CN262" i="1"/>
  <c r="CS262" i="1" s="1"/>
  <c r="BX262" i="1"/>
  <c r="BN262" i="1"/>
  <c r="BO262" i="1" s="1"/>
  <c r="BD262" i="1"/>
  <c r="BC262" i="1"/>
  <c r="BB262" i="1"/>
  <c r="BA262" i="1"/>
  <c r="AZ262" i="1"/>
  <c r="AY262" i="1"/>
  <c r="BE262" i="1" s="1" a="1"/>
  <c r="BE262" i="1" s="1"/>
  <c r="AX262" i="1"/>
  <c r="M262" i="1"/>
  <c r="EM269" i="1"/>
  <c r="DU269" i="1"/>
  <c r="DT269" i="1"/>
  <c r="DN269" i="1"/>
  <c r="DM269" i="1"/>
  <c r="DL269" i="1"/>
  <c r="DK269" i="1"/>
  <c r="DI269" i="1"/>
  <c r="DJ269" i="1" s="1"/>
  <c r="DC269" i="1"/>
  <c r="CX269" i="1"/>
  <c r="CN269" i="1"/>
  <c r="BX269" i="1"/>
  <c r="BN269" i="1"/>
  <c r="BO269" i="1" s="1"/>
  <c r="BD269" i="1"/>
  <c r="BC269" i="1"/>
  <c r="BB269" i="1"/>
  <c r="BA269" i="1"/>
  <c r="AZ269" i="1"/>
  <c r="AY269" i="1"/>
  <c r="BE269" i="1" s="1" a="1"/>
  <c r="BE269" i="1" s="1"/>
  <c r="AX269" i="1"/>
  <c r="M269" i="1"/>
  <c r="EM270" i="1"/>
  <c r="DU270" i="1"/>
  <c r="DT270" i="1"/>
  <c r="DN270" i="1"/>
  <c r="DM270" i="1"/>
  <c r="DL270" i="1"/>
  <c r="DK270" i="1"/>
  <c r="DI270" i="1"/>
  <c r="DJ270" i="1" s="1"/>
  <c r="DC270" i="1"/>
  <c r="CX270" i="1"/>
  <c r="CN270" i="1"/>
  <c r="CO270" i="1" s="1"/>
  <c r="BX270" i="1"/>
  <c r="BN270" i="1"/>
  <c r="BO270" i="1" s="1"/>
  <c r="BD270" i="1"/>
  <c r="BC270" i="1"/>
  <c r="BB270" i="1"/>
  <c r="BA270" i="1"/>
  <c r="AZ270" i="1"/>
  <c r="AY270" i="1"/>
  <c r="BE270" i="1" s="1" a="1"/>
  <c r="BE270" i="1" s="1"/>
  <c r="AX270" i="1"/>
  <c r="M270" i="1"/>
  <c r="EM220" i="1"/>
  <c r="DU220" i="1"/>
  <c r="DT220" i="1"/>
  <c r="DN220" i="1"/>
  <c r="DM220" i="1"/>
  <c r="DL220" i="1"/>
  <c r="DK220" i="1"/>
  <c r="DI220" i="1"/>
  <c r="DJ220" i="1" s="1"/>
  <c r="DC220" i="1"/>
  <c r="CX220" i="1"/>
  <c r="CN220" i="1"/>
  <c r="CP220" i="1" s="1"/>
  <c r="BV220" i="1"/>
  <c r="BX220" i="1" s="1"/>
  <c r="BN220" i="1"/>
  <c r="BO220" i="1" s="1"/>
  <c r="BD220" i="1"/>
  <c r="BC220" i="1"/>
  <c r="BB220" i="1"/>
  <c r="BA220" i="1"/>
  <c r="AZ220" i="1"/>
  <c r="AY220" i="1"/>
  <c r="BE220" i="1" s="1" a="1"/>
  <c r="BE220" i="1" s="1"/>
  <c r="AX220" i="1"/>
  <c r="M220" i="1"/>
  <c r="EM221" i="1"/>
  <c r="DU221" i="1"/>
  <c r="DT221" i="1"/>
  <c r="DN221" i="1"/>
  <c r="DM221" i="1"/>
  <c r="DL221" i="1"/>
  <c r="DK221" i="1"/>
  <c r="DI221" i="1"/>
  <c r="DJ221" i="1" s="1"/>
  <c r="DC221" i="1"/>
  <c r="CX221" i="1"/>
  <c r="CN221" i="1"/>
  <c r="BV221" i="1"/>
  <c r="BX221" i="1" s="1"/>
  <c r="BN221" i="1"/>
  <c r="BO221" i="1" s="1"/>
  <c r="BD221" i="1"/>
  <c r="BC221" i="1"/>
  <c r="BB221" i="1"/>
  <c r="BA221" i="1"/>
  <c r="AZ221" i="1"/>
  <c r="AY221" i="1"/>
  <c r="BE221" i="1" s="1" a="1"/>
  <c r="BE221" i="1" s="1"/>
  <c r="AX221" i="1"/>
  <c r="M221" i="1"/>
  <c r="EM222" i="1"/>
  <c r="DU222" i="1"/>
  <c r="DT222" i="1"/>
  <c r="DN222" i="1"/>
  <c r="DM222" i="1"/>
  <c r="DL222" i="1"/>
  <c r="DK222" i="1"/>
  <c r="DI222" i="1"/>
  <c r="DJ222" i="1" s="1"/>
  <c r="DC222" i="1"/>
  <c r="CX222" i="1"/>
  <c r="CN222" i="1"/>
  <c r="CP222" i="1" s="1"/>
  <c r="BV222" i="1"/>
  <c r="BX222" i="1" s="1"/>
  <c r="BN222" i="1"/>
  <c r="BO222" i="1" s="1"/>
  <c r="BD222" i="1"/>
  <c r="BC222" i="1"/>
  <c r="BB222" i="1"/>
  <c r="BA222" i="1"/>
  <c r="AZ222" i="1"/>
  <c r="AY222" i="1"/>
  <c r="BE222" i="1" s="1" a="1"/>
  <c r="BE222" i="1" s="1"/>
  <c r="AX222" i="1"/>
  <c r="M222" i="1"/>
  <c r="EM223" i="1"/>
  <c r="DU223" i="1"/>
  <c r="DT223" i="1"/>
  <c r="DN223" i="1"/>
  <c r="DM223" i="1"/>
  <c r="DL223" i="1"/>
  <c r="DK223" i="1"/>
  <c r="DI223" i="1"/>
  <c r="DJ223" i="1" s="1"/>
  <c r="DC223" i="1"/>
  <c r="CX223" i="1"/>
  <c r="CN223" i="1"/>
  <c r="BV223" i="1"/>
  <c r="BX223" i="1" s="1"/>
  <c r="BN223" i="1"/>
  <c r="BO223" i="1" s="1"/>
  <c r="BD223" i="1"/>
  <c r="BC223" i="1"/>
  <c r="BB223" i="1"/>
  <c r="BA223" i="1"/>
  <c r="AZ223" i="1"/>
  <c r="AY223" i="1"/>
  <c r="BE223" i="1" s="1" a="1"/>
  <c r="BE223" i="1" s="1"/>
  <c r="AX223" i="1"/>
  <c r="M223" i="1"/>
  <c r="EM226" i="1"/>
  <c r="DU226" i="1"/>
  <c r="DT226" i="1"/>
  <c r="DN226" i="1"/>
  <c r="DM226" i="1"/>
  <c r="DL226" i="1"/>
  <c r="DK226" i="1"/>
  <c r="DI226" i="1"/>
  <c r="DJ226" i="1" s="1"/>
  <c r="DC226" i="1"/>
  <c r="CX226" i="1"/>
  <c r="CN226" i="1"/>
  <c r="CP226" i="1" s="1"/>
  <c r="BV226" i="1"/>
  <c r="BX226" i="1" s="1"/>
  <c r="BN226" i="1"/>
  <c r="BO226" i="1" s="1"/>
  <c r="BD226" i="1"/>
  <c r="BC226" i="1"/>
  <c r="BB226" i="1"/>
  <c r="BA226" i="1"/>
  <c r="AZ226" i="1"/>
  <c r="AY226" i="1"/>
  <c r="BE226" i="1" s="1" a="1"/>
  <c r="BE226" i="1" s="1"/>
  <c r="AX226" i="1"/>
  <c r="M226" i="1"/>
  <c r="EM227" i="1"/>
  <c r="DU227" i="1"/>
  <c r="DT227" i="1"/>
  <c r="DN227" i="1"/>
  <c r="DM227" i="1"/>
  <c r="DL227" i="1"/>
  <c r="DK227" i="1"/>
  <c r="DI227" i="1"/>
  <c r="DJ227" i="1" s="1"/>
  <c r="DC227" i="1"/>
  <c r="CX227" i="1"/>
  <c r="CN227" i="1"/>
  <c r="BV227" i="1"/>
  <c r="BX227" i="1" s="1"/>
  <c r="BN227" i="1"/>
  <c r="BO227" i="1" s="1"/>
  <c r="BD227" i="1"/>
  <c r="BC227" i="1"/>
  <c r="BB227" i="1"/>
  <c r="BA227" i="1"/>
  <c r="AZ227" i="1"/>
  <c r="AY227" i="1"/>
  <c r="BE227" i="1" s="1" a="1"/>
  <c r="BE227" i="1" s="1"/>
  <c r="AX227" i="1"/>
  <c r="M227" i="1"/>
  <c r="EM232" i="1"/>
  <c r="DU232" i="1"/>
  <c r="DT232" i="1"/>
  <c r="DN232" i="1"/>
  <c r="DM232" i="1"/>
  <c r="DL232" i="1"/>
  <c r="DK232" i="1"/>
  <c r="DI232" i="1"/>
  <c r="DJ232" i="1" s="1"/>
  <c r="DC232" i="1"/>
  <c r="CX232" i="1"/>
  <c r="CN232" i="1"/>
  <c r="CO232" i="1" s="1"/>
  <c r="BV232" i="1"/>
  <c r="BX232" i="1" s="1"/>
  <c r="BN232" i="1"/>
  <c r="BO232" i="1" s="1"/>
  <c r="BD232" i="1"/>
  <c r="BC232" i="1"/>
  <c r="BB232" i="1"/>
  <c r="BA232" i="1"/>
  <c r="AZ232" i="1"/>
  <c r="AY232" i="1"/>
  <c r="BE232" i="1" s="1" a="1"/>
  <c r="BE232" i="1" s="1"/>
  <c r="AX232" i="1"/>
  <c r="M232" i="1"/>
  <c r="EM235" i="1"/>
  <c r="DU235" i="1"/>
  <c r="DT235" i="1"/>
  <c r="DN235" i="1"/>
  <c r="DM235" i="1"/>
  <c r="DL235" i="1"/>
  <c r="DK235" i="1"/>
  <c r="DI235" i="1"/>
  <c r="DJ235" i="1" s="1"/>
  <c r="DC235" i="1"/>
  <c r="CX235" i="1"/>
  <c r="CN235" i="1"/>
  <c r="BV235" i="1"/>
  <c r="BX235" i="1" s="1"/>
  <c r="BN235" i="1"/>
  <c r="BO235" i="1" s="1"/>
  <c r="BD235" i="1"/>
  <c r="BC235" i="1"/>
  <c r="BB235" i="1"/>
  <c r="BA235" i="1"/>
  <c r="AZ235" i="1"/>
  <c r="AY235" i="1"/>
  <c r="BE235" i="1" s="1" a="1"/>
  <c r="BE235" i="1" s="1"/>
  <c r="AX235" i="1"/>
  <c r="M235" i="1"/>
  <c r="EM236" i="1"/>
  <c r="DU236" i="1"/>
  <c r="DT236" i="1"/>
  <c r="DN236" i="1"/>
  <c r="DM236" i="1"/>
  <c r="DL236" i="1"/>
  <c r="DK236" i="1"/>
  <c r="DI236" i="1"/>
  <c r="DJ236" i="1" s="1"/>
  <c r="DC236" i="1"/>
  <c r="CX236" i="1"/>
  <c r="CN236" i="1"/>
  <c r="BV236" i="1"/>
  <c r="BX236" i="1" s="1"/>
  <c r="BN236" i="1"/>
  <c r="BO236" i="1" s="1"/>
  <c r="BD236" i="1"/>
  <c r="BC236" i="1"/>
  <c r="BB236" i="1"/>
  <c r="BA236" i="1"/>
  <c r="AZ236" i="1"/>
  <c r="AY236" i="1"/>
  <c r="BE236" i="1" s="1" a="1"/>
  <c r="BE236" i="1" s="1"/>
  <c r="AX236" i="1"/>
  <c r="M236" i="1"/>
  <c r="EM215" i="1"/>
  <c r="DU215" i="1"/>
  <c r="DT215" i="1"/>
  <c r="DN215" i="1"/>
  <c r="DM215" i="1"/>
  <c r="DL215" i="1"/>
  <c r="DK215" i="1"/>
  <c r="DI215" i="1"/>
  <c r="DJ215" i="1" s="1"/>
  <c r="DC215" i="1"/>
  <c r="CX215" i="1"/>
  <c r="CN215" i="1"/>
  <c r="BV215" i="1"/>
  <c r="BX215" i="1" s="1"/>
  <c r="BN215" i="1"/>
  <c r="BO215" i="1" s="1"/>
  <c r="BD215" i="1"/>
  <c r="BC215" i="1"/>
  <c r="BB215" i="1"/>
  <c r="BA215" i="1"/>
  <c r="AZ215" i="1"/>
  <c r="AY215" i="1"/>
  <c r="BE215" i="1" s="1" a="1"/>
  <c r="BE215" i="1" s="1"/>
  <c r="AX215" i="1"/>
  <c r="M215" i="1"/>
  <c r="EM218" i="1"/>
  <c r="DU218" i="1"/>
  <c r="DT218" i="1"/>
  <c r="DN218" i="1"/>
  <c r="DM218" i="1"/>
  <c r="DL218" i="1"/>
  <c r="DK218" i="1"/>
  <c r="DI218" i="1"/>
  <c r="DJ218" i="1" s="1"/>
  <c r="DC218" i="1"/>
  <c r="CX218" i="1"/>
  <c r="CN218" i="1"/>
  <c r="CO218" i="1" s="1"/>
  <c r="BV218" i="1"/>
  <c r="BX218" i="1" s="1"/>
  <c r="BN218" i="1"/>
  <c r="BO218" i="1" s="1"/>
  <c r="BD218" i="1"/>
  <c r="BC218" i="1"/>
  <c r="BB218" i="1"/>
  <c r="BA218" i="1"/>
  <c r="AZ218" i="1"/>
  <c r="AY218" i="1"/>
  <c r="BE218" i="1" s="1" a="1"/>
  <c r="BE218" i="1" s="1"/>
  <c r="AX218" i="1"/>
  <c r="M218" i="1"/>
  <c r="EM219" i="1"/>
  <c r="DU219" i="1"/>
  <c r="DT219" i="1"/>
  <c r="DN219" i="1"/>
  <c r="DM219" i="1"/>
  <c r="DL219" i="1"/>
  <c r="DK219" i="1"/>
  <c r="DI219" i="1"/>
  <c r="DJ219" i="1" s="1"/>
  <c r="DC219" i="1"/>
  <c r="CX219" i="1"/>
  <c r="CN219" i="1"/>
  <c r="BV219" i="1"/>
  <c r="BX219" i="1" s="1"/>
  <c r="BN219" i="1"/>
  <c r="BO219" i="1" s="1"/>
  <c r="BD219" i="1"/>
  <c r="BC219" i="1"/>
  <c r="BB219" i="1"/>
  <c r="BA219" i="1"/>
  <c r="AZ219" i="1"/>
  <c r="AY219" i="1"/>
  <c r="BE219" i="1" s="1" a="1"/>
  <c r="BE219" i="1" s="1"/>
  <c r="AX219" i="1"/>
  <c r="M219" i="1"/>
  <c r="EM225" i="1"/>
  <c r="DU225" i="1"/>
  <c r="DT225" i="1"/>
  <c r="DN225" i="1"/>
  <c r="DM225" i="1"/>
  <c r="DL225" i="1"/>
  <c r="DK225" i="1"/>
  <c r="DI225" i="1"/>
  <c r="DJ225" i="1" s="1"/>
  <c r="DC225" i="1"/>
  <c r="CX225" i="1"/>
  <c r="CN225" i="1"/>
  <c r="CP225" i="1" s="1"/>
  <c r="BV225" i="1"/>
  <c r="BX225" i="1" s="1"/>
  <c r="BN225" i="1"/>
  <c r="BO225" i="1" s="1"/>
  <c r="BD225" i="1"/>
  <c r="BC225" i="1"/>
  <c r="BB225" i="1"/>
  <c r="BA225" i="1"/>
  <c r="AZ225" i="1"/>
  <c r="AY225" i="1"/>
  <c r="BE225" i="1" s="1" a="1"/>
  <c r="BE225" i="1" s="1"/>
  <c r="AX225" i="1"/>
  <c r="M225" i="1"/>
  <c r="EM230" i="1"/>
  <c r="DU230" i="1"/>
  <c r="DT230" i="1"/>
  <c r="DN230" i="1"/>
  <c r="DM230" i="1"/>
  <c r="DL230" i="1"/>
  <c r="DK230" i="1"/>
  <c r="DI230" i="1"/>
  <c r="DJ230" i="1" s="1"/>
  <c r="DC230" i="1"/>
  <c r="CX230" i="1"/>
  <c r="CN230" i="1"/>
  <c r="BV230" i="1"/>
  <c r="BX230" i="1" s="1"/>
  <c r="BN230" i="1"/>
  <c r="BO230" i="1" s="1"/>
  <c r="BD230" i="1"/>
  <c r="BC230" i="1"/>
  <c r="BB230" i="1"/>
  <c r="BA230" i="1"/>
  <c r="AZ230" i="1"/>
  <c r="AY230" i="1"/>
  <c r="BE230" i="1" s="1" a="1"/>
  <c r="BE230" i="1" s="1"/>
  <c r="AX230" i="1"/>
  <c r="M230" i="1"/>
  <c r="EM231" i="1"/>
  <c r="DU231" i="1"/>
  <c r="DT231" i="1"/>
  <c r="DN231" i="1"/>
  <c r="DM231" i="1"/>
  <c r="DL231" i="1"/>
  <c r="DK231" i="1"/>
  <c r="DI231" i="1"/>
  <c r="DJ231" i="1" s="1"/>
  <c r="DC231" i="1"/>
  <c r="CX231" i="1"/>
  <c r="CN231" i="1"/>
  <c r="BV231" i="1"/>
  <c r="BX231" i="1" s="1"/>
  <c r="BN231" i="1"/>
  <c r="BO231" i="1" s="1"/>
  <c r="BD231" i="1"/>
  <c r="BC231" i="1"/>
  <c r="BB231" i="1"/>
  <c r="BA231" i="1"/>
  <c r="AZ231" i="1"/>
  <c r="AY231" i="1"/>
  <c r="BE231" i="1" s="1" a="1"/>
  <c r="BE231" i="1" s="1"/>
  <c r="AX231" i="1"/>
  <c r="M231" i="1"/>
  <c r="EM234" i="1"/>
  <c r="DU234" i="1"/>
  <c r="DT234" i="1"/>
  <c r="DN234" i="1"/>
  <c r="DM234" i="1"/>
  <c r="DL234" i="1"/>
  <c r="DK234" i="1"/>
  <c r="DI234" i="1"/>
  <c r="DJ234" i="1" s="1"/>
  <c r="DC234" i="1"/>
  <c r="CX234" i="1"/>
  <c r="CN234" i="1"/>
  <c r="BV234" i="1"/>
  <c r="BX234" i="1" s="1"/>
  <c r="BN234" i="1"/>
  <c r="BO234" i="1" s="1"/>
  <c r="BD234" i="1"/>
  <c r="BC234" i="1"/>
  <c r="BB234" i="1"/>
  <c r="BA234" i="1"/>
  <c r="AZ234" i="1"/>
  <c r="AY234" i="1"/>
  <c r="BE234" i="1" s="1" a="1"/>
  <c r="BE234" i="1" s="1"/>
  <c r="AX234" i="1"/>
  <c r="M234" i="1"/>
  <c r="EM238" i="1"/>
  <c r="DU238" i="1"/>
  <c r="DT238" i="1"/>
  <c r="DN238" i="1"/>
  <c r="DM238" i="1"/>
  <c r="DL238" i="1"/>
  <c r="DK238" i="1"/>
  <c r="DI238" i="1"/>
  <c r="DJ238" i="1" s="1"/>
  <c r="DC238" i="1"/>
  <c r="CX238" i="1"/>
  <c r="CN238" i="1"/>
  <c r="BV238" i="1"/>
  <c r="BX238" i="1" s="1"/>
  <c r="BN238" i="1"/>
  <c r="BO238" i="1" s="1"/>
  <c r="BD238" i="1"/>
  <c r="BC238" i="1"/>
  <c r="BB238" i="1"/>
  <c r="BA238" i="1"/>
  <c r="AZ238" i="1"/>
  <c r="AY238" i="1"/>
  <c r="BE238" i="1" s="1" a="1"/>
  <c r="BE238" i="1" s="1"/>
  <c r="AX238" i="1"/>
  <c r="M238" i="1"/>
  <c r="EM240" i="1"/>
  <c r="DU240" i="1"/>
  <c r="DT240" i="1"/>
  <c r="DN240" i="1"/>
  <c r="DM240" i="1"/>
  <c r="DL240" i="1"/>
  <c r="DK240" i="1"/>
  <c r="DI240" i="1"/>
  <c r="DJ240" i="1" s="1"/>
  <c r="DC240" i="1"/>
  <c r="CX240" i="1"/>
  <c r="CN240" i="1"/>
  <c r="BV240" i="1"/>
  <c r="BX240" i="1" s="1"/>
  <c r="BN240" i="1"/>
  <c r="BO240" i="1" s="1"/>
  <c r="BD240" i="1"/>
  <c r="BC240" i="1"/>
  <c r="BB240" i="1"/>
  <c r="BA240" i="1"/>
  <c r="AZ240" i="1"/>
  <c r="AY240" i="1"/>
  <c r="BE240" i="1" s="1" a="1"/>
  <c r="BE240" i="1" s="1"/>
  <c r="AX240" i="1"/>
  <c r="M240" i="1"/>
  <c r="EM214" i="1"/>
  <c r="DU214" i="1"/>
  <c r="DT214" i="1"/>
  <c r="DN214" i="1"/>
  <c r="DM214" i="1"/>
  <c r="DL214" i="1"/>
  <c r="DK214" i="1"/>
  <c r="DI214" i="1"/>
  <c r="DJ214" i="1" s="1"/>
  <c r="DC214" i="1"/>
  <c r="CX214" i="1"/>
  <c r="CN214" i="1"/>
  <c r="BV214" i="1"/>
  <c r="BX214" i="1" s="1"/>
  <c r="BN214" i="1"/>
  <c r="BO214" i="1" s="1"/>
  <c r="BD214" i="1"/>
  <c r="BC214" i="1"/>
  <c r="BB214" i="1"/>
  <c r="BA214" i="1"/>
  <c r="AZ214" i="1"/>
  <c r="AY214" i="1"/>
  <c r="BE214" i="1" s="1" a="1"/>
  <c r="BE214" i="1" s="1"/>
  <c r="AX214" i="1"/>
  <c r="M214" i="1"/>
  <c r="EM217" i="1"/>
  <c r="DU217" i="1"/>
  <c r="DT217" i="1"/>
  <c r="DN217" i="1"/>
  <c r="DM217" i="1"/>
  <c r="DL217" i="1"/>
  <c r="DK217" i="1"/>
  <c r="DI217" i="1"/>
  <c r="DJ217" i="1" s="1"/>
  <c r="DC217" i="1"/>
  <c r="CX217" i="1"/>
  <c r="CN217" i="1"/>
  <c r="BV217" i="1"/>
  <c r="BX217" i="1" s="1"/>
  <c r="BN217" i="1"/>
  <c r="BO217" i="1" s="1"/>
  <c r="BD217" i="1"/>
  <c r="BC217" i="1"/>
  <c r="BB217" i="1"/>
  <c r="BA217" i="1"/>
  <c r="AZ217" i="1"/>
  <c r="AY217" i="1"/>
  <c r="BE217" i="1" s="1" a="1"/>
  <c r="BE217" i="1" s="1"/>
  <c r="AX217" i="1"/>
  <c r="M217" i="1"/>
  <c r="EM216" i="1"/>
  <c r="DU216" i="1"/>
  <c r="DT216" i="1"/>
  <c r="DN216" i="1"/>
  <c r="DM216" i="1"/>
  <c r="DL216" i="1"/>
  <c r="DK216" i="1"/>
  <c r="DI216" i="1"/>
  <c r="DJ216" i="1" s="1"/>
  <c r="DC216" i="1"/>
  <c r="CX216" i="1"/>
  <c r="CN216" i="1"/>
  <c r="BV216" i="1"/>
  <c r="BX216" i="1" s="1"/>
  <c r="BN216" i="1"/>
  <c r="BO216" i="1" s="1"/>
  <c r="BD216" i="1"/>
  <c r="BC216" i="1"/>
  <c r="BB216" i="1"/>
  <c r="BA216" i="1"/>
  <c r="AZ216" i="1"/>
  <c r="AY216" i="1"/>
  <c r="BE216" i="1" s="1" a="1"/>
  <c r="BE216" i="1" s="1"/>
  <c r="AX216" i="1"/>
  <c r="M216" i="1"/>
  <c r="EM224" i="1"/>
  <c r="DU224" i="1"/>
  <c r="DT224" i="1"/>
  <c r="DN224" i="1"/>
  <c r="DM224" i="1"/>
  <c r="DL224" i="1"/>
  <c r="DK224" i="1"/>
  <c r="DI224" i="1"/>
  <c r="DJ224" i="1" s="1"/>
  <c r="DC224" i="1"/>
  <c r="CX224" i="1"/>
  <c r="CN224" i="1"/>
  <c r="BV224" i="1"/>
  <c r="BX224" i="1" s="1"/>
  <c r="BN224" i="1"/>
  <c r="BO224" i="1" s="1"/>
  <c r="BD224" i="1"/>
  <c r="BC224" i="1"/>
  <c r="BB224" i="1"/>
  <c r="BA224" i="1"/>
  <c r="AZ224" i="1"/>
  <c r="AY224" i="1"/>
  <c r="BE224" i="1" s="1" a="1"/>
  <c r="BE224" i="1" s="1"/>
  <c r="AX224" i="1"/>
  <c r="M224" i="1"/>
  <c r="EM228" i="1"/>
  <c r="DU228" i="1"/>
  <c r="DT228" i="1"/>
  <c r="DN228" i="1"/>
  <c r="DM228" i="1"/>
  <c r="DL228" i="1"/>
  <c r="DK228" i="1"/>
  <c r="DI228" i="1"/>
  <c r="DJ228" i="1" s="1"/>
  <c r="DC228" i="1"/>
  <c r="CX228" i="1"/>
  <c r="CN228" i="1"/>
  <c r="CP228" i="1" s="1"/>
  <c r="BV228" i="1"/>
  <c r="BX228" i="1" s="1"/>
  <c r="BN228" i="1"/>
  <c r="BO228" i="1" s="1"/>
  <c r="BD228" i="1"/>
  <c r="BC228" i="1"/>
  <c r="BB228" i="1"/>
  <c r="BA228" i="1"/>
  <c r="AZ228" i="1"/>
  <c r="AY228" i="1"/>
  <c r="BE228" i="1" s="1" a="1"/>
  <c r="BE228" i="1" s="1"/>
  <c r="AX228" i="1"/>
  <c r="M228" i="1"/>
  <c r="EM229" i="1"/>
  <c r="DU229" i="1"/>
  <c r="DT229" i="1"/>
  <c r="DN229" i="1"/>
  <c r="DM229" i="1"/>
  <c r="DL229" i="1"/>
  <c r="DK229" i="1"/>
  <c r="DI229" i="1"/>
  <c r="DJ229" i="1" s="1"/>
  <c r="DC229" i="1"/>
  <c r="CX229" i="1"/>
  <c r="CN229" i="1"/>
  <c r="BV229" i="1"/>
  <c r="BX229" i="1" s="1"/>
  <c r="BN229" i="1"/>
  <c r="BO229" i="1" s="1"/>
  <c r="BD229" i="1"/>
  <c r="BC229" i="1"/>
  <c r="BB229" i="1"/>
  <c r="BA229" i="1"/>
  <c r="AZ229" i="1"/>
  <c r="AY229" i="1"/>
  <c r="BE229" i="1" s="1" a="1"/>
  <c r="BE229" i="1" s="1"/>
  <c r="AX229" i="1"/>
  <c r="M229" i="1"/>
  <c r="EM233" i="1"/>
  <c r="DU233" i="1"/>
  <c r="DT233" i="1"/>
  <c r="DN233" i="1"/>
  <c r="DM233" i="1"/>
  <c r="DL233" i="1"/>
  <c r="DK233" i="1"/>
  <c r="DI233" i="1"/>
  <c r="DJ233" i="1" s="1"/>
  <c r="DC233" i="1"/>
  <c r="CX233" i="1"/>
  <c r="CN233" i="1"/>
  <c r="BV233" i="1"/>
  <c r="BX233" i="1" s="1"/>
  <c r="BN233" i="1"/>
  <c r="BO233" i="1" s="1"/>
  <c r="BD233" i="1"/>
  <c r="BC233" i="1"/>
  <c r="BB233" i="1"/>
  <c r="BA233" i="1"/>
  <c r="AZ233" i="1"/>
  <c r="AY233" i="1"/>
  <c r="BE233" i="1" s="1" a="1"/>
  <c r="BE233" i="1" s="1"/>
  <c r="AX233" i="1"/>
  <c r="M233" i="1"/>
  <c r="EM237" i="1"/>
  <c r="DU237" i="1"/>
  <c r="DT237" i="1"/>
  <c r="DN237" i="1"/>
  <c r="DM237" i="1"/>
  <c r="DL237" i="1"/>
  <c r="DK237" i="1"/>
  <c r="DI237" i="1"/>
  <c r="DJ237" i="1" s="1"/>
  <c r="DC237" i="1"/>
  <c r="CX237" i="1"/>
  <c r="CN237" i="1"/>
  <c r="BV237" i="1"/>
  <c r="BX237" i="1" s="1"/>
  <c r="BN237" i="1"/>
  <c r="BO237" i="1" s="1"/>
  <c r="BD237" i="1"/>
  <c r="BC237" i="1"/>
  <c r="BB237" i="1"/>
  <c r="BA237" i="1"/>
  <c r="AZ237" i="1"/>
  <c r="AY237" i="1"/>
  <c r="BE237" i="1" s="1" a="1"/>
  <c r="BE237" i="1" s="1"/>
  <c r="AX237" i="1"/>
  <c r="M237" i="1"/>
  <c r="EM239" i="1"/>
  <c r="DU239" i="1"/>
  <c r="DT239" i="1"/>
  <c r="DN239" i="1"/>
  <c r="DM239" i="1"/>
  <c r="DL239" i="1"/>
  <c r="DK239" i="1"/>
  <c r="DI239" i="1"/>
  <c r="DJ239" i="1" s="1"/>
  <c r="DC239" i="1"/>
  <c r="CX239" i="1"/>
  <c r="CN239" i="1"/>
  <c r="CP239" i="1" s="1"/>
  <c r="BV239" i="1"/>
  <c r="BX239" i="1" s="1"/>
  <c r="BN239" i="1"/>
  <c r="BO239" i="1" s="1"/>
  <c r="BD239" i="1"/>
  <c r="BC239" i="1"/>
  <c r="BB239" i="1"/>
  <c r="BA239" i="1"/>
  <c r="AZ239" i="1"/>
  <c r="AY239" i="1"/>
  <c r="BE239" i="1" s="1" a="1"/>
  <c r="BE239" i="1" s="1"/>
  <c r="AX239" i="1"/>
  <c r="M239" i="1"/>
  <c r="EM211" i="1"/>
  <c r="DU211" i="1"/>
  <c r="DT211" i="1"/>
  <c r="DN211" i="1"/>
  <c r="DM211" i="1"/>
  <c r="DL211" i="1"/>
  <c r="DK211" i="1"/>
  <c r="DI211" i="1"/>
  <c r="DJ211" i="1" s="1"/>
  <c r="DC211" i="1"/>
  <c r="CX211" i="1"/>
  <c r="CN211" i="1"/>
  <c r="BV211" i="1"/>
  <c r="BX211" i="1" s="1"/>
  <c r="BU211" i="1"/>
  <c r="BN211" i="1"/>
  <c r="BO211" i="1" s="1"/>
  <c r="BD211" i="1"/>
  <c r="BC211" i="1"/>
  <c r="BB211" i="1"/>
  <c r="BA211" i="1"/>
  <c r="AZ211" i="1"/>
  <c r="AY211" i="1"/>
  <c r="BE211" i="1" s="1" a="1"/>
  <c r="BE211" i="1" s="1"/>
  <c r="AX211" i="1"/>
  <c r="M211" i="1"/>
  <c r="EM210" i="1"/>
  <c r="DU210" i="1"/>
  <c r="DT210" i="1"/>
  <c r="DN210" i="1"/>
  <c r="DM210" i="1"/>
  <c r="DL210" i="1"/>
  <c r="DK210" i="1"/>
  <c r="DI210" i="1"/>
  <c r="DJ210" i="1" s="1"/>
  <c r="DC210" i="1"/>
  <c r="CX210" i="1"/>
  <c r="CN210" i="1"/>
  <c r="CR210" i="1" s="1"/>
  <c r="BV210" i="1"/>
  <c r="BX210" i="1" s="1"/>
  <c r="BU210" i="1"/>
  <c r="BN210" i="1"/>
  <c r="BO210" i="1" s="1"/>
  <c r="BD210" i="1"/>
  <c r="BC210" i="1"/>
  <c r="BB210" i="1"/>
  <c r="BA210" i="1"/>
  <c r="AZ210" i="1"/>
  <c r="AY210" i="1"/>
  <c r="BE210" i="1" s="1" a="1"/>
  <c r="BE210" i="1" s="1"/>
  <c r="AX210" i="1"/>
  <c r="M210" i="1"/>
  <c r="EM209" i="1"/>
  <c r="DU209" i="1"/>
  <c r="DT209" i="1"/>
  <c r="DN209" i="1"/>
  <c r="DM209" i="1"/>
  <c r="DL209" i="1"/>
  <c r="DK209" i="1"/>
  <c r="DI209" i="1"/>
  <c r="DJ209" i="1" s="1"/>
  <c r="DC209" i="1"/>
  <c r="CX209" i="1"/>
  <c r="CN209" i="1"/>
  <c r="BV209" i="1"/>
  <c r="BX209" i="1" s="1"/>
  <c r="BU209" i="1"/>
  <c r="BN209" i="1"/>
  <c r="BO209" i="1" s="1"/>
  <c r="BM209" i="1"/>
  <c r="BD209" i="1"/>
  <c r="BC209" i="1"/>
  <c r="BB209" i="1"/>
  <c r="BA209" i="1"/>
  <c r="AZ209" i="1"/>
  <c r="AY209" i="1"/>
  <c r="BE209" i="1" s="1" a="1"/>
  <c r="BE209" i="1" s="1"/>
  <c r="AX209" i="1"/>
  <c r="M209" i="1"/>
  <c r="EM208" i="1"/>
  <c r="DU208" i="1"/>
  <c r="DT208" i="1"/>
  <c r="DN208" i="1"/>
  <c r="DM208" i="1"/>
  <c r="DL208" i="1"/>
  <c r="DK208" i="1"/>
  <c r="DI208" i="1"/>
  <c r="DJ208" i="1" s="1"/>
  <c r="DC208" i="1"/>
  <c r="CX208" i="1"/>
  <c r="CN208" i="1"/>
  <c r="CR208" i="1" s="1"/>
  <c r="BV208" i="1"/>
  <c r="BX208" i="1" s="1"/>
  <c r="BU208" i="1"/>
  <c r="BN208" i="1"/>
  <c r="BO208" i="1" s="1"/>
  <c r="BM208" i="1"/>
  <c r="BD208" i="1"/>
  <c r="BC208" i="1"/>
  <c r="BB208" i="1"/>
  <c r="BA208" i="1"/>
  <c r="AZ208" i="1"/>
  <c r="AY208" i="1"/>
  <c r="BE208" i="1" s="1" a="1"/>
  <c r="BE208" i="1" s="1"/>
  <c r="AX208" i="1"/>
  <c r="M208" i="1"/>
  <c r="EM207" i="1"/>
  <c r="DU207" i="1"/>
  <c r="DT207" i="1"/>
  <c r="DN207" i="1"/>
  <c r="DM207" i="1"/>
  <c r="DL207" i="1"/>
  <c r="DK207" i="1"/>
  <c r="DI207" i="1"/>
  <c r="DJ207" i="1" s="1"/>
  <c r="DC207" i="1"/>
  <c r="CX207" i="1"/>
  <c r="CN207" i="1"/>
  <c r="BV207" i="1"/>
  <c r="BX207" i="1" s="1"/>
  <c r="BU207" i="1"/>
  <c r="BN207" i="1"/>
  <c r="BO207" i="1" s="1"/>
  <c r="BM207" i="1"/>
  <c r="BD207" i="1"/>
  <c r="BC207" i="1"/>
  <c r="BB207" i="1"/>
  <c r="BA207" i="1"/>
  <c r="AZ207" i="1"/>
  <c r="AY207" i="1"/>
  <c r="BE207" i="1" s="1" a="1"/>
  <c r="BE207" i="1" s="1"/>
  <c r="AX207" i="1"/>
  <c r="M207" i="1"/>
  <c r="EM206" i="1"/>
  <c r="DU206" i="1"/>
  <c r="DT206" i="1"/>
  <c r="DN206" i="1"/>
  <c r="DM206" i="1"/>
  <c r="DL206" i="1"/>
  <c r="DK206" i="1"/>
  <c r="DI206" i="1"/>
  <c r="DJ206" i="1" s="1"/>
  <c r="DC206" i="1"/>
  <c r="CX206" i="1"/>
  <c r="CN206" i="1"/>
  <c r="BV206" i="1"/>
  <c r="BX206" i="1" s="1"/>
  <c r="BU206" i="1"/>
  <c r="BN206" i="1"/>
  <c r="BO206" i="1" s="1"/>
  <c r="BM206" i="1"/>
  <c r="BD206" i="1"/>
  <c r="BC206" i="1"/>
  <c r="BB206" i="1"/>
  <c r="BA206" i="1"/>
  <c r="AZ206" i="1"/>
  <c r="AY206" i="1"/>
  <c r="BE206" i="1" s="1" a="1"/>
  <c r="BE206" i="1" s="1"/>
  <c r="AX206" i="1"/>
  <c r="M206" i="1"/>
  <c r="EM205" i="1"/>
  <c r="DU205" i="1"/>
  <c r="DT205" i="1"/>
  <c r="DN205" i="1"/>
  <c r="DM205" i="1"/>
  <c r="DL205" i="1"/>
  <c r="DK205" i="1"/>
  <c r="DI205" i="1"/>
  <c r="DJ205" i="1" s="1"/>
  <c r="DC205" i="1"/>
  <c r="CX205" i="1"/>
  <c r="CN205" i="1"/>
  <c r="BV205" i="1"/>
  <c r="BX205" i="1" s="1"/>
  <c r="BU205" i="1"/>
  <c r="BN205" i="1"/>
  <c r="BO205" i="1" s="1"/>
  <c r="BM205" i="1"/>
  <c r="BD205" i="1"/>
  <c r="BC205" i="1"/>
  <c r="BB205" i="1"/>
  <c r="BA205" i="1"/>
  <c r="AZ205" i="1"/>
  <c r="AY205" i="1"/>
  <c r="BE205" i="1" s="1" a="1"/>
  <c r="BE205" i="1" s="1"/>
  <c r="AX205" i="1"/>
  <c r="M205" i="1"/>
  <c r="EM204" i="1"/>
  <c r="DU204" i="1"/>
  <c r="DT204" i="1"/>
  <c r="DN204" i="1"/>
  <c r="DM204" i="1"/>
  <c r="DL204" i="1"/>
  <c r="DK204" i="1"/>
  <c r="DI204" i="1"/>
  <c r="DJ204" i="1" s="1"/>
  <c r="DC204" i="1"/>
  <c r="CX204" i="1"/>
  <c r="CN204" i="1"/>
  <c r="CR204" i="1" s="1"/>
  <c r="BV204" i="1"/>
  <c r="BX204" i="1" s="1"/>
  <c r="BU204" i="1"/>
  <c r="BN204" i="1"/>
  <c r="BO204" i="1" s="1"/>
  <c r="BM204" i="1"/>
  <c r="BD204" i="1"/>
  <c r="BC204" i="1"/>
  <c r="BB204" i="1"/>
  <c r="BA204" i="1"/>
  <c r="AZ204" i="1"/>
  <c r="AY204" i="1"/>
  <c r="BE204" i="1" s="1" a="1"/>
  <c r="BE204" i="1" s="1"/>
  <c r="AX204" i="1"/>
  <c r="M204" i="1"/>
  <c r="EM203" i="1"/>
  <c r="DU203" i="1"/>
  <c r="DT203" i="1"/>
  <c r="DN203" i="1"/>
  <c r="DM203" i="1"/>
  <c r="DL203" i="1"/>
  <c r="DK203" i="1"/>
  <c r="DI203" i="1"/>
  <c r="DJ203" i="1" s="1"/>
  <c r="DC203" i="1"/>
  <c r="CX203" i="1"/>
  <c r="CN203" i="1"/>
  <c r="BV203" i="1"/>
  <c r="BX203" i="1" s="1"/>
  <c r="BU203" i="1"/>
  <c r="BN203" i="1"/>
  <c r="BO203" i="1" s="1"/>
  <c r="BM203" i="1"/>
  <c r="BD203" i="1"/>
  <c r="BC203" i="1"/>
  <c r="BB203" i="1"/>
  <c r="BA203" i="1"/>
  <c r="AZ203" i="1"/>
  <c r="AY203" i="1"/>
  <c r="BE203" i="1" s="1" a="1"/>
  <c r="BE203" i="1" s="1"/>
  <c r="AX203" i="1"/>
  <c r="M203" i="1"/>
  <c r="EM202" i="1"/>
  <c r="DU202" i="1"/>
  <c r="DT202" i="1"/>
  <c r="DN202" i="1"/>
  <c r="DM202" i="1"/>
  <c r="DL202" i="1"/>
  <c r="DK202" i="1"/>
  <c r="DI202" i="1"/>
  <c r="DJ202" i="1" s="1"/>
  <c r="DC202" i="1"/>
  <c r="CX202" i="1"/>
  <c r="CN202" i="1"/>
  <c r="CS202" i="1" s="1"/>
  <c r="BV202" i="1"/>
  <c r="BX202" i="1" s="1"/>
  <c r="BU202" i="1"/>
  <c r="BN202" i="1"/>
  <c r="BO202" i="1" s="1"/>
  <c r="BM202" i="1"/>
  <c r="BD202" i="1"/>
  <c r="BC202" i="1"/>
  <c r="BB202" i="1"/>
  <c r="BA202" i="1"/>
  <c r="AZ202" i="1"/>
  <c r="AY202" i="1"/>
  <c r="BE202" i="1" s="1" a="1"/>
  <c r="BE202" i="1" s="1"/>
  <c r="AX202" i="1"/>
  <c r="M202" i="1"/>
  <c r="EM200" i="1"/>
  <c r="DU200" i="1"/>
  <c r="DT200" i="1"/>
  <c r="DN200" i="1"/>
  <c r="DM200" i="1"/>
  <c r="DL200" i="1"/>
  <c r="DK200" i="1"/>
  <c r="DI200" i="1"/>
  <c r="DJ200" i="1" s="1"/>
  <c r="DC200" i="1"/>
  <c r="CX200" i="1"/>
  <c r="CN200" i="1"/>
  <c r="CR200" i="1" s="1"/>
  <c r="BV200" i="1"/>
  <c r="BX200" i="1" s="1"/>
  <c r="BU200" i="1"/>
  <c r="BN200" i="1"/>
  <c r="BO200" i="1" s="1"/>
  <c r="BD200" i="1"/>
  <c r="BC200" i="1"/>
  <c r="BB200" i="1"/>
  <c r="BA200" i="1"/>
  <c r="AZ200" i="1"/>
  <c r="AY200" i="1"/>
  <c r="BE200" i="1" s="1" a="1"/>
  <c r="BE200" i="1" s="1"/>
  <c r="AX200" i="1"/>
  <c r="M200" i="1"/>
  <c r="EM199" i="1"/>
  <c r="DU199" i="1"/>
  <c r="DT199" i="1"/>
  <c r="DN199" i="1"/>
  <c r="DM199" i="1"/>
  <c r="DL199" i="1"/>
  <c r="DK199" i="1"/>
  <c r="DI199" i="1"/>
  <c r="DJ199" i="1" s="1"/>
  <c r="DC199" i="1"/>
  <c r="CX199" i="1"/>
  <c r="CN199" i="1"/>
  <c r="CS199" i="1" s="1"/>
  <c r="BV199" i="1"/>
  <c r="BX199" i="1" s="1"/>
  <c r="BU199" i="1"/>
  <c r="BN199" i="1"/>
  <c r="BO199" i="1" s="1"/>
  <c r="BM199" i="1"/>
  <c r="BD199" i="1"/>
  <c r="BC199" i="1"/>
  <c r="BB199" i="1"/>
  <c r="BA199" i="1"/>
  <c r="AZ199" i="1"/>
  <c r="AY199" i="1"/>
  <c r="BE199" i="1" s="1" a="1"/>
  <c r="BE199" i="1" s="1"/>
  <c r="AX199" i="1"/>
  <c r="M199" i="1"/>
  <c r="EM187" i="1"/>
  <c r="DU187" i="1"/>
  <c r="DT187" i="1"/>
  <c r="DN187" i="1"/>
  <c r="DM187" i="1"/>
  <c r="DL187" i="1"/>
  <c r="DK187" i="1"/>
  <c r="DI187" i="1"/>
  <c r="DJ187" i="1" s="1"/>
  <c r="DC187" i="1"/>
  <c r="CX187" i="1"/>
  <c r="CN187" i="1"/>
  <c r="CO187" i="1" s="1"/>
  <c r="BV187" i="1"/>
  <c r="BX187" i="1" s="1"/>
  <c r="BU187" i="1"/>
  <c r="BN187" i="1"/>
  <c r="BO187" i="1" s="1"/>
  <c r="BM187" i="1"/>
  <c r="BD187" i="1"/>
  <c r="BC187" i="1"/>
  <c r="BB187" i="1"/>
  <c r="BA187" i="1"/>
  <c r="AZ187" i="1"/>
  <c r="AY187" i="1"/>
  <c r="BE187" i="1" s="1" a="1"/>
  <c r="BE187" i="1" s="1"/>
  <c r="AX187" i="1"/>
  <c r="M187" i="1"/>
  <c r="EM193" i="1"/>
  <c r="DU193" i="1"/>
  <c r="DT193" i="1"/>
  <c r="DN193" i="1"/>
  <c r="DM193" i="1"/>
  <c r="DL193" i="1"/>
  <c r="DK193" i="1"/>
  <c r="DI193" i="1"/>
  <c r="DJ193" i="1" s="1"/>
  <c r="DC193" i="1"/>
  <c r="CX193" i="1"/>
  <c r="CN193" i="1"/>
  <c r="CP193" i="1" s="1"/>
  <c r="BV193" i="1"/>
  <c r="BX193" i="1" s="1"/>
  <c r="BU193" i="1"/>
  <c r="BN193" i="1"/>
  <c r="BO193" i="1" s="1"/>
  <c r="BM193" i="1"/>
  <c r="BD193" i="1"/>
  <c r="BC193" i="1"/>
  <c r="BB193" i="1"/>
  <c r="BA193" i="1"/>
  <c r="AZ193" i="1"/>
  <c r="AY193" i="1"/>
  <c r="BE193" i="1" s="1" a="1"/>
  <c r="BE193" i="1" s="1"/>
  <c r="AX193" i="1"/>
  <c r="M193" i="1"/>
  <c r="EM181" i="1"/>
  <c r="DU181" i="1"/>
  <c r="DT181" i="1"/>
  <c r="DN181" i="1"/>
  <c r="DM181" i="1"/>
  <c r="DL181" i="1"/>
  <c r="DK181" i="1"/>
  <c r="DI181" i="1"/>
  <c r="DJ181" i="1" s="1"/>
  <c r="DC181" i="1"/>
  <c r="CX181" i="1"/>
  <c r="CN181" i="1"/>
  <c r="CP181" i="1" s="1"/>
  <c r="BV181" i="1"/>
  <c r="BX181" i="1" s="1"/>
  <c r="BU181" i="1"/>
  <c r="BN181" i="1"/>
  <c r="BO181" i="1" s="1"/>
  <c r="BD181" i="1"/>
  <c r="BC181" i="1"/>
  <c r="BB181" i="1"/>
  <c r="BA181" i="1"/>
  <c r="AZ181" i="1"/>
  <c r="AY181" i="1"/>
  <c r="BE181" i="1" s="1" a="1"/>
  <c r="BE181" i="1" s="1"/>
  <c r="AX181" i="1"/>
  <c r="M181" i="1"/>
  <c r="EM180" i="1"/>
  <c r="DU180" i="1"/>
  <c r="DT180" i="1"/>
  <c r="DN180" i="1"/>
  <c r="DM180" i="1"/>
  <c r="DL180" i="1"/>
  <c r="DK180" i="1"/>
  <c r="DI180" i="1"/>
  <c r="DJ180" i="1" s="1"/>
  <c r="DC180" i="1"/>
  <c r="CX180" i="1"/>
  <c r="CN180" i="1"/>
  <c r="BV180" i="1"/>
  <c r="BX180" i="1" s="1"/>
  <c r="BU180" i="1"/>
  <c r="BN180" i="1"/>
  <c r="BO180" i="1" s="1"/>
  <c r="BD180" i="1"/>
  <c r="BC180" i="1"/>
  <c r="BB180" i="1"/>
  <c r="BA180" i="1"/>
  <c r="AZ180" i="1"/>
  <c r="AY180" i="1"/>
  <c r="BE180" i="1" s="1" a="1"/>
  <c r="BE180" i="1" s="1"/>
  <c r="AX180" i="1"/>
  <c r="M180" i="1"/>
  <c r="EM179" i="1"/>
  <c r="DU179" i="1"/>
  <c r="DT179" i="1"/>
  <c r="DN179" i="1"/>
  <c r="DM179" i="1"/>
  <c r="DL179" i="1"/>
  <c r="DK179" i="1"/>
  <c r="DI179" i="1"/>
  <c r="DJ179" i="1" s="1"/>
  <c r="DC179" i="1"/>
  <c r="CX179" i="1"/>
  <c r="CN179" i="1"/>
  <c r="CO179" i="1" s="1"/>
  <c r="BV179" i="1"/>
  <c r="BX179" i="1" s="1"/>
  <c r="BU179" i="1"/>
  <c r="BN179" i="1"/>
  <c r="BO179" i="1" s="1"/>
  <c r="BD179" i="1"/>
  <c r="BC179" i="1"/>
  <c r="BB179" i="1"/>
  <c r="BA179" i="1"/>
  <c r="AZ179" i="1"/>
  <c r="AY179" i="1"/>
  <c r="BE179" i="1" s="1" a="1"/>
  <c r="BE179" i="1" s="1"/>
  <c r="AX179" i="1"/>
  <c r="M179" i="1"/>
  <c r="EM178" i="1"/>
  <c r="DU178" i="1"/>
  <c r="DT178" i="1"/>
  <c r="DN178" i="1"/>
  <c r="DM178" i="1"/>
  <c r="DL178" i="1"/>
  <c r="DK178" i="1"/>
  <c r="DI178" i="1"/>
  <c r="DJ178" i="1" s="1"/>
  <c r="DC178" i="1"/>
  <c r="CX178" i="1"/>
  <c r="CN178" i="1"/>
  <c r="CO178" i="1" s="1"/>
  <c r="BV178" i="1"/>
  <c r="BX178" i="1" s="1"/>
  <c r="BU178" i="1"/>
  <c r="BN178" i="1"/>
  <c r="BO178" i="1" s="1"/>
  <c r="BD178" i="1"/>
  <c r="BC178" i="1"/>
  <c r="BB178" i="1"/>
  <c r="BA178" i="1"/>
  <c r="AZ178" i="1"/>
  <c r="AY178" i="1"/>
  <c r="BE178" i="1" s="1" a="1"/>
  <c r="BE178" i="1" s="1"/>
  <c r="AX178" i="1"/>
  <c r="M178" i="1"/>
  <c r="EM177" i="1"/>
  <c r="DU177" i="1"/>
  <c r="DT177" i="1"/>
  <c r="DN177" i="1"/>
  <c r="DM177" i="1"/>
  <c r="DL177" i="1"/>
  <c r="DK177" i="1"/>
  <c r="DI177" i="1"/>
  <c r="DJ177" i="1" s="1"/>
  <c r="DC177" i="1"/>
  <c r="CX177" i="1"/>
  <c r="CN177" i="1"/>
  <c r="BV177" i="1"/>
  <c r="BX177" i="1" s="1"/>
  <c r="BU177" i="1"/>
  <c r="BN177" i="1"/>
  <c r="BO177" i="1" s="1"/>
  <c r="BD177" i="1"/>
  <c r="BC177" i="1"/>
  <c r="BB177" i="1"/>
  <c r="BA177" i="1"/>
  <c r="AZ177" i="1"/>
  <c r="AY177" i="1"/>
  <c r="BE177" i="1" s="1" a="1"/>
  <c r="BE177" i="1" s="1"/>
  <c r="AX177" i="1"/>
  <c r="M177" i="1"/>
  <c r="EM176" i="1"/>
  <c r="DU176" i="1"/>
  <c r="DT176" i="1"/>
  <c r="DN176" i="1"/>
  <c r="DM176" i="1"/>
  <c r="DL176" i="1"/>
  <c r="DK176" i="1"/>
  <c r="DI176" i="1"/>
  <c r="DJ176" i="1" s="1"/>
  <c r="DC176" i="1"/>
  <c r="CX176" i="1"/>
  <c r="CN176" i="1"/>
  <c r="CS176" i="1" s="1"/>
  <c r="BV176" i="1"/>
  <c r="BX176" i="1" s="1"/>
  <c r="BU176" i="1"/>
  <c r="BN176" i="1"/>
  <c r="BO176" i="1" s="1"/>
  <c r="BD176" i="1"/>
  <c r="BC176" i="1"/>
  <c r="BB176" i="1"/>
  <c r="BA176" i="1"/>
  <c r="AZ176" i="1"/>
  <c r="AY176" i="1"/>
  <c r="BE176" i="1" s="1" a="1"/>
  <c r="BE176" i="1" s="1"/>
  <c r="AX176" i="1"/>
  <c r="M176" i="1"/>
  <c r="EM175" i="1"/>
  <c r="DU175" i="1"/>
  <c r="DT175" i="1"/>
  <c r="DN175" i="1"/>
  <c r="DM175" i="1"/>
  <c r="DL175" i="1"/>
  <c r="DK175" i="1"/>
  <c r="DI175" i="1"/>
  <c r="DJ175" i="1" s="1"/>
  <c r="DC175" i="1"/>
  <c r="CX175" i="1"/>
  <c r="CN175" i="1"/>
  <c r="CO175" i="1" s="1"/>
  <c r="BV175" i="1"/>
  <c r="BX175" i="1" s="1"/>
  <c r="BU175" i="1"/>
  <c r="BN175" i="1"/>
  <c r="BO175" i="1" s="1"/>
  <c r="BD175" i="1"/>
  <c r="BC175" i="1"/>
  <c r="BB175" i="1"/>
  <c r="BA175" i="1"/>
  <c r="AZ175" i="1"/>
  <c r="AY175" i="1"/>
  <c r="BE175" i="1" s="1" a="1"/>
  <c r="BE175" i="1" s="1"/>
  <c r="AX175" i="1"/>
  <c r="M175" i="1"/>
  <c r="EM174" i="1"/>
  <c r="DU174" i="1"/>
  <c r="DT174" i="1"/>
  <c r="DN174" i="1"/>
  <c r="DM174" i="1"/>
  <c r="DL174" i="1"/>
  <c r="DK174" i="1"/>
  <c r="DI174" i="1"/>
  <c r="DJ174" i="1" s="1"/>
  <c r="DC174" i="1"/>
  <c r="CX174" i="1"/>
  <c r="CN174" i="1"/>
  <c r="BV174" i="1"/>
  <c r="BX174" i="1" s="1"/>
  <c r="BU174" i="1"/>
  <c r="BN174" i="1"/>
  <c r="BO174" i="1" s="1"/>
  <c r="BD174" i="1"/>
  <c r="BC174" i="1"/>
  <c r="BB174" i="1"/>
  <c r="BA174" i="1"/>
  <c r="AZ174" i="1"/>
  <c r="AY174" i="1"/>
  <c r="BE174" i="1" s="1" a="1"/>
  <c r="BE174" i="1" s="1"/>
  <c r="AX174" i="1"/>
  <c r="M174" i="1"/>
  <c r="EM171" i="1"/>
  <c r="DU171" i="1"/>
  <c r="DT171" i="1"/>
  <c r="DN171" i="1"/>
  <c r="DM171" i="1"/>
  <c r="DL171" i="1"/>
  <c r="DK171" i="1"/>
  <c r="DI171" i="1"/>
  <c r="DJ171" i="1" s="1"/>
  <c r="DC171" i="1"/>
  <c r="CX171" i="1"/>
  <c r="CN171" i="1"/>
  <c r="CO171" i="1" s="1"/>
  <c r="BV171" i="1"/>
  <c r="BX171" i="1" s="1"/>
  <c r="BU171" i="1"/>
  <c r="BN171" i="1"/>
  <c r="BO171" i="1" s="1"/>
  <c r="BD171" i="1"/>
  <c r="BC171" i="1"/>
  <c r="BB171" i="1"/>
  <c r="BA171" i="1"/>
  <c r="AZ171" i="1"/>
  <c r="AY171" i="1"/>
  <c r="BE171" i="1" s="1" a="1"/>
  <c r="BE171" i="1" s="1"/>
  <c r="AX171" i="1"/>
  <c r="M171" i="1"/>
  <c r="EM169" i="1"/>
  <c r="DU169" i="1"/>
  <c r="DT169" i="1"/>
  <c r="DN169" i="1"/>
  <c r="DM169" i="1"/>
  <c r="DL169" i="1"/>
  <c r="DK169" i="1"/>
  <c r="DI169" i="1"/>
  <c r="DJ169" i="1" s="1"/>
  <c r="DC169" i="1"/>
  <c r="CX169" i="1"/>
  <c r="CN169" i="1"/>
  <c r="BV169" i="1"/>
  <c r="BX169" i="1" s="1"/>
  <c r="BU169" i="1"/>
  <c r="BN169" i="1"/>
  <c r="BO169" i="1" s="1"/>
  <c r="BD169" i="1"/>
  <c r="BC169" i="1"/>
  <c r="BB169" i="1"/>
  <c r="BA169" i="1"/>
  <c r="AZ169" i="1"/>
  <c r="AY169" i="1"/>
  <c r="BE169" i="1" s="1" a="1"/>
  <c r="BE169" i="1" s="1"/>
  <c r="AX169" i="1"/>
  <c r="M169" i="1"/>
  <c r="EM168" i="1"/>
  <c r="DU168" i="1"/>
  <c r="DT168" i="1"/>
  <c r="DN168" i="1"/>
  <c r="DM168" i="1"/>
  <c r="DL168" i="1"/>
  <c r="DK168" i="1"/>
  <c r="DI168" i="1"/>
  <c r="DJ168" i="1" s="1"/>
  <c r="DC168" i="1"/>
  <c r="CX168" i="1"/>
  <c r="CN168" i="1"/>
  <c r="CS168" i="1" s="1"/>
  <c r="BV168" i="1"/>
  <c r="BX168" i="1" s="1"/>
  <c r="BU168" i="1"/>
  <c r="BN168" i="1"/>
  <c r="BO168" i="1" s="1"/>
  <c r="BD168" i="1"/>
  <c r="BC168" i="1"/>
  <c r="BB168" i="1"/>
  <c r="BA168" i="1"/>
  <c r="AZ168" i="1"/>
  <c r="AY168" i="1"/>
  <c r="BE168" i="1" s="1" a="1"/>
  <c r="BE168" i="1" s="1"/>
  <c r="AX168" i="1"/>
  <c r="M168" i="1"/>
  <c r="EM167" i="1"/>
  <c r="DU167" i="1"/>
  <c r="DT167" i="1"/>
  <c r="DN167" i="1"/>
  <c r="DM167" i="1"/>
  <c r="DL167" i="1"/>
  <c r="DK167" i="1"/>
  <c r="DI167" i="1"/>
  <c r="DJ167" i="1" s="1"/>
  <c r="DC167" i="1"/>
  <c r="CX167" i="1"/>
  <c r="CN167" i="1"/>
  <c r="BV167" i="1"/>
  <c r="BX167" i="1" s="1"/>
  <c r="BU167" i="1"/>
  <c r="BN167" i="1"/>
  <c r="BO167" i="1" s="1"/>
  <c r="BD167" i="1"/>
  <c r="BC167" i="1"/>
  <c r="BB167" i="1"/>
  <c r="BA167" i="1"/>
  <c r="AZ167" i="1"/>
  <c r="AY167" i="1"/>
  <c r="BE167" i="1" s="1" a="1"/>
  <c r="BE167" i="1" s="1"/>
  <c r="AX167" i="1"/>
  <c r="M167" i="1"/>
  <c r="EM166" i="1"/>
  <c r="DU166" i="1"/>
  <c r="DT166" i="1"/>
  <c r="DN166" i="1"/>
  <c r="DM166" i="1"/>
  <c r="DL166" i="1"/>
  <c r="DK166" i="1"/>
  <c r="DI166" i="1"/>
  <c r="DJ166" i="1" s="1"/>
  <c r="DC166" i="1"/>
  <c r="CX166" i="1"/>
  <c r="CN166" i="1"/>
  <c r="CR166" i="1" s="1"/>
  <c r="BV166" i="1"/>
  <c r="BX166" i="1" s="1"/>
  <c r="BU166" i="1"/>
  <c r="BN166" i="1"/>
  <c r="BO166" i="1" s="1"/>
  <c r="BD166" i="1"/>
  <c r="BC166" i="1"/>
  <c r="BB166" i="1"/>
  <c r="BA166" i="1"/>
  <c r="AZ166" i="1"/>
  <c r="AY166" i="1"/>
  <c r="BE166" i="1" s="1" a="1"/>
  <c r="BE166" i="1" s="1"/>
  <c r="AX166" i="1"/>
  <c r="M166" i="1"/>
  <c r="EM165" i="1"/>
  <c r="DU165" i="1"/>
  <c r="DT165" i="1"/>
  <c r="DN165" i="1"/>
  <c r="DM165" i="1"/>
  <c r="DL165" i="1"/>
  <c r="DK165" i="1"/>
  <c r="DI165" i="1"/>
  <c r="DJ165" i="1" s="1"/>
  <c r="DC165" i="1"/>
  <c r="CX165" i="1"/>
  <c r="CN165" i="1"/>
  <c r="CR165" i="1" s="1"/>
  <c r="BV165" i="1"/>
  <c r="BX165" i="1" s="1"/>
  <c r="BU165" i="1"/>
  <c r="BN165" i="1"/>
  <c r="BO165" i="1" s="1"/>
  <c r="BD165" i="1"/>
  <c r="BC165" i="1"/>
  <c r="BB165" i="1"/>
  <c r="BA165" i="1"/>
  <c r="AZ165" i="1"/>
  <c r="AY165" i="1"/>
  <c r="BE165" i="1" s="1" a="1"/>
  <c r="BE165" i="1" s="1"/>
  <c r="AX165" i="1"/>
  <c r="M165" i="1"/>
  <c r="EM164" i="1"/>
  <c r="DU164" i="1"/>
  <c r="DT164" i="1"/>
  <c r="DN164" i="1"/>
  <c r="DM164" i="1"/>
  <c r="DL164" i="1"/>
  <c r="DK164" i="1"/>
  <c r="DI164" i="1"/>
  <c r="DJ164" i="1" s="1"/>
  <c r="DC164" i="1"/>
  <c r="CX164" i="1"/>
  <c r="CN164" i="1"/>
  <c r="BV164" i="1"/>
  <c r="BX164" i="1" s="1"/>
  <c r="BU164" i="1"/>
  <c r="BN164" i="1"/>
  <c r="BO164" i="1" s="1"/>
  <c r="BD164" i="1"/>
  <c r="BC164" i="1"/>
  <c r="BB164" i="1"/>
  <c r="BA164" i="1"/>
  <c r="AZ164" i="1"/>
  <c r="AY164" i="1"/>
  <c r="BE164" i="1" s="1" a="1"/>
  <c r="BE164" i="1" s="1"/>
  <c r="AX164" i="1"/>
  <c r="M164" i="1"/>
  <c r="EM163" i="1"/>
  <c r="DU163" i="1"/>
  <c r="DT163" i="1"/>
  <c r="DN163" i="1"/>
  <c r="DM163" i="1"/>
  <c r="DL163" i="1"/>
  <c r="DK163" i="1"/>
  <c r="DI163" i="1"/>
  <c r="DJ163" i="1" s="1"/>
  <c r="DC163" i="1"/>
  <c r="CX163" i="1"/>
  <c r="CN163" i="1"/>
  <c r="BV163" i="1"/>
  <c r="BX163" i="1" s="1"/>
  <c r="BU163" i="1"/>
  <c r="BN163" i="1"/>
  <c r="BO163" i="1" s="1"/>
  <c r="BD163" i="1"/>
  <c r="BC163" i="1"/>
  <c r="BB163" i="1"/>
  <c r="BA163" i="1"/>
  <c r="AZ163" i="1"/>
  <c r="AY163" i="1"/>
  <c r="BE163" i="1" s="1" a="1"/>
  <c r="BE163" i="1" s="1"/>
  <c r="AX163" i="1"/>
  <c r="M163" i="1"/>
  <c r="EM162" i="1"/>
  <c r="DU162" i="1"/>
  <c r="DT162" i="1"/>
  <c r="DN162" i="1"/>
  <c r="DM162" i="1"/>
  <c r="DL162" i="1"/>
  <c r="DK162" i="1"/>
  <c r="DI162" i="1"/>
  <c r="DJ162" i="1" s="1"/>
  <c r="DC162" i="1"/>
  <c r="CX162" i="1"/>
  <c r="CN162" i="1"/>
  <c r="CS162" i="1" s="1"/>
  <c r="BV162" i="1"/>
  <c r="BX162" i="1" s="1"/>
  <c r="BU162" i="1"/>
  <c r="BN162" i="1"/>
  <c r="BO162" i="1" s="1"/>
  <c r="BD162" i="1"/>
  <c r="BC162" i="1"/>
  <c r="BB162" i="1"/>
  <c r="BA162" i="1"/>
  <c r="AZ162" i="1"/>
  <c r="AY162" i="1"/>
  <c r="BE162" i="1" s="1" a="1"/>
  <c r="BE162" i="1" s="1"/>
  <c r="AX162" i="1"/>
  <c r="M162" i="1"/>
  <c r="EM161" i="1"/>
  <c r="DU161" i="1"/>
  <c r="DT161" i="1"/>
  <c r="DN161" i="1"/>
  <c r="DM161" i="1"/>
  <c r="DL161" i="1"/>
  <c r="DK161" i="1"/>
  <c r="DI161" i="1"/>
  <c r="DJ161" i="1" s="1"/>
  <c r="DC161" i="1"/>
  <c r="CX161" i="1"/>
  <c r="CN161" i="1"/>
  <c r="CP161" i="1" s="1"/>
  <c r="BV161" i="1"/>
  <c r="BX161" i="1" s="1"/>
  <c r="BU161" i="1"/>
  <c r="BN161" i="1"/>
  <c r="BO161" i="1" s="1"/>
  <c r="BD161" i="1"/>
  <c r="BC161" i="1"/>
  <c r="BB161" i="1"/>
  <c r="BA161" i="1"/>
  <c r="AZ161" i="1"/>
  <c r="AY161" i="1"/>
  <c r="BE161" i="1" s="1" a="1"/>
  <c r="BE161" i="1" s="1"/>
  <c r="AX161" i="1"/>
  <c r="M161" i="1"/>
  <c r="EM160" i="1"/>
  <c r="DU160" i="1"/>
  <c r="DT160" i="1"/>
  <c r="DN160" i="1"/>
  <c r="DM160" i="1"/>
  <c r="DL160" i="1"/>
  <c r="DK160" i="1"/>
  <c r="DI160" i="1"/>
  <c r="DJ160" i="1" s="1"/>
  <c r="DC160" i="1"/>
  <c r="CX160" i="1"/>
  <c r="CN160" i="1"/>
  <c r="BV160" i="1"/>
  <c r="BX160" i="1" s="1"/>
  <c r="BU160" i="1"/>
  <c r="BN160" i="1"/>
  <c r="BO160" i="1" s="1"/>
  <c r="BD160" i="1"/>
  <c r="BC160" i="1"/>
  <c r="BB160" i="1"/>
  <c r="BA160" i="1"/>
  <c r="AZ160" i="1"/>
  <c r="AY160" i="1"/>
  <c r="BE160" i="1" s="1" a="1"/>
  <c r="BE160" i="1" s="1"/>
  <c r="AX160" i="1"/>
  <c r="M160" i="1"/>
  <c r="EM159" i="1"/>
  <c r="DU159" i="1"/>
  <c r="DT159" i="1"/>
  <c r="DN159" i="1"/>
  <c r="DM159" i="1"/>
  <c r="DL159" i="1"/>
  <c r="DK159" i="1"/>
  <c r="DI159" i="1"/>
  <c r="DJ159" i="1" s="1"/>
  <c r="DC159" i="1"/>
  <c r="CX159" i="1"/>
  <c r="CN159" i="1"/>
  <c r="CP159" i="1" s="1"/>
  <c r="BV159" i="1"/>
  <c r="BX159" i="1" s="1"/>
  <c r="BU159" i="1"/>
  <c r="BN159" i="1"/>
  <c r="BO159" i="1" s="1"/>
  <c r="BD159" i="1"/>
  <c r="BC159" i="1"/>
  <c r="BB159" i="1"/>
  <c r="BA159" i="1"/>
  <c r="AZ159" i="1"/>
  <c r="AY159" i="1"/>
  <c r="BE159" i="1" s="1" a="1"/>
  <c r="BE159" i="1" s="1"/>
  <c r="AX159" i="1"/>
  <c r="M159" i="1"/>
  <c r="EM158" i="1"/>
  <c r="DU158" i="1"/>
  <c r="DT158" i="1"/>
  <c r="DN158" i="1"/>
  <c r="DM158" i="1"/>
  <c r="DL158" i="1"/>
  <c r="DK158" i="1"/>
  <c r="DI158" i="1"/>
  <c r="DJ158" i="1" s="1"/>
  <c r="DC158" i="1"/>
  <c r="CX158" i="1"/>
  <c r="CN158" i="1"/>
  <c r="BV158" i="1"/>
  <c r="BX158" i="1" s="1"/>
  <c r="BU158" i="1"/>
  <c r="BN158" i="1"/>
  <c r="BO158" i="1" s="1"/>
  <c r="BD158" i="1"/>
  <c r="BC158" i="1"/>
  <c r="BB158" i="1"/>
  <c r="BA158" i="1"/>
  <c r="AZ158" i="1"/>
  <c r="AY158" i="1"/>
  <c r="BE158" i="1" s="1" a="1"/>
  <c r="BE158" i="1" s="1"/>
  <c r="AX158" i="1"/>
  <c r="M158" i="1"/>
  <c r="EM157" i="1"/>
  <c r="DU157" i="1"/>
  <c r="DT157" i="1"/>
  <c r="DN157" i="1"/>
  <c r="DM157" i="1"/>
  <c r="DL157" i="1"/>
  <c r="DK157" i="1"/>
  <c r="DI157" i="1"/>
  <c r="DJ157" i="1" s="1"/>
  <c r="DC157" i="1"/>
  <c r="CX157" i="1"/>
  <c r="CN157" i="1"/>
  <c r="CP157" i="1" s="1"/>
  <c r="BV157" i="1"/>
  <c r="BX157" i="1" s="1"/>
  <c r="BU157" i="1"/>
  <c r="BN157" i="1"/>
  <c r="BO157" i="1" s="1"/>
  <c r="BD157" i="1"/>
  <c r="BC157" i="1"/>
  <c r="BB157" i="1"/>
  <c r="BA157" i="1"/>
  <c r="AZ157" i="1"/>
  <c r="AY157" i="1"/>
  <c r="BE157" i="1" s="1" a="1"/>
  <c r="BE157" i="1" s="1"/>
  <c r="AX157" i="1"/>
  <c r="M157" i="1"/>
  <c r="EM155" i="1"/>
  <c r="DU155" i="1"/>
  <c r="DT155" i="1"/>
  <c r="DN155" i="1"/>
  <c r="DM155" i="1"/>
  <c r="DL155" i="1"/>
  <c r="DK155" i="1"/>
  <c r="DI155" i="1"/>
  <c r="DJ155" i="1" s="1"/>
  <c r="DC155" i="1"/>
  <c r="CX155" i="1"/>
  <c r="CN155" i="1"/>
  <c r="BV155" i="1"/>
  <c r="BX155" i="1" s="1"/>
  <c r="BU155" i="1"/>
  <c r="BN155" i="1"/>
  <c r="BO155" i="1" s="1"/>
  <c r="BD155" i="1"/>
  <c r="BC155" i="1"/>
  <c r="BB155" i="1"/>
  <c r="BA155" i="1"/>
  <c r="AZ155" i="1"/>
  <c r="AY155" i="1"/>
  <c r="BE155" i="1" s="1" a="1"/>
  <c r="BE155" i="1" s="1"/>
  <c r="AX155" i="1"/>
  <c r="M155" i="1"/>
  <c r="EM154" i="1"/>
  <c r="DU154" i="1"/>
  <c r="DT154" i="1"/>
  <c r="DN154" i="1"/>
  <c r="DM154" i="1"/>
  <c r="DL154" i="1"/>
  <c r="DK154" i="1"/>
  <c r="DI154" i="1"/>
  <c r="DJ154" i="1" s="1"/>
  <c r="DC154" i="1"/>
  <c r="CX154" i="1"/>
  <c r="CN154" i="1"/>
  <c r="BV154" i="1"/>
  <c r="BX154" i="1" s="1"/>
  <c r="BU154" i="1"/>
  <c r="BN154" i="1"/>
  <c r="BO154" i="1" s="1"/>
  <c r="BD154" i="1"/>
  <c r="BC154" i="1"/>
  <c r="BB154" i="1"/>
  <c r="BA154" i="1"/>
  <c r="AZ154" i="1"/>
  <c r="AY154" i="1"/>
  <c r="BE154" i="1" s="1" a="1"/>
  <c r="BE154" i="1" s="1"/>
  <c r="AX154" i="1"/>
  <c r="M154" i="1"/>
  <c r="EM153" i="1"/>
  <c r="DU153" i="1"/>
  <c r="DT153" i="1"/>
  <c r="DN153" i="1"/>
  <c r="DM153" i="1"/>
  <c r="DL153" i="1"/>
  <c r="DK153" i="1"/>
  <c r="DI153" i="1"/>
  <c r="DJ153" i="1" s="1"/>
  <c r="DC153" i="1"/>
  <c r="CX153" i="1"/>
  <c r="CN153" i="1"/>
  <c r="CP153" i="1" s="1"/>
  <c r="BV153" i="1"/>
  <c r="BX153" i="1" s="1"/>
  <c r="BU153" i="1"/>
  <c r="BN153" i="1"/>
  <c r="BO153" i="1" s="1"/>
  <c r="BD153" i="1"/>
  <c r="BC153" i="1"/>
  <c r="BB153" i="1"/>
  <c r="BA153" i="1"/>
  <c r="AZ153" i="1"/>
  <c r="AY153" i="1"/>
  <c r="BE153" i="1" s="1" a="1"/>
  <c r="BE153" i="1" s="1"/>
  <c r="AX153" i="1"/>
  <c r="M153" i="1"/>
  <c r="EM152" i="1"/>
  <c r="DU152" i="1"/>
  <c r="DT152" i="1"/>
  <c r="DN152" i="1"/>
  <c r="DM152" i="1"/>
  <c r="DL152" i="1"/>
  <c r="DK152" i="1"/>
  <c r="DI152" i="1"/>
  <c r="DJ152" i="1" s="1"/>
  <c r="DC152" i="1"/>
  <c r="CX152" i="1"/>
  <c r="CN152" i="1"/>
  <c r="CP152" i="1" s="1"/>
  <c r="BV152" i="1"/>
  <c r="BX152" i="1" s="1"/>
  <c r="BU152" i="1"/>
  <c r="BN152" i="1"/>
  <c r="BO152" i="1" s="1"/>
  <c r="BD152" i="1"/>
  <c r="BC152" i="1"/>
  <c r="BB152" i="1"/>
  <c r="BA152" i="1"/>
  <c r="AZ152" i="1"/>
  <c r="AY152" i="1"/>
  <c r="BE152" i="1" s="1" a="1"/>
  <c r="BE152" i="1" s="1"/>
  <c r="AX152" i="1"/>
  <c r="M152" i="1"/>
  <c r="EM151" i="1"/>
  <c r="DU151" i="1"/>
  <c r="DT151" i="1"/>
  <c r="DN151" i="1"/>
  <c r="DM151" i="1"/>
  <c r="DL151" i="1"/>
  <c r="DK151" i="1"/>
  <c r="DI151" i="1"/>
  <c r="DJ151" i="1" s="1"/>
  <c r="DC151" i="1"/>
  <c r="CX151" i="1"/>
  <c r="CN151" i="1"/>
  <c r="CO151" i="1" s="1"/>
  <c r="BV151" i="1"/>
  <c r="BX151" i="1" s="1"/>
  <c r="BU151" i="1"/>
  <c r="BN151" i="1"/>
  <c r="BO151" i="1" s="1"/>
  <c r="BD151" i="1"/>
  <c r="BC151" i="1"/>
  <c r="BB151" i="1"/>
  <c r="BA151" i="1"/>
  <c r="AZ151" i="1"/>
  <c r="AY151" i="1"/>
  <c r="BE151" i="1" s="1" a="1"/>
  <c r="BE151" i="1" s="1"/>
  <c r="AX151" i="1"/>
  <c r="M151" i="1"/>
  <c r="EM149" i="1"/>
  <c r="DU149" i="1"/>
  <c r="DT149" i="1"/>
  <c r="DN149" i="1"/>
  <c r="DM149" i="1"/>
  <c r="DL149" i="1"/>
  <c r="DK149" i="1"/>
  <c r="DI149" i="1"/>
  <c r="DJ149" i="1" s="1"/>
  <c r="DC149" i="1"/>
  <c r="CX149" i="1"/>
  <c r="CN149" i="1"/>
  <c r="BV149" i="1"/>
  <c r="BX149" i="1" s="1"/>
  <c r="BU149" i="1"/>
  <c r="BN149" i="1"/>
  <c r="BO149" i="1" s="1"/>
  <c r="BD149" i="1"/>
  <c r="BC149" i="1"/>
  <c r="BB149" i="1"/>
  <c r="BA149" i="1"/>
  <c r="AZ149" i="1"/>
  <c r="AY149" i="1"/>
  <c r="BE149" i="1" s="1" a="1"/>
  <c r="BE149" i="1" s="1"/>
  <c r="AX149" i="1"/>
  <c r="M149" i="1"/>
  <c r="EM145" i="1"/>
  <c r="DU145" i="1"/>
  <c r="DT145" i="1"/>
  <c r="DN145" i="1"/>
  <c r="DM145" i="1"/>
  <c r="DL145" i="1"/>
  <c r="DK145" i="1"/>
  <c r="DI145" i="1"/>
  <c r="DJ145" i="1" s="1"/>
  <c r="DC145" i="1"/>
  <c r="CX145" i="1"/>
  <c r="CN145" i="1"/>
  <c r="CO145" i="1" s="1"/>
  <c r="BV145" i="1"/>
  <c r="BX145" i="1" s="1"/>
  <c r="BU145" i="1"/>
  <c r="BN145" i="1"/>
  <c r="BO145" i="1" s="1"/>
  <c r="BD145" i="1"/>
  <c r="BC145" i="1"/>
  <c r="BB145" i="1"/>
  <c r="BA145" i="1"/>
  <c r="AZ145" i="1"/>
  <c r="AY145" i="1"/>
  <c r="BE145" i="1" s="1" a="1"/>
  <c r="BE145" i="1" s="1"/>
  <c r="AX145" i="1"/>
  <c r="M145" i="1"/>
  <c r="EM144" i="1"/>
  <c r="DU144" i="1"/>
  <c r="DT144" i="1"/>
  <c r="DN144" i="1"/>
  <c r="DM144" i="1"/>
  <c r="DL144" i="1"/>
  <c r="DK144" i="1"/>
  <c r="DI144" i="1"/>
  <c r="DJ144" i="1" s="1"/>
  <c r="DC144" i="1"/>
  <c r="CX144" i="1"/>
  <c r="CN144" i="1"/>
  <c r="CO144" i="1" s="1"/>
  <c r="BV144" i="1"/>
  <c r="BX144" i="1" s="1"/>
  <c r="BU144" i="1"/>
  <c r="BN144" i="1"/>
  <c r="BO144" i="1" s="1"/>
  <c r="BD144" i="1"/>
  <c r="BC144" i="1"/>
  <c r="BB144" i="1"/>
  <c r="BA144" i="1"/>
  <c r="AZ144" i="1"/>
  <c r="AY144" i="1"/>
  <c r="BE144" i="1" s="1" a="1"/>
  <c r="BE144" i="1" s="1"/>
  <c r="AX144" i="1"/>
  <c r="M144" i="1"/>
  <c r="EM141" i="1"/>
  <c r="DU141" i="1"/>
  <c r="DT141" i="1"/>
  <c r="DN141" i="1"/>
  <c r="DM141" i="1"/>
  <c r="DL141" i="1"/>
  <c r="DK141" i="1"/>
  <c r="DI141" i="1"/>
  <c r="DJ141" i="1" s="1"/>
  <c r="DC141" i="1"/>
  <c r="CX141" i="1"/>
  <c r="CN141" i="1"/>
  <c r="CR141" i="1" s="1"/>
  <c r="BV141" i="1"/>
  <c r="BX141" i="1" s="1"/>
  <c r="BU141" i="1"/>
  <c r="BN141" i="1"/>
  <c r="BO141" i="1" s="1"/>
  <c r="BD141" i="1"/>
  <c r="BC141" i="1"/>
  <c r="BB141" i="1"/>
  <c r="BA141" i="1"/>
  <c r="AZ141" i="1"/>
  <c r="AY141" i="1"/>
  <c r="BE141" i="1" s="1" a="1"/>
  <c r="BE141" i="1" s="1"/>
  <c r="AX141" i="1"/>
  <c r="M141" i="1"/>
  <c r="EM137" i="1"/>
  <c r="DU137" i="1"/>
  <c r="DT137" i="1"/>
  <c r="DN137" i="1"/>
  <c r="DM137" i="1"/>
  <c r="DL137" i="1"/>
  <c r="DK137" i="1"/>
  <c r="DI137" i="1"/>
  <c r="DJ137" i="1" s="1"/>
  <c r="DC137" i="1"/>
  <c r="CX137" i="1"/>
  <c r="CN137" i="1"/>
  <c r="BV137" i="1"/>
  <c r="BX137" i="1" s="1"/>
  <c r="BU137" i="1"/>
  <c r="BN137" i="1"/>
  <c r="BO137" i="1" s="1"/>
  <c r="BD137" i="1"/>
  <c r="BC137" i="1"/>
  <c r="BB137" i="1"/>
  <c r="BA137" i="1"/>
  <c r="AZ137" i="1"/>
  <c r="AY137" i="1"/>
  <c r="BE137" i="1" s="1" a="1"/>
  <c r="BE137" i="1" s="1"/>
  <c r="AX137" i="1"/>
  <c r="M137" i="1"/>
  <c r="EM133" i="1"/>
  <c r="DU133" i="1"/>
  <c r="DT133" i="1"/>
  <c r="DN133" i="1"/>
  <c r="DM133" i="1"/>
  <c r="DL133" i="1"/>
  <c r="DK133" i="1"/>
  <c r="DI133" i="1"/>
  <c r="DJ133" i="1" s="1"/>
  <c r="DC133" i="1"/>
  <c r="CX133" i="1"/>
  <c r="CN133" i="1"/>
  <c r="CR133" i="1" s="1"/>
  <c r="BV133" i="1"/>
  <c r="BX133" i="1" s="1"/>
  <c r="BU133" i="1"/>
  <c r="BN133" i="1"/>
  <c r="BO133" i="1" s="1"/>
  <c r="BD133" i="1"/>
  <c r="BC133" i="1"/>
  <c r="BB133" i="1"/>
  <c r="BA133" i="1"/>
  <c r="AZ133" i="1"/>
  <c r="AY133" i="1"/>
  <c r="BE133" i="1" s="1" a="1"/>
  <c r="BE133" i="1" s="1"/>
  <c r="AX133" i="1"/>
  <c r="M133" i="1"/>
  <c r="EM132" i="1"/>
  <c r="DU132" i="1"/>
  <c r="DT132" i="1"/>
  <c r="DN132" i="1"/>
  <c r="DM132" i="1"/>
  <c r="DL132" i="1"/>
  <c r="DK132" i="1"/>
  <c r="DI132" i="1"/>
  <c r="DJ132" i="1" s="1"/>
  <c r="DC132" i="1"/>
  <c r="CX132" i="1"/>
  <c r="CN132" i="1"/>
  <c r="CR132" i="1" s="1"/>
  <c r="BV132" i="1"/>
  <c r="BX132" i="1" s="1"/>
  <c r="BU132" i="1"/>
  <c r="BN132" i="1"/>
  <c r="BO132" i="1" s="1"/>
  <c r="BD132" i="1"/>
  <c r="BC132" i="1"/>
  <c r="BB132" i="1"/>
  <c r="BA132" i="1"/>
  <c r="AZ132" i="1"/>
  <c r="AY132" i="1"/>
  <c r="BE132" i="1" s="1" a="1"/>
  <c r="BE132" i="1" s="1"/>
  <c r="AX132" i="1"/>
  <c r="M132" i="1"/>
  <c r="EM130" i="1"/>
  <c r="DU130" i="1"/>
  <c r="DT130" i="1"/>
  <c r="DN130" i="1"/>
  <c r="DM130" i="1"/>
  <c r="DL130" i="1"/>
  <c r="DK130" i="1"/>
  <c r="DI130" i="1"/>
  <c r="DJ130" i="1" s="1"/>
  <c r="DC130" i="1"/>
  <c r="CX130" i="1"/>
  <c r="CN130" i="1"/>
  <c r="CS130" i="1" s="1"/>
  <c r="BV130" i="1"/>
  <c r="BX130" i="1" s="1"/>
  <c r="BU130" i="1"/>
  <c r="BN130" i="1"/>
  <c r="BO130" i="1" s="1"/>
  <c r="BD130" i="1"/>
  <c r="BC130" i="1"/>
  <c r="BB130" i="1"/>
  <c r="BA130" i="1"/>
  <c r="AZ130" i="1"/>
  <c r="AY130" i="1"/>
  <c r="BE130" i="1" s="1" a="1"/>
  <c r="BE130" i="1" s="1"/>
  <c r="AX130" i="1"/>
  <c r="M130" i="1"/>
  <c r="EM128" i="1"/>
  <c r="DC128" i="1"/>
  <c r="CX128" i="1"/>
  <c r="CN128" i="1"/>
  <c r="CS128" i="1" s="1"/>
  <c r="BV128" i="1"/>
  <c r="BX128" i="1" s="1"/>
  <c r="BU128" i="1"/>
  <c r="BN128" i="1"/>
  <c r="BO128" i="1" s="1"/>
  <c r="BD128" i="1"/>
  <c r="BC128" i="1"/>
  <c r="BB128" i="1"/>
  <c r="BA128" i="1"/>
  <c r="AZ128" i="1"/>
  <c r="AY128" i="1"/>
  <c r="BE128" i="1" s="1" a="1"/>
  <c r="BE128" i="1" s="1"/>
  <c r="AX128" i="1"/>
  <c r="EM127" i="1"/>
  <c r="DC127" i="1"/>
  <c r="CX127" i="1"/>
  <c r="CN127" i="1"/>
  <c r="CS127" i="1" s="1"/>
  <c r="BV127" i="1"/>
  <c r="BX127" i="1" s="1"/>
  <c r="BU127" i="1"/>
  <c r="BN127" i="1"/>
  <c r="BO127" i="1" s="1"/>
  <c r="BD127" i="1"/>
  <c r="BC127" i="1"/>
  <c r="BB127" i="1"/>
  <c r="BA127" i="1"/>
  <c r="AZ127" i="1"/>
  <c r="AY127" i="1"/>
  <c r="BE127" i="1" s="1" a="1"/>
  <c r="BE127" i="1" s="1"/>
  <c r="AX127" i="1"/>
  <c r="EM143" i="1"/>
  <c r="DU143" i="1"/>
  <c r="DT143" i="1"/>
  <c r="DN143" i="1"/>
  <c r="DM143" i="1"/>
  <c r="DL143" i="1"/>
  <c r="DK143" i="1"/>
  <c r="DI143" i="1"/>
  <c r="DJ143" i="1" s="1"/>
  <c r="DC143" i="1"/>
  <c r="CX143" i="1"/>
  <c r="CN143" i="1"/>
  <c r="CP143" i="1" s="1"/>
  <c r="BV143" i="1"/>
  <c r="BX143" i="1" s="1"/>
  <c r="BU143" i="1"/>
  <c r="BN143" i="1"/>
  <c r="BO143" i="1" s="1"/>
  <c r="BM143" i="1"/>
  <c r="BD143" i="1"/>
  <c r="BC143" i="1"/>
  <c r="BB143" i="1"/>
  <c r="BA143" i="1"/>
  <c r="AZ143" i="1"/>
  <c r="AY143" i="1"/>
  <c r="AX143" i="1"/>
  <c r="M143" i="1"/>
  <c r="EM142" i="1"/>
  <c r="DU142" i="1"/>
  <c r="DT142" i="1"/>
  <c r="DN142" i="1"/>
  <c r="DM142" i="1"/>
  <c r="DL142" i="1"/>
  <c r="DK142" i="1"/>
  <c r="DI142" i="1"/>
  <c r="DJ142" i="1" s="1"/>
  <c r="DC142" i="1"/>
  <c r="CX142" i="1"/>
  <c r="CN142" i="1"/>
  <c r="CP142" i="1" s="1"/>
  <c r="BV142" i="1"/>
  <c r="BX142" i="1" s="1"/>
  <c r="BU142" i="1"/>
  <c r="BN142" i="1"/>
  <c r="BO142" i="1" s="1"/>
  <c r="BM142" i="1"/>
  <c r="BD142" i="1"/>
  <c r="BC142" i="1"/>
  <c r="BB142" i="1"/>
  <c r="BA142" i="1"/>
  <c r="AZ142" i="1"/>
  <c r="AY142" i="1"/>
  <c r="AX142" i="1"/>
  <c r="M142" i="1"/>
  <c r="EM135" i="1"/>
  <c r="DU135" i="1"/>
  <c r="DT135" i="1"/>
  <c r="DN135" i="1"/>
  <c r="DM135" i="1"/>
  <c r="DL135" i="1"/>
  <c r="DK135" i="1"/>
  <c r="DI135" i="1"/>
  <c r="DJ135" i="1" s="1"/>
  <c r="DC135" i="1"/>
  <c r="CX135" i="1"/>
  <c r="CN135" i="1"/>
  <c r="CP135" i="1" s="1"/>
  <c r="BV135" i="1"/>
  <c r="BX135" i="1" s="1"/>
  <c r="BU135" i="1"/>
  <c r="BN135" i="1"/>
  <c r="BO135" i="1" s="1"/>
  <c r="BM135" i="1"/>
  <c r="BD135" i="1"/>
  <c r="BC135" i="1"/>
  <c r="BB135" i="1"/>
  <c r="BA135" i="1"/>
  <c r="AZ135" i="1"/>
  <c r="AY135" i="1"/>
  <c r="AX135" i="1"/>
  <c r="M135" i="1"/>
  <c r="EM134" i="1"/>
  <c r="DU134" i="1"/>
  <c r="DT134" i="1"/>
  <c r="DN134" i="1"/>
  <c r="DM134" i="1"/>
  <c r="DL134" i="1"/>
  <c r="DK134" i="1"/>
  <c r="DI134" i="1"/>
  <c r="DJ134" i="1" s="1"/>
  <c r="DC134" i="1"/>
  <c r="CX134" i="1"/>
  <c r="CN134" i="1"/>
  <c r="BV134" i="1"/>
  <c r="BX134" i="1" s="1"/>
  <c r="BU134" i="1"/>
  <c r="BN134" i="1"/>
  <c r="BO134" i="1" s="1"/>
  <c r="BM134" i="1"/>
  <c r="BD134" i="1"/>
  <c r="BC134" i="1"/>
  <c r="BB134" i="1"/>
  <c r="BA134" i="1"/>
  <c r="AZ134" i="1"/>
  <c r="AY134" i="1"/>
  <c r="AX134" i="1"/>
  <c r="M134" i="1"/>
  <c r="EM131" i="1"/>
  <c r="DU131" i="1"/>
  <c r="DT131" i="1"/>
  <c r="DN131" i="1"/>
  <c r="DM131" i="1"/>
  <c r="DL131" i="1"/>
  <c r="DK131" i="1"/>
  <c r="DI131" i="1"/>
  <c r="DJ131" i="1" s="1"/>
  <c r="DC131" i="1"/>
  <c r="CX131" i="1"/>
  <c r="CN131" i="1"/>
  <c r="BV131" i="1"/>
  <c r="BX131" i="1" s="1"/>
  <c r="BU131" i="1"/>
  <c r="BN131" i="1"/>
  <c r="BO131" i="1" s="1"/>
  <c r="BM131" i="1"/>
  <c r="BD131" i="1"/>
  <c r="BC131" i="1"/>
  <c r="BB131" i="1"/>
  <c r="BA131" i="1"/>
  <c r="AZ131" i="1"/>
  <c r="AY131" i="1"/>
  <c r="AX131" i="1"/>
  <c r="M131" i="1"/>
  <c r="EM129" i="1"/>
  <c r="DU129" i="1"/>
  <c r="DT129" i="1"/>
  <c r="DN129" i="1"/>
  <c r="DM129" i="1"/>
  <c r="DL129" i="1"/>
  <c r="DK129" i="1"/>
  <c r="DI129" i="1"/>
  <c r="DJ129" i="1" s="1"/>
  <c r="DC129" i="1"/>
  <c r="CX129" i="1"/>
  <c r="CN129" i="1"/>
  <c r="BV129" i="1"/>
  <c r="BX129" i="1" s="1"/>
  <c r="BU129" i="1"/>
  <c r="BN129" i="1"/>
  <c r="BO129" i="1" s="1"/>
  <c r="BM129" i="1"/>
  <c r="BD129" i="1"/>
  <c r="BC129" i="1"/>
  <c r="BB129" i="1"/>
  <c r="BA129" i="1"/>
  <c r="AZ129" i="1"/>
  <c r="AY129" i="1"/>
  <c r="AX129" i="1"/>
  <c r="M129" i="1"/>
  <c r="EM198" i="1"/>
  <c r="DU198" i="1"/>
  <c r="DT198" i="1"/>
  <c r="DN198" i="1"/>
  <c r="DM198" i="1"/>
  <c r="DL198" i="1"/>
  <c r="DK198" i="1"/>
  <c r="DI198" i="1"/>
  <c r="DJ198" i="1" s="1"/>
  <c r="DC198" i="1"/>
  <c r="CX198" i="1"/>
  <c r="CN198" i="1"/>
  <c r="CP198" i="1" s="1"/>
  <c r="BV198" i="1"/>
  <c r="BX198" i="1" s="1"/>
  <c r="BU198" i="1"/>
  <c r="BN198" i="1"/>
  <c r="BO198" i="1" s="1"/>
  <c r="BM198" i="1"/>
  <c r="BD198" i="1"/>
  <c r="BC198" i="1"/>
  <c r="BB198" i="1"/>
  <c r="BA198" i="1"/>
  <c r="AZ198" i="1"/>
  <c r="AY198" i="1"/>
  <c r="BE198" i="1" s="1" a="1"/>
  <c r="BE198" i="1" s="1"/>
  <c r="AX198" i="1"/>
  <c r="M198" i="1"/>
  <c r="EM197" i="1"/>
  <c r="DU197" i="1"/>
  <c r="DT197" i="1"/>
  <c r="DN197" i="1"/>
  <c r="DM197" i="1"/>
  <c r="DL197" i="1"/>
  <c r="DK197" i="1"/>
  <c r="DI197" i="1"/>
  <c r="DJ197" i="1" s="1"/>
  <c r="DC197" i="1"/>
  <c r="CX197" i="1"/>
  <c r="CN197" i="1"/>
  <c r="CP197" i="1" s="1"/>
  <c r="BV197" i="1"/>
  <c r="BX197" i="1" s="1"/>
  <c r="BU197" i="1"/>
  <c r="BN197" i="1"/>
  <c r="BO197" i="1" s="1"/>
  <c r="BM197" i="1"/>
  <c r="BD197" i="1"/>
  <c r="BC197" i="1"/>
  <c r="BB197" i="1"/>
  <c r="BA197" i="1"/>
  <c r="AZ197" i="1"/>
  <c r="AY197" i="1"/>
  <c r="BE197" i="1" s="1" a="1"/>
  <c r="BE197" i="1" s="1"/>
  <c r="AX197" i="1"/>
  <c r="M197" i="1"/>
  <c r="EM196" i="1"/>
  <c r="DU196" i="1"/>
  <c r="DT196" i="1"/>
  <c r="DN196" i="1"/>
  <c r="DM196" i="1"/>
  <c r="DL196" i="1"/>
  <c r="DK196" i="1"/>
  <c r="DI196" i="1"/>
  <c r="DJ196" i="1" s="1"/>
  <c r="DC196" i="1"/>
  <c r="CX196" i="1"/>
  <c r="CN196" i="1"/>
  <c r="BV196" i="1"/>
  <c r="BX196" i="1" s="1"/>
  <c r="BU196" i="1"/>
  <c r="BN196" i="1"/>
  <c r="BO196" i="1" s="1"/>
  <c r="BM196" i="1"/>
  <c r="BD196" i="1"/>
  <c r="BC196" i="1"/>
  <c r="BB196" i="1"/>
  <c r="BA196" i="1"/>
  <c r="AZ196" i="1"/>
  <c r="AY196" i="1"/>
  <c r="BE196" i="1" s="1" a="1"/>
  <c r="BE196" i="1" s="1"/>
  <c r="AX196" i="1"/>
  <c r="M196" i="1"/>
  <c r="EM186" i="1"/>
  <c r="DU186" i="1"/>
  <c r="DT186" i="1"/>
  <c r="DN186" i="1"/>
  <c r="DM186" i="1"/>
  <c r="DL186" i="1"/>
  <c r="DK186" i="1"/>
  <c r="DI186" i="1"/>
  <c r="DJ186" i="1" s="1"/>
  <c r="DC186" i="1"/>
  <c r="CX186" i="1"/>
  <c r="CN186" i="1"/>
  <c r="BV186" i="1"/>
  <c r="BX186" i="1" s="1"/>
  <c r="BU186" i="1"/>
  <c r="BN186" i="1"/>
  <c r="BO186" i="1" s="1"/>
  <c r="BM186" i="1"/>
  <c r="BD186" i="1"/>
  <c r="BC186" i="1"/>
  <c r="BB186" i="1"/>
  <c r="BA186" i="1"/>
  <c r="AZ186" i="1"/>
  <c r="AY186" i="1"/>
  <c r="BE186" i="1" s="1" a="1"/>
  <c r="BE186" i="1" s="1"/>
  <c r="AX186" i="1"/>
  <c r="M186" i="1"/>
  <c r="EM195" i="1"/>
  <c r="DU195" i="1"/>
  <c r="DT195" i="1"/>
  <c r="DN195" i="1"/>
  <c r="DM195" i="1"/>
  <c r="DL195" i="1"/>
  <c r="DK195" i="1"/>
  <c r="DI195" i="1"/>
  <c r="DJ195" i="1" s="1"/>
  <c r="DC195" i="1"/>
  <c r="CX195" i="1"/>
  <c r="CN195" i="1"/>
  <c r="BV195" i="1"/>
  <c r="BX195" i="1" s="1"/>
  <c r="BU195" i="1"/>
  <c r="BN195" i="1"/>
  <c r="BO195" i="1" s="1"/>
  <c r="BM195" i="1"/>
  <c r="BD195" i="1"/>
  <c r="BC195" i="1"/>
  <c r="BB195" i="1"/>
  <c r="BA195" i="1"/>
  <c r="AZ195" i="1"/>
  <c r="AY195" i="1"/>
  <c r="BE195" i="1" s="1" a="1"/>
  <c r="BE195" i="1" s="1"/>
  <c r="AX195" i="1"/>
  <c r="M195" i="1"/>
  <c r="EM185" i="1"/>
  <c r="DU185" i="1"/>
  <c r="DT185" i="1"/>
  <c r="DN185" i="1"/>
  <c r="DM185" i="1"/>
  <c r="DL185" i="1"/>
  <c r="DK185" i="1"/>
  <c r="DI185" i="1"/>
  <c r="DJ185" i="1" s="1"/>
  <c r="DC185" i="1"/>
  <c r="CX185" i="1"/>
  <c r="CN185" i="1"/>
  <c r="BV185" i="1"/>
  <c r="BX185" i="1" s="1"/>
  <c r="BU185" i="1"/>
  <c r="BN185" i="1"/>
  <c r="BO185" i="1" s="1"/>
  <c r="BM185" i="1"/>
  <c r="BD185" i="1"/>
  <c r="BC185" i="1"/>
  <c r="BB185" i="1"/>
  <c r="BA185" i="1"/>
  <c r="AZ185" i="1"/>
  <c r="AY185" i="1"/>
  <c r="BE185" i="1" s="1" a="1"/>
  <c r="BE185" i="1" s="1"/>
  <c r="AX185" i="1"/>
  <c r="M185" i="1"/>
  <c r="EM192" i="1"/>
  <c r="DU192" i="1"/>
  <c r="DT192" i="1"/>
  <c r="DN192" i="1"/>
  <c r="DM192" i="1"/>
  <c r="DL192" i="1"/>
  <c r="DK192" i="1"/>
  <c r="DI192" i="1"/>
  <c r="DJ192" i="1" s="1"/>
  <c r="DC192" i="1"/>
  <c r="CX192" i="1"/>
  <c r="CN192" i="1"/>
  <c r="CP192" i="1" s="1"/>
  <c r="BV192" i="1"/>
  <c r="BX192" i="1" s="1"/>
  <c r="BU192" i="1"/>
  <c r="BN192" i="1"/>
  <c r="BO192" i="1" s="1"/>
  <c r="BM192" i="1"/>
  <c r="BD192" i="1"/>
  <c r="BC192" i="1"/>
  <c r="BB192" i="1"/>
  <c r="BA192" i="1"/>
  <c r="AZ192" i="1"/>
  <c r="AY192" i="1"/>
  <c r="BE192" i="1" s="1" a="1"/>
  <c r="BE192" i="1" s="1"/>
  <c r="AX192" i="1"/>
  <c r="M192" i="1"/>
  <c r="EM184" i="1"/>
  <c r="DU184" i="1"/>
  <c r="DT184" i="1"/>
  <c r="DN184" i="1"/>
  <c r="DM184" i="1"/>
  <c r="DL184" i="1"/>
  <c r="DK184" i="1"/>
  <c r="DI184" i="1"/>
  <c r="DJ184" i="1" s="1"/>
  <c r="DC184" i="1"/>
  <c r="CX184" i="1"/>
  <c r="CN184" i="1"/>
  <c r="CP184" i="1" s="1"/>
  <c r="BV184" i="1"/>
  <c r="BX184" i="1" s="1"/>
  <c r="BU184" i="1"/>
  <c r="BN184" i="1"/>
  <c r="BO184" i="1" s="1"/>
  <c r="BM184" i="1"/>
  <c r="BD184" i="1"/>
  <c r="BC184" i="1"/>
  <c r="BB184" i="1"/>
  <c r="BA184" i="1"/>
  <c r="AZ184" i="1"/>
  <c r="AY184" i="1"/>
  <c r="BE184" i="1" s="1" a="1"/>
  <c r="BE184" i="1" s="1"/>
  <c r="AX184" i="1"/>
  <c r="M184" i="1"/>
  <c r="EM183" i="1"/>
  <c r="DU183" i="1"/>
  <c r="DT183" i="1"/>
  <c r="DN183" i="1"/>
  <c r="DM183" i="1"/>
  <c r="DL183" i="1"/>
  <c r="DK183" i="1"/>
  <c r="DI183" i="1"/>
  <c r="DJ183" i="1" s="1"/>
  <c r="DC183" i="1"/>
  <c r="CX183" i="1"/>
  <c r="CN183" i="1"/>
  <c r="CO183" i="1" s="1"/>
  <c r="BV183" i="1"/>
  <c r="BX183" i="1" s="1"/>
  <c r="BU183" i="1"/>
  <c r="BN183" i="1"/>
  <c r="BO183" i="1" s="1"/>
  <c r="BM183" i="1"/>
  <c r="BD183" i="1"/>
  <c r="BC183" i="1"/>
  <c r="BB183" i="1"/>
  <c r="BA183" i="1"/>
  <c r="AZ183" i="1"/>
  <c r="AY183" i="1"/>
  <c r="BE183" i="1" s="1" a="1"/>
  <c r="BE183" i="1" s="1"/>
  <c r="AX183" i="1"/>
  <c r="M183" i="1"/>
  <c r="EM191" i="1"/>
  <c r="DU191" i="1"/>
  <c r="DT191" i="1"/>
  <c r="DN191" i="1"/>
  <c r="DM191" i="1"/>
  <c r="DL191" i="1"/>
  <c r="DK191" i="1"/>
  <c r="DI191" i="1"/>
  <c r="DJ191" i="1" s="1"/>
  <c r="DC191" i="1"/>
  <c r="CX191" i="1"/>
  <c r="CN191" i="1"/>
  <c r="BV191" i="1"/>
  <c r="BX191" i="1" s="1"/>
  <c r="BU191" i="1"/>
  <c r="BN191" i="1"/>
  <c r="BO191" i="1" s="1"/>
  <c r="BM191" i="1"/>
  <c r="BD191" i="1"/>
  <c r="BC191" i="1"/>
  <c r="BB191" i="1"/>
  <c r="BA191" i="1"/>
  <c r="AZ191" i="1"/>
  <c r="AY191" i="1"/>
  <c r="BE191" i="1" s="1" a="1"/>
  <c r="BE191" i="1" s="1"/>
  <c r="AX191" i="1"/>
  <c r="M191" i="1"/>
  <c r="EM190" i="1"/>
  <c r="DU190" i="1"/>
  <c r="DT190" i="1"/>
  <c r="DN190" i="1"/>
  <c r="DM190" i="1"/>
  <c r="DL190" i="1"/>
  <c r="DK190" i="1"/>
  <c r="DI190" i="1"/>
  <c r="DJ190" i="1" s="1"/>
  <c r="DC190" i="1"/>
  <c r="CX190" i="1"/>
  <c r="CN190" i="1"/>
  <c r="CP190" i="1" s="1"/>
  <c r="BV190" i="1"/>
  <c r="BX190" i="1" s="1"/>
  <c r="BU190" i="1"/>
  <c r="BN190" i="1"/>
  <c r="BO190" i="1" s="1"/>
  <c r="BM190" i="1"/>
  <c r="BD190" i="1"/>
  <c r="BC190" i="1"/>
  <c r="BB190" i="1"/>
  <c r="BA190" i="1"/>
  <c r="AZ190" i="1"/>
  <c r="AY190" i="1"/>
  <c r="BE190" i="1" s="1" a="1"/>
  <c r="BE190" i="1" s="1"/>
  <c r="AX190" i="1"/>
  <c r="M190" i="1"/>
  <c r="EM189" i="1"/>
  <c r="DU189" i="1"/>
  <c r="DT189" i="1"/>
  <c r="DN189" i="1"/>
  <c r="DM189" i="1"/>
  <c r="DL189" i="1"/>
  <c r="DK189" i="1"/>
  <c r="DI189" i="1"/>
  <c r="DJ189" i="1" s="1"/>
  <c r="DC189" i="1"/>
  <c r="CX189" i="1"/>
  <c r="CN189" i="1"/>
  <c r="CP189" i="1" s="1"/>
  <c r="BV189" i="1"/>
  <c r="BX189" i="1" s="1"/>
  <c r="BU189" i="1"/>
  <c r="BN189" i="1"/>
  <c r="BO189" i="1" s="1"/>
  <c r="BM189" i="1"/>
  <c r="BD189" i="1"/>
  <c r="BC189" i="1"/>
  <c r="BB189" i="1"/>
  <c r="BA189" i="1"/>
  <c r="AZ189" i="1"/>
  <c r="AY189" i="1"/>
  <c r="BE189" i="1" s="1" a="1"/>
  <c r="BE189" i="1" s="1"/>
  <c r="AX189" i="1"/>
  <c r="M189" i="1"/>
  <c r="EM194" i="1"/>
  <c r="DU194" i="1"/>
  <c r="DT194" i="1"/>
  <c r="DN194" i="1"/>
  <c r="DM194" i="1"/>
  <c r="DL194" i="1"/>
  <c r="DK194" i="1"/>
  <c r="DI194" i="1"/>
  <c r="DJ194" i="1" s="1"/>
  <c r="DC194" i="1"/>
  <c r="CX194" i="1"/>
  <c r="CN194" i="1"/>
  <c r="CO194" i="1" s="1"/>
  <c r="BV194" i="1"/>
  <c r="BX194" i="1" s="1"/>
  <c r="BU194" i="1"/>
  <c r="BN194" i="1"/>
  <c r="BO194" i="1" s="1"/>
  <c r="BM194" i="1"/>
  <c r="BD194" i="1"/>
  <c r="BC194" i="1"/>
  <c r="BB194" i="1"/>
  <c r="BA194" i="1"/>
  <c r="AZ194" i="1"/>
  <c r="AY194" i="1"/>
  <c r="BE194" i="1" s="1" a="1"/>
  <c r="BE194" i="1" s="1"/>
  <c r="AX194" i="1"/>
  <c r="M194" i="1"/>
  <c r="EM182" i="1"/>
  <c r="DU182" i="1"/>
  <c r="DT182" i="1"/>
  <c r="DN182" i="1"/>
  <c r="DM182" i="1"/>
  <c r="DL182" i="1"/>
  <c r="DK182" i="1"/>
  <c r="DI182" i="1"/>
  <c r="DJ182" i="1" s="1"/>
  <c r="DC182" i="1"/>
  <c r="CX182" i="1"/>
  <c r="CN182" i="1"/>
  <c r="CP182" i="1" s="1"/>
  <c r="BV182" i="1"/>
  <c r="BX182" i="1" s="1"/>
  <c r="BU182" i="1"/>
  <c r="BN182" i="1"/>
  <c r="BO182" i="1" s="1"/>
  <c r="BM182" i="1"/>
  <c r="BD182" i="1"/>
  <c r="BC182" i="1"/>
  <c r="BB182" i="1"/>
  <c r="BA182" i="1"/>
  <c r="AZ182" i="1"/>
  <c r="AY182" i="1"/>
  <c r="BE182" i="1" s="1" a="1"/>
  <c r="BE182" i="1" s="1"/>
  <c r="AX182" i="1"/>
  <c r="M182" i="1"/>
  <c r="EM188" i="1"/>
  <c r="DU188" i="1"/>
  <c r="DT188" i="1"/>
  <c r="DN188" i="1"/>
  <c r="DM188" i="1"/>
  <c r="DL188" i="1"/>
  <c r="DK188" i="1"/>
  <c r="DI188" i="1"/>
  <c r="DJ188" i="1" s="1"/>
  <c r="DC188" i="1"/>
  <c r="CX188" i="1"/>
  <c r="CN188" i="1"/>
  <c r="CO188" i="1" s="1"/>
  <c r="BV188" i="1"/>
  <c r="BX188" i="1" s="1"/>
  <c r="BU188" i="1"/>
  <c r="BN188" i="1"/>
  <c r="BO188" i="1" s="1"/>
  <c r="BM188" i="1"/>
  <c r="BD188" i="1"/>
  <c r="BC188" i="1"/>
  <c r="BB188" i="1"/>
  <c r="BA188" i="1"/>
  <c r="AZ188" i="1"/>
  <c r="AY188" i="1"/>
  <c r="BE188" i="1" s="1" a="1"/>
  <c r="BE188" i="1" s="1"/>
  <c r="AX188" i="1"/>
  <c r="M188" i="1"/>
  <c r="EM173" i="1"/>
  <c r="DU173" i="1"/>
  <c r="DT173" i="1"/>
  <c r="DN173" i="1"/>
  <c r="DM173" i="1"/>
  <c r="DL173" i="1"/>
  <c r="DK173" i="1"/>
  <c r="DI173" i="1"/>
  <c r="DJ173" i="1" s="1"/>
  <c r="DC173" i="1"/>
  <c r="CX173" i="1"/>
  <c r="CN173" i="1"/>
  <c r="BV173" i="1"/>
  <c r="BX173" i="1" s="1"/>
  <c r="BU173" i="1"/>
  <c r="BN173" i="1"/>
  <c r="BO173" i="1" s="1"/>
  <c r="BD173" i="1"/>
  <c r="BC173" i="1"/>
  <c r="BB173" i="1"/>
  <c r="BA173" i="1"/>
  <c r="AZ173" i="1"/>
  <c r="AY173" i="1"/>
  <c r="BE173" i="1" s="1" a="1"/>
  <c r="BE173" i="1" s="1"/>
  <c r="AX173" i="1"/>
  <c r="M173" i="1"/>
  <c r="EM172" i="1"/>
  <c r="DU172" i="1"/>
  <c r="DT172" i="1"/>
  <c r="DN172" i="1"/>
  <c r="DM172" i="1"/>
  <c r="DL172" i="1"/>
  <c r="DK172" i="1"/>
  <c r="DI172" i="1"/>
  <c r="DJ172" i="1" s="1"/>
  <c r="DC172" i="1"/>
  <c r="CX172" i="1"/>
  <c r="CN172" i="1"/>
  <c r="BV172" i="1"/>
  <c r="BX172" i="1" s="1"/>
  <c r="BU172" i="1"/>
  <c r="BN172" i="1"/>
  <c r="BO172" i="1" s="1"/>
  <c r="BD172" i="1"/>
  <c r="BC172" i="1"/>
  <c r="BB172" i="1"/>
  <c r="BA172" i="1"/>
  <c r="AZ172" i="1"/>
  <c r="AY172" i="1"/>
  <c r="BE172" i="1" s="1" a="1"/>
  <c r="BE172" i="1" s="1"/>
  <c r="AX172" i="1"/>
  <c r="M172" i="1"/>
  <c r="EM170" i="1"/>
  <c r="DU170" i="1"/>
  <c r="DT170" i="1"/>
  <c r="DN170" i="1"/>
  <c r="DM170" i="1"/>
  <c r="DL170" i="1"/>
  <c r="DK170" i="1"/>
  <c r="DI170" i="1"/>
  <c r="DJ170" i="1" s="1"/>
  <c r="DC170" i="1"/>
  <c r="CX170" i="1"/>
  <c r="CN170" i="1"/>
  <c r="CO170" i="1" s="1"/>
  <c r="BV170" i="1"/>
  <c r="BX170" i="1" s="1"/>
  <c r="BU170" i="1"/>
  <c r="BN170" i="1"/>
  <c r="BO170" i="1" s="1"/>
  <c r="BD170" i="1"/>
  <c r="BC170" i="1"/>
  <c r="BB170" i="1"/>
  <c r="BA170" i="1"/>
  <c r="AZ170" i="1"/>
  <c r="AY170" i="1"/>
  <c r="BE170" i="1" s="1" a="1"/>
  <c r="BE170" i="1" s="1"/>
  <c r="AX170" i="1"/>
  <c r="M170" i="1"/>
  <c r="EM156" i="1"/>
  <c r="DU156" i="1"/>
  <c r="DT156" i="1"/>
  <c r="DN156" i="1"/>
  <c r="DM156" i="1"/>
  <c r="DL156" i="1"/>
  <c r="DK156" i="1"/>
  <c r="DI156" i="1"/>
  <c r="DJ156" i="1" s="1"/>
  <c r="DC156" i="1"/>
  <c r="CX156" i="1"/>
  <c r="CN156" i="1"/>
  <c r="BV156" i="1"/>
  <c r="BX156" i="1" s="1"/>
  <c r="BU156" i="1"/>
  <c r="BN156" i="1"/>
  <c r="BO156" i="1" s="1"/>
  <c r="BD156" i="1"/>
  <c r="BC156" i="1"/>
  <c r="BB156" i="1"/>
  <c r="BA156" i="1"/>
  <c r="AZ156" i="1"/>
  <c r="AY156" i="1"/>
  <c r="BE156" i="1" s="1" a="1"/>
  <c r="BE156" i="1" s="1"/>
  <c r="AX156" i="1"/>
  <c r="M156" i="1"/>
  <c r="EM150" i="1"/>
  <c r="DU150" i="1"/>
  <c r="DT150" i="1"/>
  <c r="DN150" i="1"/>
  <c r="DM150" i="1"/>
  <c r="DL150" i="1"/>
  <c r="DK150" i="1"/>
  <c r="DI150" i="1"/>
  <c r="DJ150" i="1" s="1"/>
  <c r="DC150" i="1"/>
  <c r="CX150" i="1"/>
  <c r="CN150" i="1"/>
  <c r="CS150" i="1" s="1"/>
  <c r="BV150" i="1"/>
  <c r="BX150" i="1" s="1"/>
  <c r="BU150" i="1"/>
  <c r="BN150" i="1"/>
  <c r="BO150" i="1" s="1"/>
  <c r="BD150" i="1"/>
  <c r="BC150" i="1"/>
  <c r="BB150" i="1"/>
  <c r="BA150" i="1"/>
  <c r="AZ150" i="1"/>
  <c r="AY150" i="1"/>
  <c r="BE150" i="1" s="1" a="1"/>
  <c r="BE150" i="1" s="1"/>
  <c r="AX150" i="1"/>
  <c r="M150" i="1"/>
  <c r="EM148" i="1"/>
  <c r="DU148" i="1"/>
  <c r="DT148" i="1"/>
  <c r="DN148" i="1"/>
  <c r="DM148" i="1"/>
  <c r="DL148" i="1"/>
  <c r="DK148" i="1"/>
  <c r="DI148" i="1"/>
  <c r="DJ148" i="1" s="1"/>
  <c r="DC148" i="1"/>
  <c r="CX148" i="1"/>
  <c r="CN148" i="1"/>
  <c r="CR148" i="1" s="1"/>
  <c r="BV148" i="1"/>
  <c r="BX148" i="1" s="1"/>
  <c r="BU148" i="1"/>
  <c r="BN148" i="1"/>
  <c r="BO148" i="1" s="1"/>
  <c r="BD148" i="1"/>
  <c r="BC148" i="1"/>
  <c r="BB148" i="1"/>
  <c r="BA148" i="1"/>
  <c r="AZ148" i="1"/>
  <c r="AY148" i="1"/>
  <c r="BE148" i="1" s="1" a="1"/>
  <c r="BE148" i="1" s="1"/>
  <c r="AX148" i="1"/>
  <c r="M148" i="1"/>
  <c r="EM147" i="1"/>
  <c r="DU147" i="1"/>
  <c r="DT147" i="1"/>
  <c r="DN147" i="1"/>
  <c r="DM147" i="1"/>
  <c r="DL147" i="1"/>
  <c r="DK147" i="1"/>
  <c r="DI147" i="1"/>
  <c r="DJ147" i="1" s="1"/>
  <c r="DC147" i="1"/>
  <c r="CX147" i="1"/>
  <c r="CN147" i="1"/>
  <c r="CR147" i="1" s="1"/>
  <c r="BV147" i="1"/>
  <c r="BX147" i="1" s="1"/>
  <c r="BU147" i="1"/>
  <c r="BN147" i="1"/>
  <c r="BO147" i="1" s="1"/>
  <c r="BD147" i="1"/>
  <c r="BC147" i="1"/>
  <c r="BB147" i="1"/>
  <c r="BA147" i="1"/>
  <c r="AZ147" i="1"/>
  <c r="AY147" i="1"/>
  <c r="BE147" i="1" s="1" a="1"/>
  <c r="BE147" i="1" s="1"/>
  <c r="AX147" i="1"/>
  <c r="M147" i="1"/>
  <c r="EM146" i="1"/>
  <c r="DU146" i="1"/>
  <c r="DT146" i="1"/>
  <c r="DN146" i="1"/>
  <c r="DM146" i="1"/>
  <c r="DL146" i="1"/>
  <c r="DK146" i="1"/>
  <c r="DI146" i="1"/>
  <c r="DJ146" i="1" s="1"/>
  <c r="DC146" i="1"/>
  <c r="CX146" i="1"/>
  <c r="CN146" i="1"/>
  <c r="CR146" i="1" s="1"/>
  <c r="BV146" i="1"/>
  <c r="BX146" i="1" s="1"/>
  <c r="BU146" i="1"/>
  <c r="BN146" i="1"/>
  <c r="BO146" i="1" s="1"/>
  <c r="BD146" i="1"/>
  <c r="BC146" i="1"/>
  <c r="BB146" i="1"/>
  <c r="BA146" i="1"/>
  <c r="AZ146" i="1"/>
  <c r="AY146" i="1"/>
  <c r="BE146" i="1" s="1" a="1"/>
  <c r="BE146" i="1" s="1"/>
  <c r="AX146" i="1"/>
  <c r="M146" i="1"/>
  <c r="EM140" i="1"/>
  <c r="DU140" i="1"/>
  <c r="DT140" i="1"/>
  <c r="DN140" i="1"/>
  <c r="DM140" i="1"/>
  <c r="DL140" i="1"/>
  <c r="DK140" i="1"/>
  <c r="DI140" i="1"/>
  <c r="DJ140" i="1" s="1"/>
  <c r="DC140" i="1"/>
  <c r="CX140" i="1"/>
  <c r="CN140" i="1"/>
  <c r="CP140" i="1" s="1"/>
  <c r="BV140" i="1"/>
  <c r="BX140" i="1" s="1"/>
  <c r="BU140" i="1"/>
  <c r="BN140" i="1"/>
  <c r="BO140" i="1" s="1"/>
  <c r="BD140" i="1"/>
  <c r="BC140" i="1"/>
  <c r="BB140" i="1"/>
  <c r="BA140" i="1"/>
  <c r="AZ140" i="1"/>
  <c r="AY140" i="1"/>
  <c r="BE140" i="1" s="1" a="1"/>
  <c r="BE140" i="1" s="1"/>
  <c r="AX140" i="1"/>
  <c r="M140" i="1"/>
  <c r="EM139" i="1"/>
  <c r="DU139" i="1"/>
  <c r="DT139" i="1"/>
  <c r="DN139" i="1"/>
  <c r="DM139" i="1"/>
  <c r="DL139" i="1"/>
  <c r="DK139" i="1"/>
  <c r="DI139" i="1"/>
  <c r="DJ139" i="1" s="1"/>
  <c r="DC139" i="1"/>
  <c r="CX139" i="1"/>
  <c r="CN139" i="1"/>
  <c r="BV139" i="1"/>
  <c r="BX139" i="1" s="1"/>
  <c r="BU139" i="1"/>
  <c r="BN139" i="1"/>
  <c r="BO139" i="1" s="1"/>
  <c r="BD139" i="1"/>
  <c r="BC139" i="1"/>
  <c r="BB139" i="1"/>
  <c r="BA139" i="1"/>
  <c r="AZ139" i="1"/>
  <c r="AY139" i="1"/>
  <c r="BE139" i="1" s="1" a="1"/>
  <c r="BE139" i="1" s="1"/>
  <c r="AX139" i="1"/>
  <c r="M139" i="1"/>
  <c r="EM138" i="1"/>
  <c r="DU138" i="1"/>
  <c r="DT138" i="1"/>
  <c r="DN138" i="1"/>
  <c r="DM138" i="1"/>
  <c r="DL138" i="1"/>
  <c r="DK138" i="1"/>
  <c r="DI138" i="1"/>
  <c r="DJ138" i="1" s="1"/>
  <c r="DC138" i="1"/>
  <c r="CX138" i="1"/>
  <c r="CN138" i="1"/>
  <c r="BV138" i="1"/>
  <c r="BX138" i="1" s="1"/>
  <c r="BU138" i="1"/>
  <c r="BN138" i="1"/>
  <c r="BO138" i="1" s="1"/>
  <c r="BD138" i="1"/>
  <c r="BC138" i="1"/>
  <c r="BB138" i="1"/>
  <c r="BA138" i="1"/>
  <c r="AZ138" i="1"/>
  <c r="AY138" i="1"/>
  <c r="BE138" i="1" s="1" a="1"/>
  <c r="BE138" i="1" s="1"/>
  <c r="AX138" i="1"/>
  <c r="M138" i="1"/>
  <c r="EM136" i="1"/>
  <c r="DU136" i="1"/>
  <c r="DT136" i="1"/>
  <c r="DN136" i="1"/>
  <c r="DM136" i="1"/>
  <c r="DL136" i="1"/>
  <c r="DK136" i="1"/>
  <c r="DI136" i="1"/>
  <c r="DJ136" i="1" s="1"/>
  <c r="DC136" i="1"/>
  <c r="CX136" i="1"/>
  <c r="CN136" i="1"/>
  <c r="CR136" i="1" s="1"/>
  <c r="BV136" i="1"/>
  <c r="BX136" i="1" s="1"/>
  <c r="BU136" i="1"/>
  <c r="BN136" i="1"/>
  <c r="BO136" i="1" s="1"/>
  <c r="BD136" i="1"/>
  <c r="BC136" i="1"/>
  <c r="BB136" i="1"/>
  <c r="BA136" i="1"/>
  <c r="AZ136" i="1"/>
  <c r="AY136" i="1"/>
  <c r="BE136" i="1" s="1" a="1"/>
  <c r="BE136" i="1" s="1"/>
  <c r="AX136" i="1"/>
  <c r="M136" i="1"/>
  <c r="BF1712" i="1" l="1" a="1"/>
  <c r="BF1712" i="1" s="1"/>
  <c r="BF1703" i="1" a="1"/>
  <c r="BF1703" i="1" s="1"/>
  <c r="BF1702" i="1" a="1"/>
  <c r="BF1702" i="1" s="1"/>
  <c r="BF1085" i="1" a="1"/>
  <c r="BF1085" i="1" s="1"/>
  <c r="BF1144" i="1" a="1"/>
  <c r="BF1144" i="1" s="1"/>
  <c r="BF1153" i="1" a="1"/>
  <c r="BF1153" i="1" s="1"/>
  <c r="BF1148" i="1" a="1"/>
  <c r="BF1148" i="1" s="1"/>
  <c r="BF1163" i="1" a="1"/>
  <c r="BF1163" i="1" s="1"/>
  <c r="BF1213" i="1" a="1"/>
  <c r="BF1213" i="1" s="1"/>
  <c r="BF1203" i="1" a="1"/>
  <c r="BF1203" i="1" s="1"/>
  <c r="BF1343" i="1" a="1"/>
  <c r="BF1343" i="1" s="1"/>
  <c r="BF1453" i="1" a="1"/>
  <c r="BF1453" i="1" s="1"/>
  <c r="BF1456" i="1" a="1"/>
  <c r="BF1456" i="1" s="1"/>
  <c r="BF1518" i="1" a="1"/>
  <c r="BF1518" i="1" s="1"/>
  <c r="BF1629" i="1" a="1"/>
  <c r="BF1629" i="1" s="1"/>
  <c r="BE1629" i="1" s="1" a="1"/>
  <c r="BE1629" i="1" s="1"/>
  <c r="BF1643" i="1" a="1"/>
  <c r="BF1643" i="1" s="1"/>
  <c r="BE1643" i="1" s="1" a="1"/>
  <c r="BE1643" i="1" s="1"/>
  <c r="BF1654" i="1" a="1"/>
  <c r="BF1654" i="1" s="1"/>
  <c r="BF1646" i="1" a="1"/>
  <c r="BF1646" i="1" s="1"/>
  <c r="BF1661" i="1" a="1"/>
  <c r="BF1661" i="1" s="1"/>
  <c r="BF1735" i="1" a="1"/>
  <c r="BF1735" i="1" s="1"/>
  <c r="BF1707" i="1" a="1"/>
  <c r="BF1707" i="1" s="1"/>
  <c r="BF1743" i="1" a="1"/>
  <c r="BF1743" i="1" s="1"/>
  <c r="BF1745" i="1" a="1"/>
  <c r="BF1745" i="1" s="1"/>
  <c r="BF184" i="1" a="1"/>
  <c r="BF184" i="1" s="1"/>
  <c r="BF129" i="1" a="1"/>
  <c r="BF129" i="1" s="1"/>
  <c r="BF137" i="1" a="1"/>
  <c r="BF137" i="1" s="1"/>
  <c r="BF149" i="1" a="1"/>
  <c r="BF149" i="1" s="1"/>
  <c r="BF154" i="1" a="1"/>
  <c r="BF154" i="1" s="1"/>
  <c r="BF159" i="1" a="1"/>
  <c r="BF159" i="1" s="1"/>
  <c r="BF163" i="1" a="1"/>
  <c r="BF163" i="1" s="1"/>
  <c r="BF167" i="1" a="1"/>
  <c r="BF167" i="1" s="1"/>
  <c r="BF174" i="1" a="1"/>
  <c r="BF174" i="1" s="1"/>
  <c r="BF178" i="1" a="1"/>
  <c r="BF178" i="1" s="1"/>
  <c r="BF193" i="1" a="1"/>
  <c r="BF193" i="1" s="1"/>
  <c r="BF205" i="1" a="1"/>
  <c r="BF205" i="1" s="1"/>
  <c r="BF224" i="1" a="1"/>
  <c r="BF224" i="1" s="1"/>
  <c r="BF230" i="1" a="1"/>
  <c r="BF230" i="1" s="1"/>
  <c r="BF227" i="1" a="1"/>
  <c r="BF227" i="1" s="1"/>
  <c r="BF262" i="1" a="1"/>
  <c r="BF262" i="1" s="1"/>
  <c r="BF245" i="1" a="1"/>
  <c r="BF245" i="1" s="1"/>
  <c r="BF257" i="1" a="1"/>
  <c r="BF257" i="1" s="1"/>
  <c r="BF249" i="1" a="1"/>
  <c r="BF249" i="1" s="1"/>
  <c r="BF629" i="1" a="1"/>
  <c r="BF629" i="1" s="1"/>
  <c r="BF624" i="1" a="1"/>
  <c r="BF624" i="1" s="1"/>
  <c r="BF636" i="1" a="1"/>
  <c r="BF636" i="1" s="1"/>
  <c r="BF937" i="1" a="1"/>
  <c r="BF937" i="1" s="1"/>
  <c r="BF965" i="1" a="1"/>
  <c r="BF965" i="1" s="1"/>
  <c r="BF967" i="1" a="1"/>
  <c r="BF967" i="1" s="1"/>
  <c r="BF982" i="1" a="1"/>
  <c r="BF982" i="1" s="1"/>
  <c r="BF1004" i="1" a="1"/>
  <c r="BF1004" i="1" s="1"/>
  <c r="BF1051" i="1" a="1"/>
  <c r="BF1051" i="1" s="1"/>
  <c r="BF1090" i="1" a="1"/>
  <c r="BF1090" i="1" s="1"/>
  <c r="BF1077" i="1" a="1"/>
  <c r="BF1077" i="1" s="1"/>
  <c r="BF1073" i="1" a="1"/>
  <c r="BF1073" i="1" s="1"/>
  <c r="BE1073" i="1" s="1" a="1"/>
  <c r="BE1073" i="1" s="1"/>
  <c r="BF140" i="1" a="1"/>
  <c r="BF140" i="1" s="1"/>
  <c r="BF150" i="1" a="1"/>
  <c r="BF150" i="1" s="1"/>
  <c r="BF173" i="1" a="1"/>
  <c r="BF173" i="1" s="1"/>
  <c r="BF183" i="1" a="1"/>
  <c r="BF183" i="1" s="1"/>
  <c r="BF1716" i="1" a="1"/>
  <c r="BF1716" i="1" s="1"/>
  <c r="BF1722" i="1" a="1"/>
  <c r="BF1722" i="1" s="1"/>
  <c r="BF1728" i="1" a="1"/>
  <c r="BF1728" i="1" s="1"/>
  <c r="BF139" i="1" a="1"/>
  <c r="BF139" i="1" s="1"/>
  <c r="BF148" i="1" a="1"/>
  <c r="BF148" i="1" s="1"/>
  <c r="BF172" i="1" a="1"/>
  <c r="BF172" i="1" s="1"/>
  <c r="BF190" i="1" a="1"/>
  <c r="BF190" i="1" s="1"/>
  <c r="BF196" i="1" a="1"/>
  <c r="BF196" i="1" s="1"/>
  <c r="BF143" i="1" a="1"/>
  <c r="BF143" i="1" s="1"/>
  <c r="BF1695" i="1" a="1"/>
  <c r="BF1695" i="1" s="1"/>
  <c r="BF1164" i="1" a="1"/>
  <c r="BF1164" i="1" s="1"/>
  <c r="BF1710" i="1" a="1"/>
  <c r="BF1710" i="1" s="1"/>
  <c r="BF1708" i="1" a="1"/>
  <c r="BF1708" i="1" s="1"/>
  <c r="BF198" i="1" a="1"/>
  <c r="BF198" i="1" s="1"/>
  <c r="BF127" i="1" a="1"/>
  <c r="BF127" i="1" s="1"/>
  <c r="BF204" i="1" a="1"/>
  <c r="BF204" i="1" s="1"/>
  <c r="BF211" i="1" a="1"/>
  <c r="BF211" i="1" s="1"/>
  <c r="BF233" i="1" a="1"/>
  <c r="BF233" i="1" s="1"/>
  <c r="BF238" i="1" a="1"/>
  <c r="BF238" i="1" s="1"/>
  <c r="BF236" i="1" a="1"/>
  <c r="BF236" i="1" s="1"/>
  <c r="BF220" i="1" a="1"/>
  <c r="BF220" i="1" s="1"/>
  <c r="BF242" i="1" a="1"/>
  <c r="BF242" i="1" s="1"/>
  <c r="BF268" i="1" a="1"/>
  <c r="BF268" i="1" s="1"/>
  <c r="BF247" i="1" a="1"/>
  <c r="BF247" i="1" s="1"/>
  <c r="BF504" i="1" a="1"/>
  <c r="BF504" i="1" s="1"/>
  <c r="BF626" i="1" a="1"/>
  <c r="BF626" i="1" s="1"/>
  <c r="BF622" i="1" a="1"/>
  <c r="BF622" i="1" s="1"/>
  <c r="BF607" i="1" a="1"/>
  <c r="BF607" i="1" s="1"/>
  <c r="BF825" i="1" a="1"/>
  <c r="BF825" i="1" s="1"/>
  <c r="BF1083" i="1" a="1"/>
  <c r="BF1083" i="1" s="1"/>
  <c r="BF1074" i="1" a="1"/>
  <c r="BF1074" i="1" s="1"/>
  <c r="BF1070" i="1" a="1"/>
  <c r="BF1070" i="1" s="1"/>
  <c r="BF1162" i="1" a="1"/>
  <c r="BF1162" i="1" s="1"/>
  <c r="BF1700" i="1" a="1"/>
  <c r="BF1700" i="1" s="1"/>
  <c r="BE1700" i="1" s="1" a="1"/>
  <c r="BE1700" i="1" s="1"/>
  <c r="BF1701" i="1" a="1"/>
  <c r="BF1701" i="1" s="1"/>
  <c r="BE1701" i="1" s="1" a="1"/>
  <c r="BE1701" i="1" s="1"/>
  <c r="BF1729" i="1" a="1"/>
  <c r="BF1729" i="1" s="1"/>
  <c r="BF1690" i="1" a="1"/>
  <c r="BF1690" i="1" s="1"/>
  <c r="BE1690" i="1" s="1" a="1"/>
  <c r="BE1690" i="1" s="1"/>
  <c r="BF1210" i="1" a="1"/>
  <c r="BF1210" i="1" s="1"/>
  <c r="BF1312" i="1" a="1"/>
  <c r="BF1312" i="1" s="1"/>
  <c r="BF1345" i="1" a="1"/>
  <c r="BF1345" i="1" s="1"/>
  <c r="BF1720" i="1" a="1"/>
  <c r="BF1720" i="1" s="1"/>
  <c r="BF1726" i="1" a="1"/>
  <c r="BF1726" i="1" s="1"/>
  <c r="BE1726" i="1" s="1" a="1"/>
  <c r="BE1726" i="1" s="1"/>
  <c r="BF1709" i="1" a="1"/>
  <c r="BF1709" i="1" s="1"/>
  <c r="BF1688" i="1" a="1"/>
  <c r="BF1688" i="1" s="1"/>
  <c r="BE1688" i="1" s="1" a="1"/>
  <c r="BE1688" i="1" s="1"/>
  <c r="BF1737" i="1" a="1"/>
  <c r="BF1737" i="1" s="1"/>
  <c r="BF202" i="1" a="1"/>
  <c r="BF202" i="1" s="1"/>
  <c r="BF210" i="1" a="1"/>
  <c r="BF210" i="1" s="1"/>
  <c r="BF929" i="1" a="1"/>
  <c r="BF929" i="1" s="1"/>
  <c r="BF936" i="1" a="1"/>
  <c r="BF936" i="1" s="1"/>
  <c r="BF975" i="1" a="1"/>
  <c r="BF975" i="1" s="1"/>
  <c r="BF972" i="1" a="1"/>
  <c r="BF972" i="1" s="1"/>
  <c r="BF994" i="1" a="1"/>
  <c r="BF994" i="1" s="1"/>
  <c r="BF1050" i="1" a="1"/>
  <c r="BF1050" i="1" s="1"/>
  <c r="BF1064" i="1" a="1"/>
  <c r="BF1064" i="1" s="1"/>
  <c r="BF1067" i="1" a="1"/>
  <c r="BF1067" i="1" s="1"/>
  <c r="BF1084" i="1" a="1"/>
  <c r="BF1084" i="1" s="1"/>
  <c r="BF1732" i="1" a="1"/>
  <c r="BF1732" i="1" s="1"/>
  <c r="BF1736" i="1" a="1"/>
  <c r="BF1736" i="1" s="1"/>
  <c r="BF136" i="1" a="1"/>
  <c r="BF136" i="1" s="1"/>
  <c r="BF856" i="1" a="1"/>
  <c r="BF856" i="1" s="1"/>
  <c r="BF872" i="1" a="1"/>
  <c r="BF872" i="1" s="1"/>
  <c r="BF871" i="1" a="1"/>
  <c r="BF871" i="1" s="1"/>
  <c r="BF891" i="1" a="1"/>
  <c r="BF891" i="1" s="1"/>
  <c r="BF902" i="1" a="1"/>
  <c r="BF902" i="1" s="1"/>
  <c r="BF899" i="1" a="1"/>
  <c r="BF899" i="1" s="1"/>
  <c r="BF886" i="1" a="1"/>
  <c r="BF886" i="1" s="1"/>
  <c r="BF897" i="1" a="1"/>
  <c r="BF897" i="1" s="1"/>
  <c r="BF894" i="1" a="1"/>
  <c r="BF894" i="1" s="1"/>
  <c r="BF888" i="1" a="1"/>
  <c r="BF888" i="1" s="1"/>
  <c r="BF887" i="1" a="1"/>
  <c r="BF887" i="1" s="1"/>
  <c r="BF900" i="1" a="1"/>
  <c r="BF900" i="1" s="1"/>
  <c r="BF926" i="1" a="1"/>
  <c r="BF926" i="1" s="1"/>
  <c r="BF934" i="1" a="1"/>
  <c r="BF934" i="1" s="1"/>
  <c r="BF979" i="1" a="1"/>
  <c r="BF979" i="1" s="1"/>
  <c r="BF992" i="1" a="1"/>
  <c r="BF992" i="1" s="1"/>
  <c r="BF197" i="1" a="1"/>
  <c r="BF197" i="1" s="1"/>
  <c r="BF133" i="1" a="1"/>
  <c r="BF133" i="1" s="1"/>
  <c r="BF145" i="1" a="1"/>
  <c r="BF145" i="1" s="1"/>
  <c r="BF153" i="1" a="1"/>
  <c r="BF153" i="1" s="1"/>
  <c r="BF158" i="1" a="1"/>
  <c r="BF158" i="1" s="1"/>
  <c r="BF162" i="1" a="1"/>
  <c r="BF162" i="1" s="1"/>
  <c r="BF166" i="1" a="1"/>
  <c r="BF166" i="1" s="1"/>
  <c r="BF171" i="1" a="1"/>
  <c r="BF171" i="1" s="1"/>
  <c r="BF177" i="1" a="1"/>
  <c r="BF177" i="1" s="1"/>
  <c r="BF181" i="1" a="1"/>
  <c r="BF181" i="1" s="1"/>
  <c r="BF1347" i="1" a="1"/>
  <c r="BF1347" i="1" s="1"/>
  <c r="BF895" i="1" a="1"/>
  <c r="BF895" i="1" s="1"/>
  <c r="BF146" i="1" a="1"/>
  <c r="BF146" i="1" s="1"/>
  <c r="BF156" i="1" a="1"/>
  <c r="BF156" i="1" s="1"/>
  <c r="BF188" i="1" a="1"/>
  <c r="BF188" i="1" s="1"/>
  <c r="BF192" i="1" a="1"/>
  <c r="BF192" i="1" s="1"/>
  <c r="BF131" i="1" a="1"/>
  <c r="BF131" i="1" s="1"/>
  <c r="BF128" i="1" a="1"/>
  <c r="BF128" i="1" s="1"/>
  <c r="BF187" i="1" a="1"/>
  <c r="BF187" i="1" s="1"/>
  <c r="BF206" i="1" a="1"/>
  <c r="BF206" i="1" s="1"/>
  <c r="BF239" i="1" a="1"/>
  <c r="BF239" i="1" s="1"/>
  <c r="BF214" i="1" a="1"/>
  <c r="BF214" i="1" s="1"/>
  <c r="BF218" i="1" a="1"/>
  <c r="BF218" i="1" s="1"/>
  <c r="BF222" i="1" a="1"/>
  <c r="BF222" i="1" s="1"/>
  <c r="BF254" i="1" a="1"/>
  <c r="BF254" i="1" s="1"/>
  <c r="BF265" i="1" a="1"/>
  <c r="BF265" i="1" s="1"/>
  <c r="BF250" i="1" a="1"/>
  <c r="BF250" i="1" s="1"/>
  <c r="BF260" i="1" a="1"/>
  <c r="BF260" i="1" s="1"/>
  <c r="BF505" i="1" a="1"/>
  <c r="BF505" i="1" s="1"/>
  <c r="BF628" i="1" a="1"/>
  <c r="BF628" i="1" s="1"/>
  <c r="BF612" i="1" a="1"/>
  <c r="BF612" i="1" s="1"/>
  <c r="BF824" i="1" a="1"/>
  <c r="BF824" i="1" s="1"/>
  <c r="BF855" i="1" a="1"/>
  <c r="BF855" i="1" s="1"/>
  <c r="BF932" i="1" a="1"/>
  <c r="BF932" i="1" s="1"/>
  <c r="BF927" i="1" a="1"/>
  <c r="BF927" i="1" s="1"/>
  <c r="BF983" i="1" a="1"/>
  <c r="BF983" i="1" s="1"/>
  <c r="BF980" i="1" a="1"/>
  <c r="BF980" i="1" s="1"/>
  <c r="BF981" i="1" a="1"/>
  <c r="BF981" i="1" s="1"/>
  <c r="BF990" i="1" a="1"/>
  <c r="BF990" i="1" s="1"/>
  <c r="BF1003" i="1" a="1"/>
  <c r="BF1003" i="1" s="1"/>
  <c r="BF1066" i="1" a="1"/>
  <c r="BF1066" i="1" s="1"/>
  <c r="BF1088" i="1" a="1"/>
  <c r="BF1088" i="1" s="1"/>
  <c r="BF1636" i="1" a="1"/>
  <c r="BF1636" i="1" s="1"/>
  <c r="BE1636" i="1" s="1" a="1"/>
  <c r="BE1636" i="1" s="1"/>
  <c r="BF1644" i="1" a="1"/>
  <c r="BF1644" i="1" s="1"/>
  <c r="BE1644" i="1" s="1" a="1"/>
  <c r="BE1644" i="1" s="1"/>
  <c r="BF1639" i="1" a="1"/>
  <c r="BF1639" i="1" s="1"/>
  <c r="BE1639" i="1" s="1" a="1"/>
  <c r="BE1639" i="1" s="1"/>
  <c r="BF1657" i="1" a="1"/>
  <c r="BF1657" i="1" s="1"/>
  <c r="BF1739" i="1" a="1"/>
  <c r="BF1739" i="1" s="1"/>
  <c r="BF1686" i="1" a="1"/>
  <c r="BF1686" i="1" s="1"/>
  <c r="BF1717" i="1" a="1"/>
  <c r="BF1717" i="1" s="1"/>
  <c r="BE1717" i="1" s="1" a="1"/>
  <c r="BE1717" i="1" s="1"/>
  <c r="BF1723" i="1" a="1"/>
  <c r="BF1723" i="1" s="1"/>
  <c r="BE1723" i="1" s="1" a="1"/>
  <c r="BE1723" i="1" s="1"/>
  <c r="BF1691" i="1" a="1"/>
  <c r="BF1691" i="1" s="1"/>
  <c r="BE1691" i="1" s="1" a="1"/>
  <c r="BE1691" i="1" s="1"/>
  <c r="BF1423" i="1" a="1"/>
  <c r="BF1423" i="1" s="1"/>
  <c r="BF1450" i="1" a="1"/>
  <c r="BF1450" i="1" s="1"/>
  <c r="BF1444" i="1" a="1"/>
  <c r="BF1444" i="1" s="1"/>
  <c r="BF1521" i="1" a="1"/>
  <c r="BF1521" i="1" s="1"/>
  <c r="BF1578" i="1" a="1"/>
  <c r="BF1578" i="1" s="1"/>
  <c r="BF1635" i="1" a="1"/>
  <c r="BF1635" i="1" s="1"/>
  <c r="BE1635" i="1" s="1" a="1"/>
  <c r="BE1635" i="1" s="1"/>
  <c r="BF1634" i="1" a="1"/>
  <c r="BF1634" i="1" s="1"/>
  <c r="BE1634" i="1" s="1" a="1"/>
  <c r="BE1634" i="1" s="1"/>
  <c r="BF1637" i="1" a="1"/>
  <c r="BF1637" i="1" s="1"/>
  <c r="BE1637" i="1" s="1" a="1"/>
  <c r="BE1637" i="1" s="1"/>
  <c r="BF1656" i="1" a="1"/>
  <c r="BF1656" i="1" s="1"/>
  <c r="BE1656" i="1" s="1" a="1"/>
  <c r="BE1656" i="1" s="1"/>
  <c r="BF1687" i="1" a="1"/>
  <c r="BF1687" i="1" s="1"/>
  <c r="BE1687" i="1" s="1" a="1"/>
  <c r="BE1687" i="1" s="1"/>
  <c r="BF1689" i="1" a="1"/>
  <c r="BF1689" i="1" s="1"/>
  <c r="BF1065" i="1" a="1"/>
  <c r="BF1065" i="1" s="1"/>
  <c r="BF1082" i="1" a="1"/>
  <c r="BF1082" i="1" s="1"/>
  <c r="BE1082" i="1" s="1" a="1"/>
  <c r="BE1082" i="1" s="1"/>
  <c r="BF1079" i="1" a="1"/>
  <c r="BF1079" i="1" s="1"/>
  <c r="BF1078" i="1" a="1"/>
  <c r="BF1078" i="1" s="1"/>
  <c r="BE1078" i="1" s="1" a="1"/>
  <c r="BE1078" i="1" s="1"/>
  <c r="BF1093" i="1" a="1"/>
  <c r="BF1093" i="1" s="1"/>
  <c r="BF1145" i="1" a="1"/>
  <c r="BF1145" i="1" s="1"/>
  <c r="BF1142" i="1" a="1"/>
  <c r="BF1142" i="1" s="1"/>
  <c r="BF1150" i="1" a="1"/>
  <c r="BF1150" i="1" s="1"/>
  <c r="BF1161" i="1" a="1"/>
  <c r="BF1161" i="1" s="1"/>
  <c r="BF1211" i="1" a="1"/>
  <c r="BF1211" i="1" s="1"/>
  <c r="BF1208" i="1" a="1"/>
  <c r="BF1208" i="1" s="1"/>
  <c r="BF1340" i="1" a="1"/>
  <c r="BF1340" i="1" s="1"/>
  <c r="BF1457" i="1" a="1"/>
  <c r="BF1457" i="1" s="1"/>
  <c r="BE1457" i="1" s="1" a="1"/>
  <c r="BE1457" i="1" s="1"/>
  <c r="BF1454" i="1" a="1"/>
  <c r="BF1454" i="1" s="1"/>
  <c r="BF1520" i="1" a="1"/>
  <c r="BF1520" i="1" s="1"/>
  <c r="BF1633" i="1" a="1"/>
  <c r="BF1633" i="1" s="1"/>
  <c r="BF1651" i="1" a="1"/>
  <c r="BF1651" i="1" s="1"/>
  <c r="BE1651" i="1" s="1" a="1"/>
  <c r="BE1651" i="1" s="1"/>
  <c r="BF1630" i="1" a="1"/>
  <c r="BF1630" i="1" s="1"/>
  <c r="BE1630" i="1" s="1" a="1"/>
  <c r="BE1630" i="1" s="1"/>
  <c r="BF1653" i="1" a="1"/>
  <c r="BF1653" i="1" s="1"/>
  <c r="BE1653" i="1" s="1" a="1"/>
  <c r="BE1653" i="1" s="1"/>
  <c r="BF1740" i="1" a="1"/>
  <c r="BF1740" i="1" s="1"/>
  <c r="BF1719" i="1" a="1"/>
  <c r="BF1719" i="1" s="1"/>
  <c r="BE1719" i="1" s="1" a="1"/>
  <c r="BE1719" i="1" s="1"/>
  <c r="BF1725" i="1" a="1"/>
  <c r="BF1725" i="1" s="1"/>
  <c r="BE1725" i="1" s="1" a="1"/>
  <c r="BE1725" i="1" s="1"/>
  <c r="BF1706" i="1" a="1"/>
  <c r="BF1706" i="1" s="1"/>
  <c r="BF1711" i="1" a="1"/>
  <c r="BF1711" i="1" s="1"/>
  <c r="BF1730" i="1" a="1"/>
  <c r="BF1730" i="1" s="1"/>
  <c r="BE1730" i="1" s="1" a="1"/>
  <c r="BE1730" i="1" s="1"/>
  <c r="BF1713" i="1" a="1"/>
  <c r="BF1713" i="1" s="1"/>
  <c r="BF191" i="1" a="1"/>
  <c r="BF191" i="1" s="1"/>
  <c r="BF203" i="1" a="1"/>
  <c r="BF203" i="1" s="1"/>
  <c r="BF217" i="1" a="1"/>
  <c r="BF217" i="1" s="1"/>
  <c r="BF219" i="1" a="1"/>
  <c r="BF219" i="1" s="1"/>
  <c r="BF223" i="1" a="1"/>
  <c r="BF223" i="1" s="1"/>
  <c r="BF256" i="1" a="1"/>
  <c r="BF256" i="1" s="1"/>
  <c r="BF267" i="1" a="1"/>
  <c r="BF267" i="1" s="1"/>
  <c r="BF253" i="1" a="1"/>
  <c r="BF253" i="1" s="1"/>
  <c r="BF261" i="1" a="1"/>
  <c r="BF261" i="1" s="1"/>
  <c r="BF625" i="1" a="1"/>
  <c r="BF625" i="1" s="1"/>
  <c r="BF613" i="1" a="1"/>
  <c r="BF613" i="1" s="1"/>
  <c r="BF621" i="1" a="1"/>
  <c r="BF621" i="1" s="1"/>
  <c r="BF618" i="1" a="1"/>
  <c r="BF618" i="1" s="1"/>
  <c r="BF623" i="1" a="1"/>
  <c r="BF623" i="1" s="1"/>
  <c r="BF615" i="1" a="1"/>
  <c r="BF615" i="1" s="1"/>
  <c r="BF616" i="1" a="1"/>
  <c r="BF616" i="1" s="1"/>
  <c r="BF651" i="1" a="1"/>
  <c r="BF651" i="1" s="1"/>
  <c r="BF931" i="1" a="1"/>
  <c r="BF931" i="1" s="1"/>
  <c r="BF953" i="1" a="1"/>
  <c r="BF953" i="1" s="1"/>
  <c r="BF978" i="1" a="1"/>
  <c r="BF978" i="1" s="1"/>
  <c r="BF973" i="1" a="1"/>
  <c r="BF973" i="1" s="1"/>
  <c r="BF989" i="1" a="1"/>
  <c r="BF989" i="1" s="1"/>
  <c r="BF1041" i="1" a="1"/>
  <c r="BF1041" i="1" s="1"/>
  <c r="BF1043" i="1" a="1"/>
  <c r="BF1043" i="1" s="1"/>
  <c r="BF1045" i="1" a="1"/>
  <c r="BF1045" i="1" s="1"/>
  <c r="BF1047" i="1" a="1"/>
  <c r="BF1047" i="1" s="1"/>
  <c r="BF1086" i="1" a="1"/>
  <c r="BF1086" i="1" s="1"/>
  <c r="BF1075" i="1" a="1"/>
  <c r="BF1075" i="1" s="1"/>
  <c r="BF1068" i="1" a="1"/>
  <c r="BF1068" i="1" s="1"/>
  <c r="BF1159" i="1" a="1"/>
  <c r="BF1159" i="1" s="1"/>
  <c r="BF1212" i="1" a="1"/>
  <c r="BF1212" i="1" s="1"/>
  <c r="BF1313" i="1" a="1"/>
  <c r="BF1313" i="1" s="1"/>
  <c r="BF1348" i="1" a="1"/>
  <c r="BF1348" i="1" s="1"/>
  <c r="BF1460" i="1" a="1"/>
  <c r="BF1460" i="1" s="1"/>
  <c r="BF1458" i="1" a="1"/>
  <c r="BF1458" i="1" s="1"/>
  <c r="BE1458" i="1" s="1" a="1"/>
  <c r="BE1458" i="1" s="1"/>
  <c r="BF1448" i="1" a="1"/>
  <c r="BF1448" i="1" s="1"/>
  <c r="BF1519" i="1" a="1"/>
  <c r="BF1519" i="1" s="1"/>
  <c r="BF1577" i="1" a="1"/>
  <c r="BF1577" i="1" s="1"/>
  <c r="BF1632" i="1" a="1"/>
  <c r="BF1632" i="1" s="1"/>
  <c r="BE1632" i="1" s="1" a="1"/>
  <c r="BE1632" i="1" s="1"/>
  <c r="BF1649" i="1" a="1"/>
  <c r="BF1649" i="1" s="1"/>
  <c r="BE1649" i="1" s="1" a="1"/>
  <c r="BE1649" i="1" s="1"/>
  <c r="BF1655" i="1" a="1"/>
  <c r="BF1655" i="1" s="1"/>
  <c r="BE1655" i="1" s="1" a="1"/>
  <c r="BE1655" i="1" s="1"/>
  <c r="BF1650" i="1" a="1"/>
  <c r="BF1650" i="1" s="1"/>
  <c r="BE1650" i="1" s="1" a="1"/>
  <c r="BE1650" i="1" s="1"/>
  <c r="BF1738" i="1" a="1"/>
  <c r="BF1738" i="1" s="1"/>
  <c r="BF228" i="1" a="1"/>
  <c r="BF228" i="1" s="1"/>
  <c r="BF231" i="1" a="1"/>
  <c r="BF231" i="1" s="1"/>
  <c r="BF232" i="1" a="1"/>
  <c r="BF232" i="1" s="1"/>
  <c r="BF269" i="1" a="1"/>
  <c r="BF269" i="1" s="1"/>
  <c r="BF246" i="1" a="1"/>
  <c r="BF246" i="1" s="1"/>
  <c r="BF259" i="1" a="1"/>
  <c r="BF259" i="1" s="1"/>
  <c r="BF251" i="1" a="1"/>
  <c r="BF251" i="1" s="1"/>
  <c r="BF620" i="1" a="1"/>
  <c r="BF620" i="1" s="1"/>
  <c r="BF635" i="1" a="1"/>
  <c r="BF635" i="1" s="1"/>
  <c r="BF1714" i="1" a="1"/>
  <c r="BF1714" i="1" s="1"/>
  <c r="BF189" i="1" a="1"/>
  <c r="BF189" i="1" s="1"/>
  <c r="BF186" i="1" a="1"/>
  <c r="BF186" i="1" s="1"/>
  <c r="BF142" i="1" a="1"/>
  <c r="BF142" i="1" s="1"/>
  <c r="BE142" i="1" s="1" a="1"/>
  <c r="BE142" i="1" s="1"/>
  <c r="BF132" i="1" a="1"/>
  <c r="BF132" i="1" s="1"/>
  <c r="BF144" i="1" a="1"/>
  <c r="BF144" i="1" s="1"/>
  <c r="BF152" i="1" a="1"/>
  <c r="BF152" i="1" s="1"/>
  <c r="BF157" i="1" a="1"/>
  <c r="BF157" i="1" s="1"/>
  <c r="BF161" i="1" a="1"/>
  <c r="BF161" i="1" s="1"/>
  <c r="BF165" i="1" a="1"/>
  <c r="BF165" i="1" s="1"/>
  <c r="BF169" i="1" a="1"/>
  <c r="BF169" i="1" s="1"/>
  <c r="BF176" i="1" a="1"/>
  <c r="BF176" i="1" s="1"/>
  <c r="BF180" i="1" a="1"/>
  <c r="BF180" i="1" s="1"/>
  <c r="BF209" i="1" a="1"/>
  <c r="BF209" i="1" s="1"/>
  <c r="BF237" i="1" a="1"/>
  <c r="BF237" i="1" s="1"/>
  <c r="BF240" i="1" a="1"/>
  <c r="BF240" i="1" s="1"/>
  <c r="BF215" i="1" a="1"/>
  <c r="BF215" i="1" s="1"/>
  <c r="BF221" i="1" a="1"/>
  <c r="BF221" i="1" s="1"/>
  <c r="BF243" i="1" a="1"/>
  <c r="BF243" i="1" s="1"/>
  <c r="BF264" i="1" a="1"/>
  <c r="BF264" i="1" s="1"/>
  <c r="BF248" i="1" a="1"/>
  <c r="BF248" i="1" s="1"/>
  <c r="BF358" i="1" a="1"/>
  <c r="BF358" i="1" s="1"/>
  <c r="BF633" i="1" a="1"/>
  <c r="BF633" i="1" s="1"/>
  <c r="BF631" i="1" a="1"/>
  <c r="BF631" i="1" s="1"/>
  <c r="BF627" i="1" a="1"/>
  <c r="BF627" i="1" s="1"/>
  <c r="BF933" i="1" a="1"/>
  <c r="BF933" i="1" s="1"/>
  <c r="BF966" i="1" a="1"/>
  <c r="BF966" i="1" s="1"/>
  <c r="BF974" i="1" a="1"/>
  <c r="BF974" i="1" s="1"/>
  <c r="BF991" i="1" a="1"/>
  <c r="BF991" i="1" s="1"/>
  <c r="BF1314" i="1" a="1"/>
  <c r="BF1314" i="1" s="1"/>
  <c r="BF1341" i="1" a="1"/>
  <c r="BF1341" i="1" s="1"/>
  <c r="BF1462" i="1" a="1"/>
  <c r="BF1462" i="1" s="1"/>
  <c r="BF1455" i="1" a="1"/>
  <c r="BF1455" i="1" s="1"/>
  <c r="BF1575" i="1" a="1"/>
  <c r="BF1575" i="1" s="1"/>
  <c r="BF1642" i="1" a="1"/>
  <c r="BF1642" i="1" s="1"/>
  <c r="BE1642" i="1" s="1" a="1"/>
  <c r="BE1642" i="1" s="1"/>
  <c r="BF1652" i="1" a="1"/>
  <c r="BF1652" i="1" s="1"/>
  <c r="BE1652" i="1" s="1" a="1"/>
  <c r="BE1652" i="1" s="1"/>
  <c r="BF1645" i="1" a="1"/>
  <c r="BF1645" i="1" s="1"/>
  <c r="BE1645" i="1" s="1" a="1"/>
  <c r="BE1645" i="1" s="1"/>
  <c r="BF1660" i="1" a="1"/>
  <c r="BF1660" i="1" s="1"/>
  <c r="BE1660" i="1" s="1" a="1"/>
  <c r="BE1660" i="1" s="1"/>
  <c r="BF1734" i="1" a="1"/>
  <c r="BF1734" i="1" s="1"/>
  <c r="BF1705" i="1" a="1"/>
  <c r="BF1705" i="1" s="1"/>
  <c r="BF1718" i="1" a="1"/>
  <c r="BF1718" i="1" s="1"/>
  <c r="BF1724" i="1" a="1"/>
  <c r="BF1724" i="1" s="1"/>
  <c r="BE1724" i="1" s="1" a="1"/>
  <c r="BE1724" i="1" s="1"/>
  <c r="BF1699" i="1" a="1"/>
  <c r="BF1699" i="1" s="1"/>
  <c r="BE1699" i="1" s="1" a="1"/>
  <c r="BE1699" i="1" s="1"/>
  <c r="BF138" i="1" a="1"/>
  <c r="BF138" i="1" s="1"/>
  <c r="BF170" i="1" a="1"/>
  <c r="BF170" i="1" s="1"/>
  <c r="BF194" i="1" a="1"/>
  <c r="BF194" i="1" s="1"/>
  <c r="BF195" i="1" a="1"/>
  <c r="BF195" i="1" s="1"/>
  <c r="BF135" i="1" a="1"/>
  <c r="BF135" i="1" s="1"/>
  <c r="BE135" i="1" s="1" a="1"/>
  <c r="BE135" i="1" s="1"/>
  <c r="BF200" i="1" a="1"/>
  <c r="BF200" i="1" s="1"/>
  <c r="BF208" i="1" a="1"/>
  <c r="BF208" i="1" s="1"/>
  <c r="BF216" i="1" a="1"/>
  <c r="BF216" i="1" s="1"/>
  <c r="BF225" i="1" a="1"/>
  <c r="BF225" i="1" s="1"/>
  <c r="BF226" i="1" a="1"/>
  <c r="BF226" i="1" s="1"/>
  <c r="BF258" i="1" a="1"/>
  <c r="BF258" i="1" s="1"/>
  <c r="BF244" i="1" a="1"/>
  <c r="BF244" i="1" s="1"/>
  <c r="BF255" i="1" a="1"/>
  <c r="BF255" i="1" s="1"/>
  <c r="BF263" i="1" a="1"/>
  <c r="BF263" i="1" s="1"/>
  <c r="BF630" i="1" a="1"/>
  <c r="BF630" i="1" s="1"/>
  <c r="BF637" i="1" a="1"/>
  <c r="BF637" i="1" s="1"/>
  <c r="BF873" i="1" a="1"/>
  <c r="BF873" i="1" s="1"/>
  <c r="BF874" i="1" a="1"/>
  <c r="BF874" i="1" s="1"/>
  <c r="BF890" i="1" a="1"/>
  <c r="BF890" i="1" s="1"/>
  <c r="BF901" i="1" a="1"/>
  <c r="BF901" i="1" s="1"/>
  <c r="BF892" i="1" a="1"/>
  <c r="BF892" i="1" s="1"/>
  <c r="BF903" i="1" a="1"/>
  <c r="BF903" i="1" s="1"/>
  <c r="BF896" i="1" a="1"/>
  <c r="BF896" i="1" s="1"/>
  <c r="BF893" i="1" a="1"/>
  <c r="BF893" i="1" s="1"/>
  <c r="BF898" i="1" a="1"/>
  <c r="BF898" i="1" s="1"/>
  <c r="BF889" i="1" a="1"/>
  <c r="BF889" i="1" s="1"/>
  <c r="BF930" i="1" a="1"/>
  <c r="BF930" i="1" s="1"/>
  <c r="BF928" i="1" a="1"/>
  <c r="BF928" i="1" s="1"/>
  <c r="BF952" i="1" a="1"/>
  <c r="BF952" i="1" s="1"/>
  <c r="BF977" i="1" a="1"/>
  <c r="BF977" i="1" s="1"/>
  <c r="BF984" i="1" a="1"/>
  <c r="BF984" i="1" s="1"/>
  <c r="BF985" i="1" a="1"/>
  <c r="BF985" i="1" s="1"/>
  <c r="BF1013" i="1" a="1"/>
  <c r="BF1013" i="1" s="1"/>
  <c r="BF1063" i="1" a="1"/>
  <c r="BF1063" i="1" s="1"/>
  <c r="BF1080" i="1" a="1"/>
  <c r="BF1080" i="1" s="1"/>
  <c r="BF1089" i="1" a="1"/>
  <c r="BF1089" i="1" s="1"/>
  <c r="BE1089" i="1" s="1" a="1"/>
  <c r="BE1089" i="1" s="1"/>
  <c r="BF1076" i="1" a="1"/>
  <c r="BF1076" i="1" s="1"/>
  <c r="BF1092" i="1" a="1"/>
  <c r="BF1092" i="1" s="1"/>
  <c r="BF1143" i="1" a="1"/>
  <c r="BF1143" i="1" s="1"/>
  <c r="BF1152" i="1" a="1"/>
  <c r="BF1152" i="1" s="1"/>
  <c r="BF1147" i="1" a="1"/>
  <c r="BF1147" i="1" s="1"/>
  <c r="BF1154" i="1" a="1"/>
  <c r="BF1154" i="1" s="1"/>
  <c r="BF1165" i="1" a="1"/>
  <c r="BF1165" i="1" s="1"/>
  <c r="BF1214" i="1" a="1"/>
  <c r="BF1214" i="1" s="1"/>
  <c r="BF1204" i="1" a="1"/>
  <c r="BF1204" i="1" s="1"/>
  <c r="BF1205" i="1" a="1"/>
  <c r="BF1205" i="1" s="1"/>
  <c r="BF1459" i="1" a="1"/>
  <c r="BF1459" i="1" s="1"/>
  <c r="BF1449" i="1" a="1"/>
  <c r="BF1449" i="1" s="1"/>
  <c r="BF1451" i="1" a="1"/>
  <c r="BF1451" i="1" s="1"/>
  <c r="BE1451" i="1" s="1" a="1"/>
  <c r="BE1451" i="1" s="1"/>
  <c r="BF1463" i="1" a="1"/>
  <c r="BF1463" i="1" s="1"/>
  <c r="BF1641" i="1" a="1"/>
  <c r="BF1641" i="1" s="1"/>
  <c r="BE1641" i="1" s="1" a="1"/>
  <c r="BE1641" i="1" s="1"/>
  <c r="BF1648" i="1" a="1"/>
  <c r="BF1648" i="1" s="1"/>
  <c r="BE1648" i="1" s="1" a="1"/>
  <c r="BE1648" i="1" s="1"/>
  <c r="BF1631" i="1" a="1"/>
  <c r="BF1631" i="1" s="1"/>
  <c r="BE1631" i="1" s="1" a="1"/>
  <c r="BE1631" i="1" s="1"/>
  <c r="BF1659" i="1" a="1"/>
  <c r="BF1659" i="1" s="1"/>
  <c r="BE1659" i="1" s="1" a="1"/>
  <c r="BE1659" i="1" s="1"/>
  <c r="BF1704" i="1" a="1"/>
  <c r="BF1704" i="1" s="1"/>
  <c r="BF1721" i="1" a="1"/>
  <c r="BF1721" i="1" s="1"/>
  <c r="BE1721" i="1" s="1" a="1"/>
  <c r="BE1721" i="1" s="1"/>
  <c r="BF1727" i="1" a="1"/>
  <c r="BF1727" i="1" s="1"/>
  <c r="BE1727" i="1" s="1" a="1"/>
  <c r="BE1727" i="1" s="1"/>
  <c r="BF1694" i="1" a="1"/>
  <c r="BF1694" i="1" s="1"/>
  <c r="BE1694" i="1" s="1" a="1"/>
  <c r="BE1694" i="1" s="1"/>
  <c r="BF1698" i="1" a="1"/>
  <c r="BF1698" i="1" s="1"/>
  <c r="BE1698" i="1" s="1" a="1"/>
  <c r="BE1698" i="1" s="1"/>
  <c r="BF1733" i="1" a="1"/>
  <c r="BF1733" i="1" s="1"/>
  <c r="BE1733" i="1" s="1" a="1"/>
  <c r="BE1733" i="1" s="1"/>
  <c r="BF1697" i="1" a="1"/>
  <c r="BF1697" i="1" s="1"/>
  <c r="BE1697" i="1" s="1" a="1"/>
  <c r="BE1697" i="1" s="1"/>
  <c r="BF147" i="1" a="1"/>
  <c r="BF147" i="1" s="1"/>
  <c r="BF182" i="1" a="1"/>
  <c r="BF182" i="1" s="1"/>
  <c r="BF185" i="1" a="1"/>
  <c r="BF185" i="1" s="1"/>
  <c r="BF134" i="1" a="1"/>
  <c r="BF134" i="1" s="1"/>
  <c r="BE134" i="1" s="1" a="1"/>
  <c r="BE134" i="1" s="1"/>
  <c r="BF130" i="1" a="1"/>
  <c r="BF130" i="1" s="1"/>
  <c r="BF141" i="1" a="1"/>
  <c r="BF141" i="1" s="1"/>
  <c r="BF151" i="1" a="1"/>
  <c r="BF151" i="1" s="1"/>
  <c r="BF155" i="1" a="1"/>
  <c r="BF155" i="1" s="1"/>
  <c r="BF160" i="1" a="1"/>
  <c r="BF160" i="1" s="1"/>
  <c r="BF164" i="1" a="1"/>
  <c r="BF164" i="1" s="1"/>
  <c r="BF168" i="1" a="1"/>
  <c r="BF168" i="1" s="1"/>
  <c r="BF175" i="1" a="1"/>
  <c r="BF175" i="1" s="1"/>
  <c r="BF179" i="1" a="1"/>
  <c r="BF179" i="1" s="1"/>
  <c r="BF199" i="1" a="1"/>
  <c r="BF199" i="1" s="1"/>
  <c r="BF207" i="1" a="1"/>
  <c r="BF207" i="1" s="1"/>
  <c r="BF229" i="1" a="1"/>
  <c r="BF229" i="1" s="1"/>
  <c r="BF234" i="1" a="1"/>
  <c r="BF234" i="1" s="1"/>
  <c r="BF235" i="1" a="1"/>
  <c r="BF235" i="1" s="1"/>
  <c r="BF270" i="1" a="1"/>
  <c r="BF270" i="1" s="1"/>
  <c r="BF241" i="1" a="1"/>
  <c r="BF241" i="1" s="1"/>
  <c r="BF266" i="1" a="1"/>
  <c r="BF266" i="1" s="1"/>
  <c r="BF252" i="1" a="1"/>
  <c r="BF252" i="1" s="1"/>
  <c r="BF632" i="1" a="1"/>
  <c r="BF632" i="1" s="1"/>
  <c r="BF634" i="1" a="1"/>
  <c r="BF634" i="1" s="1"/>
  <c r="BF617" i="1" a="1"/>
  <c r="BF617" i="1" s="1"/>
  <c r="BF619" i="1" a="1"/>
  <c r="BF619" i="1" s="1"/>
  <c r="BF611" i="1" a="1"/>
  <c r="BF611" i="1" s="1"/>
  <c r="BF614" i="1" a="1"/>
  <c r="BF614" i="1" s="1"/>
  <c r="BF608" i="1" a="1"/>
  <c r="BF608" i="1" s="1"/>
  <c r="BF610" i="1" a="1"/>
  <c r="BF610" i="1" s="1"/>
  <c r="BF609" i="1" a="1"/>
  <c r="BF609" i="1" s="1"/>
  <c r="BF935" i="1" a="1"/>
  <c r="BF935" i="1" s="1"/>
  <c r="BF976" i="1" a="1"/>
  <c r="BF976" i="1" s="1"/>
  <c r="BF993" i="1" a="1"/>
  <c r="BF993" i="1" s="1"/>
  <c r="BF1005" i="1" a="1"/>
  <c r="BF1005" i="1" s="1"/>
  <c r="BF1042" i="1" a="1"/>
  <c r="BF1042" i="1" s="1"/>
  <c r="BF1044" i="1" a="1"/>
  <c r="BF1044" i="1" s="1"/>
  <c r="BF1046" i="1" a="1"/>
  <c r="BF1046" i="1" s="1"/>
  <c r="BF1049" i="1" a="1"/>
  <c r="BF1049" i="1" s="1"/>
  <c r="BF1087" i="1" a="1"/>
  <c r="BF1087" i="1" s="1"/>
  <c r="BE1087" i="1" s="1" a="1"/>
  <c r="BE1087" i="1" s="1"/>
  <c r="BF1072" i="1" a="1"/>
  <c r="BF1072" i="1" s="1"/>
  <c r="BE1072" i="1" s="1" a="1"/>
  <c r="BE1072" i="1" s="1"/>
  <c r="BF1069" i="1" a="1"/>
  <c r="BF1069" i="1" s="1"/>
  <c r="BF1207" i="1" a="1"/>
  <c r="BF1207" i="1" s="1"/>
  <c r="BF1315" i="1" a="1"/>
  <c r="BF1315" i="1" s="1"/>
  <c r="BF1342" i="1" a="1"/>
  <c r="BF1342" i="1" s="1"/>
  <c r="BF1346" i="1" a="1"/>
  <c r="BF1346" i="1" s="1"/>
  <c r="BF1446" i="1" a="1"/>
  <c r="BF1446" i="1" s="1"/>
  <c r="BF1452" i="1" a="1"/>
  <c r="BF1452" i="1" s="1"/>
  <c r="BF1576" i="1" a="1"/>
  <c r="BF1576" i="1" s="1"/>
  <c r="BF1628" i="1" a="1"/>
  <c r="BF1628" i="1" s="1"/>
  <c r="BF1638" i="1" a="1"/>
  <c r="BF1638" i="1" s="1"/>
  <c r="BE1638" i="1" s="1" a="1"/>
  <c r="BE1638" i="1" s="1"/>
  <c r="BF1647" i="1" a="1"/>
  <c r="BF1647" i="1" s="1"/>
  <c r="BE1647" i="1" s="1" a="1"/>
  <c r="BE1647" i="1" s="1"/>
  <c r="BF1640" i="1" a="1"/>
  <c r="BF1640" i="1" s="1"/>
  <c r="BE1640" i="1" s="1" a="1"/>
  <c r="BE1640" i="1" s="1"/>
  <c r="BF1658" i="1" a="1"/>
  <c r="BF1658" i="1" s="1"/>
  <c r="BE1658" i="1" s="1" a="1"/>
  <c r="BE1658" i="1" s="1"/>
  <c r="BF1741" i="1" a="1"/>
  <c r="BF1741" i="1" s="1"/>
  <c r="BF1715" i="1" a="1"/>
  <c r="BF1715" i="1" s="1"/>
  <c r="BF1742" i="1" a="1"/>
  <c r="BF1742" i="1" s="1"/>
  <c r="BF1744" i="1" a="1"/>
  <c r="BF1744" i="1" s="1"/>
  <c r="BF1693" i="1" a="1"/>
  <c r="BF1693" i="1" s="1"/>
  <c r="BE1693" i="1" s="1" a="1"/>
  <c r="BE1693" i="1" s="1"/>
  <c r="BF1696" i="1" a="1"/>
  <c r="BF1696" i="1" s="1"/>
  <c r="BE1696" i="1" s="1" a="1"/>
  <c r="BE1696" i="1" s="1"/>
  <c r="BF1731" i="1" a="1"/>
  <c r="BF1731" i="1" s="1"/>
  <c r="BE1731" i="1" s="1" a="1"/>
  <c r="BE1731" i="1" s="1"/>
  <c r="BF1692" i="1" a="1"/>
  <c r="BF1692" i="1" s="1"/>
  <c r="BE1692" i="1" s="1" a="1"/>
  <c r="BE1692" i="1" s="1"/>
  <c r="BE1657" i="1" a="1"/>
  <c r="BE1657" i="1" s="1"/>
  <c r="BE1646" i="1" a="1"/>
  <c r="BE1646" i="1" s="1"/>
  <c r="BE1661" i="1" a="1"/>
  <c r="BE1661" i="1" s="1"/>
  <c r="BE1633" i="1" a="1"/>
  <c r="BE1633" i="1" s="1"/>
  <c r="BE1455" i="1" a="1"/>
  <c r="BE1455" i="1" s="1"/>
  <c r="BM967" i="1"/>
  <c r="CN976" i="1"/>
  <c r="CP976" i="1" s="1"/>
  <c r="CS1051" i="1"/>
  <c r="CN965" i="1"/>
  <c r="CP965" i="1" s="1"/>
  <c r="BN985" i="1"/>
  <c r="BO985" i="1" s="1"/>
  <c r="BY985" i="1" s="1"/>
  <c r="CN623" i="1"/>
  <c r="CQ623" i="1" s="1"/>
  <c r="BM1165" i="1"/>
  <c r="BN926" i="1"/>
  <c r="BO926" i="1" s="1"/>
  <c r="BY926" i="1" s="1"/>
  <c r="BN928" i="1"/>
  <c r="BO928" i="1" s="1"/>
  <c r="BY928" i="1" s="1"/>
  <c r="BN981" i="1"/>
  <c r="BO981" i="1" s="1"/>
  <c r="BY981" i="1" s="1"/>
  <c r="BN615" i="1"/>
  <c r="BO615" i="1" s="1"/>
  <c r="CQ615" i="1" s="1"/>
  <c r="BU1207" i="1"/>
  <c r="CN979" i="1"/>
  <c r="CP979" i="1" s="1"/>
  <c r="CN1165" i="1"/>
  <c r="CP1165" i="1" s="1"/>
  <c r="BN1347" i="1"/>
  <c r="BO1347" i="1" s="1"/>
  <c r="BY1347" i="1" s="1"/>
  <c r="CN1348" i="1"/>
  <c r="CO1348" i="1" s="1"/>
  <c r="BN1163" i="1"/>
  <c r="BO1163" i="1" s="1"/>
  <c r="BY1163" i="1" s="1"/>
  <c r="EP1163" i="1" s="1"/>
  <c r="CQ270" i="1"/>
  <c r="CQ1696" i="1"/>
  <c r="BY260" i="1"/>
  <c r="CP1697" i="1"/>
  <c r="BN610" i="1"/>
  <c r="BO610" i="1" s="1"/>
  <c r="BY610" i="1" s="1"/>
  <c r="BN616" i="1"/>
  <c r="BO616" i="1" s="1"/>
  <c r="BY616" i="1" s="1"/>
  <c r="BV965" i="1"/>
  <c r="BX965" i="1" s="1"/>
  <c r="CN983" i="1"/>
  <c r="CO983" i="1" s="1"/>
  <c r="BN1162" i="1"/>
  <c r="BO1162" i="1" s="1"/>
  <c r="BY1162" i="1" s="1"/>
  <c r="CN617" i="1"/>
  <c r="CS617" i="1" s="1"/>
  <c r="BV1463" i="1"/>
  <c r="BX1463" i="1" s="1"/>
  <c r="BM928" i="1"/>
  <c r="BV1051" i="1"/>
  <c r="BX1051" i="1" s="1"/>
  <c r="BY1051" i="1" s="1"/>
  <c r="BV1161" i="1"/>
  <c r="BX1161" i="1" s="1"/>
  <c r="BV1203" i="1"/>
  <c r="BX1203" i="1" s="1"/>
  <c r="BY1203" i="1" s="1"/>
  <c r="CN929" i="1"/>
  <c r="CR929" i="1" s="1"/>
  <c r="CN1164" i="1"/>
  <c r="CR1164" i="1" s="1"/>
  <c r="BN1159" i="1"/>
  <c r="BO1159" i="1" s="1"/>
  <c r="BY1159" i="1" s="1"/>
  <c r="BU1203" i="1"/>
  <c r="CN1345" i="1"/>
  <c r="CR1345" i="1" s="1"/>
  <c r="BN651" i="1"/>
  <c r="BO651" i="1" s="1"/>
  <c r="BY651" i="1" s="1"/>
  <c r="BN980" i="1"/>
  <c r="BO980" i="1" s="1"/>
  <c r="BY980" i="1" s="1"/>
  <c r="CN974" i="1"/>
  <c r="CO974" i="1" s="1"/>
  <c r="BN972" i="1"/>
  <c r="BO972" i="1" s="1"/>
  <c r="BY972" i="1" s="1"/>
  <c r="BN982" i="1"/>
  <c r="BO982" i="1" s="1"/>
  <c r="BY982" i="1" s="1"/>
  <c r="CN985" i="1"/>
  <c r="CR985" i="1" s="1"/>
  <c r="CT1079" i="1"/>
  <c r="BY1209" i="1"/>
  <c r="CO1076" i="1"/>
  <c r="CS1079" i="1"/>
  <c r="CQ1701" i="1"/>
  <c r="BY1518" i="1"/>
  <c r="BY267" i="1"/>
  <c r="CQ1073" i="1"/>
  <c r="BY164" i="1"/>
  <c r="CQ1576" i="1"/>
  <c r="CR994" i="1"/>
  <c r="CQ888" i="1"/>
  <c r="CS1073" i="1"/>
  <c r="CV1073" i="1" s="1"/>
  <c r="CO1313" i="1"/>
  <c r="CT993" i="1"/>
  <c r="CR872" i="1"/>
  <c r="CV872" i="1" s="1"/>
  <c r="BY1643" i="1"/>
  <c r="BY900" i="1"/>
  <c r="CQ1043" i="1"/>
  <c r="CP1313" i="1"/>
  <c r="CS1637" i="1"/>
  <c r="CV1637" i="1" s="1"/>
  <c r="CP218" i="1"/>
  <c r="CQ161" i="1"/>
  <c r="CP1652" i="1"/>
  <c r="BY1630" i="1"/>
  <c r="CQ208" i="1"/>
  <c r="BY894" i="1"/>
  <c r="CQ1013" i="1"/>
  <c r="CQ1071" i="1"/>
  <c r="CQ1074" i="1"/>
  <c r="CT1694" i="1"/>
  <c r="BY263" i="1"/>
  <c r="BY261" i="1"/>
  <c r="CQ1687" i="1"/>
  <c r="BY192" i="1"/>
  <c r="BY129" i="1"/>
  <c r="CQ239" i="1"/>
  <c r="CQ628" i="1"/>
  <c r="CQ872" i="1"/>
  <c r="CQ1044" i="1"/>
  <c r="CQ1637" i="1"/>
  <c r="CT202" i="1"/>
  <c r="CS1071" i="1"/>
  <c r="CV1071" i="1" s="1"/>
  <c r="CQ1070" i="1"/>
  <c r="BY1708" i="1"/>
  <c r="CS1661" i="1"/>
  <c r="CV1661" i="1" s="1"/>
  <c r="CS1712" i="1"/>
  <c r="CV1712" i="1" s="1"/>
  <c r="CT233" i="1"/>
  <c r="BY240" i="1"/>
  <c r="CQ232" i="1"/>
  <c r="CQ625" i="1"/>
  <c r="CQ873" i="1"/>
  <c r="CT874" i="1"/>
  <c r="CO888" i="1"/>
  <c r="CO1042" i="1"/>
  <c r="CT1719" i="1"/>
  <c r="CU1719" i="1" s="1"/>
  <c r="BE1689" i="1" a="1"/>
  <c r="BE1689" i="1" s="1"/>
  <c r="CQ890" i="1"/>
  <c r="CP1068" i="1"/>
  <c r="CR152" i="1"/>
  <c r="CQ218" i="1"/>
  <c r="CT232" i="1"/>
  <c r="CT258" i="1"/>
  <c r="BY268" i="1"/>
  <c r="CQ631" i="1"/>
  <c r="CP888" i="1"/>
  <c r="CP994" i="1"/>
  <c r="CR1013" i="1"/>
  <c r="CV1013" i="1" s="1"/>
  <c r="CT1047" i="1"/>
  <c r="CR1066" i="1"/>
  <c r="CO1080" i="1"/>
  <c r="CR1086" i="1"/>
  <c r="CP1071" i="1"/>
  <c r="BY1652" i="1"/>
  <c r="CP1154" i="1"/>
  <c r="CS153" i="1"/>
  <c r="CS888" i="1"/>
  <c r="CV888" i="1" s="1"/>
  <c r="CS1703" i="1"/>
  <c r="CV1703" i="1" s="1"/>
  <c r="CQ871" i="1"/>
  <c r="CP146" i="1"/>
  <c r="CP204" i="1"/>
  <c r="CQ220" i="1"/>
  <c r="CQ244" i="1"/>
  <c r="CQ1152" i="1"/>
  <c r="CQ1209" i="1"/>
  <c r="CQ1313" i="1"/>
  <c r="BY1578" i="1"/>
  <c r="BY1711" i="1"/>
  <c r="BY237" i="1"/>
  <c r="BY625" i="1"/>
  <c r="CR1154" i="1"/>
  <c r="CP183" i="1"/>
  <c r="CQ228" i="1"/>
  <c r="BY224" i="1"/>
  <c r="CQ216" i="1"/>
  <c r="CT264" i="1"/>
  <c r="CP989" i="1"/>
  <c r="CQ1051" i="1"/>
  <c r="CR1079" i="1"/>
  <c r="CT1078" i="1"/>
  <c r="CT1069" i="1"/>
  <c r="CQ1208" i="1"/>
  <c r="CQ1632" i="1"/>
  <c r="BY1691" i="1"/>
  <c r="CQ1694" i="1"/>
  <c r="CP1151" i="1"/>
  <c r="CQ1634" i="1"/>
  <c r="CQ1656" i="1"/>
  <c r="BY1689" i="1"/>
  <c r="BY1699" i="1"/>
  <c r="CS146" i="1"/>
  <c r="CV146" i="1" s="1"/>
  <c r="CS148" i="1"/>
  <c r="CV148" i="1" s="1"/>
  <c r="CR183" i="1"/>
  <c r="BY196" i="1"/>
  <c r="CQ152" i="1"/>
  <c r="CQ166" i="1"/>
  <c r="CQ233" i="1"/>
  <c r="BY217" i="1"/>
  <c r="CQ214" i="1"/>
  <c r="CO259" i="1"/>
  <c r="CS248" i="1"/>
  <c r="CV248" i="1" s="1"/>
  <c r="CT633" i="1"/>
  <c r="CT626" i="1"/>
  <c r="CT890" i="1"/>
  <c r="CQ989" i="1"/>
  <c r="CR993" i="1"/>
  <c r="CP1079" i="1"/>
  <c r="CQ1151" i="1"/>
  <c r="CQ1213" i="1"/>
  <c r="CQ1312" i="1"/>
  <c r="BY1315" i="1"/>
  <c r="CT1458" i="1"/>
  <c r="CO1519" i="1"/>
  <c r="CQ1703" i="1"/>
  <c r="CQ146" i="1"/>
  <c r="CT146" i="1"/>
  <c r="CR150" i="1"/>
  <c r="CV150" i="1" s="1"/>
  <c r="BY144" i="1"/>
  <c r="BY145" i="1"/>
  <c r="CQ168" i="1"/>
  <c r="BY175" i="1"/>
  <c r="CT225" i="1"/>
  <c r="BY245" i="1"/>
  <c r="CT257" i="1"/>
  <c r="CP890" i="1"/>
  <c r="CT899" i="1"/>
  <c r="CT930" i="1"/>
  <c r="CU930" i="1" s="1"/>
  <c r="CR989" i="1"/>
  <c r="CQ1082" i="1"/>
  <c r="CT1089" i="1"/>
  <c r="CR1151" i="1"/>
  <c r="CO1458" i="1"/>
  <c r="BY1447" i="1"/>
  <c r="CT1521" i="1"/>
  <c r="BY1575" i="1"/>
  <c r="CQ1636" i="1"/>
  <c r="BE1654" i="1" a="1"/>
  <c r="BE1654" i="1" s="1"/>
  <c r="CT1646" i="1"/>
  <c r="CR1689" i="1"/>
  <c r="CS1689" i="1"/>
  <c r="CO146" i="1"/>
  <c r="CQ148" i="1"/>
  <c r="CQ178" i="1"/>
  <c r="CQ199" i="1"/>
  <c r="CO233" i="1"/>
  <c r="CT228" i="1"/>
  <c r="BY269" i="1"/>
  <c r="CT1090" i="1"/>
  <c r="CP1089" i="1"/>
  <c r="CP1576" i="1"/>
  <c r="BY1649" i="1"/>
  <c r="CO1646" i="1"/>
  <c r="CT1734" i="1"/>
  <c r="CU1734" i="1" s="1"/>
  <c r="CT1745" i="1"/>
  <c r="CU1745" i="1" s="1"/>
  <c r="CT1688" i="1"/>
  <c r="CQ202" i="1"/>
  <c r="CP233" i="1"/>
  <c r="CQ238" i="1"/>
  <c r="CS890" i="1"/>
  <c r="CV890" i="1" s="1"/>
  <c r="CQ1080" i="1"/>
  <c r="CT1088" i="1"/>
  <c r="CR1082" i="1"/>
  <c r="CT1087" i="1"/>
  <c r="CR1089" i="1"/>
  <c r="CP1084" i="1"/>
  <c r="CO1144" i="1"/>
  <c r="CT1146" i="1"/>
  <c r="CQ1205" i="1"/>
  <c r="CO1315" i="1"/>
  <c r="BY1444" i="1"/>
  <c r="CT1577" i="1"/>
  <c r="CQ1629" i="1"/>
  <c r="CP1646" i="1"/>
  <c r="CT1650" i="1"/>
  <c r="CO1690" i="1"/>
  <c r="BY183" i="1"/>
  <c r="BY131" i="1"/>
  <c r="CS152" i="1"/>
  <c r="CP176" i="1"/>
  <c r="CT178" i="1"/>
  <c r="CQ226" i="1"/>
  <c r="CT249" i="1"/>
  <c r="CT263" i="1"/>
  <c r="CQ261" i="1"/>
  <c r="CQ637" i="1"/>
  <c r="BY902" i="1"/>
  <c r="CQ1079" i="1"/>
  <c r="CR1084" i="1"/>
  <c r="BE1069" i="1" a="1"/>
  <c r="BE1069" i="1" s="1"/>
  <c r="CP1144" i="1"/>
  <c r="BE1315" i="1" a="1"/>
  <c r="BE1315" i="1" s="1"/>
  <c r="BY1449" i="1"/>
  <c r="BE1456" i="1" a="1"/>
  <c r="BE1456" i="1" s="1"/>
  <c r="CQ1518" i="1"/>
  <c r="CO1577" i="1"/>
  <c r="BY1645" i="1"/>
  <c r="BY157" i="1"/>
  <c r="BY265" i="1"/>
  <c r="BY255" i="1"/>
  <c r="CT504" i="1"/>
  <c r="CQ1144" i="1"/>
  <c r="CR1650" i="1"/>
  <c r="CT1659" i="1"/>
  <c r="CP1707" i="1"/>
  <c r="CS1719" i="1"/>
  <c r="CV1719" i="1" s="1"/>
  <c r="BY1693" i="1"/>
  <c r="CO622" i="1"/>
  <c r="BY185" i="1"/>
  <c r="CP179" i="1"/>
  <c r="CR179" i="1"/>
  <c r="CS179" i="1"/>
  <c r="CO200" i="1"/>
  <c r="BY227" i="1"/>
  <c r="BY226" i="1"/>
  <c r="CP629" i="1"/>
  <c r="CR629" i="1"/>
  <c r="CQ629" i="1"/>
  <c r="CS132" i="1"/>
  <c r="CV132" i="1" s="1"/>
  <c r="CS953" i="1"/>
  <c r="CR953" i="1"/>
  <c r="CP953" i="1"/>
  <c r="CO953" i="1"/>
  <c r="BY207" i="1"/>
  <c r="BY630" i="1"/>
  <c r="CT612" i="1"/>
  <c r="CQ612" i="1"/>
  <c r="CP612" i="1"/>
  <c r="CS901" i="1"/>
  <c r="CR901" i="1"/>
  <c r="CO241" i="1"/>
  <c r="CT241" i="1"/>
  <c r="CS241" i="1"/>
  <c r="CR241" i="1"/>
  <c r="CQ990" i="1"/>
  <c r="CS990" i="1"/>
  <c r="CR990" i="1"/>
  <c r="CO990" i="1"/>
  <c r="CQ241" i="1"/>
  <c r="CO901" i="1"/>
  <c r="BY229" i="1"/>
  <c r="BY215" i="1"/>
  <c r="CQ236" i="1"/>
  <c r="CO236" i="1"/>
  <c r="CO626" i="1"/>
  <c r="CS626" i="1"/>
  <c r="CR626" i="1"/>
  <c r="CP209" i="1"/>
  <c r="CO209" i="1"/>
  <c r="CR160" i="1"/>
  <c r="CP160" i="1"/>
  <c r="CS160" i="1"/>
  <c r="BY234" i="1"/>
  <c r="CP241" i="1"/>
  <c r="CS250" i="1"/>
  <c r="CR250" i="1"/>
  <c r="BY194" i="1"/>
  <c r="CQ192" i="1"/>
  <c r="CO160" i="1"/>
  <c r="CP177" i="1"/>
  <c r="CR177" i="1"/>
  <c r="CO177" i="1"/>
  <c r="CO250" i="1"/>
  <c r="BY128" i="1"/>
  <c r="CQ149" i="1"/>
  <c r="CQ156" i="1"/>
  <c r="BY197" i="1"/>
  <c r="CO143" i="1"/>
  <c r="BY134" i="1"/>
  <c r="BY135" i="1"/>
  <c r="BY149" i="1"/>
  <c r="CQ177" i="1"/>
  <c r="CP626" i="1"/>
  <c r="CQ1049" i="1"/>
  <c r="BY627" i="1"/>
  <c r="CR1088" i="1"/>
  <c r="CT1072" i="1"/>
  <c r="CR1072" i="1"/>
  <c r="CV1072" i="1" s="1"/>
  <c r="CP1072" i="1"/>
  <c r="CO1072" i="1"/>
  <c r="CT238" i="1"/>
  <c r="BY235" i="1"/>
  <c r="BY223" i="1"/>
  <c r="BY222" i="1"/>
  <c r="BY221" i="1"/>
  <c r="BY220" i="1"/>
  <c r="BY262" i="1"/>
  <c r="CO607" i="1"/>
  <c r="CO855" i="1"/>
  <c r="CQ899" i="1"/>
  <c r="BY886" i="1"/>
  <c r="CO897" i="1"/>
  <c r="BY1064" i="1"/>
  <c r="BY198" i="1"/>
  <c r="CP232" i="1"/>
  <c r="CP607" i="1"/>
  <c r="CP855" i="1"/>
  <c r="CS897" i="1"/>
  <c r="CV897" i="1" s="1"/>
  <c r="CO1044" i="1"/>
  <c r="CR1087" i="1"/>
  <c r="CT1067" i="1"/>
  <c r="CR1067" i="1"/>
  <c r="CO1067" i="1"/>
  <c r="BY191" i="1"/>
  <c r="CT231" i="1"/>
  <c r="CO148" i="1"/>
  <c r="BY173" i="1"/>
  <c r="CQ188" i="1"/>
  <c r="CP168" i="1"/>
  <c r="CO231" i="1"/>
  <c r="BY230" i="1"/>
  <c r="CT226" i="1"/>
  <c r="CQ222" i="1"/>
  <c r="CR220" i="1"/>
  <c r="CO261" i="1"/>
  <c r="CQ504" i="1"/>
  <c r="CO631" i="1"/>
  <c r="CQ622" i="1"/>
  <c r="BY637" i="1"/>
  <c r="CR855" i="1"/>
  <c r="CV855" i="1" s="1"/>
  <c r="CO903" i="1"/>
  <c r="CQ953" i="1"/>
  <c r="CQ991" i="1"/>
  <c r="CP1042" i="1"/>
  <c r="CP1044" i="1"/>
  <c r="CR1064" i="1"/>
  <c r="CV1064" i="1" s="1"/>
  <c r="CS1067" i="1"/>
  <c r="CP1075" i="1"/>
  <c r="CR1075" i="1"/>
  <c r="CQ1077" i="1"/>
  <c r="CR1077" i="1"/>
  <c r="CP1077" i="1"/>
  <c r="CO1077" i="1"/>
  <c r="BY137" i="1"/>
  <c r="CO168" i="1"/>
  <c r="BY211" i="1"/>
  <c r="CQ189" i="1"/>
  <c r="CQ190" i="1"/>
  <c r="CQ132" i="1"/>
  <c r="CO157" i="1"/>
  <c r="BY180" i="1"/>
  <c r="CP199" i="1"/>
  <c r="CQ136" i="1"/>
  <c r="CP148" i="1"/>
  <c r="CQ184" i="1"/>
  <c r="CO198" i="1"/>
  <c r="CO152" i="1"/>
  <c r="CQ160" i="1"/>
  <c r="BY163" i="1"/>
  <c r="CP165" i="1"/>
  <c r="CR168" i="1"/>
  <c r="CV168" i="1" s="1"/>
  <c r="CR178" i="1"/>
  <c r="CQ179" i="1"/>
  <c r="BY187" i="1"/>
  <c r="CR199" i="1"/>
  <c r="CV199" i="1" s="1"/>
  <c r="CO239" i="1"/>
  <c r="CP231" i="1"/>
  <c r="CO225" i="1"/>
  <c r="BY219" i="1"/>
  <c r="CS220" i="1"/>
  <c r="CR262" i="1"/>
  <c r="CV262" i="1" s="1"/>
  <c r="BY256" i="1"/>
  <c r="CQ243" i="1"/>
  <c r="CT246" i="1"/>
  <c r="CT259" i="1"/>
  <c r="BY257" i="1"/>
  <c r="CP261" i="1"/>
  <c r="CR633" i="1"/>
  <c r="CV633" i="1" s="1"/>
  <c r="CR631" i="1"/>
  <c r="CV631" i="1" s="1"/>
  <c r="BY634" i="1"/>
  <c r="EP634" i="1" s="1"/>
  <c r="BY636" i="1"/>
  <c r="EP636" i="1" s="1"/>
  <c r="CQ855" i="1"/>
  <c r="CO872" i="1"/>
  <c r="CR903" i="1"/>
  <c r="CV903" i="1" s="1"/>
  <c r="CP993" i="1"/>
  <c r="CS1044" i="1"/>
  <c r="CV1044" i="1" s="1"/>
  <c r="CP1046" i="1"/>
  <c r="CR1047" i="1"/>
  <c r="CV1047" i="1" s="1"/>
  <c r="CT1080" i="1"/>
  <c r="CR1081" i="1"/>
  <c r="CS1081" i="1"/>
  <c r="CO1081" i="1"/>
  <c r="CR1085" i="1"/>
  <c r="CS1085" i="1"/>
  <c r="CO1085" i="1"/>
  <c r="CS1093" i="1"/>
  <c r="CR1093" i="1"/>
  <c r="CO199" i="1"/>
  <c r="CO165" i="1"/>
  <c r="CP178" i="1"/>
  <c r="CQ150" i="1"/>
  <c r="BY189" i="1"/>
  <c r="BY186" i="1"/>
  <c r="BY142" i="1"/>
  <c r="BY162" i="1"/>
  <c r="CO176" i="1"/>
  <c r="CS178" i="1"/>
  <c r="CS258" i="1"/>
  <c r="CV258" i="1" s="1"/>
  <c r="BY254" i="1"/>
  <c r="BY242" i="1"/>
  <c r="BY253" i="1"/>
  <c r="CQ626" i="1"/>
  <c r="CP614" i="1"/>
  <c r="CP872" i="1"/>
  <c r="BY895" i="1"/>
  <c r="CQ993" i="1"/>
  <c r="CS1046" i="1"/>
  <c r="CP1080" i="1"/>
  <c r="CR1080" i="1"/>
  <c r="CV1080" i="1" s="1"/>
  <c r="CQ1088" i="1"/>
  <c r="CP1092" i="1"/>
  <c r="CQ1092" i="1"/>
  <c r="BY1204" i="1"/>
  <c r="BY1633" i="1"/>
  <c r="CP1712" i="1"/>
  <c r="CQ1087" i="1"/>
  <c r="CS1068" i="1"/>
  <c r="CQ1145" i="1"/>
  <c r="CO1148" i="1"/>
  <c r="CO1205" i="1"/>
  <c r="CQ1644" i="1"/>
  <c r="CO1655" i="1"/>
  <c r="CP1657" i="1"/>
  <c r="CR1735" i="1"/>
  <c r="CV1735" i="1" s="1"/>
  <c r="CR1693" i="1"/>
  <c r="CV1693" i="1" s="1"/>
  <c r="CQ1688" i="1"/>
  <c r="CO1696" i="1"/>
  <c r="CO1697" i="1"/>
  <c r="CQ1067" i="1"/>
  <c r="CO1071" i="1"/>
  <c r="CT1076" i="1"/>
  <c r="CR1145" i="1"/>
  <c r="CV1145" i="1" s="1"/>
  <c r="CP1148" i="1"/>
  <c r="CS1151" i="1"/>
  <c r="CP1205" i="1"/>
  <c r="CR1313" i="1"/>
  <c r="CV1313" i="1" s="1"/>
  <c r="BE1348" i="1" a="1"/>
  <c r="BE1348" i="1" s="1"/>
  <c r="CT1423" i="1"/>
  <c r="BY1457" i="1"/>
  <c r="BY1446" i="1"/>
  <c r="BY1638" i="1"/>
  <c r="CO1634" i="1"/>
  <c r="BY1687" i="1"/>
  <c r="CT1706" i="1"/>
  <c r="CS1711" i="1"/>
  <c r="CS1696" i="1"/>
  <c r="CV1696" i="1" s="1"/>
  <c r="CR1142" i="1"/>
  <c r="CQ1148" i="1"/>
  <c r="CT1151" i="1"/>
  <c r="CT1212" i="1"/>
  <c r="CT1314" i="1"/>
  <c r="CT1462" i="1"/>
  <c r="CU1462" i="1" s="1"/>
  <c r="CQ1457" i="1"/>
  <c r="CT1446" i="1"/>
  <c r="CQ1519" i="1"/>
  <c r="CO1576" i="1"/>
  <c r="CT1638" i="1"/>
  <c r="BY1642" i="1"/>
  <c r="CP1634" i="1"/>
  <c r="CQ1686" i="1"/>
  <c r="CO1707" i="1"/>
  <c r="BY1692" i="1"/>
  <c r="CR1697" i="1"/>
  <c r="CV1697" i="1" s="1"/>
  <c r="CQ1657" i="1"/>
  <c r="BY1700" i="1"/>
  <c r="BE1067" i="1" a="1"/>
  <c r="BE1067" i="1" s="1"/>
  <c r="CR1076" i="1"/>
  <c r="CO1069" i="1"/>
  <c r="CO1073" i="1"/>
  <c r="CQ1149" i="1"/>
  <c r="CQ1150" i="1"/>
  <c r="CP1208" i="1"/>
  <c r="CO1312" i="1"/>
  <c r="CT1449" i="1"/>
  <c r="CO1635" i="1"/>
  <c r="CS1643" i="1"/>
  <c r="CV1643" i="1" s="1"/>
  <c r="CO1651" i="1"/>
  <c r="CQ1631" i="1"/>
  <c r="CS1646" i="1"/>
  <c r="CV1646" i="1" s="1"/>
  <c r="CP1658" i="1"/>
  <c r="CQ1659" i="1"/>
  <c r="CT1738" i="1"/>
  <c r="CU1738" i="1" s="1"/>
  <c r="CR1704" i="1"/>
  <c r="CV1704" i="1" s="1"/>
  <c r="BY1705" i="1"/>
  <c r="CR1707" i="1"/>
  <c r="CV1707" i="1" s="1"/>
  <c r="CT1716" i="1"/>
  <c r="CU1716" i="1" s="1"/>
  <c r="CT1723" i="1"/>
  <c r="CU1723" i="1" s="1"/>
  <c r="CR1745" i="1"/>
  <c r="CP1688" i="1"/>
  <c r="CO1698" i="1"/>
  <c r="BE1729" i="1" a="1"/>
  <c r="BE1729" i="1" s="1"/>
  <c r="CR1736" i="1"/>
  <c r="CV1736" i="1" s="1"/>
  <c r="CT1733" i="1"/>
  <c r="CU1733" i="1" s="1"/>
  <c r="CO1692" i="1"/>
  <c r="CQ1697" i="1"/>
  <c r="CQ1075" i="1"/>
  <c r="CQ1072" i="1"/>
  <c r="CS1076" i="1"/>
  <c r="CR1069" i="1"/>
  <c r="CQ1085" i="1"/>
  <c r="CP1073" i="1"/>
  <c r="CQ1093" i="1"/>
  <c r="CT1149" i="1"/>
  <c r="CT1152" i="1"/>
  <c r="CR1208" i="1"/>
  <c r="CV1208" i="1" s="1"/>
  <c r="CR1207" i="1"/>
  <c r="CO1521" i="1"/>
  <c r="CT1575" i="1"/>
  <c r="CQ1651" i="1"/>
  <c r="CR1656" i="1"/>
  <c r="CV1656" i="1" s="1"/>
  <c r="CR1738" i="1"/>
  <c r="CR1716" i="1"/>
  <c r="CV1716" i="1" s="1"/>
  <c r="CT1718" i="1"/>
  <c r="CU1718" i="1" s="1"/>
  <c r="CT1724" i="1"/>
  <c r="CU1724" i="1" s="1"/>
  <c r="CS1726" i="1"/>
  <c r="CV1726" i="1" s="1"/>
  <c r="BE1703" i="1" a="1"/>
  <c r="BE1703" i="1" s="1"/>
  <c r="BE1695" i="1" a="1"/>
  <c r="BE1695" i="1" s="1"/>
  <c r="CP1698" i="1"/>
  <c r="CS1730" i="1"/>
  <c r="CV1730" i="1" s="1"/>
  <c r="CS1732" i="1"/>
  <c r="CV1732" i="1" s="1"/>
  <c r="CS1737" i="1"/>
  <c r="CV1737" i="1" s="1"/>
  <c r="CP1692" i="1"/>
  <c r="CT1081" i="1"/>
  <c r="CS1069" i="1"/>
  <c r="BY1212" i="1"/>
  <c r="CT1711" i="1"/>
  <c r="CR1692" i="1"/>
  <c r="CV1692" i="1" s="1"/>
  <c r="BY136" i="1"/>
  <c r="BY150" i="1"/>
  <c r="CT150" i="1"/>
  <c r="BY139" i="1"/>
  <c r="CO130" i="1"/>
  <c r="CS137" i="1"/>
  <c r="CT137" i="1"/>
  <c r="CS169" i="1"/>
  <c r="CR169" i="1"/>
  <c r="CT236" i="1"/>
  <c r="CT242" i="1"/>
  <c r="CS242" i="1"/>
  <c r="CR242" i="1"/>
  <c r="CP242" i="1"/>
  <c r="CO242" i="1"/>
  <c r="CQ635" i="1"/>
  <c r="CP635" i="1"/>
  <c r="CR137" i="1"/>
  <c r="CO167" i="1"/>
  <c r="CS167" i="1"/>
  <c r="CP167" i="1"/>
  <c r="CS203" i="1"/>
  <c r="CR203" i="1"/>
  <c r="CP203" i="1"/>
  <c r="CO203" i="1"/>
  <c r="CS205" i="1"/>
  <c r="CR205" i="1"/>
  <c r="CQ205" i="1"/>
  <c r="CO205" i="1"/>
  <c r="CQ206" i="1"/>
  <c r="BY239" i="1"/>
  <c r="CT239" i="1"/>
  <c r="CT207" i="1"/>
  <c r="CS207" i="1"/>
  <c r="CO207" i="1"/>
  <c r="CO197" i="1"/>
  <c r="CS151" i="1"/>
  <c r="CR151" i="1"/>
  <c r="CP151" i="1"/>
  <c r="CT154" i="1"/>
  <c r="CR207" i="1"/>
  <c r="CP136" i="1"/>
  <c r="CO182" i="1"/>
  <c r="CP130" i="1"/>
  <c r="CS136" i="1"/>
  <c r="CV136" i="1" s="1"/>
  <c r="BY195" i="1"/>
  <c r="CO127" i="1"/>
  <c r="CO128" i="1"/>
  <c r="CR130" i="1"/>
  <c r="CV130" i="1" s="1"/>
  <c r="CR156" i="1"/>
  <c r="CS156" i="1"/>
  <c r="CP127" i="1"/>
  <c r="CP128" i="1"/>
  <c r="CO133" i="1"/>
  <c r="CS133" i="1"/>
  <c r="CV133" i="1" s="1"/>
  <c r="BY158" i="1"/>
  <c r="CR167" i="1"/>
  <c r="CP205" i="1"/>
  <c r="CO208" i="1"/>
  <c r="CS208" i="1"/>
  <c r="CV208" i="1" s="1"/>
  <c r="CP208" i="1"/>
  <c r="CQ247" i="1"/>
  <c r="BY247" i="1"/>
  <c r="BY505" i="1"/>
  <c r="CS141" i="1"/>
  <c r="CV141" i="1" s="1"/>
  <c r="BY620" i="1"/>
  <c r="CQ185" i="1"/>
  <c r="CO192" i="1"/>
  <c r="CT141" i="1"/>
  <c r="CQ187" i="1"/>
  <c r="CT199" i="1"/>
  <c r="BY199" i="1"/>
  <c r="CS206" i="1"/>
  <c r="CT206" i="1"/>
  <c r="CR206" i="1"/>
  <c r="CP206" i="1"/>
  <c r="CO206" i="1"/>
  <c r="BY218" i="1"/>
  <c r="CT218" i="1"/>
  <c r="CS247" i="1"/>
  <c r="CR247" i="1"/>
  <c r="CP247" i="1"/>
  <c r="CO247" i="1"/>
  <c r="CO136" i="1"/>
  <c r="CT180" i="1"/>
  <c r="BY216" i="1"/>
  <c r="CT216" i="1"/>
  <c r="CT256" i="1"/>
  <c r="CP256" i="1"/>
  <c r="CO256" i="1"/>
  <c r="CT624" i="1"/>
  <c r="CQ127" i="1"/>
  <c r="CQ128" i="1"/>
  <c r="CR128" i="1"/>
  <c r="CV128" i="1" s="1"/>
  <c r="CR127" i="1"/>
  <c r="CV127" i="1" s="1"/>
  <c r="BY148" i="1"/>
  <c r="BY172" i="1"/>
  <c r="CP188" i="1"/>
  <c r="CR195" i="1"/>
  <c r="CP195" i="1"/>
  <c r="BE129" i="1" a="1"/>
  <c r="BE129" i="1" s="1"/>
  <c r="BY141" i="1"/>
  <c r="CR159" i="1"/>
  <c r="CT222" i="1"/>
  <c r="CQ620" i="1"/>
  <c r="BY169" i="1"/>
  <c r="CP236" i="1"/>
  <c r="CT268" i="1"/>
  <c r="CQ248" i="1"/>
  <c r="CP631" i="1"/>
  <c r="BY629" i="1"/>
  <c r="CO856" i="1"/>
  <c r="CP897" i="1"/>
  <c r="CS934" i="1"/>
  <c r="CR934" i="1"/>
  <c r="BY214" i="1"/>
  <c r="BY238" i="1"/>
  <c r="CO611" i="1"/>
  <c r="CP856" i="1"/>
  <c r="BY892" i="1"/>
  <c r="CR893" i="1"/>
  <c r="CO893" i="1"/>
  <c r="BY153" i="1"/>
  <c r="BY155" i="1"/>
  <c r="BY210" i="1"/>
  <c r="CP270" i="1"/>
  <c r="CO244" i="1"/>
  <c r="CO268" i="1"/>
  <c r="CO249" i="1"/>
  <c r="CQ630" i="1"/>
  <c r="CO628" i="1"/>
  <c r="CP624" i="1"/>
  <c r="CR856" i="1"/>
  <c r="CV856" i="1" s="1"/>
  <c r="CO873" i="1"/>
  <c r="CO891" i="1"/>
  <c r="CT900" i="1"/>
  <c r="CS900" i="1"/>
  <c r="CP900" i="1"/>
  <c r="CO900" i="1"/>
  <c r="BE131" i="1" a="1"/>
  <c r="BE131" i="1" s="1"/>
  <c r="BE143" i="1" a="1"/>
  <c r="BE143" i="1" s="1"/>
  <c r="CO132" i="1"/>
  <c r="CR161" i="1"/>
  <c r="BY165" i="1"/>
  <c r="BY171" i="1"/>
  <c r="CR176" i="1"/>
  <c r="CV176" i="1" s="1"/>
  <c r="CS177" i="1"/>
  <c r="CO202" i="1"/>
  <c r="CO216" i="1"/>
  <c r="CO214" i="1"/>
  <c r="CO238" i="1"/>
  <c r="CQ225" i="1"/>
  <c r="CR270" i="1"/>
  <c r="CO258" i="1"/>
  <c r="CO246" i="1"/>
  <c r="CP244" i="1"/>
  <c r="CP268" i="1"/>
  <c r="CS259" i="1"/>
  <c r="CV259" i="1" s="1"/>
  <c r="CO248" i="1"/>
  <c r="BY252" i="1"/>
  <c r="CP249" i="1"/>
  <c r="CO263" i="1"/>
  <c r="CS630" i="1"/>
  <c r="BY626" i="1"/>
  <c r="CP628" i="1"/>
  <c r="CQ624" i="1"/>
  <c r="CP651" i="1"/>
  <c r="CP873" i="1"/>
  <c r="BY872" i="1"/>
  <c r="BY874" i="1"/>
  <c r="BY871" i="1"/>
  <c r="CP891" i="1"/>
  <c r="CO899" i="1"/>
  <c r="CT887" i="1"/>
  <c r="CR900" i="1"/>
  <c r="BY184" i="1"/>
  <c r="CQ196" i="1"/>
  <c r="CP132" i="1"/>
  <c r="CR153" i="1"/>
  <c r="CQ159" i="1"/>
  <c r="CS161" i="1"/>
  <c r="CQ167" i="1"/>
  <c r="BY181" i="1"/>
  <c r="CQ200" i="1"/>
  <c r="CP202" i="1"/>
  <c r="CQ210" i="1"/>
  <c r="CO228" i="1"/>
  <c r="CP216" i="1"/>
  <c r="CP214" i="1"/>
  <c r="CP238" i="1"/>
  <c r="CO226" i="1"/>
  <c r="CO222" i="1"/>
  <c r="CO220" i="1"/>
  <c r="CS270" i="1"/>
  <c r="CP258" i="1"/>
  <c r="CS246" i="1"/>
  <c r="CS244" i="1"/>
  <c r="CV244" i="1" s="1"/>
  <c r="CQ268" i="1"/>
  <c r="CP248" i="1"/>
  <c r="CS249" i="1"/>
  <c r="CR628" i="1"/>
  <c r="CV628" i="1" s="1"/>
  <c r="CO629" i="1"/>
  <c r="CP620" i="1"/>
  <c r="CQ636" i="1"/>
  <c r="CT825" i="1"/>
  <c r="CQ856" i="1"/>
  <c r="CR873" i="1"/>
  <c r="CV873" i="1" s="1"/>
  <c r="CR891" i="1"/>
  <c r="CV891" i="1" s="1"/>
  <c r="CP899" i="1"/>
  <c r="CQ897" i="1"/>
  <c r="CT128" i="1"/>
  <c r="CT130" i="1"/>
  <c r="CQ133" i="1"/>
  <c r="CQ151" i="1"/>
  <c r="BY154" i="1"/>
  <c r="CT161" i="1"/>
  <c r="CR202" i="1"/>
  <c r="CV202" i="1" s="1"/>
  <c r="CQ204" i="1"/>
  <c r="BY209" i="1"/>
  <c r="CQ231" i="1"/>
  <c r="CQ258" i="1"/>
  <c r="CQ242" i="1"/>
  <c r="CR268" i="1"/>
  <c r="CV268" i="1" s="1"/>
  <c r="CT250" i="1"/>
  <c r="CT247" i="1"/>
  <c r="CT252" i="1"/>
  <c r="BY251" i="1"/>
  <c r="BY612" i="1"/>
  <c r="BY855" i="1"/>
  <c r="CT872" i="1"/>
  <c r="CR899" i="1"/>
  <c r="CV899" i="1" s="1"/>
  <c r="CS933" i="1"/>
  <c r="CR933" i="1"/>
  <c r="BY174" i="1"/>
  <c r="BY193" i="1"/>
  <c r="CT214" i="1"/>
  <c r="BY266" i="1"/>
  <c r="BY632" i="1"/>
  <c r="CT635" i="1"/>
  <c r="CQ891" i="1"/>
  <c r="BY1085" i="1"/>
  <c r="CT931" i="1"/>
  <c r="CU931" i="1" s="1"/>
  <c r="CP992" i="1"/>
  <c r="CQ994" i="1"/>
  <c r="CT1044" i="1"/>
  <c r="CR1046" i="1"/>
  <c r="CO1065" i="1"/>
  <c r="CS1066" i="1"/>
  <c r="CS1086" i="1"/>
  <c r="CS1082" i="1"/>
  <c r="CO1090" i="1"/>
  <c r="CQ1089" i="1"/>
  <c r="CS1075" i="1"/>
  <c r="CQ1084" i="1"/>
  <c r="CS1077" i="1"/>
  <c r="CR1068" i="1"/>
  <c r="CO1078" i="1"/>
  <c r="BE1085" i="1" a="1"/>
  <c r="BE1085" i="1" s="1"/>
  <c r="CR1092" i="1"/>
  <c r="BY1152" i="1"/>
  <c r="CQ1153" i="1"/>
  <c r="CS1142" i="1"/>
  <c r="CQ1154" i="1"/>
  <c r="CQ1206" i="1"/>
  <c r="CQ992" i="1"/>
  <c r="CP1065" i="1"/>
  <c r="CQ1066" i="1"/>
  <c r="CT1086" i="1"/>
  <c r="CP1090" i="1"/>
  <c r="CP1078" i="1"/>
  <c r="CS1092" i="1"/>
  <c r="CR1153" i="1"/>
  <c r="CV1153" i="1" s="1"/>
  <c r="CT1142" i="1"/>
  <c r="BY1213" i="1"/>
  <c r="CS931" i="1"/>
  <c r="CV931" i="1" s="1"/>
  <c r="CS989" i="1"/>
  <c r="CO991" i="1"/>
  <c r="CR992" i="1"/>
  <c r="CS993" i="1"/>
  <c r="CS994" i="1"/>
  <c r="CO1003" i="1"/>
  <c r="CO1043" i="1"/>
  <c r="CO1045" i="1"/>
  <c r="CO1064" i="1"/>
  <c r="CR1065" i="1"/>
  <c r="CV1065" i="1" s="1"/>
  <c r="CQ1086" i="1"/>
  <c r="CO1088" i="1"/>
  <c r="CP1083" i="1"/>
  <c r="CO1087" i="1"/>
  <c r="CP1067" i="1"/>
  <c r="CR1090" i="1"/>
  <c r="CS1089" i="1"/>
  <c r="CO1074" i="1"/>
  <c r="CS1084" i="1"/>
  <c r="CP1081" i="1"/>
  <c r="CO1070" i="1"/>
  <c r="CR1078" i="1"/>
  <c r="CP1069" i="1"/>
  <c r="CP1085" i="1"/>
  <c r="CO1149" i="1"/>
  <c r="CO1152" i="1"/>
  <c r="CO1150" i="1"/>
  <c r="CS1154" i="1"/>
  <c r="CQ1207" i="1"/>
  <c r="CP1207" i="1"/>
  <c r="BY1314" i="1"/>
  <c r="CP991" i="1"/>
  <c r="CS992" i="1"/>
  <c r="CT994" i="1"/>
  <c r="BY1041" i="1"/>
  <c r="CP1043" i="1"/>
  <c r="CP1045" i="1"/>
  <c r="CP1064" i="1"/>
  <c r="CP1088" i="1"/>
  <c r="CS1083" i="1"/>
  <c r="CV1083" i="1" s="1"/>
  <c r="CP1087" i="1"/>
  <c r="CS1090" i="1"/>
  <c r="CP1074" i="1"/>
  <c r="CQ1068" i="1"/>
  <c r="CP1070" i="1"/>
  <c r="CS1078" i="1"/>
  <c r="CQ1069" i="1"/>
  <c r="CT1092" i="1"/>
  <c r="CP1149" i="1"/>
  <c r="CP1152" i="1"/>
  <c r="CT1154" i="1"/>
  <c r="BY1214" i="1"/>
  <c r="CP1206" i="1"/>
  <c r="CO1206" i="1"/>
  <c r="CT1210" i="1"/>
  <c r="CS1210" i="1"/>
  <c r="CQ1343" i="1"/>
  <c r="CU1343" i="1" s="1"/>
  <c r="CP1343" i="1"/>
  <c r="CO1343" i="1"/>
  <c r="CS1045" i="1"/>
  <c r="CQ1065" i="1"/>
  <c r="BY896" i="1"/>
  <c r="CQ900" i="1"/>
  <c r="CP990" i="1"/>
  <c r="CR991" i="1"/>
  <c r="CV991" i="1" s="1"/>
  <c r="BY993" i="1"/>
  <c r="CQ1041" i="1"/>
  <c r="CR1049" i="1"/>
  <c r="CQ1064" i="1"/>
  <c r="CO1066" i="1"/>
  <c r="CO1086" i="1"/>
  <c r="CS1088" i="1"/>
  <c r="CO1082" i="1"/>
  <c r="CS1087" i="1"/>
  <c r="CQ1090" i="1"/>
  <c r="CO1075" i="1"/>
  <c r="CR1074" i="1"/>
  <c r="CV1074" i="1" s="1"/>
  <c r="CR1070" i="1"/>
  <c r="CV1070" i="1" s="1"/>
  <c r="CQ1078" i="1"/>
  <c r="BY1073" i="1"/>
  <c r="CO1092" i="1"/>
  <c r="CT1143" i="1"/>
  <c r="CU1143" i="1" s="1"/>
  <c r="CR1149" i="1"/>
  <c r="CV1149" i="1" s="1"/>
  <c r="CR1152" i="1"/>
  <c r="CV1152" i="1" s="1"/>
  <c r="CS1146" i="1"/>
  <c r="CO1214" i="1"/>
  <c r="CS1206" i="1"/>
  <c r="CV1206" i="1" s="1"/>
  <c r="CP1210" i="1"/>
  <c r="CS1314" i="1"/>
  <c r="CR1314" i="1"/>
  <c r="BY887" i="1"/>
  <c r="CR972" i="1"/>
  <c r="BY1003" i="1"/>
  <c r="BY1005" i="1"/>
  <c r="BY1043" i="1"/>
  <c r="CO1046" i="1"/>
  <c r="CS1049" i="1"/>
  <c r="BY1063" i="1"/>
  <c r="BE1090" i="1" a="1"/>
  <c r="BE1090" i="1" s="1"/>
  <c r="BE1084" i="1" a="1"/>
  <c r="BE1084" i="1" s="1"/>
  <c r="CQ1076" i="1"/>
  <c r="CQ1081" i="1"/>
  <c r="BY1143" i="1"/>
  <c r="CO1314" i="1"/>
  <c r="BE1312" i="1" a="1"/>
  <c r="BE1312" i="1" s="1"/>
  <c r="CR1312" i="1"/>
  <c r="CV1312" i="1" s="1"/>
  <c r="CP1312" i="1"/>
  <c r="BY1655" i="1"/>
  <c r="CS1629" i="1"/>
  <c r="CV1629" i="1" s="1"/>
  <c r="CT1644" i="1"/>
  <c r="CT1652" i="1"/>
  <c r="CQ1654" i="1"/>
  <c r="CS1654" i="1"/>
  <c r="CV1654" i="1" s="1"/>
  <c r="CS1659" i="1"/>
  <c r="BE1732" i="1" a="1"/>
  <c r="BE1732" i="1" s="1"/>
  <c r="CT1459" i="1"/>
  <c r="CU1459" i="1" s="1"/>
  <c r="CO1449" i="1"/>
  <c r="BY1452" i="1"/>
  <c r="CO1447" i="1"/>
  <c r="CO1518" i="1"/>
  <c r="CP1577" i="1"/>
  <c r="CT1629" i="1"/>
  <c r="BY1632" i="1"/>
  <c r="CO1641" i="1"/>
  <c r="CO1643" i="1"/>
  <c r="CO1649" i="1"/>
  <c r="CR1651" i="1"/>
  <c r="CR1634" i="1"/>
  <c r="CV1634" i="1" s="1"/>
  <c r="CO1648" i="1"/>
  <c r="CO1637" i="1"/>
  <c r="CO1639" i="1"/>
  <c r="CP1631" i="1"/>
  <c r="CS1657" i="1"/>
  <c r="CV1657" i="1" s="1"/>
  <c r="BY1660" i="1"/>
  <c r="CO1661" i="1"/>
  <c r="CS1738" i="1"/>
  <c r="CP1686" i="1"/>
  <c r="CT1704" i="1"/>
  <c r="CO1705" i="1"/>
  <c r="CS1722" i="1"/>
  <c r="CV1722" i="1" s="1"/>
  <c r="CR1724" i="1"/>
  <c r="CS1745" i="1"/>
  <c r="BY1714" i="1"/>
  <c r="CQ1211" i="1"/>
  <c r="CO1208" i="1"/>
  <c r="BE1314" i="1" a="1"/>
  <c r="BE1314" i="1" s="1"/>
  <c r="CT1460" i="1"/>
  <c r="CU1460" i="1" s="1"/>
  <c r="CR1449" i="1"/>
  <c r="CV1449" i="1" s="1"/>
  <c r="BY1445" i="1"/>
  <c r="CP1447" i="1"/>
  <c r="CP1518" i="1"/>
  <c r="CR1577" i="1"/>
  <c r="CV1577" i="1" s="1"/>
  <c r="CR1641" i="1"/>
  <c r="CV1641" i="1" s="1"/>
  <c r="CP1643" i="1"/>
  <c r="CP1649" i="1"/>
  <c r="CS1651" i="1"/>
  <c r="CP1637" i="1"/>
  <c r="CP1661" i="1"/>
  <c r="CS1686" i="1"/>
  <c r="CV1686" i="1" s="1"/>
  <c r="CP1704" i="1"/>
  <c r="CP1705" i="1"/>
  <c r="CR1743" i="1"/>
  <c r="CV1743" i="1" s="1"/>
  <c r="CT1722" i="1"/>
  <c r="CU1722" i="1" s="1"/>
  <c r="CS1724" i="1"/>
  <c r="CR1725" i="1"/>
  <c r="CV1725" i="1" s="1"/>
  <c r="CS1727" i="1"/>
  <c r="CV1727" i="1" s="1"/>
  <c r="CO1693" i="1"/>
  <c r="CO1694" i="1"/>
  <c r="CR1688" i="1"/>
  <c r="CP1696" i="1"/>
  <c r="CQ1698" i="1"/>
  <c r="BE1702" i="1" a="1"/>
  <c r="BE1702" i="1" s="1"/>
  <c r="CT1729" i="1"/>
  <c r="CU1729" i="1" s="1"/>
  <c r="CS1733" i="1"/>
  <c r="CS1460" i="1"/>
  <c r="BE1453" i="1" a="1"/>
  <c r="BE1453" i="1" s="1"/>
  <c r="CT1450" i="1"/>
  <c r="BY1451" i="1"/>
  <c r="BY1576" i="1"/>
  <c r="CQ1643" i="1"/>
  <c r="CR1649" i="1"/>
  <c r="CV1649" i="1" s="1"/>
  <c r="BY1654" i="1"/>
  <c r="BE1716" i="1" a="1"/>
  <c r="BE1716" i="1" s="1"/>
  <c r="CR1723" i="1"/>
  <c r="CV1723" i="1" s="1"/>
  <c r="CT1727" i="1"/>
  <c r="CU1727" i="1" s="1"/>
  <c r="CQ1709" i="1"/>
  <c r="CP1693" i="1"/>
  <c r="CP1694" i="1"/>
  <c r="CP1711" i="1"/>
  <c r="CS1688" i="1"/>
  <c r="CR1698" i="1"/>
  <c r="CV1698" i="1" s="1"/>
  <c r="CP1713" i="1"/>
  <c r="CQ1689" i="1"/>
  <c r="CQ1692" i="1"/>
  <c r="BY1635" i="1"/>
  <c r="BY1636" i="1"/>
  <c r="BY1205" i="1"/>
  <c r="CT1454" i="1"/>
  <c r="CT1451" i="1"/>
  <c r="BY1448" i="1"/>
  <c r="CP1521" i="1"/>
  <c r="CP1575" i="1"/>
  <c r="CQ1577" i="1"/>
  <c r="CO1629" i="1"/>
  <c r="CO1633" i="1"/>
  <c r="CO1644" i="1"/>
  <c r="BY1648" i="1"/>
  <c r="CO1654" i="1"/>
  <c r="CO1659" i="1"/>
  <c r="CO1660" i="1"/>
  <c r="CQ1661" i="1"/>
  <c r="CT1707" i="1"/>
  <c r="CR1744" i="1"/>
  <c r="CV1744" i="1" s="1"/>
  <c r="CO1710" i="1"/>
  <c r="CO1691" i="1"/>
  <c r="CR1694" i="1"/>
  <c r="CV1694" i="1" s="1"/>
  <c r="CO1695" i="1"/>
  <c r="BY1702" i="1"/>
  <c r="CR1521" i="1"/>
  <c r="CV1521" i="1" s="1"/>
  <c r="CR1575" i="1"/>
  <c r="CP1629" i="1"/>
  <c r="CR1633" i="1"/>
  <c r="CV1633" i="1" s="1"/>
  <c r="CT1643" i="1"/>
  <c r="CP1644" i="1"/>
  <c r="CP1654" i="1"/>
  <c r="CP1659" i="1"/>
  <c r="BY1715" i="1"/>
  <c r="CQ1704" i="1"/>
  <c r="CQ1693" i="1"/>
  <c r="CQ1699" i="1"/>
  <c r="CQ1521" i="1"/>
  <c r="CS1575" i="1"/>
  <c r="CQ1633" i="1"/>
  <c r="BY1641" i="1"/>
  <c r="CT1649" i="1"/>
  <c r="CS1644" i="1"/>
  <c r="CV1644" i="1" s="1"/>
  <c r="BY1639" i="1"/>
  <c r="CR1659" i="1"/>
  <c r="CT1726" i="1"/>
  <c r="CU1726" i="1" s="1"/>
  <c r="BY1706" i="1"/>
  <c r="BY1688" i="1"/>
  <c r="CT1689" i="1"/>
  <c r="CT615" i="1"/>
  <c r="CS615" i="1"/>
  <c r="CR615" i="1"/>
  <c r="CO615" i="1"/>
  <c r="CT1628" i="1"/>
  <c r="CT937" i="1"/>
  <c r="CU937" i="1" s="1"/>
  <c r="CO966" i="1"/>
  <c r="CR966" i="1"/>
  <c r="CP966" i="1"/>
  <c r="CS200" i="1"/>
  <c r="CV200" i="1" s="1"/>
  <c r="CS621" i="1"/>
  <c r="CR937" i="1"/>
  <c r="CV937" i="1" s="1"/>
  <c r="CT975" i="1"/>
  <c r="BN974" i="1"/>
  <c r="BO974" i="1" s="1"/>
  <c r="BY974" i="1" s="1"/>
  <c r="CN973" i="1"/>
  <c r="CP973" i="1" s="1"/>
  <c r="CN981" i="1"/>
  <c r="CP981" i="1" s="1"/>
  <c r="CS972" i="1"/>
  <c r="BY1004" i="1"/>
  <c r="BV1050" i="1"/>
  <c r="BX1050" i="1" s="1"/>
  <c r="BY1050" i="1" s="1"/>
  <c r="CO1083" i="1"/>
  <c r="CN1159" i="1"/>
  <c r="CO1159" i="1" s="1"/>
  <c r="BY1423" i="1"/>
  <c r="CS1453" i="1"/>
  <c r="CR1458" i="1"/>
  <c r="CV1458" i="1" s="1"/>
  <c r="CS1456" i="1"/>
  <c r="CV1456" i="1" s="1"/>
  <c r="CN980" i="1"/>
  <c r="CO980" i="1" s="1"/>
  <c r="BY824" i="1"/>
  <c r="CP611" i="1"/>
  <c r="CN926" i="1"/>
  <c r="BN952" i="1"/>
  <c r="BO952" i="1" s="1"/>
  <c r="CQ952" i="1" s="1"/>
  <c r="BN966" i="1"/>
  <c r="BO966" i="1" s="1"/>
  <c r="CQ966" i="1" s="1"/>
  <c r="BN976" i="1"/>
  <c r="BO976" i="1" s="1"/>
  <c r="BN975" i="1"/>
  <c r="BO975" i="1" s="1"/>
  <c r="BY975" i="1" s="1"/>
  <c r="CQ1083" i="1"/>
  <c r="BY1093" i="1"/>
  <c r="BN1165" i="1"/>
  <c r="BO1165" i="1" s="1"/>
  <c r="BM1159" i="1"/>
  <c r="CN1162" i="1"/>
  <c r="CS1162" i="1" s="1"/>
  <c r="CN1161" i="1"/>
  <c r="CS1161" i="1" s="1"/>
  <c r="CO1341" i="1"/>
  <c r="CN1347" i="1"/>
  <c r="CR1347" i="1" s="1"/>
  <c r="CP1423" i="1"/>
  <c r="CO1457" i="1"/>
  <c r="BY1450" i="1"/>
  <c r="CR1452" i="1"/>
  <c r="CV1452" i="1" s="1"/>
  <c r="CO1451" i="1"/>
  <c r="CO1628" i="1"/>
  <c r="BN613" i="1"/>
  <c r="BO613" i="1" s="1"/>
  <c r="BY613" i="1" s="1"/>
  <c r="CR611" i="1"/>
  <c r="CV611" i="1" s="1"/>
  <c r="CN618" i="1"/>
  <c r="CP618" i="1" s="1"/>
  <c r="BN978" i="1"/>
  <c r="BO978" i="1" s="1"/>
  <c r="CQ1453" i="1"/>
  <c r="BY1566" i="1"/>
  <c r="CP1628" i="1"/>
  <c r="BY1658" i="1"/>
  <c r="CP200" i="1"/>
  <c r="BN621" i="1"/>
  <c r="BO621" i="1" s="1"/>
  <c r="CQ621" i="1" s="1"/>
  <c r="BM926" i="1"/>
  <c r="CR928" i="1"/>
  <c r="CV928" i="1" s="1"/>
  <c r="CN1163" i="1"/>
  <c r="CT1163" i="1" s="1"/>
  <c r="CS1628" i="1"/>
  <c r="CV1628" i="1" s="1"/>
  <c r="CT619" i="1"/>
  <c r="BY623" i="1"/>
  <c r="BY608" i="1"/>
  <c r="BU824" i="1"/>
  <c r="CR935" i="1"/>
  <c r="CV935" i="1" s="1"/>
  <c r="CR952" i="1"/>
  <c r="BU965" i="1"/>
  <c r="BN967" i="1"/>
  <c r="BO967" i="1" s="1"/>
  <c r="BV1049" i="1"/>
  <c r="BX1049" i="1" s="1"/>
  <c r="CT1049" i="1" s="1"/>
  <c r="CR1051" i="1"/>
  <c r="BM1163" i="1"/>
  <c r="BV1160" i="1"/>
  <c r="BX1160" i="1" s="1"/>
  <c r="CO1340" i="1"/>
  <c r="CO1453" i="1"/>
  <c r="CO1456" i="1"/>
  <c r="BU1628" i="1"/>
  <c r="BY358" i="1"/>
  <c r="CP621" i="1"/>
  <c r="CN608" i="1"/>
  <c r="CP608" i="1" s="1"/>
  <c r="CS952" i="1"/>
  <c r="BY973" i="1"/>
  <c r="CR1453" i="1"/>
  <c r="BY1656" i="1"/>
  <c r="CT156" i="1"/>
  <c r="BY156" i="1"/>
  <c r="BY179" i="1"/>
  <c r="CT179" i="1"/>
  <c r="BY170" i="1"/>
  <c r="CT170" i="1"/>
  <c r="CT138" i="1"/>
  <c r="BY138" i="1"/>
  <c r="BY140" i="1"/>
  <c r="CT140" i="1"/>
  <c r="CQ182" i="1"/>
  <c r="BY182" i="1"/>
  <c r="CP139" i="1"/>
  <c r="CR139" i="1"/>
  <c r="CQ139" i="1"/>
  <c r="CO139" i="1"/>
  <c r="CO173" i="1"/>
  <c r="CT173" i="1"/>
  <c r="CS173" i="1"/>
  <c r="CR173" i="1"/>
  <c r="BY188" i="1"/>
  <c r="CO140" i="1"/>
  <c r="CS140" i="1"/>
  <c r="CR140" i="1"/>
  <c r="CQ140" i="1"/>
  <c r="CQ147" i="1"/>
  <c r="CQ173" i="1"/>
  <c r="CR194" i="1"/>
  <c r="CO189" i="1"/>
  <c r="CT189" i="1"/>
  <c r="CS189" i="1"/>
  <c r="CR189" i="1"/>
  <c r="BY190" i="1"/>
  <c r="CP185" i="1"/>
  <c r="CS197" i="1"/>
  <c r="CT197" i="1"/>
  <c r="CR197" i="1"/>
  <c r="CO142" i="1"/>
  <c r="CT142" i="1"/>
  <c r="CR142" i="1"/>
  <c r="CS142" i="1"/>
  <c r="CQ142" i="1"/>
  <c r="CT143" i="1"/>
  <c r="CR143" i="1"/>
  <c r="CQ143" i="1"/>
  <c r="CS143" i="1"/>
  <c r="CT169" i="1"/>
  <c r="BY200" i="1"/>
  <c r="EP200" i="1" s="1"/>
  <c r="CT200" i="1"/>
  <c r="BY208" i="1"/>
  <c r="CT208" i="1"/>
  <c r="CT888" i="1"/>
  <c r="BY888" i="1"/>
  <c r="CQ138" i="1"/>
  <c r="CR138" i="1"/>
  <c r="CO138" i="1"/>
  <c r="CP138" i="1"/>
  <c r="BY146" i="1"/>
  <c r="CT190" i="1"/>
  <c r="CS190" i="1"/>
  <c r="CR190" i="1"/>
  <c r="CQ195" i="1"/>
  <c r="CS195" i="1"/>
  <c r="CT195" i="1"/>
  <c r="CO149" i="1"/>
  <c r="CT149" i="1"/>
  <c r="CS149" i="1"/>
  <c r="CR149" i="1"/>
  <c r="CR155" i="1"/>
  <c r="CS155" i="1"/>
  <c r="CP155" i="1"/>
  <c r="CO155" i="1"/>
  <c r="CQ155" i="1"/>
  <c r="BY159" i="1"/>
  <c r="CT160" i="1"/>
  <c r="BY160" i="1"/>
  <c r="CP166" i="1"/>
  <c r="CT166" i="1"/>
  <c r="CS166" i="1"/>
  <c r="CV166" i="1" s="1"/>
  <c r="CR180" i="1"/>
  <c r="CO180" i="1"/>
  <c r="CQ180" i="1"/>
  <c r="CP180" i="1"/>
  <c r="CT181" i="1"/>
  <c r="CS181" i="1"/>
  <c r="CR181" i="1"/>
  <c r="CQ181" i="1"/>
  <c r="CR193" i="1"/>
  <c r="CS193" i="1"/>
  <c r="CT193" i="1"/>
  <c r="CQ193" i="1"/>
  <c r="BY631" i="1"/>
  <c r="CT631" i="1"/>
  <c r="CP172" i="1"/>
  <c r="CS172" i="1"/>
  <c r="CR172" i="1"/>
  <c r="CQ172" i="1"/>
  <c r="CT136" i="1"/>
  <c r="CS138" i="1"/>
  <c r="CS182" i="1"/>
  <c r="CT182" i="1"/>
  <c r="CR182" i="1"/>
  <c r="CO190" i="1"/>
  <c r="CO184" i="1"/>
  <c r="CT184" i="1"/>
  <c r="CS184" i="1"/>
  <c r="CR184" i="1"/>
  <c r="CO195" i="1"/>
  <c r="BY127" i="1"/>
  <c r="CT127" i="1"/>
  <c r="CP145" i="1"/>
  <c r="CT145" i="1"/>
  <c r="CQ145" i="1"/>
  <c r="CS145" i="1"/>
  <c r="CR145" i="1"/>
  <c r="CP149" i="1"/>
  <c r="CT155" i="1"/>
  <c r="CQ157" i="1"/>
  <c r="CR157" i="1"/>
  <c r="CT157" i="1"/>
  <c r="CS157" i="1"/>
  <c r="CO159" i="1"/>
  <c r="CT159" i="1"/>
  <c r="CS159" i="1"/>
  <c r="CQ165" i="1"/>
  <c r="CT165" i="1"/>
  <c r="CS165" i="1"/>
  <c r="CV165" i="1" s="1"/>
  <c r="CO166" i="1"/>
  <c r="CS180" i="1"/>
  <c r="CO181" i="1"/>
  <c r="CO193" i="1"/>
  <c r="CP187" i="1"/>
  <c r="CS187" i="1"/>
  <c r="CT187" i="1"/>
  <c r="CR187" i="1"/>
  <c r="BY1013" i="1"/>
  <c r="CT1013" i="1"/>
  <c r="CT192" i="1"/>
  <c r="CS192" i="1"/>
  <c r="CR192" i="1"/>
  <c r="CQ197" i="1"/>
  <c r="CQ198" i="1"/>
  <c r="CS198" i="1"/>
  <c r="CT198" i="1"/>
  <c r="CR198" i="1"/>
  <c r="CT162" i="1"/>
  <c r="CR162" i="1"/>
  <c r="CV162" i="1" s="1"/>
  <c r="CP162" i="1"/>
  <c r="CO162" i="1"/>
  <c r="CQ162" i="1"/>
  <c r="CR175" i="1"/>
  <c r="CS175" i="1"/>
  <c r="CT175" i="1"/>
  <c r="CQ175" i="1"/>
  <c r="CS191" i="1"/>
  <c r="CT191" i="1"/>
  <c r="CR191" i="1"/>
  <c r="CO186" i="1"/>
  <c r="CT186" i="1"/>
  <c r="CS186" i="1"/>
  <c r="CR186" i="1"/>
  <c r="CQ130" i="1"/>
  <c r="BY130" i="1"/>
  <c r="CP158" i="1"/>
  <c r="CR158" i="1"/>
  <c r="CT158" i="1"/>
  <c r="CS158" i="1"/>
  <c r="CS163" i="1"/>
  <c r="CT163" i="1"/>
  <c r="CR163" i="1"/>
  <c r="CQ163" i="1"/>
  <c r="CP163" i="1"/>
  <c r="BY168" i="1"/>
  <c r="CT168" i="1"/>
  <c r="CS174" i="1"/>
  <c r="CT174" i="1"/>
  <c r="CR174" i="1"/>
  <c r="CQ174" i="1"/>
  <c r="CO172" i="1"/>
  <c r="CP186" i="1"/>
  <c r="CT196" i="1"/>
  <c r="CS196" i="1"/>
  <c r="CR196" i="1"/>
  <c r="CO129" i="1"/>
  <c r="CT129" i="1"/>
  <c r="CS129" i="1"/>
  <c r="CR129" i="1"/>
  <c r="CQ129" i="1"/>
  <c r="CT131" i="1"/>
  <c r="CR131" i="1"/>
  <c r="CS131" i="1"/>
  <c r="CQ131" i="1"/>
  <c r="CS134" i="1"/>
  <c r="CR134" i="1"/>
  <c r="CT134" i="1"/>
  <c r="CQ134" i="1"/>
  <c r="CO158" i="1"/>
  <c r="CO163" i="1"/>
  <c r="CR164" i="1"/>
  <c r="CT164" i="1"/>
  <c r="CS164" i="1"/>
  <c r="CQ164" i="1"/>
  <c r="CP164" i="1"/>
  <c r="CT171" i="1"/>
  <c r="CS171" i="1"/>
  <c r="CP171" i="1"/>
  <c r="CR171" i="1"/>
  <c r="CQ171" i="1"/>
  <c r="CO174" i="1"/>
  <c r="CP175" i="1"/>
  <c r="BY178" i="1"/>
  <c r="CS147" i="1"/>
  <c r="CV147" i="1" s="1"/>
  <c r="CT147" i="1"/>
  <c r="CO147" i="1"/>
  <c r="CT172" i="1"/>
  <c r="CP191" i="1"/>
  <c r="CS185" i="1"/>
  <c r="CT185" i="1"/>
  <c r="CR185" i="1"/>
  <c r="CQ186" i="1"/>
  <c r="CO196" i="1"/>
  <c r="CP129" i="1"/>
  <c r="CO131" i="1"/>
  <c r="CO134" i="1"/>
  <c r="CQ135" i="1"/>
  <c r="CS135" i="1"/>
  <c r="CR135" i="1"/>
  <c r="CT135" i="1"/>
  <c r="BY151" i="1"/>
  <c r="CT151" i="1"/>
  <c r="BY152" i="1"/>
  <c r="CT152" i="1"/>
  <c r="CQ158" i="1"/>
  <c r="CO164" i="1"/>
  <c r="BY167" i="1"/>
  <c r="CT167" i="1"/>
  <c r="CP174" i="1"/>
  <c r="CS217" i="1"/>
  <c r="CR217" i="1"/>
  <c r="CT217" i="1"/>
  <c r="CQ217" i="1"/>
  <c r="CP217" i="1"/>
  <c r="CO217" i="1"/>
  <c r="CR984" i="1"/>
  <c r="CT984" i="1"/>
  <c r="CS984" i="1"/>
  <c r="CP984" i="1"/>
  <c r="CO984" i="1"/>
  <c r="CQ194" i="1"/>
  <c r="CT194" i="1"/>
  <c r="CS194" i="1"/>
  <c r="CO191" i="1"/>
  <c r="CS139" i="1"/>
  <c r="CT139" i="1"/>
  <c r="CP147" i="1"/>
  <c r="CQ170" i="1"/>
  <c r="CS170" i="1"/>
  <c r="CR170" i="1"/>
  <c r="CP170" i="1"/>
  <c r="CP173" i="1"/>
  <c r="CT188" i="1"/>
  <c r="CS188" i="1"/>
  <c r="CR188" i="1"/>
  <c r="CP194" i="1"/>
  <c r="CQ191" i="1"/>
  <c r="CQ183" i="1"/>
  <c r="CT183" i="1"/>
  <c r="CS183" i="1"/>
  <c r="CO185" i="1"/>
  <c r="CP196" i="1"/>
  <c r="CP131" i="1"/>
  <c r="CP134" i="1"/>
  <c r="CO135" i="1"/>
  <c r="BY143" i="1"/>
  <c r="CQ144" i="1"/>
  <c r="CT144" i="1"/>
  <c r="CS144" i="1"/>
  <c r="CR144" i="1"/>
  <c r="CP144" i="1"/>
  <c r="CT176" i="1"/>
  <c r="BY176" i="1"/>
  <c r="CT177" i="1"/>
  <c r="BY177" i="1"/>
  <c r="BY204" i="1"/>
  <c r="BY992" i="1"/>
  <c r="CT992" i="1"/>
  <c r="BY161" i="1"/>
  <c r="BY166" i="1"/>
  <c r="CQ169" i="1"/>
  <c r="CS229" i="1"/>
  <c r="CR229" i="1"/>
  <c r="CT229" i="1"/>
  <c r="CQ229" i="1"/>
  <c r="CP229" i="1"/>
  <c r="CO229" i="1"/>
  <c r="BY231" i="1"/>
  <c r="CS235" i="1"/>
  <c r="CR235" i="1"/>
  <c r="CT235" i="1"/>
  <c r="CP235" i="1"/>
  <c r="CO235" i="1"/>
  <c r="CQ235" i="1"/>
  <c r="BY244" i="1"/>
  <c r="CT244" i="1"/>
  <c r="BY624" i="1"/>
  <c r="CR619" i="1"/>
  <c r="CV619" i="1" s="1"/>
  <c r="CT621" i="1"/>
  <c r="CO616" i="1"/>
  <c r="CT616" i="1"/>
  <c r="CR616" i="1"/>
  <c r="CV616" i="1" s="1"/>
  <c r="CP616" i="1"/>
  <c r="CT855" i="1"/>
  <c r="BY873" i="1"/>
  <c r="BN927" i="1"/>
  <c r="BO927" i="1" s="1"/>
  <c r="BY927" i="1" s="1"/>
  <c r="CN927" i="1"/>
  <c r="BM927" i="1"/>
  <c r="BV966" i="1"/>
  <c r="BX966" i="1" s="1"/>
  <c r="CS966" i="1"/>
  <c r="BU966" i="1"/>
  <c r="CN967" i="1"/>
  <c r="BY983" i="1"/>
  <c r="CN982" i="1"/>
  <c r="BY1313" i="1"/>
  <c r="CT1313" i="1"/>
  <c r="BY206" i="1"/>
  <c r="CS230" i="1"/>
  <c r="CR230" i="1"/>
  <c r="CT230" i="1"/>
  <c r="CP230" i="1"/>
  <c r="CO230" i="1"/>
  <c r="CQ230" i="1"/>
  <c r="CQ265" i="1"/>
  <c r="CT260" i="1"/>
  <c r="CS260" i="1"/>
  <c r="CR260" i="1"/>
  <c r="CQ260" i="1"/>
  <c r="CP260" i="1"/>
  <c r="BY504" i="1"/>
  <c r="CT622" i="1"/>
  <c r="CS622" i="1"/>
  <c r="CR622" i="1"/>
  <c r="CP610" i="1"/>
  <c r="CO610" i="1"/>
  <c r="CR610" i="1"/>
  <c r="CT610" i="1"/>
  <c r="CS610" i="1"/>
  <c r="CT856" i="1"/>
  <c r="BY856" i="1"/>
  <c r="CQ874" i="1"/>
  <c r="CP874" i="1"/>
  <c r="CR874" i="1"/>
  <c r="CV874" i="1" s="1"/>
  <c r="CO874" i="1"/>
  <c r="BY889" i="1"/>
  <c r="CT935" i="1"/>
  <c r="CU935" i="1" s="1"/>
  <c r="BY1046" i="1"/>
  <c r="CQ1046" i="1"/>
  <c r="CU1046" i="1" s="1"/>
  <c r="CT1064" i="1"/>
  <c r="CS223" i="1"/>
  <c r="CR223" i="1"/>
  <c r="CT223" i="1"/>
  <c r="CP223" i="1"/>
  <c r="CQ223" i="1"/>
  <c r="CO223" i="1"/>
  <c r="BY270" i="1"/>
  <c r="CT270" i="1"/>
  <c r="CT254" i="1"/>
  <c r="CS254" i="1"/>
  <c r="CR254" i="1"/>
  <c r="CQ254" i="1"/>
  <c r="CP266" i="1"/>
  <c r="CO266" i="1"/>
  <c r="CR266" i="1"/>
  <c r="CQ266" i="1"/>
  <c r="CS634" i="1"/>
  <c r="CR634" i="1"/>
  <c r="CT634" i="1"/>
  <c r="CQ634" i="1"/>
  <c r="CP634" i="1"/>
  <c r="CS627" i="1"/>
  <c r="CR627" i="1"/>
  <c r="CT627" i="1"/>
  <c r="CP627" i="1"/>
  <c r="CQ627" i="1"/>
  <c r="CO627" i="1"/>
  <c r="BY607" i="1"/>
  <c r="CT607" i="1"/>
  <c r="CP609" i="1"/>
  <c r="CS609" i="1"/>
  <c r="CR609" i="1"/>
  <c r="CO609" i="1"/>
  <c r="CR824" i="1"/>
  <c r="CQ824" i="1"/>
  <c r="CS824" i="1"/>
  <c r="CT824" i="1"/>
  <c r="CP824" i="1"/>
  <c r="CS902" i="1"/>
  <c r="CR902" i="1"/>
  <c r="CT902" i="1"/>
  <c r="CQ902" i="1"/>
  <c r="CP902" i="1"/>
  <c r="CO902" i="1"/>
  <c r="CT892" i="1"/>
  <c r="CS892" i="1"/>
  <c r="CR892" i="1"/>
  <c r="CQ892" i="1"/>
  <c r="CQ895" i="1"/>
  <c r="CP895" i="1"/>
  <c r="CT895" i="1"/>
  <c r="CT889" i="1"/>
  <c r="CQ889" i="1"/>
  <c r="CP889" i="1"/>
  <c r="CS889" i="1"/>
  <c r="CR889" i="1"/>
  <c r="CO889" i="1"/>
  <c r="CT990" i="1"/>
  <c r="CT1004" i="1"/>
  <c r="CS1004" i="1"/>
  <c r="CP1004" i="1"/>
  <c r="CO1004" i="1"/>
  <c r="CR1004" i="1"/>
  <c r="CQ1004" i="1"/>
  <c r="BY1153" i="1"/>
  <c r="CT1153" i="1"/>
  <c r="CS237" i="1"/>
  <c r="CR237" i="1"/>
  <c r="CT237" i="1"/>
  <c r="CP237" i="1"/>
  <c r="CO237" i="1"/>
  <c r="CQ237" i="1"/>
  <c r="CS215" i="1"/>
  <c r="CR215" i="1"/>
  <c r="CT215" i="1"/>
  <c r="CO215" i="1"/>
  <c r="CQ215" i="1"/>
  <c r="CP215" i="1"/>
  <c r="CO254" i="1"/>
  <c r="BY243" i="1"/>
  <c r="CS266" i="1"/>
  <c r="CR505" i="1"/>
  <c r="CQ505" i="1"/>
  <c r="CT505" i="1"/>
  <c r="CS505" i="1"/>
  <c r="CO634" i="1"/>
  <c r="BN609" i="1"/>
  <c r="BO609" i="1" s="1"/>
  <c r="CQ609" i="1" s="1"/>
  <c r="CT651" i="1"/>
  <c r="CS651" i="1"/>
  <c r="CR651" i="1"/>
  <c r="CO824" i="1"/>
  <c r="BY901" i="1"/>
  <c r="CT901" i="1"/>
  <c r="CO892" i="1"/>
  <c r="BY903" i="1"/>
  <c r="CT903" i="1"/>
  <c r="CT896" i="1"/>
  <c r="CS896" i="1"/>
  <c r="CR896" i="1"/>
  <c r="CQ896" i="1"/>
  <c r="CS894" i="1"/>
  <c r="CR894" i="1"/>
  <c r="CT894" i="1"/>
  <c r="CQ894" i="1"/>
  <c r="CO895" i="1"/>
  <c r="BY1206" i="1"/>
  <c r="CT1206" i="1"/>
  <c r="BY202" i="1"/>
  <c r="BY228" i="1"/>
  <c r="CS234" i="1"/>
  <c r="CR234" i="1"/>
  <c r="CT234" i="1"/>
  <c r="CP234" i="1"/>
  <c r="CQ234" i="1"/>
  <c r="CO234" i="1"/>
  <c r="BY232" i="1"/>
  <c r="CP254" i="1"/>
  <c r="CP243" i="1"/>
  <c r="CO243" i="1"/>
  <c r="CT243" i="1"/>
  <c r="CS243" i="1"/>
  <c r="CV243" i="1" s="1"/>
  <c r="CT266" i="1"/>
  <c r="CO505" i="1"/>
  <c r="BY635" i="1"/>
  <c r="CT613" i="1"/>
  <c r="BU825" i="1"/>
  <c r="CP892" i="1"/>
  <c r="CO896" i="1"/>
  <c r="CQ893" i="1"/>
  <c r="CP893" i="1"/>
  <c r="CT893" i="1"/>
  <c r="CO894" i="1"/>
  <c r="CR895" i="1"/>
  <c r="CN977" i="1"/>
  <c r="BN977" i="1"/>
  <c r="BO977" i="1" s="1"/>
  <c r="BY977" i="1" s="1"/>
  <c r="BY989" i="1"/>
  <c r="CT989" i="1"/>
  <c r="BY1065" i="1"/>
  <c r="CT1065" i="1"/>
  <c r="BY1084" i="1"/>
  <c r="CT1084" i="1"/>
  <c r="BY203" i="1"/>
  <c r="CT203" i="1"/>
  <c r="CS224" i="1"/>
  <c r="CR224" i="1"/>
  <c r="CT224" i="1"/>
  <c r="CP224" i="1"/>
  <c r="CO224" i="1"/>
  <c r="CQ224" i="1"/>
  <c r="BY225" i="1"/>
  <c r="CS227" i="1"/>
  <c r="CR227" i="1"/>
  <c r="CT227" i="1"/>
  <c r="CP227" i="1"/>
  <c r="CQ227" i="1"/>
  <c r="CO227" i="1"/>
  <c r="CQ245" i="1"/>
  <c r="CT245" i="1"/>
  <c r="CR245" i="1"/>
  <c r="CS245" i="1"/>
  <c r="CQ264" i="1"/>
  <c r="BY248" i="1"/>
  <c r="CT248" i="1"/>
  <c r="CP505" i="1"/>
  <c r="BY628" i="1"/>
  <c r="CT628" i="1"/>
  <c r="CS625" i="1"/>
  <c r="CR625" i="1"/>
  <c r="CT625" i="1"/>
  <c r="BY617" i="1"/>
  <c r="CP619" i="1"/>
  <c r="CO619" i="1"/>
  <c r="BY618" i="1"/>
  <c r="BY825" i="1"/>
  <c r="CS871" i="1"/>
  <c r="CR871" i="1"/>
  <c r="CT871" i="1"/>
  <c r="BY891" i="1"/>
  <c r="BY897" i="1"/>
  <c r="CT897" i="1"/>
  <c r="CS895" i="1"/>
  <c r="BY933" i="1"/>
  <c r="CT933" i="1"/>
  <c r="CU933" i="1" s="1"/>
  <c r="CT952" i="1"/>
  <c r="BV976" i="1"/>
  <c r="BX976" i="1" s="1"/>
  <c r="BU976" i="1"/>
  <c r="CP1005" i="1"/>
  <c r="CO1005" i="1"/>
  <c r="CT1005" i="1"/>
  <c r="CS1005" i="1"/>
  <c r="CQ1005" i="1"/>
  <c r="BY1068" i="1"/>
  <c r="CT1068" i="1"/>
  <c r="CS211" i="1"/>
  <c r="CR211" i="1"/>
  <c r="CT211" i="1"/>
  <c r="CP211" i="1"/>
  <c r="CQ211" i="1"/>
  <c r="CO211" i="1"/>
  <c r="CS219" i="1"/>
  <c r="CR219" i="1"/>
  <c r="CT219" i="1"/>
  <c r="CQ219" i="1"/>
  <c r="CP219" i="1"/>
  <c r="CO219" i="1"/>
  <c r="BY246" i="1"/>
  <c r="CO245" i="1"/>
  <c r="CS267" i="1"/>
  <c r="CR267" i="1"/>
  <c r="CQ267" i="1"/>
  <c r="CP267" i="1"/>
  <c r="CT267" i="1"/>
  <c r="CO267" i="1"/>
  <c r="CR257" i="1"/>
  <c r="CQ257" i="1"/>
  <c r="CS257" i="1"/>
  <c r="CP257" i="1"/>
  <c r="CS255" i="1"/>
  <c r="CR255" i="1"/>
  <c r="CT255" i="1"/>
  <c r="CO255" i="1"/>
  <c r="CQ255" i="1"/>
  <c r="CP255" i="1"/>
  <c r="CS358" i="1"/>
  <c r="CR358" i="1"/>
  <c r="CT358" i="1"/>
  <c r="CO358" i="1"/>
  <c r="CQ358" i="1"/>
  <c r="CP358" i="1"/>
  <c r="BY633" i="1"/>
  <c r="CT637" i="1"/>
  <c r="CO625" i="1"/>
  <c r="BN619" i="1"/>
  <c r="BO619" i="1" s="1"/>
  <c r="CQ619" i="1" s="1"/>
  <c r="CT609" i="1"/>
  <c r="CO871" i="1"/>
  <c r="BY899" i="1"/>
  <c r="BV978" i="1"/>
  <c r="BX978" i="1" s="1"/>
  <c r="CR1005" i="1"/>
  <c r="BY1047" i="1"/>
  <c r="CQ1047" i="1"/>
  <c r="BY132" i="1"/>
  <c r="CT132" i="1"/>
  <c r="BY133" i="1"/>
  <c r="CS154" i="1"/>
  <c r="CR154" i="1"/>
  <c r="CP154" i="1"/>
  <c r="CQ154" i="1"/>
  <c r="CO154" i="1"/>
  <c r="CO204" i="1"/>
  <c r="CT204" i="1"/>
  <c r="CS204" i="1"/>
  <c r="CV204" i="1" s="1"/>
  <c r="BY205" i="1"/>
  <c r="CT205" i="1"/>
  <c r="CT209" i="1"/>
  <c r="CQ209" i="1"/>
  <c r="CS209" i="1"/>
  <c r="CR209" i="1"/>
  <c r="BY233" i="1"/>
  <c r="CS240" i="1"/>
  <c r="CR240" i="1"/>
  <c r="CT240" i="1"/>
  <c r="CO240" i="1"/>
  <c r="CQ240" i="1"/>
  <c r="CP240" i="1"/>
  <c r="BY236" i="1"/>
  <c r="CS221" i="1"/>
  <c r="CR221" i="1"/>
  <c r="CT221" i="1"/>
  <c r="CP221" i="1"/>
  <c r="CQ221" i="1"/>
  <c r="CO221" i="1"/>
  <c r="CP246" i="1"/>
  <c r="CR246" i="1"/>
  <c r="CQ246" i="1"/>
  <c r="CP245" i="1"/>
  <c r="CO257" i="1"/>
  <c r="CT253" i="1"/>
  <c r="CS253" i="1"/>
  <c r="CQ253" i="1"/>
  <c r="CP253" i="1"/>
  <c r="CR253" i="1"/>
  <c r="BY250" i="1"/>
  <c r="CQ250" i="1"/>
  <c r="CS263" i="1"/>
  <c r="CR263" i="1"/>
  <c r="CQ263" i="1"/>
  <c r="CP263" i="1"/>
  <c r="CP625" i="1"/>
  <c r="CT873" i="1"/>
  <c r="CP871" i="1"/>
  <c r="CS893" i="1"/>
  <c r="CT936" i="1"/>
  <c r="CU936" i="1" s="1"/>
  <c r="CS936" i="1"/>
  <c r="CV936" i="1" s="1"/>
  <c r="BN979" i="1"/>
  <c r="BO979" i="1" s="1"/>
  <c r="BY979" i="1" s="1"/>
  <c r="BY1042" i="1"/>
  <c r="CT1042" i="1"/>
  <c r="BY1044" i="1"/>
  <c r="CP1063" i="1"/>
  <c r="CO1063" i="1"/>
  <c r="CT1063" i="1"/>
  <c r="CQ1063" i="1"/>
  <c r="CR1063" i="1"/>
  <c r="CS1063" i="1"/>
  <c r="CP269" i="1"/>
  <c r="CR269" i="1"/>
  <c r="CQ269" i="1"/>
  <c r="CT632" i="1"/>
  <c r="CS632" i="1"/>
  <c r="CQ632" i="1"/>
  <c r="CP632" i="1"/>
  <c r="CT614" i="1"/>
  <c r="CS614" i="1"/>
  <c r="CR614" i="1"/>
  <c r="CP825" i="1"/>
  <c r="CO825" i="1"/>
  <c r="CT891" i="1"/>
  <c r="BY898" i="1"/>
  <c r="BN929" i="1"/>
  <c r="BO929" i="1" s="1"/>
  <c r="BY929" i="1" s="1"/>
  <c r="BM929" i="1"/>
  <c r="BN984" i="1"/>
  <c r="BO984" i="1" s="1"/>
  <c r="BY984" i="1" s="1"/>
  <c r="BY1088" i="1"/>
  <c r="BY1208" i="1"/>
  <c r="CT1208" i="1"/>
  <c r="CT1453" i="1"/>
  <c r="BY1453" i="1"/>
  <c r="CO141" i="1"/>
  <c r="CO153" i="1"/>
  <c r="CT210" i="1"/>
  <c r="CS210" i="1"/>
  <c r="CV210" i="1" s="1"/>
  <c r="CT220" i="1"/>
  <c r="CQ262" i="1"/>
  <c r="CT262" i="1"/>
  <c r="CT265" i="1"/>
  <c r="CS265" i="1"/>
  <c r="CV265" i="1" s="1"/>
  <c r="CQ251" i="1"/>
  <c r="CP251" i="1"/>
  <c r="CT251" i="1"/>
  <c r="CS251" i="1"/>
  <c r="BN611" i="1"/>
  <c r="BO611" i="1" s="1"/>
  <c r="CQ611" i="1" s="1"/>
  <c r="CT611" i="1"/>
  <c r="CO886" i="1"/>
  <c r="CT898" i="1"/>
  <c r="CR898" i="1"/>
  <c r="CV898" i="1" s="1"/>
  <c r="CQ898" i="1"/>
  <c r="BY1086" i="1"/>
  <c r="BY1081" i="1"/>
  <c r="CT148" i="1"/>
  <c r="CO150" i="1"/>
  <c r="CO156" i="1"/>
  <c r="CP137" i="1"/>
  <c r="CP141" i="1"/>
  <c r="CO161" i="1"/>
  <c r="CP169" i="1"/>
  <c r="CQ207" i="1"/>
  <c r="CP207" i="1"/>
  <c r="CO210" i="1"/>
  <c r="CS269" i="1"/>
  <c r="CO262" i="1"/>
  <c r="CO265" i="1"/>
  <c r="BY259" i="1"/>
  <c r="CO251" i="1"/>
  <c r="CS504" i="1"/>
  <c r="CR504" i="1"/>
  <c r="CP504" i="1"/>
  <c r="CO504" i="1"/>
  <c r="CR632" i="1"/>
  <c r="CT620" i="1"/>
  <c r="CS620" i="1"/>
  <c r="CV620" i="1" s="1"/>
  <c r="CP613" i="1"/>
  <c r="CO613" i="1"/>
  <c r="CS613" i="1"/>
  <c r="CR613" i="1"/>
  <c r="CR825" i="1"/>
  <c r="CO898" i="1"/>
  <c r="CR930" i="1"/>
  <c r="CT932" i="1"/>
  <c r="CU932" i="1" s="1"/>
  <c r="CT928" i="1"/>
  <c r="CP928" i="1"/>
  <c r="CO928" i="1"/>
  <c r="BY953" i="1"/>
  <c r="CT953" i="1"/>
  <c r="BY1083" i="1"/>
  <c r="CT1083" i="1"/>
  <c r="BY1082" i="1"/>
  <c r="CT1082" i="1"/>
  <c r="BY1067" i="1"/>
  <c r="BY1341" i="1"/>
  <c r="CQ1341" i="1"/>
  <c r="BY1637" i="1"/>
  <c r="CT1637" i="1"/>
  <c r="CT153" i="1"/>
  <c r="BY264" i="1"/>
  <c r="CP252" i="1"/>
  <c r="CO252" i="1"/>
  <c r="BY249" i="1"/>
  <c r="CS886" i="1"/>
  <c r="CR886" i="1"/>
  <c r="CT886" i="1"/>
  <c r="CP975" i="1"/>
  <c r="CO975" i="1"/>
  <c r="BY991" i="1"/>
  <c r="CT991" i="1"/>
  <c r="CT133" i="1"/>
  <c r="CO137" i="1"/>
  <c r="CO169" i="1"/>
  <c r="CO269" i="1"/>
  <c r="BY258" i="1"/>
  <c r="BY241" i="1"/>
  <c r="CP264" i="1"/>
  <c r="CO264" i="1"/>
  <c r="CQ252" i="1"/>
  <c r="CP630" i="1"/>
  <c r="CO630" i="1"/>
  <c r="CT630" i="1"/>
  <c r="CO632" i="1"/>
  <c r="CS636" i="1"/>
  <c r="CR636" i="1"/>
  <c r="CT636" i="1"/>
  <c r="BN614" i="1"/>
  <c r="BO614" i="1" s="1"/>
  <c r="CQ825" i="1"/>
  <c r="BV967" i="1"/>
  <c r="BX967" i="1" s="1"/>
  <c r="BU967" i="1"/>
  <c r="CP1050" i="1"/>
  <c r="CO1050" i="1"/>
  <c r="CS1050" i="1"/>
  <c r="CR1050" i="1"/>
  <c r="CQ1050" i="1"/>
  <c r="BY1342" i="1"/>
  <c r="EP1342" i="1" s="1"/>
  <c r="CQ1342" i="1"/>
  <c r="CU1342" i="1" s="1"/>
  <c r="BY147" i="1"/>
  <c r="CP150" i="1"/>
  <c r="CP156" i="1"/>
  <c r="CP133" i="1"/>
  <c r="CQ137" i="1"/>
  <c r="CQ141" i="1"/>
  <c r="CQ153" i="1"/>
  <c r="CQ176" i="1"/>
  <c r="CQ203" i="1"/>
  <c r="CP210" i="1"/>
  <c r="CS239" i="1"/>
  <c r="CR239" i="1"/>
  <c r="CS233" i="1"/>
  <c r="CR233" i="1"/>
  <c r="CS228" i="1"/>
  <c r="CR228" i="1"/>
  <c r="CS216" i="1"/>
  <c r="CR216" i="1"/>
  <c r="CS214" i="1"/>
  <c r="CR214" i="1"/>
  <c r="CS238" i="1"/>
  <c r="CR238" i="1"/>
  <c r="CS231" i="1"/>
  <c r="CR231" i="1"/>
  <c r="CS225" i="1"/>
  <c r="CR225" i="1"/>
  <c r="CS218" i="1"/>
  <c r="CR218" i="1"/>
  <c r="CS236" i="1"/>
  <c r="CR236" i="1"/>
  <c r="CS232" i="1"/>
  <c r="CR232" i="1"/>
  <c r="CS226" i="1"/>
  <c r="CR226" i="1"/>
  <c r="CS222" i="1"/>
  <c r="CR222" i="1"/>
  <c r="CT269" i="1"/>
  <c r="CP262" i="1"/>
  <c r="CS256" i="1"/>
  <c r="CR256" i="1"/>
  <c r="CQ256" i="1"/>
  <c r="CP265" i="1"/>
  <c r="CR264" i="1"/>
  <c r="CV264" i="1" s="1"/>
  <c r="CQ259" i="1"/>
  <c r="CP259" i="1"/>
  <c r="CS252" i="1"/>
  <c r="CV252" i="1" s="1"/>
  <c r="CR251" i="1"/>
  <c r="CR630" i="1"/>
  <c r="BY622" i="1"/>
  <c r="CO620" i="1"/>
  <c r="CP636" i="1"/>
  <c r="CS825" i="1"/>
  <c r="CO890" i="1"/>
  <c r="CQ886" i="1"/>
  <c r="BY893" i="1"/>
  <c r="CP898" i="1"/>
  <c r="CS887" i="1"/>
  <c r="CR887" i="1"/>
  <c r="CQ887" i="1"/>
  <c r="CP887" i="1"/>
  <c r="CS930" i="1"/>
  <c r="CR932" i="1"/>
  <c r="CV932" i="1" s="1"/>
  <c r="CS975" i="1"/>
  <c r="CV975" i="1" s="1"/>
  <c r="CT1043" i="1"/>
  <c r="CS1043" i="1"/>
  <c r="CR1043" i="1"/>
  <c r="BY1066" i="1"/>
  <c r="BY1077" i="1"/>
  <c r="CT1077" i="1"/>
  <c r="CQ1707" i="1"/>
  <c r="BY1707" i="1"/>
  <c r="BM1158" i="1"/>
  <c r="BN1158" i="1"/>
  <c r="BO1158" i="1" s="1"/>
  <c r="BY1158" i="1" s="1"/>
  <c r="BN1160" i="1"/>
  <c r="BO1160" i="1" s="1"/>
  <c r="BM1160" i="1"/>
  <c r="CS1204" i="1"/>
  <c r="CR1204" i="1"/>
  <c r="CT1204" i="1"/>
  <c r="CP1203" i="1"/>
  <c r="CO1203" i="1"/>
  <c r="CQ1314" i="1"/>
  <c r="BY1312" i="1"/>
  <c r="BY1725" i="1"/>
  <c r="CT1725" i="1"/>
  <c r="CU1725" i="1" s="1"/>
  <c r="CP1051" i="1"/>
  <c r="CO1051" i="1"/>
  <c r="BY1071" i="1"/>
  <c r="CT1071" i="1"/>
  <c r="BY1074" i="1"/>
  <c r="CT1074" i="1"/>
  <c r="CT1085" i="1"/>
  <c r="CQ1142" i="1"/>
  <c r="CP1142" i="1"/>
  <c r="CR1146" i="1"/>
  <c r="CQ1146" i="1"/>
  <c r="CP1146" i="1"/>
  <c r="CO1146" i="1"/>
  <c r="CR1213" i="1"/>
  <c r="CV1213" i="1" s="1"/>
  <c r="CO1204" i="1"/>
  <c r="CQ1203" i="1"/>
  <c r="BE1345" i="1" a="1"/>
  <c r="BE1345" i="1" s="1"/>
  <c r="BN1348" i="1"/>
  <c r="BO1348" i="1" s="1"/>
  <c r="CP1457" i="1"/>
  <c r="CT1457" i="1"/>
  <c r="CS1457" i="1"/>
  <c r="CR1457" i="1"/>
  <c r="BY1519" i="1"/>
  <c r="BY1520" i="1"/>
  <c r="CR1636" i="1"/>
  <c r="CT1636" i="1"/>
  <c r="CS1636" i="1"/>
  <c r="CP1636" i="1"/>
  <c r="CO1636" i="1"/>
  <c r="BY1634" i="1"/>
  <c r="CT1634" i="1"/>
  <c r="BY1640" i="1"/>
  <c r="CQ1640" i="1"/>
  <c r="BY1686" i="1"/>
  <c r="CT1686" i="1"/>
  <c r="BY1709" i="1"/>
  <c r="BY1075" i="1"/>
  <c r="CT1075" i="1"/>
  <c r="BE1077" i="1" a="1"/>
  <c r="BE1077" i="1" s="1"/>
  <c r="CT1073" i="1"/>
  <c r="CT1144" i="1"/>
  <c r="CS1144" i="1"/>
  <c r="CV1144" i="1" s="1"/>
  <c r="CT1145" i="1"/>
  <c r="CP1145" i="1"/>
  <c r="CO1145" i="1"/>
  <c r="CS1147" i="1"/>
  <c r="CR1147" i="1"/>
  <c r="CT1147" i="1"/>
  <c r="CQ1147" i="1"/>
  <c r="CP1147" i="1"/>
  <c r="CT1150" i="1"/>
  <c r="CS1150" i="1"/>
  <c r="CR1150" i="1"/>
  <c r="CP1204" i="1"/>
  <c r="CR1203" i="1"/>
  <c r="CS1212" i="1"/>
  <c r="CR1212" i="1"/>
  <c r="CQ1212" i="1"/>
  <c r="CP1212" i="1"/>
  <c r="CQ1445" i="1"/>
  <c r="CP1445" i="1"/>
  <c r="CT1445" i="1"/>
  <c r="CS1445" i="1"/>
  <c r="CR1445" i="1"/>
  <c r="BY1454" i="1"/>
  <c r="BY1577" i="1"/>
  <c r="BY1629" i="1"/>
  <c r="CO1715" i="1"/>
  <c r="CS1715" i="1"/>
  <c r="CR1715" i="1"/>
  <c r="CT1715" i="1"/>
  <c r="CQ1715" i="1"/>
  <c r="CP1715" i="1"/>
  <c r="BY1698" i="1"/>
  <c r="CT1698" i="1"/>
  <c r="BN1164" i="1"/>
  <c r="BO1164" i="1" s="1"/>
  <c r="BY1164" i="1" s="1"/>
  <c r="EP1164" i="1" s="1"/>
  <c r="BM1164" i="1"/>
  <c r="CN1158" i="1"/>
  <c r="CQ1204" i="1"/>
  <c r="CS1203" i="1"/>
  <c r="CQ1340" i="1"/>
  <c r="CT1461" i="1"/>
  <c r="CU1461" i="1" s="1"/>
  <c r="CS1461" i="1"/>
  <c r="CR1461" i="1"/>
  <c r="CQ1450" i="1"/>
  <c r="CP1450" i="1"/>
  <c r="CS1450" i="1"/>
  <c r="CR1450" i="1"/>
  <c r="CT1576" i="1"/>
  <c r="CS1576" i="1"/>
  <c r="CO1638" i="1"/>
  <c r="CR1638" i="1"/>
  <c r="CQ1638" i="1"/>
  <c r="CS1638" i="1"/>
  <c r="CP1638" i="1"/>
  <c r="CQ1649" i="1"/>
  <c r="BY1647" i="1"/>
  <c r="CT1648" i="1"/>
  <c r="CS1648" i="1"/>
  <c r="CR1648" i="1"/>
  <c r="CT1654" i="1"/>
  <c r="CP1687" i="1"/>
  <c r="CO1687" i="1"/>
  <c r="CS1687" i="1"/>
  <c r="CR1687" i="1"/>
  <c r="BY1704" i="1"/>
  <c r="CS1742" i="1"/>
  <c r="CR1742" i="1"/>
  <c r="CT1742" i="1"/>
  <c r="CU1742" i="1" s="1"/>
  <c r="CS1459" i="1"/>
  <c r="BY1456" i="1"/>
  <c r="CT1456" i="1"/>
  <c r="CQ1447" i="1"/>
  <c r="CT1566" i="1"/>
  <c r="CS1566" i="1"/>
  <c r="CV1566" i="1" s="1"/>
  <c r="CP1566" i="1"/>
  <c r="CO1566" i="1"/>
  <c r="CQ1642" i="1"/>
  <c r="CP1642" i="1"/>
  <c r="CO1642" i="1"/>
  <c r="CT1642" i="1"/>
  <c r="CP1630" i="1"/>
  <c r="CQ1630" i="1"/>
  <c r="CO1630" i="1"/>
  <c r="CT1658" i="1"/>
  <c r="BY1710" i="1"/>
  <c r="CQ1710" i="1"/>
  <c r="CT1693" i="1"/>
  <c r="CP1700" i="1"/>
  <c r="CS1700" i="1"/>
  <c r="CR1700" i="1"/>
  <c r="CT1700" i="1"/>
  <c r="CQ1700" i="1"/>
  <c r="BY1697" i="1"/>
  <c r="CT1697" i="1"/>
  <c r="CN1160" i="1"/>
  <c r="BV1211" i="1"/>
  <c r="BX1211" i="1" s="1"/>
  <c r="BY1211" i="1" s="1"/>
  <c r="BU1211" i="1"/>
  <c r="CP1446" i="1"/>
  <c r="CR1446" i="1"/>
  <c r="CQ1446" i="1"/>
  <c r="CS1446" i="1"/>
  <c r="CO1446" i="1"/>
  <c r="CQ1455" i="1"/>
  <c r="CP1455" i="1"/>
  <c r="CS1455" i="1"/>
  <c r="CR1455" i="1"/>
  <c r="CQ1566" i="1"/>
  <c r="CQ1575" i="1"/>
  <c r="CT1578" i="1"/>
  <c r="CP1578" i="1"/>
  <c r="CO1578" i="1"/>
  <c r="CS1578" i="1"/>
  <c r="CR1578" i="1"/>
  <c r="CQ1578" i="1"/>
  <c r="CS1632" i="1"/>
  <c r="CT1632" i="1"/>
  <c r="CR1632" i="1"/>
  <c r="CR1642" i="1"/>
  <c r="CV1642" i="1" s="1"/>
  <c r="CR1630" i="1"/>
  <c r="CV1630" i="1" s="1"/>
  <c r="CT1661" i="1"/>
  <c r="BY1661" i="1"/>
  <c r="CS1734" i="1"/>
  <c r="CR1734" i="1"/>
  <c r="CT1687" i="1"/>
  <c r="CO1700" i="1"/>
  <c r="CS1211" i="1"/>
  <c r="CR1211" i="1"/>
  <c r="BN1346" i="1"/>
  <c r="BO1346" i="1" s="1"/>
  <c r="BY1346" i="1" s="1"/>
  <c r="CN1346" i="1"/>
  <c r="BU1462" i="1"/>
  <c r="CS1462" i="1"/>
  <c r="CV1462" i="1" s="1"/>
  <c r="CQ1452" i="1"/>
  <c r="CP1452" i="1"/>
  <c r="CT1452" i="1"/>
  <c r="CS1444" i="1"/>
  <c r="CQ1444" i="1"/>
  <c r="CP1444" i="1"/>
  <c r="CT1444" i="1"/>
  <c r="CR1444" i="1"/>
  <c r="CO1444" i="1"/>
  <c r="CQ1648" i="1"/>
  <c r="CT1653" i="1"/>
  <c r="BY1653" i="1"/>
  <c r="BY1713" i="1"/>
  <c r="BY1079" i="1"/>
  <c r="BN1161" i="1"/>
  <c r="BO1161" i="1" s="1"/>
  <c r="BM1161" i="1"/>
  <c r="CP1213" i="1"/>
  <c r="CO1213" i="1"/>
  <c r="CT1213" i="1"/>
  <c r="CO1211" i="1"/>
  <c r="BU1205" i="1"/>
  <c r="BY1210" i="1"/>
  <c r="BN1345" i="1"/>
  <c r="BO1345" i="1" s="1"/>
  <c r="BY1345" i="1" s="1"/>
  <c r="BE1346" i="1" a="1"/>
  <c r="BE1346" i="1" s="1"/>
  <c r="CR1460" i="1"/>
  <c r="BY1458" i="1"/>
  <c r="CT1455" i="1"/>
  <c r="CO1452" i="1"/>
  <c r="BY1521" i="1"/>
  <c r="CR1576" i="1"/>
  <c r="CP1632" i="1"/>
  <c r="CT1630" i="1"/>
  <c r="BY1657" i="1"/>
  <c r="CT1657" i="1"/>
  <c r="CT1717" i="1"/>
  <c r="CU1717" i="1" s="1"/>
  <c r="CS1717" i="1"/>
  <c r="CV1717" i="1" s="1"/>
  <c r="CT1714" i="1"/>
  <c r="CS1714" i="1"/>
  <c r="CR1714" i="1"/>
  <c r="CQ1714" i="1"/>
  <c r="CP1714" i="1"/>
  <c r="CO1714" i="1"/>
  <c r="CQ901" i="1"/>
  <c r="CP901" i="1"/>
  <c r="CP952" i="1"/>
  <c r="CN978" i="1"/>
  <c r="CO972" i="1"/>
  <c r="CT972" i="1"/>
  <c r="CR1003" i="1"/>
  <c r="CQ1003" i="1"/>
  <c r="CT1003" i="1"/>
  <c r="CS1003" i="1"/>
  <c r="BY1090" i="1"/>
  <c r="BY1070" i="1"/>
  <c r="CT1070" i="1"/>
  <c r="BY1078" i="1"/>
  <c r="CS1143" i="1"/>
  <c r="CR1143" i="1"/>
  <c r="CP1143" i="1"/>
  <c r="CO1143" i="1"/>
  <c r="CT1209" i="1"/>
  <c r="CS1209" i="1"/>
  <c r="CV1209" i="1" s="1"/>
  <c r="CP1209" i="1"/>
  <c r="CO1209" i="1"/>
  <c r="CR1210" i="1"/>
  <c r="CQ1210" i="1"/>
  <c r="CR1423" i="1"/>
  <c r="CV1423" i="1" s="1"/>
  <c r="CQ1423" i="1"/>
  <c r="CQ1645" i="1"/>
  <c r="CS1645" i="1"/>
  <c r="CR1645" i="1"/>
  <c r="CP1645" i="1"/>
  <c r="CO1645" i="1"/>
  <c r="BY1735" i="1"/>
  <c r="CT1735" i="1"/>
  <c r="CU1735" i="1" s="1"/>
  <c r="BY1743" i="1"/>
  <c r="CT1743" i="1"/>
  <c r="CU1743" i="1" s="1"/>
  <c r="CP633" i="1"/>
  <c r="CO633" i="1"/>
  <c r="CS624" i="1"/>
  <c r="CR624" i="1"/>
  <c r="CS635" i="1"/>
  <c r="CR635" i="1"/>
  <c r="CS637" i="1"/>
  <c r="CR637" i="1"/>
  <c r="CS612" i="1"/>
  <c r="CR612" i="1"/>
  <c r="CR249" i="1"/>
  <c r="CQ249" i="1"/>
  <c r="CT261" i="1"/>
  <c r="CS261" i="1"/>
  <c r="CV261" i="1" s="1"/>
  <c r="CQ633" i="1"/>
  <c r="CT629" i="1"/>
  <c r="CS629" i="1"/>
  <c r="CO624" i="1"/>
  <c r="CO635" i="1"/>
  <c r="CO637" i="1"/>
  <c r="CO612" i="1"/>
  <c r="CR607" i="1"/>
  <c r="CV607" i="1" s="1"/>
  <c r="CQ607" i="1"/>
  <c r="CR621" i="1"/>
  <c r="CP615" i="1"/>
  <c r="BY890" i="1"/>
  <c r="CQ903" i="1"/>
  <c r="CP903" i="1"/>
  <c r="CT934" i="1"/>
  <c r="CU934" i="1" s="1"/>
  <c r="CP1041" i="1"/>
  <c r="CO1041" i="1"/>
  <c r="CT1041" i="1"/>
  <c r="CS1041" i="1"/>
  <c r="CV1041" i="1" s="1"/>
  <c r="CP1047" i="1"/>
  <c r="CO1047" i="1"/>
  <c r="CP1093" i="1"/>
  <c r="CO1093" i="1"/>
  <c r="CT1093" i="1"/>
  <c r="CQ1214" i="1"/>
  <c r="CP1214" i="1"/>
  <c r="CT1214" i="1"/>
  <c r="CS1214" i="1"/>
  <c r="CV1214" i="1" s="1"/>
  <c r="CS1207" i="1"/>
  <c r="BV1207" i="1"/>
  <c r="BX1207" i="1" s="1"/>
  <c r="CT1315" i="1"/>
  <c r="CS1315" i="1"/>
  <c r="CR1315" i="1"/>
  <c r="CQ1315" i="1"/>
  <c r="CO1423" i="1"/>
  <c r="CR1459" i="1"/>
  <c r="BY1455" i="1"/>
  <c r="CP1520" i="1"/>
  <c r="CT1520" i="1"/>
  <c r="CS1520" i="1"/>
  <c r="CV1520" i="1" s="1"/>
  <c r="CQ1520" i="1"/>
  <c r="CO1520" i="1"/>
  <c r="CT1635" i="1"/>
  <c r="CS1635" i="1"/>
  <c r="CR1635" i="1"/>
  <c r="CQ1635" i="1"/>
  <c r="BY1651" i="1"/>
  <c r="CT1651" i="1"/>
  <c r="CT1645" i="1"/>
  <c r="CQ1646" i="1"/>
  <c r="BY1646" i="1"/>
  <c r="CS1721" i="1"/>
  <c r="CR1721" i="1"/>
  <c r="CT1721" i="1"/>
  <c r="CU1721" i="1" s="1"/>
  <c r="CR1045" i="1"/>
  <c r="CQ1045" i="1"/>
  <c r="CU1045" i="1" s="1"/>
  <c r="CP1049" i="1"/>
  <c r="CO1049" i="1"/>
  <c r="CT1066" i="1"/>
  <c r="BY1087" i="1"/>
  <c r="BY1072" i="1"/>
  <c r="BY1069" i="1"/>
  <c r="CP1153" i="1"/>
  <c r="CO1153" i="1"/>
  <c r="CT1148" i="1"/>
  <c r="CS1148" i="1"/>
  <c r="CV1148" i="1" s="1"/>
  <c r="CT1312" i="1"/>
  <c r="CQ1449" i="1"/>
  <c r="CP1449" i="1"/>
  <c r="CQ1454" i="1"/>
  <c r="CP1454" i="1"/>
  <c r="CR1454" i="1"/>
  <c r="CV1454" i="1" s="1"/>
  <c r="CO1454" i="1"/>
  <c r="CT1518" i="1"/>
  <c r="CS1518" i="1"/>
  <c r="CR1518" i="1"/>
  <c r="CO1647" i="1"/>
  <c r="CT1647" i="1"/>
  <c r="CS1647" i="1"/>
  <c r="CV1647" i="1" s="1"/>
  <c r="CQ1647" i="1"/>
  <c r="CP1647" i="1"/>
  <c r="CS1655" i="1"/>
  <c r="CV1655" i="1" s="1"/>
  <c r="CQ1655" i="1"/>
  <c r="CP1655" i="1"/>
  <c r="CT1655" i="1"/>
  <c r="CP1653" i="1"/>
  <c r="CQ1653" i="1"/>
  <c r="CO1653" i="1"/>
  <c r="CS1653" i="1"/>
  <c r="CR1653" i="1"/>
  <c r="CO1658" i="1"/>
  <c r="CR1658" i="1"/>
  <c r="CV1658" i="1" s="1"/>
  <c r="CQ1658" i="1"/>
  <c r="CQ1691" i="1"/>
  <c r="CT1691" i="1"/>
  <c r="CS1691" i="1"/>
  <c r="CR1691" i="1"/>
  <c r="CP1013" i="1"/>
  <c r="CO1013" i="1"/>
  <c r="CR1042" i="1"/>
  <c r="CV1042" i="1" s="1"/>
  <c r="CQ1042" i="1"/>
  <c r="BY1080" i="1"/>
  <c r="BY1089" i="1"/>
  <c r="BY1076" i="1"/>
  <c r="BY1092" i="1"/>
  <c r="CT1205" i="1"/>
  <c r="CS1205" i="1"/>
  <c r="CV1205" i="1" s="1"/>
  <c r="BE1313" i="1" a="1"/>
  <c r="BE1313" i="1" s="1"/>
  <c r="CP1342" i="1"/>
  <c r="CO1342" i="1"/>
  <c r="BE1347" i="1" a="1"/>
  <c r="BE1347" i="1" s="1"/>
  <c r="CS1451" i="1"/>
  <c r="CR1451" i="1"/>
  <c r="CQ1451" i="1"/>
  <c r="CS1448" i="1"/>
  <c r="CT1448" i="1"/>
  <c r="CR1448" i="1"/>
  <c r="CQ1448" i="1"/>
  <c r="CP1448" i="1"/>
  <c r="CS1447" i="1"/>
  <c r="CV1447" i="1" s="1"/>
  <c r="CT1447" i="1"/>
  <c r="CR1639" i="1"/>
  <c r="CS1639" i="1"/>
  <c r="CQ1639" i="1"/>
  <c r="CT1639" i="1"/>
  <c r="CO1640" i="1"/>
  <c r="CT1640" i="1"/>
  <c r="CS1640" i="1"/>
  <c r="CR1640" i="1"/>
  <c r="BY1650" i="1"/>
  <c r="BE1722" i="1" a="1"/>
  <c r="BE1722" i="1" s="1"/>
  <c r="CO1706" i="1"/>
  <c r="CS1706" i="1"/>
  <c r="CV1706" i="1" s="1"/>
  <c r="CQ1706" i="1"/>
  <c r="CP1706" i="1"/>
  <c r="BY1694" i="1"/>
  <c r="CQ1458" i="1"/>
  <c r="CP1458" i="1"/>
  <c r="CR1519" i="1"/>
  <c r="CT1519" i="1"/>
  <c r="CS1519" i="1"/>
  <c r="CP1633" i="1"/>
  <c r="CT1633" i="1"/>
  <c r="CT1641" i="1"/>
  <c r="CQ1641" i="1"/>
  <c r="CP1641" i="1"/>
  <c r="BY1644" i="1"/>
  <c r="BY1631" i="1"/>
  <c r="CP1656" i="1"/>
  <c r="CO1656" i="1"/>
  <c r="CT1656" i="1"/>
  <c r="CQ1660" i="1"/>
  <c r="CT1660" i="1"/>
  <c r="CS1660" i="1"/>
  <c r="CR1660" i="1"/>
  <c r="CQ1705" i="1"/>
  <c r="CT1705" i="1"/>
  <c r="CS1705" i="1"/>
  <c r="CV1705" i="1" s="1"/>
  <c r="BE1718" i="1" a="1"/>
  <c r="BE1718" i="1" s="1"/>
  <c r="CS1718" i="1"/>
  <c r="CR1718" i="1"/>
  <c r="CR1708" i="1"/>
  <c r="CV1708" i="1" s="1"/>
  <c r="CQ1708" i="1"/>
  <c r="CT1708" i="1"/>
  <c r="CP1708" i="1"/>
  <c r="CO1708" i="1"/>
  <c r="CQ1456" i="1"/>
  <c r="CP1456" i="1"/>
  <c r="CN1463" i="1"/>
  <c r="BN1463" i="1"/>
  <c r="BO1463" i="1" s="1"/>
  <c r="BY1628" i="1"/>
  <c r="CQ1652" i="1"/>
  <c r="CS1652" i="1"/>
  <c r="CR1652" i="1"/>
  <c r="CT1739" i="1"/>
  <c r="CU1739" i="1" s="1"/>
  <c r="CS1739" i="1"/>
  <c r="CV1739" i="1" s="1"/>
  <c r="CR1740" i="1"/>
  <c r="CV1740" i="1" s="1"/>
  <c r="CT1740" i="1"/>
  <c r="CU1740" i="1" s="1"/>
  <c r="CR1710" i="1"/>
  <c r="CT1710" i="1"/>
  <c r="CS1710" i="1"/>
  <c r="BY1659" i="1"/>
  <c r="CS1741" i="1"/>
  <c r="CR1741" i="1"/>
  <c r="CR1720" i="1"/>
  <c r="CT1720" i="1"/>
  <c r="CU1720" i="1" s="1"/>
  <c r="BY1696" i="1"/>
  <c r="CT1696" i="1"/>
  <c r="CQ1628" i="1"/>
  <c r="CT1631" i="1"/>
  <c r="CS1631" i="1"/>
  <c r="CR1631" i="1"/>
  <c r="CS1650" i="1"/>
  <c r="CQ1650" i="1"/>
  <c r="CP1650" i="1"/>
  <c r="CT1741" i="1"/>
  <c r="CU1741" i="1" s="1"/>
  <c r="CO1704" i="1"/>
  <c r="CS1720" i="1"/>
  <c r="CP1701" i="1"/>
  <c r="CO1701" i="1"/>
  <c r="CT1701" i="1"/>
  <c r="CS1701" i="1"/>
  <c r="CR1701" i="1"/>
  <c r="CT1709" i="1"/>
  <c r="CO1709" i="1"/>
  <c r="CS1709" i="1"/>
  <c r="CV1709" i="1" s="1"/>
  <c r="CQ1695" i="1"/>
  <c r="CO1657" i="1"/>
  <c r="CO1686" i="1"/>
  <c r="BE1720" i="1" a="1"/>
  <c r="BE1720" i="1" s="1"/>
  <c r="CT1744" i="1"/>
  <c r="CU1744" i="1" s="1"/>
  <c r="CP1709" i="1"/>
  <c r="CT1703" i="1"/>
  <c r="CP1703" i="1"/>
  <c r="CO1703" i="1"/>
  <c r="BE1728" i="1" a="1"/>
  <c r="BE1728" i="1" s="1"/>
  <c r="CT1728" i="1"/>
  <c r="CU1728" i="1" s="1"/>
  <c r="CS1728" i="1"/>
  <c r="CR1728" i="1"/>
  <c r="CT1731" i="1"/>
  <c r="CU1731" i="1" s="1"/>
  <c r="CT1732" i="1"/>
  <c r="CU1732" i="1" s="1"/>
  <c r="BY1732" i="1"/>
  <c r="BY1690" i="1"/>
  <c r="BY1703" i="1"/>
  <c r="BY1695" i="1"/>
  <c r="BY1701" i="1"/>
  <c r="CT1702" i="1"/>
  <c r="CR1702" i="1"/>
  <c r="CV1702" i="1" s="1"/>
  <c r="CQ1702" i="1"/>
  <c r="CP1702" i="1"/>
  <c r="CO1702" i="1"/>
  <c r="CT1736" i="1"/>
  <c r="CU1736" i="1" s="1"/>
  <c r="BY1736" i="1"/>
  <c r="BY1712" i="1"/>
  <c r="CQ1690" i="1"/>
  <c r="CQ1711" i="1"/>
  <c r="CS1695" i="1"/>
  <c r="CV1695" i="1" s="1"/>
  <c r="CT1737" i="1"/>
  <c r="CU1737" i="1" s="1"/>
  <c r="CT1712" i="1"/>
  <c r="CQ1713" i="1"/>
  <c r="CS1690" i="1"/>
  <c r="CV1690" i="1" s="1"/>
  <c r="CR1699" i="1"/>
  <c r="CR1711" i="1"/>
  <c r="CO1688" i="1"/>
  <c r="CT1695" i="1"/>
  <c r="CT1730" i="1"/>
  <c r="CU1730" i="1" s="1"/>
  <c r="CR1713" i="1"/>
  <c r="CO1689" i="1"/>
  <c r="CT1690" i="1"/>
  <c r="CS1699" i="1"/>
  <c r="CS1713" i="1"/>
  <c r="CT1699" i="1"/>
  <c r="CR1733" i="1"/>
  <c r="CO1712" i="1"/>
  <c r="CT1713" i="1"/>
  <c r="CT1692" i="1"/>
  <c r="CP1695" i="1"/>
  <c r="CR1729" i="1"/>
  <c r="CV1729" i="1" s="1"/>
  <c r="CS1731" i="1"/>
  <c r="CV1731" i="1" s="1"/>
  <c r="CQ1712" i="1"/>
  <c r="CP1690" i="1"/>
  <c r="CO1699" i="1"/>
  <c r="BY1463" i="1" l="1"/>
  <c r="CU1696" i="1"/>
  <c r="BY615" i="1"/>
  <c r="CQ965" i="1"/>
  <c r="CR965" i="1"/>
  <c r="CU1074" i="1"/>
  <c r="CU874" i="1"/>
  <c r="CU1205" i="1"/>
  <c r="CU637" i="1"/>
  <c r="CV1051" i="1"/>
  <c r="CU1651" i="1"/>
  <c r="CV220" i="1"/>
  <c r="CO929" i="1"/>
  <c r="CO976" i="1"/>
  <c r="CR976" i="1"/>
  <c r="CU1687" i="1"/>
  <c r="CU270" i="1"/>
  <c r="CS976" i="1"/>
  <c r="CQ976" i="1"/>
  <c r="CU1632" i="1"/>
  <c r="CV241" i="1"/>
  <c r="CU1637" i="1"/>
  <c r="CQ928" i="1"/>
  <c r="CU928" i="1" s="1"/>
  <c r="CV993" i="1"/>
  <c r="CV1082" i="1"/>
  <c r="CV1650" i="1"/>
  <c r="CV179" i="1"/>
  <c r="CV1651" i="1"/>
  <c r="CV1079" i="1"/>
  <c r="CU1079" i="1"/>
  <c r="CR979" i="1"/>
  <c r="CU161" i="1"/>
  <c r="CT1345" i="1"/>
  <c r="CO979" i="1"/>
  <c r="CS979" i="1"/>
  <c r="CV1154" i="1"/>
  <c r="CU953" i="1"/>
  <c r="CO965" i="1"/>
  <c r="CT979" i="1"/>
  <c r="CU1209" i="1"/>
  <c r="CS965" i="1"/>
  <c r="CV1075" i="1"/>
  <c r="CU152" i="1"/>
  <c r="CU1149" i="1"/>
  <c r="CU1458" i="1"/>
  <c r="CR623" i="1"/>
  <c r="CU1656" i="1"/>
  <c r="CU630" i="1"/>
  <c r="CS623" i="1"/>
  <c r="CV989" i="1"/>
  <c r="CT965" i="1"/>
  <c r="CU965" i="1" s="1"/>
  <c r="CU155" i="1"/>
  <c r="CU1644" i="1"/>
  <c r="CP1348" i="1"/>
  <c r="CU146" i="1"/>
  <c r="CT1348" i="1"/>
  <c r="CU897" i="1"/>
  <c r="CS1348" i="1"/>
  <c r="CQ616" i="1"/>
  <c r="CU616" i="1" s="1"/>
  <c r="CU200" i="1"/>
  <c r="CU1521" i="1"/>
  <c r="CQ1348" i="1"/>
  <c r="CR1348" i="1"/>
  <c r="CQ926" i="1"/>
  <c r="CU231" i="1"/>
  <c r="CO623" i="1"/>
  <c r="CO1162" i="1"/>
  <c r="CP623" i="1"/>
  <c r="BY952" i="1"/>
  <c r="CT623" i="1"/>
  <c r="CU623" i="1" s="1"/>
  <c r="CU1703" i="1"/>
  <c r="CU1073" i="1"/>
  <c r="CQ651" i="1"/>
  <c r="CU651" i="1" s="1"/>
  <c r="CU1313" i="1"/>
  <c r="CU239" i="1"/>
  <c r="CU1450" i="1"/>
  <c r="CT1051" i="1"/>
  <c r="CU1051" i="1" s="1"/>
  <c r="CQ610" i="1"/>
  <c r="CU610" i="1" s="1"/>
  <c r="CU166" i="1"/>
  <c r="CU1090" i="1"/>
  <c r="CV1089" i="1"/>
  <c r="CU1087" i="1"/>
  <c r="CT1165" i="1"/>
  <c r="CU218" i="1"/>
  <c r="CS1165" i="1"/>
  <c r="CU633" i="1"/>
  <c r="CU1577" i="1"/>
  <c r="CU136" i="1"/>
  <c r="CO1165" i="1"/>
  <c r="CQ1165" i="1"/>
  <c r="CU220" i="1"/>
  <c r="CR1165" i="1"/>
  <c r="CV900" i="1"/>
  <c r="CU232" i="1"/>
  <c r="CU222" i="1"/>
  <c r="CV1745" i="1"/>
  <c r="CQ972" i="1"/>
  <c r="CU972" i="1" s="1"/>
  <c r="CV1733" i="1"/>
  <c r="CR974" i="1"/>
  <c r="CU238" i="1"/>
  <c r="CV1069" i="1"/>
  <c r="CU1628" i="1"/>
  <c r="CU1649" i="1"/>
  <c r="CU620" i="1"/>
  <c r="CS974" i="1"/>
  <c r="CU187" i="1"/>
  <c r="CP974" i="1"/>
  <c r="CU1423" i="1"/>
  <c r="CT1203" i="1"/>
  <c r="CU1203" i="1" s="1"/>
  <c r="CV1146" i="1"/>
  <c r="CT974" i="1"/>
  <c r="CQ618" i="1"/>
  <c r="CV161" i="1"/>
  <c r="CT980" i="1"/>
  <c r="BY965" i="1"/>
  <c r="CP983" i="1"/>
  <c r="CU1154" i="1"/>
  <c r="CU890" i="1"/>
  <c r="CU1150" i="1"/>
  <c r="CV953" i="1"/>
  <c r="CV1093" i="1"/>
  <c r="CU1312" i="1"/>
  <c r="CV1078" i="1"/>
  <c r="CV933" i="1"/>
  <c r="CU856" i="1"/>
  <c r="CU1659" i="1"/>
  <c r="CQ983" i="1"/>
  <c r="CS929" i="1"/>
  <c r="CV929" i="1" s="1"/>
  <c r="CT929" i="1"/>
  <c r="CU244" i="1"/>
  <c r="CU199" i="1"/>
  <c r="CU1711" i="1"/>
  <c r="CS983" i="1"/>
  <c r="CP929" i="1"/>
  <c r="CU257" i="1"/>
  <c r="CU159" i="1"/>
  <c r="CU1518" i="1"/>
  <c r="CU1576" i="1"/>
  <c r="CU1077" i="1"/>
  <c r="CT983" i="1"/>
  <c r="CU1047" i="1"/>
  <c r="CR983" i="1"/>
  <c r="CQ1163" i="1"/>
  <c r="CU1163" i="1" s="1"/>
  <c r="CT608" i="1"/>
  <c r="CU250" i="1"/>
  <c r="CV153" i="1"/>
  <c r="CV1067" i="1"/>
  <c r="CU178" i="1"/>
  <c r="CU202" i="1"/>
  <c r="CU228" i="1"/>
  <c r="CT1164" i="1"/>
  <c r="CU210" i="1"/>
  <c r="CU1701" i="1"/>
  <c r="CU1652" i="1"/>
  <c r="CO926" i="1"/>
  <c r="CU246" i="1"/>
  <c r="CO1164" i="1"/>
  <c r="CU204" i="1"/>
  <c r="CU1210" i="1"/>
  <c r="CP926" i="1"/>
  <c r="BY1160" i="1"/>
  <c r="CU1631" i="1"/>
  <c r="CV994" i="1"/>
  <c r="CU887" i="1"/>
  <c r="CS1164" i="1"/>
  <c r="CV1164" i="1" s="1"/>
  <c r="CU1041" i="1"/>
  <c r="CV249" i="1"/>
  <c r="CU1145" i="1"/>
  <c r="CV893" i="1"/>
  <c r="BY978" i="1"/>
  <c r="CU256" i="1"/>
  <c r="CU168" i="1"/>
  <c r="CQ1162" i="1"/>
  <c r="CV1142" i="1"/>
  <c r="CQ985" i="1"/>
  <c r="CU214" i="1"/>
  <c r="CU872" i="1"/>
  <c r="CU626" i="1"/>
  <c r="CU1636" i="1"/>
  <c r="CP1164" i="1"/>
  <c r="CU1068" i="1"/>
  <c r="CU622" i="1"/>
  <c r="CU208" i="1"/>
  <c r="CT617" i="1"/>
  <c r="CO617" i="1"/>
  <c r="CP617" i="1"/>
  <c r="CT985" i="1"/>
  <c r="CQ617" i="1"/>
  <c r="CU1638" i="1"/>
  <c r="CO985" i="1"/>
  <c r="CU1043" i="1"/>
  <c r="BY967" i="1"/>
  <c r="CU132" i="1"/>
  <c r="CV1081" i="1"/>
  <c r="CU1709" i="1"/>
  <c r="CP985" i="1"/>
  <c r="CR617" i="1"/>
  <c r="CV617" i="1" s="1"/>
  <c r="CS985" i="1"/>
  <c r="CV985" i="1" s="1"/>
  <c r="CU1093" i="1"/>
  <c r="CU1066" i="1"/>
  <c r="CV1207" i="1"/>
  <c r="CS1163" i="1"/>
  <c r="CU1082" i="1"/>
  <c r="CU628" i="1"/>
  <c r="CU156" i="1"/>
  <c r="CV151" i="1"/>
  <c r="CV966" i="1"/>
  <c r="CU226" i="1"/>
  <c r="CV626" i="1"/>
  <c r="CU241" i="1"/>
  <c r="CV270" i="1"/>
  <c r="CU1080" i="1"/>
  <c r="CV1151" i="1"/>
  <c r="CV152" i="1"/>
  <c r="CU993" i="1"/>
  <c r="CV194" i="1"/>
  <c r="CV952" i="1"/>
  <c r="CS1345" i="1"/>
  <c r="CV1345" i="1" s="1"/>
  <c r="CU825" i="1"/>
  <c r="CU1451" i="1"/>
  <c r="CU615" i="1"/>
  <c r="CU1704" i="1"/>
  <c r="CU612" i="1"/>
  <c r="CU1705" i="1"/>
  <c r="CQ974" i="1"/>
  <c r="CU1208" i="1"/>
  <c r="CV178" i="1"/>
  <c r="CU264" i="1"/>
  <c r="CQ608" i="1"/>
  <c r="CU261" i="1"/>
  <c r="CU1144" i="1"/>
  <c r="CU1071" i="1"/>
  <c r="CU635" i="1"/>
  <c r="CU1654" i="1"/>
  <c r="CU989" i="1"/>
  <c r="CU855" i="1"/>
  <c r="CU1049" i="1"/>
  <c r="CO1345" i="1"/>
  <c r="CU631" i="1"/>
  <c r="CU1446" i="1"/>
  <c r="CU148" i="1"/>
  <c r="CU1657" i="1"/>
  <c r="CU1693" i="1"/>
  <c r="CP1345" i="1"/>
  <c r="CU1044" i="1"/>
  <c r="CU225" i="1"/>
  <c r="BY1165" i="1"/>
  <c r="EP1165" i="1" s="1"/>
  <c r="CU629" i="1"/>
  <c r="CU1206" i="1"/>
  <c r="CS608" i="1"/>
  <c r="CV1085" i="1"/>
  <c r="CU899" i="1"/>
  <c r="CU1072" i="1"/>
  <c r="CU888" i="1"/>
  <c r="CO1161" i="1"/>
  <c r="CU1092" i="1"/>
  <c r="CU1148" i="1"/>
  <c r="CU1650" i="1"/>
  <c r="CU259" i="1"/>
  <c r="CU263" i="1"/>
  <c r="CV1046" i="1"/>
  <c r="CU1699" i="1"/>
  <c r="CU137" i="1"/>
  <c r="CU1710" i="1"/>
  <c r="CV629" i="1"/>
  <c r="CU1070" i="1"/>
  <c r="CU1457" i="1"/>
  <c r="CP980" i="1"/>
  <c r="CU130" i="1"/>
  <c r="CU182" i="1"/>
  <c r="CV142" i="1"/>
  <c r="CU1694" i="1"/>
  <c r="CR1161" i="1"/>
  <c r="CV1161" i="1" s="1"/>
  <c r="CU1075" i="1"/>
  <c r="CU172" i="1"/>
  <c r="CV195" i="1"/>
  <c r="CV206" i="1"/>
  <c r="BY976" i="1"/>
  <c r="CU1449" i="1"/>
  <c r="CQ1161" i="1"/>
  <c r="CU1146" i="1"/>
  <c r="CO608" i="1"/>
  <c r="CV139" i="1"/>
  <c r="CU1013" i="1"/>
  <c r="CV229" i="1"/>
  <c r="CQ973" i="1"/>
  <c r="CV156" i="1"/>
  <c r="CV992" i="1"/>
  <c r="CV1638" i="1"/>
  <c r="CU179" i="1"/>
  <c r="CV246" i="1"/>
  <c r="CU1081" i="1"/>
  <c r="CU1142" i="1"/>
  <c r="CV245" i="1"/>
  <c r="CU1088" i="1"/>
  <c r="CV990" i="1"/>
  <c r="CV1699" i="1"/>
  <c r="CU1454" i="1"/>
  <c r="CV621" i="1"/>
  <c r="CU1661" i="1"/>
  <c r="CU1707" i="1"/>
  <c r="CR608" i="1"/>
  <c r="CV1068" i="1"/>
  <c r="CV177" i="1"/>
  <c r="CU150" i="1"/>
  <c r="CU1453" i="1"/>
  <c r="CV1738" i="1"/>
  <c r="CV131" i="1"/>
  <c r="CU1067" i="1"/>
  <c r="CU236" i="1"/>
  <c r="CU1629" i="1"/>
  <c r="CV1689" i="1"/>
  <c r="CU1688" i="1"/>
  <c r="CU1151" i="1"/>
  <c r="CU994" i="1"/>
  <c r="CV934" i="1"/>
  <c r="CU180" i="1"/>
  <c r="CV1143" i="1"/>
  <c r="CV269" i="1"/>
  <c r="CU134" i="1"/>
  <c r="CV187" i="1"/>
  <c r="CU1455" i="1"/>
  <c r="CV1632" i="1"/>
  <c r="CV1005" i="1"/>
  <c r="CU215" i="1"/>
  <c r="CU139" i="1"/>
  <c r="CU164" i="1"/>
  <c r="CU195" i="1"/>
  <c r="CU1695" i="1"/>
  <c r="CT1161" i="1"/>
  <c r="CV235" i="1"/>
  <c r="CV175" i="1"/>
  <c r="CV160" i="1"/>
  <c r="CV901" i="1"/>
  <c r="CU504" i="1"/>
  <c r="CU1069" i="1"/>
  <c r="CU233" i="1"/>
  <c r="CU1213" i="1"/>
  <c r="CR1162" i="1"/>
  <c r="CV1162" i="1" s="1"/>
  <c r="CU1697" i="1"/>
  <c r="CV1648" i="1"/>
  <c r="CU1634" i="1"/>
  <c r="CU269" i="1"/>
  <c r="CU141" i="1"/>
  <c r="CU252" i="1"/>
  <c r="CT1159" i="1"/>
  <c r="CV253" i="1"/>
  <c r="CR980" i="1"/>
  <c r="CT618" i="1"/>
  <c r="CU871" i="1"/>
  <c r="CU625" i="1"/>
  <c r="CU1065" i="1"/>
  <c r="CU990" i="1"/>
  <c r="CU184" i="1"/>
  <c r="CU1078" i="1"/>
  <c r="CV1087" i="1"/>
  <c r="BY611" i="1"/>
  <c r="CU619" i="1"/>
  <c r="CR973" i="1"/>
  <c r="CU188" i="1"/>
  <c r="CU160" i="1"/>
  <c r="CU189" i="1"/>
  <c r="CU1689" i="1"/>
  <c r="CU128" i="1"/>
  <c r="CU1152" i="1"/>
  <c r="CU1692" i="1"/>
  <c r="CR618" i="1"/>
  <c r="CU1084" i="1"/>
  <c r="CU992" i="1"/>
  <c r="CU891" i="1"/>
  <c r="CU1153" i="1"/>
  <c r="CU196" i="1"/>
  <c r="CV1724" i="1"/>
  <c r="CU247" i="1"/>
  <c r="CU1314" i="1"/>
  <c r="CS973" i="1"/>
  <c r="CU177" i="1"/>
  <c r="CU127" i="1"/>
  <c r="CU149" i="1"/>
  <c r="CU1076" i="1"/>
  <c r="CV1088" i="1"/>
  <c r="CV1090" i="1"/>
  <c r="CV1084" i="1"/>
  <c r="CS618" i="1"/>
  <c r="CU1633" i="1"/>
  <c r="CU207" i="1"/>
  <c r="CU190" i="1"/>
  <c r="CV1711" i="1"/>
  <c r="CV1045" i="1"/>
  <c r="CT1211" i="1"/>
  <c r="CU1211" i="1" s="1"/>
  <c r="CP1162" i="1"/>
  <c r="CU1212" i="1"/>
  <c r="CU1085" i="1"/>
  <c r="CR1159" i="1"/>
  <c r="CU1083" i="1"/>
  <c r="CU154" i="1"/>
  <c r="BY1049" i="1"/>
  <c r="CQ980" i="1"/>
  <c r="CT1050" i="1"/>
  <c r="CU1050" i="1" s="1"/>
  <c r="CT973" i="1"/>
  <c r="CP1161" i="1"/>
  <c r="CU167" i="1"/>
  <c r="CV1086" i="1"/>
  <c r="CU216" i="1"/>
  <c r="CU621" i="1"/>
  <c r="CU1089" i="1"/>
  <c r="CU1575" i="1"/>
  <c r="CU133" i="1"/>
  <c r="CP1159" i="1"/>
  <c r="CU1706" i="1"/>
  <c r="CU1646" i="1"/>
  <c r="CU1698" i="1"/>
  <c r="CQ1159" i="1"/>
  <c r="CU243" i="1"/>
  <c r="CV183" i="1"/>
  <c r="CU151" i="1"/>
  <c r="CU1519" i="1"/>
  <c r="CU249" i="1"/>
  <c r="CT1162" i="1"/>
  <c r="CU1686" i="1"/>
  <c r="CV630" i="1"/>
  <c r="CV226" i="1"/>
  <c r="CV225" i="1"/>
  <c r="CV216" i="1"/>
  <c r="CU991" i="1"/>
  <c r="CS1159" i="1"/>
  <c r="CU265" i="1"/>
  <c r="CU1063" i="1"/>
  <c r="CU873" i="1"/>
  <c r="CU205" i="1"/>
  <c r="CS980" i="1"/>
  <c r="CO973" i="1"/>
  <c r="CU192" i="1"/>
  <c r="CV159" i="1"/>
  <c r="CV972" i="1"/>
  <c r="CV1077" i="1"/>
  <c r="CV1066" i="1"/>
  <c r="CU258" i="1"/>
  <c r="CU624" i="1"/>
  <c r="CV247" i="1"/>
  <c r="CV250" i="1"/>
  <c r="CU505" i="1"/>
  <c r="CU889" i="1"/>
  <c r="CU254" i="1"/>
  <c r="CV223" i="1"/>
  <c r="CU183" i="1"/>
  <c r="CU129" i="1"/>
  <c r="CV234" i="1"/>
  <c r="CV1453" i="1"/>
  <c r="CU1643" i="1"/>
  <c r="CU1630" i="1"/>
  <c r="CV825" i="1"/>
  <c r="CV1575" i="1"/>
  <c r="CV1653" i="1"/>
  <c r="CV169" i="1"/>
  <c r="CU268" i="1"/>
  <c r="CV627" i="1"/>
  <c r="CV1314" i="1"/>
  <c r="CU1645" i="1"/>
  <c r="BY621" i="1"/>
  <c r="CV242" i="1"/>
  <c r="CU1690" i="1"/>
  <c r="CV1687" i="1"/>
  <c r="CV1203" i="1"/>
  <c r="CV1150" i="1"/>
  <c r="CU227" i="1"/>
  <c r="CU224" i="1"/>
  <c r="CV1049" i="1"/>
  <c r="CV1710" i="1"/>
  <c r="CU1655" i="1"/>
  <c r="CV1003" i="1"/>
  <c r="CU223" i="1"/>
  <c r="CV164" i="1"/>
  <c r="CU1712" i="1"/>
  <c r="CU1660" i="1"/>
  <c r="CU1003" i="1"/>
  <c r="CV257" i="1"/>
  <c r="CU245" i="1"/>
  <c r="CU165" i="1"/>
  <c r="CV1688" i="1"/>
  <c r="CV137" i="1"/>
  <c r="CU206" i="1"/>
  <c r="CU1452" i="1"/>
  <c r="CV221" i="1"/>
  <c r="CV240" i="1"/>
  <c r="CU194" i="1"/>
  <c r="CU147" i="1"/>
  <c r="CV1076" i="1"/>
  <c r="CV1147" i="1"/>
  <c r="CQ975" i="1"/>
  <c r="CU975" i="1" s="1"/>
  <c r="CV636" i="1"/>
  <c r="CU153" i="1"/>
  <c r="CU1086" i="1"/>
  <c r="CV207" i="1"/>
  <c r="CV167" i="1"/>
  <c r="CV635" i="1"/>
  <c r="CV256" i="1"/>
  <c r="CV232" i="1"/>
  <c r="CV231" i="1"/>
  <c r="CV228" i="1"/>
  <c r="BY609" i="1"/>
  <c r="CV227" i="1"/>
  <c r="CV224" i="1"/>
  <c r="CQ981" i="1"/>
  <c r="CU1064" i="1"/>
  <c r="CV134" i="1"/>
  <c r="CU163" i="1"/>
  <c r="CV192" i="1"/>
  <c r="CU242" i="1"/>
  <c r="CQ613" i="1"/>
  <c r="CU613" i="1" s="1"/>
  <c r="CU898" i="1"/>
  <c r="CV1659" i="1"/>
  <c r="CV205" i="1"/>
  <c r="CU1447" i="1"/>
  <c r="CV1210" i="1"/>
  <c r="CU1714" i="1"/>
  <c r="CQ1164" i="1"/>
  <c r="CV1700" i="1"/>
  <c r="CV263" i="1"/>
  <c r="CV209" i="1"/>
  <c r="CU255" i="1"/>
  <c r="CU267" i="1"/>
  <c r="CU211" i="1"/>
  <c r="CV896" i="1"/>
  <c r="CV892" i="1"/>
  <c r="CV170" i="1"/>
  <c r="CV158" i="1"/>
  <c r="CU173" i="1"/>
  <c r="CV1460" i="1"/>
  <c r="CV1457" i="1"/>
  <c r="CU248" i="1"/>
  <c r="CU237" i="1"/>
  <c r="CV260" i="1"/>
  <c r="CV180" i="1"/>
  <c r="CV155" i="1"/>
  <c r="CV1092" i="1"/>
  <c r="CV1728" i="1"/>
  <c r="CV1043" i="1"/>
  <c r="CV239" i="1"/>
  <c r="CU209" i="1"/>
  <c r="CU235" i="1"/>
  <c r="CU185" i="1"/>
  <c r="CU131" i="1"/>
  <c r="CV157" i="1"/>
  <c r="CU1640" i="1"/>
  <c r="CV1315" i="1"/>
  <c r="CU1641" i="1"/>
  <c r="CV222" i="1"/>
  <c r="CV218" i="1"/>
  <c r="CV214" i="1"/>
  <c r="CV1050" i="1"/>
  <c r="CV613" i="1"/>
  <c r="CU1702" i="1"/>
  <c r="CV1639" i="1"/>
  <c r="CV1211" i="1"/>
  <c r="CU1642" i="1"/>
  <c r="CU1445" i="1"/>
  <c r="CU1147" i="1"/>
  <c r="CU1204" i="1"/>
  <c r="CV930" i="1"/>
  <c r="CU636" i="1"/>
  <c r="CV504" i="1"/>
  <c r="BY619" i="1"/>
  <c r="CO618" i="1"/>
  <c r="CU266" i="1"/>
  <c r="CV266" i="1"/>
  <c r="CV237" i="1"/>
  <c r="CV1004" i="1"/>
  <c r="CV622" i="1"/>
  <c r="CU144" i="1"/>
  <c r="CU145" i="1"/>
  <c r="CV138" i="1"/>
  <c r="CU181" i="1"/>
  <c r="CV189" i="1"/>
  <c r="CV140" i="1"/>
  <c r="CU900" i="1"/>
  <c r="CV203" i="1"/>
  <c r="CR1163" i="1"/>
  <c r="CP1163" i="1"/>
  <c r="CO1163" i="1"/>
  <c r="CU1005" i="1"/>
  <c r="CV609" i="1"/>
  <c r="CT981" i="1"/>
  <c r="CS981" i="1"/>
  <c r="CO981" i="1"/>
  <c r="CR981" i="1"/>
  <c r="CV1451" i="1"/>
  <c r="CV1444" i="1"/>
  <c r="CS1347" i="1"/>
  <c r="CV1347" i="1" s="1"/>
  <c r="CP1347" i="1"/>
  <c r="CV1461" i="1"/>
  <c r="CV610" i="1"/>
  <c r="CT926" i="1"/>
  <c r="CS926" i="1"/>
  <c r="CR926" i="1"/>
  <c r="CV615" i="1"/>
  <c r="CO1347" i="1"/>
  <c r="CQ1347" i="1"/>
  <c r="CT1347" i="1"/>
  <c r="CV1713" i="1"/>
  <c r="CU1708" i="1"/>
  <c r="CV1718" i="1"/>
  <c r="CV1448" i="1"/>
  <c r="CU1691" i="1"/>
  <c r="CV1721" i="1"/>
  <c r="CV1635" i="1"/>
  <c r="CU1520" i="1"/>
  <c r="CV637" i="1"/>
  <c r="CV1734" i="1"/>
  <c r="CU1700" i="1"/>
  <c r="BY1348" i="1"/>
  <c r="CU611" i="1"/>
  <c r="CV632" i="1"/>
  <c r="CU253" i="1"/>
  <c r="CV871" i="1"/>
  <c r="CU894" i="1"/>
  <c r="CV651" i="1"/>
  <c r="CV889" i="1"/>
  <c r="CV902" i="1"/>
  <c r="BY966" i="1"/>
  <c r="CT966" i="1"/>
  <c r="CU966" i="1" s="1"/>
  <c r="CV144" i="1"/>
  <c r="CU135" i="1"/>
  <c r="CV196" i="1"/>
  <c r="CU191" i="1"/>
  <c r="CU198" i="1"/>
  <c r="CV143" i="1"/>
  <c r="CR1463" i="1"/>
  <c r="CQ1463" i="1"/>
  <c r="CO1463" i="1"/>
  <c r="CT1463" i="1"/>
  <c r="CS1463" i="1"/>
  <c r="CP1463" i="1"/>
  <c r="CU1639" i="1"/>
  <c r="CU1635" i="1"/>
  <c r="CU1214" i="1"/>
  <c r="CU1444" i="1"/>
  <c r="CU1578" i="1"/>
  <c r="CU1658" i="1"/>
  <c r="CV1459" i="1"/>
  <c r="BY1161" i="1"/>
  <c r="CV1636" i="1"/>
  <c r="CU262" i="1"/>
  <c r="CU632" i="1"/>
  <c r="CT977" i="1"/>
  <c r="CS977" i="1"/>
  <c r="CO977" i="1"/>
  <c r="CQ977" i="1"/>
  <c r="CP977" i="1"/>
  <c r="CR977" i="1"/>
  <c r="CV191" i="1"/>
  <c r="CV198" i="1"/>
  <c r="CV145" i="1"/>
  <c r="CU1315" i="1"/>
  <c r="CP1346" i="1"/>
  <c r="CO1346" i="1"/>
  <c r="CQ1346" i="1"/>
  <c r="CT1346" i="1"/>
  <c r="CS1346" i="1"/>
  <c r="CR1346" i="1"/>
  <c r="CS1160" i="1"/>
  <c r="CR1160" i="1"/>
  <c r="CQ1160" i="1"/>
  <c r="CP1160" i="1"/>
  <c r="CT1160" i="1"/>
  <c r="CO1160" i="1"/>
  <c r="CP1158" i="1"/>
  <c r="CO1158" i="1"/>
  <c r="CT1158" i="1"/>
  <c r="CS1158" i="1"/>
  <c r="CR1158" i="1"/>
  <c r="CQ1158" i="1"/>
  <c r="CQ1345" i="1"/>
  <c r="CU886" i="1"/>
  <c r="CQ929" i="1"/>
  <c r="CV895" i="1"/>
  <c r="CV625" i="1"/>
  <c r="CV894" i="1"/>
  <c r="CU901" i="1"/>
  <c r="CV215" i="1"/>
  <c r="CU892" i="1"/>
  <c r="CU607" i="1"/>
  <c r="CU260" i="1"/>
  <c r="CU230" i="1"/>
  <c r="CS982" i="1"/>
  <c r="CR982" i="1"/>
  <c r="CT982" i="1"/>
  <c r="CQ982" i="1"/>
  <c r="CP982" i="1"/>
  <c r="CO982" i="1"/>
  <c r="CQ927" i="1"/>
  <c r="CP927" i="1"/>
  <c r="CO927" i="1"/>
  <c r="CT927" i="1"/>
  <c r="CS927" i="1"/>
  <c r="CR927" i="1"/>
  <c r="CV188" i="1"/>
  <c r="CV135" i="1"/>
  <c r="CU197" i="1"/>
  <c r="CU138" i="1"/>
  <c r="CU1653" i="1"/>
  <c r="CU1648" i="1"/>
  <c r="CV1576" i="1"/>
  <c r="CV251" i="1"/>
  <c r="CU221" i="1"/>
  <c r="CU240" i="1"/>
  <c r="CU824" i="1"/>
  <c r="CU229" i="1"/>
  <c r="CV171" i="1"/>
  <c r="CU174" i="1"/>
  <c r="CV163" i="1"/>
  <c r="CU157" i="1"/>
  <c r="CV181" i="1"/>
  <c r="CU143" i="1"/>
  <c r="CV197" i="1"/>
  <c r="CU170" i="1"/>
  <c r="CV1720" i="1"/>
  <c r="CV1652" i="1"/>
  <c r="CV1519" i="1"/>
  <c r="CT1207" i="1"/>
  <c r="CU1207" i="1" s="1"/>
  <c r="BY1207" i="1"/>
  <c r="CV624" i="1"/>
  <c r="CV1714" i="1"/>
  <c r="CV1446" i="1"/>
  <c r="CU1715" i="1"/>
  <c r="CV1204" i="1"/>
  <c r="CV886" i="1"/>
  <c r="CU251" i="1"/>
  <c r="CV614" i="1"/>
  <c r="CU358" i="1"/>
  <c r="CV255" i="1"/>
  <c r="CU219" i="1"/>
  <c r="CV211" i="1"/>
  <c r="CV505" i="1"/>
  <c r="CU1004" i="1"/>
  <c r="CU895" i="1"/>
  <c r="CV824" i="1"/>
  <c r="CU634" i="1"/>
  <c r="CV230" i="1"/>
  <c r="CV984" i="1"/>
  <c r="CU217" i="1"/>
  <c r="CV185" i="1"/>
  <c r="CU171" i="1"/>
  <c r="CV129" i="1"/>
  <c r="CV174" i="1"/>
  <c r="CV186" i="1"/>
  <c r="CV182" i="1"/>
  <c r="CU1566" i="1"/>
  <c r="CU1042" i="1"/>
  <c r="CU203" i="1"/>
  <c r="CP967" i="1"/>
  <c r="CO967" i="1"/>
  <c r="CT967" i="1"/>
  <c r="CS967" i="1"/>
  <c r="CR967" i="1"/>
  <c r="CQ967" i="1"/>
  <c r="CU176" i="1"/>
  <c r="CU158" i="1"/>
  <c r="CU186" i="1"/>
  <c r="CV149" i="1"/>
  <c r="CU1713" i="1"/>
  <c r="CV1660" i="1"/>
  <c r="CV1640" i="1"/>
  <c r="CV1518" i="1"/>
  <c r="CV612" i="1"/>
  <c r="CV1645" i="1"/>
  <c r="CV1578" i="1"/>
  <c r="CV1455" i="1"/>
  <c r="CV1450" i="1"/>
  <c r="CV1715" i="1"/>
  <c r="CV1445" i="1"/>
  <c r="CV1212" i="1"/>
  <c r="BY614" i="1"/>
  <c r="CQ614" i="1"/>
  <c r="CU614" i="1" s="1"/>
  <c r="CV1063" i="1"/>
  <c r="CV154" i="1"/>
  <c r="CT976" i="1"/>
  <c r="CU609" i="1"/>
  <c r="CV358" i="1"/>
  <c r="CV267" i="1"/>
  <c r="CV219" i="1"/>
  <c r="CU952" i="1"/>
  <c r="CQ979" i="1"/>
  <c r="CU896" i="1"/>
  <c r="CU902" i="1"/>
  <c r="CV634" i="1"/>
  <c r="CV254" i="1"/>
  <c r="CQ984" i="1"/>
  <c r="CU984" i="1" s="1"/>
  <c r="CV217" i="1"/>
  <c r="CU175" i="1"/>
  <c r="CU162" i="1"/>
  <c r="CV184" i="1"/>
  <c r="CV172" i="1"/>
  <c r="CU193" i="1"/>
  <c r="CV190" i="1"/>
  <c r="CV173" i="1"/>
  <c r="CV1741" i="1"/>
  <c r="CV1701" i="1"/>
  <c r="CV1631" i="1"/>
  <c r="CU1448" i="1"/>
  <c r="CV1691" i="1"/>
  <c r="CU1647" i="1"/>
  <c r="CP978" i="1"/>
  <c r="CO978" i="1"/>
  <c r="CQ978" i="1"/>
  <c r="CT978" i="1"/>
  <c r="CS978" i="1"/>
  <c r="CR978" i="1"/>
  <c r="CU1456" i="1"/>
  <c r="CV1742" i="1"/>
  <c r="CV887" i="1"/>
  <c r="CV236" i="1"/>
  <c r="CV238" i="1"/>
  <c r="CV233" i="1"/>
  <c r="CU893" i="1"/>
  <c r="CU234" i="1"/>
  <c r="CU903" i="1"/>
  <c r="CU627" i="1"/>
  <c r="CV193" i="1"/>
  <c r="CU169" i="1"/>
  <c r="CU142" i="1"/>
  <c r="CU140" i="1"/>
  <c r="CV965" i="1" l="1"/>
  <c r="CU976" i="1"/>
  <c r="CV976" i="1"/>
  <c r="CU979" i="1"/>
  <c r="CV1348" i="1"/>
  <c r="CU1164" i="1"/>
  <c r="CV623" i="1"/>
  <c r="CU1345" i="1"/>
  <c r="CU926" i="1"/>
  <c r="CV979" i="1"/>
  <c r="CV974" i="1"/>
  <c r="CV1165" i="1"/>
  <c r="CU980" i="1"/>
  <c r="CU1348" i="1"/>
  <c r="CU983" i="1"/>
  <c r="CU985" i="1"/>
  <c r="CU618" i="1"/>
  <c r="CU1165" i="1"/>
  <c r="CU974" i="1"/>
  <c r="CU1162" i="1"/>
  <c r="CV1159" i="1"/>
  <c r="CU929" i="1"/>
  <c r="CV983" i="1"/>
  <c r="CU973" i="1"/>
  <c r="CU608" i="1"/>
  <c r="CU617" i="1"/>
  <c r="CV1163" i="1"/>
  <c r="CU1161" i="1"/>
  <c r="CV608" i="1"/>
  <c r="CV980" i="1"/>
  <c r="CU1159" i="1"/>
  <c r="CV618" i="1"/>
  <c r="CV973" i="1"/>
  <c r="CU981" i="1"/>
  <c r="CU927" i="1"/>
  <c r="CU1160" i="1"/>
  <c r="CV1463" i="1"/>
  <c r="CU1347" i="1"/>
  <c r="CV1158" i="1"/>
  <c r="CU1463" i="1"/>
  <c r="CV977" i="1"/>
  <c r="CV982" i="1"/>
  <c r="CU1158" i="1"/>
  <c r="CV1160" i="1"/>
  <c r="CU977" i="1"/>
  <c r="CV926" i="1"/>
  <c r="CV978" i="1"/>
  <c r="CU967" i="1"/>
  <c r="CU978" i="1"/>
  <c r="CV981" i="1"/>
  <c r="CV927" i="1"/>
  <c r="CU982" i="1"/>
  <c r="CV1346" i="1"/>
  <c r="CU1346" i="1"/>
  <c r="CV967" i="1"/>
  <c r="EP1723" i="1" l="1"/>
  <c r="EP1716" i="1"/>
  <c r="EP972" i="1"/>
  <c r="EP977" i="1"/>
  <c r="EP266" i="1"/>
  <c r="EP207" i="1"/>
  <c r="EP895" i="1"/>
  <c r="EP1689" i="1"/>
  <c r="EP1460" i="1"/>
  <c r="EP980" i="1"/>
  <c r="EP937" i="1"/>
  <c r="EP612" i="1"/>
  <c r="EP256" i="1"/>
  <c r="EP226" i="1"/>
  <c r="EP180" i="1"/>
  <c r="EP1738" i="1"/>
  <c r="EP982" i="1"/>
  <c r="EP974" i="1"/>
  <c r="EP1744" i="1"/>
  <c r="EP994" i="1"/>
  <c r="EP1423" i="1"/>
  <c r="EP211" i="1"/>
  <c r="EP1731" i="1"/>
  <c r="EP145" i="1"/>
  <c r="EP1722" i="1"/>
  <c r="EP262" i="1"/>
  <c r="EP1050" i="1"/>
  <c r="EP252" i="1"/>
  <c r="EP1734" i="1"/>
  <c r="EP238" i="1"/>
  <c r="EP257" i="1"/>
  <c r="EP1720" i="1"/>
  <c r="EP197" i="1"/>
  <c r="EP188" i="1"/>
  <c r="EP153" i="1"/>
  <c r="EP165" i="1"/>
  <c r="EP204" i="1"/>
  <c r="EP159" i="1"/>
  <c r="EP932" i="1"/>
  <c r="EP1315" i="1"/>
  <c r="EP1643" i="1"/>
  <c r="EP1727" i="1"/>
  <c r="EP1209" i="1"/>
  <c r="EP993" i="1"/>
  <c r="EP1742" i="1"/>
  <c r="EP989" i="1"/>
  <c r="EP1705" i="1"/>
  <c r="EP1695" i="1"/>
  <c r="EP1641" i="1"/>
  <c r="EP1690" i="1"/>
  <c r="EP142" i="1"/>
  <c r="EP978" i="1"/>
  <c r="EP1203" i="1"/>
  <c r="EP242" i="1"/>
  <c r="EP1730" i="1"/>
  <c r="EP215" i="1"/>
  <c r="EP892" i="1"/>
  <c r="EP267" i="1"/>
  <c r="EP1063" i="1"/>
  <c r="EP245" i="1"/>
  <c r="EP247" i="1"/>
  <c r="EP186" i="1"/>
  <c r="EP1706" i="1"/>
  <c r="EP505" i="1"/>
  <c r="EP150" i="1"/>
  <c r="EP194" i="1"/>
  <c r="EP185" i="1"/>
  <c r="EP182" i="1"/>
  <c r="EP1691" i="1"/>
  <c r="EP1004" i="1"/>
  <c r="EP1637" i="1"/>
  <c r="EP1461" i="1"/>
  <c r="EP1721" i="1"/>
  <c r="EP183" i="1"/>
  <c r="EP190" i="1"/>
  <c r="EP981" i="1"/>
  <c r="EP900" i="1"/>
  <c r="EP235" i="1"/>
  <c r="EP930" i="1"/>
  <c r="EP255" i="1"/>
  <c r="EP251" i="1"/>
  <c r="EP935" i="1"/>
  <c r="EP1655" i="1"/>
  <c r="EP1700" i="1"/>
  <c r="EP1741" i="1"/>
  <c r="EP926" i="1"/>
  <c r="EP1642" i="1"/>
  <c r="EP1206" i="1"/>
  <c r="EP1732" i="1"/>
  <c r="EP1737" i="1"/>
  <c r="EP1041" i="1"/>
  <c r="EP192" i="1"/>
  <c r="EP630" i="1"/>
  <c r="EP137" i="1"/>
  <c r="EP1717" i="1"/>
  <c r="EP1715" i="1"/>
  <c r="EP189" i="1"/>
  <c r="EP263" i="1"/>
  <c r="EP985" i="1"/>
  <c r="EP1724" i="1"/>
  <c r="EP1459" i="1"/>
  <c r="EP1314" i="1"/>
  <c r="EP1688" i="1"/>
  <c r="EP136" i="1"/>
  <c r="EP637" i="1"/>
  <c r="EP196" i="1"/>
  <c r="EP195" i="1"/>
  <c r="EP992" i="1"/>
  <c r="EP198" i="1"/>
  <c r="EP162" i="1"/>
  <c r="EP181" i="1"/>
  <c r="EP1687" i="1"/>
  <c r="EP229" i="1"/>
  <c r="EP973" i="1"/>
  <c r="EP169" i="1"/>
  <c r="EP1654" i="1"/>
  <c r="EP220" i="1"/>
  <c r="EP990" i="1"/>
  <c r="EP1718" i="1"/>
  <c r="EP129" i="1"/>
  <c r="EP223" i="1"/>
  <c r="EP931" i="1"/>
  <c r="EP1728" i="1"/>
  <c r="EP184" i="1"/>
  <c r="EP1733" i="1"/>
  <c r="EP221" i="1"/>
  <c r="EP824" i="1"/>
  <c r="EP179" i="1"/>
  <c r="EP191" i="1"/>
  <c r="EP209" i="1"/>
  <c r="EP1726" i="1"/>
  <c r="EP224" i="1"/>
  <c r="EP130" i="1"/>
  <c r="EP1639" i="1"/>
  <c r="EP1630" i="1"/>
  <c r="EP1064" i="1"/>
  <c r="EP199" i="1"/>
  <c r="EP936" i="1"/>
  <c r="EP1065" i="1"/>
  <c r="EP1709" i="1"/>
  <c r="EP1714" i="1"/>
  <c r="EP1719" i="1"/>
  <c r="EP187" i="1"/>
  <c r="EP1649" i="1"/>
  <c r="EP1693" i="1"/>
  <c r="EP1005" i="1"/>
  <c r="EP608" i="1"/>
  <c r="EP1739" i="1"/>
  <c r="EP1729" i="1"/>
  <c r="EP1638" i="1"/>
  <c r="EP158" i="1"/>
  <c r="EP1698" i="1"/>
  <c r="EP934" i="1"/>
  <c r="EP157" i="1"/>
  <c r="EP1740" i="1"/>
  <c r="EP1660" i="1"/>
  <c r="EP358" i="1"/>
  <c r="EP1045" i="1"/>
  <c r="EP1518" i="1"/>
  <c r="EP1313" i="1"/>
  <c r="EP164" i="1"/>
  <c r="EP1711" i="1"/>
  <c r="EP1745" i="1"/>
  <c r="EP193" i="1"/>
  <c r="EP1051" i="1"/>
  <c r="EP219" i="1"/>
  <c r="EP141" i="1"/>
  <c r="EP234" i="1"/>
  <c r="EP154" i="1"/>
  <c r="EP928" i="1"/>
  <c r="EP899" i="1"/>
  <c r="EP991" i="1"/>
  <c r="EP984" i="1"/>
  <c r="EP635" i="1"/>
  <c r="EP1634" i="1"/>
  <c r="EP205" i="1"/>
  <c r="EP138" i="1"/>
  <c r="EP264" i="1"/>
  <c r="EP1046" i="1"/>
  <c r="EP897" i="1"/>
  <c r="EP979" i="1"/>
  <c r="EP1712" i="1"/>
  <c r="EP633" i="1"/>
  <c r="EP890" i="1"/>
  <c r="EP927" i="1"/>
  <c r="EP1703" i="1"/>
  <c r="EP259" i="1"/>
  <c r="EP170" i="1"/>
  <c r="EP1210" i="1"/>
  <c r="EP232" i="1"/>
  <c r="EP1042" i="1"/>
  <c r="EP631" i="1"/>
  <c r="EP1659" i="1"/>
  <c r="EP1463" i="1"/>
  <c r="EP933" i="1"/>
  <c r="EP1047" i="1"/>
  <c r="EP1650" i="1"/>
  <c r="EP146" i="1"/>
  <c r="EP1651" i="1"/>
  <c r="EP622" i="1"/>
  <c r="EP1647" i="1"/>
  <c r="EP156" i="1"/>
  <c r="EP1735" i="1"/>
  <c r="EP161" i="1"/>
  <c r="EP1049" i="1"/>
  <c r="EP233" i="1"/>
  <c r="EP967" i="1"/>
  <c r="EP1736" i="1"/>
  <c r="EP132" i="1"/>
  <c r="EP966" i="1"/>
  <c r="EP152" i="1"/>
  <c r="EP147" i="1"/>
  <c r="EP258" i="1"/>
  <c r="EP983" i="1"/>
  <c r="EP1697" i="1"/>
  <c r="EP1462" i="1"/>
  <c r="EP1044" i="1"/>
  <c r="EP1725" i="1"/>
  <c r="EP1686" i="1"/>
  <c r="EP1346" i="1"/>
  <c r="EP249" i="1"/>
  <c r="EP202" i="1"/>
  <c r="EP1713" i="1"/>
  <c r="EP619" i="1"/>
  <c r="EP1521" i="1"/>
  <c r="EP1743" i="1"/>
  <c r="EP1629" i="1"/>
  <c r="EP1211" i="1"/>
  <c r="EP893" i="1"/>
  <c r="EP889" i="1"/>
  <c r="EP241" i="1"/>
  <c r="EP614" i="1"/>
  <c r="EP1207" i="1"/>
  <c r="EP1348" i="1"/>
  <c r="EP216" i="1"/>
  <c r="EP177" i="1" l="1"/>
  <c r="EP1704" i="1"/>
  <c r="EP856" i="1"/>
  <c r="EP143" i="1"/>
  <c r="EP609" i="1"/>
  <c r="EP607" i="1"/>
  <c r="EP1520" i="1"/>
  <c r="EP1066" i="1"/>
  <c r="EP1701" i="1"/>
  <c r="EP1653" i="1"/>
  <c r="EP1519" i="1"/>
  <c r="EP270" i="1"/>
  <c r="EP1646" i="1"/>
  <c r="EP1707" i="1"/>
  <c r="EP1656" i="1"/>
  <c r="EP1635" i="1"/>
  <c r="EP1645" i="1"/>
  <c r="EP1204" i="1"/>
  <c r="EP166" i="1"/>
  <c r="EP139" i="1"/>
  <c r="EP135" i="1"/>
  <c r="EP887" i="1"/>
  <c r="EP227" i="1"/>
  <c r="EP1648" i="1"/>
  <c r="EP173" i="1"/>
  <c r="EP217" i="1"/>
  <c r="EP160" i="1"/>
  <c r="EP261" i="1"/>
  <c r="EP1699" i="1"/>
  <c r="EP1658" i="1"/>
  <c r="EP1566" i="1"/>
  <c r="EP1632" i="1"/>
  <c r="EP167" i="1"/>
  <c r="EP1710" i="1"/>
  <c r="EP891" i="1"/>
  <c r="EP1631" i="1"/>
  <c r="EP1205" i="1"/>
  <c r="EP1208" i="1"/>
  <c r="EP898" i="1"/>
  <c r="EP611" i="1"/>
  <c r="EP228" i="1"/>
  <c r="EP246" i="1"/>
  <c r="EP1694" i="1"/>
  <c r="EP1644" i="1"/>
  <c r="EP953" i="1"/>
  <c r="EP903" i="1"/>
  <c r="EP269" i="1"/>
  <c r="EP163" i="1"/>
  <c r="EP610" i="1"/>
  <c r="EP230" i="1"/>
  <c r="EP1661" i="1"/>
  <c r="EP886" i="1"/>
  <c r="EP952" i="1"/>
  <c r="EP1347" i="1"/>
  <c r="EP613" i="1"/>
  <c r="EP894" i="1"/>
  <c r="EP1003" i="1"/>
  <c r="EP1212" i="1"/>
  <c r="EP240" i="1"/>
  <c r="EP855" i="1"/>
  <c r="EP237" i="1"/>
  <c r="EP1312" i="1"/>
  <c r="EP265" i="1"/>
  <c r="EP902" i="1"/>
  <c r="EP203" i="1"/>
  <c r="EP236" i="1"/>
  <c r="EP1696" i="1"/>
  <c r="EP206" i="1"/>
  <c r="EP133" i="1"/>
  <c r="EP250" i="1"/>
  <c r="EP140" i="1"/>
  <c r="EP825" i="1"/>
  <c r="EP231" i="1"/>
  <c r="EP976" i="1"/>
  <c r="EP244" i="1"/>
  <c r="EP1345" i="1"/>
  <c r="EP151" i="1"/>
  <c r="EP254" i="1"/>
  <c r="EP148" i="1"/>
  <c r="EP929" i="1"/>
  <c r="EP896" i="1"/>
  <c r="EP218" i="1"/>
  <c r="EP1633" i="1"/>
  <c r="EP1708" i="1"/>
  <c r="EP208" i="1"/>
  <c r="EP965" i="1"/>
  <c r="EP149" i="1"/>
  <c r="EP975" i="1"/>
  <c r="EP1640" i="1"/>
  <c r="EP1043" i="1"/>
  <c r="EP1652" i="1"/>
  <c r="EP260" i="1"/>
  <c r="EP1578" i="1"/>
  <c r="EP210" i="1"/>
  <c r="EP155" i="1"/>
  <c r="EP1214" i="1"/>
  <c r="EP134" i="1"/>
  <c r="EP214" i="1"/>
  <c r="EP175" i="1"/>
  <c r="EP1149" i="1"/>
  <c r="EP1450" i="1"/>
  <c r="EP1451" i="1"/>
  <c r="EP1154" i="1"/>
  <c r="EP872" i="1"/>
  <c r="EP625" i="1"/>
  <c r="EP1142" i="1"/>
  <c r="EP621" i="1"/>
  <c r="EP1145" i="1"/>
  <c r="EP1159" i="1"/>
  <c r="EP1152" i="1"/>
  <c r="EP623" i="1"/>
  <c r="EP1162" i="1"/>
  <c r="EP1073" i="1"/>
  <c r="EP1146" i="1"/>
  <c r="EP1452" i="1"/>
  <c r="EP1085" i="1"/>
  <c r="EP874" i="1"/>
  <c r="EP632" i="1"/>
  <c r="EP616" i="1"/>
  <c r="EP1147" i="1"/>
  <c r="EP626" i="1"/>
  <c r="EP1340" i="1"/>
  <c r="EP1151" i="1"/>
  <c r="EP871" i="1"/>
  <c r="EP1448" i="1"/>
  <c r="EP620" i="1"/>
  <c r="EP1446" i="1"/>
  <c r="EP1449" i="1"/>
  <c r="EP629" i="1"/>
  <c r="EP1444" i="1"/>
  <c r="EP1457" i="1"/>
  <c r="EP1447" i="1"/>
  <c r="EP1575" i="1"/>
  <c r="EP1445" i="1"/>
  <c r="EP1143" i="1"/>
  <c r="EP1150" i="1"/>
  <c r="EP1148" i="1"/>
  <c r="EP1144" i="1"/>
  <c r="EP627" i="1"/>
  <c r="EP1093" i="1"/>
  <c r="EP1082" i="1"/>
  <c r="EP1068" i="1"/>
  <c r="EP1089" i="1"/>
  <c r="EP1455" i="1"/>
  <c r="EP624" i="1"/>
  <c r="EP1084" i="1"/>
  <c r="EP1067" i="1"/>
  <c r="EP1454" i="1"/>
  <c r="EP1086" i="1"/>
  <c r="EP1074" i="1"/>
  <c r="EP1076" i="1"/>
  <c r="EP1088" i="1"/>
  <c r="EP1072" i="1"/>
  <c r="EP1077" i="1"/>
  <c r="EP1628" i="1"/>
  <c r="EP1456" i="1"/>
  <c r="EP1341" i="1"/>
  <c r="EP1079" i="1"/>
  <c r="EP1153" i="1"/>
  <c r="EP628" i="1"/>
  <c r="EP1160" i="1"/>
  <c r="EP617" i="1"/>
  <c r="EP1070" i="1"/>
  <c r="EP1158" i="1"/>
  <c r="EP1069" i="1"/>
  <c r="EP873" i="1"/>
  <c r="EP1577" i="1"/>
  <c r="EP1087" i="1"/>
  <c r="EP1075" i="1"/>
  <c r="EP1071" i="1"/>
  <c r="EP1092" i="1"/>
  <c r="EP1081" i="1"/>
  <c r="EP1458" i="1"/>
  <c r="EP1083" i="1"/>
  <c r="EP1090" i="1"/>
  <c r="EP1080" i="1"/>
  <c r="EP1453" i="1"/>
  <c r="EP615" i="1"/>
  <c r="EP618" i="1"/>
  <c r="EP1078" i="1"/>
  <c r="EP1161" i="1"/>
  <c r="EP225" i="1"/>
  <c r="EP888" i="1"/>
  <c r="EP901" i="1"/>
  <c r="EP1657" i="1"/>
  <c r="EP243" i="1"/>
  <c r="EP178" i="1"/>
  <c r="EP176" i="1"/>
  <c r="EP1013" i="1"/>
  <c r="EP504" i="1"/>
  <c r="EP168" i="1"/>
  <c r="EP248" i="1"/>
  <c r="EP651" i="1"/>
  <c r="EP172" i="1"/>
  <c r="EP144" i="1"/>
  <c r="EP1702" i="1"/>
  <c r="EP174" i="1"/>
  <c r="EP268" i="1"/>
  <c r="EP131" i="1"/>
  <c r="EP1213" i="1"/>
  <c r="EP239" i="1"/>
  <c r="EP222" i="1"/>
  <c r="EP253" i="1"/>
  <c r="EP1636" i="1"/>
  <c r="EP171" i="1"/>
  <c r="EP1692" i="1"/>
  <c r="EP1576" i="1"/>
  <c r="J368" i="7" l="1"/>
  <c r="I368" i="7"/>
  <c r="H353" i="7"/>
  <c r="G353" i="7"/>
  <c r="F353" i="7"/>
  <c r="E353" i="7"/>
  <c r="D353" i="7"/>
  <c r="C353" i="7"/>
  <c r="AA345" i="7"/>
  <c r="X345" i="7"/>
  <c r="W345" i="7"/>
  <c r="L345" i="7"/>
  <c r="AB345" i="7" s="1"/>
  <c r="K345" i="7"/>
  <c r="J345" i="7"/>
  <c r="Z345" i="7" s="1"/>
  <c r="I345" i="7"/>
  <c r="Y345" i="7" s="1"/>
  <c r="H345" i="7"/>
  <c r="G345" i="7"/>
  <c r="E338" i="7"/>
  <c r="B338" i="7"/>
  <c r="I336" i="7"/>
  <c r="H336" i="7"/>
  <c r="G336" i="7"/>
  <c r="F336" i="7"/>
  <c r="R316" i="7"/>
  <c r="Q316" i="7"/>
  <c r="P316" i="7"/>
  <c r="O316" i="7"/>
  <c r="I306" i="7"/>
  <c r="H306" i="7"/>
  <c r="G306" i="7"/>
  <c r="F306" i="7"/>
  <c r="K282" i="7"/>
  <c r="J282" i="7"/>
  <c r="I282" i="7"/>
  <c r="H282" i="7"/>
  <c r="G282" i="7"/>
  <c r="F275" i="7"/>
  <c r="E275" i="7"/>
  <c r="D275" i="7"/>
  <c r="H274" i="7"/>
  <c r="G274" i="7"/>
  <c r="H273" i="7"/>
  <c r="G273" i="7"/>
  <c r="H272" i="7"/>
  <c r="G272" i="7"/>
  <c r="H271" i="7"/>
  <c r="G271" i="7"/>
  <c r="H270" i="7"/>
  <c r="G270" i="7"/>
  <c r="H269" i="7"/>
  <c r="H275" i="7" s="1"/>
  <c r="G269" i="7"/>
  <c r="H268" i="7"/>
  <c r="G268" i="7"/>
  <c r="G275" i="7" s="1"/>
  <c r="F264" i="7"/>
  <c r="E264" i="7"/>
  <c r="D264" i="7"/>
  <c r="H263" i="7"/>
  <c r="G263" i="7"/>
  <c r="H262" i="7"/>
  <c r="G262" i="7"/>
  <c r="H261" i="7"/>
  <c r="G261" i="7"/>
  <c r="H260" i="7"/>
  <c r="G260" i="7"/>
  <c r="H259" i="7"/>
  <c r="G259" i="7"/>
  <c r="H258" i="7"/>
  <c r="G258" i="7"/>
  <c r="H257" i="7"/>
  <c r="H264" i="7" s="1"/>
  <c r="G257" i="7"/>
  <c r="G264" i="7" s="1"/>
  <c r="H253" i="7"/>
  <c r="F253" i="7"/>
  <c r="E253" i="7"/>
  <c r="D253" i="7"/>
  <c r="H252" i="7"/>
  <c r="G252" i="7"/>
  <c r="H251" i="7"/>
  <c r="G251" i="7"/>
  <c r="H250" i="7"/>
  <c r="G250" i="7"/>
  <c r="H249" i="7"/>
  <c r="G249" i="7"/>
  <c r="H248" i="7"/>
  <c r="G248" i="7"/>
  <c r="H247" i="7"/>
  <c r="G247" i="7"/>
  <c r="G253" i="7" s="1"/>
  <c r="H246" i="7"/>
  <c r="G246" i="7"/>
  <c r="G242" i="7"/>
  <c r="F242" i="7"/>
  <c r="E242" i="7"/>
  <c r="D242" i="7"/>
  <c r="H241" i="7"/>
  <c r="G241" i="7"/>
  <c r="H240" i="7"/>
  <c r="G240" i="7"/>
  <c r="H239" i="7"/>
  <c r="G239" i="7"/>
  <c r="H238" i="7"/>
  <c r="G238" i="7"/>
  <c r="H237" i="7"/>
  <c r="G237" i="7"/>
  <c r="H236" i="7"/>
  <c r="G236" i="7"/>
  <c r="H235" i="7"/>
  <c r="H242" i="7" s="1"/>
  <c r="G235" i="7"/>
  <c r="H231" i="7"/>
  <c r="G231" i="7"/>
  <c r="F231" i="7"/>
  <c r="E231" i="7"/>
  <c r="D231" i="7"/>
  <c r="I218" i="7"/>
  <c r="H218" i="7"/>
  <c r="G218" i="7"/>
  <c r="F218" i="7"/>
  <c r="E218" i="7"/>
  <c r="D218" i="7"/>
  <c r="S208" i="7"/>
  <c r="R208" i="7"/>
  <c r="Q208" i="7"/>
  <c r="P208" i="7"/>
  <c r="O208" i="7"/>
  <c r="N208" i="7"/>
  <c r="S207" i="7"/>
  <c r="R207" i="7"/>
  <c r="Q207" i="7"/>
  <c r="P207" i="7"/>
  <c r="O207" i="7"/>
  <c r="N207" i="7"/>
  <c r="S206" i="7"/>
  <c r="R206" i="7"/>
  <c r="Q206" i="7"/>
  <c r="P206" i="7"/>
  <c r="O206" i="7"/>
  <c r="N206" i="7"/>
  <c r="S205" i="7"/>
  <c r="S209" i="7" s="1"/>
  <c r="S215" i="7" s="1"/>
  <c r="R205" i="7"/>
  <c r="R209" i="7" s="1"/>
  <c r="R215" i="7" s="1"/>
  <c r="Q205" i="7"/>
  <c r="Q209" i="7" s="1"/>
  <c r="Q215" i="7" s="1"/>
  <c r="P205" i="7"/>
  <c r="P209" i="7" s="1"/>
  <c r="P215" i="7" s="1"/>
  <c r="O205" i="7"/>
  <c r="O209" i="7" s="1"/>
  <c r="O215" i="7" s="1"/>
  <c r="N205" i="7"/>
  <c r="N209" i="7" s="1"/>
  <c r="N215" i="7" s="1"/>
  <c r="G191" i="7"/>
  <c r="F191" i="7"/>
  <c r="G189" i="7"/>
  <c r="F189" i="7"/>
  <c r="G187" i="7"/>
  <c r="F187" i="7"/>
  <c r="E181" i="7"/>
  <c r="D181" i="7"/>
  <c r="C181" i="7"/>
  <c r="B178" i="7"/>
  <c r="B179" i="7" s="1"/>
  <c r="B180" i="7" s="1"/>
  <c r="B177" i="7"/>
  <c r="E173" i="7"/>
  <c r="D173" i="7"/>
  <c r="C173" i="7"/>
  <c r="B169" i="7"/>
  <c r="B170" i="7" s="1"/>
  <c r="B171" i="7" s="1"/>
  <c r="B172" i="7" s="1"/>
  <c r="G163" i="7"/>
  <c r="G161" i="7"/>
  <c r="E156" i="7"/>
  <c r="D156" i="7"/>
  <c r="C156" i="7"/>
  <c r="B156" i="7"/>
  <c r="P481" i="6"/>
  <c r="O481" i="6"/>
  <c r="N481" i="6"/>
  <c r="K481" i="6"/>
  <c r="P479" i="6"/>
  <c r="O479" i="6"/>
  <c r="N479" i="6"/>
  <c r="M479" i="6"/>
  <c r="M481" i="6" s="1"/>
  <c r="L479" i="6"/>
  <c r="L481" i="6" s="1"/>
  <c r="K479" i="6"/>
  <c r="Q456" i="6"/>
  <c r="Q455" i="6"/>
  <c r="Q454" i="6"/>
  <c r="AI443" i="6"/>
  <c r="AI442" i="6"/>
  <c r="AI441" i="6"/>
  <c r="AI440" i="6"/>
  <c r="AI439" i="6"/>
  <c r="AI438" i="6"/>
  <c r="AI437" i="6"/>
  <c r="AI436" i="6"/>
  <c r="AI435" i="6"/>
  <c r="AI434" i="6"/>
  <c r="AI433" i="6"/>
  <c r="AI432" i="6"/>
  <c r="AI431" i="6"/>
  <c r="AI430" i="6"/>
  <c r="AI429" i="6"/>
  <c r="AI428" i="6"/>
  <c r="AI427" i="6"/>
  <c r="AI426" i="6"/>
  <c r="AI425" i="6"/>
  <c r="AI424" i="6"/>
  <c r="R424" i="6"/>
  <c r="K424" i="6"/>
  <c r="AI423" i="6"/>
  <c r="R423" i="6"/>
  <c r="K423" i="6"/>
  <c r="AI422" i="6"/>
  <c r="R422" i="6"/>
  <c r="K422" i="6"/>
  <c r="AI421" i="6"/>
  <c r="R421" i="6"/>
  <c r="K421" i="6"/>
  <c r="AI420" i="6"/>
  <c r="AF463" i="6" s="1"/>
  <c r="R420" i="6"/>
  <c r="K420" i="6"/>
  <c r="AG419" i="6"/>
  <c r="AF419" i="6"/>
  <c r="AD419" i="6"/>
  <c r="M408" i="6"/>
  <c r="AA370" i="6" s="1"/>
  <c r="R395" i="6"/>
  <c r="V395" i="6" s="1"/>
  <c r="Q395" i="6"/>
  <c r="U395" i="6" s="1"/>
  <c r="P395" i="6"/>
  <c r="O395" i="6"/>
  <c r="T402" i="6" s="1"/>
  <c r="N395" i="6"/>
  <c r="S402" i="6" s="1"/>
  <c r="Q390" i="6"/>
  <c r="U390" i="6" s="1"/>
  <c r="P390" i="6"/>
  <c r="R390" i="6" s="1"/>
  <c r="V390" i="6" s="1"/>
  <c r="O390" i="6"/>
  <c r="N390" i="6"/>
  <c r="P385" i="6"/>
  <c r="R385" i="6" s="1"/>
  <c r="V385" i="6" s="1"/>
  <c r="O385" i="6"/>
  <c r="Q385" i="6" s="1"/>
  <c r="U385" i="6" s="1"/>
  <c r="N385" i="6"/>
  <c r="P380" i="6"/>
  <c r="R380" i="6" s="1"/>
  <c r="O380" i="6"/>
  <c r="N380" i="6"/>
  <c r="S377" i="6"/>
  <c r="Q377" i="6"/>
  <c r="P377" i="6"/>
  <c r="O377" i="6"/>
  <c r="N377" i="6"/>
  <c r="R377" i="6" s="1"/>
  <c r="R374" i="6"/>
  <c r="Q374" i="6"/>
  <c r="S374" i="6" s="1"/>
  <c r="P374" i="6"/>
  <c r="O374" i="6"/>
  <c r="N374" i="6"/>
  <c r="O372" i="6"/>
  <c r="N372" i="6"/>
  <c r="O371" i="6"/>
  <c r="N371" i="6"/>
  <c r="AC370" i="6"/>
  <c r="AB370" i="6"/>
  <c r="O370" i="6"/>
  <c r="N370" i="6"/>
  <c r="AC369" i="6"/>
  <c r="AB369" i="6"/>
  <c r="AA369" i="6"/>
  <c r="O369" i="6"/>
  <c r="N369" i="6"/>
  <c r="AC368" i="6"/>
  <c r="AB368" i="6"/>
  <c r="O368" i="6"/>
  <c r="N368" i="6"/>
  <c r="AC367" i="6"/>
  <c r="AB367" i="6"/>
  <c r="AA367" i="6"/>
  <c r="O367" i="6"/>
  <c r="N367" i="6"/>
  <c r="AC366" i="6"/>
  <c r="AB366" i="6"/>
  <c r="AA366" i="6"/>
  <c r="O366" i="6"/>
  <c r="N366" i="6"/>
  <c r="AC365" i="6"/>
  <c r="AB365" i="6"/>
  <c r="AA365" i="6"/>
  <c r="O365" i="6"/>
  <c r="N365" i="6"/>
  <c r="AC364" i="6"/>
  <c r="AB364" i="6"/>
  <c r="AA364" i="6"/>
  <c r="O364" i="6"/>
  <c r="N364" i="6"/>
  <c r="AC363" i="6"/>
  <c r="AB363" i="6"/>
  <c r="AA363" i="6"/>
  <c r="O363" i="6"/>
  <c r="N363" i="6"/>
  <c r="AC362" i="6"/>
  <c r="AB362" i="6"/>
  <c r="AA362" i="6"/>
  <c r="O362" i="6"/>
  <c r="N362" i="6"/>
  <c r="O361" i="6"/>
  <c r="N361" i="6"/>
  <c r="AJ357" i="6"/>
  <c r="AI357" i="6"/>
  <c r="AE357" i="6"/>
  <c r="AJ356" i="6"/>
  <c r="AI356" i="6"/>
  <c r="AE356" i="6"/>
  <c r="AJ355" i="6"/>
  <c r="AI355" i="6"/>
  <c r="AE355" i="6"/>
  <c r="AJ354" i="6"/>
  <c r="AI354" i="6"/>
  <c r="AE354" i="6"/>
  <c r="AJ353" i="6"/>
  <c r="AI353" i="6"/>
  <c r="AE353" i="6"/>
  <c r="AJ352" i="6"/>
  <c r="AI352" i="6"/>
  <c r="AE352" i="6"/>
  <c r="AJ351" i="6"/>
  <c r="AI351" i="6"/>
  <c r="AE351" i="6"/>
  <c r="AJ350" i="6"/>
  <c r="AI350" i="6"/>
  <c r="AE350" i="6"/>
  <c r="AJ349" i="6"/>
  <c r="AI349" i="6"/>
  <c r="AE349" i="6"/>
  <c r="AJ348" i="6"/>
  <c r="AI348" i="6"/>
  <c r="AE348" i="6"/>
  <c r="AJ347" i="6"/>
  <c r="AI347" i="6"/>
  <c r="AE347" i="6"/>
  <c r="AJ346" i="6"/>
  <c r="AI346" i="6"/>
  <c r="AE346" i="6"/>
  <c r="AJ345" i="6"/>
  <c r="AI345" i="6"/>
  <c r="AE345" i="6"/>
  <c r="AJ344" i="6"/>
  <c r="AI344" i="6"/>
  <c r="AE344" i="6"/>
  <c r="AJ343" i="6"/>
  <c r="AI343" i="6"/>
  <c r="AE343" i="6"/>
  <c r="AJ342" i="6"/>
  <c r="AI342" i="6"/>
  <c r="AE342" i="6"/>
  <c r="AJ341" i="6"/>
  <c r="AI341" i="6"/>
  <c r="AE341" i="6"/>
  <c r="AJ340" i="6"/>
  <c r="AI340" i="6"/>
  <c r="AE340" i="6"/>
  <c r="AJ339" i="6"/>
  <c r="AI339" i="6"/>
  <c r="AE339" i="6"/>
  <c r="AJ338" i="6"/>
  <c r="AI338" i="6"/>
  <c r="AE338" i="6"/>
  <c r="AJ337" i="6"/>
  <c r="AI337" i="6"/>
  <c r="AE337" i="6"/>
  <c r="AJ336" i="6"/>
  <c r="AI336" i="6"/>
  <c r="AE336" i="6"/>
  <c r="AJ335" i="6"/>
  <c r="AI335" i="6"/>
  <c r="AE335" i="6"/>
  <c r="AJ334" i="6"/>
  <c r="AI334" i="6"/>
  <c r="AE334" i="6"/>
  <c r="AJ333" i="6"/>
  <c r="AI333" i="6"/>
  <c r="AE333" i="6"/>
  <c r="AJ332" i="6"/>
  <c r="AI332" i="6"/>
  <c r="AE332" i="6"/>
  <c r="AJ331" i="6"/>
  <c r="AI331" i="6"/>
  <c r="AE331" i="6"/>
  <c r="AJ330" i="6"/>
  <c r="AI330" i="6"/>
  <c r="AE330" i="6"/>
  <c r="AJ329" i="6"/>
  <c r="AI329" i="6"/>
  <c r="AE329" i="6"/>
  <c r="AJ328" i="6"/>
  <c r="AI328" i="6"/>
  <c r="AE328" i="6"/>
  <c r="AJ327" i="6"/>
  <c r="AI327" i="6"/>
  <c r="AE327" i="6"/>
  <c r="J327" i="6"/>
  <c r="AJ326" i="6"/>
  <c r="AI326" i="6"/>
  <c r="AE326" i="6"/>
  <c r="J326" i="6"/>
  <c r="AJ325" i="6"/>
  <c r="AI325" i="6"/>
  <c r="AE325" i="6"/>
  <c r="J325" i="6"/>
  <c r="AJ324" i="6"/>
  <c r="AI324" i="6"/>
  <c r="AE324" i="6"/>
  <c r="J324" i="6"/>
  <c r="AJ323" i="6"/>
  <c r="AI323" i="6"/>
  <c r="AE323" i="6"/>
  <c r="J323" i="6"/>
  <c r="AJ322" i="6"/>
  <c r="AI322" i="6"/>
  <c r="AE322" i="6"/>
  <c r="J322" i="6"/>
  <c r="AJ321" i="6"/>
  <c r="AI321" i="6"/>
  <c r="AE321" i="6"/>
  <c r="AJ320" i="6"/>
  <c r="AI320" i="6"/>
  <c r="AE320" i="6"/>
  <c r="AJ319" i="6"/>
  <c r="AI319" i="6"/>
  <c r="AE319" i="6"/>
  <c r="AJ318" i="6"/>
  <c r="AI318" i="6"/>
  <c r="AE318" i="6"/>
  <c r="AJ317" i="6"/>
  <c r="AI317" i="6"/>
  <c r="AE317" i="6"/>
  <c r="AJ316" i="6"/>
  <c r="AI316" i="6"/>
  <c r="AE316" i="6"/>
  <c r="AJ315" i="6"/>
  <c r="AI315" i="6"/>
  <c r="AE315" i="6"/>
  <c r="AJ314" i="6"/>
  <c r="AI314" i="6"/>
  <c r="AE314" i="6"/>
  <c r="AJ313" i="6"/>
  <c r="AI313" i="6"/>
  <c r="AE313" i="6"/>
  <c r="AJ312" i="6"/>
  <c r="AI312" i="6"/>
  <c r="AE312" i="6"/>
  <c r="AJ311" i="6"/>
  <c r="AI311" i="6"/>
  <c r="AE311" i="6"/>
  <c r="AJ310" i="6"/>
  <c r="AI310" i="6"/>
  <c r="AE310" i="6"/>
  <c r="AJ309" i="6"/>
  <c r="AI309" i="6"/>
  <c r="AE309" i="6"/>
  <c r="AJ308" i="6"/>
  <c r="AI308" i="6"/>
  <c r="AE308" i="6"/>
  <c r="AJ307" i="6"/>
  <c r="AI307" i="6"/>
  <c r="AE307" i="6"/>
  <c r="AJ306" i="6"/>
  <c r="AI306" i="6"/>
  <c r="AE306" i="6"/>
  <c r="AJ305" i="6"/>
  <c r="AI305" i="6"/>
  <c r="AE305" i="6"/>
  <c r="AJ304" i="6"/>
  <c r="AI304" i="6"/>
  <c r="AE304" i="6"/>
  <c r="AJ303" i="6"/>
  <c r="AI303" i="6"/>
  <c r="AE303" i="6"/>
  <c r="AJ302" i="6"/>
  <c r="AI302" i="6"/>
  <c r="AE302" i="6"/>
  <c r="AJ301" i="6"/>
  <c r="AI301" i="6"/>
  <c r="AE301" i="6"/>
  <c r="AJ300" i="6"/>
  <c r="AI300" i="6"/>
  <c r="AE300" i="6"/>
  <c r="AJ299" i="6"/>
  <c r="AI299" i="6"/>
  <c r="AE299" i="6"/>
  <c r="AJ298" i="6"/>
  <c r="AI298" i="6"/>
  <c r="AE298" i="6"/>
  <c r="AJ297" i="6"/>
  <c r="AI297" i="6"/>
  <c r="AE297" i="6"/>
  <c r="AJ296" i="6"/>
  <c r="AI296" i="6"/>
  <c r="AE296" i="6"/>
  <c r="AJ295" i="6"/>
  <c r="AI295" i="6"/>
  <c r="AE295" i="6"/>
  <c r="AJ294" i="6"/>
  <c r="AI294" i="6"/>
  <c r="AE294" i="6"/>
  <c r="AJ293" i="6"/>
  <c r="AI293" i="6"/>
  <c r="AE293" i="6"/>
  <c r="AJ292" i="6"/>
  <c r="AI292" i="6"/>
  <c r="AE292" i="6"/>
  <c r="AJ291" i="6"/>
  <c r="AI291" i="6"/>
  <c r="AE291" i="6"/>
  <c r="AJ290" i="6"/>
  <c r="AI290" i="6"/>
  <c r="AE290" i="6"/>
  <c r="AJ289" i="6"/>
  <c r="AI289" i="6"/>
  <c r="AE289" i="6"/>
  <c r="AJ288" i="6"/>
  <c r="AI288" i="6"/>
  <c r="AE288" i="6"/>
  <c r="AJ287" i="6"/>
  <c r="AI287" i="6"/>
  <c r="AE287" i="6"/>
  <c r="AJ286" i="6"/>
  <c r="AI286" i="6"/>
  <c r="AE286" i="6"/>
  <c r="P252" i="6"/>
  <c r="P251" i="6"/>
  <c r="P250" i="6"/>
  <c r="P249" i="6"/>
  <c r="P248" i="6"/>
  <c r="P247" i="6"/>
  <c r="O242" i="6"/>
  <c r="N242" i="6"/>
  <c r="M242" i="6"/>
  <c r="L242" i="6"/>
  <c r="K242" i="6"/>
  <c r="R242" i="6" s="1"/>
  <c r="R241" i="6"/>
  <c r="N241" i="6"/>
  <c r="M241" i="6"/>
  <c r="L241" i="6"/>
  <c r="K241" i="6"/>
  <c r="R240" i="6"/>
  <c r="Q240" i="6"/>
  <c r="N240" i="6"/>
  <c r="M240" i="6"/>
  <c r="L240" i="6"/>
  <c r="K240" i="6"/>
  <c r="O239" i="6"/>
  <c r="N239" i="6"/>
  <c r="M239" i="6"/>
  <c r="L239" i="6"/>
  <c r="Q239" i="6" s="1"/>
  <c r="K239" i="6"/>
  <c r="O238" i="6"/>
  <c r="N238" i="6"/>
  <c r="M238" i="6"/>
  <c r="L238" i="6"/>
  <c r="K238" i="6"/>
  <c r="R237" i="6"/>
  <c r="N237" i="6"/>
  <c r="M237" i="6"/>
  <c r="P237" i="6" s="1"/>
  <c r="L237" i="6"/>
  <c r="K237" i="6"/>
  <c r="R236" i="6"/>
  <c r="P236" i="6"/>
  <c r="Q236" i="6" s="1"/>
  <c r="N236" i="6"/>
  <c r="M236" i="6"/>
  <c r="L236" i="6"/>
  <c r="K236" i="6"/>
  <c r="R235" i="6"/>
  <c r="O235" i="6"/>
  <c r="N235" i="6"/>
  <c r="M235" i="6"/>
  <c r="L235" i="6"/>
  <c r="Q235" i="6" s="1"/>
  <c r="K235" i="6"/>
  <c r="O229" i="6"/>
  <c r="O228" i="6"/>
  <c r="O241" i="6" s="1"/>
  <c r="O227" i="6"/>
  <c r="O240" i="6" s="1"/>
  <c r="O226" i="6"/>
  <c r="O225" i="6"/>
  <c r="O224" i="6"/>
  <c r="O237" i="6" s="1"/>
  <c r="O223" i="6"/>
  <c r="O236" i="6" s="1"/>
  <c r="O222" i="6"/>
  <c r="AD193" i="6"/>
  <c r="Q193" i="6"/>
  <c r="P193" i="6"/>
  <c r="O193" i="6"/>
  <c r="M193" i="6"/>
  <c r="L193" i="6"/>
  <c r="K193" i="6"/>
  <c r="E193" i="6"/>
  <c r="AA192" i="6"/>
  <c r="V192" i="6"/>
  <c r="Q192" i="6"/>
  <c r="P192" i="6"/>
  <c r="O192" i="6"/>
  <c r="M192" i="6"/>
  <c r="L192" i="6"/>
  <c r="K192" i="6"/>
  <c r="E192" i="6"/>
  <c r="Q191" i="6"/>
  <c r="P191" i="6"/>
  <c r="O191" i="6"/>
  <c r="M191" i="6"/>
  <c r="L191" i="6"/>
  <c r="K191" i="6"/>
  <c r="E191" i="6"/>
  <c r="AA190" i="6"/>
  <c r="V190" i="6"/>
  <c r="Q190" i="6"/>
  <c r="P190" i="6"/>
  <c r="M190" i="6"/>
  <c r="L190" i="6"/>
  <c r="K190" i="6"/>
  <c r="E190" i="6"/>
  <c r="Q189" i="6"/>
  <c r="P189" i="6"/>
  <c r="O189" i="6"/>
  <c r="M189" i="6"/>
  <c r="L189" i="6"/>
  <c r="K189" i="6"/>
  <c r="E189" i="6"/>
  <c r="AA188" i="6"/>
  <c r="Z188" i="6"/>
  <c r="V188" i="6"/>
  <c r="U188" i="6"/>
  <c r="Q188" i="6"/>
  <c r="P188" i="6"/>
  <c r="M188" i="6"/>
  <c r="L188" i="6"/>
  <c r="K188" i="6"/>
  <c r="E188" i="6"/>
  <c r="Q187" i="6"/>
  <c r="P187" i="6"/>
  <c r="O187" i="6"/>
  <c r="M187" i="6"/>
  <c r="L187" i="6"/>
  <c r="K187" i="6"/>
  <c r="E187" i="6"/>
  <c r="AE186" i="6"/>
  <c r="AD186" i="6"/>
  <c r="AA186" i="6"/>
  <c r="Z186" i="6"/>
  <c r="V186" i="6"/>
  <c r="U186" i="6"/>
  <c r="Q186" i="6"/>
  <c r="P186" i="6"/>
  <c r="O186" i="6"/>
  <c r="M186" i="6"/>
  <c r="L186" i="6"/>
  <c r="K186" i="6"/>
  <c r="E186" i="6"/>
  <c r="Q185" i="6"/>
  <c r="P185" i="6"/>
  <c r="O185" i="6"/>
  <c r="M185" i="6"/>
  <c r="L185" i="6"/>
  <c r="K185" i="6"/>
  <c r="E185" i="6"/>
  <c r="AA184" i="6"/>
  <c r="Z184" i="6"/>
  <c r="V184" i="6"/>
  <c r="U184" i="6"/>
  <c r="Q184" i="6"/>
  <c r="P184" i="6"/>
  <c r="O184" i="6"/>
  <c r="M184" i="6"/>
  <c r="L184" i="6"/>
  <c r="K184" i="6"/>
  <c r="E184" i="6"/>
  <c r="Q183" i="6"/>
  <c r="P183" i="6"/>
  <c r="O183" i="6"/>
  <c r="M183" i="6"/>
  <c r="L183" i="6"/>
  <c r="K183" i="6"/>
  <c r="E183" i="6"/>
  <c r="AE193" i="6" s="1"/>
  <c r="Z182" i="6"/>
  <c r="U182" i="6"/>
  <c r="Q182" i="6"/>
  <c r="P182" i="6"/>
  <c r="O182" i="6"/>
  <c r="M182" i="6"/>
  <c r="L182" i="6"/>
  <c r="K182" i="6"/>
  <c r="E182" i="6"/>
  <c r="I174" i="6"/>
  <c r="H174" i="6"/>
  <c r="G174" i="6"/>
  <c r="F174" i="6"/>
  <c r="I173" i="6"/>
  <c r="I175" i="6" s="1"/>
  <c r="H173" i="6"/>
  <c r="H175" i="6" s="1"/>
  <c r="G173" i="6"/>
  <c r="F173" i="6"/>
  <c r="F175" i="6" s="1"/>
  <c r="L157" i="6"/>
  <c r="J157" i="6"/>
  <c r="L154" i="6"/>
  <c r="J154" i="6"/>
  <c r="L151" i="6"/>
  <c r="J151" i="6"/>
  <c r="N148" i="6"/>
  <c r="L148" i="6"/>
  <c r="J148" i="6"/>
  <c r="M144" i="6"/>
  <c r="I144" i="6"/>
  <c r="M143" i="6"/>
  <c r="J143" i="6"/>
  <c r="I143" i="6"/>
  <c r="M142" i="6"/>
  <c r="L142" i="6"/>
  <c r="K142" i="6"/>
  <c r="J142" i="6"/>
  <c r="J144" i="6" s="1"/>
  <c r="I142" i="6"/>
  <c r="U137" i="6"/>
  <c r="S137" i="6"/>
  <c r="Y137" i="6" s="1"/>
  <c r="R137" i="6"/>
  <c r="X137" i="6" s="1"/>
  <c r="Q137" i="6"/>
  <c r="W137" i="6" s="1"/>
  <c r="P137" i="6"/>
  <c r="V137" i="6" s="1"/>
  <c r="O137" i="6"/>
  <c r="M137" i="6"/>
  <c r="L137" i="6"/>
  <c r="K137" i="6"/>
  <c r="J137" i="6"/>
  <c r="I137" i="6"/>
  <c r="Y136" i="6"/>
  <c r="W136" i="6"/>
  <c r="S136" i="6"/>
  <c r="R136" i="6"/>
  <c r="X136" i="6" s="1"/>
  <c r="Q136" i="6"/>
  <c r="P136" i="6"/>
  <c r="V136" i="6" s="1"/>
  <c r="O136" i="6"/>
  <c r="U136" i="6" s="1"/>
  <c r="M136" i="6"/>
  <c r="L136" i="6"/>
  <c r="K136" i="6"/>
  <c r="J136" i="6"/>
  <c r="I136" i="6"/>
  <c r="Y135" i="6"/>
  <c r="X135" i="6"/>
  <c r="S135" i="6"/>
  <c r="R135" i="6"/>
  <c r="Q135" i="6"/>
  <c r="W135" i="6" s="1"/>
  <c r="P135" i="6"/>
  <c r="V135" i="6" s="1"/>
  <c r="O135" i="6"/>
  <c r="U135" i="6" s="1"/>
  <c r="M135" i="6"/>
  <c r="L135" i="6"/>
  <c r="K135" i="6"/>
  <c r="J135" i="6"/>
  <c r="I135" i="6"/>
  <c r="G123" i="6"/>
  <c r="I117" i="6"/>
  <c r="G115" i="6"/>
  <c r="H114" i="6"/>
  <c r="E114" i="6"/>
  <c r="I113" i="6"/>
  <c r="H113" i="6"/>
  <c r="G113" i="6"/>
  <c r="F113" i="6"/>
  <c r="E113" i="6"/>
  <c r="D113" i="6"/>
  <c r="I112" i="6"/>
  <c r="I114" i="6" s="1"/>
  <c r="H112" i="6"/>
  <c r="G112" i="6"/>
  <c r="F112" i="6"/>
  <c r="F114" i="6" s="1"/>
  <c r="E112" i="6"/>
  <c r="D112" i="6"/>
  <c r="I111" i="6"/>
  <c r="H111" i="6"/>
  <c r="G111" i="6"/>
  <c r="F111" i="6"/>
  <c r="F115" i="6" s="1"/>
  <c r="E111" i="6"/>
  <c r="D111" i="6"/>
  <c r="D115" i="6" s="1"/>
  <c r="I110" i="6"/>
  <c r="H110" i="6"/>
  <c r="G110" i="6"/>
  <c r="F110" i="6"/>
  <c r="E110" i="6"/>
  <c r="E115" i="6" s="1"/>
  <c r="D110" i="6"/>
  <c r="I109" i="6"/>
  <c r="I116" i="6" s="1"/>
  <c r="H109" i="6"/>
  <c r="G109" i="6"/>
  <c r="F109" i="6"/>
  <c r="F116" i="6" s="1"/>
  <c r="E109" i="6"/>
  <c r="D109" i="6"/>
  <c r="G94" i="6"/>
  <c r="F94" i="6"/>
  <c r="H93" i="6"/>
  <c r="G93" i="6"/>
  <c r="F93" i="6"/>
  <c r="H92" i="6"/>
  <c r="H91" i="6"/>
  <c r="H90" i="6"/>
  <c r="H94" i="6" s="1"/>
  <c r="C90" i="6"/>
  <c r="H89" i="6"/>
  <c r="M68" i="6"/>
  <c r="M67" i="6"/>
  <c r="M66" i="6"/>
  <c r="M65" i="6"/>
  <c r="K13" i="6"/>
  <c r="J13" i="6"/>
  <c r="I13" i="6"/>
  <c r="K12" i="6"/>
  <c r="J12" i="6"/>
  <c r="I12" i="6"/>
  <c r="K11" i="6"/>
  <c r="J11" i="6"/>
  <c r="I11" i="6"/>
  <c r="K10" i="6"/>
  <c r="J10" i="6"/>
  <c r="I10" i="6"/>
  <c r="K9" i="6"/>
  <c r="J9" i="6"/>
  <c r="I9" i="6"/>
  <c r="P7" i="6"/>
  <c r="O7" i="6"/>
  <c r="N7" i="6"/>
  <c r="E2" i="4" a="1"/>
  <c r="E2" i="4" s="1"/>
  <c r="A2" i="4" a="1"/>
  <c r="C115" i="4" s="1"/>
  <c r="B5" i="3"/>
  <c r="E2" i="3"/>
  <c r="X309" i="6"/>
  <c r="Z325" i="6"/>
  <c r="Y349" i="6"/>
  <c r="W349" i="6"/>
  <c r="Z305" i="6"/>
  <c r="Z329" i="6"/>
  <c r="AB340" i="6"/>
  <c r="Y334" i="6"/>
  <c r="X331" i="6"/>
  <c r="X328" i="6"/>
  <c r="X344" i="6"/>
  <c r="AB333" i="6"/>
  <c r="Y335" i="6"/>
  <c r="X301" i="6"/>
  <c r="AA309" i="6"/>
  <c r="X340" i="6"/>
  <c r="AB308" i="6"/>
  <c r="AA328" i="6"/>
  <c r="Z297" i="6"/>
  <c r="AB316" i="6"/>
  <c r="X326" i="6"/>
  <c r="AB354" i="6"/>
  <c r="X333" i="6"/>
  <c r="X288" i="6"/>
  <c r="X287" i="6"/>
  <c r="Y350" i="6"/>
  <c r="W345" i="6"/>
  <c r="X302" i="6"/>
  <c r="X317" i="6"/>
  <c r="Z311" i="6"/>
  <c r="AB337" i="6"/>
  <c r="AB339" i="6"/>
  <c r="X357" i="6"/>
  <c r="AA308" i="6"/>
  <c r="X341" i="6"/>
  <c r="AB356" i="6"/>
  <c r="AB324" i="6"/>
  <c r="AA301" i="6"/>
  <c r="X346" i="6"/>
  <c r="X353" i="6"/>
  <c r="X335" i="6"/>
  <c r="X296" i="6"/>
  <c r="Z324" i="6"/>
  <c r="Z316" i="6"/>
  <c r="AA287" i="6"/>
  <c r="AB288" i="6"/>
  <c r="X339" i="6"/>
  <c r="Z292" i="6"/>
  <c r="W339" i="6"/>
  <c r="AB290" i="6"/>
  <c r="AB312" i="6"/>
  <c r="Y351" i="6"/>
  <c r="Z354" i="6"/>
  <c r="AB299" i="6"/>
  <c r="Z308" i="6"/>
  <c r="AB315" i="6"/>
  <c r="X345" i="6"/>
  <c r="Z302" i="6"/>
  <c r="Z336" i="6"/>
  <c r="Z328" i="6"/>
  <c r="AB345" i="6"/>
  <c r="X299" i="6"/>
  <c r="Y338" i="6"/>
  <c r="AB303" i="6"/>
  <c r="X352" i="6"/>
  <c r="Z350" i="6"/>
  <c r="W334" i="6"/>
  <c r="Y337" i="6"/>
  <c r="AA320" i="6"/>
  <c r="AB313" i="6"/>
  <c r="AB338" i="6"/>
  <c r="X303" i="6"/>
  <c r="AA317" i="6"/>
  <c r="X293" i="6"/>
  <c r="AB334" i="6"/>
  <c r="Z356" i="6"/>
  <c r="AA316" i="6"/>
  <c r="W338" i="6"/>
  <c r="AA335" i="6"/>
  <c r="AA333" i="6"/>
  <c r="Z290" i="6"/>
  <c r="Z339" i="6"/>
  <c r="Z330" i="6"/>
  <c r="Y339" i="6"/>
  <c r="Z296" i="6"/>
  <c r="W335" i="6"/>
  <c r="Z313" i="6"/>
  <c r="X314" i="6"/>
  <c r="Y354" i="6"/>
  <c r="AA344" i="6"/>
  <c r="AB321" i="6"/>
  <c r="W356" i="6"/>
  <c r="X338" i="6"/>
  <c r="AB344" i="6"/>
  <c r="Z289" i="6"/>
  <c r="W341" i="6"/>
  <c r="X348" i="6"/>
  <c r="AB300" i="6"/>
  <c r="AA293" i="6"/>
  <c r="X297" i="6"/>
  <c r="Z333" i="6"/>
  <c r="AB332" i="6"/>
  <c r="Z341" i="6"/>
  <c r="Y345" i="6"/>
  <c r="AA336" i="6"/>
  <c r="X330" i="6"/>
  <c r="Z337" i="6"/>
  <c r="AB320" i="6"/>
  <c r="Z320" i="6"/>
  <c r="W355" i="6"/>
  <c r="X321" i="6"/>
  <c r="X350" i="6"/>
  <c r="Z321" i="6"/>
  <c r="Z338" i="6"/>
  <c r="X351" i="6"/>
  <c r="AA353" i="6"/>
  <c r="W344" i="6"/>
  <c r="X342" i="6"/>
  <c r="Y340" i="6"/>
  <c r="AA331" i="6"/>
  <c r="Z293" i="6"/>
  <c r="X349" i="6"/>
  <c r="Z304" i="6"/>
  <c r="Z343" i="6"/>
  <c r="X354" i="6"/>
  <c r="Z355" i="6"/>
  <c r="Y336" i="6"/>
  <c r="AA351" i="6"/>
  <c r="X306" i="6"/>
  <c r="AB307" i="6"/>
  <c r="AB357" i="6"/>
  <c r="X347" i="6"/>
  <c r="Z317" i="6"/>
  <c r="X304" i="6"/>
  <c r="AB327" i="6"/>
  <c r="X327" i="6"/>
  <c r="Z340" i="6"/>
  <c r="AA288" i="6"/>
  <c r="AB330" i="6"/>
  <c r="AB343" i="6"/>
  <c r="Z332" i="6"/>
  <c r="AB347" i="6"/>
  <c r="Z353" i="6"/>
  <c r="Z347" i="6"/>
  <c r="Z307" i="6"/>
  <c r="Z306" i="6"/>
  <c r="X305" i="6"/>
  <c r="X319" i="6"/>
  <c r="X355" i="6"/>
  <c r="AA314" i="6"/>
  <c r="AB287" i="6"/>
  <c r="AA290" i="6"/>
  <c r="X289" i="6"/>
  <c r="W343" i="6"/>
  <c r="X332" i="6"/>
  <c r="Z327" i="6"/>
  <c r="AA306" i="6"/>
  <c r="AB351" i="6"/>
  <c r="AB349" i="6"/>
  <c r="X298" i="6"/>
  <c r="Z346" i="6"/>
  <c r="Z301" i="6"/>
  <c r="AB304" i="6"/>
  <c r="W352" i="6"/>
  <c r="X310" i="6"/>
  <c r="AB352" i="6"/>
  <c r="Z352" i="6"/>
  <c r="AA295" i="6"/>
  <c r="AA337" i="6"/>
  <c r="X324" i="6"/>
  <c r="Z322" i="6"/>
  <c r="X295" i="6"/>
  <c r="Z319" i="6"/>
  <c r="AA311" i="6"/>
  <c r="AB336" i="6"/>
  <c r="Z349" i="6"/>
  <c r="AA304" i="6"/>
  <c r="Z334" i="6"/>
  <c r="Y347" i="6"/>
  <c r="Y344" i="6"/>
  <c r="W353" i="6"/>
  <c r="X307" i="6"/>
  <c r="Z315" i="6"/>
  <c r="X292" i="6"/>
  <c r="Y341" i="6"/>
  <c r="AB328" i="6"/>
  <c r="Z310" i="6"/>
  <c r="X320" i="6"/>
  <c r="Z309" i="6"/>
  <c r="Z331" i="6"/>
  <c r="AB298" i="6"/>
  <c r="AB306" i="6"/>
  <c r="Y355" i="6"/>
  <c r="AB342" i="6"/>
  <c r="AA330" i="6"/>
  <c r="AB292" i="6"/>
  <c r="W347" i="6"/>
  <c r="Z348" i="6"/>
  <c r="Z300" i="6"/>
  <c r="Z357" i="6"/>
  <c r="W336" i="6"/>
  <c r="Z291" i="6"/>
  <c r="AA300" i="6"/>
  <c r="AA312" i="6"/>
  <c r="AA347" i="6"/>
  <c r="Y352" i="6"/>
  <c r="X318" i="6"/>
  <c r="W351" i="6"/>
  <c r="AA355" i="6"/>
  <c r="AA319" i="6"/>
  <c r="AA346" i="6"/>
  <c r="AA292" i="6"/>
  <c r="AA345" i="6"/>
  <c r="W337" i="6"/>
  <c r="X308" i="6"/>
  <c r="W348" i="6"/>
  <c r="Z314" i="6"/>
  <c r="Z326" i="6"/>
  <c r="Y342" i="6"/>
  <c r="X322" i="6"/>
  <c r="AB309" i="6"/>
  <c r="Z351" i="6"/>
  <c r="Z287" i="6"/>
  <c r="Z323" i="6"/>
  <c r="X294" i="6"/>
  <c r="W340" i="6"/>
  <c r="AB314" i="6"/>
  <c r="AB317" i="6"/>
  <c r="AB353" i="6"/>
  <c r="W350" i="6"/>
  <c r="Z298" i="6"/>
  <c r="X286" i="6"/>
  <c r="Z295" i="6"/>
  <c r="Y353" i="6"/>
  <c r="X329" i="6"/>
  <c r="Z286" i="6"/>
  <c r="AA291" i="6"/>
  <c r="X337" i="6"/>
  <c r="AB291" i="6"/>
  <c r="Z299" i="6"/>
  <c r="AB348" i="6"/>
  <c r="W354" i="6"/>
  <c r="AA299" i="6"/>
  <c r="AB311" i="6"/>
  <c r="X323" i="6"/>
  <c r="AB329" i="6"/>
  <c r="AA339" i="6"/>
  <c r="Z303" i="6"/>
  <c r="Z318" i="6"/>
  <c r="AB346" i="6"/>
  <c r="AB323" i="6"/>
  <c r="Z294" i="6"/>
  <c r="Y348" i="6"/>
  <c r="AB322" i="6"/>
  <c r="AA338" i="6"/>
  <c r="AA296" i="6"/>
  <c r="AA343" i="6"/>
  <c r="AA307" i="6"/>
  <c r="AB335" i="6"/>
  <c r="X313" i="6"/>
  <c r="Y356" i="6"/>
  <c r="X290" i="6"/>
  <c r="Z345" i="6"/>
  <c r="AA298" i="6"/>
  <c r="X356" i="6"/>
  <c r="AB331" i="6"/>
  <c r="AB325" i="6"/>
  <c r="X336" i="6"/>
  <c r="X300" i="6"/>
  <c r="AA354" i="6"/>
  <c r="AB301" i="6"/>
  <c r="X343" i="6"/>
  <c r="X334" i="6"/>
  <c r="X316" i="6"/>
  <c r="Z288" i="6"/>
  <c r="AB319" i="6"/>
  <c r="AA315" i="6"/>
  <c r="X291" i="6"/>
  <c r="AB341" i="6"/>
  <c r="AB295" i="6"/>
  <c r="Y357" i="6"/>
  <c r="AB293" i="6"/>
  <c r="AA352" i="6"/>
  <c r="AA329" i="6"/>
  <c r="W346" i="6"/>
  <c r="AB326" i="6"/>
  <c r="Z342" i="6"/>
  <c r="X311" i="6"/>
  <c r="AB355" i="6"/>
  <c r="Z312" i="6"/>
  <c r="Y346" i="6"/>
  <c r="AB296" i="6"/>
  <c r="AB350" i="6"/>
  <c r="X312" i="6"/>
  <c r="Z344" i="6"/>
  <c r="W357" i="6"/>
  <c r="Y343" i="6"/>
  <c r="AB305" i="6"/>
  <c r="Z335" i="6"/>
  <c r="AA303" i="6"/>
  <c r="W342" i="6"/>
  <c r="X325" i="6"/>
  <c r="X315" i="6"/>
  <c r="C8" i="4" l="1"/>
  <c r="A32" i="4"/>
  <c r="C53" i="4"/>
  <c r="A76" i="4"/>
  <c r="C98" i="4"/>
  <c r="C14" i="4"/>
  <c r="B36" i="4"/>
  <c r="C59" i="4"/>
  <c r="B81" i="4"/>
  <c r="A104" i="4"/>
  <c r="C17" i="4"/>
  <c r="B39" i="4"/>
  <c r="B62" i="4"/>
  <c r="B84" i="4"/>
  <c r="A106" i="4"/>
  <c r="B20" i="4"/>
  <c r="C42" i="4"/>
  <c r="B64" i="4"/>
  <c r="B87" i="4"/>
  <c r="B109" i="4"/>
  <c r="C22" i="4"/>
  <c r="C45" i="4"/>
  <c r="B67" i="4"/>
  <c r="A90" i="4"/>
  <c r="B112" i="4"/>
  <c r="A4" i="4"/>
  <c r="C25" i="4"/>
  <c r="B48" i="4"/>
  <c r="B70" i="4"/>
  <c r="B92" i="4"/>
  <c r="B115" i="4"/>
  <c r="B6" i="4"/>
  <c r="C28" i="4"/>
  <c r="C50" i="4"/>
  <c r="B73" i="4"/>
  <c r="B95" i="4"/>
  <c r="A118" i="4"/>
  <c r="C11" i="4"/>
  <c r="C34" i="4"/>
  <c r="C56" i="4"/>
  <c r="B78" i="4"/>
  <c r="C101" i="4"/>
  <c r="C4" i="4"/>
  <c r="A11" i="4"/>
  <c r="B15" i="4"/>
  <c r="C21" i="4"/>
  <c r="B27" i="4"/>
  <c r="C32" i="4"/>
  <c r="C38" i="4"/>
  <c r="C43" i="4"/>
  <c r="C49" i="4"/>
  <c r="A55" i="4"/>
  <c r="B60" i="4"/>
  <c r="C66" i="4"/>
  <c r="B71" i="4"/>
  <c r="C77" i="4"/>
  <c r="B83" i="4"/>
  <c r="B88" i="4"/>
  <c r="B94" i="4"/>
  <c r="B99" i="4"/>
  <c r="B105" i="4"/>
  <c r="A111" i="4"/>
  <c r="A116" i="4"/>
  <c r="B5" i="4"/>
  <c r="B11" i="4"/>
  <c r="A17" i="4"/>
  <c r="B22" i="4"/>
  <c r="B28" i="4"/>
  <c r="A33" i="4"/>
  <c r="A39" i="4"/>
  <c r="C44" i="4"/>
  <c r="A50" i="4"/>
  <c r="B56" i="4"/>
  <c r="C60" i="4"/>
  <c r="A67" i="4"/>
  <c r="C72" i="4"/>
  <c r="A78" i="4"/>
  <c r="A84" i="4"/>
  <c r="C88" i="4"/>
  <c r="C94" i="4"/>
  <c r="B100" i="4"/>
  <c r="C105" i="4"/>
  <c r="A112" i="4"/>
  <c r="C116" i="4"/>
  <c r="A2" i="4"/>
  <c r="B7" i="4"/>
  <c r="A12" i="4"/>
  <c r="A18" i="4"/>
  <c r="A24" i="4"/>
  <c r="B29" i="4"/>
  <c r="B35" i="4"/>
  <c r="A40" i="4"/>
  <c r="A46" i="4"/>
  <c r="C51" i="4"/>
  <c r="A57" i="4"/>
  <c r="A63" i="4"/>
  <c r="A68" i="4"/>
  <c r="A74" i="4"/>
  <c r="B79" i="4"/>
  <c r="C84" i="4"/>
  <c r="A91" i="4"/>
  <c r="A96" i="4"/>
  <c r="A102" i="4"/>
  <c r="C107" i="4"/>
  <c r="C112" i="4"/>
  <c r="C118" i="4"/>
  <c r="A8" i="4"/>
  <c r="C13" i="4"/>
  <c r="C18" i="4"/>
  <c r="C24" i="4"/>
  <c r="C29" i="4"/>
  <c r="C35" i="4"/>
  <c r="B41" i="4"/>
  <c r="C46" i="4"/>
  <c r="C52" i="4"/>
  <c r="B57" i="4"/>
  <c r="B63" i="4"/>
  <c r="B69" i="4"/>
  <c r="C74" i="4"/>
  <c r="C80" i="4"/>
  <c r="B85" i="4"/>
  <c r="B91" i="4"/>
  <c r="A97" i="4"/>
  <c r="B102" i="4"/>
  <c r="B108" i="4"/>
  <c r="A113" i="4"/>
  <c r="A119" i="4"/>
  <c r="A3" i="4"/>
  <c r="B8" i="4"/>
  <c r="B14" i="4"/>
  <c r="B19" i="4"/>
  <c r="B25" i="4"/>
  <c r="C30" i="4"/>
  <c r="A36" i="4"/>
  <c r="A42" i="4"/>
  <c r="A47" i="4"/>
  <c r="B53" i="4"/>
  <c r="A59" i="4"/>
  <c r="A64" i="4"/>
  <c r="A70" i="4"/>
  <c r="A75" i="4"/>
  <c r="A81" i="4"/>
  <c r="C86" i="4"/>
  <c r="C91" i="4"/>
  <c r="C97" i="4"/>
  <c r="C102" i="4"/>
  <c r="C108" i="4"/>
  <c r="C114" i="4"/>
  <c r="B4" i="4"/>
  <c r="A10" i="4"/>
  <c r="A15" i="4"/>
  <c r="B21" i="4"/>
  <c r="A26" i="4"/>
  <c r="B32" i="4"/>
  <c r="A38" i="4"/>
  <c r="A43" i="4"/>
  <c r="A49" i="4"/>
  <c r="A54" i="4"/>
  <c r="A60" i="4"/>
  <c r="C65" i="4"/>
  <c r="A71" i="4"/>
  <c r="B77" i="4"/>
  <c r="C81" i="4"/>
  <c r="A88" i="4"/>
  <c r="C93" i="4"/>
  <c r="A99" i="4"/>
  <c r="A105" i="4"/>
  <c r="C109" i="4"/>
  <c r="EM6" i="1"/>
  <c r="EL6" i="1"/>
  <c r="EK6" i="1"/>
  <c r="B3" i="3"/>
  <c r="B2" i="3"/>
  <c r="AL190" i="6"/>
  <c r="AL191" i="6" s="1"/>
  <c r="AP189" i="6"/>
  <c r="AG189" i="6"/>
  <c r="AF191" i="6"/>
  <c r="AI190" i="6"/>
  <c r="AI191" i="6" s="1"/>
  <c r="AN189" i="6"/>
  <c r="AE189" i="6"/>
  <c r="AI184" i="6"/>
  <c r="AH183" i="6"/>
  <c r="AL182" i="6"/>
  <c r="AE191" i="6"/>
  <c r="AH190" i="6"/>
  <c r="AH191" i="6" s="1"/>
  <c r="AM189" i="6"/>
  <c r="AD189" i="6"/>
  <c r="AH184" i="6"/>
  <c r="AP183" i="6"/>
  <c r="AG183" i="6"/>
  <c r="AK182" i="6"/>
  <c r="AO190" i="6"/>
  <c r="AO191" i="6" s="1"/>
  <c r="AF190" i="6"/>
  <c r="AK189" i="6"/>
  <c r="AN183" i="6"/>
  <c r="AN184" i="6" s="1"/>
  <c r="AE183" i="6"/>
  <c r="AE184" i="6" s="1"/>
  <c r="AH182" i="6"/>
  <c r="AK191" i="6"/>
  <c r="AN190" i="6"/>
  <c r="AN191" i="6" s="1"/>
  <c r="AE190" i="6"/>
  <c r="AI189" i="6"/>
  <c r="AM183" i="6"/>
  <c r="AD183" i="6"/>
  <c r="AD184" i="6" s="1"/>
  <c r="AP182" i="6"/>
  <c r="AG182" i="6"/>
  <c r="AK190" i="6"/>
  <c r="AK184" i="6"/>
  <c r="AK183" i="6"/>
  <c r="AD182" i="6"/>
  <c r="AG190" i="6"/>
  <c r="AG184" i="6"/>
  <c r="AI183" i="6"/>
  <c r="AD190" i="6"/>
  <c r="AF183" i="6"/>
  <c r="AF184" i="6" s="1"/>
  <c r="AO182" i="6"/>
  <c r="AO189" i="6"/>
  <c r="AN182" i="6"/>
  <c r="AM191" i="6"/>
  <c r="AL189" i="6"/>
  <c r="AM182" i="6"/>
  <c r="AD191" i="6"/>
  <c r="AP190" i="6"/>
  <c r="AP191" i="6" s="1"/>
  <c r="AF189" i="6"/>
  <c r="AM184" i="6"/>
  <c r="AO183" i="6"/>
  <c r="AO184" i="6" s="1"/>
  <c r="AF182" i="6"/>
  <c r="AM190" i="6"/>
  <c r="AL183" i="6"/>
  <c r="AL184" i="6" s="1"/>
  <c r="AE182" i="6"/>
  <c r="AP184" i="6"/>
  <c r="AG191" i="6"/>
  <c r="AH189" i="6"/>
  <c r="AI182" i="6"/>
  <c r="E3" i="4" a="1"/>
  <c r="E3" i="4" s="1"/>
  <c r="I2" i="4"/>
  <c r="G2" i="4"/>
  <c r="C119" i="4"/>
  <c r="A117" i="4"/>
  <c r="B114" i="4"/>
  <c r="C111" i="4"/>
  <c r="A109" i="4"/>
  <c r="B106" i="4"/>
  <c r="C103" i="4"/>
  <c r="A101" i="4"/>
  <c r="B98" i="4"/>
  <c r="C95" i="4"/>
  <c r="A93" i="4"/>
  <c r="B90" i="4"/>
  <c r="C87" i="4"/>
  <c r="A85" i="4"/>
  <c r="B82" i="4"/>
  <c r="C79" i="4"/>
  <c r="A77" i="4"/>
  <c r="B74" i="4"/>
  <c r="C71" i="4"/>
  <c r="A69" i="4"/>
  <c r="B66" i="4"/>
  <c r="C63" i="4"/>
  <c r="A61" i="4"/>
  <c r="B58" i="4"/>
  <c r="C55" i="4"/>
  <c r="A53" i="4"/>
  <c r="B50" i="4"/>
  <c r="C47" i="4"/>
  <c r="A45" i="4"/>
  <c r="B42" i="4"/>
  <c r="C39" i="4"/>
  <c r="A37" i="4"/>
  <c r="B34" i="4"/>
  <c r="C31" i="4"/>
  <c r="A29" i="4"/>
  <c r="B26" i="4"/>
  <c r="C23" i="4"/>
  <c r="A21" i="4"/>
  <c r="B18" i="4"/>
  <c r="C15" i="4"/>
  <c r="A13" i="4"/>
  <c r="B10" i="4"/>
  <c r="C7" i="4"/>
  <c r="A5" i="4"/>
  <c r="B2" i="4"/>
  <c r="K2" i="4" s="1"/>
  <c r="B119" i="4"/>
  <c r="B116" i="4"/>
  <c r="B113" i="4"/>
  <c r="B110" i="4"/>
  <c r="B107" i="4"/>
  <c r="B104" i="4"/>
  <c r="B101" i="4"/>
  <c r="A98" i="4"/>
  <c r="A95" i="4"/>
  <c r="A92" i="4"/>
  <c r="A89" i="4"/>
  <c r="A86" i="4"/>
  <c r="A83" i="4"/>
  <c r="A80" i="4"/>
  <c r="C76" i="4"/>
  <c r="C73" i="4"/>
  <c r="C70" i="4"/>
  <c r="C67" i="4"/>
  <c r="C64" i="4"/>
  <c r="C61" i="4"/>
  <c r="C58" i="4"/>
  <c r="B55" i="4"/>
  <c r="B52" i="4"/>
  <c r="B49" i="4"/>
  <c r="B46" i="4"/>
  <c r="B43" i="4"/>
  <c r="B40" i="4"/>
  <c r="B37" i="4"/>
  <c r="A34" i="4"/>
  <c r="A31" i="4"/>
  <c r="A28" i="4"/>
  <c r="A25" i="4"/>
  <c r="A22" i="4"/>
  <c r="A19" i="4"/>
  <c r="A16" i="4"/>
  <c r="C12" i="4"/>
  <c r="C9" i="4"/>
  <c r="C6" i="4"/>
  <c r="C3" i="4"/>
  <c r="C5" i="4"/>
  <c r="A9" i="4"/>
  <c r="B12" i="4"/>
  <c r="B16" i="4"/>
  <c r="C19" i="4"/>
  <c r="A23" i="4"/>
  <c r="C26" i="4"/>
  <c r="A30" i="4"/>
  <c r="B33" i="4"/>
  <c r="C36" i="4"/>
  <c r="C40" i="4"/>
  <c r="A44" i="4"/>
  <c r="B47" i="4"/>
  <c r="A51" i="4"/>
  <c r="B54" i="4"/>
  <c r="C57" i="4"/>
  <c r="B61" i="4"/>
  <c r="A65" i="4"/>
  <c r="B68" i="4"/>
  <c r="A72" i="4"/>
  <c r="B75" i="4"/>
  <c r="C78" i="4"/>
  <c r="A82" i="4"/>
  <c r="C85" i="4"/>
  <c r="B89" i="4"/>
  <c r="C92" i="4"/>
  <c r="B96" i="4"/>
  <c r="C99" i="4"/>
  <c r="A103" i="4"/>
  <c r="C106" i="4"/>
  <c r="A110" i="4"/>
  <c r="C113" i="4"/>
  <c r="B117" i="4"/>
  <c r="C2" i="4"/>
  <c r="A6" i="4"/>
  <c r="B9" i="4"/>
  <c r="B13" i="4"/>
  <c r="C16" i="4"/>
  <c r="A20" i="4"/>
  <c r="B23" i="4"/>
  <c r="A27" i="4"/>
  <c r="B30" i="4"/>
  <c r="C33" i="4"/>
  <c r="C37" i="4"/>
  <c r="A41" i="4"/>
  <c r="B44" i="4"/>
  <c r="A48" i="4"/>
  <c r="B51" i="4"/>
  <c r="C54" i="4"/>
  <c r="A58" i="4"/>
  <c r="A62" i="4"/>
  <c r="B65" i="4"/>
  <c r="C68" i="4"/>
  <c r="B72" i="4"/>
  <c r="C75" i="4"/>
  <c r="A79" i="4"/>
  <c r="C82" i="4"/>
  <c r="B86" i="4"/>
  <c r="C89" i="4"/>
  <c r="B93" i="4"/>
  <c r="C96" i="4"/>
  <c r="A100" i="4"/>
  <c r="B103" i="4"/>
  <c r="A107" i="4"/>
  <c r="C110" i="4"/>
  <c r="A114" i="4"/>
  <c r="C117" i="4"/>
  <c r="B3" i="4"/>
  <c r="A7" i="4"/>
  <c r="C10" i="4"/>
  <c r="A14" i="4"/>
  <c r="B17" i="4"/>
  <c r="C20" i="4"/>
  <c r="B24" i="4"/>
  <c r="C27" i="4"/>
  <c r="B31" i="4"/>
  <c r="A35" i="4"/>
  <c r="B38" i="4"/>
  <c r="C41" i="4"/>
  <c r="B45" i="4"/>
  <c r="C48" i="4"/>
  <c r="A52" i="4"/>
  <c r="A56" i="4"/>
  <c r="B59" i="4"/>
  <c r="C62" i="4"/>
  <c r="A66" i="4"/>
  <c r="C69" i="4"/>
  <c r="A73" i="4"/>
  <c r="B76" i="4"/>
  <c r="B80" i="4"/>
  <c r="C83" i="4"/>
  <c r="A87" i="4"/>
  <c r="C90" i="4"/>
  <c r="A94" i="4"/>
  <c r="B97" i="4"/>
  <c r="C100" i="4"/>
  <c r="C104" i="4"/>
  <c r="A108" i="4"/>
  <c r="B111" i="4"/>
  <c r="A115" i="4"/>
  <c r="B118" i="4"/>
  <c r="K143" i="6"/>
  <c r="K144" i="6"/>
  <c r="AF193" i="6"/>
  <c r="AG186" i="6"/>
  <c r="AF186" i="6"/>
  <c r="AH193" i="6"/>
  <c r="AI186" i="6"/>
  <c r="K157" i="6"/>
  <c r="D114" i="6"/>
  <c r="F117" i="6"/>
  <c r="K154" i="6"/>
  <c r="Q238" i="6"/>
  <c r="R238" i="6"/>
  <c r="P241" i="6"/>
  <c r="L143" i="6"/>
  <c r="L144" i="6"/>
  <c r="K148" i="6"/>
  <c r="H115" i="6"/>
  <c r="I115" i="6"/>
  <c r="R239" i="6"/>
  <c r="K151" i="6"/>
  <c r="G175" i="6"/>
  <c r="G114" i="6"/>
  <c r="AG422" i="6"/>
  <c r="AG425" i="6"/>
  <c r="AG427" i="6"/>
  <c r="AG429" i="6"/>
  <c r="AG431" i="6"/>
  <c r="AG433" i="6"/>
  <c r="AG435" i="6"/>
  <c r="AG437" i="6"/>
  <c r="AG439" i="6"/>
  <c r="AG441" i="6"/>
  <c r="AG443" i="6"/>
  <c r="AG448" i="6"/>
  <c r="AF451" i="6"/>
  <c r="AF458" i="6"/>
  <c r="AG463" i="6"/>
  <c r="AH186" i="6"/>
  <c r="AG193" i="6"/>
  <c r="AA368" i="6"/>
  <c r="Q380" i="6"/>
  <c r="S380" i="6" s="1"/>
  <c r="R402" i="6"/>
  <c r="AF421" i="6"/>
  <c r="AF446" i="6"/>
  <c r="AG451" i="6"/>
  <c r="AG458" i="6"/>
  <c r="AF461" i="6"/>
  <c r="AG421" i="6"/>
  <c r="AG446" i="6"/>
  <c r="AF449" i="6"/>
  <c r="AF454" i="6"/>
  <c r="AF456" i="6"/>
  <c r="AG461" i="6"/>
  <c r="AF464" i="6"/>
  <c r="AI193" i="6"/>
  <c r="Q242" i="6"/>
  <c r="AF420" i="6"/>
  <c r="AD420" i="6" s="1"/>
  <c r="AF424" i="6"/>
  <c r="AF426" i="6"/>
  <c r="AF428" i="6"/>
  <c r="AF430" i="6"/>
  <c r="AF432" i="6"/>
  <c r="AF434" i="6"/>
  <c r="AF436" i="6"/>
  <c r="AF438" i="6"/>
  <c r="AF440" i="6"/>
  <c r="AF442" i="6"/>
  <c r="AF444" i="6"/>
  <c r="AG449" i="6"/>
  <c r="AF452" i="6"/>
  <c r="AG454" i="6"/>
  <c r="AG456" i="6"/>
  <c r="AF459" i="6"/>
  <c r="AG464" i="6"/>
  <c r="AG420" i="6"/>
  <c r="AG424" i="6"/>
  <c r="AG426" i="6"/>
  <c r="AG428" i="6"/>
  <c r="AG430" i="6"/>
  <c r="AG432" i="6"/>
  <c r="AG434" i="6"/>
  <c r="AG436" i="6"/>
  <c r="AG438" i="6"/>
  <c r="AG440" i="6"/>
  <c r="AG442" i="6"/>
  <c r="AG444" i="6"/>
  <c r="AF447" i="6"/>
  <c r="AG452" i="6"/>
  <c r="AG459" i="6"/>
  <c r="AF462" i="6"/>
  <c r="AF423" i="6"/>
  <c r="AG447" i="6"/>
  <c r="AF450" i="6"/>
  <c r="AF457" i="6"/>
  <c r="AG462" i="6"/>
  <c r="AG423" i="6"/>
  <c r="AF445" i="6"/>
  <c r="AG450" i="6"/>
  <c r="AF453" i="6"/>
  <c r="AF455" i="6"/>
  <c r="AG457" i="6"/>
  <c r="AF460" i="6"/>
  <c r="AF422" i="6"/>
  <c r="AF425" i="6"/>
  <c r="AF427" i="6"/>
  <c r="AF429" i="6"/>
  <c r="AF431" i="6"/>
  <c r="AF433" i="6"/>
  <c r="AF435" i="6"/>
  <c r="AF437" i="6"/>
  <c r="AF439" i="6"/>
  <c r="AF441" i="6"/>
  <c r="AF443" i="6"/>
  <c r="AG445" i="6"/>
  <c r="AF448" i="6"/>
  <c r="AG453" i="6"/>
  <c r="AG455" i="6"/>
  <c r="AG460" i="6"/>
  <c r="AA350" i="6"/>
  <c r="AA356" i="6"/>
  <c r="AA332" i="6"/>
  <c r="AA305" i="6"/>
  <c r="AA294" i="6"/>
  <c r="AA340" i="6"/>
  <c r="AB297" i="6"/>
  <c r="AA313" i="6"/>
  <c r="AB318" i="6"/>
  <c r="AA342" i="6"/>
  <c r="AB289" i="6"/>
  <c r="AB310" i="6"/>
  <c r="AB286" i="6"/>
  <c r="AA310" i="6"/>
  <c r="AA357" i="6"/>
  <c r="AA327" i="6"/>
  <c r="AA318" i="6"/>
  <c r="AA289" i="6"/>
  <c r="AB294" i="6"/>
  <c r="AA325" i="6"/>
  <c r="AA323" i="6"/>
  <c r="AA297" i="6"/>
  <c r="AA302" i="6"/>
  <c r="AB302" i="6"/>
  <c r="AA348" i="6"/>
  <c r="AA326" i="6"/>
  <c r="AA322" i="6"/>
  <c r="AA324" i="6"/>
  <c r="AA341" i="6"/>
  <c r="AA334" i="6"/>
  <c r="AA286" i="6"/>
  <c r="AA349" i="6"/>
  <c r="AA321" i="6"/>
  <c r="AD425" i="6" l="1"/>
  <c r="AD430" i="6" s="1"/>
  <c r="AD435" i="6" s="1"/>
  <c r="AD440" i="6" s="1"/>
  <c r="AD445" i="6" s="1"/>
  <c r="AD450" i="6" s="1"/>
  <c r="AD455" i="6" s="1"/>
  <c r="AD460" i="6" s="1"/>
  <c r="AD421" i="6"/>
  <c r="M252" i="6"/>
  <c r="M248" i="6"/>
  <c r="M250" i="6"/>
  <c r="M249" i="6"/>
  <c r="M251" i="6"/>
  <c r="M247" i="6"/>
  <c r="B4" i="3"/>
  <c r="C2" i="8"/>
  <c r="G3" i="4"/>
  <c r="I3" i="4"/>
  <c r="E4" i="4" a="1"/>
  <c r="E4" i="4" s="1"/>
  <c r="B2" i="8" l="1"/>
  <c r="AD422" i="6"/>
  <c r="AD426" i="6"/>
  <c r="AD431" i="6" s="1"/>
  <c r="AD436" i="6" s="1"/>
  <c r="AD441" i="6" s="1"/>
  <c r="AD446" i="6" s="1"/>
  <c r="AD451" i="6" s="1"/>
  <c r="AD456" i="6" s="1"/>
  <c r="AD461" i="6" s="1"/>
  <c r="I4" i="4"/>
  <c r="G4" i="4"/>
  <c r="E5" i="4" a="1"/>
  <c r="E5" i="4" s="1"/>
  <c r="E6" i="4" s="1" a="1"/>
  <c r="E6" i="4" s="1"/>
  <c r="F156" i="7"/>
  <c r="F164" i="7"/>
  <c r="G164" i="7" s="1"/>
  <c r="F162" i="7"/>
  <c r="G162" i="7" s="1"/>
  <c r="G93" i="7"/>
  <c r="F93" i="7"/>
  <c r="G156" i="7"/>
  <c r="E7" i="4" l="1" a="1"/>
  <c r="E7" i="4" s="1"/>
  <c r="E8" i="4" s="1" a="1"/>
  <c r="E8" i="4" s="1"/>
  <c r="G6" i="4"/>
  <c r="I6" i="4"/>
  <c r="G5" i="4"/>
  <c r="I5" i="4"/>
  <c r="AD427" i="6"/>
  <c r="AD432" i="6" s="1"/>
  <c r="AD437" i="6" s="1"/>
  <c r="AD442" i="6" s="1"/>
  <c r="AD447" i="6" s="1"/>
  <c r="AD452" i="6" s="1"/>
  <c r="AD457" i="6" s="1"/>
  <c r="AD462" i="6" s="1"/>
  <c r="AD423" i="6"/>
  <c r="B1" i="8" l="1"/>
  <c r="G7" i="4"/>
  <c r="I7" i="4"/>
  <c r="G8" i="4"/>
  <c r="I8" i="4"/>
  <c r="C1" i="8"/>
  <c r="AD428" i="6"/>
  <c r="AD433" i="6" s="1"/>
  <c r="AD438" i="6" s="1"/>
  <c r="AD443" i="6" s="1"/>
  <c r="AD448" i="6" s="1"/>
  <c r="AD453" i="6" s="1"/>
  <c r="AD458" i="6" s="1"/>
  <c r="AD463" i="6" s="1"/>
  <c r="AD424" i="6"/>
  <c r="AD429" i="6" s="1"/>
  <c r="AD434" i="6" s="1"/>
  <c r="AD439" i="6" s="1"/>
  <c r="AD444" i="6" s="1"/>
  <c r="AD449" i="6" s="1"/>
  <c r="AD454" i="6" s="1"/>
  <c r="AD459" i="6" s="1"/>
  <c r="AD464" i="6" s="1"/>
  <c r="E9" i="4" a="1"/>
  <c r="E9" i="4" s="1"/>
  <c r="G9" i="4" l="1"/>
  <c r="I9" i="4"/>
  <c r="E10" i="4" a="1"/>
  <c r="E10" i="4" s="1"/>
  <c r="I10" i="4" l="1"/>
  <c r="G10" i="4"/>
  <c r="E11" i="4" a="1"/>
  <c r="E11" i="4" s="1"/>
  <c r="G11" i="4" l="1"/>
  <c r="I11" i="4"/>
  <c r="E12" i="4" a="1"/>
  <c r="E12" i="4" s="1"/>
  <c r="I12" i="4" l="1"/>
  <c r="G12" i="4"/>
  <c r="E13" i="4" a="1"/>
  <c r="E13" i="4" s="1"/>
  <c r="G13" i="4" l="1"/>
  <c r="I13" i="4"/>
  <c r="E14" i="4" a="1"/>
  <c r="E14" i="4" s="1"/>
  <c r="I14" i="4" l="1"/>
  <c r="G14" i="4"/>
  <c r="E15" i="4" a="1"/>
  <c r="E15" i="4" s="1"/>
  <c r="G15" i="4" l="1"/>
  <c r="I15" i="4"/>
  <c r="E16" i="4" a="1"/>
  <c r="E16" i="4" s="1"/>
  <c r="I16" i="4" l="1"/>
  <c r="G16" i="4"/>
  <c r="E17" i="4" a="1"/>
  <c r="E17" i="4" s="1"/>
  <c r="G17" i="4" l="1"/>
  <c r="I17" i="4"/>
  <c r="E18" i="4" a="1"/>
  <c r="E18" i="4" s="1"/>
  <c r="G18" i="4" l="1"/>
  <c r="I18" i="4"/>
  <c r="E19" i="4" a="1"/>
  <c r="E19" i="4" s="1"/>
  <c r="G19" i="4" l="1"/>
  <c r="I19" i="4"/>
  <c r="E20" i="4" a="1"/>
  <c r="E20" i="4" s="1"/>
  <c r="I20" i="4" l="1"/>
  <c r="G20" i="4"/>
  <c r="E21" i="4" a="1"/>
  <c r="E21" i="4" s="1"/>
  <c r="G21" i="4" l="1"/>
  <c r="I21" i="4"/>
  <c r="E22" i="4" a="1"/>
  <c r="E22" i="4" s="1"/>
  <c r="I22" i="4" l="1"/>
  <c r="G22" i="4"/>
  <c r="E23" i="4" a="1"/>
  <c r="E23" i="4" s="1"/>
  <c r="G23" i="4" l="1"/>
  <c r="I23" i="4"/>
  <c r="E24" i="4" a="1"/>
  <c r="E24" i="4" s="1"/>
  <c r="I24" i="4" l="1"/>
  <c r="G24" i="4"/>
  <c r="E25" i="4" a="1"/>
  <c r="E25" i="4" s="1"/>
  <c r="G25" i="4" l="1"/>
  <c r="I25" i="4"/>
  <c r="E26" i="4" a="1"/>
  <c r="E26" i="4" s="1"/>
  <c r="I26" i="4" l="1"/>
  <c r="G26" i="4"/>
  <c r="E27" i="4" a="1"/>
  <c r="E27" i="4" s="1"/>
  <c r="G27" i="4" l="1"/>
  <c r="I27" i="4"/>
  <c r="E28" i="4" a="1"/>
  <c r="E28" i="4" s="1"/>
  <c r="I28" i="4" l="1"/>
  <c r="G28" i="4"/>
  <c r="E29" i="4" a="1"/>
  <c r="E29" i="4" s="1"/>
  <c r="G29" i="4" l="1"/>
  <c r="I29" i="4"/>
  <c r="E30" i="4" a="1"/>
  <c r="E30" i="4" s="1"/>
  <c r="I30" i="4" l="1"/>
  <c r="G30" i="4"/>
  <c r="E31" i="4" a="1"/>
  <c r="E31" i="4" s="1"/>
  <c r="G31" i="4" l="1"/>
  <c r="I31" i="4"/>
  <c r="E32" i="4" a="1"/>
  <c r="E32" i="4" s="1"/>
  <c r="I32" i="4" l="1"/>
  <c r="G32" i="4"/>
  <c r="E33" i="4" a="1"/>
  <c r="E33" i="4" s="1"/>
  <c r="G33" i="4" l="1"/>
  <c r="I33" i="4"/>
  <c r="E34" i="4" a="1"/>
  <c r="E34" i="4" s="1"/>
  <c r="G34" i="4" l="1"/>
  <c r="I34" i="4"/>
  <c r="E35" i="4" a="1"/>
  <c r="E35" i="4" s="1"/>
  <c r="G35" i="4" l="1"/>
  <c r="I35" i="4"/>
  <c r="E36" i="4" a="1"/>
  <c r="E36" i="4" s="1"/>
  <c r="I36" i="4" l="1"/>
  <c r="G36" i="4"/>
  <c r="E37" i="4" a="1"/>
  <c r="E37" i="4" s="1"/>
  <c r="G37" i="4" l="1"/>
  <c r="I37" i="4"/>
  <c r="E38" i="4" a="1"/>
  <c r="E38" i="4" s="1"/>
  <c r="I38" i="4" l="1"/>
  <c r="G38" i="4"/>
  <c r="E39" i="4" a="1"/>
  <c r="E39" i="4" s="1"/>
  <c r="G39" i="4" l="1"/>
  <c r="I39" i="4"/>
  <c r="E40" i="4" a="1"/>
  <c r="E40" i="4" s="1"/>
  <c r="G40" i="4" l="1"/>
  <c r="I40" i="4"/>
  <c r="E41" i="4" a="1"/>
  <c r="E41" i="4" s="1"/>
  <c r="I41" i="4" l="1"/>
  <c r="G41" i="4"/>
  <c r="E42" i="4" a="1"/>
  <c r="E42" i="4" s="1"/>
  <c r="G42" i="4" l="1"/>
  <c r="I42" i="4"/>
  <c r="E43" i="4" a="1"/>
  <c r="E43" i="4" s="1"/>
  <c r="I43" i="4" l="1"/>
  <c r="G43" i="4"/>
  <c r="E44" i="4" a="1"/>
  <c r="E44" i="4" s="1"/>
  <c r="G44" i="4" l="1"/>
  <c r="I44" i="4"/>
  <c r="E45" i="4" a="1"/>
  <c r="E45" i="4" s="1"/>
  <c r="E46" i="4" s="1" a="1"/>
  <c r="E46" i="4" s="1"/>
  <c r="EP944" i="1" l="1"/>
  <c r="EP941" i="1"/>
  <c r="EP942" i="1"/>
  <c r="EP943" i="1"/>
  <c r="EP940" i="1"/>
  <c r="EP1288" i="1"/>
  <c r="EP568" i="1"/>
  <c r="EP1271" i="1"/>
  <c r="EP1287" i="1"/>
  <c r="EP1282" i="1"/>
  <c r="EP1264" i="1"/>
  <c r="EP454" i="1"/>
  <c r="EP1291" i="1"/>
  <c r="EP1266" i="1"/>
  <c r="EP1286" i="1"/>
  <c r="EP1279" i="1"/>
  <c r="EP1290" i="1"/>
  <c r="EP397" i="1"/>
  <c r="EP456" i="1"/>
  <c r="EP1012" i="1"/>
  <c r="EP1350" i="1"/>
  <c r="EP1267" i="1"/>
  <c r="EP394" i="1"/>
  <c r="EP1355" i="1"/>
  <c r="EP1265" i="1"/>
  <c r="EP1284" i="1"/>
  <c r="EP1294" i="1"/>
  <c r="EP455" i="1"/>
  <c r="EP590" i="1"/>
  <c r="EP1277" i="1"/>
  <c r="EP1283" i="1"/>
  <c r="EP393" i="1"/>
  <c r="EP1356" i="1"/>
  <c r="EP1289" i="1"/>
  <c r="EP1295" i="1"/>
  <c r="EP396" i="1"/>
  <c r="EP1278" i="1"/>
  <c r="EP1285" i="1"/>
  <c r="EP1292" i="1"/>
  <c r="EP1268" i="1"/>
  <c r="EP1280" i="1"/>
  <c r="EP1298" i="1"/>
  <c r="EP386" i="1"/>
  <c r="EP1274" i="1"/>
  <c r="EP387" i="1"/>
  <c r="EP1293" i="1"/>
  <c r="EP388" i="1"/>
  <c r="EP398" i="1"/>
  <c r="EP1272" i="1"/>
  <c r="EP1273" i="1"/>
  <c r="EP1263" i="1"/>
  <c r="EP1296" i="1"/>
  <c r="EP970" i="1"/>
  <c r="EP1281" i="1"/>
  <c r="EP391" i="1"/>
  <c r="EP1357" i="1"/>
  <c r="EP1269" i="1"/>
  <c r="EP569" i="1"/>
  <c r="EP1270" i="1"/>
  <c r="EP591" i="1"/>
  <c r="EP392" i="1"/>
  <c r="EP1275" i="1"/>
  <c r="EP1297" i="1"/>
  <c r="EP395" i="1"/>
  <c r="EP1276" i="1"/>
  <c r="EP971" i="1"/>
  <c r="EP480" i="1"/>
  <c r="EP1546" i="1" l="1"/>
  <c r="EP1551" i="1"/>
  <c r="EP1541" i="1"/>
  <c r="EP1559" i="1"/>
  <c r="EP1558" i="1"/>
  <c r="EP1542" i="1"/>
  <c r="EP1562" i="1"/>
  <c r="EP1560" i="1"/>
  <c r="EP1565" i="1"/>
  <c r="EP1543" i="1"/>
  <c r="EP1553" i="1"/>
  <c r="EP1548" i="1"/>
  <c r="EP1549" i="1"/>
  <c r="EP1539" i="1"/>
  <c r="EP1557" i="1"/>
  <c r="EP1550" i="1"/>
  <c r="EP1545" i="1"/>
  <c r="EP1556" i="1"/>
  <c r="EP1554" i="1"/>
  <c r="EP1552" i="1"/>
  <c r="EP1555" i="1"/>
  <c r="EP1561" i="1"/>
  <c r="EP1540" i="1"/>
  <c r="EP1538" i="1"/>
  <c r="EP737" i="1"/>
  <c r="EP735" i="1"/>
  <c r="EP670" i="1"/>
  <c r="EP1135" i="1"/>
  <c r="EP1224" i="1"/>
  <c r="EP1299" i="1"/>
  <c r="EP704" i="1"/>
  <c r="EP678" i="1"/>
  <c r="EP1245" i="1"/>
  <c r="EP1237" i="1"/>
  <c r="EP669" i="1"/>
  <c r="EP1243" i="1"/>
  <c r="EP1301" i="1"/>
  <c r="EP1100" i="1"/>
  <c r="EP1132" i="1"/>
  <c r="EP733" i="1"/>
  <c r="EP1247" i="1"/>
  <c r="EP1225" i="1"/>
  <c r="EP357" i="1"/>
  <c r="EP1309" i="1"/>
  <c r="EP1248" i="1"/>
  <c r="EP1223" i="1"/>
  <c r="EP736" i="1"/>
  <c r="EP667" i="1"/>
  <c r="EP730" i="1"/>
  <c r="EP1219" i="1"/>
  <c r="EP353" i="1"/>
  <c r="EP1253" i="1"/>
  <c r="EP1308" i="1"/>
  <c r="EP1218" i="1"/>
  <c r="EP705" i="1"/>
  <c r="EP1139" i="1"/>
  <c r="EP679" i="1"/>
  <c r="EP709" i="1"/>
  <c r="EP743" i="1"/>
  <c r="EP1138" i="1"/>
  <c r="EP1217" i="1"/>
  <c r="EP355" i="1"/>
  <c r="EP1230" i="1"/>
  <c r="EP729" i="1"/>
  <c r="EP1216" i="1"/>
  <c r="EP672" i="1"/>
  <c r="EP1238" i="1"/>
  <c r="EP1235" i="1"/>
  <c r="EP356" i="1"/>
  <c r="EP1256" i="1"/>
  <c r="EP701" i="1"/>
  <c r="EP677" i="1"/>
  <c r="EP1239" i="1"/>
  <c r="EP1254" i="1"/>
  <c r="EP673" i="1"/>
  <c r="EP352" i="1"/>
  <c r="EP1215" i="1"/>
  <c r="EP732" i="1"/>
  <c r="EP346" i="1"/>
  <c r="EP351" i="1"/>
  <c r="EP1246" i="1"/>
  <c r="EP1250" i="1"/>
  <c r="EP706" i="1"/>
  <c r="EP738" i="1"/>
  <c r="EP739" i="1"/>
  <c r="EP1240" i="1"/>
  <c r="EP1228" i="1"/>
  <c r="EP668" i="1"/>
  <c r="EP344" i="1"/>
  <c r="EP674" i="1"/>
  <c r="EP1232" i="1"/>
  <c r="EP1241" i="1"/>
  <c r="EP1249" i="1"/>
  <c r="EP666" i="1"/>
  <c r="EP665" i="1"/>
  <c r="EP1233" i="1"/>
  <c r="EP1303" i="1"/>
  <c r="EP341" i="1"/>
  <c r="EP1306" i="1"/>
  <c r="EP347" i="1"/>
  <c r="EP687" i="1"/>
  <c r="EP1141" i="1"/>
  <c r="EP1512" i="1"/>
  <c r="EP1304" i="1"/>
  <c r="EP349" i="1"/>
  <c r="EP731" i="1"/>
  <c r="EP734" i="1"/>
  <c r="EP1231" i="1"/>
  <c r="EP664" i="1"/>
  <c r="EP742" i="1"/>
  <c r="EP1258" i="1"/>
  <c r="EP1260" i="1"/>
  <c r="EP1310" i="1"/>
  <c r="EP1255" i="1"/>
  <c r="EP1131" i="1"/>
  <c r="EP1130" i="1"/>
  <c r="EP1221" i="1"/>
  <c r="EP1226" i="1"/>
  <c r="EP1300" i="1"/>
  <c r="EP1129" i="1"/>
  <c r="EP345" i="1"/>
  <c r="EP1133" i="1"/>
  <c r="EP1136" i="1"/>
  <c r="EP1236" i="1"/>
  <c r="EP1305" i="1"/>
  <c r="EP675" i="1"/>
  <c r="EP741" i="1"/>
  <c r="EP354" i="1"/>
  <c r="EP1251" i="1"/>
  <c r="EP1244" i="1"/>
  <c r="EP740" i="1"/>
  <c r="EP1252" i="1"/>
  <c r="EP707" i="1"/>
  <c r="EP671" i="1"/>
  <c r="EP1229" i="1"/>
  <c r="EP1307" i="1"/>
  <c r="EP1222" i="1"/>
  <c r="EP676" i="1"/>
  <c r="EP1257" i="1"/>
  <c r="EP1220" i="1"/>
  <c r="EP1140" i="1"/>
  <c r="EP343" i="1"/>
  <c r="EP1137" i="1"/>
  <c r="EP342" i="1"/>
  <c r="EP703" i="1"/>
  <c r="EP1311" i="1"/>
  <c r="EP1511" i="1"/>
  <c r="EP1262" i="1"/>
  <c r="EP1261" i="1"/>
  <c r="EP1234" i="1"/>
  <c r="EP1259" i="1"/>
  <c r="EP1227" i="1"/>
  <c r="EP700" i="1"/>
  <c r="EP1302" i="1"/>
  <c r="EP947" i="1"/>
  <c r="EP350" i="1"/>
  <c r="EP708" i="1"/>
  <c r="EP702" i="1"/>
  <c r="EP1134" i="1"/>
  <c r="EP1242" i="1"/>
  <c r="EP348" i="1"/>
  <c r="EP659" i="1"/>
  <c r="EP658" i="1"/>
  <c r="EP448" i="1"/>
  <c r="EP1009" i="1"/>
  <c r="EP598" i="1"/>
  <c r="EP1010" i="1"/>
  <c r="EP1405" i="1"/>
  <c r="EP475" i="1"/>
  <c r="EP1353" i="1"/>
  <c r="EP1435" i="1"/>
  <c r="EP776" i="1"/>
  <c r="EP1411" i="1"/>
  <c r="EP773" i="1"/>
  <c r="EP585" i="1"/>
  <c r="EP549" i="1"/>
  <c r="EP563" i="1"/>
  <c r="EP1352" i="1"/>
  <c r="EP566" i="1"/>
  <c r="EP643" i="1"/>
  <c r="EP661" i="1"/>
  <c r="EP452" i="1"/>
  <c r="EP1436" i="1"/>
  <c r="EP573" i="1"/>
  <c r="EP471" i="1"/>
  <c r="EP582" i="1"/>
  <c r="EP998" i="1"/>
  <c r="EP554" i="1"/>
  <c r="EP918" i="1"/>
  <c r="EP579" i="1"/>
  <c r="EP557" i="1"/>
  <c r="EP587" i="1"/>
  <c r="EP555" i="1"/>
  <c r="EP385" i="1"/>
  <c r="EP913" i="1"/>
  <c r="EP1011" i="1"/>
  <c r="EP578" i="1"/>
  <c r="EP920" i="1"/>
  <c r="EP543" i="1"/>
  <c r="EP570" i="1"/>
  <c r="EP1433" i="1"/>
  <c r="EP580" i="1"/>
  <c r="EP771" i="1"/>
  <c r="EP477" i="1"/>
  <c r="EP558" i="1"/>
  <c r="EP968" i="1"/>
  <c r="EP914" i="1"/>
  <c r="EP593" i="1"/>
  <c r="EP474" i="1"/>
  <c r="EP545" i="1"/>
  <c r="EP453" i="1"/>
  <c r="EP597" i="1"/>
  <c r="EP449" i="1"/>
  <c r="EP660" i="1"/>
  <c r="EP1406" i="1"/>
  <c r="EP915" i="1"/>
  <c r="EP921" i="1"/>
  <c r="EP588" i="1"/>
  <c r="EP997" i="1"/>
  <c r="EP1441" i="1"/>
  <c r="EP599" i="1"/>
  <c r="EP586" i="1"/>
  <c r="EP877" i="1"/>
  <c r="EP476" i="1"/>
  <c r="EP550" i="1"/>
  <c r="EP551" i="1"/>
  <c r="EP567" i="1"/>
  <c r="EP912" i="1"/>
  <c r="EP919" i="1"/>
  <c r="EP553" i="1"/>
  <c r="EP592" i="1"/>
  <c r="EP271" i="1"/>
  <c r="EP939" i="1"/>
  <c r="EP556" i="1"/>
  <c r="EP571" i="1"/>
  <c r="EP999" i="1"/>
  <c r="EP565" i="1"/>
  <c r="EP589" i="1"/>
  <c r="EP547" i="1"/>
  <c r="EP478" i="1"/>
  <c r="EP1351" i="1"/>
  <c r="EP1434" i="1"/>
  <c r="EP1413" i="1"/>
  <c r="EP1062" i="1"/>
  <c r="EP596" i="1"/>
  <c r="EP572" i="1"/>
  <c r="EP575" i="1"/>
  <c r="EP581" i="1"/>
  <c r="EP559" i="1"/>
  <c r="EP1407" i="1"/>
  <c r="EP574" i="1"/>
  <c r="EP1318" i="1"/>
  <c r="EP1408" i="1"/>
  <c r="EP638" i="1"/>
  <c r="EP969" i="1"/>
  <c r="EP1349" i="1"/>
  <c r="EP390" i="1"/>
  <c r="EP1440" i="1"/>
  <c r="EP1437" i="1"/>
  <c r="EP576" i="1"/>
  <c r="EP546" i="1"/>
  <c r="EP910" i="1"/>
  <c r="EP450" i="1"/>
  <c r="EP383" i="1"/>
  <c r="EP564" i="1"/>
  <c r="EP1412" i="1"/>
  <c r="EP909" i="1"/>
  <c r="EP1438" i="1"/>
  <c r="EP473" i="1"/>
  <c r="EP775" i="1"/>
  <c r="EP472" i="1"/>
  <c r="EP584" i="1"/>
  <c r="EP774" i="1"/>
  <c r="EP583" i="1"/>
  <c r="EP1404" i="1"/>
  <c r="EP595" i="1"/>
  <c r="EP1409" i="1"/>
  <c r="EP458" i="1"/>
  <c r="EP389" i="1"/>
  <c r="EP1403" i="1"/>
  <c r="EP1410" i="1"/>
  <c r="EP560" i="1"/>
  <c r="EP916" i="1"/>
  <c r="EP594" i="1"/>
  <c r="EP642" i="1"/>
  <c r="EP479" i="1"/>
  <c r="EP561" i="1"/>
  <c r="EP1354" i="1"/>
  <c r="EP911" i="1"/>
  <c r="EP600" i="1"/>
  <c r="EP772" i="1"/>
  <c r="EP1439" i="1"/>
  <c r="EP451" i="1"/>
  <c r="EP384" i="1"/>
  <c r="EP562" i="1"/>
  <c r="EP548" i="1"/>
  <c r="EP945" i="1"/>
  <c r="EP577" i="1"/>
  <c r="EP917" i="1"/>
  <c r="EP544" i="1"/>
  <c r="EP552" i="1"/>
  <c r="EP13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tc={003E00CD-00AE-4422-B5D5-00BF00E10024}</author>
    <author>tc={006C007C-002F-4F20-B8B1-006E00A600AE}</author>
    <author>tc={00CC003E-006B-456E-AD65-001D00CB003C}</author>
    <author>tc={00DD0084-00A9-4338-AA26-004000E4002E}</author>
    <author>tc={00AC0038-00B8-45C0-BBCC-00AF0097006C}</author>
    <author>chaste</author>
    <author>tc={00060019-00AA-427D-B9D8-00A100830036}</author>
    <author>tc={0086003F-00DE-4493-A3CC-00FE00A200CA}</author>
    <author>tc={00870009-00FA-465B-9042-0063007B0021}</author>
    <author>tc={006800CB-00A6-4E5E-90CA-005C009D0089}</author>
    <author>tc={00D000CB-0064-4306-8F25-000E00FD0077}</author>
    <author>tc={00C9001F-00BB-43A8-BA7B-007C00CA0006}</author>
    <author>tc={006700B6-007E-4F2B-A3BA-00CF008B0064}</author>
    <author>tc={001A00E9-0080-4657-AFCA-00F00018005E}</author>
    <author>tc={006900AF-00A0-4BE8-8FD5-005A00DC00B1}</author>
    <author>tc={003E00CE-0033-474C-AD6B-00050077003B}</author>
    <author>tc={00160020-00A7-47B8-8D92-00AF00C900EA}</author>
    <author>tc={00420031-0088-4391-B9DE-009E001000BF}</author>
    <author>tc={002A00F8-00EE-440B-BECB-00FB00B700F1}</author>
    <author>tc={0092000D-0020-4C1B-BA18-005400750047}</author>
    <author>tc={008600F3-0054-4A80-A7EC-0089001C001D}</author>
    <author>tc={00610090-003F-472A-83D8-0020006F001E}</author>
    <author>tc={00220046-000C-46DB-B26D-00F3003100C2}</author>
    <author>tc={00D8002E-00D5-44BB-9723-00C8009B0081}</author>
    <author>tc={00C9003F-005E-40E7-B232-00A8000900CF}</author>
    <author>tc={00230028-0053-42FB-BDAD-001D008200CB}</author>
    <author>tc={00B500A3-001F-4CD5-81DB-00EA00A50012}</author>
    <author>tc={00B900A3-0072-4DEA-9694-0064000200B2}</author>
    <author>tc={0075002C-0036-46A9-8935-00F7004B007B}</author>
    <author>tc={00AF00D7-00AF-449C-A506-0087004900B8}</author>
    <author>tc={009300DF-00F0-4BE1-A6B8-004D00C10054}</author>
    <author>tc={00310097-00E0-42B6-8ECE-003C004300F3}</author>
    <author>tc={007D004A-00C0-4FC5-A256-0094008E002B}</author>
    <author>tc={00D40055-0009-4680-9336-003100D1000A}</author>
    <author>tc={00DE0036-0060-421B-8E4B-00E500630047}</author>
    <author>tc={00270063-00AA-4C40-B979-000800430066}</author>
    <author>tc={007B00A0-002F-43CD-9B94-007100A60047}</author>
    <author>tc={00C40065-0007-457C-AB2B-009800900003}</author>
    <author>tc={00110064-0039-4EAB-80D9-0003004B006A}</author>
  </authors>
  <commentList>
    <comment ref="DZ7" authorId="0" shapeId="0" xr:uid="{003E00CD-00AE-4422-B5D5-00BF00E10024}">
      <text>
        <r>
          <rPr>
            <b/>
            <sz val="9"/>
            <rFont val="Tahoma"/>
            <family val="2"/>
          </rPr>
          <t>Microsoft Office User:</t>
        </r>
        <r>
          <rPr>
            <sz val="9"/>
            <rFont val="Tahoma"/>
            <family val="2"/>
          </rPr>
          <t xml:space="preserve">
ie : C-neutrality of wood assumed = 0, C-emissions of wood at eol accounted = 1
</t>
        </r>
      </text>
    </comment>
    <comment ref="EA7" authorId="1" shapeId="0" xr:uid="{006C007C-002F-4F20-B8B1-006E00A600AE}">
      <text>
        <r>
          <rPr>
            <b/>
            <sz val="9"/>
            <rFont val="Tahoma"/>
            <family val="2"/>
          </rPr>
          <t>Microsoft Office User:</t>
        </r>
        <r>
          <rPr>
            <sz val="9"/>
            <rFont val="Tahoma"/>
            <family val="2"/>
          </rPr>
          <t xml:space="preserve">
accounts for avoided emissions,wood reuseor recycling outside of the lifetime of the product itself
</t>
        </r>
      </text>
    </comment>
    <comment ref="EB7" authorId="2" shapeId="0" xr:uid="{00CC003E-006B-456E-AD65-001D00CB003C}">
      <text>
        <r>
          <rPr>
            <b/>
            <sz val="9"/>
            <rFont val="Tahoma"/>
            <family val="2"/>
          </rPr>
          <t>Microsoft Office User:</t>
        </r>
        <r>
          <rPr>
            <sz val="9"/>
            <rFont val="Tahoma"/>
            <family val="2"/>
          </rPr>
          <t xml:space="preserve">
may be accounted for through the use of a displacement factor
</t>
        </r>
      </text>
    </comment>
    <comment ref="AF210" authorId="3" shapeId="0" xr:uid="{FB54EBFB-FB18-8E42-9E29-841BB5EB63AE}">
      <text>
        <r>
          <rPr>
            <b/>
            <sz val="9"/>
            <color rgb="FF000000"/>
            <rFont val="Tahoma"/>
            <family val="2"/>
          </rPr>
          <t>Microsoft Office User:</t>
        </r>
        <r>
          <rPr>
            <sz val="9"/>
            <color rgb="FF000000"/>
            <rFont val="Tahoma"/>
            <family val="2"/>
          </rPr>
          <t xml:space="preserve">
</t>
        </r>
        <r>
          <rPr>
            <sz val="9"/>
            <color rgb="FF000000"/>
            <rFont val="Tahoma"/>
            <family val="2"/>
          </rPr>
          <t xml:space="preserve">to be listed as a secondary driver
</t>
        </r>
      </text>
    </comment>
    <comment ref="AF211" authorId="4" shapeId="0" xr:uid="{350B7A52-B56D-8D4E-97EF-5B8F18ABFC4B}">
      <text>
        <r>
          <rPr>
            <b/>
            <sz val="9"/>
            <color rgb="FF000000"/>
            <rFont val="Tahoma"/>
            <family val="2"/>
          </rPr>
          <t>Microsoft Office User:</t>
        </r>
        <r>
          <rPr>
            <sz val="9"/>
            <color rgb="FF000000"/>
            <rFont val="Tahoma"/>
            <family val="2"/>
          </rPr>
          <t xml:space="preserve">
</t>
        </r>
        <r>
          <rPr>
            <sz val="9"/>
            <color rgb="FF000000"/>
            <rFont val="Tahoma"/>
            <family val="2"/>
          </rPr>
          <t xml:space="preserve">to be listed as a secondary driver
</t>
        </r>
      </text>
    </comment>
    <comment ref="M771" authorId="5" shapeId="0" xr:uid="{BBCAF236-4D94-6341-B79B-D6DD451CEFF9}">
      <text>
        <r>
          <rPr>
            <b/>
            <sz val="9"/>
            <color indexed="81"/>
            <rFont val="Tahoma"/>
            <family val="2"/>
          </rPr>
          <t>chaste:</t>
        </r>
        <r>
          <rPr>
            <sz val="9"/>
            <color indexed="81"/>
            <rFont val="Tahoma"/>
            <family val="2"/>
          </rPr>
          <t xml:space="preserve">
Hart et al. 2021
</t>
        </r>
      </text>
    </comment>
    <comment ref="M772" authorId="5" shapeId="0" xr:uid="{719EBEDA-408A-C84A-9E8C-530416D02A72}">
      <text>
        <r>
          <rPr>
            <b/>
            <sz val="9"/>
            <color rgb="FF000000"/>
            <rFont val="Tahoma"/>
            <family val="2"/>
          </rPr>
          <t>chaste:</t>
        </r>
        <r>
          <rPr>
            <sz val="9"/>
            <color rgb="FF000000"/>
            <rFont val="Tahoma"/>
            <family val="2"/>
          </rPr>
          <t xml:space="preserve">
</t>
        </r>
        <r>
          <rPr>
            <sz val="9"/>
            <color rgb="FF000000"/>
            <rFont val="Tahoma"/>
            <family val="2"/>
          </rPr>
          <t xml:space="preserve">Hart et al. 2021
</t>
        </r>
      </text>
    </comment>
    <comment ref="M773" authorId="5" shapeId="0" xr:uid="{4C613D94-861A-6347-9A2E-669B54D9EEDE}">
      <text>
        <r>
          <rPr>
            <b/>
            <sz val="9"/>
            <color indexed="81"/>
            <rFont val="Tahoma"/>
            <family val="2"/>
          </rPr>
          <t>chaste:</t>
        </r>
        <r>
          <rPr>
            <sz val="9"/>
            <color indexed="81"/>
            <rFont val="Tahoma"/>
            <family val="2"/>
          </rPr>
          <t xml:space="preserve">
Hart et al. 2021
</t>
        </r>
      </text>
    </comment>
    <comment ref="M774" authorId="5" shapeId="0" xr:uid="{F74891BB-053E-4B48-B2E8-52085E3D4752}">
      <text>
        <r>
          <rPr>
            <b/>
            <sz val="9"/>
            <color indexed="81"/>
            <rFont val="Tahoma"/>
            <family val="2"/>
          </rPr>
          <t>chaste:</t>
        </r>
        <r>
          <rPr>
            <sz val="9"/>
            <color indexed="81"/>
            <rFont val="Tahoma"/>
            <family val="2"/>
          </rPr>
          <t xml:space="preserve">
Hart et al. 2021
</t>
        </r>
      </text>
    </comment>
    <comment ref="M775" authorId="5" shapeId="0" xr:uid="{06145A6D-B521-2542-8478-AB9FDF316FB0}">
      <text>
        <r>
          <rPr>
            <b/>
            <sz val="9"/>
            <color rgb="FF000000"/>
            <rFont val="Tahoma"/>
            <family val="2"/>
          </rPr>
          <t>chaste:</t>
        </r>
        <r>
          <rPr>
            <sz val="9"/>
            <color rgb="FF000000"/>
            <rFont val="Tahoma"/>
            <family val="2"/>
          </rPr>
          <t xml:space="preserve">
</t>
        </r>
        <r>
          <rPr>
            <sz val="9"/>
            <color rgb="FF000000"/>
            <rFont val="Tahoma"/>
            <family val="2"/>
          </rPr>
          <t xml:space="preserve">Hart et al. 2021
</t>
        </r>
      </text>
    </comment>
    <comment ref="M776" authorId="5" shapeId="0" xr:uid="{69B93A48-6997-D241-8954-94800DCA6FD1}">
      <text>
        <r>
          <rPr>
            <b/>
            <sz val="9"/>
            <color indexed="81"/>
            <rFont val="Tahoma"/>
            <family val="2"/>
          </rPr>
          <t>chaste:</t>
        </r>
        <r>
          <rPr>
            <sz val="9"/>
            <color indexed="81"/>
            <rFont val="Tahoma"/>
            <family val="2"/>
          </rPr>
          <t xml:space="preserve">
Hart et al. 2021
</t>
        </r>
      </text>
    </comment>
    <comment ref="Y836" authorId="6" shapeId="0" xr:uid="{96210DFB-9397-994B-8D93-5C94AA415278}">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836" authorId="7" shapeId="0" xr:uid="{DBB60EE3-7D5F-2041-92BE-4771D57F633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836" authorId="8" shapeId="0" xr:uid="{2FB3E104-7AAD-EF43-80EE-5826843F27C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836" authorId="9" shapeId="0" xr:uid="{5EB8AFBB-29CD-F047-BF5B-1908B619E65D}">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836" authorId="10" shapeId="0" xr:uid="{7C1D5A00-A473-B142-8F2A-5ADE930E8527}">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836" authorId="11" shapeId="0" xr:uid="{689C74F9-8834-E147-B4B0-DDEE6B372FB6}">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Y837" authorId="12" shapeId="0" xr:uid="{43EEE2DF-4D4C-984C-A638-09FAB6ACD08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837" authorId="13" shapeId="0" xr:uid="{16DB65F4-3006-6446-BDC0-81A6930EEFD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837" authorId="14" shapeId="0" xr:uid="{6D194F2E-3375-E748-ABFD-DCE4D429663B}">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837" authorId="15" shapeId="0" xr:uid="{607D2338-3200-6A40-BB44-68203F1068B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837" authorId="16" shapeId="0" xr:uid="{A0F45041-B503-484D-AB27-30206FA1B256}">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837" authorId="17" shapeId="0" xr:uid="{34499F9E-7DDD-8D49-8BE1-FB56EEE8913D}">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Y838" authorId="18" shapeId="0" xr:uid="{E84B2DBD-52B9-504F-B2DD-1DA09A0064A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838" authorId="19" shapeId="0" xr:uid="{41945BA9-3E1F-B949-998B-CC3EA6ED56C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838" authorId="20" shapeId="0" xr:uid="{639E034C-CA48-414B-A1FA-E301ACECF0E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838" authorId="21" shapeId="0" xr:uid="{6AF41656-48C6-4542-8DEC-B6307F95EC39}">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838" authorId="22" shapeId="0" xr:uid="{8E72354E-ADDD-A04F-B286-B0B48ADA4417}">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838" authorId="23" shapeId="0" xr:uid="{F6E68B72-C645-334A-9EEB-6F9E253DBF8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EB839" authorId="24" shapeId="0" xr:uid="{2200AFEB-BF77-5640-A285-B0D954FA7F3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L840" authorId="25" shapeId="0" xr:uid="{0F865AF2-9252-4A4C-A7F1-F334D021D28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M840" authorId="26" shapeId="0" xr:uid="{1FE4D9A1-E891-4F44-82D8-F001A519F555}">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N840" authorId="27" shapeId="0" xr:uid="{467C89ED-02B2-4F43-97B9-215DA61F9F7A}">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EB840" authorId="28" shapeId="0" xr:uid="{EC3F197C-1D80-A546-A4D2-D0384C0C03E8}">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841" authorId="29" shapeId="0" xr:uid="{F718EB6C-E7B4-B34B-B3C9-E35B4EEF29E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841" authorId="30" shapeId="0" xr:uid="{2E2AE627-3AEB-9642-AD8F-157853F379D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841" authorId="31" shapeId="0" xr:uid="{64319D15-4B74-2F40-9A3B-23348EAB12C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841" authorId="32" shapeId="0" xr:uid="{DC9B3706-C053-B247-8072-A4CF66C05D7E}">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B841" authorId="33" shapeId="0" xr:uid="{974E9578-17F8-5D4C-87AB-ED4C98E53F3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D871" authorId="34" shapeId="0" xr:uid="{F1BE51CB-DF14-7A47-8296-589098C9936C}">
      <text>
        <r>
          <rPr>
            <b/>
            <sz val="9"/>
            <rFont val="Tahoma"/>
            <family val="2"/>
          </rPr>
          <t>chaste:</t>
        </r>
        <r>
          <rPr>
            <sz val="9"/>
            <rFont val="Tahoma"/>
            <family val="2"/>
          </rPr>
          <t xml:space="preserve">
Il y a aussi un scenario "Upstream" dont les données émissions sont disponibles mais pas les données Qwood. Fait-on la somme des autres Qwood? 
</t>
        </r>
      </text>
    </comment>
    <comment ref="DO871" authorId="35" shapeId="0" xr:uid="{B951225B-3E3B-414C-9A71-31F3F2495F47}">
      <text>
        <r>
          <rPr>
            <b/>
            <sz val="9"/>
            <rFont val="Tahoma"/>
            <family val="2"/>
          </rPr>
          <t>chaste:</t>
        </r>
        <r>
          <rPr>
            <sz val="9"/>
            <rFont val="Tahoma"/>
            <family val="2"/>
          </rPr>
          <t xml:space="preserve">
They evaluated reductions in carbon emissions by substituting wood for fossil fuels for energy production = scenario "heavy oil". See page 8 of the document: 
"We evaluated reductions in carbon emissions by substituting wood for fossil fuels for energy production. Assuming the displacement of heavy oil, we calculated the substitution amounts (L) of heavy oil by multiplying the energy use amounts (m3) of logging residues; wood residues from processing, construction, and furniture production; and waste wood after use in building and furniture by the specific gravity in absolute dry condition (t/m3) (see Table S-1) and the calorific value of wood (GJ/t) (Kayo et al., 2011). We then divided that product by the calorific value of heavy oil (GJ/L) (Kayo et al.,2011). We estimated reductions of carbon emissions (tC) from heavy oil consumption by multiplying the displaced amounts (L) of heavy oil by the carbon emission intensity (tC/L) for the combustion of heavy oil (Kayo et al., 2011)."
But this scenario is not well explicited in the document with explicit values so this requires some calculations. I put values for this substitution evaluated in the Onglet "Kayo_2014", lines 23 and 45 extracted from Figure 4 and 5.
</t>
        </r>
      </text>
    </comment>
    <comment ref="AD1041" authorId="36" shapeId="0" xr:uid="{4A04E53A-4C0F-E348-98F2-440C0D199632}">
      <text>
        <r>
          <rPr>
            <b/>
            <sz val="9"/>
            <color rgb="FF000000"/>
            <rFont val="Tahoma"/>
            <family val="2"/>
          </rPr>
          <t>chaste:</t>
        </r>
        <r>
          <rPr>
            <sz val="9"/>
            <color rgb="FF000000"/>
            <rFont val="Tahoma"/>
            <family val="2"/>
          </rPr>
          <t xml:space="preserve">
</t>
        </r>
        <r>
          <rPr>
            <sz val="9"/>
            <color rgb="FF000000"/>
            <rFont val="Tahoma"/>
            <family val="2"/>
          </rPr>
          <t xml:space="preserve">Il y a un scenario de machine manuelle et machine motorisée mais il n'y a pas les résultats pour les deux (partie 2.2.2). C'est un scénario mixte alors je ne sais pas si je dois l'indiquer. 
</t>
        </r>
      </text>
    </comment>
    <comment ref="EB1049" authorId="37" shapeId="0" xr:uid="{997ECA5B-C222-BB45-B6FC-3B3B366C43FD}">
      <text>
        <r>
          <rPr>
            <b/>
            <sz val="9"/>
            <color rgb="FF000000"/>
            <rFont val="Tahoma"/>
            <family val="2"/>
          </rPr>
          <t>chaste:</t>
        </r>
        <r>
          <rPr>
            <sz val="9"/>
            <color rgb="FF000000"/>
            <rFont val="Tahoma"/>
            <family val="2"/>
          </rPr>
          <t xml:space="preserve">
</t>
        </r>
        <r>
          <rPr>
            <sz val="9"/>
            <color rgb="FF000000"/>
            <rFont val="Tahoma"/>
            <family val="2"/>
          </rPr>
          <t xml:space="preserve">The scope of this study includes forest growth and cultivation, collection and processing of wood products and by-products, densification (chipping and bundling) and combustion in bioenergy facility to generate electricity.
</t>
        </r>
        <r>
          <rPr>
            <sz val="9"/>
            <color rgb="FF000000"/>
            <rFont val="Tahoma"/>
            <family val="2"/>
          </rPr>
          <t xml:space="preserve">
</t>
        </r>
        <r>
          <rPr>
            <sz val="9"/>
            <color rgb="FF000000"/>
            <rFont val="Tahoma"/>
            <family val="2"/>
          </rPr>
          <t xml:space="preserve">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
        </r>
      </text>
    </comment>
    <comment ref="EC1049" authorId="38" shapeId="0" xr:uid="{3F3D22F8-4CCA-754A-82A5-1532980C6CB1}">
      <text>
        <r>
          <rPr>
            <b/>
            <sz val="9"/>
            <color rgb="FF000000"/>
            <rFont val="Tahoma"/>
            <family val="2"/>
          </rPr>
          <t>chaste:</t>
        </r>
        <r>
          <rPr>
            <sz val="9"/>
            <color rgb="FF000000"/>
            <rFont val="Tahoma"/>
            <family val="2"/>
          </rPr>
          <t xml:space="preserve">
</t>
        </r>
        <r>
          <rPr>
            <sz val="9"/>
            <color rgb="FF000000"/>
            <rFont val="Tahoma"/>
            <family val="2"/>
          </rPr>
          <t xml:space="preserve">The scope of this study includes forest growth and cultivation, collection and processing of wood products and by-products, densification (chipping and bundling) and combustion in bioenergy facility to generate electricity.
</t>
        </r>
        <r>
          <rPr>
            <sz val="9"/>
            <color rgb="FF000000"/>
            <rFont val="Tahoma"/>
            <family val="2"/>
          </rPr>
          <t xml:space="preserve">
</t>
        </r>
        <r>
          <rPr>
            <sz val="9"/>
            <color rgb="FF000000"/>
            <rFont val="Tahoma"/>
            <family val="2"/>
          </rPr>
          <t xml:space="preserve">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
        </r>
      </text>
    </comment>
    <comment ref="V1052" authorId="5" shapeId="0" xr:uid="{094E432B-4279-EE41-8132-4D56BBB5E2F6}">
      <text>
        <r>
          <rPr>
            <b/>
            <sz val="9"/>
            <color indexed="81"/>
            <rFont val="Tahoma"/>
            <family val="2"/>
          </rPr>
          <t>chaste:</t>
        </r>
        <r>
          <rPr>
            <sz val="9"/>
            <color indexed="81"/>
            <rFont val="Tahoma"/>
            <family val="2"/>
          </rPr>
          <t xml:space="preserve">
J'ai mis oui ici car entre </t>
        </r>
      </text>
    </comment>
    <comment ref="DX1052" authorId="5" shapeId="0" xr:uid="{A90F69F3-4736-9E4D-9FC1-EB2960DBEA22}">
      <text>
        <r>
          <rPr>
            <b/>
            <sz val="9"/>
            <color indexed="81"/>
            <rFont val="Tahoma"/>
            <family val="2"/>
          </rPr>
          <t>chaste:</t>
        </r>
        <r>
          <rPr>
            <sz val="9"/>
            <color indexed="81"/>
            <rFont val="Tahoma"/>
            <family val="2"/>
          </rPr>
          <t xml:space="preserve">
Juste aboveground
</t>
        </r>
      </text>
    </comment>
    <comment ref="DX1053" authorId="5" shapeId="0" xr:uid="{0F6171C5-347C-F84B-8F47-2AC118ADB7AF}">
      <text>
        <r>
          <rPr>
            <b/>
            <sz val="9"/>
            <color indexed="81"/>
            <rFont val="Tahoma"/>
            <family val="2"/>
          </rPr>
          <t>chaste:</t>
        </r>
        <r>
          <rPr>
            <sz val="9"/>
            <color indexed="81"/>
            <rFont val="Tahoma"/>
            <family val="2"/>
          </rPr>
          <t xml:space="preserve">
Juste aboveground
</t>
        </r>
      </text>
    </comment>
    <comment ref="DX1054" authorId="5" shapeId="0" xr:uid="{0D793A3D-65F8-2B4B-8B4E-DD5F90260139}">
      <text>
        <r>
          <rPr>
            <b/>
            <sz val="9"/>
            <color indexed="81"/>
            <rFont val="Tahoma"/>
            <family val="2"/>
          </rPr>
          <t>chaste:</t>
        </r>
        <r>
          <rPr>
            <sz val="9"/>
            <color indexed="81"/>
            <rFont val="Tahoma"/>
            <family val="2"/>
          </rPr>
          <t xml:space="preserve">
Juste aboveground
</t>
        </r>
      </text>
    </comment>
    <comment ref="DX1055" authorId="5" shapeId="0" xr:uid="{BDE62D52-9738-224D-BE63-B46449FAD4AB}">
      <text>
        <r>
          <rPr>
            <b/>
            <sz val="9"/>
            <color indexed="81"/>
            <rFont val="Tahoma"/>
            <family val="2"/>
          </rPr>
          <t>chaste:</t>
        </r>
        <r>
          <rPr>
            <sz val="9"/>
            <color indexed="81"/>
            <rFont val="Tahoma"/>
            <family val="2"/>
          </rPr>
          <t xml:space="preserve">
Juste aboveground
</t>
        </r>
      </text>
    </comment>
    <comment ref="V1056" authorId="5" shapeId="0" xr:uid="{2BAA0295-E32B-0B49-815B-676787AB5DE4}">
      <text>
        <r>
          <rPr>
            <b/>
            <sz val="9"/>
            <color indexed="81"/>
            <rFont val="Tahoma"/>
            <family val="2"/>
          </rPr>
          <t>chaste:</t>
        </r>
        <r>
          <rPr>
            <sz val="9"/>
            <color indexed="81"/>
            <rFont val="Tahoma"/>
            <family val="2"/>
          </rPr>
          <t xml:space="preserve">
j'ai mis oui dans ce cas là car entre les deux pays ce qui change c'est les importations de bois et donc ce qui est extrait sur place
</t>
        </r>
      </text>
    </comment>
    <comment ref="DX1056" authorId="5" shapeId="0" xr:uid="{9EDE7275-374A-3E43-B5DB-5F2E45E4739A}">
      <text>
        <r>
          <rPr>
            <b/>
            <sz val="9"/>
            <color indexed="81"/>
            <rFont val="Tahoma"/>
            <family val="2"/>
          </rPr>
          <t>chaste:</t>
        </r>
        <r>
          <rPr>
            <sz val="9"/>
            <color indexed="81"/>
            <rFont val="Tahoma"/>
            <family val="2"/>
          </rPr>
          <t xml:space="preserve">
Juste aboveground
</t>
        </r>
      </text>
    </comment>
    <comment ref="DX1057" authorId="5" shapeId="0" xr:uid="{14ADC146-299B-0B42-A219-3302F84F2C0C}">
      <text>
        <r>
          <rPr>
            <b/>
            <sz val="9"/>
            <color indexed="81"/>
            <rFont val="Tahoma"/>
            <family val="2"/>
          </rPr>
          <t>chaste:</t>
        </r>
        <r>
          <rPr>
            <sz val="9"/>
            <color indexed="81"/>
            <rFont val="Tahoma"/>
            <family val="2"/>
          </rPr>
          <t xml:space="preserve">
Juste aboveground
</t>
        </r>
      </text>
    </comment>
    <comment ref="DX1058" authorId="5" shapeId="0" xr:uid="{CAD0DF23-021E-BA42-888D-F5B0488988D4}">
      <text>
        <r>
          <rPr>
            <b/>
            <sz val="9"/>
            <color indexed="81"/>
            <rFont val="Tahoma"/>
            <family val="2"/>
          </rPr>
          <t>chaste:</t>
        </r>
        <r>
          <rPr>
            <sz val="9"/>
            <color indexed="81"/>
            <rFont val="Tahoma"/>
            <family val="2"/>
          </rPr>
          <t xml:space="preserve">
Juste aboveground
</t>
        </r>
      </text>
    </comment>
    <comment ref="DX1059" authorId="5" shapeId="0" xr:uid="{9B0A3C64-F041-0C43-95A4-38CCC5BEC1D0}">
      <text>
        <r>
          <rPr>
            <b/>
            <sz val="9"/>
            <color indexed="81"/>
            <rFont val="Tahoma"/>
            <family val="2"/>
          </rPr>
          <t>chaste:</t>
        </r>
        <r>
          <rPr>
            <sz val="9"/>
            <color indexed="81"/>
            <rFont val="Tahoma"/>
            <family val="2"/>
          </rPr>
          <t xml:space="preserve">
Juste aboveground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tc={00B60088-0080-489A-8313-00FA007800FE}</author>
  </authors>
  <commentList>
    <comment ref="E2" authorId="0" shapeId="0" xr:uid="{00B60088-0080-489A-8313-00FA007800FE}">
      <text>
        <r>
          <rPr>
            <b/>
            <sz val="9"/>
            <rFont val="Tahoma"/>
            <family val="2"/>
          </rPr>
          <t>vbellassen:</t>
        </r>
        <r>
          <rPr>
            <sz val="9"/>
            <rFont val="Tahoma"/>
            <family val="2"/>
          </rPr>
          <t xml:space="preserve">
400 pour du résineux mais pour du feuillu on est plutôt à 580. Moyenne des deux ?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<sst xmlns="http://schemas.openxmlformats.org/spreadsheetml/2006/main" count="44468" uniqueCount="5205">
  <si>
    <t>Metadata</t>
  </si>
  <si>
    <t>Protocol</t>
  </si>
  <si>
    <t>Drivers</t>
  </si>
  <si>
    <t>Outcomes</t>
  </si>
  <si>
    <t>Model</t>
  </si>
  <si>
    <t>Paper description</t>
  </si>
  <si>
    <t>Extraction</t>
  </si>
  <si>
    <t>Post-extraction</t>
  </si>
  <si>
    <t>Extraction round</t>
  </si>
  <si>
    <t>Driver</t>
  </si>
  <si>
    <t>Change in practices</t>
  </si>
  <si>
    <t>Environmental change</t>
  </si>
  <si>
    <t>QC</t>
  </si>
  <si>
    <t>Carbon_outcome</t>
  </si>
  <si>
    <t>Non_c_outcomes</t>
  </si>
  <si>
    <t>DataCorrection</t>
  </si>
  <si>
    <t>Context definition</t>
  </si>
  <si>
    <t>Processes</t>
  </si>
  <si>
    <t>ProcessesDetails</t>
  </si>
  <si>
    <t>#CAACCB</t>
  </si>
  <si>
    <t>#994F93</t>
  </si>
  <si>
    <t>#77777</t>
  </si>
  <si>
    <t>#90C987</t>
  </si>
  <si>
    <t>#90C988</t>
  </si>
  <si>
    <t>#90C989</t>
  </si>
  <si>
    <t>#90C990</t>
  </si>
  <si>
    <t>#90C991</t>
  </si>
  <si>
    <t>Publication</t>
  </si>
  <si>
    <t>Topic</t>
  </si>
  <si>
    <t>Authors</t>
  </si>
  <si>
    <t>Journal</t>
  </si>
  <si>
    <t>Exclusion</t>
  </si>
  <si>
    <t>Full revision</t>
  </si>
  <si>
    <t>Revision</t>
  </si>
  <si>
    <t>driver description</t>
  </si>
  <si>
    <t>Supply chain</t>
  </si>
  <si>
    <t>Technology</t>
  </si>
  <si>
    <t>Demand</t>
  </si>
  <si>
    <t>All</t>
  </si>
  <si>
    <t>AllEnvir</t>
  </si>
  <si>
    <t>MainDriver</t>
  </si>
  <si>
    <t>Wood amount</t>
  </si>
  <si>
    <t>Cumulated C balance</t>
  </si>
  <si>
    <t>Substitution coefficient</t>
  </si>
  <si>
    <t>LCAOutcomes</t>
  </si>
  <si>
    <t>biogeochemicalOutcomes</t>
  </si>
  <si>
    <t>biophysicalOutcomes</t>
  </si>
  <si>
    <t>ecologicalOutcomes</t>
  </si>
  <si>
    <t>economicalOutcomes</t>
  </si>
  <si>
    <t>Location</t>
  </si>
  <si>
    <t>Time period</t>
  </si>
  <si>
    <t>Wood affected by driver change</t>
  </si>
  <si>
    <t>Sector scale</t>
  </si>
  <si>
    <t>SubstitutionShortcut</t>
  </si>
  <si>
    <t>C fluxes</t>
  </si>
  <si>
    <t>Dynamics</t>
  </si>
  <si>
    <t>DriverCheck</t>
  </si>
  <si>
    <t>#D9CCE3</t>
  </si>
  <si>
    <t>#BA8DB4</t>
  </si>
  <si>
    <t>#994F88</t>
  </si>
  <si>
    <t>#882E72</t>
  </si>
  <si>
    <t>#CAE0AB</t>
  </si>
  <si>
    <t>#4EB265</t>
  </si>
  <si>
    <t>Biogenic in-situ C</t>
  </si>
  <si>
    <t>Biogenic ex-situ C</t>
  </si>
  <si>
    <t>Fossil in-situ</t>
  </si>
  <si>
    <t>Fossil ex-situ</t>
  </si>
  <si>
    <t>C dynamics</t>
  </si>
  <si>
    <t>Market-based feedbacks</t>
  </si>
  <si>
    <t>QCv7</t>
  </si>
  <si>
    <t>Source Title</t>
  </si>
  <si>
    <t>Author Keywords</t>
  </si>
  <si>
    <t>Keywords Plus</t>
  </si>
  <si>
    <t>Article_Title</t>
  </si>
  <si>
    <t>Abstract</t>
  </si>
  <si>
    <t>Journal_ISO_Abbreviation</t>
  </si>
  <si>
    <t>Document type</t>
  </si>
  <si>
    <t>Publication_Year</t>
  </si>
  <si>
    <t>Times_cited</t>
  </si>
  <si>
    <t>DOI</t>
  </si>
  <si>
    <t>multipaper_index</t>
  </si>
  <si>
    <t>PaperID</t>
  </si>
  <si>
    <t>Reviewer</t>
  </si>
  <si>
    <t>Reviewer2</t>
  </si>
  <si>
    <t>ReviewerQCv7</t>
  </si>
  <si>
    <t>driver definition</t>
  </si>
  <si>
    <t>name_ref</t>
  </si>
  <si>
    <t>name_alternative</t>
  </si>
  <si>
    <t>area subject to harvest</t>
  </si>
  <si>
    <t>unspecified harvest increase</t>
  </si>
  <si>
    <t>rotation length</t>
  </si>
  <si>
    <t xml:space="preserve">cutting intensity </t>
  </si>
  <si>
    <t>species</t>
  </si>
  <si>
    <t>plantation density</t>
  </si>
  <si>
    <t>fertilisation</t>
  </si>
  <si>
    <t>site fertility</t>
  </si>
  <si>
    <t>harvesting system</t>
  </si>
  <si>
    <t>location of industry</t>
  </si>
  <si>
    <t>supply chain organization</t>
  </si>
  <si>
    <t>recycling</t>
  </si>
  <si>
    <t xml:space="preserve">end of life disposal </t>
  </si>
  <si>
    <t>products lifespan</t>
  </si>
  <si>
    <t>efficiency improvement</t>
  </si>
  <si>
    <t>technologies/design switch</t>
  </si>
  <si>
    <t>CCS</t>
  </si>
  <si>
    <t>Water table</t>
  </si>
  <si>
    <t>Temperature</t>
  </si>
  <si>
    <t>rainfall</t>
  </si>
  <si>
    <t>CO2 fertilization</t>
  </si>
  <si>
    <t>disturbance</t>
  </si>
  <si>
    <t>N deposition</t>
  </si>
  <si>
    <t>Unspecified policy</t>
  </si>
  <si>
    <t>gdp, population</t>
  </si>
  <si>
    <t>Exogenous wood price</t>
  </si>
  <si>
    <t>Exogenous C price</t>
  </si>
  <si>
    <t>exogenous land use change</t>
  </si>
  <si>
    <t>driverCheck</t>
  </si>
  <si>
    <t>PracticesCheck</t>
  </si>
  <si>
    <t>Nsilvicuture</t>
  </si>
  <si>
    <t>Nsupplychain</t>
  </si>
  <si>
    <t>Ntechnology</t>
  </si>
  <si>
    <t>Ndemand</t>
  </si>
  <si>
    <t>Nenvir</t>
  </si>
  <si>
    <t>driver1</t>
  </si>
  <si>
    <t>driver1Cat</t>
  </si>
  <si>
    <t>Qwood_stageInput</t>
  </si>
  <si>
    <t>Qwood_varInput</t>
  </si>
  <si>
    <t>QwoodInPublication</t>
  </si>
  <si>
    <t>Qwood_unitInput</t>
  </si>
  <si>
    <t>Qwood_refInput</t>
  </si>
  <si>
    <t>Qwood_alternativeInput</t>
  </si>
  <si>
    <t>Qwood_ratioInput</t>
  </si>
  <si>
    <t>Qwood_deltaInput</t>
  </si>
  <si>
    <t>Qwood_delta_m3woodInput</t>
  </si>
  <si>
    <t>C_signInput</t>
  </si>
  <si>
    <t>CInPublication</t>
  </si>
  <si>
    <t>C_unitInput</t>
  </si>
  <si>
    <t>C_refInput</t>
  </si>
  <si>
    <t>C_alternativeInput</t>
  </si>
  <si>
    <t>CratioInput</t>
  </si>
  <si>
    <t>CdeltaInput</t>
  </si>
  <si>
    <t>Cdelta_tCO2</t>
  </si>
  <si>
    <t>substitutionInput</t>
  </si>
  <si>
    <t>LCA scores</t>
  </si>
  <si>
    <t>CH4</t>
  </si>
  <si>
    <t>CO</t>
  </si>
  <si>
    <t>N2O</t>
  </si>
  <si>
    <t>Nox</t>
  </si>
  <si>
    <t>Sox</t>
  </si>
  <si>
    <t>VOC</t>
  </si>
  <si>
    <t>Climate</t>
  </si>
  <si>
    <t>albedo</t>
  </si>
  <si>
    <t>water quantity</t>
  </si>
  <si>
    <t>water quality</t>
  </si>
  <si>
    <t>erosion</t>
  </si>
  <si>
    <t>biodiversity</t>
  </si>
  <si>
    <t>price/economic welfare/social cost</t>
  </si>
  <si>
    <t>Ref_check</t>
  </si>
  <si>
    <t>Qwood_ref</t>
  </si>
  <si>
    <t>Qwood_alternative</t>
  </si>
  <si>
    <t>Qwood_delta_m3wood</t>
  </si>
  <si>
    <t>C_ref</t>
  </si>
  <si>
    <t>C_alternative</t>
  </si>
  <si>
    <t>substitution</t>
  </si>
  <si>
    <t>Cratio</t>
  </si>
  <si>
    <t>scale</t>
  </si>
  <si>
    <t>scaleAgg</t>
  </si>
  <si>
    <t>country</t>
  </si>
  <si>
    <t>time_start</t>
  </si>
  <si>
    <t>time_end</t>
  </si>
  <si>
    <t>time_length</t>
  </si>
  <si>
    <t>time_horizon</t>
  </si>
  <si>
    <t>UpstreamInput</t>
  </si>
  <si>
    <t>EnergyInput</t>
  </si>
  <si>
    <t>PulpPaperInput</t>
  </si>
  <si>
    <t>TimberInput</t>
  </si>
  <si>
    <t>economy_sector</t>
  </si>
  <si>
    <t>productsCheck</t>
  </si>
  <si>
    <t>singleProduct</t>
  </si>
  <si>
    <t>Upstream</t>
  </si>
  <si>
    <t>Energy</t>
  </si>
  <si>
    <t>Pulp/Paper</t>
  </si>
  <si>
    <t>Timber</t>
  </si>
  <si>
    <t>self-calculated DF</t>
  </si>
  <si>
    <t>displacement factor used</t>
  </si>
  <si>
    <t>energy DF origin</t>
  </si>
  <si>
    <t>material DF origin</t>
  </si>
  <si>
    <t>overall DF origin</t>
  </si>
  <si>
    <t>substitutionDFCheck</t>
  </si>
  <si>
    <t>substitution_shortcut</t>
  </si>
  <si>
    <t>soilC</t>
  </si>
  <si>
    <t>harv_residues</t>
  </si>
  <si>
    <t>live_biomass_C</t>
  </si>
  <si>
    <t>products_storage_C</t>
  </si>
  <si>
    <t>eol_biogenic</t>
  </si>
  <si>
    <t>off_product_biogenic</t>
  </si>
  <si>
    <t>forestry_emiss</t>
  </si>
  <si>
    <t>manufacturing_emiss</t>
  </si>
  <si>
    <t>maintenance_emiss</t>
  </si>
  <si>
    <t>eol_fossil_emiss</t>
  </si>
  <si>
    <t>biogenic_dyn</t>
  </si>
  <si>
    <t>fossil_dyn</t>
  </si>
  <si>
    <t>LUC_dyn</t>
  </si>
  <si>
    <t>rebound_dyn</t>
  </si>
  <si>
    <t>Publication quality</t>
  </si>
  <si>
    <t>modelApproach</t>
  </si>
  <si>
    <t>ecosystem aproach</t>
  </si>
  <si>
    <t>technology approach</t>
  </si>
  <si>
    <t>Comment</t>
  </si>
  <si>
    <t>Check exclusion</t>
  </si>
  <si>
    <t>Outlier?</t>
  </si>
  <si>
    <t>Check outlier</t>
  </si>
  <si>
    <t>Check_AV</t>
  </si>
  <si>
    <t>CheckSL</t>
  </si>
  <si>
    <t>EUROPEAN JOURNAL OF FOREST RESEARCH</t>
  </si>
  <si>
    <t>Ecosystem model; Emission calculation; Energy wood production; Management; Boreal ecosystem</t>
  </si>
  <si>
    <t>GREENHOUSE-GAS EMISSIONS; NORWAY SPRUCE STANDS; SCOTS PINE; CARBON SEQUESTRATION; CLIMATE-CHANGE; SIMULATION-MODEL; ROTATION LENGTH; BIOMASS ENERGY; FOREST BIOMASS; GROWTH</t>
  </si>
  <si>
    <t>Alam, A; Kilpelainen, A; Kellomaki, S</t>
  </si>
  <si>
    <t>Impacts of initial stand density and thinning regimes on energy wood production and management-related CO2 emissions in boreal ecosystems</t>
  </si>
  <si>
    <t>An ecosystem model (Sima) was utilised to investigate the impact of forest management (by changing both the initial stand density and basal area thinning thresholds from current recommendations) on energy wood production (at energy wood thinning and final felling) and management-related carbon dioxide (CO2) emissions for the energy wood production in Finnish boreal conditions (62A degrees 39' N, 29A degrees 37' E). The simultaneous effects of energy wood, timber and C stocks in the forest ecosystem (live and dead biomass) were also assessed. The analyses were carried out at stand level during a rotation period of 80 years for Scots pine (Pinus sylvestris L.) and Norway spruce (Picea abies L. Karst.) growing in different fertility sites. Generally, the results showed that decreased basal area thinning thresholds, compared with current thinning, reduced energy wood (logging residues) and timber production, as well as carbon stocks in the forest ecosystem. Conversely, increased thinning thresholds increased energy wood production (ca. 1-27%) at both energy wood thinning and final felling and reduced CO2 emissions (ca. 2-6%) related to the production chain (e.g. management operations), depending on the thinning threshold levels, initial stand density, species and site. Increased thinning thresholds also enhanced timber production and carbon stocks in the forest ecosystem. Additionally, increased initial stand density enhanced energy wood production for energy wood thinning for both species, but this reduced energy wood production at final felling for Scots pine and Norway spruce. This study concluded that increases in both initial stand density and thinning thresholds, compared with the current level, could be useful in energy wood, timber and carbon stocks enhancement, as well as reducing management-related CO2 emissions for energy wood production. Only 2.4-3.3% of input of the produced energy (energy wood) was required during the whole production chain, depending on the management regime, species and sites. However, a comprehensive substitution analysis of wood-based energy, in respect to environmental benefits, would also require the inclusion of CO2 emissions related to ecosystem processes (e.g. decomposition).</t>
  </si>
  <si>
    <t>Eur. J. For. Res.</t>
  </si>
  <si>
    <t>10.1007/s10342-011-0539-8</t>
  </si>
  <si>
    <t>included</t>
  </si>
  <si>
    <t>AV</t>
  </si>
  <si>
    <t>v4</t>
  </si>
  <si>
    <t>SL</t>
  </si>
  <si>
    <t>thinning</t>
  </si>
  <si>
    <t>M1</t>
  </si>
  <si>
    <t>Cu</t>
  </si>
  <si>
    <t>HWP</t>
  </si>
  <si>
    <t>energy wood production</t>
  </si>
  <si>
    <t>Mg.ha-1</t>
  </si>
  <si>
    <t>Sequestration positive</t>
  </si>
  <si>
    <t>kgCO2.MWh-1</t>
  </si>
  <si>
    <t>std</t>
  </si>
  <si>
    <t>Finland</t>
  </si>
  <si>
    <t>wood and C estimates do not have the same functional unit (ha or MWh) so no substitution can be calculated</t>
  </si>
  <si>
    <t>M3</t>
  </si>
  <si>
    <t>M4</t>
  </si>
  <si>
    <t>M6</t>
  </si>
  <si>
    <t>initial stand density</t>
  </si>
  <si>
    <t>site</t>
  </si>
  <si>
    <t>Myrtillus</t>
  </si>
  <si>
    <t>Oxalis-Myrtillus</t>
  </si>
  <si>
    <t>Vaccinium</t>
  </si>
  <si>
    <t>scots pine</t>
  </si>
  <si>
    <t>norway spruce</t>
  </si>
  <si>
    <t>ENERGY AND BUILDINGS</t>
  </si>
  <si>
    <t>Life Cycle Assessment; Buildings; Biogenic carbon; Cross laminated timber; Forest transformation</t>
  </si>
  <si>
    <t>TEMPORARY-STORAGE; IMPACT ASSESSMENT; LCA; CONSTRUCTION; ENERGY; CHALLENGES; EMISSIONS; END</t>
  </si>
  <si>
    <t>Andersen, JH; Rasmussen, NL; Ryberg, MW</t>
  </si>
  <si>
    <t>Comparative life cycle assessment of cross laminated timber building and concrete building with special focus on biogenic carbon</t>
  </si>
  <si>
    <t>This study conducted a consequential Life Cycle Assessment (LCA) on two similar mid-rise apartment buildings applying either concrete or cross laminated timber (CLT) as the main structural material. The study further investigated inclusion of biogenic carbon and how this affects environmental impacts related to Global warming. Thus, two assessment scenarios were applied: A Base scenario, without accounting for biogenic carbon and a Biogenic carbon scenario that include a GWPbio factor to account for the use of biogenic carbon. The CLT building had the lowest impact score in 11 of 18 impact categories including Global warming. Operational energy use was the main contributor to the total impact with some variation across impact scores, but closely followed by impacts embodied in materials (incl. End-of-Life). An evaluation of the potential forest transformations required for fulfilling future projections for new building construction in 2060 showed that about 3% of current global forest area would be needed. This share was essentially independent of the selected building material as the main driver for forest transformation was found to be energy use during building operation. Thus, focus should primarily be on reducing deforestation related to energy generation rather than deforestation from production of building materials. (C) 2021 The Author(s). Published by Elsevier B.V.</t>
  </si>
  <si>
    <t>Energy Build.</t>
  </si>
  <si>
    <t>Article</t>
  </si>
  <si>
    <t>10.1016/j.enbuild.2021.111604</t>
  </si>
  <si>
    <t>v5</t>
  </si>
  <si>
    <t>construction material</t>
  </si>
  <si>
    <t>concrete</t>
  </si>
  <si>
    <t>CLT</t>
  </si>
  <si>
    <t>wood quantity in building</t>
  </si>
  <si>
    <t>kg/m2</t>
  </si>
  <si>
    <t>kgCO2eq/m2</t>
  </si>
  <si>
    <t>prd</t>
  </si>
  <si>
    <t>Norway</t>
  </si>
  <si>
    <t>SCIENCE OF THE TOTAL ENVIRONMENT</t>
  </si>
  <si>
    <t>Wood products; Carbon storage; Climate mitigation; Dynamic material flow analysis; Dynamic life cycle assessment; Land-use strategies</t>
  </si>
  <si>
    <t>GAS DISPLACEMENT FACTORS; IMPACT ASSESSMENT; FOREST; BIOENERGY; TREE; ENERGY; SUBSTITUTION; RESTORATION; CHALLENGES; PRODUCTS</t>
  </si>
  <si>
    <t>Aryapratama, R; Pauliuk, S</t>
  </si>
  <si>
    <t>Life cycle carbon emissions of different land conversion and woody biomass utilization scenarios in Indonesia</t>
  </si>
  <si>
    <t>Wood-based products can contribute to climate change mitigation by prolonging the storage of carbon in the anthroposphere. In Indonesia, however, many wood-based products originate from unsustainable sources due to widespread land-use changes over the past decades. To reconcile economic development and climate policy, a detailed and comprehensive carbon life cycle assessment is needed, covering biospheric and technospheric woody carbon flows and emissions over time. In this study, we combine dynamic material flow analysis, stock modeling, and life cycle assessment to estimate life cycle carbon emissions over time of wood products from different land conversion types in Indonesia on a hectare (ha) basis. Wood production from clear-cut primary forest conversions to oil palm, secondary forest, and timber plantations lead to net carbon emissions between 1206-1282, 436-449, and 629-958 t-CO2-eq/ha, respectively, at the end of the 200-year time horizon (TH). The counter-use scenarios of using non-renewable materials or energy instead of wood-based products for the same set of scenarios while leaving primary forests untouched display 44-57, 59-88, and 5-48% lower global warming potentials, respectively, at the end of the TH. Wood products from forest plantations on restored degraded land (DL_FP), reduced-impact logging (RIL), and improved reduced-impact logging (RIL-C) of primary forest went beyond carbon neutrality, displaying carbon removal potentials of up to around -218, -378, and -739 t-CO2-eq/ha, respectively, by year 200. At the one ha-scale, our results indicate that keeping primary forests intact is the climate-preferable option, even when emissions from the counter-use of non-renewable materials or energy are factored in, except if RIL is performed. Therefore, wood product utilization would only be favorable from a climate perspective in DL_FP or RIL pathways. These results help screen different land conversion policy options and providing information about the climate mitigation potential of wood products in different supply chains. (C) 2021 The Authors. Published by Elsevier B.V.</t>
  </si>
  <si>
    <t>Sci. Total Environ.</t>
  </si>
  <si>
    <t>10.1016/j.scitotenv.2021.150226</t>
  </si>
  <si>
    <t>Aryapratama_2022</t>
  </si>
  <si>
    <t>KN</t>
  </si>
  <si>
    <t>PF_SF_M</t>
  </si>
  <si>
    <t>PF_PO_M</t>
  </si>
  <si>
    <t>wood product</t>
  </si>
  <si>
    <t>tC/ha</t>
  </si>
  <si>
    <t>tCO2/ha</t>
  </si>
  <si>
    <t>Indonesia</t>
  </si>
  <si>
    <t>Suter2016 Hoglmeier2017</t>
  </si>
  <si>
    <t>external DF used</t>
  </si>
  <si>
    <t>RIL_C_M</t>
  </si>
  <si>
    <t>RIL_M</t>
  </si>
  <si>
    <t>forest C stock</t>
  </si>
  <si>
    <t>changedVB</t>
  </si>
  <si>
    <t>plantation forest from either degraded land or primary forest</t>
  </si>
  <si>
    <t>DL_FP_M_Ac_7yr</t>
  </si>
  <si>
    <t>PF_FP_M_Ac_7yr</t>
  </si>
  <si>
    <t>changed driver. Since it compares with primary forest it looks at area increase</t>
  </si>
  <si>
    <t>PF_PO_NR_M</t>
  </si>
  <si>
    <t>Suter2016 Hoglmeier2015</t>
  </si>
  <si>
    <t>PF_SF_NR_M</t>
  </si>
  <si>
    <t>VB automated extraction and changed the sign</t>
  </si>
  <si>
    <t>PF_FP_NR_M_Ac_7yr</t>
  </si>
  <si>
    <t>changed from prulpwood to timber because t is a furniture use</t>
  </si>
  <si>
    <t>PF_FP_NR_M_Tgr_60yr</t>
  </si>
  <si>
    <t>PF_FP_M_Tgr_60yr</t>
  </si>
  <si>
    <t>PF_FP_NR_M_Ac_18yr</t>
  </si>
  <si>
    <t>PF_FP_M_Ac_18yr</t>
  </si>
  <si>
    <t>Suter2016 Hoglmeier2016</t>
  </si>
  <si>
    <t>RIL_NR_E</t>
  </si>
  <si>
    <t>RIL_E</t>
  </si>
  <si>
    <t>Dwivedi2019 Meijide2020 Jing 2020</t>
  </si>
  <si>
    <t>RIL_NR_M</t>
  </si>
  <si>
    <t>DL_FP_NR_M_Ac_7yr</t>
  </si>
  <si>
    <t>DL_FP_NR_M_Ac_18yr</t>
  </si>
  <si>
    <t>DL_FP_M_Ac_18yr</t>
  </si>
  <si>
    <t>DL_FP_NR_M_Tgr_60yr</t>
  </si>
  <si>
    <t>DL_FP_M_Tgr_60yr</t>
  </si>
  <si>
    <t>RIL_C_NR_E</t>
  </si>
  <si>
    <t>RIL_C_E</t>
  </si>
  <si>
    <t>RIL_C_NR_M</t>
  </si>
  <si>
    <t>Rotation length</t>
  </si>
  <si>
    <t>PF_FP_M_18y</t>
  </si>
  <si>
    <t>PF_FP_M_7y</t>
  </si>
  <si>
    <t>DL_FP_M_18y</t>
  </si>
  <si>
    <t>DL_FP_M_7y</t>
  </si>
  <si>
    <t>main wood product as materials or energy</t>
  </si>
  <si>
    <t>PF_SF_E</t>
  </si>
  <si>
    <t>Roundwood</t>
  </si>
  <si>
    <t>Harvested wood flow from primary forest and forest/plantation management</t>
  </si>
  <si>
    <t>AppD F1-2</t>
  </si>
  <si>
    <t>see above+requalified as "supply chain organization"</t>
  </si>
  <si>
    <t>changed the Qwood variable extracted to reflect the total harvest, more consistent with the driver recorded since harvest is the same and only the use of wood differs</t>
  </si>
  <si>
    <t>PF_PO_E</t>
  </si>
  <si>
    <t>PF_PO_NR_E</t>
  </si>
  <si>
    <t>PF_SF_NR_E</t>
  </si>
  <si>
    <t>PF_FP_NR_E_Hbr_40yr</t>
  </si>
  <si>
    <t>PF_FP_E_Hbr_40yr</t>
  </si>
  <si>
    <t>DL_FP_NR_E_Hbr_40yr</t>
  </si>
  <si>
    <t>DL_FP_E_Hbr_40yr</t>
  </si>
  <si>
    <t>BUILDING AND ENVIRONMENT</t>
  </si>
  <si>
    <t>Climate change mitigation; Life cycle assessment; Industrial building system (IBS); Laminated veneer lumber (LVL); Glued laminated timber (GLT); Sustainability</t>
  </si>
  <si>
    <t>CYCLE ENERGY-CONSUMPTION; LIFE-CYCLE; ENVIRONMENTAL PERFORMANCE; WOOD PRODUCTS; CONSTRUCTION; TIMBER; IMPACT; COSTS</t>
  </si>
  <si>
    <t>Balasbaneh, AT; Bin Marsono, AK</t>
  </si>
  <si>
    <t>Strategies for reducing greenhouse gas emissions from residential sector by proposing new building structures in hot and humid climatic conditions</t>
  </si>
  <si>
    <t>Malaysian government has advised builders to apply Industrial Building System (IBS) technique in construction due to so many advantages such as productivity, efficiency and cost. This study attempted to reduce greenhouse gas (GHG) emissions from building sector by representing two new building compositions into IBS structures categories. Life cycle assessment (LCA) tool Simapro.8 has been used to identify the environmental performance of buildings from cradle to grave. The full LCA has been run to assess the six different types of prefabricated buildings system, of which four are currently recognized and the other two are designed by current research. The primary result shows that timber prefabricate is the best choice due to having lower emissions toward climate change mitigation of building construction. However, timber houses have rarely been built due to some defects that occurred to its material and structure over time. Rate of applying wood in the construction industry in Malaysia has gone down from about 60% to 7% over the last 40 years. Therefore, this research aims to contribute to the body of knowledge by introducing new composite. First composite is Glued laminated timber (GLT) with steel stud and the second is a combination of laminated veneer lumber (LVL) with steel stud as two new compositions which not only have significantly less global warming potential (GWP) than prefabricated concrete structure or steel framing system, but can be replaced rather than abandoned timber structure. Therefore, new compositions can be suggested to house builders and facilitate the decision making process. (C) 2017 Elsevier Ltd. All rights reserved.</t>
  </si>
  <si>
    <t>Build. Environ.</t>
  </si>
  <si>
    <t>10.1016/j.buildenv.2017.08.025</t>
  </si>
  <si>
    <t>TH</t>
  </si>
  <si>
    <t>Glued laminated instead of Precast 500 yrs</t>
  </si>
  <si>
    <t xml:space="preserve">Precast concrete framing </t>
  </si>
  <si>
    <t xml:space="preserve">Glued laminated timber </t>
  </si>
  <si>
    <t>kg</t>
  </si>
  <si>
    <t>kg CO2 eq</t>
  </si>
  <si>
    <t>cit</t>
  </si>
  <si>
    <t>Malaysia</t>
  </si>
  <si>
    <t>Fix sequestration sign</t>
  </si>
  <si>
    <t>Laminated veneer instead of Precast 500 yrs</t>
  </si>
  <si>
    <t>Laminated veneer lumber</t>
  </si>
  <si>
    <t>Glued laminated instead of Precast 20 yrs</t>
  </si>
  <si>
    <t>Glued laminated instead of Precast 100 yrs</t>
  </si>
  <si>
    <t>Laminated veneer instead of Precast 100 yrs</t>
  </si>
  <si>
    <t>Laminated veneer instead of Precast 20 yrs</t>
  </si>
  <si>
    <t>timber instead of Precast 500 yrs</t>
  </si>
  <si>
    <t xml:space="preserve">timber prefabricated </t>
  </si>
  <si>
    <t>timber instead of Precast 100 yrs</t>
  </si>
  <si>
    <t>timber instead of Precast 20 yrs</t>
  </si>
  <si>
    <t>timber instead of Steel 500 yrs</t>
  </si>
  <si>
    <t xml:space="preserve">Steel frame work system </t>
  </si>
  <si>
    <t>Glued laminated instead of Steel 500 yrs</t>
  </si>
  <si>
    <t>Laminated veneer instead of Steel 500 yrs</t>
  </si>
  <si>
    <t>timber instead of Steel 100 yrs</t>
  </si>
  <si>
    <t>timber instead of Steel 20 yrs</t>
  </si>
  <si>
    <t>Glued laminated instead of Steel 100 yrs</t>
  </si>
  <si>
    <t>Glued laminated instead of Steel 20 yrs</t>
  </si>
  <si>
    <t>Laminated veneer instead of Steel 100 yrs</t>
  </si>
  <si>
    <t>Laminated veneer instead of Steel 20 yrs</t>
  </si>
  <si>
    <t>timber instead of blockwork 500 yrs</t>
  </si>
  <si>
    <t>blockwork system</t>
  </si>
  <si>
    <t>Glued laminated instead of blockwork 500 yrs</t>
  </si>
  <si>
    <t>Laminated veneer instead of blockwork 500 yrs</t>
  </si>
  <si>
    <t>timber instead of blockwork 100 yrs</t>
  </si>
  <si>
    <t>timber instead of blockwork 20 yrs</t>
  </si>
  <si>
    <t>Glued laminated instead of blockwork 100 yrs</t>
  </si>
  <si>
    <t>Laminated veneer instead of blockwork 100 yrs</t>
  </si>
  <si>
    <t>Glued laminated instead of blockwork 20 yrs</t>
  </si>
  <si>
    <t>Laminated veneer instead of blockwork 20 yrs</t>
  </si>
  <si>
    <t>INTERNATIONAL JOURNAL OF LIFE CYCLE ASSESSMENT</t>
  </si>
  <si>
    <t>Building structure; Life cycle assessment; Cross-laminated timber; Composite structure</t>
  </si>
  <si>
    <t>CROSS-LAMINATED TIMBER; LIFE-CYCLE ASSESSMENT; GLOBAL WARMING MITIGATION; RESIDENTIAL CONSTRUCTION; ENERGY EFFICIENCY; GREENHOUSE-GAS; COMPOSITE; LCA; STRATEGIES; DEFECTS</t>
  </si>
  <si>
    <t>Balasbaneh, AT; Sher, W; Yeoh, D</t>
  </si>
  <si>
    <t>Recommending a new building structure to alleviate environmental impact in tropical climates: increasing the use of wood in construction</t>
  </si>
  <si>
    <t>Purpose The construction sector is interested in considering environmental implications as necessary criteria for sustainability. In this regard, wood materials, especially engineering wood, are a promising choice for sustainable buildings. In some countries such as Malaysia, timber is rarely considered in the construction sector despite there being abundant access to wood. This is because of the scarcity of timber structures and the dominance of alternative materials such as steel and concrete. The cross-laminated timber-steel composite introduced in this research benefits both the wood and the steel markets leading to standardization and a more extensive market. At the same time, it contributes to environmentally friendly requirements. The main objective was to investigate timber applications in local construction and make proposals for its promotion. The new specimen described here could potentially enhance the strength of timber beams using steel plates. Four current structural methods have been chosen based on environmental and economic comparisons with a new composite structure. Methods The life cycle assessment (LCA) and life cycle cost (LCC) have been used to compare the performance of four current conventional structures. Results and discussion The results showed that the new proposed structure has lower emissions in all environmental categories, namely, Global Warming Potential (GWP), Human Carcinogenic Toxicity (HCT), Fossil Depletion Potential (FDP), Ozone Layer Depletion (OLD), Terrestrial Acidification (TA) and embodied energy. The results of the LCC are consistent with the environmental issue as the new composite has a lower cost over its entire life span. Conclusions The new structure provides a novel and sustainable alternative for the construction industry.</t>
  </si>
  <si>
    <t>Int. J. Life Cycle Assess.</t>
  </si>
  <si>
    <t>10.1007/s11367-022-02074-5</t>
  </si>
  <si>
    <t>a</t>
  </si>
  <si>
    <t>v6</t>
  </si>
  <si>
    <t>Building technology</t>
  </si>
  <si>
    <t>concrete structure</t>
  </si>
  <si>
    <t>new composite structure with CLT</t>
  </si>
  <si>
    <t>wood materials</t>
  </si>
  <si>
    <t>table 1</t>
  </si>
  <si>
    <t>Emissions positive</t>
  </si>
  <si>
    <t>table3</t>
  </si>
  <si>
    <t>kgCO2eq</t>
  </si>
  <si>
    <t>JOURNAL OF BUILDING ENGINEERING</t>
  </si>
  <si>
    <t>GLT-Concrete composite; Composite floor structures; Lightweight floor; Life cycle assessment; Life cycle cost</t>
  </si>
  <si>
    <t>LIFE-CYCLE ASSESSMENT; BUILDING REFURBISHMENT; MASS TIMBER; WOOD; DESIGN; PERFORMANCE; BEHAVIOR; ENERGY; SHEAR</t>
  </si>
  <si>
    <t>Balasbaneh, AT; Sher, W; Yeoh, D; Koushfar, K</t>
  </si>
  <si>
    <t>LCA &amp; LCC analysis of hybrid glued laminated Timber-Concrete composite floor slab system</t>
  </si>
  <si>
    <t>The increasing request for energy-saving and saving materials and growing concern related to the impacts of materials used on environmental and economical has driven the construction industry toward redesigning critical structural systems and elements. This research proposes solutions for mitigating ecological effects and sustainable built environments. For example, the floor slab is considered the top environmental impact emission after walls compared to other non-load-bearing elements among different building components. Therefore, this research expands the new slab comprising Glued laminated timber (GLT) with concrete as a novel lightweight flooring system. The related methodology includes life cycle assessment (LCA) and life cycle cost (LCC) analysis. Thus, the environmental and economic impacts of three common slab systems were compared to the proposed slab. The evaluation results revealed that GLT-concrete has lower emissions in all environmental categories, namely: Global warming potential (GWP), Eutrophi-cation Potential (EP), human toxicity potential (HTP), fossil depletion potential (FDP), terrestrial Ecotoxicity (TE), and Acidification Potential (AP). Likewise, Embodied energy value showed that GLT-concrete has a lower value by 26%, 9%, and 24% than Lightweight steel slab, Precast reinforced slab, and Cofradal slab. Finally, the result of LCC shows a new GLT-concrete slab despite having a higher construction cost, but by considering the end of life scenario as reuse, it will have a lower total cost. Thus, current research can expand the assessment of environmentally friendly floor structures and step toward sustainable construction.</t>
  </si>
  <si>
    <t>J. Build. Eng.</t>
  </si>
  <si>
    <t>10.1016/j.jobe.2022.104005</t>
  </si>
  <si>
    <t>b</t>
  </si>
  <si>
    <t>lightweight steel composite decking S1</t>
  </si>
  <si>
    <t>new clt-concrete structure</t>
  </si>
  <si>
    <t>glue laminated timber</t>
  </si>
  <si>
    <t>table1</t>
  </si>
  <si>
    <t>fig3/text</t>
  </si>
  <si>
    <t>ENERGIES</t>
  </si>
  <si>
    <t>biochar pellet; forest residues; lifecycle assessment; minimum selling price; environmental impacts</t>
  </si>
  <si>
    <t>ECONOMIC-ANALYSIS; SOIL QUALITY; BIOMASS; ENERGY; CARBON; PERFORMANCE; BIOFUELS; OPTIONS; COSTS</t>
  </si>
  <si>
    <t>Bergman, R; Sahoo, K; Englund, K; Mousavi-Avval, SH</t>
  </si>
  <si>
    <t>Lifecycle Assessment and Techno-Economic Analysis of Biochar Pellet Production from Forest Residues and Field Application</t>
  </si>
  <si>
    <t>Biochar produced from low-value forest biomass can provide substantial benefits to ecosystems and mitigate climate change-induced risks such as forest fires. Forest residues from restoration activities and timber harvest and biochar itself are bulky and thus incur high logistic costs, so are considered major bottlenecks for the commercialization of the biochar industry. The objectives of this study were to assess the environmental footprints and techno-economic feasibility of converting forest residues in Pacific Northwest United States into biochar pellets using portable systems followed by delivery of the final product to end-users for land application (dispersion). Two portable systems (Biochar Solutions Incorporated (BSI) and Air Curtain Burner (ACB)) were considered for biochar production. A cradle-to-grave lifecycle assessment (LCA) and a discounted cash flow analysis method were used to quantify the environmental impacts and minimum selling price (MSP) of biochar. The global warming (GW) impact of biochar production through BSI and ACB was estimated to be 306-444, and 750-1016 kgCO(2)eq/tonne biochar applied to the field, respectively. The MSP of biochar produced through BSI and ACB was 1674-1909 and 528-1051 USD/tonne biochar applied to the field, respectively. Pelletizing of biochar reduced GW impacts during outbound logistics (similar to 8-20%) but increased emissions during pelletizing (similar to 1-9%). Results show the BSI system was a more viable option in terms of GW impact, whereas the ACB system can produce biochar with lower MSP. The results of the study conclude that the production of biochar pellets through the two portable systems and applied to fields can be both an environmentally beneficial and economically viable option.</t>
  </si>
  <si>
    <t>Energies</t>
  </si>
  <si>
    <t>10.3390/en15041559</t>
  </si>
  <si>
    <t>biochar production system</t>
  </si>
  <si>
    <t>BSI Biochar Solutions Incorporated</t>
  </si>
  <si>
    <t xml:space="preserve">ACB Air Curtain Burner </t>
  </si>
  <si>
    <t>feedstock</t>
  </si>
  <si>
    <t>table2</t>
  </si>
  <si>
    <t>kg (oven-dried)</t>
  </si>
  <si>
    <t>fig3</t>
  </si>
  <si>
    <t>kgCO2eq/tonne biochar</t>
  </si>
  <si>
    <t>USA</t>
  </si>
  <si>
    <t>fig4</t>
  </si>
  <si>
    <t>ENERGY POLICY</t>
  </si>
  <si>
    <t>greenhouse gas mitigation; forest land use; building construction; life-cycle perspective</t>
  </si>
  <si>
    <t>ENERGY; BIOMASS</t>
  </si>
  <si>
    <t>Borjesson, P; Gustavsson, L</t>
  </si>
  <si>
    <t>Greenhouse gas balances in building construction: wood versus concrete from life-cycle and forest land-use perspectives</t>
  </si>
  <si>
    <t>In this paper, primary energy use and carbon dioxide (CO2) and methane (CH4) emissions from the construction of a multi-storey building, with either a wood or a concrete frame, were calculated from life-cycle and forest land-use perspectives. The primary energy input (mainly fossil fuels) in the production of building materials was found to be about 60-80% higher when concrete frames were considered instead of wood frames. The net greenhouse gas (GHG) balance for wood materials will depend strongly on how the wood is handled after demolition of the building. The net GHG balance will be slightly positive if all the demolition wood is used to replace fossil fuels, slightly negative if part of the demolition wood is re-used, and clearly positive if all wood is deposited in landfills, due to the production of CH4. However, if the biogas produced is collected and used to replace fossil fuels, the net GHG emissions will be insignificant. If concrete frames are used, the net GHG emissions will be about those when demolition wood from the wood-framed building is deposited in landfills and no biogas is collected. We have considered that the CO2 released from the chemical processes in the production of cement will be re-bound to the concrete by the carbonisation process. Otherwise, the net GHG emission would be more than twice as high when concrete frames are used. If forest biomass is used instead of fossil fuels, the net area of forest land required to supply both raw material and energy for the production of building materials, will be about twice as high when wood frames are used instead of concrete frames. However, the GHG mitigation efficiency, expressed as CO, equivalents per unit area of forest land, will be 2-3 times higher when wood frames are used if excess wood waste and logging residues are used to replace fossil fuels. The excess forest in the: concrete frame alternative is used to replace fossil fuels, but if this forest is used for carbon storage, the mitigation efficiency will be higher for the first forest rotation period (100 yr), but lower for the following rotation periods. Some of the data used in the analyses are uncertain, but an understanding of the complexity in comparing different alternatives for utilising forest for GHG mitigation, and of the fact that the time perspective applied affects the results markedly, is more important for the results than the precise figures in the input data. (C) 2000 Elsevier Science Ltd. All lights reserved.</t>
  </si>
  <si>
    <t>Energy Policy</t>
  </si>
  <si>
    <t>10.1016/S0301-4215(00)00049-5</t>
  </si>
  <si>
    <t>construction type 300yr</t>
  </si>
  <si>
    <t>5b concrete frame</t>
  </si>
  <si>
    <t>4 wood frame,  demolition wood inlandfill no biogas (20% decomposition)</t>
  </si>
  <si>
    <t>carbon storage in building</t>
  </si>
  <si>
    <t>tC</t>
  </si>
  <si>
    <t>tCeq</t>
  </si>
  <si>
    <t>Sweden</t>
  </si>
  <si>
    <t>Extreme values because the accounting spans over 300 years</t>
  </si>
  <si>
    <t>6b concrete frame</t>
  </si>
  <si>
    <t>5a concrete frame</t>
  </si>
  <si>
    <t>3 wood frame,  demolition wood in landfill biogas collected (20% decomposition)</t>
  </si>
  <si>
    <t>6a concrete frame</t>
  </si>
  <si>
    <t>okVB</t>
  </si>
  <si>
    <t>5b concrete frame  (oil)</t>
  </si>
  <si>
    <t>1 wood frame,  demolition wood reused and fore energy (oil)</t>
  </si>
  <si>
    <t>6b concrete frame  (oil)</t>
  </si>
  <si>
    <t>construction type 100yr</t>
  </si>
  <si>
    <t>1 wood frame,  demolition wood reused and for energy (oil)</t>
  </si>
  <si>
    <t>2 wood frame, demolition wood reused and used for energy (oil)</t>
  </si>
  <si>
    <t xml:space="preserve">6b concrete frame crushed gravel </t>
  </si>
  <si>
    <t>building lifespan</t>
  </si>
  <si>
    <t>50 years (demolition wood for landfill, no biogas)</t>
  </si>
  <si>
    <t>100 years</t>
  </si>
  <si>
    <t>50 years (demolition wood for landfill with biogas collection)</t>
  </si>
  <si>
    <t>50 years (demolition wood for energy)</t>
  </si>
  <si>
    <t>50 years (demolition wood for reuse and energy)</t>
  </si>
  <si>
    <t>fate of demolition wood 300yr</t>
  </si>
  <si>
    <t>4 landfill_no_biogas (10% decomposition)</t>
  </si>
  <si>
    <t>1 demolition wood for energy (coal)</t>
  </si>
  <si>
    <t>4 landfill_no_biogas (40% decomposition)</t>
  </si>
  <si>
    <t>1 demolition wood for energy (NG)</t>
  </si>
  <si>
    <t>1 demolition wood for energy (oil)</t>
  </si>
  <si>
    <t>2 demolition wood reused and for energy (coal)</t>
  </si>
  <si>
    <t>2 demolition wood reused and for energy (NG)</t>
  </si>
  <si>
    <t>2 demolition wood reused and for energy (oil)</t>
  </si>
  <si>
    <t>3 demolition wood in landfill biogas collected (10% decomposition)</t>
  </si>
  <si>
    <t>3 demolition wood in landfill biogas collected (40% decomposition)</t>
  </si>
  <si>
    <t>forest use 300yr</t>
  </si>
  <si>
    <t>5a forest used for carbon storag</t>
  </si>
  <si>
    <t>5b forest used for energy (NG)</t>
  </si>
  <si>
    <t>carbon storage in excess forest</t>
  </si>
  <si>
    <t>fix driver to technology shift</t>
  </si>
  <si>
    <t>6a forest used for carbon storag</t>
  </si>
  <si>
    <t>6b forest used for energy (NG)</t>
  </si>
  <si>
    <t>5b forest used for energy (oil)</t>
  </si>
  <si>
    <t>6b forest used for energy (oil)</t>
  </si>
  <si>
    <t>5b forest used for energy (coal)</t>
  </si>
  <si>
    <t>6b forest used for energy (coal)</t>
  </si>
  <si>
    <t>FOREST ECOSYSTEMS</t>
  </si>
  <si>
    <t>Timber growth; Carbon recovery; Silvicultural treatment; Logging cycle; Above-ground biomass</t>
  </si>
  <si>
    <t>REDUCED-IMPACT; EAST KALIMANTAN; SILVICULTURAL TREATMENTS; ABOVEGROUND BIOMASS; GROWTH-RATES; DYNAMICS; EMISSIONS; MODELS; STOCKS; TREES</t>
  </si>
  <si>
    <t>Butarbutar, T; Soedirman, S; Neupane, PR; Kohl, M</t>
  </si>
  <si>
    <t>Carbon recovery following selective logging in tropical rainforests in Kalimantan, Indonesia</t>
  </si>
  <si>
    <t>Background The knowledge gap regarding post-logging carbon recovery by increased growth is becoming more crucial to understand the significant contribution of forest to climate change mitigation. We assessed the ability of tropical forests in Indonesia to recover carbon following conventional logging. We evaluated carbon re-growth of 10,415 trees in permanent sample plots (PSPs) in East Kalimantan. Four different post-harvesting silvicultural treatments including liberation, refining, thinning, and control were applied in the PSPs. We estimated the carbon recovery period using three different scenarios of total carbon losses due to logging. In the first scenario, we used an existing factor of logging damage and increased it for assuming the range of carbon losses due to different logging practices. Results Under the existing conventional logging practice, the concession annually emits 51.18 tC center dot ha(- 1), of which 16.8% are extracted from the forest as raw timber, 38% are logging losses, and 45.2% are emissions due to infrastructure development for logging operation. Increasing the logging damage factor two and three times led to an increase in carbon emission to 70.76 and 90.34 tC center dot ha(- 1), respectively. The recovery time of the aboveground carbon is 26 years in Scenario 1, 36 years in Scenario 2, and 46 years in Scenario 3. We found no significant effect of the silvicultural treatment type on carbon recovery, but significant effect of the sites was observed. Conclusions We found that the time taken to restore the carbon to the level found in undisturbed forests is considerably longer than the current intervention cycles. The time needed to recover biomass and carbon-stock noticeably depends on the intensity of logging interventions, demonstrating the benefits of using improved harvesting e.g., reduced impact logging to reduce emissions. The study found that site variability has a significant effect on the carbon recovery time. Different silvicultural treatments, on the other hand, have no effect on the recovery time. The study suggests that it is not appropriate to establish an intervention cycle based on arbitrary choice; the time between interventions must be based on logging losses and site specific growth potential to ensure sustainable management of forests.</t>
  </si>
  <si>
    <t>For. Ecosyst.</t>
  </si>
  <si>
    <t>10.1186/s40663-019-0195-x</t>
  </si>
  <si>
    <t>silvicultural treatment</t>
  </si>
  <si>
    <t>control</t>
  </si>
  <si>
    <t>liberation</t>
  </si>
  <si>
    <t>total harvested volume</t>
  </si>
  <si>
    <t>m3</t>
  </si>
  <si>
    <t>refinement</t>
  </si>
  <si>
    <t>experimental site</t>
  </si>
  <si>
    <t>Loc.2</t>
  </si>
  <si>
    <t>Loc.4</t>
  </si>
  <si>
    <t>Loc.1</t>
  </si>
  <si>
    <t>Loc.3</t>
  </si>
  <si>
    <t>RESOURCES CONSERVATION AND RECYCLING</t>
  </si>
  <si>
    <t>Circular economy; Life cycle assessment (lca); Biogenic carbon; Climate change; Bio-concrete; Transportation</t>
  </si>
  <si>
    <t>LIFE-CYCLE ASSESSMENT; ENVIRONMENTAL EVALUATION; SUPPLY CHAIN; LCA; CONSTRUCTION; CARBON; STRATEGIES; GERMANY</t>
  </si>
  <si>
    <t>Caldas, LR; Saraiva, AB; Lucena, AFP; Da Gloria, MY; Santos, AS; Toledo, RD</t>
  </si>
  <si>
    <t>Building materials in a circular economy: The case of wood waste as CO2-sink in bio concrete</t>
  </si>
  <si>
    <t>This paper aims to assess greenhouse gases' (GHG) emissions in the life cycle of wood bio-concretes (WBC) production when recycled wood shavings (WS) are used as a circular economy (CE) strategy. Two WBC were evaluated, one with a higher content of WS (WBC-HC) and another with a lower content (WBC-LC). Different WS recycling and transportation scenarios were evaluated. The Life Cycle Assessment (LCA) methodology was used, considering a cradle-to-gate scope, comparing two methods for calculation of GHG emissions: IPCC GWP100 and GWP(bi)(o). The transport analysis was carried out considering the WBC production in 26 Brazilian cities, according to different locations where waste WS are generated. In order to increase the robustness of the study, a sensitivity analysis was performed for: types of WS allocation, the origin of WS (waste x virgin materials), transportation efficiency, and electricity grid matrix. We verified that the waste WS content increase in WBC resulted in climate change mitigation for all cases and scenarios (when the biogenic carbon is considered). However, this benefit can vary according to WS availability and transport efficiency. Therefore, transportation must deserve special attention for the CE evaluation. When the GWP(bi)(o) method is used and CO2 capture during the eucalypt growth is accounted for, the GHG emissions of WBC production can be very low (15 kgCO(2)-eq/m(3)). We conclude that recycling wood waste to use in WBC can be considered a good CO2 sink and a pathway for the low-carbon and circular construction industry.</t>
  </si>
  <si>
    <t>Resour. Conserv. Recycl.</t>
  </si>
  <si>
    <t>10.1016/j.resconrec.2020.105346</t>
  </si>
  <si>
    <t>SC</t>
  </si>
  <si>
    <t>location</t>
  </si>
  <si>
    <t>RR</t>
  </si>
  <si>
    <t>PR</t>
  </si>
  <si>
    <t>wood shavings content</t>
  </si>
  <si>
    <t>kg/m3 of concrete</t>
  </si>
  <si>
    <t>kgCO2-eq/m3 concrete</t>
  </si>
  <si>
    <t>Brazil</t>
  </si>
  <si>
    <t>GWPBIO, WBC-LC</t>
  </si>
  <si>
    <t>GWP100, WBC-LC</t>
  </si>
  <si>
    <t>transport distance</t>
  </si>
  <si>
    <t>worst transportation scenario</t>
  </si>
  <si>
    <t>best transportation scenario</t>
  </si>
  <si>
    <t>low wood shavings content</t>
  </si>
  <si>
    <t>high wood shavings content</t>
  </si>
  <si>
    <t>Life cycle assessment (LCA); Greenhouse gas (GHG) emissions; Forest residues; Wood residues; Biomass; Bioenergy; Remote communities</t>
  </si>
  <si>
    <t>FAST PYROLYSIS; ENERGY; LCA</t>
  </si>
  <si>
    <t>Cambero, C; Alexandre, MH; Sowlati, T</t>
  </si>
  <si>
    <t>Life cycle greenhouse gas analysis of bioenergy generation alternatives using forest and wood residues in remote locations: A case study in British Columbia, Canada</t>
  </si>
  <si>
    <t>Utilization of forest and wood residues as bioenergy feedstock in some remote communities could reduce environmental burdens and increase development opportunities. In a thorough bioenergy project planning, in addition to the economic performance, the potential greenhouse gas (GHG) emissions from investment alternatives should be considered. We present an economic assessment and a life cycle analysis of GHG emissions of alternative bioenergy systems, which include four combustion and gasification technologies with different capacities (0.5 MW, 2 MW and 5 MW), in two remote communities in British Columbia, Canada. In the analysis, all stages from harvesting to energy production are included, and the GHG emissions of the baseline system in each community (the current situation with all the products and services it provides) are used as the reference for comparison. Results of this study show that for small scale alternatives (0.5 MW and 2 MW), cogenerating plants using boiler/steam turbines generate the cheapest electricity, while for larger scale alternatives (5 MW), the most economical plant alternative is a gasification cogeneration system. In the community where all energy needs are currently satisfied using fossil fuels, and all biomass residues (forest and sawmill residues) are currently disposed by burning, net reductions of up to 40,909 t of CO2 equivalent GHG emissions could be achieved with the installation of a 5 MW boiler/steam turbine cogenerating heat and electricity. In the community where the current energy mix is mostly supplied from other renewable sources (i.e. hydro), and where forest residues are disposed by burning and sawmill residues are landfilled, the net GHG emission reductions that can be achieved with a bioenergy system are considerably lower (2535 t of CO2 equivalent emissions with a 5 MW cogenerating gasification system) or null, since the carbon capture of current biomass disposal in landfill outweighs the carbon emission reduction of most bioenergy alternatives. (C) 2015 Elsevier B.V. All rights reserved.</t>
  </si>
  <si>
    <t>10.1016/j.resconrec.2015.10.014</t>
  </si>
  <si>
    <t>technology for energy supply</t>
  </si>
  <si>
    <t>baseline (diesel + fuel oil)</t>
  </si>
  <si>
    <t>ST*</t>
  </si>
  <si>
    <t>biomass demand</t>
  </si>
  <si>
    <t>oven-dry metric tons per year</t>
  </si>
  <si>
    <t>tCO2eq</t>
  </si>
  <si>
    <t>Canada</t>
  </si>
  <si>
    <t>ST</t>
  </si>
  <si>
    <t>ORC</t>
  </si>
  <si>
    <t>Gas</t>
  </si>
  <si>
    <t/>
  </si>
  <si>
    <t>SOUTH AFRICAN JOURNAL OF SCIENCE</t>
  </si>
  <si>
    <t>life-cycle assessment; pine; steel; novel truss materials; green building</t>
  </si>
  <si>
    <t>LIFE-CYCLE; GREENHOUSE-GAS; WOOD PRODUCTS; SUBSTITUTION; CARBON; CONSTRUCTION</t>
  </si>
  <si>
    <t>Crafford, PL; Blumentritt, M; Wessels, CB</t>
  </si>
  <si>
    <t>The potential of South African timber products to reduce the environmental impact of buildings</t>
  </si>
  <si>
    <t>South Africa was the first country in Africa to implement a locally developed green building rating tool and has a growing number of rated green building projects. The method of life-cycle assessment can help to compare and assess the environmental performance of building products. At present, more than 70% of all sawn timber in South Africa is used in buildings, mainly in roof structures. Light gauge steel trusses have recently also been gaining market share. However, to date, no studies have been conducted that quantify and compare the environmental impacts of the different roof truss systems in South Africa. We thus compared several roof truss systems (South African pine, Biligom and light gauge steel) found in low- and medium-income house designs in South Africa using a simplified life-cycle assessment approach. Our results show that the two timber systems had overall the lowest environmental impact. Although the difference between the timber systems was small, light gauge steel had a 40% higher normalised impact over all assessed environmental impact categories. The benefit of biogenic carbon dioxide present in timber proved to play a significant positive role in the global warming potential impact and could even be further reduced if wood were used to generate energy at its end-of-life. This study demonstrates the potential advantage of using local timber products to reduce the environmental impact of the truss and building industry in South Africa. Significance: Timber truss systems showed overall lower environmental impact than light gauge steel trusses, with implications for green building.</t>
  </si>
  <si>
    <t>S. Afr. J. Sci.</t>
  </si>
  <si>
    <t>10.17159/sajs.2017/20160354</t>
  </si>
  <si>
    <t>wood species for roof truss (42m2 house)</t>
  </si>
  <si>
    <t>biligom</t>
  </si>
  <si>
    <t>pine</t>
  </si>
  <si>
    <t>volume of wood used</t>
  </si>
  <si>
    <t>South Africa</t>
  </si>
  <si>
    <t>wood species for roof truss (168m2 house)</t>
  </si>
  <si>
    <t>material of roof truss (42m2)</t>
  </si>
  <si>
    <t>light gauge steel</t>
  </si>
  <si>
    <t>material of roof truss (168m2)</t>
  </si>
  <si>
    <t>ENVIRONMENTAL SCIENCE &amp; TECHNOLOGY</t>
  </si>
  <si>
    <t>INPUT-OUTPUT-ANALYSIS; ENERGY</t>
  </si>
  <si>
    <t>Crawford, RH</t>
  </si>
  <si>
    <t>Greenhouse Gas Emissions Embodied in Reinforced Concrete and Timber Railway Sleepers</t>
  </si>
  <si>
    <t>In Australia, there are currently two main materials used for railway sleepers: timber (river red gum, a species of eucalypt) and reinforced concrete. Within the state of Victoria alone, there are currently seven million railway sleepers that make up the rail network. It is estimated that around two million sleepers, or 29%, are presently required to replace timber sleepers and upgrade the entire network, for which there are significant environmental implications, such as the emission of greenhouse gases. These emissions are mainly as a result of the energy and other resources required or embodied through the sleeper manufacture, including those associated with harvesting timber and mining raw materials for manufacturing cement. Where alternatives are readily available, it is important that the environmental impacts of the various choices are assessed, ensuring that these impacts are minimized. This study aimed to assess the life cycle greenhouse gas emissions associated with timber and reinforced concrete railway sleepers and showed that the life cycle emissions of reinforced concrete sleepers were up to six times less than the emissions associated with timber sleepers. Taking the potential errors associated with this type of assessment into account, there appears to be a significant advantage in using reinforced concrete sleepers, in terms of reducing the life cycle emissions associated with the provision of railway sleepers.</t>
  </si>
  <si>
    <t>Environ. Sci. Technol.</t>
  </si>
  <si>
    <t>10.1021/es8023836</t>
  </si>
  <si>
    <t>service-life of wood sleepers</t>
  </si>
  <si>
    <t>T1 20 years lifespan no fastenings reuse</t>
  </si>
  <si>
    <t>T2 30 years lifespan no fastenings reuse</t>
  </si>
  <si>
    <t>weight per km of track</t>
  </si>
  <si>
    <t>tCO2eq/km</t>
  </si>
  <si>
    <t>Australia</t>
  </si>
  <si>
    <t>T3 20 years, 50% fastenings reuse</t>
  </si>
  <si>
    <t>T4 30 years 50% reuse</t>
  </si>
  <si>
    <t>T5 20 years 96% reuse</t>
  </si>
  <si>
    <t>T6 30 years 96%</t>
  </si>
  <si>
    <t>material for railway sleepers</t>
  </si>
  <si>
    <t>C1 30years lifespan no fastenings reuse</t>
  </si>
  <si>
    <t>table 5</t>
  </si>
  <si>
    <t>C2 50 years lifespan no fastenings reuse</t>
  </si>
  <si>
    <t>consistent with abstract</t>
  </si>
  <si>
    <t>Concrete C1 30years lifespan no fastenings reuse</t>
  </si>
  <si>
    <t>Concrete C2 50 years lifespan no fastenings reuse</t>
  </si>
  <si>
    <t>T4 30 years 50%steel fastenings  reuse</t>
  </si>
  <si>
    <t>JOURNAL OF CLEANER PRODUCTION</t>
  </si>
  <si>
    <t>Buildings; Frame; Structures; Design; Carbon; Mass</t>
  </si>
  <si>
    <t>LIFE-CYCLE; CARBON EMISSIONS; MASS TIMBER; ENERGY USE; STEEL; DESIGN; WOOD</t>
  </si>
  <si>
    <t>D'Amico, B; Pomponi, F; Hart, J</t>
  </si>
  <si>
    <t>Global potential for material substitution in building construction: The case of cross laminated timber</t>
  </si>
  <si>
    <t>The building and construction sector is a large contributor to anthropogenic greenhouse gas emissions and consumes the vastest amount of natural resources. Widely considered a hard-to-decarbonise sector, improvements in buildings and construction are of fundamental importance for national and global targets to combat climate change. At material level, mitigation opportunities exist in terms of efficiency (using less of the same material) and substitution (using a different material). This article investigates the latter, with a global focus on the use of cross laminated timber to replace concrete floors in steel structural systems. This approach, whilst innovative, does not require any technological development nor upskilling of current professional practice, thus making it an immediately viable solution to accelerate decarbonisation. We combine Material Flow Analysis with Life Cycle Assessment across both spatial and temporal dimensions, accounting for different levels of uptake of the proposed hybrid construction in the next 30 years. Results show that greenhouse gas emissions saving potentials range between 20 and 80 Mt CO(2)e (95% confidence interval) with an average around 50 Mt CO(2)e in the case of full uptake of the hybrid construction system by 2050. Our analysis does not account for carbon sequestration potential in timber, which would make the savings much greater. Still, the overall savings represent a 1.5% reduction of the annual greenhouse gas emissions generally attributed to construction, thus making it a non- trivial contribution to progress towards global targets of net-zero carbon buildings. (c) 2020 Elsevier Ltd. All rights reserved.</t>
  </si>
  <si>
    <t>J. Clean Prod.</t>
  </si>
  <si>
    <t>10.1016/j.jclepro.2020.123487</t>
  </si>
  <si>
    <t>material used for floor slabs</t>
  </si>
  <si>
    <t>additional timber need</t>
  </si>
  <si>
    <t>Mt</t>
  </si>
  <si>
    <t>MtCO2eq</t>
  </si>
  <si>
    <t>BUILDINGS</t>
  </si>
  <si>
    <t>life cycle assessment; carbon emissions; embodied carbon; operational carbon; cradle-to-cradle; light timber house; light steel house; New Zealand</t>
  </si>
  <si>
    <t>COLD-FORMED STEEL; ASSESSMENT LCA; FRAMEWORK; STRENGTH; BEHAVIOR; DESIGN; SECTOR</t>
  </si>
  <si>
    <t>Dani, AA; Roy, K; Masood, R; Fang, ZY; Lim, JBP</t>
  </si>
  <si>
    <t>A Comparative Study on the Life Cycle Assessment of New Zealand Residential Buildings</t>
  </si>
  <si>
    <t>In New Zealand, housing is typically low density, with light timber framing being the dominant form of construction with more than 90% of the market. From 2020, as a result of the global pandemic, there was a shortage of timber in New Zealand, resulting in increased popularity for light steel framing, the main alternative to timber for housing. At the same time, the New Zealand government is committed to sustainability practises through legislation and frameworks, such as the reduction of whole-of-life carbon emissions for the building industry. New Zealand recently announced reducing its net greenhouse gas emissions by 50% within 2030. Life cycle assessment (LCA) is a technique for assessing the environmental aspects associated with a product over its life cycle. Despite the popularity of LCA in the construction industry of New Zealand, prior research results seem varied. There is no unified NZ context database to perform an LCA for buildings. Therefore, in this paper, a comprehensive study using LCA was conducted to quantify and compare the quantity of carbon emissions from two commonly designed houses in the Auckland region, one built from light timber and the other from light steel, both designed for a lifespan of 90 years. The cradle-to-cradle system boundary was used for the LCA. From the results of this study, it was found that the light steel house had 12.3% more carbon in total (including embodied and operational carbons) when compared to the light timber house, of which the manufacturing of two houses had a difference of 50.4% in terms of carbon emissions. However, when the end-of-life (EOL) analysis was included, it was found that the extra carbon could be offset due to the steel's recyclability, reducing the amount of embodied carbon in the manufacturing process. Therefore, there was no significant difference in carbon emissions between the light steel and the light timber building, with the difference being only 12.3%.</t>
  </si>
  <si>
    <t>BUILDINGS-BASEL</t>
  </si>
  <si>
    <t>10.3390/buildings12010050</t>
  </si>
  <si>
    <t>house construction system</t>
  </si>
  <si>
    <t>house B : light steel</t>
  </si>
  <si>
    <t>house A : light timber</t>
  </si>
  <si>
    <t>wood laterials</t>
  </si>
  <si>
    <t>table5</t>
  </si>
  <si>
    <t>kgCO2/m2/yr (multiply by m2 area to have full budget)</t>
  </si>
  <si>
    <t>New Zealand</t>
  </si>
  <si>
    <t>STRUCTURES</t>
  </si>
  <si>
    <t>Building; Environmental impact; Floors; Life cycle assessment; Rehabilitation</t>
  </si>
  <si>
    <t>REINFORCED-CONCRETE STRUCTURES; COMPOSITE-MATERIALS; OPTIMIZATION; PANELS</t>
  </si>
  <si>
    <t>Demertzi, M; Silvestre, J; Garrido, M; Correia, JR; Durao, V; Proenca, M</t>
  </si>
  <si>
    <t>Life cycle assessment of alternative building floor rehabilitation systems</t>
  </si>
  <si>
    <t>The aim of this study is to quantify and compare the environmental impact from cradle-to-gate of different systems for building floor rehabilitation. The Life Cycle Assessment (LCA) method was used for the evaluation of the potential environmental impact of the production of each floor system in eight categories and a monetisation method was used for the weighting of the results and for their expression into one single indicator. Five functionally equivalent (from a structural standpoint) systems were assessed, including: (i) traditional solutions, such as timber floors and reinforced concrete (RC) slabs; (ii) less conventional solutions, such as beam-and-block and steel-concrete composite slab systems; and (iii) an innovative glass fibre reinforced polymer (GFRP) sandwich panel system. The environmental impacts of these systems are compared in this paper for the first time. It was found out that timber is the most environmentally friendly solution, since it presents the lowest total values in all environmental impact categories (under 1% of the impact of the solution with highest impact in each category, RC or GFRP), except for primary renewable energy consumption, for which the RC solution presents the least consumption. On the other hand, it was found out that: the steel-concrete composite floor is the least environmentally friendly solution in abiotic resource depletion; the RC solution is the least performing option in terms of global warming potential and ozone depletion potential; and the GFRP system presents the worst behaviour in five environmental impact categories - non-renewable energy consumption, photochemical ozone formation potential, acidification potential, eutrophication potential and Eco-costs. However, if the most important inefficiencies identified during the production of the latter floor system are at least partly amended, its impacts would be substantially reduced, particularly regarding the Eco-costs indicator, which considers four environmental categories at once - in that case, the RC solution would become the worst solution and GFRP sandwich panels would have an aggregated result of 80% of the RC. The final part of the paper presents a qualitative assessment of the gate-to-grave performance of the different solutions.</t>
  </si>
  <si>
    <t>Structures</t>
  </si>
  <si>
    <t>10.1016/j.istruc.2020.03.060</t>
  </si>
  <si>
    <t>type of floor</t>
  </si>
  <si>
    <t>Beam-and-block</t>
  </si>
  <si>
    <t>timber</t>
  </si>
  <si>
    <t xml:space="preserve">wood amount </t>
  </si>
  <si>
    <t>Portugal</t>
  </si>
  <si>
    <t>steel-concrete composite</t>
  </si>
  <si>
    <t>GFRP</t>
  </si>
  <si>
    <t>reinforced concrete</t>
  </si>
  <si>
    <t>Reuse; Concrete; Existing Structures; Footbridge; Arch; Structural Design; Life Cycle Assessment; Circular Economy</t>
  </si>
  <si>
    <t>STEEL REUSE; CONSTRUCTION; BARRIERS; COMPONENTS</t>
  </si>
  <si>
    <t>Devenes, J; Brutting, J; Kupfer, C; Bastien-Masse, M; Fivet, C</t>
  </si>
  <si>
    <t>Re:Crete-Reuse of concrete blocks from cast-in-place building to arch footbridge</t>
  </si>
  <si>
    <t>About 9% of anthropogenic greenhouse gas emissions worldwide are due to the production of cement, key constituent of concrete. Concrete also contributes to a large share of demolition waste, usually coming from building structures that are discarded because of functional obsolescence rather than of technical deficiency. Current practice for treating end-of-life concrete is to landfill it or crush it into aggregates used in new concrete mixes. Instead, a little-explored strategy consists in extending the service life of concrete elements by reusing them in new constructions. Following this paradigm, this paper presents a proof-of-concept prototype that reuses blocks cut out of obsolete cast-in-place concrete walls for a new structural application: a 10 m-long post -tensioned segmented arch footbridge. The paper details the design, material sourcing, and construction pro-cesses while highlighting the unusual features of the approach. The structural behavior is verified with a finite element analysis model and validated by load testing. A comparative life cycle assessment shows that the arch construction presents a significantly lower global warming potential then recycled concrete (-71%) or steel (-74%) alternatives and is very competitive to a timber one (+9%). In conclusion, the project proves the feasibility of a new circular economy application for the construction industry, in which new and reliable concrete structures are built with little to no cement inputs.</t>
  </si>
  <si>
    <t>10.1016/j.istruc.2022.07.012</t>
  </si>
  <si>
    <t>bridge construction system</t>
  </si>
  <si>
    <t>reused concrete blocks</t>
  </si>
  <si>
    <t>materials data for LCA</t>
  </si>
  <si>
    <t>Switzerland</t>
  </si>
  <si>
    <t>recycled concrete monolithic arch</t>
  </si>
  <si>
    <t>Lifecycle; Carbon footprint; Wood-based building; Structural system; Massive timber; Beam-and-column; Volume elements</t>
  </si>
  <si>
    <t>GREENHOUSE-GAS EMISSIONS; ENVIRONMENTAL PERFORMANCE; RESIDENTIAL CONSTRUCTION; URBAN INFILL; WOOD; PRODUCTS; BALANCES; CONCRETE; IMPACTS; COSTS</t>
  </si>
  <si>
    <t>Dodoo, A; Gustavsson, L; Sathre, R</t>
  </si>
  <si>
    <t>Lifecycle carbon implications of conventional and low-energy multi-storey timber building systems</t>
  </si>
  <si>
    <t>A consequential-based lifecycle approach is used here to explore the carbon implications of conventional and low-energy versions of three timber multi-storey building systems. The building systems are made of massive wood using cross laminated timber (CLT) elements; beam-and-column using glulam and laminated veneer lumber (LVL) elements; and prefabricated modules using light-frame volume elements. The analysis encompasses the entire resource chains during the lifecycle of the buildings, and tracks the flows of carbon from fossil energy, industrial process reactions, changes in carbon stocks in materials, and potential avoided fossil emissions from substitution of fossil energy by woody residues. The results show that the low-energy version of the CLT building gives the lowest lifecycle carbon emission while the conventional version of the beam-and-column building gives the highest lifecycle emission. Compared to the conventional designs, the low-energy designs reduce the total carbon emissions (excluding from tap water heating and household and facility electricity) by 9%, 8% and 9% for the CLT, beam-and-column and modular systems, respectively, for a 50-year lifespan located in Vaxjo. The relative significance of the construction materials to the fossil carbon emission varies for the different energy-efficiency levels of the buildings, with insulation dominating for the low-energy houses and plasterboard dominating for the conventional houses. (C) 2014 Elsevier B.V. All rights reserved.</t>
  </si>
  <si>
    <t>10.1016/j.enbuild.2014.06.034</t>
  </si>
  <si>
    <t>construction type</t>
  </si>
  <si>
    <t>modular system conventional</t>
  </si>
  <si>
    <t>beam-and-column conventional</t>
  </si>
  <si>
    <t>mass</t>
  </si>
  <si>
    <t>t</t>
  </si>
  <si>
    <t>modular system low-energy</t>
  </si>
  <si>
    <t>beam-and-column low-energy</t>
  </si>
  <si>
    <t>CLT low-energy</t>
  </si>
  <si>
    <t>CLT conventional</t>
  </si>
  <si>
    <t>SUSTAINABILITY</t>
  </si>
  <si>
    <t>mass timber; life cycle assessment; comparative LCA; timber construction</t>
  </si>
  <si>
    <t>LIFE-CYCLE ASSESSMENT</t>
  </si>
  <si>
    <t>Dolezal, F; Dornigg, I; Wurm, M; Figl, H</t>
  </si>
  <si>
    <t>Overview and Main Findings for the Austrian Case Study</t>
  </si>
  <si>
    <t>As part of a project investigating in the potential greenhouse gas mitigation effect of the increased use and production of mass timber worldwide, a comparative study was carried out to show the potential benefit of mass timber use in buildings in central Europe. After designing a mass timber building functionally equivalent to an existing conventional building, cradle to grave life cycle assessments (LCA) were calculated. The reference is an eight-story building with mixed use in Vienna, originally built in reinforced concrete. Global Warming Potential (GWP) is defined as the central parameter of interest. Calculated life cycle phases are A1-A3 (resource to production), A4 and A5 (transport to site and construction, respectively), B4 (replacement in the use phase), and C1-C4 (End of Life), as well as D (benefits and loads beyond the building life). It can be shown that the total mass of the timber building is 47% lower than of the concrete building. Considering life cycle phases A1 to A5, the timber building shows 18% less embodied carbon. Taking the whole building life cycle and the operational energy use (B6) into account, differences in GWP are much lower, as the heating system, though equipped with high efficiency and clean Austrian electricity grid mix, has much higher impact than the other phases.</t>
  </si>
  <si>
    <t>Sustainability</t>
  </si>
  <si>
    <t>10.3390/su13147584</t>
  </si>
  <si>
    <t>Use of timber instead of concrete</t>
  </si>
  <si>
    <t>Concrete</t>
  </si>
  <si>
    <t>Austria</t>
  </si>
  <si>
    <t>CONSTRUCTION AND BUILDING MATERIALS</t>
  </si>
  <si>
    <t>LCA; Private building; High-rise building; Precast concrete; Prefabrication; Carbon emission</t>
  </si>
  <si>
    <t>HONG-KONG; PREFABRICATION</t>
  </si>
  <si>
    <t>Dong, YH; Jaillon, L; Chu, P; Poon, CS</t>
  </si>
  <si>
    <t>Comparing carbon emissions of precast and cast-in-situ construction methods - A case study of high-rise private building</t>
  </si>
  <si>
    <t>Buildings are one of the primary contributors to carbon emissions. Given the small size of construction site and increasing housing demand in Hong Kong, precast concrete has been frequently adopted in not only public residential buildings, but also the private sector. This study compares the carbon emissions of precast and traditional cast-in-situ construction methods based on a case study of a private residential building in Hong Kong. Life cycle assessment (LCA) model is established to consider the system processes from cradle to end of construction. The comparison is conducted based on eight scenarios at four levels, i.e. cubic meter concrete, precast facade, group of facade elements, and an apartment. It is found that the carbon emission of the studied residential apartment is 669 kg carbon dioxide equivalent per one square meter floor area. Precasting can lead to 10% carbon reduction for one cubic meter concrete. Steel formwork for precasting performs better than timber formwork used in cast-in-situ concrete. Adopting more precast concrete can lead to less carbon emission. Based on the research findings, it is highly recommended to adopt precast concrete in building construction. The building industry should consider the carbon reduction as a benefit of implementing precast concrete. (C) 2015 Elsevier Ltd. All rights reserved.</t>
  </si>
  <si>
    <t>Constr. Build. Mater.</t>
  </si>
  <si>
    <t>10.1016/j.conbuildmat.2015.08.145</t>
  </si>
  <si>
    <t>S2-PC</t>
  </si>
  <si>
    <t>S1-IS</t>
  </si>
  <si>
    <t>wood amount needed to form 1m3 concrete</t>
  </si>
  <si>
    <t>kg/m3</t>
  </si>
  <si>
    <t>kgCO2/m3</t>
  </si>
  <si>
    <t>Hong Kong</t>
  </si>
  <si>
    <t>Life cycle assessment; Life cycle greenhouse gas emissions; Life cycle primary energy; RC building; CLT building; Hybrid CLT building</t>
  </si>
  <si>
    <t>ENERGY USE; EMBODIED ENERGY; CLIMATE; CONSTRUCTION; IMPACT; CARBON; WOOD; COMFORT; BALANCE; DESIGN</t>
  </si>
  <si>
    <t>Duan, ZC; Huang, Q; Sun, QM; Zhang, Q</t>
  </si>
  <si>
    <t>Comparative life cycle assessment of a reinforced concrete residential building with equivalent cross laminated timber alternatives in China</t>
  </si>
  <si>
    <t>With the development of mass timber, cross laminated timber (CLT) has gradually become a sustainable alternative to conventional building materials to alleviate the increasing energy consumption and carbon emissions by the building sector. This study aims to explore the life cycle greenhouse gas emissions (LCGHGE) and life cycle primary energy (LCPE) of three high-rise residential buildings in the cold region of China through a life cycle assessment approach. The three buildings are conventional reinforced concrete (RC), CLT and hybrid CLT buildings. The results show that CLT and hybrid CLT buildings produce 15.00% and 10.77% lower LCGHGE, respectively, compared to the RC building within a 50-year service life. A clear difference in greenhouse gas (GHG) emissions and primary energy (PE) in the product and construction stages is visible, with 46.52% and 37.24% of embodied GHG emissions reduced in CLT and hybrid CLT buildings, respectively, compared to the RC building. In the operational stage, RC building has lower PE and GHG emissions to CLT alternatives. The thermal mass effect has led to a 2.25% and 2.12% PE increase for space heating and cooling in CLT and hybrid CLT buildings, respectively, compared to the RC building. For the End-of-Life (EoL) stage, CLT demonstrates great recycling potential and biomass residues. The sensitivity analysis shows that the design of the low U-value of the building envelope and high-efficiency energy systems has a significant relationship with energy reduction during the operational phase of the three buildings, magnifying the impacts of the initial and EoL stages.</t>
  </si>
  <si>
    <t>10.1016/j.jobe.2022.105357</t>
  </si>
  <si>
    <t>construction materials</t>
  </si>
  <si>
    <t>table4</t>
  </si>
  <si>
    <t>fig8</t>
  </si>
  <si>
    <t>China</t>
  </si>
  <si>
    <t xml:space="preserve">Eriksson, E., Gillespie, A. R., Gustavsson, L., Langvall, O., Olsson, M., Sathre, R., &amp; Stendahl, J. </t>
  </si>
  <si>
    <t xml:space="preserve"> Integrated carbon analysis of forest management practices and wood substitution</t>
  </si>
  <si>
    <t xml:space="preserve"> Canadian Journal of Forest Research</t>
  </si>
  <si>
    <t>10.1139/X06-257</t>
  </si>
  <si>
    <t>management system</t>
  </si>
  <si>
    <t>traditional</t>
  </si>
  <si>
    <t>fertilization</t>
  </si>
  <si>
    <t>mean biomass production</t>
  </si>
  <si>
    <t>table6</t>
  </si>
  <si>
    <t>m3/ha/a</t>
  </si>
  <si>
    <t>fig2</t>
  </si>
  <si>
    <t>tC/ha/year</t>
  </si>
  <si>
    <t>change Qwood variable to m3 harvested</t>
  </si>
  <si>
    <t>intensive</t>
  </si>
  <si>
    <t>m3/ha/yr</t>
  </si>
  <si>
    <t>Fix conversion units Qwood</t>
  </si>
  <si>
    <t>LCA; LCIA; mid-rise timber buildings; carbon storage; passive zero carbon housing</t>
  </si>
  <si>
    <t>Felmer, G; Morales-Vera, R; Astroza, R; Gonzalez, I; Puettmann, M; Wishnie, M</t>
  </si>
  <si>
    <t>A Lifecycle Assessment of a Low-Energy Mass-Timber Building and Mainstream Concrete Alternative in Central Chile</t>
  </si>
  <si>
    <t>While high-rise mass-timber construction is booming worldwide as a more sustainable alternative to mainstream cement and steel, in South America, there are still many gaps to overcome regarding sourcing, design, and environmental performance. The aim of this study was to assess the carbon emission footprint of using mass-timber products to build a mid-rise low-energy residential building in central Chile (CCL). The design presented at a solar decathlon contest in Santiago was assessed through lifecycle analysis (LCA) and compared to an equivalent mainstream concrete building. Greenhouse gas emissions, expressed as global warming potential (GWP), from cradle-to-usage over a 50-year life span, were lower for the timber design, with 131 kg CO2 eq/m(2) of floor area (compared to 353 kg CO2 eq/m(2)) and a biogenic carbon storage of 447 tons of CO2 eq/m(2) based on sustainable forestry practices. From cradle-to-construction, the embodied emissions of the mass-timber building were 42% lower (101 kg CO2 eq/m(2)) than those of the equivalent concrete building (167 kg CO2 eq/m(2)). The embodied energy of the mass-timber building was 37% higher than that of its equivalent concrete building and its envelope design helped reduce space-conditioning emissions by as much as 83%, from 187 kg CO2 eq/m(2) as estimated for the equivalent concrete building to 31 kg CO2 eq/m(2) 50-yr. Overall, provided that further efforts are made to address residual energy end-uses and end-of-life waste management options, the use of mass-timber products offers a promising potential in CCL for delivering zero carbon residential multistory buildings.</t>
  </si>
  <si>
    <t>10.3390/su14031249</t>
  </si>
  <si>
    <t>construction system</t>
  </si>
  <si>
    <t>RC design</t>
  </si>
  <si>
    <t>MT design</t>
  </si>
  <si>
    <t>material quantities</t>
  </si>
  <si>
    <t>table A1</t>
  </si>
  <si>
    <t>tCO2eq/building</t>
  </si>
  <si>
    <t>Chile</t>
  </si>
  <si>
    <t>Life cycle assessment (LCA); Building; Biogenic carbon; Dynamic; Prospective</t>
  </si>
  <si>
    <t>LIFE-CYCLE ASSESSMENT; FOREST PRODUCTS; IMPACT; DECOMPOSITION; EMISSIONS; TIME</t>
  </si>
  <si>
    <t>Fouquet, M; Levasseur, A; Margni, M; Lebert, A; Lasvaux, S; Souyri, B; Buhe, C; Woloszyn, M</t>
  </si>
  <si>
    <t>Methodological challenges and developments in LCA of low energy buildings: Application to biogenic carbon and global warming assessment</t>
  </si>
  <si>
    <t>In Europe, low energy buildings become common for new constructions and life cycle assessment (LCA) is increasingly used to assess their environmental performance. The overall objective of this study is to investigate known challenges related to buildings LCA such as biogenic carbon accounting and dynamic and prospective aspects, and to discuss how they affect LCA results for low energy buildings and what developments are still needed. Three single family houses built respectively with timber frame, concrete blocks cavity wall, and cast concrete are used as a case study, focusing on the global warming impact category. When biogenic carbon is addressed, the timber house is the less impacting choice, whether it is landfilled or burned at the end-of-life. The cavity wall house is the second most favourable option, and the cast concrete house is the worst one. In the case of landfilling for the timber house, the biogenic carbon balance is not neutral and worth to be considered. When a dynamic approach and specific prospective scenarios are considered, the ranking between houses stays the same, but the gaps between options vary e.g. the gap between the landfilled timber house and the cast concrete house vary from 40 % to 60 % when optimistic changes in the electricity mix are considered. Dynamic LCA allows for a more consistent analysis of emissions flows and global warming impacts over time. Prospective LCA could provide more relevant LCA results but increases uncertainty and could be used as sensitivity analysis for long life span buildings. (C) 2015 Elsevier Ltd. All rights reserved.</t>
  </si>
  <si>
    <t>10.1016/j.buildenv.2015.03.022</t>
  </si>
  <si>
    <t>Landfilling or incineration</t>
  </si>
  <si>
    <t>Incineration</t>
  </si>
  <si>
    <t>C sequestered in products</t>
  </si>
  <si>
    <t>kgCO2</t>
  </si>
  <si>
    <t>France</t>
  </si>
  <si>
    <t>Timber frame vs cast concrete house</t>
  </si>
  <si>
    <t>Timber frame vs concrete blocks house</t>
  </si>
  <si>
    <t>Italy</t>
  </si>
  <si>
    <t xml:space="preserve">Gustavsson, L., &amp; Sathre, R. </t>
  </si>
  <si>
    <t xml:space="preserve"> Variability in energy and carbon dioxide balances of wood and concrete building materials</t>
  </si>
  <si>
    <t xml:space="preserve"> Building and Environment</t>
  </si>
  <si>
    <t xml:space="preserve">10.1016/j.buildenv.2005.04.008 </t>
  </si>
  <si>
    <t>recovery of logging residue</t>
  </si>
  <si>
    <t>not recovered</t>
  </si>
  <si>
    <t>recovered</t>
  </si>
  <si>
    <t>flow of wood-based materials</t>
  </si>
  <si>
    <t>tonnes oven-dry material</t>
  </si>
  <si>
    <t>Table 4</t>
  </si>
  <si>
    <t>Europe</t>
  </si>
  <si>
    <t>recovery of sawmill residues</t>
  </si>
  <si>
    <t>recovery of construction waste</t>
  </si>
  <si>
    <t>transportation distance</t>
  </si>
  <si>
    <t>short</t>
  </si>
  <si>
    <t>long</t>
  </si>
  <si>
    <t>growth of unharvested forest</t>
  </si>
  <si>
    <t>50% growth</t>
  </si>
  <si>
    <t>0% growth</t>
  </si>
  <si>
    <t>building type</t>
  </si>
  <si>
    <t>concrete-frame</t>
  </si>
  <si>
    <t>wood-frame</t>
  </si>
  <si>
    <t>harvested roundwood</t>
  </si>
  <si>
    <t>tonne</t>
  </si>
  <si>
    <t xml:space="preserve">Gustavsson, L., Pingoud, K., &amp; Sathre, R. </t>
  </si>
  <si>
    <t xml:space="preserve"> Carbon dioxide balance of wood substitution: comparing concrete-and wood-framed buildings</t>
  </si>
  <si>
    <t xml:space="preserve"> Mitigation and adaptation strategies for global change</t>
  </si>
  <si>
    <t xml:space="preserve">10.1007/s11027-006-7207-1 </t>
  </si>
  <si>
    <t>Building type (Vikkii, Coal)SF-untouched</t>
  </si>
  <si>
    <t>table II</t>
  </si>
  <si>
    <t>ton air-dry material</t>
  </si>
  <si>
    <t>table V</t>
  </si>
  <si>
    <t>Building type (Vikkii, Coal) SF-untouched</t>
  </si>
  <si>
    <t>Building type (Vikkii, Coal) SF-bioenergy</t>
  </si>
  <si>
    <t>Building type (Wälluden, Coal) SF-bioenergy</t>
  </si>
  <si>
    <t>Building type (Wälludden, Coal) SF-untouched</t>
  </si>
  <si>
    <t>Assumption of no-growth in reference, unharvest forest so I changed to supply-chain only</t>
  </si>
  <si>
    <t>Fix sequestration sign; anomaly QC_AV</t>
  </si>
  <si>
    <t>two reviewers and different metadata</t>
  </si>
  <si>
    <t>Building type (Wälludden, Coal) SF-bioenergy</t>
  </si>
  <si>
    <t xml:space="preserve">Gustavsson, L., Haus, S., Ortiz, C. A., Sathre, R., &amp; Le Truong, N. </t>
  </si>
  <si>
    <t xml:space="preserve"> Climate effects of bioenergy from forest residues in comparison to fossil energy</t>
  </si>
  <si>
    <t xml:space="preserve"> Applied Energy</t>
  </si>
  <si>
    <t>10.1016/j.apenergy.2014.10.013</t>
  </si>
  <si>
    <t>residue harvest</t>
  </si>
  <si>
    <t>base case fossil system</t>
  </si>
  <si>
    <t>base case biogenic system</t>
  </si>
  <si>
    <t>harvested residue</t>
  </si>
  <si>
    <t>BIOMASS &amp; BIOENERGY</t>
  </si>
  <si>
    <t xml:space="preserve"> Biomass and Bioenergy</t>
  </si>
  <si>
    <t>fig6</t>
  </si>
  <si>
    <t>t/ha</t>
  </si>
  <si>
    <t>fig12</t>
  </si>
  <si>
    <t>fig5</t>
  </si>
  <si>
    <t>fig7</t>
  </si>
  <si>
    <t>LCA; GHG emissions; CO2 emissions; industrial buildings; timber; concrete; steel; portal frame</t>
  </si>
  <si>
    <t>CONSTRUCTION</t>
  </si>
  <si>
    <t>Hegeir, OA; Kvande, T; Stamatopoulos, H; Bohne, RA</t>
  </si>
  <si>
    <t>Comparative Life Cycle Analysis of Timber, Steel and Reinforced Concrete Portal Frames: A Theoretical Study on a Norwegian Industrial Building</t>
  </si>
  <si>
    <t>The construction industry is a big contributor to greenhouse gas emissions, which has a negative environmental impact. Several studies have highlighted the possibility of using timber to reduce the environmental impact of construction. Most of these studies have focused on residential buildings, but little attention has been devoted to industrial buildings. In this paper, an attempt is made to compare the environmental impact of using timber, steel, and reinforced concrete in industrial buildings using life cycle assessment. The system boundary was set to cradle-to-gate with transportation to construction site due to the limitation of data, and only the quantities of the main structural system are considered. Portal frames with variable spans were designed using the three materials to meet similar load carrying capacity. Reinforced concrete was used in the foundation of all frames. The results of the comparative study show that timber has, by a good margin, better environmental impact than reinforced concrete and steel, due to the carbon stored in the wood. The results also show that reinforced concrete and steel alternatives have similar environmental impacts. The findings of this study agree with the findings of other studies on residential buildings.</t>
  </si>
  <si>
    <t>10.3390/buildings12050573</t>
  </si>
  <si>
    <t>portal frame material</t>
  </si>
  <si>
    <t>steel</t>
  </si>
  <si>
    <t>timber quantity</t>
  </si>
  <si>
    <t>m3 ( converted to m3/m2 with Area=25*42 according to table1)</t>
  </si>
  <si>
    <t>Coal</t>
  </si>
  <si>
    <t>Concrete; Cross Laminated Timber; Life cycle greenhouse gas emissions; Life cycle cost; Operational energy; Embodied energy</t>
  </si>
  <si>
    <t>ENERGY ANALYSIS; SUSTAINABLE CONSTRUCTION; THERMAL PERFORMANCE; CARBON FOOTPRINT; CLT PANELS; IMPACT; STEEL; BENEFITS; INDUSTRY; SECTOR</t>
  </si>
  <si>
    <t>Jayalath, A; Navaratnam, S; Ngo, T; Mendis, P; Hewson, N; Aye, L</t>
  </si>
  <si>
    <t>Life cycle performance of Cross Laminated Timber mid-rise residential buildings in Australia</t>
  </si>
  <si>
    <t>Engineering wood products have significant potential as a sustainable alternative for concrete and steel in construction. Cross Laminated Timber (CLT) can add value to conventional timber products due to its high strength-to-weight ratio, simple installation, aesthetic features and environmental benefits. Recent changes in the national construction code permit structural timber buildings with a height of up to 25m, which demonstrates the strong commitment of the construction industry to adopt more sustainable practices. This paper aims to compare life cycle greenhouse gas emissions (LCGHGE) and life cycle cost (LCC) of CLT and reinforced concrete (RC) in identical midrise residential buildings in three most populated cities in Australia. It has shown that the CLT building has 30 % less LCGHGE compared with the RC building over a life span of 50 years in Melbourne, and 34% and 29% reduction in LCGHCE in Sydney and Brisbane, respectively. The results from LCC analysis showed that CLT building is 1.3% lower than conventional RC in Melbourne, and 0.9% lower in Sydney and Brisbane. The initial and end of life phases reflected reductions in LCGHGE and LCC for the CLT building whilst the operation phase incurred higher values. The extended service life of buildings has a major impact on the operational phase while changes in the discount rate have strong effects on the lifecycle operational and maintenance costs. Overall the CLT building outperformed the RC building in terms of LCGHGE and LCC across three cities. However, further savings in the operational phase with energy efficient methodologies and reuse or recycling of timber products at the end of life of the building can reinforce CLT as a sustainable alternative to RC construction. (c) 2020 Elsevier B.V. All rights reserved.</t>
  </si>
  <si>
    <t>10.1016/j.enbuild.2020.110091</t>
  </si>
  <si>
    <t>city for building installation</t>
  </si>
  <si>
    <t>Brisbane</t>
  </si>
  <si>
    <t>Sydney</t>
  </si>
  <si>
    <t>Materials (clt+</t>
  </si>
  <si>
    <t>CLT instead of concrete</t>
  </si>
  <si>
    <t>RC</t>
  </si>
  <si>
    <t>Table 2</t>
  </si>
  <si>
    <t>t Co2eq</t>
  </si>
  <si>
    <t>Table 3</t>
  </si>
  <si>
    <t>ENERGY</t>
  </si>
  <si>
    <t>Combined heat and power plant; District heating; Energy analysis; Global warming; Life-cycle analysis; Material flow analysis</t>
  </si>
  <si>
    <t>LIFE-CYCLE ASSESSMENT; WASTE INCINERATION; GREENHOUSE GASES; CENTRAL NORWAY; EMISSIONS; SYSTEMS; CITY</t>
  </si>
  <si>
    <t>Karlsson, J; Brunzell, L; Venkatesh, G</t>
  </si>
  <si>
    <t>Material-flow analysis, energy analysis, and partial environmental-LCA of a district-heating combined heat and power plant in Sweden</t>
  </si>
  <si>
    <t>Combined heat and power (CHP) plants are a great improvement over waste-to-energy incineration plants supplying only heat, and power plants supplying only electricity. The primary purpose of a functioning CHP plant however, may be to provide district heating services, and thereby its main output will be heat energy. This paper is a case study commissioned by Karlskoga Energi och Miljo AB (KEMAB in short; Karlskoga Energy and Environment) in the Varmland State of south-central Sweden, and focuses on the functioning of the CHP plant owned and operated by the company. The life-cycles of the fuels used by the CHP - household/industrial waste, bio-oil, light fuel oil, wood waste, wood chips, a slaughterhouse-waste-derived product and peat to generate 202,222 MWh of heat, 119,234 MWh of steam and 28,220 MWh of electricity have been studied, and the carbon footprint calculated for year-2016. Using two sets of emissions factors for the combustion stage of the life-cycle, as part of a data uncertainty analysis, the total emissions were 44,000 tonnes carbon dioxide equivalents (CO2-eq) and 58,000 tonnes CO2-eq respectively. A quasi-realistic scenario analysis in which plastics are not available for incineration and have to be substituted with alternatives has also been carried out, and while wood waste has been suggested as the best alternative with regard to greenhouse gas (GHG) emissions, availability permitting, a combination of alternatives has been mooted as the practical option. (C) 2017 Elsevier Ltd. All rights reserved.</t>
  </si>
  <si>
    <t>10.1016/j.energy.2017.11.159</t>
  </si>
  <si>
    <t>Types of fuel in CHP</t>
  </si>
  <si>
    <t>Plastics</t>
  </si>
  <si>
    <t>Wood wastes</t>
  </si>
  <si>
    <t>Wood waste</t>
  </si>
  <si>
    <t>tCO2</t>
  </si>
  <si>
    <t>Wood chips</t>
  </si>
  <si>
    <t xml:space="preserve">Kilpeläinen, A., Kellomäki, S., &amp; Strandman, H. </t>
  </si>
  <si>
    <t xml:space="preserve"> Net atmospheric impacts of forest bioenergy production and utilization in F innish boreal conditions</t>
  </si>
  <si>
    <t xml:space="preserve"> GCB Bioenergy</t>
  </si>
  <si>
    <t>10.1111/j.1757-1707.2012.01161.x</t>
  </si>
  <si>
    <t>management regime</t>
  </si>
  <si>
    <t>timber production</t>
  </si>
  <si>
    <t>bioenergy production</t>
  </si>
  <si>
    <t>bioenergy produced</t>
  </si>
  <si>
    <t>m3/an</t>
  </si>
  <si>
    <t>gCO2/m2</t>
  </si>
  <si>
    <t>CO2 is given per square meter, production of energy is given in total. Cannot find the area</t>
  </si>
  <si>
    <t xml:space="preserve">Knight, L., Huff, M., Stockhausen, J. I., &amp; Ross, R. J. </t>
  </si>
  <si>
    <t xml:space="preserve"> Comparing energy use and environmental emissions of reinforced wood doors and steel doors</t>
  </si>
  <si>
    <t xml:space="preserve"> Forest products journal</t>
  </si>
  <si>
    <t>Knight_2005_NO_DOI</t>
  </si>
  <si>
    <t>door type</t>
  </si>
  <si>
    <t>steel door</t>
  </si>
  <si>
    <t>wood door</t>
  </si>
  <si>
    <t>wood weight</t>
  </si>
  <si>
    <t>pounds</t>
  </si>
  <si>
    <t>kgCO2-eq</t>
  </si>
  <si>
    <t>ENVIRONMENTAL RESEARCH LETTERS</t>
  </si>
  <si>
    <t>cross-laminated timber; life cycle assessment; dynamic; carbon analysis; greenhouse gas emissions; energy consumption</t>
  </si>
  <si>
    <t>GREENHOUSE-GAS EMISSIONS; SOFTWOOD LUMBER; FUEL CHARACTERISTICS; INLAND NORTHWEST; FOREST RESIDUES; CO2 EMISSIONS; BULK-DENSITY; PINE; BIOMASS; PYROLYSIS</t>
  </si>
  <si>
    <t>Lan, K; Kelley, SS; Nepal, P; Yao, Y</t>
  </si>
  <si>
    <t>Dynamic life cycle carbon and energy analysis for cross-laminated timber in the Southeastern United States</t>
  </si>
  <si>
    <t>Life cycle assessment (LCA) has been used to understand the carbon and energy implications of manufacturing and using cross-laminated timber (CLT), an emerging and sustainable alternative to concrete and steel. However, previous LCAs of CLT are static analyses without considering the complex interactions between the CLT manufacturing and forest systems, which are dynamic and largely affected by the variations in forest management, CLT manufacturing, and end-of-life options. This study fills this gap by developing a dynamic life-cycle modeling framework for a cradle-to-grave CLT manufacturing system across 100 years in the Southeastern United States. The framework integrates process-based simulations of CLT manufacturing and forest growth as well as Monte Carlo simulation to address uncertainty. On a 1-ha forest land basis, the net greenhouse gas (GHG) emissions range from -954 to -1445 metric tonne CO2 eq. for a high forest productivity scenario compared to -609 to -919 metric tonne CO2 eq. for a low forest productivity scenario. All scenarios showed significant GHG emissions from forest residues decay, demonstrating the strong needs to consider forest management and their dynamic impacts in LCAs of CLT or other durable wood products (DWP). The results show that using mill residues for energy recovery has lower fossil-based GHG (59%-61% reduction) than selling residues for producing DWP, but increases the net GHG emissions due to the instantaneous release of biogenic carbon in residues. In addition, the results were converted to a 1 m(3) basis with a cradle-to-gate system boundary to be compared with literature. The results, 113-375 kg CO2 eq. m(-3) across all scenarios for fossil-based GHG emissions, were consistent with previous studies. Those findings highlight the needs of system-level management to maximize the potential benefits of CLT. This work is an attributional LCA, but the presented results lay a foundation for future consequential LCAs for specific CLT buildings or commercial forest management systems.</t>
  </si>
  <si>
    <t>Environ. Res. Lett.</t>
  </si>
  <si>
    <t>10.1088/1748-9326/abc5e6</t>
  </si>
  <si>
    <t>eol recycling rate</t>
  </si>
  <si>
    <t>scenario 1 (Fig. 4)</t>
  </si>
  <si>
    <t>scenario 2 (Fig. 4)</t>
  </si>
  <si>
    <t>ton CO2-eq ha-1</t>
  </si>
  <si>
    <t>Fixed calculation of Cdelta</t>
  </si>
  <si>
    <t>scenario 3 (Fig. 4)</t>
  </si>
  <si>
    <t>scenario 4 (Fig. 4)</t>
  </si>
  <si>
    <t>scenario 5 (Fig. 4)</t>
  </si>
  <si>
    <t>scenario 6 (Fig. 4)</t>
  </si>
  <si>
    <t>scenario 7 (Fig. 4)</t>
  </si>
  <si>
    <t>scenario 8 (Fig. 4)</t>
  </si>
  <si>
    <t>aboveground biomass</t>
  </si>
  <si>
    <t>wet metric tonnes ha-1</t>
  </si>
  <si>
    <t>Energy recovery from residues</t>
  </si>
  <si>
    <t>mill residues sold to market and energy from gas scenario 7(Fig. 4)</t>
  </si>
  <si>
    <t>Mill residues recovery for energy scenario 5 (Fig. 4)</t>
  </si>
  <si>
    <t>mill residues sold to market and energy from gas scenario 8 (Fig. 4)</t>
  </si>
  <si>
    <t>Mill residues recovery for energy scenario 6 (Fig. 4)</t>
  </si>
  <si>
    <t>mill residues sold to market and energy from gas scenario 3 (Fig. 4)</t>
  </si>
  <si>
    <t xml:space="preserve">Mill residues recovery for energy  scenario 1 (Fig. 4) </t>
  </si>
  <si>
    <t>mill residues sold to market and energy from gas scenario 4 (Fig. 4)</t>
  </si>
  <si>
    <t>Mill residues recovery for energy scenario 2 (Fig. 4)</t>
  </si>
  <si>
    <t>JOURNAL OF INDUSTRIAL ECOLOGY</t>
  </si>
  <si>
    <t>Lausselet,C;Forero Urrego, JP;Resch, E;Brattebo,H</t>
  </si>
  <si>
    <t>Temporal analysis of the material flows and embodied greenhouse gas emissions of a neighborhood building stock</t>
  </si>
  <si>
    <t>Art</t>
  </si>
  <si>
    <t>10.1111/jiec.13049</t>
  </si>
  <si>
    <t>Building surface</t>
  </si>
  <si>
    <t>S1-30m2/cap</t>
  </si>
  <si>
    <t>Baseline (Table 2)</t>
  </si>
  <si>
    <t>1.333</t>
  </si>
  <si>
    <t>fig4d&amp;fig5</t>
  </si>
  <si>
    <t>ktonCO2</t>
  </si>
  <si>
    <t>Improving production efficiency</t>
  </si>
  <si>
    <t>S5-Ecoinvent 40%</t>
  </si>
  <si>
    <t>S6-EPD</t>
  </si>
  <si>
    <t>Change in lifetime</t>
  </si>
  <si>
    <t>S2-Ren40</t>
  </si>
  <si>
    <t>S4-Con100</t>
  </si>
  <si>
    <t>S3-Ren20</t>
  </si>
  <si>
    <t>Circular economy; Sustainability; Reliability; Cross laminated timber; Reinforced concrete</t>
  </si>
  <si>
    <t>UNCERTAINTY ANALYSIS; INDICATORS</t>
  </si>
  <si>
    <t>Lei, HR; Yang, W; Wang, WG; Li, CQ</t>
  </si>
  <si>
    <t>A new method for probabilistic circular economy assessment of buildings</t>
  </si>
  <si>
    <t>Circular economy (CE) is increasingly applied to support circular and sustainable development of buildings and infrastructures. To effectively monitor the implementation of CE, a unified assessment procedure is in urgent need. This paper aims to develop an overall CE index for probabilistic CE assessment of building materials. Models for material circularity and sustain -ability are established. The proposed overall CE index is demonstrated in a case study of two buildings made of cross laminated timber (CLT) and reinforced concrete (RC), considering mul-tiple uncertain variables in different end-of-life scenarios. It is found in this paper that the circularity and sustainability indexes can facilitate the standardization of CE assessments and align them with existing limit state design codes for structural safety, e.g., Eurocodes. Results of the case study suggest that the CLT building has significant lower probability of unsatisfactory CE performance over RC building in terms of material circularity indicator, embodied energy and carbon emission. The paper concludes that the overall CE index can integrate reliability methods with CE assessment effectively.</t>
  </si>
  <si>
    <t>10.1016/j.jobe.2022.104875</t>
  </si>
  <si>
    <t>quantities of timber</t>
  </si>
  <si>
    <t>m3 (converted to /m2 with area=1248m2)</t>
  </si>
  <si>
    <t>Timber; CLT; High rise building; Embodied energy; Embodied carbon</t>
  </si>
  <si>
    <t>LIFE-CYCLE ASSESSMENT; ENERGY; DESIGN; CARBON; LCA</t>
  </si>
  <si>
    <t>Li, JH; Rismanchi, B; Ngo, T</t>
  </si>
  <si>
    <t>Feasibility study to estimate the environmental benefits of utilising timber to construct high-rise buildings in Australia</t>
  </si>
  <si>
    <t>Reinforced concrete has played a significant role in the construction industry and is one of the most popular construction materials. However, different studies suggest that reinforced concrete is not environmentally friendly with a significant adverse environmental impact during its production, usage and end of life. Therefore, a more sustainable material that could perform as well as reinforced concrete can overcome this limitation. During the past decade, a number of studies on timber construction have shown the potential to replace concrete with timber in parts of a building without compromising the resilience of the structure. Most of them focused on greenhouse gas emissions rather than embodied energy and structural requirements. Therefore, this research has focused on the feasibility of timber and its potential benefits as a construction material in parts of a high-rise building located in Australia. The potential benefits and limitations of utilising timber to construct a high-rise building in Australia were investigated. For this purpose, a hypothetical 43-storey building is considered, to make it comparable with the existing studies in the literature; the baseline model is designed according to the study by Kuilen et al. (2011). Three scenarios were considered with different proportion of timber. Parametric studies were subsequently conducted on the effects of materials, size and shape of the structural elements on the performance of the building. It was found that in the selected site, using timber to construct internal parts of high-rise buildings would provide the best solution in terms of structural and environmental benefits.</t>
  </si>
  <si>
    <t>10.1016/j.buildenv.2018.09.052</t>
  </si>
  <si>
    <t>Building construction design</t>
  </si>
  <si>
    <t>Scenario 1 Concrete (Table 15)</t>
  </si>
  <si>
    <t>Scenario 3 CLT (Table 15)</t>
  </si>
  <si>
    <t>wood consumption by weight</t>
  </si>
  <si>
    <t>Scenario 1 concrete (Table 15)</t>
  </si>
  <si>
    <t>Scenario 2 partial CLT (Table 15)</t>
  </si>
  <si>
    <t xml:space="preserve">Lippke, B., Wilson, J., Perez-Garcia, J., Bowyer, J., &amp; Meil, J. </t>
  </si>
  <si>
    <t xml:space="preserve"> CORRIM: Life-cycle environmental performance of renewable building materials</t>
  </si>
  <si>
    <t xml:space="preserve"> Forest Products Journal</t>
  </si>
  <si>
    <t>Lippke_2004_NO_DOI</t>
  </si>
  <si>
    <t>steel frame</t>
  </si>
  <si>
    <t>wood frame</t>
  </si>
  <si>
    <t>wood fiber quantity in building</t>
  </si>
  <si>
    <t>Minneapolis house</t>
  </si>
  <si>
    <t>construction</t>
  </si>
  <si>
    <t>CANADIAN JOURNAL OF FOREST RESEARCH</t>
  </si>
  <si>
    <t>carbon sequestration; climate change; bioenergy; nitrogen balance; whole-tree harvesting</t>
  </si>
  <si>
    <t>ORGANIC-MATTER DYNAMICS; SOIL CARBON; LOGGING RESIDUE; SCOTS PINE; FOREST ECOSYSTEMS; THINNING REGIMES; GROWTH; NITROGEN; MODEL; BOREAL</t>
  </si>
  <si>
    <t>Makipaa, R; Linkosalo, T; Komarov, A; Makela, A</t>
  </si>
  <si>
    <t>Mitigation of climate change with biomass harvesting in Norway spruce stands: are harvesting practices carbon neutral?</t>
  </si>
  <si>
    <t>Biomass combustion is considered to be carbon neutral, but intensive biomass harvesting may negatively impact carbon stocks in forest soil and vegetation, which can offset the benefits of substituting fossil fuels with biomass. Here we evaluated conventional stem-only harvesting, whole-tree harvesting (WTH), and WTH excluding needles in terms of timber yield, biomass harvests, and forest carbon sequestration. We simulated harvest scenarios in current and changed climates with a process-based growth model (PipeQual) that was integrated with models describing soil decomposition (ROMUL) and soil water dynamics. Furthermore, we compared gains and losses of forest carbon with reductions in fossil-fuel emissions that result from using harvested biomass for energy production. WTH negatively affected stand growth, biomass, and soil carbon stock; negative effects on growth and biomass can be reduced by leaving nitrogen-rich needles behind during WTH. In a changed climate, organic-matter decomposition and nitrogen mineralization accelerated and tree growth was enhanced, increasing the carbon stock of trees and slightly decreasing the soil carbon stock. In the changed climate, WTH had less influence on forest growth and a similar influence on soil carbon sequestration than in the current climate. In the current climate, the WTH decreased the forest carbon stock by, on average, 26.8 Mg C.ha(-1) over the rotation period. If harvested forest residues are used for energy production instead of fossil fuels, emissions decline by 19 Mg C.ha(-1) (when WTH is applied over a rotation period). Thus, our analysis suggests that using forest residues for energy production leads to a net increase in carbon emissions.</t>
  </si>
  <si>
    <t>Can. J. For. Res.</t>
  </si>
  <si>
    <t>10.1139/cjfr-2014-0120</t>
  </si>
  <si>
    <t>total tree harvest</t>
  </si>
  <si>
    <t>Stem only harvest (SOH) current climate</t>
  </si>
  <si>
    <t>WTH (WTH) currentc climate</t>
  </si>
  <si>
    <t>Wood harvest=stem wood + energy wood</t>
  </si>
  <si>
    <t>MgC</t>
  </si>
  <si>
    <t>IPCC 2006a</t>
  </si>
  <si>
    <t>Climate Change</t>
  </si>
  <si>
    <t>WTH climate change (A1B scenario)</t>
  </si>
  <si>
    <t>WTH current climate</t>
  </si>
  <si>
    <t>SOH current climate</t>
  </si>
  <si>
    <t>SOH climate change (A1B scenario)</t>
  </si>
  <si>
    <t>Life cycle assessment; Embodied carbon; Timber; Steel; Bio-based; Glulam</t>
  </si>
  <si>
    <t>LIFE-CYCLE ASSESSMENT; CLIMATE IMPACT ASSESSMENT; BIO-BASED MATERIALS; CONSTRUCTION MATERIALS; TEMPORARY-STORAGE; BIOGENIC CARBON; PRODUCTS; SYSTEM; ALTERNATIVES; FOOTPRINT</t>
  </si>
  <si>
    <t>Morris, F; Allen, S; Hawkins, W</t>
  </si>
  <si>
    <t>On the embodied carbon of structural timber versus steel, and the influence of LCA methodology</t>
  </si>
  <si>
    <t>Reducing greenhouse gas emissions in the built environment is key to mitigating climate change. This paper uses Life Cycle Assessment (LCA) to explore whether glue-laminated timber (glulam) has a significantly lower wholelife embodied carbon (Global Warming Potential; GWP) than functionally-equivalent structural steel. Alongside a baseline assessment that follows standard practice, a variety of further sensitivity analyses establish how differing assumptions affect results. Assessment found that the GWPs were highly dependent on: (1) the assumed end-of-life scenarios; (2) the approach used to consider biogenic CO2, and; (3) whether the timing of emissions was considered. In general, glulam had the lowest GWP when incinerated (with energy recovery) at end-of-life. However, when recycling is modelled according to current standards, glulam GWPs were in amongst those of steel, giving no clear ranking of materials. Landfilled glulam had a lower GWP than steel if some biogenic carbon was assumed to be permanently stored. That may be appropriate given recent guidance from the Intergovernmental Panel on Climate Change, but is not allowed in the updated standards for LCA of construction products (e. g. EN 15804:2019). Six additional impact categories were also assessed to give a broader environmental comparison. The relative impact of the two materials depended on the impact category assessed, with glulam generally having a similar or lower impact than steel. Given the findings of this paper, further research on end-oflife treatment and LCA methodology is critical to ensure that strategies aiming to reduce GWP by material selection are effective in practice.</t>
  </si>
  <si>
    <t>10.1016/j.buildenv.2021.108285</t>
  </si>
  <si>
    <t>end-of life disposal</t>
  </si>
  <si>
    <t>landfilling</t>
  </si>
  <si>
    <t>incineration</t>
  </si>
  <si>
    <t>beam weight</t>
  </si>
  <si>
    <t>kgCOE-eq</t>
  </si>
  <si>
    <t>beam material</t>
  </si>
  <si>
    <t>glulam</t>
  </si>
  <si>
    <t>Fix sequestration sign; calculate C balance from yearly harvest instead of cumulated harvest using equations (1) (2) and (3)</t>
  </si>
  <si>
    <t>Fix sequestration sign; calculate C balance from yearly harvest instead of cumulated harvest using equations (1) (2) and (3)calculate C balance from yearly harvest instead of cumulated harvest using equations (1) (2) and (3), add products into perimeters as C variable includes HWP</t>
  </si>
  <si>
    <t>EC</t>
  </si>
  <si>
    <t>Japan</t>
  </si>
  <si>
    <t>explicit C balance</t>
  </si>
  <si>
    <t xml:space="preserve">Petersen, A. K., &amp; Solberg, B. </t>
  </si>
  <si>
    <t xml:space="preserve"> Greenhouse gas emissions, life-cycle inventory and cost-efficiency of using laminated wood instead of steel construction: Case: beams at Gardermoen airport</t>
  </si>
  <si>
    <t xml:space="preserve"> Environmental Science &amp; Policy</t>
  </si>
  <si>
    <t>10.1016/S1462-9011(01)00044-2</t>
  </si>
  <si>
    <t>efficiency of glulam manufacturing</t>
  </si>
  <si>
    <t>B2</t>
  </si>
  <si>
    <t>B1</t>
  </si>
  <si>
    <t>metre cube input of sawn wood</t>
  </si>
  <si>
    <t>Header table 5</t>
  </si>
  <si>
    <t>Table 5</t>
  </si>
  <si>
    <t>tCO2 / (m3 input of sawnwood)</t>
  </si>
  <si>
    <t>Prd</t>
  </si>
  <si>
    <t>Changes in the production of the reference</t>
  </si>
  <si>
    <t>B3</t>
  </si>
  <si>
    <t>efficiency wood product</t>
  </si>
  <si>
    <t>Glulam is landfilled (A3)</t>
  </si>
  <si>
    <t>steel beam</t>
  </si>
  <si>
    <t>laminated wood beam</t>
  </si>
  <si>
    <t>End-of-life steel reference</t>
  </si>
  <si>
    <t>Steel beams substitutes ore at the end of life (F2)</t>
  </si>
  <si>
    <t>basis scenario</t>
  </si>
  <si>
    <t>includes forest regrowth (=change in boundaries)</t>
  </si>
  <si>
    <t>Coal-based electricity in steel production</t>
  </si>
  <si>
    <t>Energy from glulam substitutes oil (A1)</t>
  </si>
  <si>
    <t>End-of-life wood</t>
  </si>
  <si>
    <t xml:space="preserve"> Substitution between floor constructions in wood and natural stone: comparison of energy consumption, greenhouse gas emissions, and costs over the life cycle</t>
  </si>
  <si>
    <t>10.1139/x03-020</t>
  </si>
  <si>
    <t>(G2) Bark-burning boiler at sawmill</t>
  </si>
  <si>
    <t>no bark burning boiler (basis scenario)</t>
  </si>
  <si>
    <t>G2</t>
  </si>
  <si>
    <t>Header table 4</t>
  </si>
  <si>
    <t>end-of-life wood product</t>
  </si>
  <si>
    <t>corrected AV, forest area scenarios excluded, perimeters not consistent</t>
  </si>
  <si>
    <t>building lifetime</t>
  </si>
  <si>
    <t>45 (basis scenario)</t>
  </si>
  <si>
    <t>(E2) Lifetime of building 90 years</t>
  </si>
  <si>
    <t>natural stone floor</t>
  </si>
  <si>
    <t>wood floor</t>
  </si>
  <si>
    <t>lifetime wood product</t>
  </si>
  <si>
    <t>tCO2/ (m3 input of sawnwood)</t>
  </si>
  <si>
    <t>include forest regrowth (= change in boundaries)</t>
  </si>
  <si>
    <t>(A1) energy from wood substitutes oil</t>
  </si>
  <si>
    <t>effciency wood product</t>
  </si>
  <si>
    <t>(A3) Wood is landfilled</t>
  </si>
  <si>
    <t xml:space="preserve"> Greenhouse gas emissions and costs over the life cycle of wood and alternative flooring materials</t>
  </si>
  <si>
    <t xml:space="preserve"> Climatic change</t>
  </si>
  <si>
    <t>10.1023/B:CLIM.0000024689.70143.79</t>
  </si>
  <si>
    <t>B3 highest estimate GHG emissions solid oak</t>
  </si>
  <si>
    <t>B1 lowest estimated GHG emissions solid oak</t>
  </si>
  <si>
    <t>Header table V</t>
  </si>
  <si>
    <t>Table V</t>
  </si>
  <si>
    <t>C2 No energy recovery</t>
  </si>
  <si>
    <t>Linoleum 1</t>
  </si>
  <si>
    <t>oak floorboard</t>
  </si>
  <si>
    <t xml:space="preserve">Linoleum 2 </t>
  </si>
  <si>
    <t>Vinyl 1</t>
  </si>
  <si>
    <t xml:space="preserve">Linoleum 1 </t>
  </si>
  <si>
    <t>oak flooring</t>
  </si>
  <si>
    <t xml:space="preserve">Vinyl 1 </t>
  </si>
  <si>
    <t xml:space="preserve">Vinyl 2 </t>
  </si>
  <si>
    <t>Vinyl 2</t>
  </si>
  <si>
    <t>Carpet, polyamide 1</t>
  </si>
  <si>
    <t>Carpet polyamide</t>
  </si>
  <si>
    <t>Carpet wool</t>
  </si>
  <si>
    <t xml:space="preserve">Carpet, wool 1 </t>
  </si>
  <si>
    <t>Life cycle analysis; Primary energy; Carbon emissions; Modelling options; Wood materials; Energy scenarios; Biogenic carbon; Multi-functional processes</t>
  </si>
  <si>
    <t>LIFE-CYCLE ASSESSMENT; GREENHOUSE-GAS; FOREST MANAGEMENT; WOOD; EFFICIENCY; CONCRETE; LCA; CONSTRUCTION; SUBSTITUTION; FOOTPRINT</t>
  </si>
  <si>
    <t>Piccardo, C; Gustavsson, L</t>
  </si>
  <si>
    <t>Implications of different modelling choices in primary energy and carbon emission analysis of buildings</t>
  </si>
  <si>
    <t>In recent years, several comparative life cycle analyses have shown that increasing the use of wood in buildings can reduce the life cycle primary energy use and carbon emission of buildings. This study reviews the life cycle inventory methodology of primary energy use and carbon emissions, based on ecoinvent database, considering different modelling choices for (i) materials heating values; (ii) biogenic carbon; (iii) calcination and carbonation processes; (iv) electricity production scenarios; (v) impact distribution of multi-functional processes; (vi) post-use benefits. The analysis relates to the standards while the implication of different modelling choice is shown by comparing the primary energy use and carbon emission in the production and end-of-life stages of a multi-storey residential building with concrete, cross laminated timber and modular timber structures, respectively. The results highlight the displacement between different modelling choices in terms of primary energy use and carbon emissions. Such modelling options especially influence the LCA results in the product stage and beyond the end of life stage, and especially wood-and/or cement-based materials. (c) 2021 The Author(s). Published by Elsevier B.V. This is an open access article under the CC BY license (http://creativecommons.org/licenses/by/4.0/).</t>
  </si>
  <si>
    <t>10.1016/j.enbuild.2021.111145</t>
  </si>
  <si>
    <t>Changes in End-of-life</t>
  </si>
  <si>
    <t>Glue-laminated wood, Lumber, Plywood, Particleboard</t>
  </si>
  <si>
    <t>Table 1</t>
  </si>
  <si>
    <t>tons</t>
  </si>
  <si>
    <t>Table 17</t>
  </si>
  <si>
    <t>t CO2</t>
  </si>
  <si>
    <t>Modular</t>
  </si>
  <si>
    <t>Changes in construction + energy recovery</t>
  </si>
  <si>
    <t>Changes in construction + wood recycling</t>
  </si>
  <si>
    <t>R</t>
  </si>
  <si>
    <t>Steel</t>
  </si>
  <si>
    <t>BIOENERGY RESEARCH</t>
  </si>
  <si>
    <t>Forest biomass; Intensive management; Carbon neutrality; Climate change</t>
  </si>
  <si>
    <t>ENERGY WOOD PRODUCTION; NORTH-CENTRAL SWEDEN; BOREAL FOREST; SCOTS PINE; NITROGEN DEPOSITION; DIOXIDE EMISSIONS; TIMBER PRODUCTION; THINNING REGIMES; SIMULATION-MODEL; BARK BEETLE</t>
  </si>
  <si>
    <t>Pyorala, P; Peltola, H; Strandman, H; Antti, K; Antti, A; Jylha, K; Kellomaki, S</t>
  </si>
  <si>
    <t>Effects of Management on Economic Profitability of Forest Biomass Production and Carbon Neutrality of Bioenergy Use in Norway Spruce Stands Under the Changing Climate</t>
  </si>
  <si>
    <t>We analyzed the effects of management on the economic profitability of forest biomass production and carbon neutrality of bioenergy use in Norway spruce (Picea abies L. Karst) stands under the changing climate. We employed a forest ecosystem model and life cycle assessment tool. In particular, we studied the effects of thinning, nitrogen fertilization, and rotation length on: (1) the production of timber and energy biomass, and its economic profitability (net present value), (2) carbon stock in the forest ecosystem and carbon balance in forestry, and (3) carbon dioxide (CO2) emissions from the use of biomass in energy production. Results showed that the current Finnish baseline management with and without nitrogen fertilization resulted in the highest mean annual timber production and net present value (NPV) for long rotations (60 to 80 years), regardless of climate scenario. Mean annual production of energy biomass was enhanced by increasing stocking by 20-30 % compared to the baseline management, and/or use of nitrogen fertilization. Such management gave lower CO2 emissions per unit of energy compared to the baseline management, as the carbon stock in the forest ecosystem and the carbon balance in forestry increased. Overall, the carbon neutrality and net present value were, on average, the highest in the baseline management or with a 20 % increase in stocking, with nitrogen fertilization and 60- to 80-year rotation lengths, regardless of the climate applied. However, it was not possible to simultaneously maximize the NPV of forest biomass production and the carbon neutrality of bioenergy use.</t>
  </si>
  <si>
    <t>BioEnergy Res.</t>
  </si>
  <si>
    <t>10.1007/s12155-013-9372-x</t>
  </si>
  <si>
    <t>Management</t>
  </si>
  <si>
    <t>R20 30-50 years</t>
  </si>
  <si>
    <t>RB 30-50 years</t>
  </si>
  <si>
    <t>mean annual production of energy biomass</t>
  </si>
  <si>
    <t>Table2</t>
  </si>
  <si>
    <t>m3 ha-1 a-1</t>
  </si>
  <si>
    <t>g CO2m−2 a−1</t>
  </si>
  <si>
    <t>Statistics Finalns (ref 47 in the paper)</t>
  </si>
  <si>
    <t>change wood variable to harvested m3</t>
  </si>
  <si>
    <t>R30 30-50 years</t>
  </si>
  <si>
    <t>simulation time depends on rotation length so the time boundary is not consistent for the effect of rotation length</t>
  </si>
  <si>
    <t>R30F 30-50 years</t>
  </si>
  <si>
    <t>RBF 30-50 years</t>
  </si>
  <si>
    <t>R20F 30-50 years</t>
  </si>
  <si>
    <t>Fertilization</t>
  </si>
  <si>
    <t>MT- R30 60-80 years</t>
  </si>
  <si>
    <t>OMT- R30 60-80 years</t>
  </si>
  <si>
    <t>change wood variable to harvested m3, Fix driver, set it to site fertility</t>
  </si>
  <si>
    <t>MT- RBF 60-80 years</t>
  </si>
  <si>
    <t>OMT- RBF 60-80 years</t>
  </si>
  <si>
    <t>MT - R30F 60-80 years</t>
  </si>
  <si>
    <t>OMT - R30F 60-80 years</t>
  </si>
  <si>
    <t>MT- R20F 60-80 years</t>
  </si>
  <si>
    <t>OMT- R20F 60-80 years</t>
  </si>
  <si>
    <t>MT- R20 60-80 years</t>
  </si>
  <si>
    <t>OMT- R20 60-80 years</t>
  </si>
  <si>
    <t>MT- RB 60-80 years</t>
  </si>
  <si>
    <t>OMT- RB 60-80 years</t>
  </si>
  <si>
    <t>Embodied carbon; Lifecycle analysis; Uncertainty analysis; Monte Carlo simulation; Mass timber structure; Cross-laminated timber</t>
  </si>
  <si>
    <t>LIFE-CYCLE ASSESSMENT; GREENHOUSE-GAS EMISSIONS; BIO-BASED MATERIALS; ENVIRONMENTAL BENEFITS; STRUCTURAL DESIGN; LAMINATED TIMBER; ASSESSMENT LCA; ENERGY; CEMENT; SYSTEM</t>
  </si>
  <si>
    <t>Robati, M; Oldfield, P</t>
  </si>
  <si>
    <t>The embodied carbon of mass timber and concrete buildings in Australia: An uncertainty analysis</t>
  </si>
  <si>
    <t>This research uses uncertainty analysis to determine and compare the range of embodied carbon outcomes of mid-rise mass timber and concrete buildings in Australia. In doing so, it measures the variability in inventory databases, transportation distance, lifetime of building components, biogenic carbon emissions, carbonation of concrete materials and end-of-life scenarios. Through the use of Monte Carlo analysis, the research found that the embodied carbon of a mass timber building ranged from 196 kgCO(2-e)/m(2) to 590 kgCO(2-e)/m(2) with a mean of 417 kgCO(2-e)/m(2). For a post-tensioned concrete building the range was 307 kgCO(2-e)/m(2) to 618 kgCO(2-e)/m(2) with a mean of 465 kgCO(2-e)/m(2). This equates to a 48 kgCO(2-e)/m(2) reduction in mean embodied carbon for the mass timber building. Using deterministic analysis, previous research suggested a more substantive 129 kgCO(2-e)/m(2) reduction. These results demonstrate that mass timber buildings do typically have a lower embodied carbon, compared to concrete buildings, however the significance of this depends on the assumptions made, and the input data used. For the concrete building, the variation in embodied carbon is primarily influenced by the inventory data and building products' lifetime. The greater range of embodied carbon in the mass timber building is due to variations associated with the inventory data, allocation of biogenic carbon emissions (sequestration, and forest management losses) and, different end-of-life scenarios associated with timber products. Despite this, the research suggests that with a carefully planned end-of-life strategy, mass timber mid-rise buildings have the potential to benefit from lower embodied carbon emissions, as compared to concrete buildings, across their full lifecycle.</t>
  </si>
  <si>
    <t>10.1016/j.buildenv.2022.108944</t>
  </si>
  <si>
    <t>end-of life strategy</t>
  </si>
  <si>
    <t>Mass timber</t>
  </si>
  <si>
    <t>Mass timber building</t>
  </si>
  <si>
    <t>quantity of material</t>
  </si>
  <si>
    <t>m3 converted to /m2 by dividing by area</t>
  </si>
  <si>
    <t xml:space="preserve">kgCO2eq/m2 </t>
  </si>
  <si>
    <t>level of biogenic carbon losses related to forest management practices</t>
  </si>
  <si>
    <t>lifetime materials</t>
  </si>
  <si>
    <t>building type (for stochastic output, production stages only)</t>
  </si>
  <si>
    <t>Post-tension concrete building</t>
  </si>
  <si>
    <t>building type (for stochastic output, non biogenic production stages only)</t>
  </si>
  <si>
    <t>building type (for deterministic output)</t>
  </si>
  <si>
    <t>Base case</t>
  </si>
  <si>
    <t>building type (for stochastic output)</t>
  </si>
  <si>
    <t>building type (for stochastic output, end-of-life stages only)</t>
  </si>
  <si>
    <t>GLOBAL CHANGE BIOLOGY BIOENERGY</t>
  </si>
  <si>
    <t>clonal material; CO2 emissions; economic profitability; energy biomass; Norway spruce; timber</t>
  </si>
  <si>
    <t>SIMULATION-MODEL; ECOSYSTEM; CLIMATE; HEIGHT; WATER</t>
  </si>
  <si>
    <t>Routa, J; Kellomaki, S; Strandman, H; Bergh, J; Pulkkinen, P; Peltola, H</t>
  </si>
  <si>
    <t>The timber and energy biomass potential of intensively managed cloned Norway spruce stands</t>
  </si>
  <si>
    <t>We used ecosystem model simulations to study the timber and energy biomass potential offered by intensively managed cloned Norway spruce stands. More specifically, we analysed how the use of cloned trees compared with non-cloned trees, together with thinning, nitrogen (N) fertilisation and rotation length (from 60 to 100 years), affects the annual mean production of timber (i.e., saw logs, pulpwood) and energy biomass (i.e., stumps and harvesting residuals in the final felling) and its economic profitability [annual mean of net present value (NPV) with a 2% interest rate]. Furthermore, we employed a life cycle analysis/emission calculation tool to assess the total net CO2 emissions per unit of energy (kg CO2 MW h-1) produced based on energy biomass. We found that both the annual mean production of timber and the NPV increased substantially, regardless of the management regime, if cloned trees with an annual growth increase of up to 30% compared with non-cloned trees were used in regeneration. In general, the use of a short rotation with N fertilisation clearly increased the annual mean of the NPV. Consequently, the use of cloned trees also clearly increased the annual mean production of energy biomass and decreased the total net CO2 emissions per unit of energy produced based on energy biomass. However, the total annual net CO2 emissions were the lowest if a long rotation was used with N fertilisation. To conclude, the use of cloned trees together with intensive management could potentially be highly beneficial for the cost-efficient and sustainable production of timber and energy biomass in an integrated way.</t>
  </si>
  <si>
    <t>GCB Bioenergy</t>
  </si>
  <si>
    <t>10.1111/gcbb.12002</t>
  </si>
  <si>
    <t>Fertilized; 100yr rotation; Improved Productivity of 30% with clonal Norway Spruce</t>
  </si>
  <si>
    <t>BAU</t>
  </si>
  <si>
    <t>Energy biomass yield</t>
  </si>
  <si>
    <t>m3 ha-1 yr-1</t>
  </si>
  <si>
    <t>kg CO2 MWh-1 yr-1</t>
  </si>
  <si>
    <t>Fertilized; 80yr rotation; nonclone improvement</t>
  </si>
  <si>
    <t xml:space="preserve">changed </t>
  </si>
  <si>
    <t>Unfertilized; 80yr rotation; nonclone improvement</t>
  </si>
  <si>
    <t>Unfertilized; 100yr rotation; Improved Productivity of 30% with clonal Norway Spruce</t>
  </si>
  <si>
    <t>Fertilized; 100yr rotation; nonclone improvement</t>
  </si>
  <si>
    <t>Unfertilized; 100yr rotation; nonclone improvement</t>
  </si>
  <si>
    <t>Fertilized; 60yr rotation; nonclone improvement</t>
  </si>
  <si>
    <t>Fertilized; 80yr rotation; Improved Productivity of 30% with clonal Norway Spruce</t>
  </si>
  <si>
    <t>Fertilized; 60yr rotation; Improved Productivity of 30% with clonal Norway Spruce</t>
  </si>
  <si>
    <t>Unfertilized; 80yr rotation; Improved Productivity of 30% with clonal Norway Spruce</t>
  </si>
  <si>
    <t>Unfertilized; 60yr rotation; Improved Productivity of 30% with clonal Norway Spruce</t>
  </si>
  <si>
    <t>Energy biomass yield from unfertilized and fertilized nonclone and clonal species</t>
  </si>
  <si>
    <t>SUSTAINABLE CITIES AND SOCIETY</t>
  </si>
  <si>
    <t>Greenhouse gas; Concrete; Timber; Buildings; Life cycle assessment; Construction</t>
  </si>
  <si>
    <t>LIFE-CYCLE ASSESSMENT; OFFICE BUILDINGS; ENVIRONMENTAL EMISSIONS; REINFORCED-CONCRETE; INVENTORY ANALYSIS; EMBODIED ENERGY; UNITED-STATES; CO2 EMISSIONS; LCA; IMPACTS</t>
  </si>
  <si>
    <t>Sandanayake, M; Lokuge, W; Zhang, GM; Setunge, S; Thushar, Q</t>
  </si>
  <si>
    <t>Greenhouse gas emissions during timber and concrete building construction - A scenario based comparative case study</t>
  </si>
  <si>
    <t>Greenhouse gas (GHG) is a major air emission pollutant that creates environmental burden in buildings. Timber buildings are gaining notable popularity in the building industry due to life cycle environmental and economic benefits over conventional buildings. However, little or no studies have made attempts to compare greenhouse gas emission variations in timber and concrete buildings during the construction stage. Knowledge of emission at the construction stage is critical for passionate contractors who wants to maintain an environmental friendly built environment. The study presented in this paper aims to compare GHG emissions and energy consumptions during timber and concrete building construction. A process based quantitative assessment is conducted for evaluating emissions from materials, equipment and transportation stages. The comparative results of the study indicated that use of timber can reduce embodied emissions as well as transportation emissions during the construction stage. Scenario analyses results comprehends that recycling of materials and use of regional materials influence GHG emissions the most while transportation distance has medium effect on total GHG emissions at the construction stage of timber building. The results of the study are important in aggregate level decision making of timber and concrete buildings. Further studies are encouraged on conducting comprehensive assessment of different timber usages in a building to investigate the GHG emission variation.</t>
  </si>
  <si>
    <t>Sust. Cities Soc.</t>
  </si>
  <si>
    <t>10.1016/j.scs.2017.12.017</t>
  </si>
  <si>
    <t>CLTwoodBuildingVersusConcrete</t>
  </si>
  <si>
    <t>Structural Timber</t>
  </si>
  <si>
    <t>This paper was really stupid</t>
  </si>
  <si>
    <t>FORESTS</t>
  </si>
  <si>
    <t>Forests</t>
  </si>
  <si>
    <t>TgCO2e</t>
  </si>
  <si>
    <t>mass timber construction; recycling potential; material recycling; zero waste; concrete buildings</t>
  </si>
  <si>
    <t>LIFE-CYCLE; ENERGY NEED; CLT</t>
  </si>
  <si>
    <t>Su, QM; Huan, Q; Dua, ZC; Zhan, AX</t>
  </si>
  <si>
    <t>Recycling Potential Comparison of Mass Timber Constructions and Concrete Buildings: A Case Study in China</t>
  </si>
  <si>
    <t>The recycling potential (RP) indicates the ability of building materials to form a closed-loop material flow, that is, the material efficiency during its whole life cycle. Mass timber constructions and concrete buildings vary widely in RP, but the differences are difficult to calculate. This paper proposed a level-based scheme to compare the RP of mass timber and concrete buildings, and a BIM-Eco2soft-MS Excel workflow coupling Material Cycle Database and digital design tools were established to obtain information on building materials, resource consumption, and environmental impact for the RP calculation. Taking a residential building as an example, the difference in RP between mass timber and concrete at the material-level is firstly discussed. Then at the component-level, the RP of the wood structure component and concrete component is compared, and the optimization methods are proposed. Finally, the difference in RP between the mass timber building and reinforced concrete building at the building-level are illustrated. The results show that the RP of mass timber building is higher, and the disassembly ability is better. Within a 100-year service life, the RP of mass timber buildings is 73% and that of the reinforced concrete building is 34%. The total amount of material consumption and waste of the Variant CLT is 837,030 kg and 267,237 kg respectively, which is less than one-third of that of concrete buildings (3,458,488 kg; 958,145 kg). The Global Warming potential (GWP) of these two variants is -174.0 kgCO(2)/m(2) and 221.0 kgCO(2)/m(2) separately, indicating that the Variant CLT can realize negative carbon emissions and gain ecological benefits. A sensitivity analysis is conducted to explore the potential impacts of certain parameters on GWP and RP of buildings. The research can provide the reference for material selection, component design, and RP optimization of mass timber buildings. In addition, new ideas for assessing the potential of circularity as a design tool are proposed to support the transition towards a circular construction industry and to realize carbon neutrality.</t>
  </si>
  <si>
    <t>10.3390/su14106174</t>
  </si>
  <si>
    <t>100th year consumption</t>
  </si>
  <si>
    <t>table 3</t>
  </si>
  <si>
    <t>kg (converted to /m2 with area 3000m2)</t>
  </si>
  <si>
    <t>table 9</t>
  </si>
  <si>
    <t>kgCO2/m2</t>
  </si>
  <si>
    <t>CLT 50yr lifespan</t>
  </si>
  <si>
    <t>CLT 150yr lifespan</t>
  </si>
  <si>
    <t>VB</t>
  </si>
  <si>
    <t>Baseline</t>
  </si>
  <si>
    <t xml:space="preserve">Upton, B., Miner, R., Spinney, M., &amp; Heath, L. S. </t>
  </si>
  <si>
    <t xml:space="preserve"> The greenhouse gas and energy impacts of using wood instead of alternatives in residential construction in the United States</t>
  </si>
  <si>
    <t>10.1016/j.biombioe.2007.07.001</t>
  </si>
  <si>
    <t>wall type in Minneapolis' house</t>
  </si>
  <si>
    <t>steel frame wall system</t>
  </si>
  <si>
    <t>wood-frame wall system</t>
  </si>
  <si>
    <t>Product sequestration</t>
  </si>
  <si>
    <t>MtCO2 eq.</t>
  </si>
  <si>
    <t>OK</t>
  </si>
  <si>
    <t>Fix sequestration sign; added driver category, changed Qwood to absolute value instead of %</t>
  </si>
  <si>
    <t>wall type in Atlanta's house</t>
  </si>
  <si>
    <t>concrete frame wall system</t>
  </si>
  <si>
    <t>PROCEEDINGS OF THE INSTITUTION OF CIVIL ENGINEERS-ENGINEERING SUSTAINABILITY</t>
  </si>
  <si>
    <t>structural frameworks; energy</t>
  </si>
  <si>
    <t>LIFE-CYCLE ENERGY</t>
  </si>
  <si>
    <t>Vukotic, L; Fenner, RA; Symons, K</t>
  </si>
  <si>
    <t>Assessing embodied energy of building structural elements</t>
  </si>
  <si>
    <t>Although operational energy is currently the focal point of sustainability in building regulations, embodied energy and carbon dioxide emissions will become more significant as operational energy consumption is reduced. In the near future, embodied energy could account for a significant proportion of a building's carbon footprint over its lifetime, bearing in mind that the construction of energy-efficient buildings is carbon and energy intensive. Unlike operational energy, embodied energy savings have an immediate significant effect on carbon footprint and are independent of human behaviour. However, there is a lack of consensus within the construction industry on how to assess embodied energy and carbon dioxide and where to draw system boundaries, which has impeded advancement on the issue. This paper analyses the life-cycle embodied energy and carbon dioxide emissions of a building's structural elements, and examines which stages within a building's life are the most significant and offer the most opportunities for a reduction of embodied energy and carbon dioxide. The embodied energy and associated carbon dioxide at the product and construction, maintenance and end-of-life stages of a structure are examined, as well as the potential for energy recovery and carbon dioxide offsetting. A simple single-storey structure is used as a case study to perform comparative analyses between two structural design alternatives: glue-laminated timber panels and steel frame with infill concrete blockwork.</t>
  </si>
  <si>
    <t>Proc. Inst. Civ. Eng.-Eng. Sustain.</t>
  </si>
  <si>
    <t>10.1680/ensu.2010.163.3.147</t>
  </si>
  <si>
    <t>Type of building (here a school sports hall)</t>
  </si>
  <si>
    <t>Steel frame</t>
  </si>
  <si>
    <t>Wooden framed (local wood)</t>
  </si>
  <si>
    <t>Amount of wood per m2 of building</t>
  </si>
  <si>
    <t>t wood product m-2</t>
  </si>
  <si>
    <t>kg CO2e m-2</t>
  </si>
  <si>
    <t>Wooden framed (imported wood)</t>
  </si>
  <si>
    <t>S2</t>
  </si>
  <si>
    <t>J. Ind. Ecol.</t>
  </si>
  <si>
    <t>Greenhouse gas emissions (GHG); Wood; House; Carbon; LCA; Landfill</t>
  </si>
  <si>
    <t>LIFE-CYCLE; WASTE; MANAGEMENT; LANDFILLS; IMPACTS; ENERGY</t>
  </si>
  <si>
    <t>Ximenes, FA; Grant, T</t>
  </si>
  <si>
    <t>Quantifying the greenhouse benefits of the use of wood products in two popular house designs in Sydney, Australia</t>
  </si>
  <si>
    <t>As the average wood products usage per unit of floor area in Australia has decreased significantly over time, there is potential for increased greenhouse gas (GHG) mitigation benefits through an increased use of wood products in buildings. This study determined the GHG outcomes of the extraction, manufacture, transport, use in construction, maintenance and disposal of wood products and other building materials for two popular house designs in Sydney, Australia. The life cycle assessment (LCA) was undertaken using the computer model SimaPro 7.1, with the functional unit being the supply of base building elements for domestic houses in Sydney and its subsequent use over a 50-year period. The key data libraries used were the Australian Life Cycle Inventory library, the ecoinvent library (with data adapted to Australian circumstances where appropriate) and data for timber production from an Australian study for a range of Australian forestry production systems and wood products. Two construction variations were assessed: the original intended construction, and a timber-maximised alternative. The indicator assessed was global warming, as the focus was on GHG emissions, and the effect of timber production, use and disposal on the fate of carbon. The timber maximised design resulted in approximately half the GHG emissions associated with the base designs. The sub-floor had the largest greenhouse impact due to the concrete components, followed by the walls due to the usage of bricks. The use of a timber maximised design offset between 23 and 25 % of the total operational energy of the houses. Inclusion of carbon storage in landfill made a very significant difference to GHG outcomes, equivalent to 40-60 % of total house GHG emissions. The most beneficial options for disposal from a GHG perspective were landfill and incineration with energy recovery. The study showed that significant GHG emission savings were achieved by optimising the use of wood products for two common house designs in Sydney. The switch of the sub-floor and floor covering components to a wood option accounted for most of the GHG savings. Inclusion of end of life parameters significantly impacted on the outcomes of the study.</t>
  </si>
  <si>
    <t>10.1007/s11367-012-0533-5</t>
  </si>
  <si>
    <t>House with more or less wood components</t>
  </si>
  <si>
    <t>Affinity house as designed</t>
  </si>
  <si>
    <t>Affinity house timber maximized</t>
  </si>
  <si>
    <t>Amount of wood in the house</t>
  </si>
  <si>
    <t>tCO2e</t>
  </si>
  <si>
    <t>Amount of wood in each house deducted from carbon stored in landfill after demolition. Order of magnitude consistent with average amount of wood per m2 in Australia given in the article.</t>
  </si>
  <si>
    <t>Tractor</t>
  </si>
  <si>
    <t>Cableway</t>
  </si>
  <si>
    <t>reg</t>
  </si>
  <si>
    <t>S1</t>
  </si>
  <si>
    <t>S0</t>
  </si>
  <si>
    <t>S3</t>
  </si>
  <si>
    <t>coy</t>
  </si>
  <si>
    <t>SILVA FENNICA</t>
  </si>
  <si>
    <t>boreal forest; carbon sequestration; forest biofuel; forest management planning; optimization</t>
  </si>
  <si>
    <t>FOREST MANAGEMENT; BIOMASS; SOILS; BIODIVERSITY; SIMULATOR; DYNAMICS; SWEDEN; SECTOR; BUDGET</t>
  </si>
  <si>
    <t>Backeus, S; Wikstrom, P; Lamas, T</t>
  </si>
  <si>
    <t>Modeling carbon sequestration and timber production in a regional case study</t>
  </si>
  <si>
    <t>Forests make up large ecosystems and by the uptake of carbon dioxide can play an important role in mitigating the greenhouse effect. In this study, mitigation of carbon emissions through carbon uptake and storage in forest biomass and the use of forest biofuel for fossil fuel substitution were considered. The analysis was performed for a 3.2 million hectare region in northern Sweden. The objective was to maximize net present value for harvested timber, biofuel production and carbon sequestration. A carbon price for build-up of carbon storage and for emissions from harvested forest products was introduced to achieve an economic value for carbon sequestration. Forest development was simulated using an optimizing stand-level planning model, and the solution for the whole region was found using linear programming. A range of carbon prices was used to study the effect on harvest levels and carbon sequestration. At a zero carbon price, the mean annual harvest level was 5.4 million m(3), the mean annual carbon sequestration in forest biomass was 1.48 million tonnes and the mean annual replacement of carbon from fossil fuel with forest biofuel was 61000 tonnes. Increasing the carbon price led to decreasing harvest levels of timber and decreasing harvest levels of forest biofuel. Also, thinning activities decreased more than clear-cut activities when the carbon prices increased. The level of carbon sequestration was governed by the harvest level and the site productivity. This led to varying results for different parts of the region.</t>
  </si>
  <si>
    <t>Silva. Fenn.</t>
  </si>
  <si>
    <t>10.14214/sf.318</t>
  </si>
  <si>
    <t>75SEK</t>
  </si>
  <si>
    <t>0SEK</t>
  </si>
  <si>
    <t>Mm3/yr</t>
  </si>
  <si>
    <t>MtC/yr</t>
  </si>
  <si>
    <t>150SEK</t>
  </si>
  <si>
    <t>300SEK</t>
  </si>
  <si>
    <t>600SEK</t>
  </si>
  <si>
    <t>1200SEK</t>
  </si>
  <si>
    <t>Cascading use; Woody biomass; Forest bioenergy; Resource use efficiency; GHG emissions reduction; Circular bioeconomy</t>
  </si>
  <si>
    <t>GLOBAL WARMING CONTRIBUTIONS; ENVIRONMENTAL IMPACTS; CARBON SEQUESTRATION; ROTATION LENGTH; PAPER-INDUSTRY; BIOMASS; ENERGY; METHODOLOGY; BIOENERGY; TRANSPORT</t>
  </si>
  <si>
    <t>Bais-Moleman, AL; Sikkema, R; Vis, M; Reumerman, P; Theurl, MC; Erb, KH</t>
  </si>
  <si>
    <t>Assessing wood use efficiency and greenhouse gas emissions of wood product cascading in the European Union</t>
  </si>
  <si>
    <t>Cascading use of biomass is a recognized strategy contributing to an efficient development of the bio-economy and for mitigating climate change. This study aims at assessing the potential of cascading use of woody biomass for reducing GHG (greenhouse gas) emissions and increasing the overall wood flow efficiency in the European Union's forest and bioeconomy sectors. A scenario and life cycle approach was followed to quantify the potential benefits of cascading use of woody biomass. We started from a reference scenario in which (post-consumer) waste wood and paper are re-utilized for energy only (S0). Then we compared the reference scenario with two alternative scenarios, the current waste wood and paper recycling practices (S1) and the maximum technical potential to increase recycling of waste wood and paper flows (S2). Following a supply chain perspective, different stages of production were analysed, including forgone fossil-fuels substitution, optimization at manufacturing level and forest regrowth. Through cascading use, the wood use efficiency ratio (cascade factor) in the European wood sector would be increased by 23% (S0 vs S1) and 31% (S0 vs S2) and GHG emissions (cradle-to-gate energy use) would be reduced by 42% (28 MtCO(2)-eq/year) and 52% (35 MtCO(2)-eq/year) in scenarios S1 and S2. However, increased wood product cascading is counter effected in the short term by reduced savings in the energy sector by 49% and 48% (-43 and -42 MtCO(2)-eq/year) in scenarios S1 and S2 due to delayed availability of waste wood and waste paper fibers. This explorative study highlights the potential of cascading use of woody biomass in the wood production chains to contribute to a reduction of environmental impacts related to wood resource and energy use, but it also reveals trade-offs in terms of GHG emissions reduction, relevant especially in meeting short-term (2020-2030) renewable energy targets. (C) 2017 Elsevier Ltd. All rights reserved.</t>
  </si>
  <si>
    <t>10.1016/j.jclepro.2017.04.153</t>
  </si>
  <si>
    <t>Recycling (wood product cascade for less wood pruduct use or extraction)</t>
  </si>
  <si>
    <t>S1 (state of art recycling practices)</t>
  </si>
  <si>
    <t>cascades in wood products</t>
  </si>
  <si>
    <t>TABLE4</t>
  </si>
  <si>
    <t>MtCO2eq/yr</t>
  </si>
  <si>
    <t>eur</t>
  </si>
  <si>
    <t>S2 (future improved recycling practices)</t>
  </si>
  <si>
    <t>ENVIRONMENTAL PROGRESS &amp; SUSTAINABLE ENERGY</t>
  </si>
  <si>
    <t>sustainability; life cycle assessment; climate change; CO2; greenhouse gas</t>
  </si>
  <si>
    <t>LIFE-CYCLE ASSESSMENT; ENERGY; MALAYSIA; CARBON; HOUSE; WOOD</t>
  </si>
  <si>
    <t>New residential construction building and composite post and beam structure toward global warming mitigation</t>
  </si>
  <si>
    <t>The construction industry has become one of the major sources of global greenhouse gas (GHG) emissions. Therefore, low carbon buildings have been assigned for reduction of human impact on the environment. The aim of this research is to decrease the CO2 effect from the building sector by eventually proposing a new structure for Malaysian construction with regard to the needs of this industry. Life cycle assessment (LCA) has been performed to analyze the CO2 emission for the Malaysian residential single family house. Seven different materials or structures have been assessed and the result shows that timber prefabricated post and beam is the best choice due to releasing less CO2 emissions to the atmosphere. However, timber has become almost forgotten as building material for house builders in Malaysia in the last four decades. The alternative building scheme has been made by reinforced steel plate into wooden beam and column and timber wall (S8) to improve the building structure deficiency and load bearing while releasing less CO2 emissions in comparison to other buildings. New structure has been designed by steel plate sandwiched between wood members and held together with bolts in beam and post toward decreasing the percentage of improper design and to improve accuracy in the execution of timber structure. Thus, new scheme (S8) could be advised to house maker and government as a new policy to promote the sustainability in construction sector. (c) 2017 American Institute of Chemical Engineers Environ Prog, 37: 1394-1402, 2018</t>
  </si>
  <si>
    <t>Environ. Prog. Sustain. Energy</t>
  </si>
  <si>
    <t>10.1002/ep.12807</t>
  </si>
  <si>
    <t>Timber &amp; brick instead of Brick &amp; concrete 500</t>
  </si>
  <si>
    <t>Timber &amp; brick instead of Brick &amp; concrete 100</t>
  </si>
  <si>
    <t>Timber &amp; brick instead of Brick &amp; concrete 20</t>
  </si>
  <si>
    <t>Timber &amp; brick instead of Precast concrete 500 yrs</t>
  </si>
  <si>
    <t>Timber &amp; brick instead of Precast concrete 100 yrs</t>
  </si>
  <si>
    <t>Timber &amp; brick instead of Precast concrete 20 yrs</t>
  </si>
  <si>
    <t>Timber prefabricated instead of Brick &amp; concrete 500</t>
  </si>
  <si>
    <t>Timber prefabricated instead of Brick &amp; concrete 100</t>
  </si>
  <si>
    <t>Timber prefabricated instead of Precast concrete 500 yrs</t>
  </si>
  <si>
    <t>Timber prefabricated instead of Brick &amp; concrete 20</t>
  </si>
  <si>
    <t>Timber prefabricated instead of Precast concrete 100 yrs</t>
  </si>
  <si>
    <t>Timber prefabricated instead of Precast concrete 20 yrs</t>
  </si>
  <si>
    <t>Timber prefabricated instead of Brick 500 yrs</t>
  </si>
  <si>
    <t>Timber &amp; brick instead of Brick 500 yrs</t>
  </si>
  <si>
    <t>Timber prefabricated instead of Brick 100 yrs</t>
  </si>
  <si>
    <t>Timber &amp; brick instead of Brick 100 yrs</t>
  </si>
  <si>
    <t>Timber prefabricated instead of Brick 20 yrs</t>
  </si>
  <si>
    <t>Timber &amp; brick instead of Brick 20 yrs</t>
  </si>
  <si>
    <t>Timber prefabricated instead of block work 500 yrs</t>
  </si>
  <si>
    <t>Timber prefabricated instead of Steel &amp; work 500</t>
  </si>
  <si>
    <t>Timber prefabricated instead of Steel &amp; work 100</t>
  </si>
  <si>
    <t>Timber &amp; brick instead of block work 500 yrs</t>
  </si>
  <si>
    <t>Timber prefabricated instead of Steel &amp; work 20</t>
  </si>
  <si>
    <t>Timber &amp; brick instead of Steel &amp; work 500</t>
  </si>
  <si>
    <t>Timber &amp; brick instead of Steel &amp; work 100</t>
  </si>
  <si>
    <t>Timber prefabricated instead of block work 100 yrs</t>
  </si>
  <si>
    <t>Timber &amp; brick instead of Steel &amp; work 20</t>
  </si>
  <si>
    <t>Timber prefabricated instead of block work 20 yrs</t>
  </si>
  <si>
    <t>Timber &amp; brick instead of block work 100 yrs</t>
  </si>
  <si>
    <t>Timber &amp; brick instead of block work 20 yrs</t>
  </si>
  <si>
    <t>JOURNAL OF ENVIRONMENTAL MANAGEMENT</t>
  </si>
  <si>
    <t>Biodiversity; Carbon; Climate change; Forest management; Simulation; Water</t>
  </si>
  <si>
    <t>DECISION-SUPPORT SYSTEM; FOREST-MANAGEMENT; ECOSYSTEM SERVICES; SEQUESTRATION; YIELD; WOOD; UNCERTAINTY; HARVEST; IMPACTS; STRATEGIES</t>
  </si>
  <si>
    <t>Baskent, EZ</t>
  </si>
  <si>
    <t>Exploring the effects of climate change mitigation scenarios on timber, water, biodiversity and carbon values: A case study in Pozanti planning unit, Turkey</t>
  </si>
  <si>
    <t>This study evaluated the performance of three climate change mitigation management scenarios; business as usual (BAU), low intensity management (LIM) and high intensity management (HIM) to provide ecosystem services. ETCAP simulation model was used to forecast forest development for Pozanti area with 17,603 ha forests in Turkey. Wood production, biodiversity conservation, carbon sequestration and water provision were the primary ecosystem services. The species composition, natural composition, key habitats and understory vegetation are maintained and small forest openings were left intact for wildlife. Some forest areas were allowed to develop older to provide better opportunities of biodiversity conservation. The increase of carbon stock was related to age class shifts to older stages due mainly to increasing afforestation areas and productivity. The marginal differences in total carbon balance were related to a smaller increase in volume increment in BAU scenario and a higher allocation of harvest to energy production for the LIM and HIM scenarios. The planning scenarios allowed better production of water runoffs with slight differences among the output of management scenarios. The prevailing variable was the areas of afforestation. The impacts of a forest management scenario on ecosystem services highly depend on the development rate and intensity of management interventions.</t>
  </si>
  <si>
    <t>J. Environ. Manage.</t>
  </si>
  <si>
    <t>10.1016/j.jenvman.2019.03.024</t>
  </si>
  <si>
    <t>Many simultaneous driver changes. According to theconclusions, afforested areas is the most important one</t>
  </si>
  <si>
    <t>LIM</t>
  </si>
  <si>
    <t>Cumulated harvest (tC/ha)</t>
  </si>
  <si>
    <t>Turkey</t>
  </si>
  <si>
    <t>(Sathre and O'Connor et al., 2010; Oliver et al.,2014)</t>
  </si>
  <si>
    <t>Changed to cumulated values</t>
  </si>
  <si>
    <t>fix boundaries, forest stock / forest stock+HWP/+substitution</t>
  </si>
  <si>
    <t>HIM</t>
  </si>
  <si>
    <t>CARBON MANAGEMENT</t>
  </si>
  <si>
    <t>Germany; forestry; carbon sequestration; substitution effects; scenario analysis</t>
  </si>
  <si>
    <t>CARBON SEQUESTRATION; WOOD; PRODUCT</t>
  </si>
  <si>
    <t>Bosch, M; Elsasser, P; Rock, J; Weimar, H; Dieter, M</t>
  </si>
  <si>
    <t>Extent and costs of forest-based climate change mitigation in Germany: accounting for substitution</t>
  </si>
  <si>
    <t>The objective of this study is to quantify the contribution of the German forestry to climate change mitigation and to calculate the associated costs at the national level. For that, the forest and harvested wood products carbon pools are considered as well as energy and material substitution. We compare five different scenarios, each referring to an alternative level of timber harvests (due to changing rotation lengths or setting aside of forest areas). The study shows that enhancing the use of wood products at the expense of other materials, such as steel, plastic or concrete, can have a substantial impact on the overall carbon balance.</t>
  </si>
  <si>
    <t>Carbon Manag.</t>
  </si>
  <si>
    <t>10.1080/17583004.2018.1560194</t>
  </si>
  <si>
    <t>Mobilizing +5% of  area (opposite ref as paper)</t>
  </si>
  <si>
    <t>Scenario 4</t>
  </si>
  <si>
    <t>Scenario 0</t>
  </si>
  <si>
    <t>harvested volume</t>
  </si>
  <si>
    <t>fig1</t>
  </si>
  <si>
    <t>Mm3 under bark cumulated over period</t>
  </si>
  <si>
    <t>MtCO2</t>
  </si>
  <si>
    <t>Germany</t>
  </si>
  <si>
    <t>Fix sequestration sign and extract cumulated values</t>
  </si>
  <si>
    <t>10% increase in timber harvest (opposite ref as paper)</t>
  </si>
  <si>
    <t>Scenario 3</t>
  </si>
  <si>
    <t>Ruter S. Projection of net emissions from harvested wood products in European countries: for the period 2013–2020. Work Report 2011/1 of the Institute of Wood Technology and Wood Biology. Hamburg: Johann Heinrich von Th€unen-Institut (2011).</t>
  </si>
  <si>
    <t>Knauf M, K€ohl M, Mues V, Olschofsky K, Fr€uhwald A. Modeling the CO2-effects of forest management and wood usage on a regional basis. Carbon Balance Manage. 10, 13 (2015).</t>
  </si>
  <si>
    <t>Harvesting age decreased by ~17 years to reach lower standing stock: following the protocol, the original ref scenario is used as "alternative" and opposite values of deltas are retained.</t>
  </si>
  <si>
    <t>Scenario 1</t>
  </si>
  <si>
    <t>Diameter threshold for harvesting decreased by 10 cm (opposite ref as paper)</t>
  </si>
  <si>
    <t>Scenario 2</t>
  </si>
  <si>
    <t>JOURNAL OF THE FACULTY OF FORESTRY-ISTANBUL UNIVERSITY</t>
  </si>
  <si>
    <t>Climate change mitigation; national GHG inventory; harvested wood products</t>
  </si>
  <si>
    <t>CLIMATE-CHANGE MITIGATION; FOREST ECOSYSTEMS; BIOMASS</t>
  </si>
  <si>
    <t>Bouyer, O; Serengil, Y</t>
  </si>
  <si>
    <t>Carbon stored in harvested wood products in Turkey and projections for 2020</t>
  </si>
  <si>
    <t>Turkey is an Annex-I country under the United Nations Framework Convention on Climate Change (UNFCCC) and therefore submits its Greenhouse gases (GHG) emissions and removals from anthropogenic sources to the UNFCCC secretariat on an annual basis, through a National GHG Inventory Report (NIR). GHG emissions and removals from Land Use, Land Use and Forestry (LULUCF) constitute one of the main sectors in this report. One of the major land use categories in this sector is Forestland, and harvests in this category must be considered as a direct GHG emission to the atmosphere, unless the fate of the Harvested Wood Products (HWP) is reported. In this study, we estimated the carbon sequestration in the HWP category of the Turkish NIR, according to the 2006 Guidelines for GHG inventory in the Agriculture, Forestry and Other Land Use (AFOLU) sector, from the International Panel of Experts on Climate Change (IPCC). This is the first time such an estimate of carbon stocks and carbon stock changes in the HWP pool has been carried out in Turkey. The calculation has been done in Tier 2. We used United Nations Economic Commission for Europe (UNECE) Timber database disaggregated figures for HWP produced in Turkey from 1964 to 2013. We focused on the two main HWP categories, which are sawnwood and wood-based panels. Comparing UNECE data series with Orman Genel Mfidtirlfigil (OGM, the Republic of Turkey, General Directorate of Forestry) data series for industrial roundwood over 1976-2013 (starting date for OGM data series), we noticed some anomalies (with UNECE data series as a basis: max: + 47%, min = -2 3%, mean = + 16%). Thus, the UNECE data on sawnwood and wood based panels were corrected based on OGM data. These anomalies could be due to: (i) use of volume over bark for UNECE and volume under bark for OGM (+ 15% for volume over bark), and (ii) integration of industrial roundwood coming from the private sector for UNECE. In order to ensure coherence, we then corrected the 1976-2013 UNECE data series for sawnwood and wood-based panels production taking into account for each year the percentage of anomaly. However, from 1976 to 1982, the anomalies are much reduced (-1% in average), which allow using the UNECE data series from 1964 to 1975. We estimated the average share of each HWP over the last ten years: 4 8% for sawnwood and 38% for wood-based panels. The 14% of other HWP are not considered in the analysis, either because they are short-lived products or marginal or difficult to estimate. A projection of HWP has been done until 2020 based on 2 alternative scenarios based on OGM strategy documents: intensive harvesting and extensive harvesting. For each scenario, intensive vs extensive, we disaggregated the 2013-2020 volume of industrial roundwood into the two HWPs, using the calculated percentages. The results of our analysis revealed that the HWP pool can add 3.14 Gg C02 eq yr(-1) additional removal to LULUCF sector in the GHG inventory of Turkey for 2013 compared to 1990. The amount of contribution is estimated to rise up to 13.70 Mt CO2 eq yr-, and 10.99 Mt C02 eq yr(-1) for intensive and extensive scenarios that are developed based on OGM strategic plans in 2020.</t>
  </si>
  <si>
    <t>J. Fac. For.-Istanb. Univ.</t>
  </si>
  <si>
    <t>10.17099/jffiu.48603</t>
  </si>
  <si>
    <t xml:space="preserve">harvest level including thinnings. Seems like the dimensions of the harvested wood have an effect on wood use and product life span </t>
  </si>
  <si>
    <t>extensive</t>
  </si>
  <si>
    <t>intensive harvest (Fig 2)</t>
  </si>
  <si>
    <t>Harvest</t>
  </si>
  <si>
    <t>Mm3</t>
  </si>
  <si>
    <t>Gg CO2 eq</t>
  </si>
  <si>
    <t>Fix data pair to record effect of driver and not time evolution</t>
  </si>
  <si>
    <t>CARBON MANAGEMENT, TECHNOLOGIES, AND TRENDS IN MEDITERRANEAN ECOSYSTEMS</t>
  </si>
  <si>
    <t>Climate change; Mitigation; Cost-benefit analysis; Kyoto Protocol; LULUCF</t>
  </si>
  <si>
    <t>Cost-Benefit Assessment of Implementing LULUCF Accounting Rules in Turkey</t>
  </si>
  <si>
    <t>Turkey is an Annex 1 Party with Specific circumstances because it has the fastest population growth rate among the Organization for Economic Cooperation and Development (OECD) countries and lowest per capita energy-related CO2 emissions among the International Energy Agency (IEA) countries. In addition, all national indicators show that Turkey is in fact a developing country. It was deleted from Annex 2 of the United Nations Framework Convention on Climate Change (UNFCCC) and not included in the Annex B of the first term of the Kyoto Protocol (KP1). In the context of preparation of a 2015 multilateral treaty on climate change, which would enter into force in 2020, differentiation between Annex 1 and non-Annex 1 Parties may be revisited, and it seems useful to explore the possible consequences of such a reclassification. Accordingly, this study aims at providing a neutral cost/benefit assessment of implementing Land Use, Land Use Change and Forestry (LULUCF) accounting rules in Turkey in the future, as one possible scenario. The rationale for this assessment is based on a technical and objective deduction and does not in any way pre-empt the national positions put forward by Turkey in the climate negotiations or any possible COP decision that may determine its future classification, considering its specific circumstances. Turkey started reporting LULUCF under the Climate Convention in 2006. Presently, the LULUCF sink (made of a forest sink for its bigger part) is estimated to offset 12 % of Turkey's total greenhouse emissions. For afforestation/reforestation (A/R) (Article 3.3), the objectives of the 2014-2017 OGM (General Directorate of Forestry Turkish abbreviation) Strategic Plan were considered. For forest management (FM) (Article 3.4), two alternative scenarios were considered: 90 Mm3 of roundwood harvest between 2013 and 2017 (intensive harvest) and 25 Mm3/year of felling (industrial round wood) harvest by 2020 (extensive harvest). The corresponding volumes of firewood, felling and total round wood were forecast accordingly from 2013 to 2020. The carbon credits or Removal Units (RMUs) for Article 3.3 ARD and Article 3.4 FM (including the carbon storage in harvested wood products) were estimated using the guidelines from the intergovernmental panel of experts on climate change and taking into account the upgraded LULUCF rules. For Article 3.3, it was estimated that 119.4 million RMUs could be generated between 2013 and 2020, which is more than twice the maximum amount of RMUs to be generated under Article 3.4 FM. The total economic values (TEVs) of Turkey's forests have been estimated based on recent studies and then used to calculate benefits. Taking into account the recent European Union (EU) market price (Kyoto market) or the recent forest carbon price (Kyoto and voluntary markets), carbon benefits are reduced in all scenarios compared with other values included in the TEV of the forest. If we consider the carbon shadow price (i.e. the recommended carbon price from 2011 to 2050, to achieve the EU target of reducing GHG emissions fourfold by 2050), it is worth noting that the situation is quite different: for the 3.4 FM areas and mainly for 3.3 ARD areas, the carbon benefits are substantial. However, this price level is still far from attainable as negotiations stand now, unless the international community is able to adopt a strong political commitment in coming years.</t>
  </si>
  <si>
    <t>Article; Book Chapter</t>
  </si>
  <si>
    <t>10.1007/978-3-319-45035-3_8</t>
  </si>
  <si>
    <t>Increased harvest</t>
  </si>
  <si>
    <t>Text and figure 8.16 &amp; 8.17</t>
  </si>
  <si>
    <t>Figure 8,18</t>
  </si>
  <si>
    <t>MtCO2/yr</t>
  </si>
  <si>
    <t>carbon storage; GHG accounting; mitigation measures; harvested wood products</t>
  </si>
  <si>
    <t>AREA INCREMENT MODEL; CARBON; SECTOR; IMPACTS; STORAGE</t>
  </si>
  <si>
    <t>Braun, M; Fritz, D; Weiss, P; Braschel, N; Buchsenmeister, R; Freudenschuss, A; Gschwantner, T; Jandl, R; Ledermann, T; Neumann, M; Polz, W; Schadauer, K; Schmid, C; Schwarzbauer, P; Stern, T</t>
  </si>
  <si>
    <t>A holistic assessment of greenhouse gas dynamics from forests to the effects of wood products use in Austria</t>
  </si>
  <si>
    <t>Anthropogenic GHG emissions add a fast reinforcing feedback cycle to global carbon dynamics which continues to influence GHG concentrations in the Earth's atmosphere. When looking at forest carbon cycles there is potential in utilizing another feedback cycle, namely the carbon cycle involving harvested wood products. To assess the potential of the mitigation options arising from these carbon flows, the forest-based sector in Austria was modelled to assess causal links, dependencies and dynamics involved in GHG-relevant processes. Carbon dynamics were investigated in forests and forest soil carbon, the forest product chain and life-cycle analyses for substitution of conventional products with wood products in a cascade of different modelling approaches and paradigms, and the results synthesized. It was found that material use of products from domestic timber sources has the highest climate change mitigation efficiency when originating from sustainably managed forests regarding biomass stocks. The emissions saved through building up a carbon stock from harvested wood products and through emissions substitution can be as high as similar to 20 years of total annual Austrian emissions in 90 years. Additional conservation measures while sustaining sawnwood production and the related GHG benefits at a high level had the highest contribution to an overall carbon sink.</t>
  </si>
  <si>
    <t>10.1080/17583004.2016.1230990</t>
  </si>
  <si>
    <t>managed area</t>
  </si>
  <si>
    <t>scenario 2</t>
  </si>
  <si>
    <t>m3 utilized wood</t>
  </si>
  <si>
    <t>Gm3</t>
  </si>
  <si>
    <t>GtCO2-eq</t>
  </si>
  <si>
    <t>VB_changed</t>
  </si>
  <si>
    <t>policy type</t>
  </si>
  <si>
    <t>1a</t>
  </si>
  <si>
    <t>1b</t>
  </si>
  <si>
    <t>1c</t>
  </si>
  <si>
    <t>no driver</t>
  </si>
  <si>
    <t>FORESTRY</t>
  </si>
  <si>
    <t>Forestry</t>
  </si>
  <si>
    <t>million m3</t>
  </si>
  <si>
    <t>lumber</t>
  </si>
  <si>
    <t>FORESTRY CHRONICLE</t>
  </si>
  <si>
    <t>For. Chron.</t>
  </si>
  <si>
    <t>MtC</t>
  </si>
  <si>
    <t>FOREST ECOLOGY AND MANAGEMENT</t>
  </si>
  <si>
    <t>Carbon storage; Climate change mitigation; Forest management; Harvesting; Natural disturbance; Sustainability</t>
  </si>
  <si>
    <t>CANADIAN BOREAL FOREST; FIRE SUPPRESSION; CARBON STOCKS; WOOD PRODUCTS; MANAGEMENT; DISTURBANCE; REGIMES; FUTURE; DYNAMICS; HISTORY</t>
  </si>
  <si>
    <t>Colombo, SJ; Chen, JX; Ter-Mikaelian, MT; McKechnie, J; Elkie, PC; MacLean, HL; Heath, LS</t>
  </si>
  <si>
    <t>Forest protection and forest harvest as strategies for ecological sustainability and climate change mitigation</t>
  </si>
  <si>
    <t>An important consideration in forest management to mitigate climate change is the balance between forest carbon (C) storage and ecological sustainability. We explore the effects of management strategies on tradeoffs between forest C stocks and ecological sustainability under five scenarios, three of which included management and two scenarios which provide baselines emulating the natural forest. Managed forest scenarios were: (a) Protection (PROT), i.e., management by suppression of natural disturbance and harvest exclusion; (b) Harvest at a higher rate removing all sustainably available wood (HHARV); (c) Harvest at the lower historical average rate of harvest, AHARV. Both harvest scenarios reflected current forest management practices in the study area, including suppression of natural disturbance and a large (&gt;20% of total) forest area reserved from harvest. Scenarios (d) and (e) simulated natural forest with unsuppressed fire at higher (NDH) or lower (NDL) levels and no harvest. Ecological sustainability was evaluated using a coarse filter approach where forest age class and tree species composition were indicators of condition. The study area encompassed 3.4 million hectares of forest in northeastern Ontario at the interface between the temperate hardwood and boreal forest zones. Future forest condition for each scenario was modeled using a timber supply model (SFMM), and C stored in forests and wood products were estimated using the FORCARB-ON model. Forest protection (PROT) resulted in greatest forest C stocks, especially in the near term, but was within 95% of its maximum, becoming saturated within 30 years. Harvesting (HHARV and AHARV) resulted in less forest C stock compared to PROT, however, after 100 years of adding C in wood products to that in regenerating forests total C storage was equivalent or greater than forest C with PROT. In contrast, removing management (NDH and NDL) decreased C relative to any of the management regimes, though in NDL the decrease was delayed for 30 years compared to HHARV. Forest sustainability measured by similarity to natural forest age class was superior with HHARV and AHARV compared to PROT, although no management regime produced a fully natural result. PROT in particular largely lacked younger age classes. All management regimes produced species composition that was near or within the range of natural variation. This analysis provides an example of the types of tradeoffs that can be considered in evaluating the contribution of forests to climate change mitigation, either in a commercial forestry context or in an approach based on protected areas. Crown Copyright (C) 2012 Published by Elsevier B.V. All rights reserved.</t>
  </si>
  <si>
    <t>For. Ecol. Manage.</t>
  </si>
  <si>
    <t>10.1016/j.foreco.2012.06.016</t>
  </si>
  <si>
    <t>forest management</t>
  </si>
  <si>
    <t>Protection</t>
  </si>
  <si>
    <t>AHARV Lower harvest rate</t>
  </si>
  <si>
    <t>C stock of wood-in-use + in landfill</t>
  </si>
  <si>
    <t>TgC</t>
  </si>
  <si>
    <t>Fixed conversion Qwood</t>
  </si>
  <si>
    <t>HHARV Higher harvest rate</t>
  </si>
  <si>
    <t>natural disturbance rate</t>
  </si>
  <si>
    <t>Higher natural disturbance rate</t>
  </si>
  <si>
    <t>Lower natural disturbance rate</t>
  </si>
  <si>
    <t>JOURNAL OF FOREST ECONOMICS</t>
  </si>
  <si>
    <t>Forest sector; climate change; carbon balance; climate warming mitigation; bio-economic model</t>
  </si>
  <si>
    <t>LAND-USE CHANGE; WOOD-BASED ENERGY; CARBON SEQUESTRATION; RESPONSE FUNCTIONS; ECONOMIC-IMPACTS; TREE MORTALITY; US FORESTS; EUROPE; MODELS; BIOENERGY</t>
  </si>
  <si>
    <t>Delacote, P; Lobianco, A; Caurla, S; Bontemps, JD; Lungarska, A; Merian, P; Riviere, M; Barkaoui, A</t>
  </si>
  <si>
    <t>The Loop Effect: How Climate Change Impacts the Mitigation Potential of the French Forest Sector</t>
  </si>
  <si>
    <t>Objectives: Evaluate the capacity of temperate forest resources to both provide climate change mitigation and to sustain the downstream timber sector explicitly considering the cascade of biophysical and economic drivers (in particular, climate change impacts and subsequent adaptation actions) and their uncertainty. Methodology: A recursive bio-economic model of French forest resources, management, and timber markets has been coupled for this study with spatial statistical models of forest response to climate change long-term scenarios and land-use change. Main Results: (a) Climate change impacts on tree mortality are greater than those on tree growth variations; (b) Due to increasing competition with agriculture, climate change may reverse current trends in forest area expansion; (c) Due to rising average tree sizes, volume growth strongly declines over time and may eventually cease within the next century; (d) Future climate change impacts already have strong consequences on today's forest investment profitability; (e) The relative importance of forest substitution over forest sequestration increases as the timeframe increases; (f) While the forest sector has the potential to counterbalance a significant share of the national carbon emissions, this potential is threatened by climate change and the need to adapt to it. Profit-driven forest management does increase mitigation; (g) Uncertainty derived from using different climatic models over the same IPCC storyline has the same order of magnitude as the uncertainty derived from using the same climatic model under different storylines.</t>
  </si>
  <si>
    <t>J. For. Econ.</t>
  </si>
  <si>
    <t>10.1561/112.00000522</t>
  </si>
  <si>
    <t>forest area dynamics</t>
  </si>
  <si>
    <t>arpege_a1b</t>
  </si>
  <si>
    <t>arpege_a1b_carea</t>
  </si>
  <si>
    <t>Lobianco et al., 2016</t>
  </si>
  <si>
    <t>forest owners expectations</t>
  </si>
  <si>
    <t>arpege_a1b_fullexp</t>
  </si>
  <si>
    <t>risk aversion</t>
  </si>
  <si>
    <t>arpege_a1b_nora</t>
  </si>
  <si>
    <t>adaptive management</t>
  </si>
  <si>
    <t>arpege_a1b_nomgm</t>
  </si>
  <si>
    <t>driver changed to species</t>
  </si>
  <si>
    <t>climate change</t>
  </si>
  <si>
    <t>constant</t>
  </si>
  <si>
    <t>LLP</t>
  </si>
  <si>
    <t>ECOLOGICAL APPLICATIONS</t>
  </si>
  <si>
    <t>carbon emissions; climate change mitigation; forest carbon; harvested wood products; United States Climate Alliance; Vermont forests</t>
  </si>
  <si>
    <t>CLIMATE-CHANGE MITIGATION; CONTERMINOUS UNITED-STATES; LAND-COVER DATABASE; OLD-GROWTH FORESTS; CARBON SEQUESTRATION; NEW-ENGLAND; MANAGEMENT; BIOENERGY; PRODUCTIVITY; METAANALYSIS</t>
  </si>
  <si>
    <t>Dugan, AJ; Lichstein, JW; Steele, A; Metsaranta, JM; Bick, S; Hollinger, DY</t>
  </si>
  <si>
    <t>Opportunities for forest sector emissions reductions: a state-level analysis</t>
  </si>
  <si>
    <t>The forest sector can play a significant role in climate change mitigation. We evaluated forest sector carbon trends and potential mitigation scenarios in Vermont using a systems-based modeling framework that accounts for net emissions from all forest sector components. These components comprise (1) the forest ecosystem, including land-use change, (2) harvested wood products (HWP), and (3) substitution effects associated with using renewable wood-based products and fuels in place of more emission-intensive materials and fossil fuel-based energy. We assessed baseline carbon trends from 1995 through 2050 using a business as usual (BAU) scenario. Emission reductions associated with different forest management and HWP scenarios were evaluated relative to the BAU scenario from 2020 to 2050. We estimated uncertainty for each forest sector component and used a Monte Carlo approach to estimate the distribution of cumulative total mitigation for each scenario relative to baseline. Our analysis indicates that the strength of the forest sector carbon sink in Vermont has been declining and will continue to decline over coming decades under the BAU scenario. However, several scenarios evaluated here could be effective in reducing emissions and enhancing carbon uptake. Shifting HWP to longer-lived commodities resulted in a 14% reduction in net cumulative emissions by 2050, the largest reduction of all scenarios. A scenario that combined extending harvest rotations, utilizing additional harvest residues for bioenergy, and increasing forest productivity resulted in a 12% reduction in net cumulative emissions. Shifting commodities from pulp and paper to bioenergy showed a 7.3% reduction in emissions. In contrast, shortening rotations to increase harvests for bioenergy use resulted in a 5.5% increase in emissions. In summary, model simulations suggest that net emissions could be reduced by up to 14% relative to BAU, depending on the management and HWP-use scenario. Combining multiple scenarios could further enhance reductions. However, realizing the full climate mitigation potential of these forests may be challenging due to socioeconomic barriers to implementation, as well as alternative management objectives that must be considered along with carbon sequestration.</t>
  </si>
  <si>
    <t>Ecol. Appl.</t>
  </si>
  <si>
    <t>10.1002/eap.2327</t>
  </si>
  <si>
    <t>Productivity+residue+ExtendedRotation</t>
  </si>
  <si>
    <t>Portfolio</t>
  </si>
  <si>
    <t>HWP (final product)</t>
  </si>
  <si>
    <t>Smyth et al.2017</t>
  </si>
  <si>
    <t>Leskinen et al. 2018</t>
  </si>
  <si>
    <t>ExtendRotation</t>
  </si>
  <si>
    <t>ShortRot</t>
  </si>
  <si>
    <t>Increased fertility through unspecified practices including genetics</t>
  </si>
  <si>
    <t>Productivity</t>
  </si>
  <si>
    <t>HWP proportions</t>
  </si>
  <si>
    <t>IncreaseBioenergy</t>
  </si>
  <si>
    <t>Residue removal</t>
  </si>
  <si>
    <t>Residue</t>
  </si>
  <si>
    <t>More to bioenergy</t>
  </si>
  <si>
    <t>ShortRotBio</t>
  </si>
  <si>
    <t>FOREST POLICY AND ECONOMICS</t>
  </si>
  <si>
    <t>Climate change; Forest adaption; Economic trade-offs; Forest carbon</t>
  </si>
  <si>
    <t>ECOSYSTEM MODEL ANALYSIS; CLIMATE-CHANGE; CARBON SEQUESTRATION; ADAPTIVE MANAGEMENT; DISCOUNT RATE; WHITE SPRUCE; GROWTH; TIMBER; PRODUCTIVITY; BOREAL</t>
  </si>
  <si>
    <t>Dymond, CC; Giles-Hansen, K; Asante, P</t>
  </si>
  <si>
    <t>The forest mitigation-adaptation nexus: Economic benefits of novel planting regimes</t>
  </si>
  <si>
    <t>Previous studies have examined the economic trade-offs of climate change mitigation in forestry. However, most have not explicitly accounted for the impact of climate change on productivity or the value of carbon sequestration when considering the higher costs of adaptive planting. Here we build on previous studies from northwestern Canada, using the Woodstock optimization model to assess the economic trade-offs of the standard and two adaptive planting regimes under historical climate and a severe climate change scenario. We considered planting and harvesting costs and revenue from timber and carbon sequestration over 100 years. The analyses were done at a forest level using a continuous production process to identify the best combination of stand-level management to achieve multiple objectives, because that is consistent with strategic decision-making on public land in North America. Our results showed there are potential negative risks from climate change to: harvest volumes, net present value, growing stock, and ecosystem carbon sinks. Despite increased regeneration costs, we found some risk mitigation through adaptive planting, with the greatest benefits through diversification which had higher net present value, growing stock and ecosystem carbon than historic climate with standard stocking. This was a result of planting more valuable species, higher growth rates in mixed stands, and adaption of novel species to new climates. Adaptation through novel planting regimes is a cog-effective forest management strategy that can potentially offset some negative impacts of climate change.</t>
  </si>
  <si>
    <t>Forest Policy Econ.</t>
  </si>
  <si>
    <t>10.1016/j.forpol.2020.102124</t>
  </si>
  <si>
    <t>Species change</t>
  </si>
  <si>
    <t>GovStockingStand</t>
  </si>
  <si>
    <t>DouglasFir</t>
  </si>
  <si>
    <t>Harvest volume</t>
  </si>
  <si>
    <t>Diversity</t>
  </si>
  <si>
    <t>boreal forest; carbon credits; timber supply; market incentives; sustainable forest management; optimization; Carbon Budget Model of the Canadian Forest Sector (CBM-CFS3); Woodstock Forest Management Model</t>
  </si>
  <si>
    <t>NATURAL FORESTS; CLIMATE-CHANGE; BUDGET MODEL; SEQUESTRATION; TIMBER; DYNAMICS; BIOMASS; SECTOR; SCALE; STRATEGIES</t>
  </si>
  <si>
    <t>Elgie, S; McCarney, GR; Adamowicz, WL</t>
  </si>
  <si>
    <t>Assessing the implications of a carbon market for boreal forest management</t>
  </si>
  <si>
    <t>Canada's forests particularly the boreal-are a major storehouse of carbon. How they are managed could significantly affect Canada's greenhouse gas emissions while also presenting a new revenue source for forest managers. This study attempts to assess how a carbon price could affect forest management, particularly in Canada's boreal plains region. An integrated modelling approach is developed to incorporate both forest carbon and timber supply considerations within an optimal management framework. This modelling approach allows for consideration of alternative market and regulatory scenarios, along with a range of possible management intensity and harvest scheduling options over the landscape. The overall conclusion is that carbon incentives will increase the value of the boreal forest potentially quite significantly and will generally encourage management changes consistent with sustainable forest management practices.</t>
  </si>
  <si>
    <t>10.5558/tfc2011-027</t>
  </si>
  <si>
    <t>C price</t>
  </si>
  <si>
    <t>$25/tC</t>
  </si>
  <si>
    <t>$9/tC</t>
  </si>
  <si>
    <t>Cumulated harvest volume</t>
  </si>
  <si>
    <t>$1/tC</t>
  </si>
  <si>
    <t>$0/tC</t>
  </si>
  <si>
    <t>Environmental impacts; Renewable energy policy; Forest-wood chain; Climate change mitigation; Life cycle assessment; Alpine region</t>
  </si>
  <si>
    <t>LIFE-CYCLE ASSESSMENT; ENERGY; LCA</t>
  </si>
  <si>
    <t>Elisa, P; Alessandro, P; Andrea, A; Silvia, B; Mathis, P; Dominik, P; Manuela, R; Francesca, T; Voglar, GE; Tine, G; Nike, K; Thomas, S</t>
  </si>
  <si>
    <t>Environmental and climate change impacts of eighteen biomass-based plants in the alpine region: A comparative analysis</t>
  </si>
  <si>
    <t>In the energy and climate policy commitments of the European Union, the following targets have been foreseen up to 2030: reducing the greenhouse gas emissions of 40%, improving the energy conversion efficiency of 27%, and producing 27% of the energy from renewable energy sources. Nowadays, thanks to the development of reliable and efficient technologies, several possibilities exist to replace fossil fuels with renewable energy sources, such as wind power, solar, hydropower, geothermal, and biomass. In the Alpine region, biomass can play a key role for achieving the objectives foreseen by the EU policy strategy. In the last few years, due to the high available potentials of residues from forestry operations and sawmill processing, the Alpine region witnessed the development of centralized biomass district heating plants. The aim of the present study is to assess the environmental impacts of 18 biomass-based plants located in the Alpine region using a Life Cycle Assessment approach and to analyse the current market destination of the wood residues. The data were collected through face-to-face interviews with the stakeholders of the forest-wood supply chain (managers of biomass-based plant, sawmills, forest owners and enterprises). From the environmental point of view, the results of the Life Cycle Assessment (global climate change impact: 5-90 gCO(2) MJ(-1)) show that the critical points in the forest-wood supply chain are: the transport phase (1-54 gCO(2) MJ(-1)) and the wood processing phase (6-36 gCO(2) MJ(-1)). The results provided by Life Cycle Assessment can be used to increase the scientific knowledge of the environmental impacts related to the biomass conversion technology and to underline the weak points of the forest-wood supply chain. Furthermore, these results can support the decision makers in defining climate change mitigation strategies at regional and local level. (c) 2019 Elsevier Ltd. All rights reserved.</t>
  </si>
  <si>
    <t>10.1016/j.jclepro.2019.118449</t>
  </si>
  <si>
    <t xml:space="preserve">comparison of several biomass -based plants </t>
  </si>
  <si>
    <t>B</t>
  </si>
  <si>
    <t>C</t>
  </si>
  <si>
    <t>annual feedstock consumption</t>
  </si>
  <si>
    <t>fig.6</t>
  </si>
  <si>
    <t>fig7 x table3</t>
  </si>
  <si>
    <t>-7.0181175</t>
  </si>
  <si>
    <t>-20.604</t>
  </si>
  <si>
    <t>Eur</t>
  </si>
  <si>
    <t>-6.9106425</t>
  </si>
  <si>
    <t>-20.4226666666667</t>
  </si>
  <si>
    <t>D</t>
  </si>
  <si>
    <t>-18.6530153333333</t>
  </si>
  <si>
    <t>-18.4790944444444</t>
  </si>
  <si>
    <t>E</t>
  </si>
  <si>
    <t>-165.625</t>
  </si>
  <si>
    <t>-163.541666666667</t>
  </si>
  <si>
    <t>M</t>
  </si>
  <si>
    <t>-46.75</t>
  </si>
  <si>
    <t>-45.9861111111111</t>
  </si>
  <si>
    <t>A</t>
  </si>
  <si>
    <t>-11.2152777777778</t>
  </si>
  <si>
    <t>-10.9777777777778</t>
  </si>
  <si>
    <t>-0.107475</t>
  </si>
  <si>
    <t>-0.2375</t>
  </si>
  <si>
    <t>-0.173920888888889</t>
  </si>
  <si>
    <t>-0.181333333333333</t>
  </si>
  <si>
    <t>-0.763888888888889</t>
  </si>
  <si>
    <t>-2.08333333333333</t>
  </si>
  <si>
    <t>H</t>
  </si>
  <si>
    <t>-111.331133333333</t>
  </si>
  <si>
    <t>-109.302833333333</t>
  </si>
  <si>
    <t>-82.3375</t>
  </si>
  <si>
    <t>-80.7916666666667</t>
  </si>
  <si>
    <t>F</t>
  </si>
  <si>
    <t>-23.1756055833333</t>
  </si>
  <si>
    <t>P</t>
  </si>
  <si>
    <t>-25.5630416666667</t>
  </si>
  <si>
    <t>-22.7498070555556</t>
  </si>
  <si>
    <t>-25.0408333333333</t>
  </si>
  <si>
    <t>N</t>
  </si>
  <si>
    <t>-101.474383333333</t>
  </si>
  <si>
    <t>O</t>
  </si>
  <si>
    <t>-25.9134608</t>
  </si>
  <si>
    <t>-99.1751666666667</t>
  </si>
  <si>
    <t>-25.4376486666667</t>
  </si>
  <si>
    <t>G</t>
  </si>
  <si>
    <t>-437.095</t>
  </si>
  <si>
    <t>-429.4</t>
  </si>
  <si>
    <t>I</t>
  </si>
  <si>
    <t>-208.041166666667</t>
  </si>
  <si>
    <t>L</t>
  </si>
  <si>
    <t>-127.730146116667</t>
  </si>
  <si>
    <t>-197.041288888889</t>
  </si>
  <si>
    <t>-122.760463888889</t>
  </si>
  <si>
    <t>Q</t>
  </si>
  <si>
    <t>-19.7333333333333</t>
  </si>
  <si>
    <t>-18.2222222222222</t>
  </si>
  <si>
    <t>-2.0283</t>
  </si>
  <si>
    <t>S</t>
  </si>
  <si>
    <t>-0.338888888888889</t>
  </si>
  <si>
    <t>-1.54583333333333</t>
  </si>
  <si>
    <t>-0.522208333333333</t>
  </si>
  <si>
    <t>-1.51111111111111</t>
  </si>
  <si>
    <t>-2.29921666666667</t>
  </si>
  <si>
    <t>T</t>
  </si>
  <si>
    <t>-0.219777777777778</t>
  </si>
  <si>
    <t>-0.425798527777778</t>
  </si>
  <si>
    <t>-0.475812133333333</t>
  </si>
  <si>
    <t>-10.9998777777778</t>
  </si>
  <si>
    <t>-7.695</t>
  </si>
  <si>
    <t>-4.96968222777778</t>
  </si>
  <si>
    <t>-2.95</t>
  </si>
  <si>
    <t>-2.61111111111111</t>
  </si>
  <si>
    <t>-2.55491666666667</t>
  </si>
  <si>
    <t>-2.33513888888889</t>
  </si>
  <si>
    <t>Plywood</t>
  </si>
  <si>
    <t>Circular Economy; Time-dependency; Global Warming Potential (GWP); Dynamic life cycle assessment (LCA); Quality; Resource cascading</t>
  </si>
  <si>
    <t>LIFE-CYCLE ASSESSMENTS; IMPACT ASSESSMENT; BIOMASS RESOURCES; ENERGY; PRODUCTS; CARBON; LCA; OPTIMIZATION; EFFICIENCY; INVENTORY</t>
  </si>
  <si>
    <t>Faraca, G; Tonini, D; Astrup, TF</t>
  </si>
  <si>
    <t>Dynamic accounting of greenhouse gas emissions from cascading utilisation of wood waste</t>
  </si>
  <si>
    <t>Cascading utilisation of post-consumer wood waste has recently gained increasing attention in the European Union, aiming for a society in which the resource's properties are optimized through sequential uses. To date, material utilisation of wood waste has been limited to particleboard production, with additional niche alternatives being restricted by quality requirements for wood waste. In this consequential life cycle assessment focusing on post-consumer wood collected at Danish recycling centres, Global Warming Potential (GWP) impacts from quality-driven choices for cascading management of wood waste were compared with those from handling mixed wood waste qualities. GWPs were modelled by considering the dynamic profile of greenhouse gas emissions (including biogenic carbon dioxide) for two time horizons (100 and 500 years). The robustness of the results was tested by varying modelling assumptions with respect to electricity system, wood sourcing and associated rotation period, and impacts from indirect land use changes. The results demonstrated that valuing quality over quantity in wood waste management can ensure larger GWP savings, especially if recycling applications have a long lifetime and/or substitute energy-intensive products; such results were confirmed under all scenario analyses. Inclusion of land use changes credited land-intensive products. More cascade steps of the wood waste resource ensured larger savings; however, assumptions on the electricity mix, on the source of the wood alongside the choice of the time horizon for GWP greatly influenced the results on cascading management. (c) 2018 Elsevier B.V. All rights reserved.</t>
  </si>
  <si>
    <t>10.1016/j.scitotenv.2018.10.136</t>
  </si>
  <si>
    <t>Technical efficiency</t>
  </si>
  <si>
    <t>A1</t>
  </si>
  <si>
    <t>Supplementary E</t>
  </si>
  <si>
    <t>Denmark</t>
  </si>
  <si>
    <t>Czarnecki et al. 2005; Höglmeier et al., 2014;  Kim and Song, 2014;  Vis et al., 2016</t>
  </si>
  <si>
    <t>Lifespan</t>
  </si>
  <si>
    <t>C1 (50 years floor board)</t>
  </si>
  <si>
    <t>B1 (10 years)</t>
  </si>
  <si>
    <t>A1 (10 years floor board)</t>
  </si>
  <si>
    <t>Change in number of cascades</t>
  </si>
  <si>
    <t>B4</t>
  </si>
  <si>
    <t>wood recycled</t>
  </si>
  <si>
    <t>A4</t>
  </si>
  <si>
    <t>C1</t>
  </si>
  <si>
    <t>C4</t>
  </si>
  <si>
    <t>F1</t>
  </si>
  <si>
    <t>Forest carbon pool; Harvested wood product carbon pool; Methane emissions; Sessile oak; Forest management; Fossil fuel substitution</t>
  </si>
  <si>
    <t>LIFE-CYCLE ANALYSIS; ROTATION LENGTH; BEECH STANDS; SEQUESTRATION; DECOMPOSITION; SUBSTITUTION; INVENTORIES; EMISSIONS; BIOENERGY; SYSTEMS</t>
  </si>
  <si>
    <t>Fortin, M.; Ningre, F.; Robert, N; Mothe, F.</t>
  </si>
  <si>
    <t>Quantifying the impact of forest management on the carbon balance of the forest-wood product chain: A case study applied to even-aged oak stands in France</t>
  </si>
  <si>
    <t>In this study, we evaluated three different management scenarios in relation to their ability to maximize the carbon balance. The study was carried out within a context of managed even-aged sessile oak stands, and the management scenarios were contrasted in terms of stem density and rotation length. A system of models designed to represent the whole forest-wood product chain was used to assess the carbon balance of each scenario. The boundaries of this system were extended as far as possible to prevent any carbon leaks. Dead organic matter and disposed harvested wood products (HWPs) were taken into account in the assessment. The scenarios were compared in terms of their average stock in the forest and the HWP carbon pools, as well as some additional fluxes. These included: (i) substitution for fossil fuel; (ii) carbon emissions due to HWP processing; (iii) the accumulation of non-degradable carbon in the landfill; and (iv) methane emissions resulting from anaerobic decomposition of disposed HWPs. Results showed that the HWP carbon pools were about 10 times smaller than the forest carbon pools. The substitution for fossil fuel constituted the largest positive flux, whereas methane emissions in absence of methane recovery facilities accounted for 40% of the negative fluxes. The burning of wood products for energy was preferable to HWP disposal at the landfill site. As long as the risk of extreme climate events remains marginal, management scenarios that maintain higher stem densities over longer rotation lengths appeared to be favorable to carbon sequestration. (C) 2012 Elsevier B.V. All rights reserved.</t>
  </si>
  <si>
    <t>10.1016/j.foreco.2012.05.031</t>
  </si>
  <si>
    <t>Stand density</t>
  </si>
  <si>
    <t>low</t>
  </si>
  <si>
    <t>Standard</t>
  </si>
  <si>
    <t>MgC ha-1 CO2 eq</t>
  </si>
  <si>
    <t>Petersen Raymer (2006, see Table 14)</t>
  </si>
  <si>
    <t>Petersen and Solberg (2005)</t>
  </si>
  <si>
    <t>high</t>
  </si>
  <si>
    <t>Biomass; Co-firing; Coal; Energy crops; Great Lakes States; Greenhouse gas mitigation; Life Cycle Assessment; Sequestration</t>
  </si>
  <si>
    <t>UNITED-STATES; SEQUESTRATION; ENERGY; SOIL; DIVERSITY; CROPS; LAND; CO2</t>
  </si>
  <si>
    <t>Froese, RE; Shonnard, DR; Miller, CA; Koers, KP; Johnson, DM</t>
  </si>
  <si>
    <t>An evaluation of greenhouse gas mitigation options for coal-fired power plants in the US Great Lakes States</t>
  </si>
  <si>
    <t>We assessed options for mitigating greenhouse gas emissions from electricity generation in the US Great Lakes States, a region heavily dependent on coal-fired power plants. A proposed 600 MW power plant in northern Lower Michigan, USA provided context for our evaluation. Options to offset fossil CO2 emissions by 20% included biomass fuel substitution from (1) forest residuals, (2) short-rotation woody crops, or (3) switchgrass; (4) biologic sequestration in forest plantations; and (5) geologic sequestration using CO2 capture. Review of timber product output data, land cover data, and expected energy crop productivity on idle agriculture land within 120 km of the plant revealed that biomass from forestry residuals has the potential to offset 6% and from energy crops 27% of the annual fossil fuel requirement. Furthermore, annual forest harvest in the region is only 26% of growth and the surplus represents a large opportunity for forest products and bioenergy applications. We used Life Cycle Assessment (LCA) to compare mitigation options, using fossil energy demand and greenhouse gas emissions per unit electricity generation as criteria. LCA results revealed that co-firing with forestry residuals is the most attractive option and geologic sequestration is the least attractive option, based on the two criteria. Biologic sequestration is intermediate but likely infeasible because of very large land area requirements. Our study revealed that biomass feedstock potentials from land and forest resources are not limiting mitigation activities, but the most practical approach is likely a combination of options that optimize additional social, environmental and economic criteria. (C) 2009 Elsevier Ltd. All rights reserved.</t>
  </si>
  <si>
    <t>Biomass Bioenerg.</t>
  </si>
  <si>
    <t>10.1016/j.biombioe.2009.10.013</t>
  </si>
  <si>
    <t>Residues used for energy</t>
  </si>
  <si>
    <t>Short rotation wood</t>
  </si>
  <si>
    <t>Wood used</t>
  </si>
  <si>
    <t>kgCO2eq/kWh</t>
  </si>
  <si>
    <t>Fixed conversion</t>
  </si>
  <si>
    <t>forest products; global warming potential (GWP); industrial ecosystem; environmental assessment; life cycle assessment (LCA); carbon sequestration</t>
  </si>
  <si>
    <t>LIFE-CYCLE ASSESSMENT; IMPACT ASSESSMENT; BUILDING-MATERIALS; TEMPORARY-STORAGE; BIOGENIC CARBON; GREENHOUSE-GAS; ENERGY IMPACTS; MANAGEMENT; SYSTEMS; METRICS</t>
  </si>
  <si>
    <t>Ganguly, I; Pierobon, F; Hall, ES</t>
  </si>
  <si>
    <t>Global Warming Mitigating Role of Wood Products from Washington State's Private Forests</t>
  </si>
  <si>
    <t>Similar to standing trees in the forests, wood products play an important role in enhancing the global sequestered carbon pool, by retaining the atmospheric carbon in a sequestered form for the duration of the functional life of the wood products. This study uses a temporal radiative forcing analysis along with the functional half-life of different wood products to evaluate the impacts of wood products on global warming, including carbon storage and life cycle greenhouse gas production/extraction emissions. The methodology is applied to Washington State's aboveground biomass and timber harvest data, and to the State's comprehensive wood products mix. A moderate harvest rate simulation within Washington Biomass Calculator is used to estimate state harvest level, and statewide wood products manufacturing data is used for developing wood product mix estimates. Using this method, we estimate that the temporal carbon storage leads to a global warming mitigation benefit equivalent to 4.3 million tCO(2eq). Even after factoring in the greenhouse gas emissions associated with the harvest operations and wood products manufacturing processes, within the temporal model, the results show a net beneficial impact of approximately 1.7 million tCO(2eq), on an annual basis. It can further be noted that Washington State's annual biomass growth in its private forests exceeds its annual harvest, by a significant margin. This net yearly accumulation of biomass in the State's private forests leads to additional global warming mitigation benefits equivalent to 7.4 million tCO(2eq). Based on these results, we conclude that Washington's private forestry industry is a net global warming mitigator for the State, equivalent to 12% of the State's greenhouse gas emissions in 2015.</t>
  </si>
  <si>
    <t>10.3390/f11020194</t>
  </si>
  <si>
    <t>economic area</t>
  </si>
  <si>
    <t>Puget sound</t>
  </si>
  <si>
    <t>Olympic peninsula</t>
  </si>
  <si>
    <t>total harvest</t>
  </si>
  <si>
    <t>table 2</t>
  </si>
  <si>
    <t>bone-dry tons</t>
  </si>
  <si>
    <t>fig.5</t>
  </si>
  <si>
    <t>changed driver. Wood use is not a scenario because they are interlinked. Switched to location as a driver. Added the "without emissions" data</t>
  </si>
  <si>
    <t>inland empire</t>
  </si>
  <si>
    <t>LIFE-CYCLE ASSESSMENT; ENVIRONMENTAL PERFORMANCE; RESIDENTIAL CONSTRUCTION; ENERGY-CONSUMPTION; EMISSIONS; IMPACTS; SECTOR; DOORS</t>
  </si>
  <si>
    <t>Geng, AX; Chen, JX; Yang, HQ</t>
  </si>
  <si>
    <t>Assessing the Greenhouse Gas Mitigation Potential of Harvested Wood Products Substitution in China</t>
  </si>
  <si>
    <t>Substituting harvested wood products (HWP) for greenhouse gas (GHG) intensive nonwood materials in long-lived end uses has the potential to significantly reduce GHG emissions. To determine the mitigation effects of HWP substitution, we produced China-specific wood displacement factors (DFs) by HWP end use subcategory, defined as tonnes of carbon (tC) of reduced emissions per tC contained by the HWP substituted for typical alternative nonwood materials. The weighted average DFs for substituting HWP for nonwood materials in construction and furniture production in China were estimated to be 3.48 tC/tC and 1.36 tC/tC, respectively, or 2.90 tC/tC for HWP substitution when these two sectors were combined. If annual solid HWP consumption in China increased by 10% on the basis of 2014 consumption (an increase of 25.9 million m(3) of HWP) and these HWP were used to substitute for GHG-intensive materials in construction and furniture production, 18.76 Mt C of emission reduction can be achieved annually. Substituting HWP for nonwood materials in construction appeared to be more effective than in furniture manufacture in mitigating GHG emissions. Our study suggested that increasing HWP use in China, especially in the construction industry to substitute for nonwood materials can significantly contribute to China's emission reduction targets.</t>
  </si>
  <si>
    <t>10.1021/acs.est.8b06510</t>
  </si>
  <si>
    <t>material substitution</t>
  </si>
  <si>
    <t>dining room furniture</t>
  </si>
  <si>
    <t>HWP mass consumed in the material assembly</t>
  </si>
  <si>
    <t>kg/unit</t>
  </si>
  <si>
    <t>kgCO2eq/unit</t>
  </si>
  <si>
    <t>tonnes of carbon (tC) of reduced emissions per tC contained by the HWP substituted for typical alternative nonwood materials.</t>
  </si>
  <si>
    <t>added driver category and entered wood and emissions data.</t>
  </si>
  <si>
    <t>kitchen furniture</t>
  </si>
  <si>
    <t>bedroom furniture</t>
  </si>
  <si>
    <t>living room furniture</t>
  </si>
  <si>
    <t>urban bungalow brick-concrete</t>
  </si>
  <si>
    <t>tCO2eq/m2</t>
  </si>
  <si>
    <t>rural bungalow brick-concrete</t>
  </si>
  <si>
    <t>urban 4/6 stories brick-concrete</t>
  </si>
  <si>
    <t>urban 2/3 stories brick-concrete</t>
  </si>
  <si>
    <t>rural 2/3 stories brick-concrete</t>
  </si>
  <si>
    <t>urban bungalow reinforced-concrete</t>
  </si>
  <si>
    <t>other furniture</t>
  </si>
  <si>
    <t>Nonresidential brick-concrete</t>
  </si>
  <si>
    <t>urban 4/6 stories reinforced-concrete</t>
  </si>
  <si>
    <t>urban 2/3 stories reinforced-concrete</t>
  </si>
  <si>
    <t>office furniture</t>
  </si>
  <si>
    <t>Nonresidential reinforced-concrete</t>
  </si>
  <si>
    <t>AGROFORESTRY SYSTEMS</t>
  </si>
  <si>
    <t>ethanol; greenhouse gas; renewable energy; wood waste</t>
  </si>
  <si>
    <t>AGRICULTURAL LANDS; WESTERN CANADA; FEASIBILITY; ETHANOL; TREES</t>
  </si>
  <si>
    <t>Graham, PJ</t>
  </si>
  <si>
    <t>Potential for climate change mitigation through afforestation: an economic analysis of fossil fuel substitution and carbon sequestration benefits</t>
  </si>
  <si>
    <t>The impetus for this paper is Canada's commitment under the Kyoto Protocol to reduce national greenhouse gas emissions as well as reducing dependency on fossil fuels. This research assesses the economic viability of using biomass from afforested lands and industrial wood waste as a feedstock for ethanol production to substitute for fossil fuels in the transportation sector. Afforestation can increase the size of the carbon sink and also provide a source of renewable energy. Ethanol offers an excellent opportunity for greenhouse gas mitigation due to market potential, an ability to offset significant emissions from the transportation sector, and reduce emissions from CO2-intensive waste-management systems. A case study of the economics of a hypothetical ethanol production facility found that a facility capable of producing 122 million litres of ethanol annually could have a net present value of CDN$245 million over a planning horizon of 36 years. This facility would require a supply of up to 960 oven-dry tonnes of wood-biomass per day and would result in net annual reductions of greenhouse gas emissions of approximately 349,000 tonnes of CO2. This includes the carbon sequestered through the afforestation as well as emissions avoided through fossil fuel substitution. Using biomass from afforested lands and industrial wood waste as a fuel for energy production can be an economically viable tool for reducing greenhouse gas levels in the atmosphere, reducing reliance on fossil fuels and reducing the sensitivity of transportation fuel prices to changes in gasoline prices.</t>
  </si>
  <si>
    <t>Agrofor. Syst.</t>
  </si>
  <si>
    <t>Article; Proceedings Paper</t>
  </si>
  <si>
    <t>10.1023/A:1026145321640</t>
  </si>
  <si>
    <t>ethanol production plant</t>
  </si>
  <si>
    <t>no plant</t>
  </si>
  <si>
    <t>ethanol plant</t>
  </si>
  <si>
    <t>tonnes CO2</t>
  </si>
  <si>
    <t>Not specified, listed in table A1</t>
  </si>
  <si>
    <t>fixed timeunit consistency (annual)</t>
  </si>
  <si>
    <t>EARTHS FUTURE</t>
  </si>
  <si>
    <t>forest management; climate change mitigation; substitution effects; climate-smart forestry; ecosystem services; robust optimization</t>
  </si>
  <si>
    <t>GREENHOUSE-GAS CONCENTRATIONS; SHORT-ROTATION COPPICE; LPJ-GUESS V4.0; VEGETATION DYNAMICS; ECOSYSTEM SERVICES; LAND-USE; BIOMASS PRODUCTIVITY; CARBON SEQUESTRATION; UNMANAGED FORESTS; MANAGEMENT</t>
  </si>
  <si>
    <t>Gregor, K; Knoke, T; Krause, A; Reyer, CPO; Lindeskog, M; Papastefanou, P; Smith, B; Lanso, AS; Rammig, A</t>
  </si>
  <si>
    <t>Trade-Offs for Climate-Smart Forestry in Europe Under Uncertain Future Climate</t>
  </si>
  <si>
    <t>Forests mitigate climate change by storing carbon and reducing emissions via substitution effects of wood products. Additionally, they provide many other important ecosystem services (ESs), but are vulnerable to climate change; therefore, adaptation is necessary. Climate-smart forestry combines mitigation with adaptation, whilst facilitating the provision of many ESs. This is particularly challenging due to large uncertainties about future climate. Here, we combined ecosystem modeling with robust multi-criteria optimization to assess how the provision of various ESs (climate change mitigation, timber provision, local cooling, water availability, and biodiversity habitat) can be guaranteed under a broad range of climate futures across Europe. Our optimized portfolios contain 29% unmanaged forests, and implicate a successive conversion of 34% of coniferous to broad-leaved forests (11% vice versa). Coppices practically vanish from Southern Europe, mainly due to their high water requirement. We find the high shares of unmanaged forests necessary to keep European forests a carbon sink while broad-leaved and unmanaged forests contribute to local cooling through biogeophysical effects. Unmanaged forests also pose the largest benefit for biodiversity habitat. However, the increased shares of unmanaged and broad-leaved forests lead to reductions in harvests. This raises the question of how to meet increasing wood demands without transferring ecological impacts elsewhere or enhancing the dependence on more carbon-intensive industries. Furthermore, the mitigation potential of forests depends on assumptions about the decarbonization of other industries and is consequently crucially dependent on the emission scenario. Our findings highlight that trade-offs must be assessed when developing concrete strategies for climate-smart forestry.</t>
  </si>
  <si>
    <t>Earth Future</t>
  </si>
  <si>
    <t>10.1029/2022EF002796</t>
  </si>
  <si>
    <t>management type</t>
  </si>
  <si>
    <t>unmanaged</t>
  </si>
  <si>
    <t>base</t>
  </si>
  <si>
    <t>harvest</t>
  </si>
  <si>
    <t>m3/ha/yr (summed over all years)</t>
  </si>
  <si>
    <t>mitigation table4</t>
  </si>
  <si>
    <t>kgC/m2 (convert to /ha)</t>
  </si>
  <si>
    <t>Knauf et al., 2015</t>
  </si>
  <si>
    <t>C-pool table4</t>
  </si>
  <si>
    <t>toNe</t>
  </si>
  <si>
    <t>toBd</t>
  </si>
  <si>
    <t>base RCP4.5</t>
  </si>
  <si>
    <t>base RCP6.0</t>
  </si>
  <si>
    <t>table4 and tableS4</t>
  </si>
  <si>
    <t>mitigation table4 and tableS4</t>
  </si>
  <si>
    <t>unmanaged RCP4.5</t>
  </si>
  <si>
    <t>unmanaged RCP6.0</t>
  </si>
  <si>
    <t xml:space="preserve">Gustavsson, L., Holmberg, J., Dornburg, V., Sathre, R., Eggers, T., Mahapatra, K., &amp; Marland, G. </t>
  </si>
  <si>
    <t xml:space="preserve"> Using biomass for climate change mitigation and oil use reduction</t>
  </si>
  <si>
    <t xml:space="preserve"> Energy policy</t>
  </si>
  <si>
    <t>10.1016/j.enpol.2007.05.023</t>
  </si>
  <si>
    <t>energy technology used</t>
  </si>
  <si>
    <t>wood-frame building</t>
  </si>
  <si>
    <t>biomass cost of co2avoided. Text gives 400kgdrymatter/m3 and 15.3GJ/tonne dry matter</t>
  </si>
  <si>
    <t>power plant coal</t>
  </si>
  <si>
    <t>BLGCC</t>
  </si>
  <si>
    <t>diesel</t>
  </si>
  <si>
    <t>BLG DME</t>
  </si>
  <si>
    <t>DME</t>
  </si>
  <si>
    <t>gasoline</t>
  </si>
  <si>
    <t>methanol</t>
  </si>
  <si>
    <t>fuel oil lime kiln</t>
  </si>
  <si>
    <t>bark lime kiln</t>
  </si>
  <si>
    <t>gas boiler</t>
  </si>
  <si>
    <t>medium scale wood boiler</t>
  </si>
  <si>
    <t>small scale oil boiler</t>
  </si>
  <si>
    <t>pellet boiler</t>
  </si>
  <si>
    <t>biomass. Given in heating value with assumption of 15.3GJ/tonne and 400kg dry matter/m3</t>
  </si>
  <si>
    <t>DH gas CHP</t>
  </si>
  <si>
    <t>DH-BIG/CC CHP</t>
  </si>
  <si>
    <t>industrial space heating, oil boiler</t>
  </si>
  <si>
    <t>small scale gas boiler</t>
  </si>
  <si>
    <t>heat pump with bio-electricity</t>
  </si>
  <si>
    <t>Power-BIG/CC CHP</t>
  </si>
  <si>
    <t>heat plant base-load oil</t>
  </si>
  <si>
    <t>electric resistance</t>
  </si>
  <si>
    <t>electric boiler</t>
  </si>
  <si>
    <t>forest management models; carbon sink; forest harvest; forest reference level; production forests; multifunctional forests; set-aside forests</t>
  </si>
  <si>
    <t>IRREGULAR SHELTERWOOD SYSTEM; ECOSYSTEM SERVICES; IMPACTS; SUPPORT; CLIMATE; SINK</t>
  </si>
  <si>
    <t>Gusti, M; Di Fulvio, F; Biber, P; Korosuo, A; Forsell, N</t>
  </si>
  <si>
    <t>The Effect of Alternative Forest Management Models on the Forest Harvest and Emissions as Compared to the Forest Reference Level</t>
  </si>
  <si>
    <t>Background and Objectives: Under the Paris Agreement, the European Union (EU) sets rules for accounting the greenhouse gas emissions and removals from forest land (FL). According to these rules, the average FL emissions of each member state in 2021-2025 (compliance period 1, CP1) and in 2026-2030 (compliance period 2, CP2) will be compared to a projected forest reference level (FRL). The FRL is estimated by modelling forest development under fixed forest management practices, based on those observed in 2000-2009. In this context, the objective of this study was to estimate the effects of large-scale uptake of alternative forest management models (aFMMs), developed in the ALTERFOR project (Alternative models and robust decision-making for future forest management), on forest harvest and forest carbon sink, considering that the proposed aFMMs are expanded to most of the suitable areas in EU27+UK and Turkey. Methods: We applied the Global Forest Model (G4M) for projecting the harvest and sink with the aFMMs and compared our results to previous FRL projections. The simulations were performed under the condition that the countries should match the harvest levels estimated for their FRLs as closely as possible. A representation of such aFMMs as clearcut, selective logging, shelterwood logging and tree species change was included in G4M. The aFMMs were modeled under four scenarios of spatial allocation and two scenarios of uptake rate. Finally, we compared our results to the business as usual. Results: The introduction of the aFMMs enhanced the forest sink in CP1 and CP2 in all studied regions when compared to the business as usual. Conclusions: Our results suggest that if a balanced mixture of aFMMs is chosen, a similar level of wood harvest can be maintained as in the FRL projection, while at the same time enhancing the forest sink. In particular, a mixture of multifunctional aFMMs, like selective logging and shelterwood, could enhance the carbon sink by up to 21% over the ALTERFOR region while limiting harvest leakages.</t>
  </si>
  <si>
    <t>10.3390/f11080794</t>
  </si>
  <si>
    <t>Balanced forestry (all aFMMs are allowed equally, for trying to achieve a harvest close to the BAU-only case);</t>
  </si>
  <si>
    <t>Thousand m3 / year</t>
  </si>
  <si>
    <t>MtCO2 per year</t>
  </si>
  <si>
    <t>correct sign of Cdelta that is negative is the study, small change in wood harvest because objective is to see the effect of a change in harvest type for similar harvest level</t>
  </si>
  <si>
    <t>Multifunctional forestry (aFMMs aimed at multifunctional forest use, including selective logging, high production aimed forest management with untouched patches (hereinafter referred to as EU habitats) or with species change are prioritized)</t>
  </si>
  <si>
    <t>correct sign of Cdelta that is negative is the study</t>
  </si>
  <si>
    <t>Set-aside forestry (aimed at biodiversity, wilderness, restoration, stand edge management and other nature protection low-intensity management).</t>
  </si>
  <si>
    <t>Production forestry (alternative FMMs aimed at wood production, i.e., clearcut and shelterwood logging are prioritized)</t>
  </si>
  <si>
    <t>building structures; construction; cross&amp;#8208; laminated timber (CLT); embodied carbon; life cycle assessment (LCA); material efficiency</t>
  </si>
  <si>
    <t>Hart, J; D'Amico, B; Pomponi, F</t>
  </si>
  <si>
    <t>Whole-life embodied carbon in multistory buildings: Steel, concrete and timber structures</t>
  </si>
  <si>
    <t>Buildings and the construction industry are top contributors to climate change, and structures account for the largest share of the upfront greenhouse gas emissions. While a body of research exists into such emissions, a systematic comparison of multiple building structures in steel, concrete, and timber alternatives is missing. In this article, comparisons are made between mass and whole-life embodied carbon (WLEC) emissions of building superstructures using identical frame configurations in steel, reinforced concrete, and engineered timber frames. These are assessed and compared for 127 different frame configurations, from 2 to 19 stories. Embodied carbon coefficients for each material and life cycle stage are represented by probability density functions to capture the uncertainty inherent in life cycle assessment. Normalized results show clear differences between the masses of the three structural typologies, with the concrete frame approximately five times the mass of the timber frame, and 50% higher than the steel frame. The WLEC emissions are mainly governed by the upfront emissions (cradle to practical completion), but subsequent emissions are still significant-particularly in the case of timber for which 36% of emissions, on average, occur post-construction. Results for WLEC are more closely grouped than for masses, with median values for the timber frame, concrete frame, and steel frame of 119, 185, and 228 kgCO(2)e/m(2), respectively. Despite the advantage for timber in this comparison, there is overlap between the results distributions, meaning that close attention to efficient design and procurement is essential. This article met the requirements for a gold-gold JIE data openness badge described in .</t>
  </si>
  <si>
    <t>10.1111/jiec.13139</t>
  </si>
  <si>
    <t>Changes in wood amount component in building structure</t>
  </si>
  <si>
    <t>STEEL FRAME with COMPOSITE FLOOR DECK</t>
  </si>
  <si>
    <t>GLULAM FRAME with CLT FLOOR SLABS</t>
  </si>
  <si>
    <t xml:space="preserve">Total mass timber </t>
  </si>
  <si>
    <t>See onglet Hart_2021</t>
  </si>
  <si>
    <t>Tonne / m2</t>
  </si>
  <si>
    <t>table S4</t>
  </si>
  <si>
    <t xml:space="preserve"> kgCO2e/m2  </t>
  </si>
  <si>
    <t>REINFORCED CONCRETE FRAME</t>
  </si>
  <si>
    <t>Life cycle assessment; Building design; Embodied carbon; Timber; Climate emergency</t>
  </si>
  <si>
    <t>LIFE-CYCLE ASSESSMENT; BIO-BASED MATERIALS; TEMPORARY-STORAGE; CHANGE MITIGATION; BIOGENIC CARBON; SEQUESTRATION; EMISSIONS; WOOD; LCA; CONSTRUCTION</t>
  </si>
  <si>
    <t>Hawkins, W; Cooper, S; Allen, S; Roynon, J; Ibell, T</t>
  </si>
  <si>
    <t>Embodied carbon assessment using a dynamic climate model: Case-study comparison of a concrete, steel and timber building structure</t>
  </si>
  <si>
    <t>The enormous environmental impact of construction is becoming increasingly apparent and unacceptable to many structural engineers, whose designs typically account for the majority of a building's embodied carbon. It is timely, therefore, that consensus is forming around a methodology for calculating embodied carbon. This encourages the inclusion of all life cycle stages, from material production and construction, through use and eventual demolition, disposal and reuse. In practice, however, end-of-life processes are fraught with uncertainty and often ignored, despite the potentially large associated carbon fluxes. Further uncertainty exists when considering bio-based construction materials, which store carbon during use. There are no widely-accepted means of accounting for timing of these carbon fluxes, despite the long service life of most buildings. Could we consider whole-life carbon in a more holistic and climate-focused way? This article uses dynamic life cycle assessment to convert greenhouse gas emission histories to key climate impacts using a simple dynamic model. The implications for structural design decisions are explored by comparing concrete, steel and timber options for a typical medium-rise building structure. Concrete is found to have a higher impact than steel, with the climate response of both options dominated by the large initial emissions of material production and construction. Timber has the smallest impact, for this example, under a typical scenario with sustainable forest management and re-emission of sequestered carbon at end-of-life. The analysis takes a forward-looking approach to sequestration, with timing corresponding to the growth of replanted trees. An optimistic timber scenario, whereby future carbon-capture technology avoids most end-of-life emissions, demonstrates the possibility of structures with small long-term climate cooling effects. Conversely, in a hypothetical worst-case scenario where no replanting or subsequent sequestration occurs, the long-term warming effect of the timber structure is increased by the net emission of biogenic carbon. Although end-of-life processes are important in the long-term, particularly for timber, the analysis also highlights the importance of the initial emissions from material production and construction. These cause high rates of short-term temperature increase and prolonged accumulation of radiative heat for all the buildings, but the impacts are again lowest for timber. Most importantly, the investigation shows how dynamic life cycle assessment can be used to explore climate impacts in a comprehensive, graphical and unbiased way. As a simple extension to established methodologies for calculating embodied carbon, it is a powerful decision making tool in the climate emergency.</t>
  </si>
  <si>
    <t>10.1016/j.istruc.2020.12.013</t>
  </si>
  <si>
    <t>Wood + BECCS instead of Wood Year 100</t>
  </si>
  <si>
    <t>Wood</t>
  </si>
  <si>
    <t>Wood + BECCS</t>
  </si>
  <si>
    <t>Wood + BECCS instead of Wood Year 35</t>
  </si>
  <si>
    <t>Wood + BECCS instead of Wood Year 2</t>
  </si>
  <si>
    <t>Wood instead of Wood + no replanting Year 35</t>
  </si>
  <si>
    <t>Wood + no replanting</t>
  </si>
  <si>
    <t>can be split by LCA stages</t>
  </si>
  <si>
    <t>Wood instead of Wood + no replanting Year 100</t>
  </si>
  <si>
    <t>Wood instead of Wood + no replanting Year 2</t>
  </si>
  <si>
    <t>Steel instead of Wood Year 100</t>
  </si>
  <si>
    <t>Concrete instead of Wood Year 100</t>
  </si>
  <si>
    <t>Steel instead of Wood Year 2</t>
  </si>
  <si>
    <t>Steel instead of Wood Year 35</t>
  </si>
  <si>
    <t>Concrete instead of Wood Year 2</t>
  </si>
  <si>
    <t>Concrete instead of Wood Year 35</t>
  </si>
  <si>
    <t>Harvesting intensity</t>
  </si>
  <si>
    <t>Climate change; SSP; Forestry; Agriculture</t>
  </si>
  <si>
    <t>CLIMATE-CHANGE; SCENARIOS; ASSUMPTIONS; MITIGATION; PATHWAYS; IMPACTS; CHOICES; SYSTEM; HEALTH</t>
  </si>
  <si>
    <t>Jones, JPH; Baker, JS; Austin, K; Latta, G; Wade, CM; Cai, YX; Aramayo-Lipa, L; Beach, R; Ohrel, SB; Ragnauth, S; Creason, J; Cole, J</t>
  </si>
  <si>
    <t>Importance of Cross-Sector Interactions When Projecting Forest Carbon across Alternative Socioeconomic Futures</t>
  </si>
  <si>
    <t>In recent decades, the carbon sink provided by the U.S. forest sector has offset a sizable portion of domestic greenhouse gas (GHG) emissions. In the future, the magnitude of this sink has important implications not only for projected U.S. net GHG emissions under a reference case but also for the cost of achieving a given mitigation target. The larger the contribution of the forest sector towards reducing net GHG emissions, the less mitigation is needed from other sectors. Conversely, if the forest sector begins to contribute a smaller sink, or even becomes a net source, mitigation requirements from other sectors may need to become more stringent and costlier to achieve economy wide emissions targets. There is acknowledged uncertainty in estimates of the carbon sink provided by the U.S. forest sector, attributable to large ranges in the projections of, among other things, future economic conditions, population growth, policy implementation, and technological advancement. We examined these drivers in the context of an economic model of the agricultural and forestry sectors, to demonstrate the importance of cross-sector interactions on projections of emissions and carbon sequestration. Using this model, we compared detailed scenarios that differ in their assumptions of demand for agriculture and forestry products, trade, rates of (sub)urbanization, and limits on timber harvest on protected lands. We found that a scenario assuming higher demand and more trade for forest products resulted in increased forest growth and larger net GHG sequestration, while a scenario featuring higher agricultural demand, ceteris paribus led to forest land conversion and increased anthropogenic emissions. Importantly, when high demand scenarios are implemented conjunctively, agricultural sector emissions under a high income-growth world with increased livestock-product demand are fully displaced by substantial GHG sequestration from the forest sector with increased forest product demand. This finding highlights the potential limitations of single-sector modeling approaches that ignore important interaction effects between sectors.</t>
  </si>
  <si>
    <t>10.1561/112.00000449</t>
  </si>
  <si>
    <t>Increase in patterns of urban- and suburbanization</t>
  </si>
  <si>
    <t xml:space="preserve"> SSP5-Dev</t>
  </si>
  <si>
    <t>SSP5-For</t>
  </si>
  <si>
    <t>Total Sawlog and Pulplog Supply</t>
  </si>
  <si>
    <t>See onglet Jones_2019</t>
  </si>
  <si>
    <t>See onglet Jones_2021</t>
  </si>
  <si>
    <t>t Co2</t>
  </si>
  <si>
    <t>use cumulative harvest for Qwood since C is cumulative</t>
  </si>
  <si>
    <t xml:space="preserve">Increase in domestic demand for, and international trade of, forest products </t>
  </si>
  <si>
    <t>SSP1</t>
  </si>
  <si>
    <t>Increase in domestic demand for agricultural products due to small changes in income but large shifts in dietary preferences, as well as shifts in export demand due to dietary changes</t>
  </si>
  <si>
    <t>SSP5-Ag</t>
  </si>
  <si>
    <t>TECHNOLOGICAL FORECASTING AND SOCIAL CHANGE</t>
  </si>
  <si>
    <t>Scenario analysis; Forest sector modelling; Bioeconomy; Sustainability; Employment; Climate change mitigation</t>
  </si>
  <si>
    <t>WOOD-PRODUCT MARKETS; LAND-USE CHANGE; SCENARIO ANALYSIS; CARBON-DYNAMICS; GREENHOUSE-GAS; CONSTRUCTION; ENERGY; MANAGEMENT; FUTURE; INDUSTRY</t>
  </si>
  <si>
    <t>Jonsson, R; Rinaldi, F; Pilli, R; Fiorese, G; Hurmekoski, E; Cazzaniga, N; Robert, N; Camia, A</t>
  </si>
  <si>
    <t>Boosting the EU forest-based bioeconomy: Market, climate, and employment impacts</t>
  </si>
  <si>
    <t>This study adds to the scientific literature dealing with the climate change mitigation implications of wood substitution. Its main scientific contribution rests with the modelling approach. By fully integrating forest resource and wood-product markets modelling in quantitative scenario analysis, we account for international trade in wood products as well as impacts on EU forests and forest-based sector employment of an increased EU uptake of wood-based construction and/or biochemicals and biofuels. Our results confirm the crucial role of the sawmilling industry in the forest-based bioeconomy. Thus, boosting wood-based construction in the EU would be most effective in increasing EU production and employment-in logging and solid wood-products manufacturing, but also in sectors using sawmilling byproducts as feedstock. Vertical integration in wood-based biorefineries should thus be advantageous. The positive EU climate-change mitigation effects of increased carbon storage in harvested wood products (HWP) and material substitution from increased wood construction are more than offset by reduced net forests carbon sinks by 2030, due to increased EU harvests. Further, increased EU imports, resulting in lower consumption of sawnwood outside the EU, would reduce extra-EU long-life HWP carbon storage and substitution of GHG-intensive materials, highlighting the need for concerted international climate change mitigation.</t>
  </si>
  <si>
    <t>Technol. Forecast. Soc. Chang.</t>
  </si>
  <si>
    <t>10.1016/j.techfore.2020.120478</t>
  </si>
  <si>
    <t>Harvest increase for construction (perimeter = total forest sector)</t>
  </si>
  <si>
    <t>Harvest construction</t>
  </si>
  <si>
    <t>10^3 m3</t>
  </si>
  <si>
    <t>Valade, A., Bellassen, V., Magand, C., Luyssaert, S., 2017. Sustaining the sequestration</t>
  </si>
  <si>
    <t>***</t>
  </si>
  <si>
    <t>Harvest increase for construction (perimeter = value chain only)</t>
  </si>
  <si>
    <t>Harvest increase for both construction and energy/chemistry (perimeter = total forest sector)</t>
  </si>
  <si>
    <t>Harvest construction and energy/chemistry</t>
  </si>
  <si>
    <t>Harvest increase for both construction and energy/chemistry (perimeter = value chain only)</t>
  </si>
  <si>
    <t>Harvest increase for energy/chemistry (perimeter = total forest sector)</t>
  </si>
  <si>
    <t>Harvest energy/chemistry</t>
  </si>
  <si>
    <t>Harvest increase for energy/chemistry (perimeter = value chain only)</t>
  </si>
  <si>
    <t>GHG accounting; carbon savings; material substitution; material stocks; wood construction; dynamic stock model</t>
  </si>
  <si>
    <t>GREENHOUSE-GAS DYNAMICS; LIFE-CYCLE ASSESSMENT; ENERGY; PRODUCTS; IMPACTS; SUBSTITUTION; EMISSIONS; BIOMASS</t>
  </si>
  <si>
    <t>Kalt, G</t>
  </si>
  <si>
    <t>Carbon dynamics and GHG implications of increasing wood construction: long-term scenarios for residential buildings in Austria</t>
  </si>
  <si>
    <t>Wooden construction elements often exhibit lower life cycle greenhouse gas (GHG) emissions than conventional counterparts (material substitution effect'). Moreover, the building stock represents a carbon (C) sink if timber inflows (construction) surpass outflows (demolition) (C-stock effect'). A dynamic stock model incorporating these effects is applied to quantify potential climate benefits of wood construction in Austria's residential building sector. If present trends are maintained, culminating in a wood construction share (WCS) of 50% during 2050-2100, building shells could contain three times as much C in 2100 as today. Annual timber demand for residential construction could double, but would remain well below Austria's current net exports. Compared to a baseline scenario with constant WCS (22%), cumulated GHG savings from material substitution until 2050 are estimated 2 to 4.2 Tg CO2-equivalent - clearly less than savings from C-stock expansion (9.2 Tg). Savings from both effects would double in a highly ambitious scenario (WCS=80% during 2050-2100). The applied 'Stock Change Approach' is consistent with IPCC Guidelines, but the above-mentioned savings from C-stock changes would not materialize under the current default GHG inventory accounting approach. Moreover, savings from C-stock effects must eventually be weighed against forest C-stock changes, as growing domestic demand might stimulate wood harvesting.</t>
  </si>
  <si>
    <t>10.1080/17583004.2018.1469948</t>
  </si>
  <si>
    <t>Share of wood in construction</t>
  </si>
  <si>
    <t>Baseline 22%</t>
  </si>
  <si>
    <t>Rapid increase 80%</t>
  </si>
  <si>
    <t>Hafner A, Sch€afer S. Comparative LCA study of different</t>
  </si>
  <si>
    <t>Continued increase 50%</t>
  </si>
  <si>
    <t>bioenergy; bioethanol; carbon accounting; greenhouse gas (GHG) emissions; industrial ecology; short-rotation woody crops</t>
  </si>
  <si>
    <t>PRODUCTS; MANAGEMENT</t>
  </si>
  <si>
    <t>Kayo, C; Aramaki, T; Hanaki, K</t>
  </si>
  <si>
    <t>Effect of Change of Forest Carbon Storage on Net Carbon Dioxide Balance of Wood Use for Energy in Japan</t>
  </si>
  <si>
    <t>This study analyzed the net carbon dioxide (CO(2)) emission reductions between 2005 and 2050 by using wood for energy under various scenarios of forest management and energy conversion technology in Japan, considering both CO(2) emission reductions from replacement of fossil fuels and changes in carbon storage in forests. According to our model, wood production for energy results in a significant reduction of carbon storage levels in forests (by 46% to 77% in 2050 from the 2005 level). Thus, the net CO(2) emission reduction when wood is used for energy becomes drastically smaller. Conventional tree production for energy increases net CO(2) emissions relative to preserving forests, but fast-growing tree production may reduce net CO(2) emissions more than preserving forests does. When wood from fast-growing trees is used to generate electricity with gas turbines, displacing natural gas, the net CO(2) emission reduction from the combination of fast-growing trees and electricity generation with gas turbines is about 58% of the CO(2) emission reduction from electricity generation from gas turbines alone in 2050, and an energy conversion efficiency of around 20% or more is required to obtain net reductions over the entire period until 2050. When wood is used to produce bioethanol, displacing gasoline, net reductions are realized after 2030, provided that heat energy is recovered from residues from ethanol production. These results show the importance of considering the change in carbon storage when estimating the net CO(2) emission reduction effect of the wood use for energy.</t>
  </si>
  <si>
    <t>10.1111/j.1530-9290.2010.00308.x</t>
  </si>
  <si>
    <t>ethanol from wood RT=45 years</t>
  </si>
  <si>
    <t>ethanol from wood RT=30 years</t>
  </si>
  <si>
    <t xml:space="preserve">Wood and harvest residues </t>
  </si>
  <si>
    <t>electricty from wood gaseification conventional Tree RT =45 years; P_Gas</t>
  </si>
  <si>
    <t>electricty from wood gaseification fast growing Tree RT =10 years; P_Gas</t>
  </si>
  <si>
    <t>ethanol from wood RT=10 years</t>
  </si>
  <si>
    <t>electricity from wood gaseification conventional Tree RT =30 years; P_Gas</t>
  </si>
  <si>
    <t>electricity from natural gas</t>
  </si>
  <si>
    <t>electricty from natural gas</t>
  </si>
  <si>
    <t>electricty from direct burning fast growing Tree RT =10 years; P_Steam</t>
  </si>
  <si>
    <t>electricty from combined direct burning and steam turbine fast growing Tree RT =10 years; P_Combined</t>
  </si>
  <si>
    <t>ENVIRONMENTAL SCIENCE &amp; POLICY</t>
  </si>
  <si>
    <t>Carbon stock; Fossil fuel consumption; Future scenario analysis; Harvested wood products; Inter-regional flow</t>
  </si>
  <si>
    <t>US FOREST SECTOR; SEQUESTRATION; MANAGEMENT</t>
  </si>
  <si>
    <t>Kayo, C; Tsunetsugu, Y; Noda, H; Tonosaki, M</t>
  </si>
  <si>
    <t>Carbon balance assessments of harvested wood products in japan taking account of inter-regional flows</t>
  </si>
  <si>
    <t>We constructed a model to assess the carbon balance of harvested wood products (HWP) used for building, furniture, paper/paperboard and energy, taking into account flows of wood between regions of Japan. We projected the carbon balance in each region until 2050 under two future scenarios, a BAU (business as usual) scenario and a wood use promotion scenario. We found the carbon stock in domestic harvested wood products became a carbon emission source, with Central Japan becoming the largest emission source, after 2020 in the BAU scenario but continued to function as a carbon sink in every region over the whole period in the wood promotion scenario. Therefore, unless future supply and demand amounts of domestic wood are increased by factors such as policies promoting the use of wood, the carbon stock of domestic wood may become an emission source rather than a sink. By promoting the use of domestic wood, the carbon stock acts as a carbon sink in every region. Carbon emissions from fossil fuel consumption with respect to HWP in the whole of Japan fell to 72% of the 2004 value in 2050 in the BAU scenario, but rose to 112% in the wood promotion scenario. Emissions from wood transport were greatest in Central Japan, emissions from sawn wood processing were highest in West Japan, and emissions from plywood processing and woodchip processing were greatest in East Japan. In carbon balances that included the annual changes in the carbon stock amounts of domestic harvested wood, only Central Japan in the wood promotion scenario had carbon removals greater than its carbon emissions from fossil fuel consumption in the years 2005-2045. In addition, when considering reductions in carbon emissions by substitution of fossil fuels with wood residues and waste wood in the carbon balances, the sum of the removals from carbon stock changes and the reductions of carbon emissions were greater than the carbon emissions associated with HWP over the entire period in all three regions in both scenarios. (C) 2013 Elsevier Ltd. All rights reserved.</t>
  </si>
  <si>
    <t>Environ. Sci. Policy</t>
  </si>
  <si>
    <t>10.1016/j.envsci.2013.09.006</t>
  </si>
  <si>
    <t>Amounts of wood used increases in the future in accordance with policies promoting supply and demand for wood</t>
  </si>
  <si>
    <t>Production</t>
  </si>
  <si>
    <t>m3/year</t>
  </si>
  <si>
    <t>bioenergy; calculation tool; carbon balance; decomposition; ecosystem; life cycle; sustainability</t>
  </si>
  <si>
    <t>GREENHOUSE-GAS EMISSIONS; CLIMATE-CHANGE; TEMPERATURE SENSITIVITY; NORWAY SPRUCE; CARBON STOCKS; SOIL; BIOFUELS; ENERGY; TIMBER; MANAGEMENT</t>
  </si>
  <si>
    <t>Kilpelainen, A; Alam, A; Strandman, H; Kellomaki, S</t>
  </si>
  <si>
    <t>Life cycle assessment tool for estimating net CO2 exchange of forest production</t>
  </si>
  <si>
    <t>The study describes an integrated impact assessment tool for the net carbon dioxide (CO2) exchange in forest production. The components of the net carbon exchange include the uptake of carbon into biomass, the decomposition of litter and humus, emissions from forest management operations and carbon released from the combustion of biomass and degradation of wood-based products. The tool enables the allocation of the total carbon emissions to the timber and energy biomass and to the energy produced on the basis of biomass. In example computations, ecosystem model simulations were utilized as an input to the tool. We present results for traditional timber production (pulpwood and saw logs) and integrated timber and bioenergy production (logging residues, stumps and roots) for Norway spruce, in boreal conditions in Finland, with two climate scenarios over one rotation period. The results showed that the magnitude of management related emissions on net carbon exchange was smaller when compared with the total ecosystem fluxes; decomposition being the largest emission contributor. In addition, the effects of management and climate were higher on the decomposition of new humus compared with old humus. The results also showed that probable increased biomass growth, obtained under the changing climate (CC), could not compensate for decomposition and biomass combustion related carbon loss in southern Finland. In our examples, the emissions allocated for the energy from biomass in southern Finland were 172 and 188 kg CO2 MW h(-1) in the current climate and in a CC, respectively, and 199 and 157 kg CO2 MW h(-1) in northern Finland. This study concludes that the tool is suitable for estimating the net carbon exchange of forest production. The tool also enables the allocation of direct and indirect carbon emissions, related to forest production over its life cycle, in different environmental conditions and for alternative time periods and land uses. Simulations of forest management regimes together with the CC give new insights into ecologically sustainable forest bioenergy and timber production, as well as climate change mitigation options in boreal forests.</t>
  </si>
  <si>
    <t>10.1111/j.1757-1707.2011.01101.x</t>
  </si>
  <si>
    <t>supply chain</t>
  </si>
  <si>
    <t>traditional timber production regime Southern Finland</t>
  </si>
  <si>
    <t>integrated timber Southern Finland</t>
  </si>
  <si>
    <t xml:space="preserve">Quantity of logs, pulp and energy wood harvested </t>
  </si>
  <si>
    <t>g CO2eq/m2/year</t>
  </si>
  <si>
    <t>traditional timber production regime Northern Finland</t>
  </si>
  <si>
    <t>integrated timber Northern Finland</t>
  </si>
  <si>
    <t>climate change mitigation; carbon offset in forest projects; harvested wood products; substitution effects; unmanaged forests</t>
  </si>
  <si>
    <t>OLD-GROWTH FORESTS; SOIL CARBON; EUROPEAN BEECH; DEAD WOOD; DYNAMICS; STORAGE; SEQUESTRATION; DECOMPOSITION; BUDGET; STOCKS</t>
  </si>
  <si>
    <t>Klein, D; Hollerl, S; Blaschke, M; Schulz, C</t>
  </si>
  <si>
    <t>The Contribution of Managed and Unmanaged Forests to Climate Change Mitigation-A Model Approach at Stand Level for the Main Tree Species in Bavaria</t>
  </si>
  <si>
    <t>Forestry-based carbon sequestration projects demand a comprehensive quantification of the different climate change mitigation effects. In our study, we modeled a life cycle of managed pure stands consisting of the four main tree species in Bavaria (spruce, pine, beech and oak). For spruce and beech, an unmanaged stand was additionally integrated in order to analyze the differences in climate change mitigation effects compared to the managed stands. We developed a climate change mitigation model, where stand development and silvicultural treatments including harvested timber volumes were conducted using the tree growth model Silva 2.3. The harvested wood products (HWP), including their substitution effects were calculated with a subsequent model. For unmanaged beech forests, we compiled measured data from the literature, and Bavarian strict forest reserves for validating our model results. The results for the managed stands reveal that spruce provides the highest total climate change mitigation effects. After a simulation period of 180 years, one hectare leads to a mean mitigation benefit of 13.5 Mg CO2 ha(-1) year(-1). In comparison, results for pine, beech and oak reveal lesser benefits with 10.1 Mg CO2 ha(-1) year(-1), 9.1 Mg CO2 ha(-1) year(-1) and 7.2 Mg CO2 ha(-1) year(-1), respectively. However, these results assume current growing conditions. Considering climate change, it is very likely that spruce will not be suitable in several regions of Bavaria in the future. Furthermore, excessive disturbances could affect spruce more drastically than the other tree species. In that case, the order could change and beech could exceed spruce. Thus the results cannot be seen as a general recommendation to establish spruce stands in order to achieve optimal climate change mitigation benefits. Nevertheless, results for spruce illustrate that high increment and especially wood use in long-lived products is crucial for high climate change mitigation effects. Mitigation effects in unmanaged spruce and beech stands do not differ in the first decades from their managed counterparts, but are below them in the long term with a total climate change mitigation benefit of 8.0 Mg CO2 ha(-1) year(-1) and 7.2 Mg CO2 ha(-1) year(-1), respectively. These differences are mainly caused by the missing substitution effects in the unmanaged stands. However, the precise dimensions of substitution effects still remain uncertain and the lack of data should be reduced via additional life cycle assessments for more products and product classes. However, neglecting substitution effects in climate change mitigation models leads to severe underestimations of the mitigation effects in managed forests.</t>
  </si>
  <si>
    <t>10.3390/f4010043</t>
  </si>
  <si>
    <t>Presence of active forest management</t>
  </si>
  <si>
    <t>No management</t>
  </si>
  <si>
    <t>With management</t>
  </si>
  <si>
    <t>Harvesting of HWP cumulated over the 180 year period</t>
  </si>
  <si>
    <t>0.675 Mg CO2 m−3: Köhl, M.; Frühwald, A.; Kenter, B.; Olschofsky, K.; Köhler, R.; Köthke, M.; Rüter, S.;
Pretzsch, H.; Rötzer, T.; Makeschin, F.; et al. Potential und Dynamik der Kohlenstoffspeicherung
in Wald und Holz: Beitrag des deutschen Forst- und Holzsektors zum Klimaschutz. vTI Agric. For.
Res. Sonderheft 2009, 327, 103–109.</t>
  </si>
  <si>
    <t>0.7 Mg CO2 m−3: Hofer, P.; Taverna, R.; Werner, F.; Kaufmann, E.; Thürig, E. CO2-Effekte der Schweitzer
Wald- und Holzwirtschaft. Szenarien zukünftiger Beiträge zum Klimaschutz; Bundesamt für
Umwelt, BAFU: Bern, Switzerland, 2007; p. 102.</t>
  </si>
  <si>
    <t>Type of species</t>
  </si>
  <si>
    <t>Beech</t>
  </si>
  <si>
    <t>Oak</t>
  </si>
  <si>
    <t>Pine</t>
  </si>
  <si>
    <t>Spruce</t>
  </si>
  <si>
    <t>logistics; supply chain management; multimodal and unimodal transport; forest products industry; decision support systems</t>
  </si>
  <si>
    <t>CHAIN; OPTIMIZATION; DESIGN</t>
  </si>
  <si>
    <t>Kogler, C; Rauch, P</t>
  </si>
  <si>
    <t>A discrete-event simulation model to test multimodal strategies for a greener and more resilient wood supply</t>
  </si>
  <si>
    <t>Increasing occurrences of natural disturbances, including windstorms and high snow cover, and supply chain risks lead to severe irregularities in wood harvest and transport. To overcome resulting supply difficulties, innovative multimodal systems via rail terminals are promising options offering the potential to increase buffer capacity, improve supply chain resilience, and reduce greenhouse gas emissions. Therefore, a train terminal is included in a virtual simulation environment spanning the entire wood supply chain from forest to industry to test, analyze, and evaluate a complex multimodal system in different scenario settings. Furthermore, the simulation model provides intuitive decision support through animation and a cockpit of key performance indicators, facilitating hands-on workshops with supply chain managers. Results show the advantage of a combination of unimodal and multimodal transport in the wood supply chain of the observed case-study region. This combination proves to be resilient and outperforms other tested supply chain strategies by avoiding both bottlenecks and ill-timed plans and reducing carbon dioxide (CO2) emissions. Furthermore, workshops conducted with industry experts indicate that adapting collaborative supply chain control strategies by means of a participatory simulation environment enhances the development of advanced risk management and therefore improves supply chain resilience, efficiency, and sustainability.</t>
  </si>
  <si>
    <t>10.1139/cjfr-2018-0542</t>
  </si>
  <si>
    <t>Wood production face to climate risk</t>
  </si>
  <si>
    <t>SNOW(MULTI)</t>
  </si>
  <si>
    <t>BAU(MULTI)</t>
  </si>
  <si>
    <t>transported</t>
  </si>
  <si>
    <t>CO2 eq (Table5)</t>
  </si>
  <si>
    <t>STORM(MULTI)</t>
  </si>
  <si>
    <t>SNOW(BOTH)</t>
  </si>
  <si>
    <t>BAU(BOTH)</t>
  </si>
  <si>
    <t>STORM(BOTH)</t>
  </si>
  <si>
    <t xml:space="preserve">SWOW(UNI) </t>
  </si>
  <si>
    <t>BAU(UNI)</t>
  </si>
  <si>
    <t>STORM(UNI)</t>
  </si>
  <si>
    <t>Organization of transports</t>
  </si>
  <si>
    <t>SNOW(UNI)</t>
  </si>
  <si>
    <t>Afforestation; Carbon dynamic; P. nigra; Quercus sp.; Ecosystem management; Optimization</t>
  </si>
  <si>
    <t>INCORPORATING TIMBER; LAND-USE; SEQUESTRATION; VALUES; WATER; STOCKS; PINE; AFFORESTATION; IMPACT; OXYGEN</t>
  </si>
  <si>
    <t>Kucuker, DM</t>
  </si>
  <si>
    <t>Analyzing the effects of various forest management strategies and carbon prices on carbon dynamics in western Turkey</t>
  </si>
  <si>
    <t>Determining appropriate management strategies to reduce greenhouse gas emissions using optimization techniques to understand how forest management activities affect the carbon dynamics is critical in implementing effective carbon management policies. This paper quantitatively analyzes the long-term effects of different management policies and silvicultural interventions using linear programming. In the analyses, afforestation targets for bare forest lands, tree species, carbon prices, planning approaches and sets of various targets and constraints on carbon dynamics were evaluated. The results were based on twenty-five forest management scenarios formulated for the Korucu Forest Planning Unit of Turkey. The results showed that, compared to timber-based planning strategies (TM), ecosystem-based planning approach (EM) contributes to a significant reduction in carbon sequestration in many cases. When different afforestation targets were incorporated into forest management strategies, cumulative carbon sequestration increased constantly compared to baseline scenario without any afforestation areas. In addition, the highest total carbon sequestration was observed when black pine (P. nigra) was used in afforestation activities rather than oak species (Quercus sp.) and other available tree species. While total timber production and timber net present value (NPV) decreased, carbon sequestration increased significantly with increasing carbon price. As a result of increasing carbon price from $20/ton to $100/ton, joint NPV increased by about five times. The results highlighted the importance of forest ecosystem and developing and implementing climate adaption measures into forest management activities in tackling climate change phenomenon.</t>
  </si>
  <si>
    <t>10.1016/j.jenvman.2019.109356</t>
  </si>
  <si>
    <t>Carbon price</t>
  </si>
  <si>
    <t>TCNPV3 (Table 6)</t>
  </si>
  <si>
    <t>Gg C</t>
  </si>
  <si>
    <t>Unclear</t>
  </si>
  <si>
    <t>TCNPV1 (Table 6)</t>
  </si>
  <si>
    <t>Afforestation</t>
  </si>
  <si>
    <t>EMC5 (Table3)</t>
  </si>
  <si>
    <t>EMC8 (Table3)</t>
  </si>
  <si>
    <t>Tree species</t>
  </si>
  <si>
    <t>EMC4P (Table 4)</t>
  </si>
  <si>
    <t>EMC4 (Table 4)</t>
  </si>
  <si>
    <t>How the species change to pinus nigra results in more sequestration and less timber is unclear, as well as many elements in this study (time-averaging method, …)</t>
  </si>
  <si>
    <t>EMC4O (Table 4)</t>
  </si>
  <si>
    <t>EMT4P (Table 4)</t>
  </si>
  <si>
    <t>EMT4 (Table 4)</t>
  </si>
  <si>
    <t>EMT4O (Table 4)</t>
  </si>
  <si>
    <t>ECOLOGICAL MODELLING</t>
  </si>
  <si>
    <t>Climate change; Carbon; Sustainable carbon storage capacity; Forest management; Wood products; Modelling</t>
  </si>
  <si>
    <t>Liu, GL; Han, SJ</t>
  </si>
  <si>
    <t>Long-term forest management and timely transfer of carbon into wood products help reduce atmospheric carbon</t>
  </si>
  <si>
    <t>In their efforts I to deal with global climate change, scientists and governments have given much attention to the carbon &amp;apos;emissions associated with fossil fuels and to strategies for reducing their use. While it is very important to burn less fossil fuel and to employ alternative energy sources, other carbon-reduction options must also be considered. Given that forests comprise a large portion of the global landbase and that they play a very significant role in the global carbon cycle, it is logical to examine how forest management practices could effect reductions in carbon emissions. Many papers that discuss forest carbon sinks or sources refer only to the short term (&lt;20 years). This paper focuses on the sustainable carbon storage contributions of a forest over the long term. This paper explains that long-term carbon storage and reduced carbon fluctuation can be achieved by a combination of improved forest management and efficient transfer of carbon into wood products. Here we show how three different forest management scenarios affect the overall carbon storage capacity of forest and wood products combined over the long term. We used a timber supply model and scenario analysis to predict forest carbon and other resource conditions over time in the Prince George Forest District, a 3.4-million-ha landbase in northern British Columbia. We found that the high-harvest scenario stores 3% more carbon than the low-harvest scenario and 27% (120 million tonnes) more carbon than the no-harvest scenario even though only 1.2-million ha is in timber harvesting landbase. Our results tell us that forest management practices that maintain and increase forest area, reduce natural disturbances in the forest, improve forest conditions, and ensure the appropriate and timely transfer of carbon into wood products lead to increasing overall carbon storage, thereby reducing carbon in the atmosphere. (C) 2009 Elsevier B.V. All rights reserved.</t>
  </si>
  <si>
    <t>Ecol. Model.</t>
  </si>
  <si>
    <t>10.1016/j.ecolmodel.2009.04.005</t>
  </si>
  <si>
    <t>no harvest (Fig. 6)</t>
  </si>
  <si>
    <t>high harvest (Fig. 6)</t>
  </si>
  <si>
    <t>yearly million tonnes</t>
  </si>
  <si>
    <t>low harvest (Fig. 6)</t>
  </si>
  <si>
    <t>wood product life span</t>
  </si>
  <si>
    <t>50 years (Fig. 7)</t>
  </si>
  <si>
    <t>100 years (Fig. 7)</t>
  </si>
  <si>
    <t>Cross Laminated Timber (CLT); cold regions; cradle-to-grave; LCA</t>
  </si>
  <si>
    <t>CONCRETE; EMISSIONS; ENERGY; PLATES; WOOD</t>
  </si>
  <si>
    <t>Liu, Y; Guo, HB; Sun, C; Chang, WS</t>
  </si>
  <si>
    <t>Assessing Cross Laminated Timber (CLT) as an Alternative Material for Mid-Rise Residential Buildings in Cold Regions in China-A Life-Cycle Assessment Approach</t>
  </si>
  <si>
    <t>Timber building has gained more and more attention worldwide due to it being a generic renewable material and having low environmental impact. It is widely accepted that the use of timber may be able to reduce the embodied energy of a building. However, the development of timber buildings in China is not as rapid as in some other countries. This may be because of the limitations of building regulations and technological development. Several new policies have been or are being implemented in China in order to encourage the use of timber in building construction and this could lead to a revolutionary change in the building industry in China. This paper is the first one to examine the feasibility of using Cross Laminated Timber (CLT) as an alternative solution to concrete by means of a cradle-to-grave life-cycle assessment in China. A seven-storey reference concrete building in Xi&amp;apos;an was selected as a case study in comparison with a redesigned CLT building. Two cities in China, in cold and severe cold regions (Xi&amp;apos;an and Harbin), were selected for this research. The assessment includes three different stages of the life span of a building: materialisation, operation, and end-of-life. The inventory data used in the materialisation stage was mostly local, in order to ensure that the assessment appropriately reflects the situation in China. Energy consumption in the operation stage was obtained from simulation by commercialised software IES (TM), and different scenarios for recycling of timber material in the end-of-life are discussed in this paper. The results from this paper show that using CLT to replace conventional carbon intensive material would reduce energy consumption by more than 30% and reduce CO2 emission by more than 40% in both cities. This paper supports, and has shown the potential of, CLT being used in cold regions with proper detailing to minimise environmental impact.</t>
  </si>
  <si>
    <t>10.3390/su8101047</t>
  </si>
  <si>
    <t>recycling ratio</t>
  </si>
  <si>
    <t>timber used</t>
  </si>
  <si>
    <t>ton</t>
  </si>
  <si>
    <t>tonnes CO2 emissions</t>
  </si>
  <si>
    <t>assumption that concrete building includes no timber at all</t>
  </si>
  <si>
    <t>Fix sequestration sign; driver was missing, model boundaries fixed</t>
  </si>
  <si>
    <t xml:space="preserve">replace concrete building by wood </t>
  </si>
  <si>
    <t>Xian Concrete (Fig. 9)</t>
  </si>
  <si>
    <t>Xian CLT (Fig. 9)</t>
  </si>
  <si>
    <t>Harbin Concrete (Fig. 9)</t>
  </si>
  <si>
    <t>Harbin CLT (Fig. 9)</t>
  </si>
  <si>
    <t>Forest sector; Carbon balance; Climate change; Bio-economic model</t>
  </si>
  <si>
    <t>COARSE WOODY DEBRIS; TREE MORTALITY; LAND-USE; EMISSIONS; PRODUCTS; DROUGHT; MODEL; US</t>
  </si>
  <si>
    <t>Lobianco, A; Caurla, S; Delacote, P; Barkaoui, A</t>
  </si>
  <si>
    <t>Carbon mitigation potential of the French forest sector under threat of combined physical and market impacts due to climate change</t>
  </si>
  <si>
    <t>Objectives: (1) To quantify the contribution of the French forest wood product chain in terms of carbon sequestration and substitution when accounting for both the physical impacts (shifts in tree growth and mortality rates) and the market impacts (increased demand of harvested wood products (HWP)) of climate change (cc) and the subsequent forest managers adaptations; (2) To assess the uncertainty of the impacts on the above carbon balance and on forest allocation; and (3) To assess the role of managers&amp;apos; expectations toward these future, uncertain but highly anticipated, impacts. Methodology: We used a bio-economic model of the French Forest Sector (FFSM++) that is able to consider and integrate: (a) the effects of climate change over forest dynamics; (b) forest investment decisions (among groups of species) according to expected profitability; and (c) market effects in terms of regionalised supply, consumption and trade of HWP, depending on the forest resource stocks and international prices. By including both forest dynamics and forest products, we can evaluate the carbon balance taking the following elements into consideration: (a) carbon sequestered in live and dead biomass in the forest; (b) carbon sequestered in HWP; (c) carbon substituted when wood is used in place of fossil fuels or more energy-intensive materials; and (d) carbon released by forest operations. When the model is run at constant conditions for the next century, the average carbon potential of French forests is 66.2-125.3 Mt CO2 y(-1), depending on whether we consider only inventoried wood resources, HWP pools and direct energy substitution, or if we also account for the carbon stored in tree branches and roots and if we consider the more indirect, but also largely more subjective, material substitution. These values correspond to 18.3% and 34.7%, respectively, of the French 2010 emissions (361 Mt CO2). However, when we consider both the probable increment of coniferous mortality and changes in forest growth, plus the rise in HWP demand worldwide, the average sequestration rate of the French forest decreases by 6.6-5.8% to 61.8-118.0 Mt CO2 Y-1. Running partial scenarios, we can assess the relative interplay of these two factors, where the price factor increases the HWP stock while decreasing the forest stocks (where the latter effect prevails), while the physical impact of climate change reduces both, but to a lesser extent. Considering short-sighted forest managers, whose behaviour is based uniquely on the observed conditions at the time decisions are made, we obtain a limited effect of the overall carbon balance but a relatively large impact on the area allocation of broadleaved vs. coniferous species. (C) 2015 Department of Forest Economics, SLU Limed, Sweden. Published by Elsevier GmbH. All rights reserved.</t>
  </si>
  <si>
    <t>10.1016/j.jfe.2015.12.003</t>
  </si>
  <si>
    <t>Full agent expectations</t>
  </si>
  <si>
    <t>MtCO2eq . y−1</t>
  </si>
  <si>
    <t>Upper price impact</t>
  </si>
  <si>
    <t>Fixed prices</t>
  </si>
  <si>
    <t>No agent expectations</t>
  </si>
  <si>
    <t>combined drivers: price, climate, agent expectations</t>
  </si>
  <si>
    <t>Constant</t>
  </si>
  <si>
    <t>Upper physical impact</t>
  </si>
  <si>
    <t>Lower physical impact</t>
  </si>
  <si>
    <t>TREE PHYSIOLOGY</t>
  </si>
  <si>
    <t>carbon balance; climate scenario; forest management; temperate forest</t>
  </si>
  <si>
    <t>LONG-TERM RESPONSE; NITROGEN DEPOSITION; CO2 CONCENTRATION; CARBON BALANCE; USE EFFICIENCY; ELEVATED CO2; CANOPY; GROWTH; PARAMETERIZATIONS; TRANSPIRATION</t>
  </si>
  <si>
    <t>Loustau, D; Bosc, A; Colin, A; Ogee, J; Davi, H; Francois, C; Dufrene, E; Deque, M; Cloppet, E; Arrouays, D; Le Bas, C; Saby, N; Pignard, G; Hamza, N; Granier, A; Breda, N; Ciais, P; Viovy, N; Delage, F</t>
  </si>
  <si>
    <t>Modeling climate change effects on the potential production of French plains forests at the sub-regional level</t>
  </si>
  <si>
    <t>We modeled the effects of climate change and two forest management scenarios on wood production and forest carbon balance in French forests using process-based models of forest growth. We combined data from the national forest inventory and soil network survey, which were aggregated over a 50 x 50-km grid, i.e., the spatial resolution of the climate scenario data. We predicted and analyzed the climate impact on potential forest production over the period 1960-2100. All models predicted a slight increase in potential forest yield until 20302050, followed by a plateau or a decline around 2070-2100, with overall, a greater increase in yield in northern France than in the south. Gross and net primary productivities were more negatively affected by soil water and atmospheric water vapor saturation deficits in western France because of a more pronounced shift in seasonal rainfall from summer to winter. The rotation-averaged values of carbon flux and production for different forest management options were estimated during four years (1980, 2015, 2045 and 2080). Predictions were made using a two-dimensional matrix covering the range of local soil and climate conditions. The changes in ecosystem fluxes and forest production were explained by the counterbalancing effect of rising CO2 concentration and increasing water deficit. The effect of climate change decreased with rotation length from short rotations with high production rates and low standing biomasses to long rotations with low productivities and greater standing biomasses. Climate effects on productivity, both negative and positive, were greatest on high fertility sites. Forest productivity in northern France was enhanced by climate change, increasingly from west to east, whereas in the southwestern Atlantic region, productivity was reduced by climate change to an increasing degree from west to east.</t>
  </si>
  <si>
    <t>Tree Physiol.</t>
  </si>
  <si>
    <t>10.1093/treephys/25.7.813</t>
  </si>
  <si>
    <t>southwest A triangle (Fig. 8)</t>
  </si>
  <si>
    <t>Southwest A square (Fig. 8)</t>
  </si>
  <si>
    <t>g C m-2 y-1</t>
  </si>
  <si>
    <t>South A triangle (Fig. 8)</t>
  </si>
  <si>
    <t>south A square (Fig. 8)</t>
  </si>
  <si>
    <t>North A square (Fig. 8)</t>
  </si>
  <si>
    <t>north A triangle (Fig. 8)</t>
  </si>
  <si>
    <t>Northeast A square (Fig. 8)</t>
  </si>
  <si>
    <t>northeast A triangle (Fig. 8)</t>
  </si>
  <si>
    <t>southwest A circle (Fig. 8)</t>
  </si>
  <si>
    <t>South A circle (Fig. 8)</t>
  </si>
  <si>
    <t>South A square (Fig. 8)</t>
  </si>
  <si>
    <t>FRONTIERS IN ECOLOGY AND EVOLUTION</t>
  </si>
  <si>
    <t>forest planning; Remsoft Woodstock; sustainable forest management; blanket peat; linear programming; afforested western peatlands</t>
  </si>
  <si>
    <t>COARSE WOODY DEBRIS; CARBON SEQUESTRATION; PUBLIC PREFERENCES; BIODIVERSITY; DECOMPOSITION; MITIGATION; FRAGMENTATION; AFFORESTATION; FRAMEWORK; WINDTHROW</t>
  </si>
  <si>
    <t>Lundholm, A; Black, K; Corrigan, E; Nieuwenhuis, M</t>
  </si>
  <si>
    <t>Evaluating the Impact of Future Global Climate Change and Bioeconomy Scenarios on Ecosystem Services Using a Strategic Forest Management Decision Support System</t>
  </si>
  <si>
    <t>Sustainable Forest Management (SFM) has become an important pillar of modern forest management, and one way to evaluate the sustainability of forestry is to assess long-term supply of ecosystem services (ESs) indicators. The concept of sustainability also has come to include adapting to climate change and the associated dynamic timber markets. This study aims to: (1) incorporate several ESs indicators in a Forest Management Decision Support System (FMDSS) that can deal with climate change and dynamic timber markets; and (2) analyse the impact that intensified forest management, resulting from global change scenarios that represent different levels of climate change mitigation efforts, will have on forest ES indicators in the west of Ireland. A linear programming model that optimized Net Present Value (NPV) from mill-gate sales was previously developed in Remsoft Woodstock, a DSS framework used for strategic forest planning around the world. This Woodstock model was modified to include the effects of global scenarios that include climate change and dynamic timber prices. This model was further developed to include indicators for five ESs (carbon storage in the forest as well as in harvested wood products and carbon substitution, windthrow risk, biodiversity, water quality, and cultural values), to assess the impacts of these global scenarios on the forest landscape and the sustainability of forest management. The ES indicator values were mainly linked to forest age, forest type, and yield tables, and their inclusion in the FMDSS had almost no impact on total model run times. Intensified forest clearfelling, as a result of increasing timber prices associated with most global scenarios, led to increased phosphor emissions to waterbodies, and reductions in windthrow risk and carbon storage. The global scenarios only resulted in minor differences in the indicator values for biodiversity and cultural values. Besides the global scenarios, recent forest policy development and the poor soil conditions in the study area impacted on the results. The developed system, with its innovative method to incorporate climate change and associated market dynamics, could be applied to other forest landscapes in Ireland and Europe, or indeed by any forest company or organization that uses Remsoft Woodstock.</t>
  </si>
  <si>
    <t>Front. Ecol. Evol.</t>
  </si>
  <si>
    <t>10.3389/fevo.2020.00200</t>
  </si>
  <si>
    <t>climate scenario</t>
  </si>
  <si>
    <t>S1 (Table 4)</t>
  </si>
  <si>
    <t>tons ha-1</t>
  </si>
  <si>
    <t>Ireland</t>
  </si>
  <si>
    <t>Oliver et al. (2014)</t>
  </si>
  <si>
    <t>Smyth et al. (2017), Sathre and O’Connor (2010)</t>
  </si>
  <si>
    <t>S3 (Table 4)</t>
  </si>
  <si>
    <t>CARBON BALANCE AND MANAGEMENT</t>
  </si>
  <si>
    <t>Carbon sink; Sequestration; European forests; EFISCEN; Forest management; Wood mobilisation</t>
  </si>
  <si>
    <t>CLIMATE; SCIENCE</t>
  </si>
  <si>
    <t>Nabuurs, GJ; Arets, EJMM; Schelhaas, MJ</t>
  </si>
  <si>
    <t>Understanding the implications of the EU-LULUCF regulation for the wood supply from EU forests to the EU</t>
  </si>
  <si>
    <t>Background: In June 2018, the European Parliament and Council of the European Union adopted a legislative regulation for incorporating greenhouse gas emissions and removals from Land Use, Land Use Change and Forestry (EULULUCF) under its 2030 Climate and Energy Framework. The LULUCF regulation aim to incentivise EU Member States to decrease greenhouse gas emissions and increase removals in the LULUCF sector. The regulation, however, does not set a target for increasing the LULUCF carbon sink, but rather includes a'no net debit' target for LULUCF (Forests and Agricultural soils). For Managed Forest Land (MFL) an accounting framework with capped credits for additional mitigation against a set forest reference level (FRL) was agreed for 2021-2030. The FRL gives the projected future carbon sink in the two compliance periods 2021-2025 and 2026-2030 undercontinuation of forest management practices as they were in the reference period 2000-2009' This FRL was disputed by some Member States as it was perceived to put a limit on their future wood harvesting from MFL. Here we simulated with the EFISCEN European forest model the continuation of forest management practices and determined the corresponding wood harvest for 26 EU countries under progressing age classes. Results: The simulations showed that undercontinuation of forest management practices the harvest (wood removals) in the 26 EU countries as a whole can increase from 420 million m(3)/year in 2000-2009 to 560 million m(3)/ year in 2050 due to progressing age classes. This implies there is a possibility to increase absolute wood harvests without creating debits compared to the forest reference level. However, the manner in which 'continuation of forest management' developed with a progressing age class development over time, meant that in some countries the future harvesting exceeded 90% of the increment. Since this generally is considered to be unsustainable we additionally set a harvesting cut-off as max 90% of increment to be harvested for each individual country as a possible interpretation of sustainability criteria that are included in the regulation. Using this additional limit the projected harvest will only increase to 493 million m(3)/year. Conclusions: The worry from Member States (MS) that the FRL will prevent any additional harvesting seems unwarranted. Due to differences between Member States concerning the state of their forest resources, the FRL as a baseline for harvesting works out very differently for the different Member States. The FRL may have other unforeseen consequences which we discuss. Under all scenarios the living forest biomass sink shows a decline. This can be counteracted through incentivising measures under Climate Smart Forestry.</t>
  </si>
  <si>
    <t>Carbon Balanc. Manag.</t>
  </si>
  <si>
    <t>10.1186/s13021-018-0107-3</t>
  </si>
  <si>
    <t>Amount of harvest</t>
  </si>
  <si>
    <t>Constant absolute amount of harvest</t>
  </si>
  <si>
    <t>Constant intensity</t>
  </si>
  <si>
    <t>Harvest Removals overbark</t>
  </si>
  <si>
    <t>m3/y</t>
  </si>
  <si>
    <t>tCO2/y</t>
  </si>
  <si>
    <t>Constant intensity plus cut off at sustainable level</t>
  </si>
  <si>
    <t>Cradle-to-gate; Forest management; Land use; Life cycle assessment (LCA); Round wood; Silviculture</t>
  </si>
  <si>
    <t>LIFE-CYCLE ASSESSMENT; FOREST OPERATIONS; ENERGY; IMPACTS; INVENTORY</t>
  </si>
  <si>
    <t>Nakano, K; Shibahara, N; Nakai, T; Shintani, K; Komata, H; Iwaoka, M; Hattori, N</t>
  </si>
  <si>
    <t>Greenhouse gas emissions from round wood production in Japan</t>
  </si>
  <si>
    <t>Wood has a long-standing history as an industrial material and fuel. Generic life cycle assessment data is therefore needed to assess the quantitative environmental impact of wood. The aim of this study was to estimate cradle-to-gate greenhouse gas emissions for round wood production of four common Japanese tree species. This study focused on Japanese cedar (Cryptomeria japonica), hinoki cypress (Chamaecyparis obtusa), Japanese larch (Larix kaempferi) and Sakhalin fir (Abies sachalinensis) because these four tree species constitute more than 80% of total round wood production in Japan. This study encompassed all major forestry activities, such as planting, thinning and final felling. In addition to these activities, indirect processes, such as construction of forest roads, were also included. The functional unit used for this study was 1 m(3) over bark of green wood (ob). All 47 prefectures were modeled in order to investigate the site characteristics across Japan. Activity data such as yield per area, required seedling numbers, and thinning method were collected for each tree species and for each prefecture. By combining actual surveyed data and simulation data, information collection challenges on variations in sites and time were overcome. The results of this study suggested that greenhouse gas emissions relating to round wood production of Japanese cedar, hinoki cypress, Japanese larch, and Sakhalin fir were 21.7, 25.9, 24.9 and 25.5 kg-CO(2)e/m(3) ob, respectively. The weighted average value for all of Japan was estimated to be 23.0 kg-CO(2)e/m(3) ob. The amount of temporal carbon storage for these tree species was calculated as 585 -762 kg-CO(2)e/m(3) ob. The results also revealed large variation between different prefectures across Japan. Regarding hinoki cypress, for example, the largest greenhouse gas emissions and land use values as an inventory indicator among evaluated prefectures were approximately 1.5 times and 2.7 times larger than the smallest emissions and land use values, respectively. A prefecture with a higher share of heavy forestry machinery tended to indicate relatively higher greenhouse gas emissions. A comprehensive analysis of the target geographical area is therefore required to produce values representative of the region of interest. Among the processes assessed, the final felling process contributed to the largest portion of greenhouse gas emissions in all tree species. An improvement of the energy efficiency of this process is therefore needed. Improving labor productivity would reduce greenhouse gas emissions resulting from commuting workers. (C) 2016 Elsevier Ltd. All rights reserved.</t>
  </si>
  <si>
    <t>10.1016/j.jclepro.2016.10.024</t>
  </si>
  <si>
    <t xml:space="preserve">Species </t>
  </si>
  <si>
    <t>Sakhalin fir</t>
  </si>
  <si>
    <t>Japanese Cedar</t>
  </si>
  <si>
    <t xml:space="preserve">Round wood production </t>
  </si>
  <si>
    <t>See onglet Nakano_2018</t>
  </si>
  <si>
    <t>m3 ob</t>
  </si>
  <si>
    <t>t-CO2e</t>
  </si>
  <si>
    <t>Japanese Larch</t>
  </si>
  <si>
    <t>Hikoni Cypress</t>
  </si>
  <si>
    <t>size of logs (diameter at breast height)</t>
  </si>
  <si>
    <t>18cm(Hikoni Cypressr)</t>
  </si>
  <si>
    <t>8cm(Hikoni Cypressr)</t>
  </si>
  <si>
    <t>t-CO2e/m3 obs</t>
  </si>
  <si>
    <t>Size of logs (diameter at breast height)</t>
  </si>
  <si>
    <t>18cm(Japanese Cedar)</t>
  </si>
  <si>
    <t>8cm(Japanese Cedar)</t>
  </si>
  <si>
    <t>18cm(Japanese Larch)</t>
  </si>
  <si>
    <t>8cm(Japanese Larch)</t>
  </si>
  <si>
    <t>18cm(Sakhalin fir)</t>
  </si>
  <si>
    <t>8cm(Sakhalin fir)</t>
  </si>
  <si>
    <t>Biomass; Life cycle impact; Renewable energy; Rural communities; Sustainable energy</t>
  </si>
  <si>
    <t>LIFE-CYCLE ASSESSMENT; POWER-GENERATION; FOREST; BIOENERGY; CONVERSION; EMISSIONS; RESIDUES</t>
  </si>
  <si>
    <t>Nandimandalam, H; Gude, VG; Marufuzzaman, M</t>
  </si>
  <si>
    <t>Environmental impact assessment of biomass supported electricity generation for sustainable rural energy systems-A case study of Grenada County, Mississippi, USA</t>
  </si>
  <si>
    <t>Fossil fuels have been the major source of electricity supply in the United States of America (USA) for many decades. While a significant shift has occurred from coal-dominated supply to natural gas and renewable source based supplies in recent decades, there is still large potential to improve biomass supported electricity contribution in rural communities, which depend majorly on forest-related activities. Wood waste, an underutilized renewable resource, has the potential for electricity generation in rural areas to reduce the contribution of electricity generated from fossil fuels and assist in greenhouse gas savings. In this study, a life cycle assessment approach was used to estimate the emissions of electricity generated by wood residues in a rural community (Grenada County, Mississippi (MS), USA) and compared with those emissions from the recent electricity mix (2018), a previous electricity mix (2010) supply, along with natural gas (NG) and coal (Bituminous Coal, BC) based electricity generation options. A significant reduction (85.9-94.6%) in global warming impact was observed when compared with BC, NG and grid supplied electricity for years 2010 and 2018. When compared to the current electricity mix at the grid (2018), acidification, eutrophication, respiratory effects and smog formation showed higher emissions ranging from 30.8% to 72.4%. The sensitivity analysis showed an improvement in emissions savings with increased biomass to power conversion efficiency (40%), lower moisture content of the biomass (0%, bone dry biomass), and reduced transportation distance (35 km). This study showed an improvement in the electricity mix supplied to Grenada county, MS, which implies sustainable development opportunities for promoting energy security in rural communities with forest-based industries. (c) 2021 Elsevier B.V. All rights reserved.</t>
  </si>
  <si>
    <t>10.1016/j.scitotenv.2021.149716</t>
  </si>
  <si>
    <t>Changes in chain organization to generate electricity from wood residues</t>
  </si>
  <si>
    <t xml:space="preserve">mill residues (MR) </t>
  </si>
  <si>
    <t xml:space="preserve">Forest Residue case 1 (FR1) </t>
  </si>
  <si>
    <t>amount of residue available</t>
  </si>
  <si>
    <t>tCO2eq/kWh</t>
  </si>
  <si>
    <t>Forest Residue case 2 (FR2)</t>
  </si>
  <si>
    <t>Forest Residue case 1 (FR1) = chipping</t>
  </si>
  <si>
    <t>Forest Residue case 2 (FR2) = bunding + chipping</t>
  </si>
  <si>
    <t>CO2; Forest residues; Forest management; Climate change; Amazon rainforest</t>
  </si>
  <si>
    <t>ABOVEGROUND LIVE BIOMASS; CARBON SEQUESTRATION; NUTRIENT RELEASE; CLIMATE-CHANGE; TROPICAL FORESTS; LOGGED FORESTS; BOREAL FOREST; WOOD PRODUCTS; MANAGEMENT; DEFORESTATION</t>
  </si>
  <si>
    <t>Numazawa, CTD; Numazawa, S; Pacca, S; John, VM</t>
  </si>
  <si>
    <t>Logging residues and CO2 of Brazilian Amazon timber: Two case studies of forest harvesting</t>
  </si>
  <si>
    <t>Forest management has been repeatedly mentioned as a strategy to reduce damage caused by logging when compared with conventional logging. Much has been learned about logging impacts and prospects for forest management, but there are still too many gaps regarding the CO2 emissions in logging, due to residues and their impact on the carbon balance. Here we compare CO2 emissions between two timber harvesting intensity systems. Logging with an intensity of 30 m(3) ha(-1) (L30) and logging with an intensity of 15 m3 ha(-1) (L15) were compared over 4 rotation periods (120 year total timeframe). Original logging residues (LR) data was used to determine emissions from residues decomposition. On average, L30 has produced more LR (41.60 t ha(-1)), than L15 (20.90 t ha(-1)); for each tonne of commercial stem in 130, 2.13 tonnes of logging residues were obtained and 2.05 tonnes of residues were found in L15. Moreover, we have created a scenario representing the carbon balance (emissions from residues versus carbon uptake from biomass re-growth) over a 120 year long period to evaluate the outcomes for both logging intensities. We find that it will need about 38.3 years under 130; whereas 18.2 years were required in the case of L15. The 130 growth period is greater than the cutting cycle, which means that aboveground standing biomass is not able to fully recover until the next cutting cycle. Fully biomass recovery was only achieved when L15 was applied. Furthermore, the diameter of the commercial tree species takes a longer time to recover than the cutting cycle. Finally, ignoring the post harvesting life cycle phases, both CO2 balances were negative, which means that both practices ended up uptaking CO2 from the atmosphere. (C) 2017 Elsevier B.V. All rights reserved.</t>
  </si>
  <si>
    <t>10.1016/j.resconrec.2017.02.016</t>
  </si>
  <si>
    <t>Logging with an intensity of 15 m3 ha−1</t>
  </si>
  <si>
    <t>logging with an intensityof 30 m3 ha−1</t>
  </si>
  <si>
    <t>tCO2/ha (tCO2 uptake by biomass - tCO2 emissions for one ha)</t>
  </si>
  <si>
    <t>Reg</t>
  </si>
  <si>
    <t>sustainable forest management; charcoal production; biogeochemistry management (BGC-MAN) model</t>
  </si>
  <si>
    <t>TROPICAL RAIN-FOREST; CARBON EMISSIONS; TREE GROWTH; BIOMASS; DEFORESTATION; CLIMATE; STOCKS; AVAILABILITY; EFFICIENCY; DYNAMICS</t>
  </si>
  <si>
    <t>Numazawa, CTD; Krasovskiy, A; Kraxner, F; Pietsch, SA</t>
  </si>
  <si>
    <t>Logging residues for charcoal production through forest management in the Brazilian Amazon: economic gains and forest regrowth effects</t>
  </si>
  <si>
    <t>Sustainable forest management (SFM) practices can potentially reverse loss of forest cover due to deforestation, while concomitantly preserving and maintaining biodiversity, and stimulating jobs, income, and forest services. Recent studies found that significant logging residues (LR) (i.e. leaves, branches, and buttress roots) suitable for bioenergy production were often left in the felling area, triggering risks of forest fires and increased CO2 emissions due to wildfires or decomposition processes. For impact assessment of forest management practices, we collected primary harvesting data and estimated net primary productivity (NPP) and net ecosystem exchange (NEE) for 13 forest plots in the Brazilian Amazon. We applied a process-based forestry growth model (BGC-Man) to analyze the impacts on forest dynamics of selective logging and removal of LR, subject to landscape, soil texture, and daily weather. We explored the following selective logging scenarios: the Legal Reserve (i.e. reference) scenario, a scenario with one cutting cycle over the whole period, and a scenario with three timber rotation periods of 30 yr. Two of the later scenarios were complemented with harvesting of the woody LR (o 10 cm) for charcoal production. For each scenario, we computed forest NPP and NEE over a 120 yr time horizon. Results suggest that using woody LR (i.e. 77% of total LR) for charcoal production would result in an economic gain equivalent to 24%-46% of the timber price. Our findings indicate that under scenarios where LR were removed, forest NPP recovered to the reference level and even higher, while income and jobs from harvesting LR for charcoal production were generated. We conclude that SFM could enhance forest productivity and deliver economic benefit from otherwise unexploited LR.</t>
  </si>
  <si>
    <t>10.1088/1748-9326/abb495</t>
  </si>
  <si>
    <t xml:space="preserve">Harvesting intensity </t>
  </si>
  <si>
    <t xml:space="preserve">Legal reserve </t>
  </si>
  <si>
    <t xml:space="preserve">3 harvests over 120 years </t>
  </si>
  <si>
    <t xml:space="preserve">t/ha </t>
  </si>
  <si>
    <t xml:space="preserve">tC stored in forest /ha </t>
  </si>
  <si>
    <t>1 harvest over 120 years</t>
  </si>
  <si>
    <t xml:space="preserve">Harvesting intensity + removal of logging residues </t>
  </si>
  <si>
    <t xml:space="preserve">3 harvests + logging residues removed over 120 years </t>
  </si>
  <si>
    <t xml:space="preserve">1 harvest + logging residues removed over 120 years </t>
  </si>
  <si>
    <t xml:space="preserve">Olguin, M., Wayson, C., Fellows, M., Birdsey, R., Smyth, C. E., Magnan, M., ... &amp; Kurz, W. A. </t>
  </si>
  <si>
    <t xml:space="preserve"> Applying a systems approach to assess carbon emission reductions from climate change mitigation in Mexico’s forest sector</t>
  </si>
  <si>
    <t xml:space="preserve"> Environmental Research Letters</t>
  </si>
  <si>
    <t>10.1088/1748-9326/aaaa03</t>
  </si>
  <si>
    <t>The BAU baseline estimates the GHG fluxes if forest management and disturbance rates observed in the past continue into the future (2018–2050).</t>
  </si>
  <si>
    <t>Increased forest productivity and timber production with increased proportion of products with medium displacement factors value</t>
  </si>
  <si>
    <t>tC/yr</t>
  </si>
  <si>
    <t>TgCO2/yr</t>
  </si>
  <si>
    <t>Mexico</t>
  </si>
  <si>
    <t>CBM-CFS3 (KurzWA et al 2009 CBM-CFS3: A model of carbon-dynamics in
forestry and landuse change implementing IPCC standards
Ecol. Model. 220 480–504)</t>
  </si>
  <si>
    <t>Increased forest productivity and timber production with increased proportion of long-lived products</t>
  </si>
  <si>
    <t xml:space="preserve">TgCO2/yr </t>
  </si>
  <si>
    <t>Increased forest productivity and timber production with increased proportion of products with low displacement factors value</t>
  </si>
  <si>
    <t>Increased forest productivity and timber production with same products as in BAU</t>
  </si>
  <si>
    <t>CBM-CFS3 (KurzWA et al 2009 CBM-CFS3</t>
  </si>
  <si>
    <t>ANNALS OF FOREST SCIENCE</t>
  </si>
  <si>
    <t>Biophysical assessment; Economic evaluation; Carbon stock; Carbon sequestration; Recreational activities; Multiple-criteria decision analysis (MCDA)</t>
  </si>
  <si>
    <t>Paletto, A; Pieratti, E; De Meo, I; Agnelli, AE; Cantiani, P; Chiavetta, U; Mazza, G; Lagomarsino, A</t>
  </si>
  <si>
    <t>A multi-criteria analysis of forest restoration strategies to improve the ecosystem services supply: an application in Central Italy</t>
  </si>
  <si>
    <t>center dot Key message A multi-criteria analysis can be an interesting tool to assess the effects of silvicultural treatments on ecosystem services supply. In the degraded forests, thinning has a positive effect on the provision of ecosystem services such as timber and bioenergy production, climate change mitigation, and recreational attractiveness. center dot Context The Millennium Ecosystem Assessment highlights the importance of the ecosystem services for human well-being and for maintaining conditions for life on Earth. Silvicultural treatments can improve the provision of ecosystem services to increase local communities' well-being. center dot Aims The aim of this study is to understand the effects of two-forest restoration practices (selective thinning and thinning from below) on three ecosystem services (wood production, climate change mitigation, and recreational opportunities) in an Italian case study. center dot Methods A multi-criteria decision analysis (MCDA) was performed to compare the effects of three forest restoration scenarios (baseline, selective thinning, thinning from below) on ecosystem services. Wood production was estimated considering the local market prices and the wood volumes harvested, while climate change mitigation was quantified through the C-stock and C-sequestration changes in carbon pools due to the silvicultural treatments. The recreational activities were assessed through a questionnaire survey. A sample of 200 visitors was interviewed face-to-face to estimate the impact of thinning on recreational activities. center dot Results The results of the MCDA show that the selective thinning scenario is the optimal forest restoration practice to increase the recreational attractiveness and the wood production in the study area. center dot Conclusion The results concerning the effects of the silvicultural treatments on ecosystem services supply are an important tool to support decision makers.</t>
  </si>
  <si>
    <t>Ann. For. Sci.</t>
  </si>
  <si>
    <t>10.1007/s13595-020-01020-5</t>
  </si>
  <si>
    <t>Type of thinning</t>
  </si>
  <si>
    <t xml:space="preserve">Baseline scenario (BU) No silvicultural treatments </t>
  </si>
  <si>
    <t>Selective thinning scenario (ST):  all crownvolume
competitors are harvested (thinned 30–40% of
basal area). Standing dead trees and logs of the first two decay classes with a diameter more than 20 cm are removed.</t>
  </si>
  <si>
    <t>m3/ha</t>
  </si>
  <si>
    <t xml:space="preserve">tCO2/ha (change in C stock over the 15 years period ) </t>
  </si>
  <si>
    <t>Thinning from below scenario (TB): only small and leaned living trees and snags are harvested (thinned from below 15–20% of basal area). The logs are not removed during the harvesting operations</t>
  </si>
  <si>
    <t>carbon balance; harvested wood products; wood utilization; roundwood supply; foreign trade</t>
  </si>
  <si>
    <t>CARBON; SEQUESTRATION; IMPACTS; ENERGY; MODEL</t>
  </si>
  <si>
    <t>Palus, H; Parobek, J; Moravcik, M; Kovalcik, M; Dzian, M; Murgas, V</t>
  </si>
  <si>
    <t>Projecting Climate Change Potential of Harvested Wood Products under Different Scenarios of Wood Production and Utilization: Study of Slovakia</t>
  </si>
  <si>
    <t>The forestry and forest-based sector play a significant role in climate change mitigation strategies and can contribute to the achievement of a climate-neutral economy. In this context, the ability of harvested wood products (HWP) to sequester carbon is of significant importance. The objective of this work is to make a projection of climate change mitigation potential of HWP, under different scenarios of wood utilization in Slovakia. This study builds on the comparison of different scenarios of industrial wood utilization till 2035 and presents the resulting impacts on the national carbon balance. The results suggest that the development of timber supplies after 2020 in Slovakia will be influenced, in particular, by the future changes in the age distribution and tree species composition as well as the extent of future accidental felling. Consequently, a predicted structure and availability of wood resources in Slovakia will be reflected in a higher share of the production of products with shorter life cycle and thus will negatively affect the carbon pool in HWP. By comparing the results of the four designed scenarios, it follows that the scenario with the greatest mitigation potential, is the one assuming the optimal use of wood assortments and limitation of industrial roundwood foreign trade.</t>
  </si>
  <si>
    <t>10.3390/su12062510</t>
  </si>
  <si>
    <t>1000m3</t>
  </si>
  <si>
    <t>thousands tons CO2</t>
  </si>
  <si>
    <t>Slovakia</t>
  </si>
  <si>
    <t>bioeconomy; wood utilization; harvested wood products; carbon storage; CO2 emission</t>
  </si>
  <si>
    <t>ENERGY; CONSUMPTION; BIOECONOMY; RESOURCES; IMPACTS; BIOMASS; STORAGE; FORESTS</t>
  </si>
  <si>
    <t>Parobek, J; Palus, H; Moravcik, M; Kovalcik, M; Dzian, M; Murgas, V; Simo-Svrcek, S</t>
  </si>
  <si>
    <t>Changes in Carbon Balance of Harvested Wood Products Resulting from DifferentWood Utilization Scenarios</t>
  </si>
  <si>
    <t>The bioeconomy focuses on the production of renewable biological resources and the utilisation of these resources and waste streams into value added products. One of the most important aims of the forest industry is the sustainable production of wood. Improved utilization of available industrial wood assortments generates profit for all in the supply chain. At the same time, it may ensure the production of long-life harvested wood products (HWP), and consequently, increase the volume of carbon stored. The objective of this study is to compare di ff erent scenarios of industrial wood utilization in Slovakia and the resulting impacts on the national carbon balance. In the proposed scenarios, we aimed to evaluate changes in the current utilization of domestic wood resources through optimizing harvested wood assortments. Two inventory stock methods were applied to determine the potential quality of domestic wood and its utilization through appropriate distribution of outputs. The model scenario assumes that the higher share of industrial roundwood utilised to produce long-life HWP (sawnwood, wood-based panels) will increase carbon sequestration in HWP. Other scenarios quantify the di ff erences between the carbon volumes stored in HWP using the modelled wood assortment supplemented with alternatives with and without export. The results confirmed that increasing the level of carbon stored in HWP can be achieved by changing the wood assortment structure, while maintaining the same level of volume felled. The highest level of carbon stock was observed in the scenario assuming the optimal structure of wood assortments and no wood export. The scenario that optimized wood assortments and excluded wood exports resulted in the highest level of predicted carbon stock, estimated at 4.87 million tons (mil. tons).</t>
  </si>
  <si>
    <t>10.3390/f10070590</t>
  </si>
  <si>
    <t>domestic wood supply+ exported logs</t>
  </si>
  <si>
    <t>Emissions</t>
  </si>
  <si>
    <t>thousand metric tons co2equivalent</t>
  </si>
  <si>
    <t>Southeast Asia; carbon stock; tropical forest management; land-use change</t>
  </si>
  <si>
    <t>EXCHANGE-RATES; DIOXIDE; CO2</t>
  </si>
  <si>
    <t>Phat, NK; Knorr, W; Kim, S</t>
  </si>
  <si>
    <t>Appropriate measures for conservation of terrestrial carbon stocks - Analysis of trends of forest management in Southeast Asia</t>
  </si>
  <si>
    <t>The 21st century has brought new challenges for forest management at a time when global climate change is becoming increasingly apparent. Additional to various goods and services being provided to human beings, forest ecosystems are a large store of terrestrial carbon and account for a-major part of the carbon exchange between the atmosphere and the land surface. Depending on the management regime, forests can thus be either a sink, or a source of atmospheric carbon. Southeast Asia or ASEAN comprises 10 countries of different cultures and political background. Rapid economic development and fast-growing population in the region have raised much concern over the use of natural resources, especially forest resources. This study aims at finding the appropriate measures for sustainable use and management of tropical forests on a long-term basis. Between 1990 and 2000, about 2.3 million ha of forest were cleared every year and lost to other forms of land use. In terms of carbon emissions, a net amount of approximately 465 million t per year were released to the atmosphere over the same period, which amounts to 29% of the global net carbon release from deforestation worldwide. This study provides an approach to analyzing the implications of alternative forest and land management options on forest carbon stocks. This is done in three steps: First, observed trends in land use are expressed in terms of a model in order to create a scenario for the period 1980-2050. Second, forest management practices and timber production rates are analyzed and three management scenarios are created: (1) continuing the current rate of exploitation, (2) management for long-term economic gains, and (3) climate-beneficial management. Third, the impact of the three scenarios on regional carbon storage is estimated on the basis of a carbon balance model. Comparing the additional rate of carbon sequestration of scenario (3) over scenario (2), and taking into account differing management costs, we also discuss a framework for industrialized countries to invest in carbon credits in the region in order to fulfil their commitments under present and future climate protection agreements. (C) 2004 Elsevier B.V. All rights reserved.</t>
  </si>
  <si>
    <t>10.1016/j.foreco.2003.12.019</t>
  </si>
  <si>
    <t>Changes in forest management and wood use (LEGA)</t>
  </si>
  <si>
    <t>LEGA</t>
  </si>
  <si>
    <t>BAUSU</t>
  </si>
  <si>
    <t>WH + WP</t>
  </si>
  <si>
    <t>section 4.2</t>
  </si>
  <si>
    <t>Pg C</t>
  </si>
  <si>
    <t>SE Asia</t>
  </si>
  <si>
    <t>Changes in forest management and wood use (CLIBO)</t>
  </si>
  <si>
    <t>CLIBO</t>
  </si>
  <si>
    <t>Fig. 5</t>
  </si>
  <si>
    <t>BIOGEOSCIENCES</t>
  </si>
  <si>
    <t>Biogeosciences</t>
  </si>
  <si>
    <t>Carbon balance; Substitution effects; Rotation forestry; Uneven-aged management</t>
  </si>
  <si>
    <t>FINE-ROOT BIOMASS; SCOTS PINE; NORWAY SPRUCE; SOIL CARBON; FOREST MANAGEMENT; STAND AGE; DECOMPOSITION; EMISSIONS; FINLAND; STORAGE</t>
  </si>
  <si>
    <t>Pukkala, T</t>
  </si>
  <si>
    <t>Does biofuel harvesting and continuous cover management increase carbon sequestration?</t>
  </si>
  <si>
    <t>The study used an existing forest planning system to analyze the influence of fuel feedstock harvesting and type of forest management on the carbon balance of forestry. The carbon balance module simulated changes in the carbon storage in living biomass, dead organic matter and products. Carbon releases from timber harvesting, transporting and manufacturing were included in the carbon balance, as well as the substitution, recycling and reuse effects of different types of wood products (avoided releases from fossil fuels due to the use of wood). Prediction models were developed for the initial pools of wood products and dead organic matter. The results show that collecting branches, stumps and coarse roots for bioenergy improves the carbon balance very little during the first 30 years of biofuel harvesting. This is because decreased carbon balance of forest soil partially cancels the positive substitution effects of fuel feedstock harvesting. Using high thinnings and continuous cover management instead of low thinnings, clear felling and artificial regeneration have an immediate positive effect on the carbon balance. This is because the sizes of the wood product and living biomass pools increase, and manufacturing releases decrease. (C) 2014 Elsevier B.V. All rights reserved.</t>
  </si>
  <si>
    <t>10.1016/j.forpol.2014.03.004</t>
  </si>
  <si>
    <t>Continuous cover vs clearfelling</t>
  </si>
  <si>
    <t>Continuous cover forestry (CCF)</t>
  </si>
  <si>
    <t>Current management with fuel feedstock harvesting (RF low, biofuel)</t>
  </si>
  <si>
    <t>Inflow to HWP pool</t>
  </si>
  <si>
    <t>Table 7</t>
  </si>
  <si>
    <t>tC/ha/yr</t>
  </si>
  <si>
    <t>Table 6</t>
  </si>
  <si>
    <t>Liski, J., Pussinen, A., Pingoud, K., Mäkipää, R., Karjalainen, T., 2001.Which rotation length
is favourable to carbon sequestration? Can. J. For. Res. 31, 2004–2013.</t>
  </si>
  <si>
    <t>High thinning vs low thinning</t>
  </si>
  <si>
    <t>Current management with fuel feedstock harvesting and high thinnings instead of low thinning (RF high, biofuel)</t>
  </si>
  <si>
    <t>Residue harvesting or not</t>
  </si>
  <si>
    <t>Current management without fuel feedstock harvesting (RF low, no biofuel)</t>
  </si>
  <si>
    <t>Any-aged management (AAF) = continuous cover forestry and high thinnings</t>
  </si>
  <si>
    <t>Forest biomass; Intensive management; Carbon balance in forestry; Energy carbon balance; Carbon neutrality; Substitution</t>
  </si>
  <si>
    <t>FOREST MANAGEMENT; SCOTS PINE; DIOXIDE EMISSIONS; TIMBER PRODUCTION; CLIMATE-CHANGE; IMPACTS; GROWTH; STOCKS; FERTILIZATION; SENSITIVITY</t>
  </si>
  <si>
    <t>Pyorala, P; Kellomaki, S; Peltola, H</t>
  </si>
  <si>
    <t>Effects of management on biomass production in Norway spruce stands and carbon balance of bioenergy use</t>
  </si>
  <si>
    <t>In this study, we analyzed the effects of management on the production of timber and energy biomass, and ecosystem carbon balance in Norway spruce (Picea abies) stands, with impacts on carbon neutrality of the use of biomass in energy production. In simulations, we employed the ecosystem model and life cycle analyses tool with varying management scenarios (thinning, nitrogen fertilization and rotation length) on medium fertile and fertile sites in central Finland. We found that the annual mean timber production could be increased by using longer rotation lengths of 60-80 years. This was opposite to energy biomass production, which was increased the most by using shorter rotations of 30-50 years. On the other hand, both of them could be increased by applying nitrogen fertilization and by maintaining higher stocking over the rotation compared to the current Finnish baseline management. This positively affected both the carbon storage and carbon balance in forestry, as well as the energy carbon balance which takes into account both carbon balance for forestry and the CO2 emissions from the burning of energy biomass. It also decreased the CO2 emissions per unit of energy by approx. 30% compared to baseline management, regardless of site fertility type. Similarly, the carbon neutrality of the bioenergy system could be increased in this way compared to the use of coal instead. To conclude, based on proper management it will be possible to increase simultaneously the production of timber and energy biomass, and carbon stock in the forest ecosystem and to improve the forest ecosystem carbon balance so that in the long-term the CO2 uptake will exceed concurrent emissions. (C) 2012 Elsevier B.V. All rights reserved.</t>
  </si>
  <si>
    <t>10.1016/j.foreco.2012.02.037</t>
  </si>
  <si>
    <t>thinning intensity (Fertile OMT, 50y rotation)</t>
  </si>
  <si>
    <t>R40</t>
  </si>
  <si>
    <t>RB</t>
  </si>
  <si>
    <t>timber +energy</t>
  </si>
  <si>
    <t>tCO2/ha/a</t>
  </si>
  <si>
    <t>Statistics Finland_2005</t>
  </si>
  <si>
    <t>thinning intensity (Medium Fertility MT, 80y rotation)</t>
  </si>
  <si>
    <t>R0</t>
  </si>
  <si>
    <t>thinning intensity ( Fertile OMT, 80y rotation)</t>
  </si>
  <si>
    <t>thinning intensity (Medium Fertility MT, 50y rotation)</t>
  </si>
  <si>
    <t>fertilization (Fertile OMT, 50y rotation)</t>
  </si>
  <si>
    <t>RBF</t>
  </si>
  <si>
    <t>fertilization (Medium Fertility MT, 80y rotation)</t>
  </si>
  <si>
    <t>fertilization ( Fertile OMT, 80y rotation)</t>
  </si>
  <si>
    <t>fertilization (Medium Fertility MT, 50y rotation)</t>
  </si>
  <si>
    <t>fertility (R30F,  50y)</t>
  </si>
  <si>
    <t>MT</t>
  </si>
  <si>
    <t>OMT</t>
  </si>
  <si>
    <t>fig2-3</t>
  </si>
  <si>
    <t>v1</t>
  </si>
  <si>
    <t>fertility (R30F,  80y)</t>
  </si>
  <si>
    <t>v2</t>
  </si>
  <si>
    <t>fertility (RB,  50y)</t>
  </si>
  <si>
    <t>v3</t>
  </si>
  <si>
    <t>fertility (RB,  80y)</t>
  </si>
  <si>
    <t>v0</t>
  </si>
  <si>
    <t>bioenergy from harvest residues instead of coal (High Fertility site; 80 yr rotation;no thinning; no fertilizer)</t>
  </si>
  <si>
    <t>Bioenergy</t>
  </si>
  <si>
    <t>Energy biomass (residues)</t>
  </si>
  <si>
    <t>kg CO2 MWh-1</t>
  </si>
  <si>
    <t>Fix sequestration sign &amp; correct coal Cref</t>
  </si>
  <si>
    <t>bioenergy from harvest residues instead of coal (Medium Fertility site; 80 yr rotation;no thinning; no fertilizer)</t>
  </si>
  <si>
    <t>bioenergy from harvest residues instead of coal (High Fertility site; 80 yr rotation;Max-40% thinning; Fertilized)</t>
  </si>
  <si>
    <t>bioenergy from harvest residues instead of coal (High Fertility site; 80 yr rotation;Max-30% thinning; Fertilized)</t>
  </si>
  <si>
    <t>bioenergy from harvest residues instead of coal (Medium Fertility site; 80 yr rotation;Max-30% thinning; Fertilized)</t>
  </si>
  <si>
    <t>bioenergy from harvest residues instead of coal (Medium Fertility site; 80 yr rotation;Max-40% thinning; Fertilized)</t>
  </si>
  <si>
    <t>bioenergy from harvest residues instead of coal (High Fertility site; 80 yr rotation;Max-40% thinning; no fertilizer)</t>
  </si>
  <si>
    <t>bioenergy from harvest residues instead of coal (Medium Fertility site; 80 yr rotation;Max-40% thinning; no fertilizer)</t>
  </si>
  <si>
    <t>bioenergy from harvest residues instead of coal (Medium Fertility site; 80 yr rotation;Max-30% thinning; no fertilizer)</t>
  </si>
  <si>
    <t>bioenergy from harvest residues instead of coal (Medium Fertility site; 80 yr rotation;Max-20% thinning; Fertilized)</t>
  </si>
  <si>
    <t>bioenergy from harvest residues instead of coal (High Fertility site; 80 yr rotation;Max-20% thinning; Fertilized)</t>
  </si>
  <si>
    <t>bioenergy from harvest residues instead of coal (Medium Fertility site; 80 yr rotation;Max-20% thinning; no fertilizer)</t>
  </si>
  <si>
    <t>bioenergy from harvest residues instead of coal (High Fertility site; 80 yr rotation;Max-30% thinning; no fertilizer)</t>
  </si>
  <si>
    <t>bioenergy from harvest residues instead of coal (Medium Fertility site; 80 yr rotation;Max thinning; no fertilizer)</t>
  </si>
  <si>
    <t>bioenergy from harvest residues instead of coal (High Fertility site; 80 yr rotation;Max-20% thinning; no fertilizer)</t>
  </si>
  <si>
    <t>bioenergy from harvest residues instead of coal (Medium Fertility site; 80 yr rotation;Max thinning; Fertilized)</t>
  </si>
  <si>
    <t>bioenergy from harvest residues instead of coal (High Fertility site; 80 yr rotation;Max thinning; Fertilized)</t>
  </si>
  <si>
    <t>bioenergy from harvest residues instead of coal (High Fertility site; 80 yr rotation;Max thinning; no fertilizer)</t>
  </si>
  <si>
    <t>bioenergy from harvest residues instead of coal (High Fertility site; 30 yr rotation;Max thinning; Fertilized)</t>
  </si>
  <si>
    <t>bioenergy from harvest residues instead of coal (High Fertility site; 30 yr rotation;Max-30% thinning; Fertilized)</t>
  </si>
  <si>
    <t>bioenergy from harvest residues instead of coal (High Fertility site; 30 yr rotation;Max-20% thinning; Fertilized)</t>
  </si>
  <si>
    <t>bioenergy from harvest residues instead of coal (Medium Fertility site; 30 yr rotation;Max-40% thinning; Fertilized)</t>
  </si>
  <si>
    <t>bioenergy from harvest residues instead of coal (High Fertility site; 30 yr rotation;Max-40% thinning; no fertilizer)</t>
  </si>
  <si>
    <t>bioenergy from harvest residues instead of coal (High Fertility site; 30 yr rotation;no thinning; no fertilizer)</t>
  </si>
  <si>
    <t>bioenergy from harvest residues instead of coal (High Fertility site; 30 yr rotation;Max thinning; no fertilizer)</t>
  </si>
  <si>
    <t>bioenergy from harvest residues instead of coal (High Fertility site; 30 yr rotation;Max-30% thinning; no fertilizer)</t>
  </si>
  <si>
    <t>bioenergy from harvest residues instead of coal (High Fertility site; 30 yr rotation;Max-20% thinning; no fertilizer)</t>
  </si>
  <si>
    <t>bioenergy from harvest residues instead of coal (Medium Fertility site; 30 yr rotation;Max-30% thinning; Fertilized)</t>
  </si>
  <si>
    <t>bioenergy from harvest residues instead of coal (Medium Fertility site; 30 yr rotation;Max-20% thinning; Fertilized)</t>
  </si>
  <si>
    <t>bioenergy from harvest residues instead of coal (Medium Fertility site; 30 yr rotation;Max thinning; Fertilized)</t>
  </si>
  <si>
    <t>bioenergy from harvest residues instead of coal (Medium Fertility site; 30 yr rotation;Max-20% thinning; no fertilizer)</t>
  </si>
  <si>
    <t>bioenergy from harvest residues instead of coal (Medium Fertility site; 30 yr rotation;no thinning; no fertilizer)</t>
  </si>
  <si>
    <t>bioenergy from harvest residues instead of coal (Medium Fertility site; 30 yr rotation;Max thinning; no fertilizer)</t>
  </si>
  <si>
    <t>bioenergy from harvest residues instead of coal (Medium Fertility site; 30 yr rotation;Max-30% thinning; no fertilizer)</t>
  </si>
  <si>
    <t>bioenergy from harvest residues instead of coal (Medium Fertility site; 30 yr rotation;Max-40% thinning; no fertilizer)</t>
  </si>
  <si>
    <t>forest planning; multi-function forest; ecosystem services; combinatorial optimization; adjacency constraints; simulated annealing</t>
  </si>
  <si>
    <t>SEQUESTRATION; CONSTRAINTS; ADJACENCY; BIOMASS; FIRE; PROFITABILITY; DYNAMICS; STORAGE; SEARCH; IMPACT</t>
  </si>
  <si>
    <t>Qin, HY; Dong, LB; Huang, YL</t>
  </si>
  <si>
    <t>Evaluating the Effects of Carbon Prices on Trade-Offs between Carbon and Timber Management Objectives in Forest Spatial Harvest Scheduling Problems: A Case Study from Northeast China</t>
  </si>
  <si>
    <t>To mitigate global climatic changes, long-term carbon trading and carbon taxes have been implemented in many countries. However, carbon prices have varied in many of these regions. Therefore, the goal of this paper was to evaluate the effects of carbon prices on trade-offs between forest carbon and timber management objectives in spatial harvest scheduling problems. The objective function of the planning problem was designed to maximize the discounted net present value of harvested timber and the differences of carbon stocks in living tree biomass between the beginning and end of the planning horizon (DoC) within a 30-year time frame for a large forest region in northeast China. The constraints primarily related to maintaining an even flow of harvested timber and guaranteeing the maximum opening size. Forest developments were simulated using a set of standard stand-level growth and yield models, and the solutions of the planning problem were generated using the standard version of a simulated annealing algorithm. The effects of a wide range of carbon prices on the harvested timber and DoC levels were examined. The results showed that the trade-offs between forest harvested timber and the DoC displayed a typical nonlinear tendency as carbon prices increased. The current carbon prices (i.e., 25, 50 and 75 (sic)/ton) in China had no significant effects on the optimal forest management plans compared with a scenario that used a carbon price of zero. The minimum carbon price that can provide the financial incentive for the forests to function as a significant carbon sink was estimated to be somewhat over 800 (sic)/ton. This result could be useful in determining the appropriate carbon offset standard in this region.</t>
  </si>
  <si>
    <t>10.3390/f8020043</t>
  </si>
  <si>
    <t>carbon price (5000 yen per ton)</t>
  </si>
  <si>
    <t>Zero Yen</t>
  </si>
  <si>
    <t>carbon price (3000 yen per ton)</t>
  </si>
  <si>
    <t>carbon price (1500 yen per ton)</t>
  </si>
  <si>
    <t>carbon price (800 yen per ton)</t>
  </si>
  <si>
    <t>Optimal forest management; Greenhouse gas mitigation; Material substitution; Energy substitution; Regional analysis</t>
  </si>
  <si>
    <t>GREENHOUSE-GAS EMISSIONS; TIMBER PRODUCTION; WOOD PRODUCTS; LIFE-CYCLE; SEQUESTRATION; MANAGEMENT; SUBSTITUTION; BIOMASS; SOILS; ACCUMULATION</t>
  </si>
  <si>
    <t>Raymer, AK; Gobakken, T; Solberg, B; Hoen, HF; Bergseng, E</t>
  </si>
  <si>
    <t>A forest optimisation model including carbon flows: Application to a forest in Norway</t>
  </si>
  <si>
    <t>We analyse which management to choose in order to increase the carbon benefit from the 1.342 million ha forest area in Hedmark County, Norway, and the cost of doing this compared to traditional profit maximising behaviour. The model used in the analysis is a dynamic forest management optimisation model which includes the main carbon flows and benefits from the forest area: tree growth and mortality, litter accumulation, decomposition of dead wood and harvest residues, soil processes, end-use of wood products, and saved greenhouse gas emissions from using wood products instead of more energy intensive materials and fossil fuels. The overall harvest from the region is restricted to the present level, in order to see which carbon benefits can be achieved while keeping a steady supply of timber to the forest industry. Under this restriction, maximising carbon benefit decreases the net present value of timber revenue from the region by 21%. There is more planting and less thinning compared to when timber revenue is maximised. If substitution effects, i.e. saved greenhouse gas emissions from use of wood products, are included in the analysis, it is optimal with more planting and thinning, although the changes are small in this case study because harvest level is held constant. On the other hand, net present value of carbon benefit (in ton CO2-equivalent) is increased by 1.4-1.6 times when substitution effects are included. Changing forest management is a cost effective mitigation option. For a cost of (sic) 0-10 per ton discounted CO2-equivalent, the net present value of carbon benefit from the area can be increased with 0.2-0.3 million tonnes CO2-equivalents on average in every year of the 120 years long planning horizon taking discounting into account (annuity). (C) 2009 Elsevier B.V. All rights reserved.</t>
  </si>
  <si>
    <t>10.1016/j.foreco.2009.04.036</t>
  </si>
  <si>
    <t>Maximize timber revenues</t>
  </si>
  <si>
    <t>MaxTimberNPV</t>
  </si>
  <si>
    <t>MaxCarbonNPV_withoutsubstitution</t>
  </si>
  <si>
    <t>Standing Volume</t>
  </si>
  <si>
    <t>milion m3</t>
  </si>
  <si>
    <t>MaxCarbonNPV_withsubstitution</t>
  </si>
  <si>
    <t>residue management</t>
  </si>
  <si>
    <t>coal and natural gas are included in the study but not  used in the data extraction</t>
  </si>
  <si>
    <t xml:space="preserve">Repo, A., Tuovinen, J. P., &amp; Liski, J. </t>
  </si>
  <si>
    <t xml:space="preserve"> Can we produce carbon and climate neutral forest bioenergy?</t>
  </si>
  <si>
    <t xml:space="preserve"> Gcb Bioenergy</t>
  </si>
  <si>
    <t>10.1111/gcbb.12134</t>
  </si>
  <si>
    <t>no residue removal (Fig 5)</t>
  </si>
  <si>
    <t>Bioenergy -21% (Fig 5)</t>
  </si>
  <si>
    <t>average biomass harvested over a rotation</t>
  </si>
  <si>
    <t>J m-2</t>
  </si>
  <si>
    <t>Bioenergy +10 (Fig 5)</t>
  </si>
  <si>
    <t>Bioenergy (Fig 5)</t>
  </si>
  <si>
    <t>Bioenergy +38% (Fig 5)</t>
  </si>
  <si>
    <t>coal and natural gas are included in the study but not used in the data extraction</t>
  </si>
  <si>
    <t>WOODY BIOMASS ENERGY; OPTIMAL MANAGEMENT; SEQUESTER CARBON; IMPACTS; SECTOR; POLICY; MITIGATION; BIOENERGY; PAYMENTS; INSIGHTS</t>
  </si>
  <si>
    <t>Riviere, M; Caurla, S</t>
  </si>
  <si>
    <t>Landscape implications of managing forests for carbon sequestration</t>
  </si>
  <si>
    <t>We explore the implications of managing forests for the dual purpose of sequestering carbon and producing timber, using a model of the forest sector that includes a Hartman-based representation of forest owners' behaviour as well as heterogeneity in environmental conditions. We focus on France, where recent policies aim at increasing the carbon sink and where the diversity of forests makes an analysis of spatial dynamics relevant, and we use recent estimates of the shadow price of carbon consistent with the country's climate commitments. Results suggest that forests may sequester up to 550 MtCO(2)eq by 2100, driven by changes in harvest levels and species choice, whilst rotation lengths increase overall. A spatial analysis reveals a high spatial variability for these trends, highlighting the importance of considering the local context. Changes in investment patterns affect the spatial distribution of forest cover types: by the end of the century, a majority of regions comprise a larger share of older, multiple-species and mixed-structure forests. Whilst such an evolution may present benefits in terms of biodiversity, ecosystem services provision and resilience, it raises questions regarding the adequacy of such developments with current forest policy, which also aims at increasing harvest levels. An overall mitigation strategy for the forest sector would likely include incentives to energy and material substitution in downstream industries, which we did not consider and may interact with sequestration incentives.</t>
  </si>
  <si>
    <t>10.1093/forestry/cpaa015</t>
  </si>
  <si>
    <t>Low price of carbon</t>
  </si>
  <si>
    <t>LOW</t>
  </si>
  <si>
    <t>Harvested Volume</t>
  </si>
  <si>
    <t>Main (reported) price of carbon</t>
  </si>
  <si>
    <t>MAIN</t>
  </si>
  <si>
    <t>High price of carbon</t>
  </si>
  <si>
    <t>High</t>
  </si>
  <si>
    <t>Main (reported) price of carbon_landownerDoesNOtaccountforC</t>
  </si>
  <si>
    <t>MAIN-F</t>
  </si>
  <si>
    <t>Canada; Managed forest; Harvested wood products; Cascade; Cradle-to-cradle utilization; Carbon footprint; Energy wood</t>
  </si>
  <si>
    <t>EMISSIONS; WASTE; PARTICLEBOARD; CONSUMPTION; INVENTORY; BALANCES; IMPACTS; PELLETS; STORAGE; MARKET</t>
  </si>
  <si>
    <t>Sikkema, R; Junginger, M; McFarlane, P; Faaij, A</t>
  </si>
  <si>
    <t>The GHG contribution of the cascaded use of harvested wood products in comparison with the use of wood for energy-A case study on available forest resources in Canada</t>
  </si>
  <si>
    <t>Some Parties (Countries) to the UNFCCC decided to include the carbon uptake by harvested wood products (HWP) in a new general accounting framework after 2012 (post Kyoto). The analysis aims to make a comparison between the cascaded use of HWP and the use of wood for energy. We combine the new HWP framework with an assumed increased 50 million m(3) harvest level in Canada and evaluate the impact of the GHG emissions over a 100-year period. Our reference case assumes all harvested wood is an immediate CO2 emission (IPCC default) and no substitution effects, i.e. annual GHG emissions of 41 million tonnes CO2eq. In our wood utilization scenario's, harvested trees are allocated (in varying shares) to three end-products: construction wood, paper products and pellets for power production. In comparison with our base case, a combination of fossil fuel substitution, material substitution and temporary carbon uptake by HWP leads to significant decreases in GHG emissions. All scenario's show annual GHG emission between 18 and 21 million tonnes CO2eq except for triple use without recycling (at least 24 million tonnes CO2eq). We conclude that GHG emissions of our scenarios are substantially lower than IPCC default. However, it is difficult to incorporate one single method to account for GHG uptake and emissions by HWP, due to end use efficiency and recycling options. Further GHG allocation over individual countries is not straightforward and needs further research. (C) 2013 Elsevier Ltd. All rights reserved.</t>
  </si>
  <si>
    <t>10.1016/j.envsci.2013.03.007</t>
  </si>
  <si>
    <t>Triple Use of wood products for construction, paper, and pellets; solid waste combustion with 30% efficiency; no recycling</t>
  </si>
  <si>
    <t>Wood harvested</t>
  </si>
  <si>
    <t>1; self-calculated for end of life energy recovery of wood products</t>
  </si>
  <si>
    <t>1; https://webarchive.nationalarchives.gov.uk/ukgwa/20121217163822/https://www.decc.gov.uk/en/content/cms/consultations/biomass_ro/biomass_ro.aspx</t>
  </si>
  <si>
    <t>38%; https://link.springer.com/article/10.1007/s10086-009-1107-4</t>
  </si>
  <si>
    <t>Fix sequestration sign; C_alternative values checked from file Valade_2018_data</t>
  </si>
  <si>
    <t>Triple Use of wood products for construction, paper, and pellets; solid waste combustion with 20% efficiency; no recycling</t>
  </si>
  <si>
    <t>Triple Use of wood products for construction, paper, and pellets; solid waste combustion with 30% efficiency; with recycling</t>
  </si>
  <si>
    <t>Triple Use of wood products for construction, paper, and pellets; solid waste combustion with 20% efficiency; with recycling</t>
  </si>
  <si>
    <t>Duel Use of wood products for construction and pellets; solid waste combustion with 30% efficiency; with recycling</t>
  </si>
  <si>
    <t>Duel Use of wood products for construction and pellets; solid waste combustion with 30% efficiency; no recycling</t>
  </si>
  <si>
    <t>Single Use of wood products for energy pellets; no recycling</t>
  </si>
  <si>
    <t>Duel Use of wood products for construction and pellets; solid waste combustion with 20% efficiency; with recycling</t>
  </si>
  <si>
    <t>Duel Use of wood products for construction and pellets; solid waste combustion with 20% efficiency; no recycling</t>
  </si>
  <si>
    <t>GROWING POPLAR PLANTATIONS; LIFE-CYCLE ASSESSMENT; CARBON SEQUESTRATION; ENVIRONMENTAL PERFORMANCE; BOREAL FORESTS; MANAGEMENT; BIOENERGY; IMPACTS; BIOMASS; AFFORESTATION</t>
  </si>
  <si>
    <t>Smyth, CE; Stinson, G; Neilson, E; Lempriere, TC; Hafer, M; Rampley, GJ; Kurz, WA</t>
  </si>
  <si>
    <t>Quantifying the biophysical climate change mitigation potential of Canada's forest sector</t>
  </si>
  <si>
    <t>The potential of forests and the forest sector to mitigate greenhouse gas (GHG) emissions is widely recognized, but challenging to quantify at a national scale. Forests and their carbon (C) sequestration potential are affected by management practices, where wood harvesting transfers C out of the forest into products, and subsequent regrowth allows further C sequestration. Here we determine the mitigation potential of the 2.3 x 10(6) km(2) of Canada's managed forests from 2015 to 2050 using the Carbon Budget Model of the Canadian Forest Sector (CBM-CFS3), a harvested wood products (HWP) model that estimates emissions based on product half-life decay times, and an account of emission substitution benefits from the use of wood products and bioenergy. We examine several mitigation scenarios with different assumptions about forest management activity levels relative to a base case scenario, including improved growth from silvicultural activities, increased harvest and residue management for bioenergy, and reduced harvest for conservation. We combine forest management options with two mitigation scenarios for harvested wood product use involving an increase in either long-lived products or bioenergy uses. Results demonstrate large differences among alternative scenarios, and we identify potential mitigation scenarios with increasing benefits to the atmosphere for many decades into the future, as well as scenarios with no net benefit over many decades. The greatest mitigation impact was achieved through a mix of strategies that varied across the country and had cumulative mitigation of 254 Tg CO(2)e in 2030, and 1180 Tg CO(2)e in 2050. There was a trade-off between short-term and long-term goals, in that maximizing short-term emissions reduction could reduce the forest sector's ability to contribute to longer-term objectives. We conclude that (i) national-scale forest sector mitigation options need to be assessed rigorously from a systems perspective to avoid the development of policies that deliver no net benefits to the atmosphere, (ii) a mix of strategies implemented across the country achieves the greatest mitigation impact, and (iii) because of the time delays in achieving carbon benefits for many forest-based mitigation activities, future contributions of the forest sector to climate mitigation can be maximized if implemented soon.</t>
  </si>
  <si>
    <t>10.5194/bg-11-3515-2014</t>
  </si>
  <si>
    <t>Increased growth from fertilization, use of improved seed or stand</t>
  </si>
  <si>
    <t>better growth</t>
  </si>
  <si>
    <t>; varies for type of wood product from 0.38 to .77 Mg C avoided per Mg C of wood and varied btw -.08 and .779 for energy (across Canada)</t>
  </si>
  <si>
    <t>Commercial thinning for bionergy feedstock</t>
  </si>
  <si>
    <t>Bioenergy PCT</t>
  </si>
  <si>
    <t>Additional harvest</t>
  </si>
  <si>
    <t>Tg C yr-1</t>
  </si>
  <si>
    <t>Fix C estimates, they are given as cumulated but wood amount is given as yearly so C estimate should be divided by time period</t>
  </si>
  <si>
    <t>Pre-commercial thinning for bionergy feedstock</t>
  </si>
  <si>
    <t>Bioenergy CT</t>
  </si>
  <si>
    <t>Increase harvest utilization rates and utilize residues</t>
  </si>
  <si>
    <t>bettter utilization</t>
  </si>
  <si>
    <t>Utilization</t>
  </si>
  <si>
    <t>Reduce harvest levels and restrict harvest area</t>
  </si>
  <si>
    <t>harvest less</t>
  </si>
  <si>
    <t>Harvest Reduction</t>
  </si>
  <si>
    <t>correct Qwood multiplied by number of years to have the cumulative value</t>
  </si>
  <si>
    <t>fix C to put it /yr like Qwood</t>
  </si>
  <si>
    <t>Faster regeneration from post-harvest planting</t>
  </si>
  <si>
    <t>planting</t>
  </si>
  <si>
    <t>Clear-cut harvest for bionergy feedstock</t>
  </si>
  <si>
    <t>Bioenergy harvest</t>
  </si>
  <si>
    <t>Increase proportion of harvested wood for bionenergy feedstock</t>
  </si>
  <si>
    <t>bioenergy feedstock</t>
  </si>
  <si>
    <t>Increase proportion of harvest for longer-lived wood products</t>
  </si>
  <si>
    <t>bioenergy; Canada's managed forest; Carbon Budget Model of the Canadian Forest Sector; climate change mitigation; GHG emissions; harvest residues</t>
  </si>
  <si>
    <t>FOREST RESIDUES; CARBON EMISSIONS; SMALL-SCALE; BIOMASS; ENERGY; PRODUCTIVITY; MANAGEMENT; DYNAMICS; REMOVAL; BOREAL</t>
  </si>
  <si>
    <t>Smyth, C; Kurz, WA; Rampley, G; Lempriere, TC; Schwab, O</t>
  </si>
  <si>
    <t>Climate change mitigation potential of local use of harvest residues for bioenergy in Canada</t>
  </si>
  <si>
    <t>We estimate the mitigation potential of local use of bioenergy from harvest residues for the 2.3 x 10(6) km(2) (232 Mha) of Canada's managed forests from 2017 to 2050 using three models: Carbon Budget Model of the Canadian Forest Sector (CBM-CFS3), a harvested wood products (HWP) model that estimates bioenergy emissions, and a model of emission substitution benefits from the use of bioenergy. We compare the use of harvest residues for local heat and electricity production relative to a base case scenario and estimate the climate change mitigation potential at the forest management unit level. Results demonstrate large differences between and within provinces and territories across Canada. We identify regions with increasing benefits to the atmosphere for many decades into the future and regions where no net benefit would occur over the 33-year study horizon. The cumulative mitigation potential for regions with positive mitigation was predicted to be 429 Tg CO(2)e in 2050, with 7.1 TgC yr (-1) of harvest residues producing bioenergy that met 3.1% of the heat demand and 2.9% of the electricity demand for 32.1 million people living within these regions. Our results show that regions with positive mitigation produced bioenergy, mainly from combined heat and power facilities, with emissions intensities that ranged from roughly 90 to 500 kg CO(2)e MWh(-1). Roughly 40% of the total captured harvest residue was associated with regions that were predicted to have a negative cumulative mitigation potential in 2050 of -152 Tg CO(2)e. We conclude that the capture of harvest residues to produce local bioenergy can reduce GHG emissions in populated regions where bioenergy, mainly from combined heat and power facilities, offsets fossil fuel sources (fuel oil, coal and petcoke, and natural gas).</t>
  </si>
  <si>
    <t>10.1111/gcbb.12387</t>
  </si>
  <si>
    <t>Use harvest residues for bioenergy; reduce slashburning</t>
  </si>
  <si>
    <t>Residue Use</t>
  </si>
  <si>
    <t>; https://onlinelibrary.wiley.com/doi/full/10.1111/gcbb.12389</t>
  </si>
  <si>
    <t>Climate change mitigation; Forest sector; British Columbia; Cost per tonne; Socio-economic impact; GCBM</t>
  </si>
  <si>
    <t>LAND-USE CHANGE; CARBON-DYNAMICS; CANADA; WOOD; UNCERTAINTY; ENERGY; AFFORESTATION; SUBSTITUTION; BIODIVERSITY; MANAGEMENT</t>
  </si>
  <si>
    <t>Smyth, CE; Xu, Z; Lempriere, TC; Kurz, WA</t>
  </si>
  <si>
    <t>Climate change mitigation in British Columbia's forest sector: GHG reductions, costs, and environmental impacts</t>
  </si>
  <si>
    <t>Background The potential contributions from forest-based greenhouse gas (GHG) mitigation actions need to be quantified to develop pathways towards net negative emissions. Here we present results from a comparative analysis that examined mitigation options for British Columbia's forest sector. Mitigation scenarios were evaluated using a systems perspective that takes into account the changes in emissions and removals in forest ecosystems, in harvested wood product (HWP) carbon stocks, and in other sectors where wood products substitute for emission-intensive materials and fossil fuels. All mitigation activities were assessed relative to a forward-looking 'business as usual' baseline for three implementation levels. In addition to quantifying net GHG emission reductions, we assessed economic, and socio-economic impacts as well as other environmental indicators relating to forest species, age class, deadwood availability and future timber supply. We further considered risks of reversal for land-based scenarios, by assessing impacts of increasing future wildfires on stands that were not harvested. Results Our spatially explicit analyses of forest sector mitigation options demonstrated a cost-effective portfolio of regionally differentiated scenarios that directed more of the harvested wood to longer-lived wood products, stopped burning of harvest residues and instead produced bioenergy to displace fossil fuel burning, and reduced harvest levels in regions with low disturbance rates. Domestically, net GHG emissions were reduced by an average of -9 MtCO(2)e year(-1)over 2020-2050 for a portfolio of mitigation activities at a default implementation level, with about 85% of the GHG emission reductions achieved below a cost of $50/tCO(2)e. Normalizing the net GHG reduction by changes in harvested wood levels permitted comparisons of the scenarios with different ambition levels, and showed that a 1 MtCO(2)increase in cumulative harvested stemwood results in a 1 MtCO(2)e reduction in cumulative emissions, relative to the baseline, for theHigher Recoveryscenario in 2070. Conclusions The analyses conducted in this study contribute to the global understanding of forest sector mitigation options by providing an integrated framework to synthesize the methods, assumptions, datasets and models needed to quantify mitigation activities using a systems approach. An understanding of economically feasible and socio-economically attractive mitigation scenarios along with trade offs for environmental indicators relating to species composition and age, helps decision makers with long-term planning for land sector contributions to GHG emission reduction efforts, and provides valuable information for stakeholder consultations.</t>
  </si>
  <si>
    <t>10.1186/s13021-020-00155-2</t>
  </si>
  <si>
    <t>Harvest reduction; low substitution benefit</t>
  </si>
  <si>
    <t>Harvest less_lowSub</t>
  </si>
  <si>
    <t>cumulated future timber supply</t>
  </si>
  <si>
    <t>MtCO2e</t>
  </si>
  <si>
    <t>Fix sequestration sign; Added wood harvest &amp; fixed reference assignment</t>
  </si>
  <si>
    <t>Reduced harvest of old stands; low substitution benefit</t>
  </si>
  <si>
    <t>Restricted Harvest_lowSub</t>
  </si>
  <si>
    <t>Harvest reduction; high substitution benefit</t>
  </si>
  <si>
    <t>Harvest less_highSub</t>
  </si>
  <si>
    <t>Reduced harvest of old stands; high substitution benefit</t>
  </si>
  <si>
    <t>Restricted Harvest_highSub</t>
  </si>
  <si>
    <t>Increase use of harvested stemwood for wood products without changing harvest area; high substitution benefit</t>
  </si>
  <si>
    <t>Higher Recovery_highSub</t>
  </si>
  <si>
    <t>Higher recovery plus residue use for bioenergy plus longer lived products; low substitution benefit</t>
  </si>
  <si>
    <t>Higher Recovery + Residues for Bioenergy_lowSub + LLP</t>
  </si>
  <si>
    <t>Higher recovery plus residue use for bioenergy plus longer-lived products; high substitution benefit</t>
  </si>
  <si>
    <t>Higher Recovery + Residues for Bioenergy_highSub + LLP</t>
  </si>
  <si>
    <t>Wood products shifted from pulp and paper to longer-lived products; low substitution benefit</t>
  </si>
  <si>
    <t>Longer-lived wood products_lowSub</t>
  </si>
  <si>
    <t>Wood products shifted from pulp and paper to longer-lived products; high substitution benefit</t>
  </si>
  <si>
    <t>Longer-lived wood products_highSub</t>
  </si>
  <si>
    <t>Increase use of harvested stemwood for wood products without changing harvest area; low substitution benefit</t>
  </si>
  <si>
    <t>Use harvest residues for bioenergy; low substitution benefit</t>
  </si>
  <si>
    <t>Residues for Bioenergy_lowSub</t>
  </si>
  <si>
    <t>Use harvest residues for bioenergy; high substitution benefit</t>
  </si>
  <si>
    <t>Residues for Bioenergy_highSub</t>
  </si>
  <si>
    <t>MITIGATION AND ADAPTATION STRATEGIES FOR GLOBAL CHANGE</t>
  </si>
  <si>
    <t>Forest; Carbon; Sequestration; Substitution; Sink; Avoided emissions</t>
  </si>
  <si>
    <t>Soimakallio, S; Kalliokoski, T; Lehtonen, A; Salminen, O</t>
  </si>
  <si>
    <t>On the trade-offs and synergies between forest carbon sequestration and substitution</t>
  </si>
  <si>
    <t>Forest biomass can be used in two different ways to limit the growth of the atmospheric greenhouse gas (GHG) concentrations: (1) to provide negative emissions through sequestration of carbon into forests and harvested wood products or (2) to avoid GHG emissions through substitution of non-renewable raw materials with wood. We study the trade-offs and synergies between these strategies using three different Finnish national-level forest scenarios between 2015 and 2044 as examples. We demonstrate how GHG emissions change when wood harvest rates are increased. We take into account CO2 and other greenhouse gas flows in the forest, the decay rate of harvested wood products and fossil-based CO2 emissions that can be avoided by substituting alternative materials with wood derived from increased harvests. We considered uncertainties of key parameters by using stochastic simulation. According to our results, an increase in harvest rates in Finland increased the total net GHG flow to the atmosphere virtually certainly or very likely, given the uncertainties and time frame considered. This was because the increased biomass-based CO2 and other greenhouse gas emissions to the atmosphere together with decreased carbon sequestration into the forest were very likely higher than the avoided fossil-based CO2 emissions. The reverse of this conclusion would require that compared to what was studied in this paper, the share of long-living wood products in the product mix would be higher, carbon dioxide from bioenergy production would be captured and stored, and reduction in forest carbon equivalent net sink due to wood harvesting would be minimized.</t>
  </si>
  <si>
    <t>Mitig. Adapt. Strateg. Glob. Chang.</t>
  </si>
  <si>
    <t>10.1007/s11027-021-09942-9</t>
  </si>
  <si>
    <t>Increase harvest to sustain maximum yield</t>
  </si>
  <si>
    <t>Harvested wood product</t>
  </si>
  <si>
    <t>; Soimakallion 2016; between 0.6 and 1.25 depending on product or energy</t>
  </si>
  <si>
    <t>na</t>
  </si>
  <si>
    <t>Increase harvest to use pellets</t>
  </si>
  <si>
    <t>Wood flow; Cascade utilisation; Logistics network; Mixed integer linear programming; UMBERTO</t>
  </si>
  <si>
    <t>LIFE-CYCLE ASSESSMENT; CHAIN OPTIMIZATION; BIOMASS; ENERGY; DESIGN; SYSTEM; MODEL; GENERATION</t>
  </si>
  <si>
    <t>Taskhiri, MS; Garbs, M; Geldermann, J</t>
  </si>
  <si>
    <t>Sustainable logistics network for wood flow considering cascade utilisation</t>
  </si>
  <si>
    <t>To address the growing demand for wood as a renewable resource, a trend that has arisen in recent years is to follow the principle of cascade utilisation and to use wood residues from by-products. The cascading principle represents a method supporting resource efficiency through the sequential use of the remaining quality resources from previous commodities and substances. The logistics concept deserves special attention with respect to the utilisation of wood resources and the cascading principle as logistics processes constitute the largest share of costs. This work considers a logistics network for wood flow for different products in various sectors. Examples include a logistics network for particle board in the material-based sector, pulp and paper production in the chemical sector, and wood pellets production in the energy sector using cascade utilisation and recovered wood. A transportation problem is modelled using a mixed-integer linear programming (MILP) model, and it is applied to a case study in Lower Saxony using the software CPLEX v12.5. The aim is to minimise the total logistics costs of a logistics network, including those associated with harvesting, chipping, storage and transportation, for several companies in different sectors. UMBERTO, a life cycle assessment (LCA) software, is used to investigate the potential environmental impacts of the optimised logistics network. The approach is applied to three scenarios in Lower Saxony, a state in Germany. The initial results indicate that the total cost of the considered wood logistics network does not change significantly for the cascading scenarios in comparison to that associated with fresh wood, but there would be a substantial reduction in CO2 emissions if cascade utilisation is used in the logistics network. (c) 2015 Elsevier Ltd. All rights reserved.</t>
  </si>
  <si>
    <t>10.1016/j.jclepro.2015.09.098</t>
  </si>
  <si>
    <t>% of recovered wood used to make panels (different types of panels are considered)</t>
  </si>
  <si>
    <t>Amount of wood recovered from waste wood</t>
  </si>
  <si>
    <t>forest carbon; managed forest; harvested wood products; emissions</t>
  </si>
  <si>
    <t>ECOSYSTEM SERVICES; MANAGEMENT; MITIGATION; IMPACTS; DISTURBANCE</t>
  </si>
  <si>
    <t>Ter-Mikaelian, MT; Colombo, SJ; Chen, JX</t>
  </si>
  <si>
    <t>Harvest volumes and carbon stocks in boreal forests of Ontario, Canada</t>
  </si>
  <si>
    <t>We used models to project forest carbon stocks for a series of harvesting scenarios for 29 boreal forest management units totalling 23.3 million ha in Ontario, Canada. Scenarios evaluated for 2020 to 2050 ranged from a no harvesting option to annual harvesting of 2% of the total merchantable volume present in 2020. For each scenario, we estimated the following carbon quantities: (a) forest ecosystem carbon stocks, (b) sum of carbon stocks in forest ecosystem and harvested wood products (HWP) minus emissions associated with HWP production and decomposition, and (c) net greenhouse gas (GHG) effects of harvesting estimated as (b) combined with emissions avoided by substituting HWP for non-wood materials. The average of each carbon quantity for 2020 to 2050 was linearly dependent on the annual harvest volume. The developed relationships were used to estimate harvest volumes for which the three carbon quantities would equal equilibrium forest ecosystem carbon stocks for a pre-suppression natural disturbance cycle. These estimates indicate the range of harvest volumes for which resulting carbon stocks would equal or exceed those in an unmanaged forest. Also discussed are possible criteria for determining annual harvest volume.</t>
  </si>
  <si>
    <t>10.5558/tfc2021-018</t>
  </si>
  <si>
    <t>No harvest</t>
  </si>
  <si>
    <t>Historical average</t>
  </si>
  <si>
    <t>m3 harvested over the 30 year period</t>
  </si>
  <si>
    <t>Original C balance given as "average stock", somehow cumulating forest and fossil stocks over the period. Original stock values are muliplied by 2 to reconstruct cumulated flux after aribitrarily setting the "No harvest" scenario at zero flux. Given that the relationship between harvest and cumulated emissions is found to be linear, no specific scenario is explicited. Here, three scenarios have been arbitrarily defined for the meta-analysis. Because of the linearity, they result in the same ratios and substitution factors.</t>
  </si>
  <si>
    <t>changedAV</t>
  </si>
  <si>
    <t>Doubled harvest</t>
  </si>
  <si>
    <t>Chen et al. 2018: https://academic.oup.com/forestry/article/91/2/193/4812633</t>
  </si>
  <si>
    <t>climate change; climate impact; energy biomass; forest management; radiative forcing; substitution</t>
  </si>
  <si>
    <t>CARBON-DIOXIDE EMISSIONS; FOREST BIOENERGY; SEQUESTRATION; NEUTRALITY; RESIDUES; TIMBER; DEBT</t>
  </si>
  <si>
    <t>Torssonen, P; Kilpelainen, A; Strandman, H; Kellomaki, S; Jylha, K; Asikainen, A; Peltola, H</t>
  </si>
  <si>
    <t>Effects of climate change and management on net climate impacts of production and utilization of energy biomass in Norway spruce with stable age-class distribution</t>
  </si>
  <si>
    <t>We studied the effects of climate change and forest management scenarios on net climate impacts (radiative forcing) of production and utilization of energy biomass, in a Norway spruce forest area over an 80-year simulation period in Finnish boreal conditions. A stable age-class distribution was used in model-based analyses to identify purely the management effects under the current and changing climate (SRES B1 and A2 scenarios). The radiative forcing was calculated based on an integrated use of forest ecosystem model simulations and a life cycle assessment (LCA) tool. In this work, forest-based energy was used to substitute coal, and current forest management (baseline management) was used as a reference management. In alternative management scenarios, the stocking was maintained 20% higher in thinning compared to the baseline management, and nitrogen fertilization was applied. Intensity of energy biomass harvest (e.g. logging residues, coarse roots and stumps) was varied in the final felling of the stands at the age of 80years. Also, the economic profitability (NPV, 3% interest rate) of integrated production of timber and energy biomass was calculated for each management scenario. Our results showed that compared to the baseline management, climate benefits could be increased by maintaining higher stocking in thinning over rotation, using nitrogen fertilization and harvesting logging residues, stumps and coarse roots in the final felling. Under the gradually changing climate (in both SRES B1 and A2), the climate benefits were lower compared to the current climate. Trade-offs between NPV and net climate impacts also existed.</t>
  </si>
  <si>
    <t>10.1111/gcbb.12258</t>
  </si>
  <si>
    <t>Haverting logging residues for energy</t>
  </si>
  <si>
    <t>BT</t>
  </si>
  <si>
    <t>BN</t>
  </si>
  <si>
    <t>Energy biomass harvested (fines branches and needles)</t>
  </si>
  <si>
    <t>table S1</t>
  </si>
  <si>
    <t>Mg ha-1 yr-1</t>
  </si>
  <si>
    <t>gCO2/m2/a (convert to per hectare)</t>
  </si>
  <si>
    <t>change cumulated radiative forcing for NEE to have the climate variable</t>
  </si>
  <si>
    <t>BNR</t>
  </si>
  <si>
    <t>BNR20</t>
  </si>
  <si>
    <t>Haverting logging residues for energy (+ lower thinning intensity)</t>
  </si>
  <si>
    <t>BN20</t>
  </si>
  <si>
    <t>BNF</t>
  </si>
  <si>
    <t>Climate change (A2 scenario)</t>
  </si>
  <si>
    <t>BN under constant climate</t>
  </si>
  <si>
    <t>BN under A2 scenario</t>
  </si>
  <si>
    <t>No difference between ref and scenario on forest management and wood use, but changing climate =&gt; it's a sensitivity analysis of the results of the main simulation under changing climate</t>
  </si>
  <si>
    <t>Climate change (B1 scenario)</t>
  </si>
  <si>
    <t>BN under B1 scenario</t>
  </si>
  <si>
    <t>BN20 under constant climate</t>
  </si>
  <si>
    <t>BN20 under A2 scenario</t>
  </si>
  <si>
    <t>BN20 under B1 scenario</t>
  </si>
  <si>
    <t>BNR under constant climate</t>
  </si>
  <si>
    <t>BNR under A2 scenario</t>
  </si>
  <si>
    <t>BNR under B1 scenario</t>
  </si>
  <si>
    <t>BNR20 under constant climate</t>
  </si>
  <si>
    <t>BNR20 under A2 scenario</t>
  </si>
  <si>
    <t>BNR20 under B1 scenario</t>
  </si>
  <si>
    <t>BN20F</t>
  </si>
  <si>
    <t>change driver for fertilization</t>
  </si>
  <si>
    <t>BNRF</t>
  </si>
  <si>
    <t>BNR20F</t>
  </si>
  <si>
    <t>BNF under constant climate</t>
  </si>
  <si>
    <t>BNF under A2 scenario</t>
  </si>
  <si>
    <t>BNF under B1 scenario</t>
  </si>
  <si>
    <t>BN20F under constant climate</t>
  </si>
  <si>
    <t>BN20F under A2 scenario</t>
  </si>
  <si>
    <t>BN20F under B1 scenario</t>
  </si>
  <si>
    <t>BNRF under constant climate</t>
  </si>
  <si>
    <t>BNRF under A2 scenario</t>
  </si>
  <si>
    <t>BNRF under B1 scenario</t>
  </si>
  <si>
    <t>BNR20F under constant climate</t>
  </si>
  <si>
    <t>BNR20F under A2 scenario</t>
  </si>
  <si>
    <t>BNR20F under B1 scenario</t>
  </si>
  <si>
    <t>JOURNAL OF WOOD SCIENCE</t>
  </si>
  <si>
    <t>Kyoto protocol; Carbon reduction; Carbon storage; Low-carbon society; Biomass energy</t>
  </si>
  <si>
    <t>GREENHOUSE-GAS INVENTORIES; UNITED-STATES</t>
  </si>
  <si>
    <t>Tsunetsugu, Y; Tonosaki, M</t>
  </si>
  <si>
    <t>Quantitative estimation of carbon removal effects due to wood utilization up to 2050 in Japan: effects from carbon storage and substitution of fossil fuels by harvested wood products</t>
  </si>
  <si>
    <t>Carbon absorbed by forests remains stored in the timber used for wood products, and a change in wood product stock can be evaluated as substantial removal/emission of atmospheric carbon. Since the carbon storage effect due to harvested wood products (HWP) might be taken into account in the future framework of carbon mitigation, it is crucial to estimate the carbon flow and stock concerning HWP for the next commitment period. In the present study, we developed a model for estimating the flow and stock of wood products in Japan's building, furniture, and paper sectors. The HWP carbon storage effect and substitution effect (carbon reduction by substituting fossil fuels and energy-intensive materials with HWP) up to 2050 were quantitatively estimated by lifetime analysis. Our model simulation revealed that (i) the carbon stock change in Japan due to HWP would be evaluated as a large emission if the atmospheric-flow approach is adopted, (ii) carbon removal would not significantly increase if the ratio of newly constructed wooden buildings/furniture remains stable, and (iii) the carbon storage effect together with the substitution effect would have a significant impact on climate change mitigation if the ratio of newly constructed wooden buildings/furniture is gradually improved to 70% by 2050.</t>
  </si>
  <si>
    <t>J. Wood Sci.</t>
  </si>
  <si>
    <t>10.1007/s10086-009-1107-4</t>
  </si>
  <si>
    <t>Share of wood-based buildings and furniture</t>
  </si>
  <si>
    <t>Promotion</t>
  </si>
  <si>
    <t>Wood harvest in 2050</t>
  </si>
  <si>
    <t>Mm3 yr-1</t>
  </si>
  <si>
    <t>MtC yr-1</t>
  </si>
  <si>
    <t>Reference</t>
  </si>
  <si>
    <t>Forest management; Renewable energy; Wood harvest; Forest stands; Carbon balance; Forest modelling; Forest growth; Wood-use; Energy substitution; Product substitution</t>
  </si>
  <si>
    <t>PINUS-SYLVESTRIS L.; STAND-DENSITY; EUROPEAN FORESTS; CLIMATE-CHANGE; CO2 EMISSIONS; BIOENERGY; BALANCE; MANAGEMENT; DEBT; CONSEQUENCES</t>
  </si>
  <si>
    <t>Valade, A; Luyssaert, S; Vallet, P; Djomo, SN; Van Der Kellen, IJ; Bellassen, V</t>
  </si>
  <si>
    <t>Carbon costs and benefits of France's biomass energy production targets</t>
  </si>
  <si>
    <t>Background: Concern about climate change has motivated France to reduce its reliance on fossil fuel by setting targets for increased biomass-based renewable energy production. This study quantifies the carbon costs and benefits for the French forestry sector in meeting these targets. A forest growth and harvest simulator was developed for French forests using recent forest inventory data, and the wood-use chain was reconstructed from national wood product statistics. We then projected wood production, bioenergy production, and carbon balance for three realistic intensification scenarios and a business-as-usual scenario. These intensification scenarios targeted either overstocked, harvest-delayed or currently actively managed stands. Results: All three intensification strategies produced 11.6-12.4 million tonnes of oil equivalent per year of wood-based energy by 2026, which corresponds to the target assigned to French wood-energy to meet the EU 2020 renewable energy target. Sustaining this level past 2026 will be challenging, let alone further increasing it. Although energy production targets can be reached, the management intensification required will degrade the near-term carbon balance of the forestry sector, compared to continuing present-day management. Even for the best-performing intensification strategy, i.e., reducing the harvest diameter of actively managed stands, the carbon benefits would only become apparent after 2040. The carbon balance of a strategy putting abandoned forests back into production would only break even by 2055; the carbon balance from increasing thinning in managed but untended stands would not break even within the studied time periods, i.e. 2015-2045 and 2046-2100. Owing to the temporal dynamics in the components of the carbon balance, i.e., the biomass stock in the forest, the carbon stock in wood products, and substitution benefits, the merit order of the examined strategies varies over time. Conclusions: No single solution was found to improve the carbon balance of the forestry sector by 2040 in a way that also met energy targets. We therefore searched for the intensification scenario that produces energy at the lowest carbon cost. Reducing rotation time of actively managed stands is slightly more efficient than targeting harvest-delayed stands, but in both cases, each unit of energy produced has a carbon cost that only turns into a benefit between 2060 and 2080.</t>
  </si>
  <si>
    <t>10.1186/s13021-018-0113-5</t>
  </si>
  <si>
    <t>Harvest harvest-delayed forests</t>
  </si>
  <si>
    <t>D: Extra mobilization of harvestdelayed forests</t>
  </si>
  <si>
    <t>Cumulated harvest over the period</t>
  </si>
  <si>
    <t>Thinning of overstocked forests</t>
  </si>
  <si>
    <t>Ov: Extra mobilization of overstocked forests</t>
  </si>
  <si>
    <t>Three drivers together</t>
  </si>
  <si>
    <t>A: Extra mobilization of all forests</t>
  </si>
  <si>
    <t>Reduction in threshold diameter for final felling</t>
  </si>
  <si>
    <t>M: Extra mobilization of actively managed forests</t>
  </si>
  <si>
    <t>ADEME. Forêt et atténuation du changement climatique; 2015</t>
  </si>
  <si>
    <t>FCBA (pers.comm.)</t>
  </si>
  <si>
    <t>Thinning in unthinned stand</t>
  </si>
  <si>
    <t xml:space="preserve">Werner, F., Taverna, R., Hofer, P., &amp; Richter, K. </t>
  </si>
  <si>
    <t xml:space="preserve"> Carbon pool and substitution effects of an increased use of wood in buildings in Switzerland: first estimates</t>
  </si>
  <si>
    <t xml:space="preserve"> Annals of Forest Science</t>
  </si>
  <si>
    <t>10.1051/forest:2005080</t>
  </si>
  <si>
    <t>Amount of wood used in construction</t>
  </si>
  <si>
    <t>current use (Table 1)</t>
  </si>
  <si>
    <t>optimistic scenario (Table 1)</t>
  </si>
  <si>
    <t>wood use for construction</t>
  </si>
  <si>
    <t>Mm3 y-1</t>
  </si>
  <si>
    <t>MtCO2 eq./yr</t>
  </si>
  <si>
    <t>Cummulative emission over 130 years in fig 9 converted to yearly</t>
  </si>
  <si>
    <t>added driver</t>
  </si>
  <si>
    <t>Climate change; CO2; GHG; Kyoto Protocol; Life cycle assessment; Sink; Substitution; Wood product; Forest management; Switzerland</t>
  </si>
  <si>
    <t>CARBON; PRODUCTS; ENERGY; SEQUESTRATION; CONSTRUCTION; CONSERVATION; LEAKAGE; TIMBER</t>
  </si>
  <si>
    <t>Werner, F; Taverna, R; Hofer, P; Thurig, E; Kaufmann, E</t>
  </si>
  <si>
    <t>National and global greenhouse gas dynamics of different forest management and wood use scenarios: a model-based assessment</t>
  </si>
  <si>
    <t>An increased use of wood products and an adequate management of forests can help to mitigate climate change. However, planning horizons and response time to changes in forest management are usually long and the respective GHG effects related to the use of wood depend on the availability of harvested wood. Therefore, an integral long-term strategic approach is required to formulate the most effective forest and wood management strategies for mitigating climate change. The greenhouse gas (GHG) dynamics related to the production, use and disposal of wood products are manifold and show a complex time pattern. On the one hand, wood products can be considered as a carbon pool, as is the forest itself. On the other hand, an increased use of wood can lead to the substitution of usually more energy-intense materials and to the substitution of fossil fuels when the thermal energy of wood is recovered. Country-specific import/export flows of wood products and their alternative products as well as their processing stage have to be considered if substitution effects are assessed on a national basis. We present an integral model-based approach to evaluate the GHG impacts of various forest management and wood use scenarios. Our approach allows us to analyse the complex temporal and spatial patterns of GHG emissions and removals including trade-offs of different forest management and wood use strategies. This study shows that the contributions of the forestry and timber sector to mitigate climate change can be optimized with the following key recommendations: (1) the maximum possible, sustainable increment should be generated in the forest, taking into account biodiversity conservation as well as the long-term preservation of soil quality and growth performance; (2) this increment should be harvested continuously; (3) the harvested wood should be processed in accordance with the principle of cascade use, i.e. first be used as a material as long as possible, preferably in structural components; (4) waste wood that is not suitable for further use should be used to generate energy. Political strategies to solely increase the use of wood as a biofuel cannot be considered efficient from a climate perspective; (5) forest management strategies to enhance carbon sinks in forests via reduced harvesting are not only ineffective because of a compensatory increase in fossil fuel consumption for the production of non-wooden products and thermal energy but also because of the Kyoto-cap that limits the accountability of GHG removals by sinks under Article 3.3 and 3.4, at least for the first commitment period; (6) the effect of substitution through the material and energy use of wood is more significant and sustained as compared with the stock effects in wood products, which tend towards new steady-state flow equilibria with no further increase of C stocks; (7) from a global perspective, the effect of material substitution exceeds that of energy recovery from wood. In the Swiss context, however, the energy recovery from wood generates a greater substitution effect than material substitution. (C) 2009 Elsevier Ltd. All rights reserved.</t>
  </si>
  <si>
    <t>10.1016/j.envsci.2009.10.004</t>
  </si>
  <si>
    <t>Longer rotation length and more set aside forest</t>
  </si>
  <si>
    <t>Reduced forest maintenance</t>
  </si>
  <si>
    <t>ecoinvent 2000 (Jungbluth, 2003; Faist and Heck, 2003; Bauer, 2003).</t>
  </si>
  <si>
    <t>Werner et al. (2006) or Taverna et al. (2007)</t>
  </si>
  <si>
    <t>Many time periods can be extracted (see Extraction sheet)</t>
  </si>
  <si>
    <t>Kyoto-optimized</t>
  </si>
  <si>
    <t>Optimized increment, building</t>
  </si>
  <si>
    <t>Optimized increment, energy</t>
  </si>
  <si>
    <t>scenario 1</t>
  </si>
  <si>
    <t>Biofuel; Carbon sequestration; Net present value; Forest management; Energy biomass</t>
  </si>
  <si>
    <t>TREE GROWTH; TIMBER PRODUCTION; CO2 ELEVATION; NORWAY SPRUCE; MANAGEMENT; PRODUCTS; IMPACTS; SEQUESTRATION; TEMPERATURE; ECOSYSTEM</t>
  </si>
  <si>
    <t>Zubizarreta-Gerendiain, A; Pukkala, T; Peltola, H</t>
  </si>
  <si>
    <t>Effects of wood harvesting and utilisation policies on the carbon balance of forestry under changing climate: a Finnish case study</t>
  </si>
  <si>
    <t>We studied the effects of different wood harvesting and utilisation policies on the carbon balance and economic profitability of forestry under the current and changing climate (A1B climate scenario). Sixty-year carbon balance was calculated for two Finnish boreal case study areas, one dominated by Scots pine and the other by Norway spruce. Carbon balance included changes in the carbon pools of living forest biomass (above- and below-ground), dead organic matter and wood products, as well as carbon releases from harvesting, transporting and manufacturing. Substitution effects of using biofuel instead of fossil-fuels were also taken into account. Business-as-usual (baseline) management policy (even-aged forestry: thinning from below, harvesting timber for wood-based products from thinning and final felling) and five other management policies were applied by changing the timing and type of thinning and the utilisation of harvested trees. Net present value (NPV, 2%) and carbon balance were maximised with even-flow net income constraints. In both case study areas, postponing the thinning of young stands and using thinning from above improved carbon balance and NPV. The use of pulpwood, logging residues and stumps as biofuel also increased carbon balance. Climate warming improved carbon balance and NPV when harvests were not increased from those under the current climate. (C) 2015 Elsevier B.V. All rights reserved.</t>
  </si>
  <si>
    <t>10.1016/j.forpol.2015.08.007</t>
  </si>
  <si>
    <t>Small diameters used for pulp rather than energy and more thinnings (baseline = alternative here)</t>
  </si>
  <si>
    <t>Spruce-dominated forest &amp; TB3 Same as TB2 except that postponing of thinnings in young stands is allowed</t>
  </si>
  <si>
    <t>Spruce-dominated forest &amp; TB1 Thinning from below; thinnings done according to the thinning instructions (immediately when stand basal area exceeds the ‘thinning limit’ of the instructions). Only saw logs and pulpwood are harvested.</t>
  </si>
  <si>
    <t>Total harvested biomass</t>
  </si>
  <si>
    <t>kt harvested biomass</t>
  </si>
  <si>
    <t>OtherQCneeded</t>
  </si>
  <si>
    <t>Spruce-dominated forest &amp; TA4: same as TB3 except that thinning from below was replaced by thinning from above</t>
  </si>
  <si>
    <t>Pine-dominated forest &amp; TB3 Same as TB2 except that postponing of thinnings in young stands is allowed</t>
  </si>
  <si>
    <t>Pine-dominated forest &amp; TB1 Thinning from below; thinnings done according to the thinning instructions (immediately when stand basal area exceeds the ‘thinning limit’ of the instructions). Only saw logs and pulpwood are harvested.</t>
  </si>
  <si>
    <t>Pine-dominated forest &amp; TA4: same as TB3 except that thinning from below was replaced by thinning from above</t>
  </si>
  <si>
    <t>Small diameters (all species) used for pulp rather than energy and more thinnings (baseline = alternative here)</t>
  </si>
  <si>
    <t>Pine-dominated forest &amp; TA5: same as Same as TA4 except that pine and birch pulpwood is not harvested. Small stems and the upper parts of log-sized pines and birches are harvested as fuel feedstock (from the top diameter of saw log until 5 cm diameter)</t>
  </si>
  <si>
    <t>Let's not compute a DF here: although there is a small increase in wood use, most of the C benefit is due to a reallocation of wood from pulp to energy.</t>
  </si>
  <si>
    <t>Spruce-dominated forest &amp; TA5: same as Same as TA4 except that pine and birch pulpwood is not harvested. Small stems and the upper parts of log-sized pines and birches are harvested as fuel feedstock (from the top diameter of saw log until 5 cm diameter)</t>
  </si>
  <si>
    <t>A1B climate &amp; Pine-dominated forest &amp; TA5: same as Same as TA4 except that pine and birch pulpwood is not harvested. Small stems and the upper parts of log-sized pines and birches are harvested as fuel feedstock (from the top diameter of saw log until 5 cm diameter)</t>
  </si>
  <si>
    <t>A1B climate &amp; Pine-dominated forest &amp; TB1 Thinning from below; thinnings done according to the thinning instructions (immediately when stand basal area exceeds the ‘thinning limit’ of the instructions). Only saw logs and pulpwood are harvested.</t>
  </si>
  <si>
    <t>A1B climate &amp; Pine-dominated forest &amp; TA4: same as TB3 except that thinning from below was replaced by thinning from above</t>
  </si>
  <si>
    <t>A1B climate &amp; Pine-dominated forest &amp; TB3 Same as TB2 except that postponing of thinnings in young stands is allowed</t>
  </si>
  <si>
    <t>A1B climate &amp; Spruce-dominated forest &amp; TA5: same as Same as TA4 except that pine and birch pulpwood is not harvested. Small stems and the upper parts of log-sized pines and birches are harvested as fuel feedstock (from the top diameter of saw log until 5 cm diameter)</t>
  </si>
  <si>
    <t>A1B climate &amp; Spruce-dominated forest &amp; TB1 Thinning from below; thinnings done according to the thinning instructions (immediately when stand basal area exceeds the ‘thinning limit’ of the instructions). Only saw logs and pulpwood are harvested.</t>
  </si>
  <si>
    <t>A1B climate &amp; Spruce-dominated forest &amp; TA4: same as TB3 except that thinning from below was replaced by thinning from above</t>
  </si>
  <si>
    <t>A1B climate &amp; Spruce-dominated forest &amp; TB3 Same as TB2 except that postponing of thinnings in young stands is allowed</t>
  </si>
  <si>
    <t>Small diameters used for energy rather than pulp</t>
  </si>
  <si>
    <t>Spruce-dominated forest &amp; TB2 Same as TB1 except that spruce pulpwood is not harvested. Norway spruce stem parts from diameter 16 cm (minimum top diameter of log) down to 5 cm are harvested as fuel feedstock.</t>
  </si>
  <si>
    <t>Pine-dominated forest &amp; TB2 Same as TB1 except that spruce pulpwood is not harvested. Norway spruce stem parts from diameter 16 cm (minimum top diameter of log) down to 5 cm are harvested as fuel feedstock.</t>
  </si>
  <si>
    <t>Small diameters used for energy rather than pulp in A1B climate scenario (+2,5°c)</t>
  </si>
  <si>
    <t>A1B climate &amp; Spruce-dominated forest &amp; TB2 Same as TB1 except that spruce pulpwood is not harvested. Norway spruce stem parts from diameter 16 cm (minimum top diameter of log) down to 5 cm are harvested as fuel feedstock.</t>
  </si>
  <si>
    <t>A1B climate &amp; Pine-dominated forest &amp; TB2 Same as TB1 except that spruce pulpwood is not harvested. Norway spruce stem parts from diameter 16 cm (minimum top diameter of log) down to 5 cm are harvested as fuel feedstock.</t>
  </si>
  <si>
    <t>0,8 tC/tC Díaz-Balteiro and Rodriguez, 2006</t>
  </si>
  <si>
    <t>0,4 tC/tC Hennigar et al., 2008</t>
  </si>
  <si>
    <t>Whole tree harvesting</t>
  </si>
  <si>
    <t>Spruce-dominated forest &amp; Same as TA4 except that 70% of tree tops, branches and stumps were harvested for biofuel in clear felling sites</t>
  </si>
  <si>
    <t>Pine-dominated forest &amp; Same as TA4 except that 70% of tree tops, branches and stumps were harvested for biofuel in clear felling sites</t>
  </si>
  <si>
    <t>A1B climate &amp; Pine-dominated forest &amp; Same as TA4 except that 70% of tree tops, branches and stumps were harvested for biofuel in clear felling sites</t>
  </si>
  <si>
    <t>A1B climate &amp; Spruce-dominated forest &amp; Same as TA4 except that 70% of tree tops, branches and stumps were harvested for biofuel in clear felling sites</t>
  </si>
  <si>
    <t>Life Cycle Assessment (LCA); Environmental performance; Sustainability; Medium density particleboard(MDP); Environmental impact; Sustainable strategy</t>
  </si>
  <si>
    <t>WOOD; INVENTORY; PARTICLEBOARD; FORMALDEHYDE; RESOURCES; INNOVATION; EMISSIONS; SELECTION; PRODUCTS; ENERGY</t>
  </si>
  <si>
    <t>Iritani, DR; Silva, DAL; Saavedra, YMB; Grael, PFF; Ometto, AR</t>
  </si>
  <si>
    <t>Sustainable strategies analysis through Life Cycle Assessment: a case study in a furniture industry</t>
  </si>
  <si>
    <t>This article aims to analyze sustainable strategies by assessing the environmental performance of a wardrobe built from medium density particleboard. For this, the Life cycle assessment technique was used. The product life cycle studied was a cradle-to-gate type, including three main stages: raw materials supply, wardrobe manufacturing and distribution of the wardrobe. The functional unit was 40 kg of stored goods/5 years and the reference flow was one wardrobe unit. The LCA modeling process was undertaken using the GaBi software, Professional 4.4 version based on attributional modeling and the EDIP-97 method. The life cycle assessment results indicated that the most significant environmental impacts occur at the stages of raw materials supply and the distribution of the wardrobe, and the most relevant impact categories were human toxicity, global warming and acidification, totaling 68.0% of the overall life cycle impacts. Based on this results and a literature review of life cycle assessment studies of furniture products, two sustainable strategies were presented: to optimize transport system and the use of alternatives raw materials during the manufacturing of medium density particleboard. In addition, three scenarios for the production of the medium density particleboard were analyzed with focus on using recycled wood as raw material instead of virgin wood. The results showed that use of 100% wood waste was more sustainable because there was a global minimization of potential impacts. These conclusions can assist furniture and the wood-based panel industries in improving their environmental profile and encourage research about alternative options to promote cleaner production of furniture components in a life cycle perspective. (C) 2014 Elsevier Ltd. All rights reserved.</t>
  </si>
  <si>
    <t>10.1016/j.jclepro.2014.05.029</t>
  </si>
  <si>
    <t>Share of recycled wood for MDP</t>
  </si>
  <si>
    <t>quantity of recycled wood</t>
  </si>
  <si>
    <t>w</t>
  </si>
  <si>
    <t>world</t>
  </si>
  <si>
    <t>JOURNAL OF GEOPHYSICAL RESEARCH-BIOGEOSCIENCES</t>
  </si>
  <si>
    <t>land cover change; CESM; CMIP5; carbon cycle; human emissions</t>
  </si>
  <si>
    <t>GLOBAL CARBON; WOOD HARVEST; CO2; EMISSIONS; CLIMATE; FLUX; NET; UNCERTAINTIES; VARIABILITY; ATMOSPHERE</t>
  </si>
  <si>
    <t>Lawrence, PJ; Lawrence, DM; Hurtt, GC</t>
  </si>
  <si>
    <t>Attributing the Carbon Cycle Impacts of CMIP5 Historical and Future Land Use and Land Cover Change in the Community Earth System Model (CESM1)</t>
  </si>
  <si>
    <t>Historical global land use and land cover change (LULCC) emissions of 160PgC represent a third of all human CO2 emissions from 1850 to 2010. Future land management decisions will have large impacts on the global carbon cycle, with scenarios ranging from continued deforestation and wood harvest to mitigation scenarios that reduce total emissions through afforestation and conversion to bioenergy. Here we present a systematic assessment of Community Earth System Model (CESM1) Coupled Model Intercomparison Project phase 5 (CMIP5) historic and projection simulations, with and without LULCC. For the historical period, CESM produced a Net LULCC flux of 123PgC to the atmosphere, removing -130PgC from ecosystems while increasing wood product pools by 7PgC. Historical LULCC fluxes were equally divided between conversion and wood harvest fluxes. For the Representative Concentration Pathway (RCP) 4.5 afforestation scenario CESM produced a Net LULCC flux of 53PgC to the atmosphere, removing -58PgC out of the ecosystem and increasing wood product pools of 5PgC. The afforestation offsets the Direct LULCC flux of 153PgC with a negative Indirect LULCC flux of -94PgC. For the RCP 8.5 high LULCC scenario, CESM produced a Net LULCC flux of 211PgC, removing -227PgC from ecosystems and increasing wood product pools of 15PgC. The LULCC of the future RCP scenarios was dominated by wood harvest fluxes, which is a process that was not included in many of the CMIP5 models. The analysis framework also allowed the attribution of Indirect and Prior LULCC fluxes that offset the Direct LULCC fluxes in many cases.</t>
  </si>
  <si>
    <t>J. Geophys. Res.-Biogeosci.</t>
  </si>
  <si>
    <t>10.1029/2017JG004348</t>
  </si>
  <si>
    <t>RCP scenario</t>
  </si>
  <si>
    <t>RCP4.5 (no LUC)(Fig.5)</t>
  </si>
  <si>
    <t>RCP8.5 (noLUC)(Fig.5)</t>
  </si>
  <si>
    <t>global tree harvest</t>
  </si>
  <si>
    <t>PgC</t>
  </si>
  <si>
    <t>GLOBAL BIOGEOCHEMICAL CYCLES</t>
  </si>
  <si>
    <t>carbon emissions; land use change; nitrogen cycle; carbon cycle; CMIP5; uncertainties</t>
  </si>
  <si>
    <t>NET PRIMARY PRODUCTION; COVER CHANGE; SOIL CARBON; TERRESTRIAL BIOSPHERE; PHOSPHORUS LIMITATION; DINITROGEN FIXATION; FOREST PRODUCTIVITY; SECONDARY FOREST; GLOBAL PATTERNS; CLIMATE-CHANGE</t>
  </si>
  <si>
    <t>Meiyappan, P; Jain, AK; House, JI</t>
  </si>
  <si>
    <t>Increased influence of nitrogen limitation on CO2 emissions from future land use and land use change</t>
  </si>
  <si>
    <t>In the latest projections of future greenhouse gas emissions for the Intergovernmental Panel on Climate Change (IPCC), few Earth System Models included the effect of nitrogen limitation, a key process limiting forest regrowth. Few included forest management (wood harvest). We estimate the impacts of nitrogen limitation on the CO2 emissions from land use and land use change (LULUC), including wood harvest, for the period 1900-2100. We use a land surface model that includes a fully coupled carbon and nitrogen cycle and accounts for forest regrowth processes following agricultural abandonment and wood harvest. Future projections are based on the four Representation Concentration Pathways used in the IPCC Fifth Assessment Report, and we account for uncertainty in future climate for each scenario based on ensembles of climate model outputs. Results show that excluding nitrogen limitation will underestimate global LULUC emissions by 34-52PgC (20-30%) during the 20th century (range across three different historical LULUC reconstructions) and by 128-187PgC (90-150%) during the 21st century (range across the four IPCC scenarios). The full range for estimated LULUC emissions during the 21st century including climate model uncertainty is 91 to 227PgC (with nitrogen limitation included). The underestimation increases with time because (1) projected annual wood harvest rates from forests summed over the 21st century are 380-1080% higher compared to those of the 20th century, resulting in more regrowing secondary forests; (2) nitrogen limitation reduces the CO2 fertilization effect on net primary production of regrowing secondary forests following wood harvest and agricultural abandonment; and (3) nitrogen limitation effect is aggravated by the gradual loss of soil nitrogen from LULUC disturbance. Our study implies that (1) nitrogen limitation of CO2 uptake is substantial and sensitive to nitrogen inputs; (2) if LULUC emissions are larger than previously estimated in studies without nitrogen limitation, then meeting the same climate mitigation target would require an equivalent additional reduction of fossil fuel emissions; (3) the effectiveness of land-based mitigation strategies will critically depend on the interactions between nutrient limitations and secondary forests resulting from LULUC; and (4) it is important for terrestrial biosphere models to consider nitrogen constraint in estimates of the strength of future land carbon uptake.</t>
  </si>
  <si>
    <t>Glob. Biogeochem. Cycle</t>
  </si>
  <si>
    <t>10.1002/2015GB005086</t>
  </si>
  <si>
    <t>Wood harvest</t>
  </si>
  <si>
    <t>Historical</t>
  </si>
  <si>
    <t>RCP8.5 (Tables 4 &amp; 6)</t>
  </si>
  <si>
    <t>Biomass Harvested From Forests</t>
  </si>
  <si>
    <t>Pg/century</t>
  </si>
  <si>
    <t>Pg C/century</t>
  </si>
  <si>
    <t>RCP4.5 (Tables 4 &amp; 6)</t>
  </si>
  <si>
    <t>RCP2.6 (Tables 4 &amp; 6)</t>
  </si>
  <si>
    <t>RCP6.0 (Tables 4 &amp; 6)</t>
  </si>
  <si>
    <t>Climate change; Land use change; Forest carbon; Carbon emissions</t>
  </si>
  <si>
    <t>CLIMATE-CHANGE; TIMBER; MANAGEMENT; ECONOMICS; IMPACTS; COVER; MODEL</t>
  </si>
  <si>
    <t>Mendelsohn, R; Sohngen, B</t>
  </si>
  <si>
    <t>The Net Carbon Emissions from Historic Land Use and Land Use Change</t>
  </si>
  <si>
    <t>Deforestation from timber harvests and farmland conversions have led to 565 GtCO(2) (billion tons of carbon dioxide) being emitted into the atmosphere. Taking into account natural regeneration on forestland, Houghton (2003, 2008) and Houghton et al. (2012) estimate that deforestation has caused a net loss of 484 GtCO(2) since 1900 which is about one third of all manmade emissions. However, these estimates do not take into account the substantial investment into fire management, plantations, and replanting since 1950, as well as the effect of carbon fertilization on a younger forest. We compare the outcome of a deforestation scenario with subsequent forest management with what would have happened if the natural forest in 1900 had not been harvested thereafter. Deforestation plus forest management suggests current forests actually hold about 94 GtCO(2) more today than they did in 1900. However, natural forests would have held an additional 186 GtCO(2). Human activities on forestland have therefore caused about 92 GtCO(2) of net emissions since 1900. The effect of manmade land use and land use change is relatively small compared to the 1294 GtCO(2) from industrial emissions over the same time period (Marland et al., 2008).</t>
  </si>
  <si>
    <t>10.1561/112.00000505</t>
  </si>
  <si>
    <t>forest use (deforestation, forest management and planting)</t>
  </si>
  <si>
    <t>Natural Forest Scenario</t>
  </si>
  <si>
    <t>Historical Market Scenario</t>
  </si>
  <si>
    <t>Cumulated wood harvest</t>
  </si>
  <si>
    <t>Gt CO2</t>
  </si>
  <si>
    <t>different perimeters</t>
  </si>
  <si>
    <t>no C output</t>
  </si>
  <si>
    <t>no journal</t>
  </si>
  <si>
    <t>C var cannot be cumulated</t>
  </si>
  <si>
    <t>review</t>
  </si>
  <si>
    <t>t_to_m3</t>
  </si>
  <si>
    <t>Wood density</t>
  </si>
  <si>
    <t>dry wood</t>
  </si>
  <si>
    <t>IPCC 2006</t>
  </si>
  <si>
    <t>kg_to_m3</t>
  </si>
  <si>
    <t>Carbon density</t>
  </si>
  <si>
    <t>tC/t dry matter</t>
  </si>
  <si>
    <t>tC_to_m3</t>
  </si>
  <si>
    <t>C_to_CO2</t>
  </si>
  <si>
    <t>Exclusion criteria</t>
  </si>
  <si>
    <t>cat2</t>
  </si>
  <si>
    <t>colcat2</t>
  </si>
  <si>
    <t>cat1</t>
  </si>
  <si>
    <t>colcat1</t>
  </si>
  <si>
    <t>cat0</t>
  </si>
  <si>
    <t>colcat0</t>
  </si>
  <si>
    <t>#777777</t>
  </si>
  <si>
    <t>#437DBF</t>
  </si>
  <si>
    <t>#7BAFDE</t>
  </si>
  <si>
    <t>#1965B0</t>
  </si>
  <si>
    <t>#F4A736</t>
  </si>
  <si>
    <t>#DC050C</t>
  </si>
  <si>
    <t>#A5170E</t>
  </si>
  <si>
    <t>#72190E</t>
  </si>
  <si>
    <t>Fig1</t>
  </si>
  <si>
    <t>QC_AV</t>
  </si>
  <si>
    <t>Aude's edits in colors</t>
  </si>
  <si>
    <t>avg</t>
  </si>
  <si>
    <t>scenario</t>
  </si>
  <si>
    <t>MtCO2/an</t>
  </si>
  <si>
    <t>Fig, 2</t>
  </si>
  <si>
    <t>Fig,5</t>
  </si>
  <si>
    <t>Fig,4</t>
  </si>
  <si>
    <t>Fig,3</t>
  </si>
  <si>
    <t>Forest</t>
  </si>
  <si>
    <t>Net effect</t>
  </si>
  <si>
    <t>Cdelta?</t>
  </si>
  <si>
    <t>Substitution</t>
  </si>
  <si>
    <t>???</t>
  </si>
  <si>
    <t>Taskhiri_2016</t>
  </si>
  <si>
    <t>Harvest+Chip&amp;Storage</t>
  </si>
  <si>
    <t>Total</t>
  </si>
  <si>
    <t>Processing (incl. Transport)</t>
  </si>
  <si>
    <t>CO2 emissions (tCO2e)</t>
  </si>
  <si>
    <t>MDF</t>
  </si>
  <si>
    <t>OSB</t>
  </si>
  <si>
    <t>Particle board</t>
  </si>
  <si>
    <t>paper</t>
  </si>
  <si>
    <t>Wood pellets</t>
  </si>
  <si>
    <t>Teh 2017</t>
  </si>
  <si>
    <t>2050 bau residential</t>
  </si>
  <si>
    <t>2050 timber residential without sequestration</t>
  </si>
  <si>
    <t>2050 timber residential with sequestration</t>
  </si>
  <si>
    <t>2050 bau commercial</t>
  </si>
  <si>
    <t>2050 timber commercial without sequestration</t>
  </si>
  <si>
    <t>2050 timber commercial with sequestration</t>
  </si>
  <si>
    <t>2050 bau total australian economy</t>
  </si>
  <si>
    <t>2050 timber total australian economy without sequestration</t>
  </si>
  <si>
    <t>2050 timber total australian economy with sequestration</t>
  </si>
  <si>
    <t>Torsonnen 2015</t>
  </si>
  <si>
    <t>NEE (gCO2/m2/yr)</t>
  </si>
  <si>
    <t>BT, constant climate</t>
  </si>
  <si>
    <t>BT, B1</t>
  </si>
  <si>
    <t>BT, A2</t>
  </si>
  <si>
    <t>Radiative forcing</t>
  </si>
  <si>
    <t>Re-calibrated to compare all scenarios with BT_constant climate</t>
  </si>
  <si>
    <t>Constant climate</t>
  </si>
  <si>
    <t>A2</t>
  </si>
  <si>
    <t>BN-BT</t>
  </si>
  <si>
    <t>BNF-BT</t>
  </si>
  <si>
    <t>BN20-BT</t>
  </si>
  <si>
    <t>BN20F-BT</t>
  </si>
  <si>
    <t>BNRF-BT</t>
  </si>
  <si>
    <t>BNR-BT</t>
  </si>
  <si>
    <t>BNR20-BT</t>
  </si>
  <si>
    <t>BNR20F-BT</t>
  </si>
  <si>
    <t>Promotion scenario</t>
  </si>
  <si>
    <t>Delta</t>
  </si>
  <si>
    <t>Tsunetsugu 2010</t>
  </si>
  <si>
    <t>FF substsitution</t>
  </si>
  <si>
    <t>Energy saving</t>
  </si>
  <si>
    <t>Vukotic 2010</t>
  </si>
  <si>
    <t>Emissions (kgCO2/m2)</t>
  </si>
  <si>
    <t>Local timber</t>
  </si>
  <si>
    <t>Production &amp; construction</t>
  </si>
  <si>
    <t>Amount of wood in timber structure (t wood/m2, deducted from data p7)</t>
  </si>
  <si>
    <t>Use (maintenance)</t>
  </si>
  <si>
    <t>Distance (local option, km)</t>
  </si>
  <si>
    <t>Demolition</t>
  </si>
  <si>
    <t>C footprint of transport (kgCO2/t wood/km)</t>
  </si>
  <si>
    <t>Recovery potential</t>
  </si>
  <si>
    <t>C footprint of transport (local option, kgCO2/m2)</t>
  </si>
  <si>
    <t>EoL</t>
  </si>
  <si>
    <t>C footprint of transport (baseline option = imported timber, kgCO2/m2)</t>
  </si>
  <si>
    <t>2011 Weight</t>
  </si>
  <si>
    <t>Scenario A: timber landfilled at end of life and not used for energy</t>
  </si>
  <si>
    <t>Scenario B: timber landfilled at end of life with capped landfill energy recovery from methane</t>
  </si>
  <si>
    <t>Scenario C: as scenario A, but timber sent for incineration for energy at end of life</t>
  </si>
  <si>
    <t>Scenario D: enhancement of scenario C for adding combined heat and power for heat which is a by-product of electrical generation</t>
  </si>
  <si>
    <t>Scenario E: highly manufactured timber</t>
  </si>
  <si>
    <t>Scenario F: use of unsustainably sourced timber (deforestation without replanting)</t>
  </si>
  <si>
    <t>Growth*</t>
  </si>
  <si>
    <t>Forestry_processes</t>
  </si>
  <si>
    <t>Transport</t>
  </si>
  <si>
    <t>Manufacturing</t>
  </si>
  <si>
    <t>Transport_to/from_site</t>
  </si>
  <si>
    <t>Energy_from_incineration</t>
  </si>
  <si>
    <t>Emissions_in_landfill</t>
  </si>
  <si>
    <t>Capping_and_biogas</t>
  </si>
  <si>
    <t>kgCO2/kg_of_product</t>
  </si>
  <si>
    <t>In-situ</t>
  </si>
  <si>
    <t>Manufacturing &amp; transport</t>
  </si>
  <si>
    <t>EoL biogenic</t>
  </si>
  <si>
    <t>EoL&amp;Manufacturing</t>
  </si>
  <si>
    <t>Total LCA</t>
  </si>
  <si>
    <t>In-situ&amp;forest</t>
  </si>
  <si>
    <t>In-situ&amp;forestry&amp;manufacturing</t>
  </si>
  <si>
    <t>2010 - Werner</t>
  </si>
  <si>
    <t>Total cumulative effects</t>
  </si>
  <si>
    <t>Substitution (domestic)</t>
  </si>
  <si>
    <t>HWP stock</t>
  </si>
  <si>
    <t>Swiss forest</t>
  </si>
  <si>
    <t>Substition (abroad)</t>
  </si>
  <si>
    <t>Year</t>
  </si>
  <si>
    <t>Forest + HWP</t>
  </si>
  <si>
    <t>Harvest in 2000</t>
  </si>
  <si>
    <t>Average harvest from 2030-&gt;2100</t>
  </si>
  <si>
    <t>Cumulated harvest (Mm3)</t>
  </si>
  <si>
    <t>Ximenes 2013</t>
  </si>
  <si>
    <t>kgC stored per kg timber in landfill</t>
  </si>
  <si>
    <t>C-storage</t>
  </si>
  <si>
    <t>Amount of wood (kg wood in use)</t>
  </si>
  <si>
    <t>GHG balance (tCO2e)</t>
  </si>
  <si>
    <t>Affinity as designed</t>
  </si>
  <si>
    <t>Affinity timber maximized</t>
  </si>
  <si>
    <t>Villina as designed</t>
  </si>
  <si>
    <t>Villina timber maximized</t>
  </si>
  <si>
    <t>Zhang 2018</t>
  </si>
  <si>
    <t>(3) ethanol by biochemical process</t>
  </si>
  <si>
    <t>(1) ethanol by process without catalytic methane reformation</t>
  </si>
  <si>
    <t>(2) ethanol by process with catalytic methane reformation</t>
  </si>
  <si>
    <t>Zhang 2018 (2)</t>
  </si>
  <si>
    <t>kgCO2/M3</t>
  </si>
  <si>
    <t>Tractor &amp; EQ140</t>
  </si>
  <si>
    <t>Cableway &amp; EQ140</t>
  </si>
  <si>
    <t>Tractor &amp; Diesel vehicle</t>
  </si>
  <si>
    <t>Cableway &amp; Diesel vehicle</t>
  </si>
  <si>
    <t>Cutting</t>
  </si>
  <si>
    <t>Chainsaw</t>
  </si>
  <si>
    <t>Forest operation</t>
  </si>
  <si>
    <t>Skidding</t>
  </si>
  <si>
    <t>Loading</t>
  </si>
  <si>
    <t>Winch</t>
  </si>
  <si>
    <t>Transporting</t>
  </si>
  <si>
    <t>EQ140</t>
  </si>
  <si>
    <t>Diesel</t>
  </si>
  <si>
    <t>vehicle</t>
  </si>
  <si>
    <t>Lumberyard</t>
  </si>
  <si>
    <t>production</t>
  </si>
  <si>
    <t>all points in fig.4</t>
  </si>
  <si>
    <t>Time period (yrs)</t>
  </si>
  <si>
    <t>Current climate</t>
  </si>
  <si>
    <t>A1B</t>
  </si>
  <si>
    <t>Pine-dominated forest</t>
  </si>
  <si>
    <t>Spruce-dominate forest</t>
  </si>
  <si>
    <t>Area</t>
  </si>
  <si>
    <t>Zubizaretta 2016</t>
  </si>
  <si>
    <t>climate</t>
  </si>
  <si>
    <t>scenario mngt</t>
  </si>
  <si>
    <t>Total (tC/ha/yr)</t>
  </si>
  <si>
    <t>Forest soil</t>
  </si>
  <si>
    <t>Forest biomass</t>
  </si>
  <si>
    <t>Log+Pulp</t>
  </si>
  <si>
    <t>Total harvest (kt biomass)</t>
  </si>
  <si>
    <t>Log harvest (kt biomass)</t>
  </si>
  <si>
    <t>Pulp</t>
  </si>
  <si>
    <t>Fuel</t>
  </si>
  <si>
    <t>Log+pulp</t>
  </si>
  <si>
    <t>TB1</t>
  </si>
  <si>
    <t>TB2</t>
  </si>
  <si>
    <t>TB3</t>
  </si>
  <si>
    <t>TA4</t>
  </si>
  <si>
    <t>TA5</t>
  </si>
  <si>
    <t>TA6</t>
  </si>
  <si>
    <t>Total (tCO2)</t>
  </si>
  <si>
    <t>Forest &amp; soil (tCO2)</t>
  </si>
  <si>
    <t>Forest + Soil + HWP (tCO2)</t>
  </si>
  <si>
    <t>Delta_pulp</t>
  </si>
  <si>
    <t>Delta_wood (kt biomass)</t>
  </si>
  <si>
    <t>Spruce-dominated forest</t>
  </si>
  <si>
    <t>Forest &amp; soil</t>
  </si>
  <si>
    <t>Forest + Soil + HWP</t>
  </si>
  <si>
    <t>Delta_wood</t>
  </si>
  <si>
    <t>2021 - Dugan</t>
  </si>
  <si>
    <t>Cumulative effect (MtCO2e) vs BAU</t>
  </si>
  <si>
    <t>Energy substitution</t>
  </si>
  <si>
    <t>Product substitution</t>
  </si>
  <si>
    <t>DeltaWood (MtC)</t>
  </si>
  <si>
    <t>Total mitigation</t>
  </si>
  <si>
    <t>ShortRotation</t>
  </si>
  <si>
    <t>ShortRotationBioE</t>
  </si>
  <si>
    <t>ExtendedRotation</t>
  </si>
  <si>
    <t>Residues</t>
  </si>
  <si>
    <t>IncreaseBioE</t>
  </si>
  <si>
    <t>DF (tC/tC)</t>
  </si>
  <si>
    <t>Forest+HWP stock</t>
  </si>
  <si>
    <t>For extraction sheet (possibly inverted if ref !=BAU)</t>
  </si>
  <si>
    <t>Cref</t>
  </si>
  <si>
    <t>C_scenario</t>
  </si>
  <si>
    <t>2006 - Backeus</t>
  </si>
  <si>
    <t>HWP harvest (Mm3/yr)</t>
  </si>
  <si>
    <t>Biofuel (1000 t/yr)</t>
  </si>
  <si>
    <t>Total harvest</t>
  </si>
  <si>
    <t>Biomass C storage</t>
  </si>
  <si>
    <t>Total (MtC/yr)</t>
  </si>
  <si>
    <t>Cumulated GWP (tCO2/ha</t>
  </si>
  <si>
    <t>2022 - Aryapratama</t>
  </si>
  <si>
    <t>Positive = emissions</t>
  </si>
  <si>
    <t>Time</t>
  </si>
  <si>
    <t>PF_FP_Hbr_40y_E</t>
  </si>
  <si>
    <t>PF_FP_Hbr_40y_NR_E</t>
  </si>
  <si>
    <t>PF_FP_AC_18y_M</t>
  </si>
  <si>
    <t>PF_FP_AC_18y_NR_M</t>
  </si>
  <si>
    <t>PF_FP_Tgr_60y_NR_M</t>
  </si>
  <si>
    <t>PF_FP_Tgr_60y_M</t>
  </si>
  <si>
    <t>DL_FP_AC_18y_NR_M</t>
  </si>
  <si>
    <t>DL_FP_Hbr_40y_NR_E</t>
  </si>
  <si>
    <t>DL_FP_Tgr_60y_NR_M</t>
  </si>
  <si>
    <t>DL_FP_Hbr_40y_E</t>
  </si>
  <si>
    <t>DL_FP_Tgr_60y_M</t>
  </si>
  <si>
    <t>DL_FP_AC_18y_M</t>
  </si>
  <si>
    <t>Ref</t>
  </si>
  <si>
    <t>Scenario</t>
  </si>
  <si>
    <t>Delta Wood (tC/ha)</t>
  </si>
  <si>
    <t>Harvest Scenario</t>
  </si>
  <si>
    <t>Harvest Ref</t>
  </si>
  <si>
    <t>HWP Ref</t>
  </si>
  <si>
    <t>HWP scenario (tC/ha)</t>
  </si>
  <si>
    <t>Cumulated GWP (tCO2/ha) Ref</t>
  </si>
  <si>
    <t>Cumulated GWP (tCO2/ha) Scenario</t>
  </si>
  <si>
    <t>Nb_Car_Scenario</t>
  </si>
  <si>
    <t>Line</t>
  </si>
  <si>
    <t>File</t>
  </si>
  <si>
    <t>Wood Ref</t>
  </si>
  <si>
    <t>Wood scenario (tC/ha)</t>
  </si>
  <si>
    <t>'[2022 - Aryapratama &amp; Pauliuk - STE - AppF.xlsx]GWPdyn_PF_PO - Fig.4(f)'!L</t>
  </si>
  <si>
    <t>'[2022 - Aryapratama &amp; Pauliuk - STE - AppF.xlsx]GWPdyn_PF_SF - Fig.4(g)'!L</t>
  </si>
  <si>
    <t>PF_FP_NR_M_Ac_7y</t>
  </si>
  <si>
    <t>PF_FP_M_Ac_7y</t>
  </si>
  <si>
    <t>'[2022 - Aryapratama &amp; Pauliuk - STE - AppF.xlsx]GWPdyn_PF_FP - Fig.4(h)'!L</t>
  </si>
  <si>
    <t>PF_FP_NR_M_Ac_18y</t>
  </si>
  <si>
    <t>PF_FP_M_Ac_18y</t>
  </si>
  <si>
    <t>PF_FP_NR_M_Tgr_60y</t>
  </si>
  <si>
    <t>PF_FP_M_Tgr_60y</t>
  </si>
  <si>
    <t>PF_FP_NR_E_Hbr_40y</t>
  </si>
  <si>
    <t>PF_FP_E_Hbr_40y</t>
  </si>
  <si>
    <t>DL_FP_NR_M_Ac_7y</t>
  </si>
  <si>
    <t>DL_FP_M_Ac_7y</t>
  </si>
  <si>
    <t>'[2022 - Aryapratama &amp; Pauliuk - STE - AppF.xlsx]GWPdyn_DL_FP - Fig.4(i)'!L</t>
  </si>
  <si>
    <t>DL_FP_NR_M_Ac_18y</t>
  </si>
  <si>
    <t>DL_FP_M_Ac_18y</t>
  </si>
  <si>
    <t>DL_FP_NR_M_Tgr_60y</t>
  </si>
  <si>
    <t>DL_FP_M_Tgr_60y</t>
  </si>
  <si>
    <t>DL_FP_NR_E_Hbr_40y</t>
  </si>
  <si>
    <t>DL_FP_E_Hbr_40y</t>
  </si>
  <si>
    <t>'[2022 - Aryapratama &amp; Pauliuk - STE - AppF.xlsx]GWPdyn_RIL - Fig.4(j)'!L</t>
  </si>
  <si>
    <t>NR_RIL_M</t>
  </si>
  <si>
    <t>NR_RIL_E</t>
  </si>
  <si>
    <t>2019 - Baskent</t>
  </si>
  <si>
    <t>Forest stock (tC/ha)</t>
  </si>
  <si>
    <t>HWP stock (tC/ha)</t>
  </si>
  <si>
    <t>Cumulated substitution  (tC/ha)</t>
  </si>
  <si>
    <t>Forest only</t>
  </si>
  <si>
    <t>Forest + HWP + Substitution</t>
  </si>
  <si>
    <t>Fig10</t>
  </si>
  <si>
    <t>Product sub</t>
  </si>
  <si>
    <t>Energy sub</t>
  </si>
  <si>
    <t>Product sub factor</t>
  </si>
  <si>
    <t>Fig9</t>
  </si>
  <si>
    <t>Sawlogs</t>
  </si>
  <si>
    <t>WBP</t>
  </si>
  <si>
    <t>Harvest (tC/ha/yr)</t>
  </si>
  <si>
    <t>Average HWP use</t>
  </si>
  <si>
    <t>Braun et al 2016</t>
  </si>
  <si>
    <t>Forest stock (GtCO2)</t>
  </si>
  <si>
    <t>HWP (GtCO2)</t>
  </si>
  <si>
    <t>Cumulated Substitution (GtCO2)</t>
  </si>
  <si>
    <t>Total (GtCO2)</t>
  </si>
  <si>
    <t>Material sub</t>
  </si>
  <si>
    <t>Energy sub (MtCO2/yr)</t>
  </si>
  <si>
    <t>Material sub (GtCO2/yr)</t>
  </si>
  <si>
    <t>HWP (Gm3)</t>
  </si>
  <si>
    <t>CCME (tCO2/m3 of wood used)</t>
  </si>
  <si>
    <t>Harvested amounts</t>
  </si>
  <si>
    <t>Carbon storage (MtC)</t>
  </si>
  <si>
    <t>2011 - Elgie</t>
  </si>
  <si>
    <t>$/tC temporary credit</t>
  </si>
  <si>
    <t>2010 - Eshun</t>
  </si>
  <si>
    <t>Air-dried_lumber</t>
  </si>
  <si>
    <t>Kiln-dried_lumber</t>
  </si>
  <si>
    <t>Veneer</t>
  </si>
  <si>
    <t>Furniture_parts</t>
  </si>
  <si>
    <t>Logs (Mm3/yr)</t>
  </si>
  <si>
    <t>CO2 (kt/yr)</t>
  </si>
  <si>
    <t>CH4 (t/yr)</t>
  </si>
  <si>
    <t>N2O (t/yr)</t>
  </si>
  <si>
    <t>CO2e (kt/yr)</t>
  </si>
  <si>
    <t>C footprint (tCO2/m3)</t>
  </si>
  <si>
    <t>Repo_2012</t>
  </si>
  <si>
    <t>Fig. 2</t>
  </si>
  <si>
    <t>biomass type</t>
  </si>
  <si>
    <t>total emissions gCO2eq/MJ</t>
  </si>
  <si>
    <t>effect of wood type</t>
  </si>
  <si>
    <t>effect of location</t>
  </si>
  <si>
    <t>effect of technology</t>
  </si>
  <si>
    <t>Northern Finland</t>
  </si>
  <si>
    <t>stumps</t>
  </si>
  <si>
    <t>Southern Finland</t>
  </si>
  <si>
    <t>thinning wood</t>
  </si>
  <si>
    <t>branches</t>
  </si>
  <si>
    <t>Heavy fuel oil</t>
  </si>
  <si>
    <t>natural gas</t>
  </si>
  <si>
    <t>Smyth 2020 Fig8</t>
  </si>
  <si>
    <t>Base</t>
  </si>
  <si>
    <t>Restricted harvest</t>
  </si>
  <si>
    <t>Harvest less</t>
  </si>
  <si>
    <t>Higher recovery</t>
  </si>
  <si>
    <t>4.2Mm3/year (p6/22)</t>
  </si>
  <si>
    <t>Bioenergy from residues</t>
  </si>
  <si>
    <t>Higher recovery+Bioenergy</t>
  </si>
  <si>
    <t>Future timber supply cumulated MtC</t>
  </si>
  <si>
    <t>Smyth 2020. Fig S87 Total harvest</t>
  </si>
  <si>
    <t>X</t>
  </si>
  <si>
    <t>restricted harvest</t>
  </si>
  <si>
    <t>higher recovery</t>
  </si>
  <si>
    <t>Maikipaa_2015</t>
  </si>
  <si>
    <t>year</t>
  </si>
  <si>
    <t>Cstock of trees</t>
  </si>
  <si>
    <t>Compensated fossil emissions (tC)</t>
  </si>
  <si>
    <t>harvested stem</t>
  </si>
  <si>
    <t>harvested energy wood</t>
  </si>
  <si>
    <t>total harvested biomass (stem+energy)</t>
  </si>
  <si>
    <t>ChC-SOH</t>
  </si>
  <si>
    <t>ChC-WTH</t>
  </si>
  <si>
    <t>CC-SOH</t>
  </si>
  <si>
    <t>CC-WTH</t>
  </si>
  <si>
    <t>Shoyama_2014</t>
  </si>
  <si>
    <t>Carbon sequestered (MgC)</t>
  </si>
  <si>
    <t>Biodiversity</t>
  </si>
  <si>
    <t>Trend</t>
  </si>
  <si>
    <t>SUM (2020:2060)</t>
  </si>
  <si>
    <t>Timber production (m3)</t>
  </si>
  <si>
    <t>Gustavsson_2005</t>
  </si>
  <si>
    <t>Sum excluding each line respectively</t>
  </si>
  <si>
    <t>Fig.3</t>
  </si>
  <si>
    <t>material production fossil fuel end-use</t>
  </si>
  <si>
    <t>material production eectric end-use</t>
  </si>
  <si>
    <t>cement reactions</t>
  </si>
  <si>
    <t>fossil fuel for biomass recovery</t>
  </si>
  <si>
    <t>replacement of fossil fuel by biofuel</t>
  </si>
  <si>
    <t>forest stock change</t>
  </si>
  <si>
    <t>balance</t>
  </si>
  <si>
    <t>Gustavsson_2006</t>
  </si>
  <si>
    <t>table I</t>
  </si>
  <si>
    <t>tableIV</t>
  </si>
  <si>
    <t>Wälluden</t>
  </si>
  <si>
    <t>Vikkii</t>
  </si>
  <si>
    <t>Wood product production</t>
  </si>
  <si>
    <t>recovery (%)</t>
  </si>
  <si>
    <t>moisture content (%)</t>
  </si>
  <si>
    <t>heat value (MJ/kg dry biomass)</t>
  </si>
  <si>
    <t>recovery/transport energy (% of heat value)</t>
  </si>
  <si>
    <t>wooden-frame</t>
  </si>
  <si>
    <t>concrete frame (SF-untouched)</t>
  </si>
  <si>
    <t>concrete-frame (SF-bioenergy)</t>
  </si>
  <si>
    <t>roots and stumps</t>
  </si>
  <si>
    <t>forest residues</t>
  </si>
  <si>
    <t>branches, foliage, tops</t>
  </si>
  <si>
    <t>prcessing residues</t>
  </si>
  <si>
    <t>bark</t>
  </si>
  <si>
    <t>construction waste</t>
  </si>
  <si>
    <t>processing residues</t>
  </si>
  <si>
    <t>demolition waste</t>
  </si>
  <si>
    <t>total biofuels</t>
  </si>
  <si>
    <t>demolition wood</t>
  </si>
  <si>
    <t>particleboard</t>
  </si>
  <si>
    <t>surplus forest for. Bioenergy</t>
  </si>
  <si>
    <t>calcul kg recovered</t>
  </si>
  <si>
    <t>t dry biomass</t>
  </si>
  <si>
    <t>stemwood</t>
  </si>
  <si>
    <t>amount of wood materials (tons air-dry materials)</t>
  </si>
  <si>
    <t>total wood used materials+residues</t>
  </si>
  <si>
    <t>concrete frame</t>
  </si>
  <si>
    <t>plywood</t>
  </si>
  <si>
    <t>total</t>
  </si>
  <si>
    <t>Bosch_2019</t>
  </si>
  <si>
    <t>Webplotdigitizer</t>
  </si>
  <si>
    <t>Mm3under bark per year</t>
  </si>
  <si>
    <t>Label</t>
  </si>
  <si>
    <t>scenario 0</t>
  </si>
  <si>
    <t>scenario 3</t>
  </si>
  <si>
    <t>scenario 4</t>
  </si>
  <si>
    <t>2014-2018</t>
  </si>
  <si>
    <t>2019-2023</t>
  </si>
  <si>
    <t>2024-2028</t>
  </si>
  <si>
    <t>2029-2033</t>
  </si>
  <si>
    <t>2034-2038</t>
  </si>
  <si>
    <t>2039-2043</t>
  </si>
  <si>
    <t>2044-2048</t>
  </si>
  <si>
    <t>sum of 5-year periods</t>
  </si>
  <si>
    <t xml:space="preserve">Scenario I </t>
  </si>
  <si>
    <r>
      <t>Relative emissions  (in million tons CO</t>
    </r>
    <r>
      <rPr>
        <sz val="7"/>
        <color theme="1"/>
        <rFont val="AdvOTc20ddc96"/>
      </rPr>
      <t xml:space="preserve">2 </t>
    </r>
    <r>
      <rPr>
        <sz val="10"/>
        <color theme="1"/>
        <rFont val="AdvOTc20ddc96"/>
      </rPr>
      <t xml:space="preserve">per year; negative values indicate removals from the atmosphere). </t>
    </r>
  </si>
  <si>
    <t>forest</t>
  </si>
  <si>
    <t>hwp</t>
  </si>
  <si>
    <t>net emissions</t>
  </si>
  <si>
    <t>net , no substitution</t>
  </si>
  <si>
    <t>scenario II</t>
  </si>
  <si>
    <t xml:space="preserve">Relative emissions  (in million tons CO2 per year; negative values indicate removals from the atmosphere). </t>
  </si>
  <si>
    <t>forest II</t>
  </si>
  <si>
    <t>hwp II</t>
  </si>
  <si>
    <t>substitution II</t>
  </si>
  <si>
    <t>scenario III</t>
  </si>
  <si>
    <t>forest III</t>
  </si>
  <si>
    <t>hwp III</t>
  </si>
  <si>
    <t>substitution III</t>
  </si>
  <si>
    <t>scenario IV</t>
  </si>
  <si>
    <t>forest IV</t>
  </si>
  <si>
    <t>hwp  IV</t>
  </si>
  <si>
    <t>substitution  IV</t>
  </si>
  <si>
    <t>Jones_2019</t>
  </si>
  <si>
    <t>SSP5-All</t>
  </si>
  <si>
    <t>SSP5-Dev</t>
  </si>
  <si>
    <t>from EC's extraction sheet</t>
  </si>
  <si>
    <t>CONVERSION EN m3 et SOMME POUR PULP AND SAW</t>
  </si>
  <si>
    <t>Cumulative harvest (assuming annual values are displayed)</t>
  </si>
  <si>
    <t>Bosch 2019</t>
  </si>
  <si>
    <t>correction from v5_SL_update</t>
  </si>
  <si>
    <t>cumulated over period</t>
  </si>
  <si>
    <t>cumulated over periods</t>
  </si>
  <si>
    <t>ERREUR DE CAPTURE</t>
  </si>
  <si>
    <t>Forest+HWP</t>
  </si>
  <si>
    <t>Jayalath_2020</t>
  </si>
  <si>
    <t>14 apartments of 53.6m2</t>
  </si>
  <si>
    <t>two mid-to-high rise eight-floors with area 156m2</t>
  </si>
  <si>
    <t>eol emissions and benefits</t>
  </si>
  <si>
    <t>Melbourne</t>
  </si>
  <si>
    <t>operation</t>
  </si>
  <si>
    <t>eol_fossil</t>
  </si>
  <si>
    <t>demolition</t>
  </si>
  <si>
    <t>products stage raw materials</t>
  </si>
  <si>
    <t>transportation to landfill</t>
  </si>
  <si>
    <t>construction stage transport</t>
  </si>
  <si>
    <t>recycling of steel</t>
  </si>
  <si>
    <t>construction stage installation</t>
  </si>
  <si>
    <t>CLT incinerated (energy recovered)</t>
  </si>
  <si>
    <t>per m2</t>
  </si>
  <si>
    <t>end of life</t>
  </si>
  <si>
    <t>quantity CLT</t>
  </si>
  <si>
    <t>quantity RC</t>
  </si>
  <si>
    <t>mistake in the paper???</t>
  </si>
  <si>
    <t>Wood quantities</t>
  </si>
  <si>
    <t>Material</t>
  </si>
  <si>
    <t>Unit</t>
  </si>
  <si>
    <t>EE(MJ/unit)</t>
  </si>
  <si>
    <t>EGHG (kgCO2/unit)</t>
  </si>
  <si>
    <t>cost ($/unit)</t>
  </si>
  <si>
    <t>Mortar</t>
  </si>
  <si>
    <t>Gypsum</t>
  </si>
  <si>
    <t>-</t>
  </si>
  <si>
    <t>Masonry</t>
  </si>
  <si>
    <t>Rockwool</t>
  </si>
  <si>
    <t>Particle</t>
  </si>
  <si>
    <t>m</t>
  </si>
  <si>
    <t>fibre cement sheet</t>
  </si>
  <si>
    <t>Total Wood</t>
  </si>
  <si>
    <t>DF</t>
  </si>
  <si>
    <t>Average</t>
  </si>
  <si>
    <t>Standard deviation</t>
  </si>
  <si>
    <t>number of stddev to define outliers</t>
  </si>
  <si>
    <t>QC To do</t>
  </si>
  <si>
    <t>ref need correct</t>
  </si>
  <si>
    <t>Olguin_2018, maybe a problem of unit conversion</t>
  </si>
  <si>
    <t>Complete missing Qwood_stageInput</t>
  </si>
  <si>
    <t>Alam_2012</t>
  </si>
  <si>
    <t>Fig 8 - Fig 9</t>
  </si>
  <si>
    <t>refOK</t>
  </si>
  <si>
    <t>loc</t>
  </si>
  <si>
    <t>71-100</t>
  </si>
  <si>
    <t>fig8 (P&amp;C)</t>
  </si>
  <si>
    <t>fig8 (P&amp;C + EoL + Operational)</t>
  </si>
  <si>
    <t>fig8 (EoL)</t>
  </si>
  <si>
    <t>fig8 (Operational)</t>
  </si>
  <si>
    <t>Balanced</t>
  </si>
  <si>
    <t>Multifunction</t>
  </si>
  <si>
    <t>Set-Aside</t>
  </si>
  <si>
    <t>Fig. 3</t>
  </si>
  <si>
    <t>Fig 8</t>
  </si>
  <si>
    <t>Checked</t>
  </si>
  <si>
    <t>MSY (maximum sustainable yield)</t>
  </si>
  <si>
    <t>POL (policy)</t>
  </si>
  <si>
    <t>Harvest effect of varied carbon price for SEQUESTERED carbon (from zero to 1200 SEK per tonne C)</t>
  </si>
  <si>
    <t>change driver to cutting intensity because primary effect of the C price is to decreases thinning ; no DF in this record</t>
  </si>
  <si>
    <t>Virgin wood Scenario 1</t>
  </si>
  <si>
    <t>100 % recycled wood Scenario 3</t>
  </si>
  <si>
    <t>table5 and text 4.2</t>
  </si>
  <si>
    <t>fix scale and location; off_product_biogenic</t>
  </si>
  <si>
    <t>50 % recycled wood Scenario 2</t>
  </si>
  <si>
    <t>fix driver, whole tree harvest driver is cutting intensity; fix processes, no storage in products</t>
  </si>
  <si>
    <t>fix processes, no storage in products</t>
  </si>
  <si>
    <t>biomass production</t>
  </si>
  <si>
    <t>use is not timber, the context is for bioenergy but C calculations are really only upstream</t>
  </si>
  <si>
    <t>Scenario 2 (1%of waste wood can be recovered)</t>
  </si>
  <si>
    <t>text 4.2.2</t>
  </si>
  <si>
    <t>only process recorded is manufacturing</t>
  </si>
  <si>
    <t>scenario 2 (1%of waste wood can be recovered)</t>
  </si>
  <si>
    <t>Scenario 3 (10%of waste wood can be recovered)</t>
  </si>
  <si>
    <t>only process recorded is manufacturing; correct driver name</t>
  </si>
  <si>
    <t>correct driver name</t>
  </si>
  <si>
    <t>NR : non-renewable materials or energy instead of wood</t>
  </si>
  <si>
    <t xml:space="preserve">AppD SM/E </t>
  </si>
  <si>
    <t>fig4 (values in AppF)</t>
  </si>
  <si>
    <t>C : Change machinery to reduce harvest damage</t>
  </si>
  <si>
    <t>Conversion to secondary forest or palm oil plantation</t>
  </si>
  <si>
    <t>block work (S1)</t>
  </si>
  <si>
    <t>Timber &amp; brick (S6)</t>
  </si>
  <si>
    <t>Brick  (S3)</t>
  </si>
  <si>
    <t>Brick &amp; concrete (S2)</t>
  </si>
  <si>
    <t>Precast concrete (S4)</t>
  </si>
  <si>
    <t>Steel frame work (S5)</t>
  </si>
  <si>
    <t>Timber prefabricated (S7)</t>
  </si>
  <si>
    <t>In-situ or precast concrete for1m3 concrete</t>
  </si>
  <si>
    <t>add off_product_biogenic because recycling is including and contributes to the difference between steel and timber formwork; add a line for functional unit of 1m3 concrete</t>
  </si>
  <si>
    <t>In-situ or precast concrete for forwork used for 1m3 concrete</t>
  </si>
  <si>
    <t>Lifespan (Net GWP100)</t>
  </si>
  <si>
    <t>supplementary section E1</t>
  </si>
  <si>
    <t>Lifespan (Net GWP500)</t>
  </si>
  <si>
    <t>Lifespan (reprocessing+ wood combustion)</t>
  </si>
  <si>
    <t>C1 (50 years floor board) (reprocessing + wood combustion)</t>
  </si>
  <si>
    <t>A1 (10 years floor board) (reprocessing + wood combustion)</t>
  </si>
  <si>
    <t>B1 (10 years) (reprocessing + wood combustion)</t>
  </si>
  <si>
    <t>C1 (50 years floor board) (reprocessing only)</t>
  </si>
  <si>
    <t>B1 (10 years)  (reprocessing only)</t>
  </si>
  <si>
    <t>A1 (10 years floor board) (reprocessing only)</t>
  </si>
  <si>
    <t>Technical efficiency (reprocessing + wood combustion)</t>
  </si>
  <si>
    <t>Technical efficiency (reprocessing + wood combustion + substitution)</t>
  </si>
  <si>
    <t>Change in wood use (reprocessing + wood combustion)</t>
  </si>
  <si>
    <t>Change in wood use (reprocessing + wood combustion + substitution)</t>
  </si>
  <si>
    <t>Change in wood use (Net with iluc)</t>
  </si>
  <si>
    <t>Change in number of cascades (reprocessing + wood combustion)</t>
  </si>
  <si>
    <t>Change in number of cascades (reprocessing + wood combustion + substitution)</t>
  </si>
  <si>
    <t>Change in number of cascades (Net : reprocessing + wood combustion + substitution + metal recycling + landfilling)</t>
  </si>
  <si>
    <t>Change in number of cascades  (reprocessing + wood combustion + substitution)</t>
  </si>
  <si>
    <t>MJ/kg converted to kWh/kg then kg/kWh</t>
  </si>
  <si>
    <t>functional unit is a kWh</t>
  </si>
  <si>
    <t>added details about the conversion</t>
  </si>
  <si>
    <t>text p36 section 45.</t>
  </si>
  <si>
    <t>remove maintenance_emiss</t>
  </si>
  <si>
    <t>Wood promotion</t>
  </si>
  <si>
    <t>fig S6, S7, S8</t>
  </si>
  <si>
    <t>Fig4&amp;fig5</t>
  </si>
  <si>
    <t>ktC/year</t>
  </si>
  <si>
    <t>driver is supply chain instead of cutting intensity (there is no mention of forest management choices), fix conversion ktC to tCO2, fix stacked barchart extraction</t>
  </si>
  <si>
    <t>million tCO2</t>
  </si>
  <si>
    <t>paper excluded because when the units are corrected the perimeters for transported volume and CO2 emissions do not have the same perimeter</t>
  </si>
  <si>
    <t>ok</t>
  </si>
  <si>
    <t xml:space="preserve">Fixed calculation of Cdelta </t>
  </si>
  <si>
    <t>residues used for wood products instead of energy -&gt; driver is supply chain</t>
  </si>
  <si>
    <t>table12</t>
  </si>
  <si>
    <t>table15</t>
  </si>
  <si>
    <t>take Qwood in m3 instead of kg</t>
  </si>
  <si>
    <t>annual harvest converted to 400yr total harvest</t>
  </si>
  <si>
    <t>text p1721</t>
  </si>
  <si>
    <t>text p1722</t>
  </si>
  <si>
    <t>poor quality, no units, no methodological details</t>
  </si>
  <si>
    <t>no harv_residues</t>
  </si>
  <si>
    <t xml:space="preserve">Pr_C </t>
  </si>
  <si>
    <t>harvested volumes</t>
  </si>
  <si>
    <t>SI 00_Master Tab5</t>
  </si>
  <si>
    <t>Mm3 yearly</t>
  </si>
  <si>
    <t>SI 00_Master Tab6</t>
  </si>
  <si>
    <t>Qwood values for harvested wood extracted from supplementary ; split between two levels of modeling boundaries, one including off_product_biogenic . There is no manufacturing. Fossil emissions are from transport or forestry operations only</t>
  </si>
  <si>
    <t>Pr_U</t>
  </si>
  <si>
    <t>Exp_1</t>
  </si>
  <si>
    <t>Exp_0</t>
  </si>
  <si>
    <t xml:space="preserve">Baseline </t>
  </si>
  <si>
    <t>SI 00_Master Tab2</t>
  </si>
  <si>
    <t>SI 00_Master Tab3</t>
  </si>
  <si>
    <t xml:space="preserve">Ph_U </t>
  </si>
  <si>
    <t xml:space="preserve">Ph_L </t>
  </si>
  <si>
    <t>Fig7</t>
  </si>
  <si>
    <t>No Qwood (Qwood must be harvested wood not growth)</t>
  </si>
  <si>
    <t>LUC is exogenous</t>
  </si>
  <si>
    <t>Fig4</t>
  </si>
  <si>
    <t>m3 ob/yr 2014</t>
  </si>
  <si>
    <t>Fig5</t>
  </si>
  <si>
    <t>only one driver</t>
  </si>
  <si>
    <t>Fig9a</t>
  </si>
  <si>
    <t>text SI1</t>
  </si>
  <si>
    <t>m3/yr 2018</t>
  </si>
  <si>
    <t>Table3 and Table1 to convert gwp per kWh into gwp/year</t>
  </si>
  <si>
    <t>C estimates have to be multiplied by total energy consumption to have the regional GWP associated with the Qwood + fix drivers</t>
  </si>
  <si>
    <t xml:space="preserve">M3 (i) low, (state DGO period A, </t>
  </si>
  <si>
    <t xml:space="preserve">M3 (i) low, (state QROO period A, </t>
  </si>
  <si>
    <t xml:space="preserve">M3 (i) medium, (state QROO period A, </t>
  </si>
  <si>
    <t xml:space="preserve">M3 (i) medium(state DGO period A, </t>
  </si>
  <si>
    <t>M3 (ii) low (state DGO period A)</t>
  </si>
  <si>
    <t xml:space="preserve">M3 (ii) low, (state QROO period A, </t>
  </si>
  <si>
    <t>M3 (ii) medium DF, (state DGO, period A (2021-2030)</t>
  </si>
  <si>
    <t xml:space="preserve">M3 (ii) medium, (state QROO period A, </t>
  </si>
  <si>
    <t xml:space="preserve">M4 (ii) medium, (state DGO period A, </t>
  </si>
  <si>
    <t xml:space="preserve">M3 (i) low, (state DGO period B, </t>
  </si>
  <si>
    <t>M3 (i) low, (state QROO period B)</t>
  </si>
  <si>
    <t xml:space="preserve">M3 (i) medium, (state QROO period B, </t>
  </si>
  <si>
    <t xml:space="preserve">M3(i) medium, (state DGO period B, </t>
  </si>
  <si>
    <t xml:space="preserve">M3 (ii) low, (state QROO period B, </t>
  </si>
  <si>
    <t xml:space="preserve">M3 (ii) medium, (state DGO period B, </t>
  </si>
  <si>
    <t xml:space="preserve">M3(ii) low, (state DGO period B) </t>
  </si>
  <si>
    <t>M3 (i) low, (state DGO period C)</t>
  </si>
  <si>
    <t>M3 (i) low, (state QROO period C)</t>
  </si>
  <si>
    <t xml:space="preserve">M3(i) medium, (state DGO period C, </t>
  </si>
  <si>
    <t xml:space="preserve">M3(i) medium(state QROO period C, </t>
  </si>
  <si>
    <t xml:space="preserve">M3 (ii) low, (state DGO period C) </t>
  </si>
  <si>
    <t xml:space="preserve">M3 (ii) low, (state QROO period C, </t>
  </si>
  <si>
    <t xml:space="preserve">M3 (ii) medium, (state DGO period C, </t>
  </si>
  <si>
    <t xml:space="preserve">M3 (ii) medium, (state QROO period C, </t>
  </si>
  <si>
    <t>eol_biogenic is included in basis scenario (option C1 in basis scenario) but eol_fossil is not included</t>
  </si>
  <si>
    <t>"The exception is carpet in wool, because the emissions from manufacturing of this material is more than 30 times the emissions from solid oak"</t>
  </si>
  <si>
    <t>Concrete building w/ wood energy recovery</t>
  </si>
  <si>
    <t>Concrete building with wood recycling</t>
  </si>
  <si>
    <t>no live biomas included (only products_storage_C), eol_biogenic included</t>
  </si>
  <si>
    <t>CLT w/ wood energy recovery</t>
  </si>
  <si>
    <t>CLT  w/ wood recycling</t>
  </si>
  <si>
    <t>Modular w/ wood energy recovery</t>
  </si>
  <si>
    <t>Concrete building w/ wood recycling</t>
  </si>
  <si>
    <t xml:space="preserve">Concrete building </t>
  </si>
  <si>
    <t xml:space="preserve">CLT </t>
  </si>
  <si>
    <t>fix C conversion to CO2, according to protocol biofuel harvesting is the driver supply chain organization. Hight thinning driver is cutting intensity</t>
  </si>
  <si>
    <t>5000yen per ton</t>
  </si>
  <si>
    <t>harvested timber</t>
  </si>
  <si>
    <t>fig4a</t>
  </si>
  <si>
    <t>fig4b</t>
  </si>
  <si>
    <t>10^6 ton</t>
  </si>
  <si>
    <t>fix Qwood for harvestedtimber and add a simcilture driver with nuspecified harvest increase as price increase for carbon decreases harvest without precision on where or how.</t>
  </si>
  <si>
    <t>3000 yen per ton</t>
  </si>
  <si>
    <t>10^6 tonC</t>
  </si>
  <si>
    <t>1500 yen per ton</t>
  </si>
  <si>
    <t>800 yen per ton</t>
  </si>
  <si>
    <t>ton C ha-1</t>
  </si>
  <si>
    <t>paper is excluded, there is no C output only a radiative forcing for which we do not have an easy conversion back to C emissions</t>
  </si>
  <si>
    <t>correct harvest. Reported value is annual. Fixed by multiplying by time length of simulations (80yrs)</t>
  </si>
  <si>
    <t>Concrete (case A)</t>
  </si>
  <si>
    <t>CLT Wood building (case B0)</t>
  </si>
  <si>
    <t>table 7</t>
  </si>
  <si>
    <t>tons CO2e</t>
  </si>
  <si>
    <t>remove products_storage boundary and change driver to change in technology, C values in tons from table 7 instead of per unit area in text.</t>
  </si>
  <si>
    <t>only keep Cdelta since it is traceable, whereas Cref and Calt were not. Remove maintenance and fossil model components that cannot be found in the paper, add lines for C balance components (forest only , forest+HWP, forest + HWP+displacement)</t>
  </si>
  <si>
    <t>text p3521</t>
  </si>
  <si>
    <t>TgCO2e/yr</t>
  </si>
  <si>
    <t>Table1</t>
  </si>
  <si>
    <t>text p824</t>
  </si>
  <si>
    <t>set single driver, cumulate wood amount over time period to match C balance unit, no indication found thatmanufacturing emissions are accounted for</t>
  </si>
  <si>
    <t>text</t>
  </si>
  <si>
    <t>fig. 4</t>
  </si>
  <si>
    <t>off_product_biogenic set to 1 since energy saving is accounted for</t>
  </si>
  <si>
    <t>no DF used in base case but add line accounting for recycling of debris for both locations</t>
  </si>
  <si>
    <t>table 11 in Taverna 2007</t>
  </si>
  <si>
    <t>fig49 in Taverna 2007</t>
  </si>
  <si>
    <t>specify that data are taken from companion report Taverna 2007, clarify use of DF</t>
  </si>
  <si>
    <t>Optimized rotation length and slash recovery</t>
  </si>
  <si>
    <t>fig 3,4,5</t>
  </si>
  <si>
    <t>done</t>
  </si>
  <si>
    <t>change single product to mixed because all chain is concerned</t>
  </si>
  <si>
    <t>add off_product_biogenic, change single product to mixed because all chain is concerned</t>
  </si>
  <si>
    <t>add off_product_biogenic</t>
  </si>
  <si>
    <t>Fig3</t>
  </si>
  <si>
    <t>ok, Qwood in table1; C in Fig. 3</t>
  </si>
  <si>
    <t>All good. See excel.</t>
  </si>
  <si>
    <t>ok, data found in Fig. 7 and 8</t>
  </si>
  <si>
    <t>Gjbiomass/MgC</t>
  </si>
  <si>
    <t>Changed Qwood ref</t>
  </si>
  <si>
    <t>Changed the start year</t>
  </si>
  <si>
    <t>Changed the start year; corrected Qwood to be cumulative until 2040 (instead of 2060) to be consistent with period for C</t>
  </si>
  <si>
    <t xml:space="preserve">In text sect 4.2 </t>
  </si>
  <si>
    <t>Added place in publication</t>
  </si>
  <si>
    <t>Changed Qwood with cumulative harvest according to section 4.2</t>
  </si>
  <si>
    <t>fig3 vs fig4</t>
  </si>
  <si>
    <t>checked</t>
  </si>
  <si>
    <t>table 3 (carbon storage in building)</t>
  </si>
  <si>
    <t>table3 (5a)</t>
  </si>
  <si>
    <t>table3 (6a)</t>
  </si>
  <si>
    <t>Fig. 7 (mean annual flux * years for material and energy)</t>
  </si>
  <si>
    <t>fig8 (Total)</t>
  </si>
  <si>
    <t>m3 utilized wood calculated from CCME to account for both wood products and biomass for energy. VB: ok, but seemingly erroneous extraction from fig 8</t>
  </si>
  <si>
    <t>fig8 (Forest stock)</t>
  </si>
  <si>
    <t>fig8 (forest + HWP)</t>
  </si>
  <si>
    <t>m3 utilized wood calculated from CCME to account for both wood products and biomass for energy.</t>
  </si>
  <si>
    <t xml:space="preserve">m3 utilized wood calculated from CCME to account for both wood products and biomass for energy. </t>
  </si>
  <si>
    <t xml:space="preserve">Fig. 4 (Hanceville, 2 MW) </t>
  </si>
  <si>
    <t>Fig. 6 (Hanceville)</t>
  </si>
  <si>
    <t xml:space="preserve">Fig. 4 (Anahim, 2 MW) </t>
  </si>
  <si>
    <t>Fig. 6 (Anahim)</t>
  </si>
  <si>
    <t>Table 4 (2 vs 1)</t>
  </si>
  <si>
    <t>Table 3 (1 vs 2)</t>
  </si>
  <si>
    <t>Table 4 (5 vs 4)</t>
  </si>
  <si>
    <t>Table 3 (4 vs 5)</t>
  </si>
  <si>
    <t>Table 4 (3 vs 2)</t>
  </si>
  <si>
    <t>Table 4 (3 vs 1))</t>
  </si>
  <si>
    <t>Table 4 (6 vs 5)</t>
  </si>
  <si>
    <t>Table 4 (6 vs 4)</t>
  </si>
  <si>
    <t>Table 3 (3 vs 1)</t>
  </si>
  <si>
    <t>Table 3 (3 vs 2)</t>
  </si>
  <si>
    <t>Table 3 (6 vs 4)</t>
  </si>
  <si>
    <t>Table 3 (6 vs 5)</t>
  </si>
  <si>
    <t>table5 (total)</t>
  </si>
  <si>
    <t>table5 (maintenance and use)</t>
  </si>
  <si>
    <t>table5 (production + construction)</t>
  </si>
  <si>
    <t>table5 (end of life)</t>
  </si>
  <si>
    <t>table5 (reuse, recovery, recycling)</t>
  </si>
  <si>
    <t>supplementary data p4 (option a vs e)</t>
  </si>
  <si>
    <t>supplementary excel table composed based on SM p5</t>
  </si>
  <si>
    <t>supplementary data p4 (option e vs c)</t>
  </si>
  <si>
    <t>Table 4 (sum of different rows - see extraction file)</t>
  </si>
  <si>
    <t>Table 8 (Total CO2 emission)</t>
  </si>
  <si>
    <t>Table 8 (material production+ building construction - C in wood)</t>
  </si>
  <si>
    <t>Table 8 (Overall balance)</t>
  </si>
  <si>
    <t xml:space="preserve">Fig 2 </t>
  </si>
  <si>
    <t>Fig 4 (B4+B6+C)</t>
  </si>
  <si>
    <t>kgCO2eq/m2 * surface area of the building</t>
  </si>
  <si>
    <t>Fig 2</t>
  </si>
  <si>
    <t>Fig 4 (sum of all)</t>
  </si>
  <si>
    <t>Fig 3 (sum of all bars)</t>
  </si>
  <si>
    <t>Fig 3 (harvest) + Table 1 (change in harvest)</t>
  </si>
  <si>
    <t>Extraction table (change in forest and HWP excludes substitution)</t>
  </si>
  <si>
    <t>Extraction table (change in total net emission)</t>
  </si>
  <si>
    <t>Extraction table (change in forest)</t>
  </si>
  <si>
    <t>Fig. 5 (A) cummulated over 100 years</t>
  </si>
  <si>
    <t>Fig.5 (D)</t>
  </si>
  <si>
    <t xml:space="preserve">OB Landfilling </t>
  </si>
  <si>
    <t>OB Incineration</t>
  </si>
  <si>
    <t>Appendix Table 7</t>
  </si>
  <si>
    <t>Fig 1</t>
  </si>
  <si>
    <t>OB Landfilling</t>
  </si>
  <si>
    <t>(BB) Cast Concrete</t>
  </si>
  <si>
    <t>(OB) timber landfill</t>
  </si>
  <si>
    <t>(DM) Concrete blocks</t>
  </si>
  <si>
    <t>(OB) timber incineration</t>
  </si>
  <si>
    <t>Table 4 (direct from table)</t>
  </si>
  <si>
    <t>table2 (biomass removed from forest - Sawmill residue - sawmill residue available)</t>
  </si>
  <si>
    <t>table2 (biomass removed from forest - recovered construction waste)</t>
  </si>
  <si>
    <t>table2 (column: concrete frame)</t>
  </si>
  <si>
    <t>Fig 3 (cement reactions + fossil fuel for biomass recovery + replacement of fossil + forest stock change)</t>
  </si>
  <si>
    <t>Fig 3 (balance - fossil fuel for biomass recovery)</t>
  </si>
  <si>
    <t>Section 2.3.1</t>
  </si>
  <si>
    <t>Table 2 (seems like columns CLT and RC are swapped in this table because the CLT column has a value of 0 for CLT)</t>
  </si>
  <si>
    <t>Fig. 7</t>
  </si>
  <si>
    <t>t CO2eq/m2 of building</t>
  </si>
  <si>
    <t>Table 9 (RC vs CLT for Melbourne)</t>
  </si>
  <si>
    <t xml:space="preserve">Fig. 7 + Fig. 6 + Fig. 5 (Melbourne) </t>
  </si>
  <si>
    <t>2050: Rotation lenght for ethanol production from wood (2050)</t>
  </si>
  <si>
    <t>Fig. 4 (2050; add residuals)</t>
  </si>
  <si>
    <t>Mt /year</t>
  </si>
  <si>
    <t>Fig. 9 (square vs circle)</t>
  </si>
  <si>
    <t xml:space="preserve">2020: Rotation lenght for ethanol production from wood </t>
  </si>
  <si>
    <t>Fig. 4 (2020; add residuals)</t>
  </si>
  <si>
    <t>2020: Rotation lenght for electricty production from wood</t>
  </si>
  <si>
    <t>Fig. 6 (squares vs circles)</t>
  </si>
  <si>
    <t>Fig. 9 (square vs triangle)</t>
  </si>
  <si>
    <t xml:space="preserve">2050: Rotation lenght for ethanol production from wood </t>
  </si>
  <si>
    <t>Fig. 8 vs 7</t>
  </si>
  <si>
    <t>Fig. 6 (squares vs triangles)</t>
  </si>
  <si>
    <t>2020: ethanol production instead of gasoline</t>
  </si>
  <si>
    <t>Fig. 9 (white square, full line)</t>
  </si>
  <si>
    <t>2020: Type of fuel for electricty production</t>
  </si>
  <si>
    <t>Fig.  8</t>
  </si>
  <si>
    <t>2050: ethanol production instead of gasoline</t>
  </si>
  <si>
    <t>2020: Type of technology replaced for electrity production</t>
  </si>
  <si>
    <t>2050: Type of technology replaced for electrity production</t>
  </si>
  <si>
    <t>electricity from direct burning fast growing Tree RT =10 years; P_gas</t>
  </si>
  <si>
    <t>Table 2 (TP, CU vs BP, CU)</t>
  </si>
  <si>
    <t>Fig.5 column HWP. Confirmed in Section 3.2</t>
  </si>
  <si>
    <t>Fig. 8</t>
  </si>
  <si>
    <t>Fig.5 column HWP</t>
  </si>
  <si>
    <t>Page 49, first column</t>
  </si>
  <si>
    <t>Table 1 Minneapolis)</t>
  </si>
  <si>
    <t>Table 1 (Atlanta)</t>
  </si>
  <si>
    <t>Atlanta house</t>
  </si>
  <si>
    <t>Section 2.1.1. Functional unit</t>
  </si>
  <si>
    <t>Fig 3 (extracted)</t>
  </si>
  <si>
    <t>Fig 4 (extracted)</t>
  </si>
  <si>
    <t>Fig. 3 (extraction file, mean for all steel vs mean glulam landfill)</t>
  </si>
  <si>
    <t>Fig. 4 (extraction file, mean for all steel vs mean glulam landfill)</t>
  </si>
  <si>
    <t>Fig. 3 (extraction file, mean for all steel vs mean glulam recycling)</t>
  </si>
  <si>
    <t>Fig. 4 (extraction file, mean for all steel vs mean glulam incineration)</t>
  </si>
  <si>
    <t>Fig. 3 (extraction file, mean for all steel vs mean glulam incireation)</t>
  </si>
  <si>
    <t>Fig.3 (orange vs grey for 2025)</t>
  </si>
  <si>
    <t>Fig.4 (orange vs grey for 2025)</t>
  </si>
  <si>
    <t>Fig.3 (orange vs grey for 2050)</t>
  </si>
  <si>
    <t>Fig.4 (orange vs grey for 2050)</t>
  </si>
  <si>
    <t>Fig.3 (orange vs blue for 2025)</t>
  </si>
  <si>
    <t>Fig.4 (orange vs blue for 2025)</t>
  </si>
  <si>
    <t>Fig.3 (orange vs blue for 2050)</t>
  </si>
  <si>
    <t>Fig.4 (orange vs blue for 2050)</t>
  </si>
  <si>
    <t>Table 8 (column: total)</t>
  </si>
  <si>
    <t>Fig S8</t>
  </si>
  <si>
    <t>Fig 2 b (low substitution)</t>
  </si>
  <si>
    <t>Fig 2 a (high substitution)</t>
  </si>
  <si>
    <t>Fig S8 vs 388 + calculated 4,2 Mm3 (p6)* number of years * conversion</t>
  </si>
  <si>
    <t>Fig S8 vs baseline + calculated 4,2 Mm3 (p6)* number of years * conversion</t>
  </si>
  <si>
    <t>Value from equation 1 (C forest) with Vhar = 14,44 (Table A1)</t>
  </si>
  <si>
    <t xml:space="preserve">Value from equation 2(C forest + C HWP) with Vhar = 14,44 (Table A1) </t>
  </si>
  <si>
    <t>Value from equation 2(C forest + C HWP) with Vhar = 14,44 (Table A1)</t>
  </si>
  <si>
    <t>Value from equation 3 (C for + HWP + substitution) with Vhar = 14,44 (Table A1)</t>
  </si>
  <si>
    <t>Fig S1</t>
  </si>
  <si>
    <t>Fig 3b</t>
  </si>
  <si>
    <t>Fig 3a</t>
  </si>
  <si>
    <t>Fig 3a-3c</t>
  </si>
  <si>
    <t>Fig.4 (timber)</t>
  </si>
  <si>
    <t>tCO2-eq</t>
  </si>
  <si>
    <t>Fig. 11</t>
  </si>
  <si>
    <t>biomass used</t>
  </si>
  <si>
    <t>ongoing QC</t>
  </si>
  <si>
    <t xml:space="preserve">AV changed driver to "area subject to .." if no harvest involved or "cutting intensity" if doubled harvest involved </t>
  </si>
  <si>
    <t>change unspecified to cutting intensity</t>
  </si>
  <si>
    <t>fix Qwood for harvestedtimber and add a simcilture driver with cutting intensity as price increase for carbon decreases harvest without precision on where or how.</t>
  </si>
  <si>
    <t>no journal ,exclusion</t>
  </si>
  <si>
    <t>Total volume yield</t>
  </si>
  <si>
    <t>table 4</t>
  </si>
  <si>
    <t>changed values to /year for wood and for carbon.</t>
  </si>
  <si>
    <t>table S2</t>
  </si>
  <si>
    <t>wood cumulative material flow (column C insheet Figure 4c</t>
  </si>
  <si>
    <t>table S2 and table 2 for 25% reduction in S1-30m2cap</t>
  </si>
  <si>
    <t>changed driver</t>
  </si>
  <si>
    <t>remove wood value that did not reflect the change in wood consumption, fix carbon unit conversion</t>
  </si>
  <si>
    <t>Fertilisation</t>
  </si>
  <si>
    <t>fig2 (NEE, only uptake in forst growth and decaying soil organic matter)</t>
  </si>
  <si>
    <t>include timber wood, correct Qwood_delta calculation mistake, correct model perimeter as C reported is NEE that only includes live biomass and soil c</t>
  </si>
  <si>
    <t>United Kingdom</t>
  </si>
  <si>
    <t>Life-cycle assessment; Forest products; Roundwood; Wood harvesting; Greenhouse gas emissions; Fossil energy demand; Tennessee</t>
  </si>
  <si>
    <t>ENVIRONMENTAL IMPACTS; SUPPLY CHAIN; PERFORMANCE; EMISSIONS; MICHIGAN; ENERGY</t>
  </si>
  <si>
    <t>Abbas, D; Handler, RM</t>
  </si>
  <si>
    <t>Life-cycle assessment of forest harvesting and transportation operations in Tennessee</t>
  </si>
  <si>
    <t>A life-cycle assessment study of roundwood supply chain activities occurring within the state of Tennessee was performed, in an effort to quantify the environmental impacts associated with wood harvest and transport operations. Statewide data from a survey given to Tennessee forest industry operators was used to construct representative primary life cycle input datasets that are unique to the industry profile within the state. This data was combined with inputs and assumptions from other relevant reports and publications to fully characterize the supply chain. Results of the life cycle assessment study indicated that greenhouse gas emissions and fossil energy demand per green tonne of wood were lower for chainsaw-based harvesting systems compared to feller buncher-based harvesting, because the relatively low harvest productivity of the chainsaw systems was more than made up for by the low inputs of fuels, lubricants, and machinery for this system. Transport of roundwood by truck resulted in transport impacts that were nearly as large as harvesting impacts, assuming a 150-km roundtrip based on Tennessee survey data. Results of this supply chain study can help the state of Tennessee understand the environmental impacts associated with traditional forest products industry operations, and guide development of new bio-based products, where environmental performance will be a key driver of successful development and implementation. (C) 2017 Published by Elsevier Ltd.</t>
  </si>
  <si>
    <t>10.1016/j.jclepro.2017.11.238</t>
  </si>
  <si>
    <t>type of cut</t>
  </si>
  <si>
    <t>selective (30% cut)</t>
  </si>
  <si>
    <t>clearcutting</t>
  </si>
  <si>
    <t>harvested ton of wood</t>
  </si>
  <si>
    <t>dry ton</t>
  </si>
  <si>
    <t>table7</t>
  </si>
  <si>
    <t>kgCO2eq/t</t>
  </si>
  <si>
    <t>shelterwood (70% cutting)</t>
  </si>
  <si>
    <t>equipment configuration</t>
  </si>
  <si>
    <t>feller-buncher</t>
  </si>
  <si>
    <t>chainsaw</t>
  </si>
  <si>
    <t>harvest system</t>
  </si>
  <si>
    <t>selective cut</t>
  </si>
  <si>
    <t>clearcut</t>
  </si>
  <si>
    <t>250km</t>
  </si>
  <si>
    <t>50km</t>
  </si>
  <si>
    <t>APPLIED ENGINEERING IN AGRICULTURE</t>
  </si>
  <si>
    <t>Bioenergy; Biomass densification; Briquette; Forest residues; Life-cycle assessment; Sawdust</t>
  </si>
  <si>
    <t>WOOD-BASED PRODUCTS; ENVIRONMENTAL-IMPACT; INLAND NORTHWEST; BIOMASS; ENERGY; EMISSIONS; PERFORMANCE; PELLETS; TORREFACTION; EXPERIENCES</t>
  </si>
  <si>
    <t>Alanya-Rosenbaum, S; Bergman, RD; Ganguly, I; Pierobon, F</t>
  </si>
  <si>
    <t>A COMPARATIVE LIFE-CYCLE ASSESSMENT OF BRIQUETTING LOGGING RESIDUES AND LUMBER MANUFACTURING COPRODUCTS IN WESTERN UNITED STATES</t>
  </si>
  <si>
    <t>Timber harvest activities in the western United States have resulted in large volumes of low-to no-value logging (forest) residues. Alternatives to pile-and-burning are needed to best utilize this material and to mitigate the resultant environmental impacts. Briquetting (densifying) forest residues near-woods is one such option and is the focus of this study. This study presents a cradle-to-grave life-cycle assessment (LCA) performed to evaluate the overall environmental impacts associated with briquetting post-harvest forest residues and dry sawmill residues (sawdust) in the Pacific Northwest (PNW) region of the United States. Environmental impacts resulting from the two briquette production systems were compared with firewood and propane production, which are common residential heating sources in rural areas of the PNW, on a per 1 MJ of useful energy for domestic heating. In the briquetted post-harvest forest residue system, the feedstock preparation stage had the largest share in global warming (GW) impact, mainly resulting from the drying process (69.5%), followed by transportation. Valorization of post-harvest forest residues, in combination with a briquetter, to produce a bioenergy carrier was revealed to be advantageous in smog, acidification, and eutrophication impact categories, with considerable environmental benefits from avoided pile-and-burn emissions. With all scenarios investigated, briquette production from post-harvest forest residues with high dryer efficiency showed lowest GW impact compared to briquetting sawmill residues and firewood supply chain. For a scenario analysis, LCA showed that using a diesel generator to support the forest residue briquetter operation resulted in 45% higher GW impact compared to use of a wood-gas-powered generator.</t>
  </si>
  <si>
    <t>Appl. Eng. Agric.</t>
  </si>
  <si>
    <t>10.13031/aea.12378</t>
  </si>
  <si>
    <t>technology used</t>
  </si>
  <si>
    <t>S1a</t>
  </si>
  <si>
    <t>split results by LCA stages possible</t>
  </si>
  <si>
    <t>S1b</t>
  </si>
  <si>
    <t>S1c</t>
  </si>
  <si>
    <t>Bioenergy; Biogenic carbon; Carbon sequestration; Climate change; Dynamic LCA</t>
  </si>
  <si>
    <t>LIFE-CYCLE ASSESSMENT; CLIMATE IMPACT ASSESSMENT; BIO-BASED MATERIALS; BIOGENIC CARBON; LAND-USE; SYSTEM BOUNDARIES; FOREST MANAGEMENT; TEMPORARY-STORAGE; CO2 EMISSIONS; LCA</t>
  </si>
  <si>
    <t>Albers, A; Collet, P; Benoist, A; Helias, A</t>
  </si>
  <si>
    <t>Back to the future: dynamic full carbon accounting applied to prospective bioenergy scenarios</t>
  </si>
  <si>
    <t>PurposeOngoing debates focus on the role of forest-sourced bioenergy within climate mitigation efforts, due to the long rotation lengths of forest biomass. Valuing sequestration is debated due to its reversibility; however, dynamic modelling of biogenic carbon (C-bio) flows captures both negative and positive emissions. The objective of this work is to respond to the key issue of timing sequestration associated with two opposed modelling choices (historic vs. future) in the context of dynamic life cycle assessment (LCA).MethodsThe outputs of a partial-equilibrium model are used to inform prospective evaluations of the use of forest wood residues in response to an energy transition policy. Dynamic forest carbon modelling represents the carbon cycle between the atmosphere and technosphere: C-bio fixation and release through combustion and/or decay. Time-dependent characterization is used to assess the time-sensitive climate change effects. The two C-bio sequestration perspectives for bioenergy (forest biomass use) and reference (no use) scenarios are contrasted to assess (i) their temporal profiles, (ii) their climatic consequences concerning C-complete (fossil + biogenic C) vs. C-neutral (fossil C) approaches, and (iii) the implications of comparing the two approaches with dynamic LCA.Results and discussionFull lifetime carbon accounting confirms that C-bio entering the bioenergy system equals the C-bio leaving it in the net balance, but not within annual dynamic balances, which alter the atmospheric greenhouse gas composition. The impacts of the historic approach differed considerably from those of the future. Moreover, the no use scenario yielded higher forcing effects than the bioenergy due to the higher methane proportions. The chicken-egg dilemma arises in attributional LCA: as the forcing depends on the timing of the C-bio sequestration and its allocation to a harvest activity. A decision tree supported by case study applications provides general rules for selecting the adequate time-related modelling approach based the criteria of provision of wood and regrowth from managed and unmanaged forests, determined by the origin of biotic resources and related spheres.ConclusionsExcluding dynamic C-bio introduces under- (future) or over- (historic) estimation of the results, misleading mitigation decisions. Further research is needed to close the gap between forest stand and landscape level, addressing issues beyond the chicken-egg dilemma and developing complete dynamic LCA studies.</t>
  </si>
  <si>
    <t>10.1007/s11367-019-01695-7</t>
  </si>
  <si>
    <t>fate of residues</t>
  </si>
  <si>
    <t>future "no use" C complete</t>
  </si>
  <si>
    <t>future "bioenergy" C complete</t>
  </si>
  <si>
    <t>historic "no use" C complete</t>
  </si>
  <si>
    <t>historic "bioenergy" C complete</t>
  </si>
  <si>
    <t>future "no use" C biogenic</t>
  </si>
  <si>
    <t>future "bioenergy" C biogenic</t>
  </si>
  <si>
    <t>historic "no use" C biogenic</t>
  </si>
  <si>
    <t>historic "bioenergy" C biogenic</t>
  </si>
  <si>
    <t>Buildings; Built environment; Carbon sequestration; Sustainable development goals; System-dynamics modelling; Net-zero emissions; Decarbonisation</t>
  </si>
  <si>
    <t>GREENHOUSE-GAS EMISSIONS; HOUSE SIZE; SENSITIVITY-ANALYSIS; DEEP UNCERTAINTY; BUILDING SECTOR; EMBODIED ENERGY; CONSTRUCTION; STRATEGIES; EFFICIENCY; SCENARIOS</t>
  </si>
  <si>
    <t>Allen, C; Oldfield, P; Teh, SH; Wiedmann, T; Langdon, S; Yu, M; Yang, JJ</t>
  </si>
  <si>
    <t>Modelling ambitious climate mitigation pathways for Australia's built environment</t>
  </si>
  <si>
    <t>Achieving net zero operational and embodied greenhouse gas (GHG) emissions in the built environment is recognised in Australia and globally as a key strategy to address climate change and achieve the United Nations Sustainable Development Goals (SDGs). However, gaps in knowledge remain regarding potential national pathways to achieve this outcome in Australia. This study further extends and applies a national-scale integrated macroeconomic simulation model to explore coherent pathways to net zero emissions in the built environment sector by 2050. The scope of the study includes residential and commercial buildings and both operational and embodied emissions. It applies scenario analysis incorporating different levels of climate ambition, including a shift to renewable energy, electrifying buildings, improving energy efficiency and replacing carbon-intensive materials. We find that a high ambition scenario (Scenario 2) delivers a 94% reduction in GHG emissions by 2050 when compared against business-as-usual, placing a net-zero target within reach. Improvements on Australia's SDGs performance are also attained. Through subsequent pathways analysis we find that achieving net zero or even net negative operational and embodied emissions is feasible with more ambitious action in key areas, including increasing the share of mass-timber buildings and reducing end-of-life losses in sequestered carbon.</t>
  </si>
  <si>
    <t>10.1016/j.scs.2021.103554</t>
  </si>
  <si>
    <t>National policy</t>
  </si>
  <si>
    <t>BAU scenario</t>
  </si>
  <si>
    <t>sustainability transition</t>
  </si>
  <si>
    <t>JOURNAL OF APPLIED ECOLOGY</t>
  </si>
  <si>
    <t>climate change; habitat restoration; mitigation; nature-based solutions; net zero; peatland; saltmarsh; woodland</t>
  </si>
  <si>
    <t>ECOSYSTEM SERVICES; LAND; CARBON</t>
  </si>
  <si>
    <t>Bradfer-Lawrence, T; Finch, T; Bradbury, RB; Buchanan, GM; Midgley, A; Field, RH</t>
  </si>
  <si>
    <t>The potential contribution of terrestrial nature-based solutions to a national 'net zero' climate target</t>
  </si>
  <si>
    <t>Many national governments have incorporated nature-based solutions (NbS) in their plans to reduce net greenhouse gas emissions. However, uncertainties persist regarding both feasibility and consequences of major NbS deployment. Using the United Kingdom as a national-level case study, we examined the potential contribution of three terrestrial NbS: peatland restoration, saltmarsh creation and woodland creation. While there is substantial political and societal interest in these three NbS, they also have strong potential for competition with other land uses, which will be a critical barrier to substantial deployment. We conducted a national mapping exercise to assess the potential area available for woodland creation. We then assessed the combined climate change mitigation potential to 2100 for the three NbS options under a range of ambition levels. In line with the most ambitious targets examined, 2 Mha of land is potentially available for new woodland. However, climate change mitigation benefits of woodland are strongly dependent on management choices. By 2100, scenarios with a greater proportion of broadleaved woodlands outsequester non-native conifer plantations, which are limited by regular timber harvesting. Peatland restoration offers the greatest mitigation per unit area, whilst the contribution from saltmarsh creation is limited by the small areas involved. Overall, the contribution of these NbS to the United Kingdom's net zero emissions target is relatively modest. Even with the most ambitious targets considered here, by 2100, the total cumulative mitigation from the three NbS is equivalent to only 3 years' worth of UK emissions at current levels. Policy implications. Major deployment of nature-based solutions (NbS) is possible in the United Kingdom but reaching 'net zero' primarily requires substantial and sustained reductions in fossil fuel use. However, facilitating these NbS at the national scale could offer many additional benefits for people and biodiversity. This demands that policy-makers commit to a UK-wide strategic approach that prioritises the 'nature' aspect of NbS. In the push to reach 'net zero', climate change mitigation should not be used to justify land management practices that threaten biodiversity ambitions.</t>
  </si>
  <si>
    <t>J. Appl. Ecol.</t>
  </si>
  <si>
    <t>10.1111/1365-2664.14003</t>
  </si>
  <si>
    <t>woodland creation area</t>
  </si>
  <si>
    <t>business as usual</t>
  </si>
  <si>
    <t>balanced net zero pathway</t>
  </si>
  <si>
    <t>UK</t>
  </si>
  <si>
    <t>anomaly QC_AV</t>
  </si>
  <si>
    <t>headwinds</t>
  </si>
  <si>
    <t>widespread engagement</t>
  </si>
  <si>
    <t>main reforestation species</t>
  </si>
  <si>
    <t>tailwinds</t>
  </si>
  <si>
    <t>widespread innovation</t>
  </si>
  <si>
    <t>CHEMICAL ENGINEERING RESEARCH &amp; DESIGN</t>
  </si>
  <si>
    <t>Multi-objective optimization; Life cycle assessment; Economic and environmental optimization; Biorefinery supply chain; Bioenergy and biofuels</t>
  </si>
  <si>
    <t>PYROLYSIS BIO-OIL; BIOMASS FAST PYROLYSIS; MULTIOBJECTIVE OPTIMIZATION; ENERGY-PRODUCTION; POWER PRODUCTION; DESIGN; LOGISTICS; NETWORKS; FOOTPRINTS; CHEMICALS</t>
  </si>
  <si>
    <t>Cambero, C; Sowlati, T; Pavel, M</t>
  </si>
  <si>
    <t>Economic and life cycle environmental optimization of forest-based biorefinery supply chains for bioenergy and biofuel production</t>
  </si>
  <si>
    <t>The increased use of forest and wood residues for the production of bioenergy, biofuels, and other bioproducts is essential to enhance the economic performance of forest products industries and reduce environmental impacts. Bi-objective optimization models have been developed recently to support the optimum design of either bioenergy or biofuels supply chains considering economic as well as environmental impacts. In an integrated bioenergy and biofuels supply chain where biofuel producers are also users of the generated energy, the energy flows among co-located supply chain entities affect the environmental and economic objective functions and consequently the optimal design of the supply chain, therefore, the energy flows have to be considered in the optimization model. This type of bi-objective problem has not been modeled in previous studies. In this paper, a bi-objective biorefinery supply chain optimization model for the production of bioenergy and biofuels using forest and wood residues is developed. The model considers energy flows among co-located technologies and is formulated as a multi-period mixed integer program (MIP) that calculates the net present value (NPV) and the life cycle greenhouse gas (GHG) emission savings associated with the biorefinery supply chain. The applicability of the proposed model is illustrated through a case study in British Columbia, Canada. (C) 2015 The Institution of Chemical Engineers. Published by Elsevier B.V. All rights reserved.</t>
  </si>
  <si>
    <t>Chem. Eng. Res. Des.</t>
  </si>
  <si>
    <t>10.1016/j.cherd.2015.10.040</t>
  </si>
  <si>
    <t>network of energy systems</t>
  </si>
  <si>
    <t>solution A (Maximum NPV)</t>
  </si>
  <si>
    <t>solution B (Compromise)</t>
  </si>
  <si>
    <t>solution C (Max GHG savings)</t>
  </si>
  <si>
    <t>LIFE-CYCLE ASSESSMENT; UNITED-STATES; RESIDENTIAL CONSTRUCTION; BUILDING CONSTRUCTION; CARBON STOCKS; MITIGATION; SUBSTITUTION; IMPACTS; CONCRETE; ALTERNATIVES</t>
  </si>
  <si>
    <t>Chen, JX; Ter-Mikaelian, MT; Yang, HQ; Colombo, SJ</t>
  </si>
  <si>
    <t>Assessing the greenhouse gas effects of harvested wood products manufactured from managed forests in Canada</t>
  </si>
  <si>
    <t>We developed a life-cycle analysis (LCA) system to quantify the carbon dynamics for Canadian-made harvested wood products (HWP). We considered the carbon stocks of HWP in use and in landfills/dumps, emissions reduced by substituting HWP for non-wood construction materials, HWP production emissions and methane emissions from decomposing wood disposed of in landfills. Carbon dynamics analyses were conducted for five HWP production scenarios. Results indicate structural panels have the highest potential in mitigating greenhouse gases (GHG) emissions, followed by lumber and non-structural panels. Net GHG effects of Canadian-made HWP were evaluated by integrating HWP carbon dynamics with forest carbon analysis using four forest management units (a total of 2.21 million ha of forests managed for timber production) from Ontario, Canada, as a case study. If HWP substitution benefits were estimated using the average displacement factor, and the wood obtained by increasing harvesting (relative to the baseline harvest scenario) in these four management units is used for structural panel, lumber, non-structural panel and business as usual HWP production, 0, 21, 39 and 84 years are needed to achieve net emission reductions, respectively; net emission reductions were, respectively, estimated to be 112, 93, 66 and 21 Mt CO2-equivalent in 100 years. Our results suggest harvesting sustainably managed forests in Canada to produce long-lived solid HWP can significantly contribute to GHG mitigation.</t>
  </si>
  <si>
    <t>10.1093/forestry/cpx056</t>
  </si>
  <si>
    <t>primary use of harvested wood</t>
  </si>
  <si>
    <t>pulp and paper</t>
  </si>
  <si>
    <t>extra wood harvested over 100 years</t>
  </si>
  <si>
    <t>MtCO2-eq</t>
  </si>
  <si>
    <t>non-structural panel</t>
  </si>
  <si>
    <t>structural panel</t>
  </si>
  <si>
    <t>greenhouse gas mitigation; forest carbon budget modelling; harvested wood products (HWP); life-cycle analysis (LCA); HWP substitution; FORCARB-ON2; HWP-CASE</t>
  </si>
  <si>
    <t>LIFE-CYCLE ASSESSMENT; CARBON STORAGE; FOSSIL-FUEL; IMPACTS; CANADA; SUBSTITUTION</t>
  </si>
  <si>
    <t>Chen, JX; Ter-Mikaelian, MT; Ng, PQ; Colombo, SJ</t>
  </si>
  <si>
    <t>Ontario's managed forests and harvested wood products contribute to greenhouse gas mitigation from 2020 to 2100</t>
  </si>
  <si>
    <t>We used an integrated approach to estimate the greenhouse gas (GHG) mitigation potential of Ontario's forestry sector, defined as the managed forests and the harvested wood products (HWP) originating from these forests. The 44.7 million ha of managed forests in this study included Crown forests designated as 41 forest management units (FMUs) for timber harvesting, productive forests north of the area of undertaking, large parks, and private forest land. Forests and HWP were simulated from approximately 2010 to 2100, with carbon (C) stocks and emissions reported for the period 2020 to 2100. A baseline scenario was defined to represent business as usual forestry operations in Ontario, in which the 41 FMUs and the private forests were harvested at historical (1990-2009) rates, and HWP production and end uses were assumed to follow Ontario's historical values (1991-2010). In the baseline scenario, the forest C stocks were projected to increase from 7229.7 million tonnes (Mt C) in 2020 to 7424 Mt C in 2100. The C stocks of HWP originating from the 41 FMUs and the private forests were estimated to increase from 171.0 Mt C, the initial HWP C stocks in 2020 from previous harvesting, to 334.7 Mt C in 2100, in which the C stocks of HWP in use and in landfills, HWP production emissions, landfill methane emissions from decomposing mill residue and waste HWP discarded, and the reduced emissions from substituting HWP for non-wood materials in construction were all considered. On average, Ontario's forestry sector was estimated to increase C stocks by 44.8 Mt per decade over the 80-year period. Six alternative scenarios were defined based on increased harvesting in the 41 FMUs and varied use of the increased harvested wood in HWP production and differing HWP end uses. Depending on how the increased harvested wood is used, increased forest harvesting (relative to historical rates) may increase or reduce the mitigation potential of Ontario's forestry sector. Based on historical use statistics, the life-cycle analysis HWP C stocks/emissions plus HWP substitution benefits were insufficient to compensate for forest C decreases from increased harvesting. However, if the increased harvested wood was used to produce solid HWP and these products were used in construction, increasing forest harvesting to 95% of the maximum allowable harvest level would require 20.0 years to achieve a positive net mitigation contribution. Factoring out the decrease in forest C due to increased harvesting, this amounts to 187.9 Mt C of additional mitigation contribution by 2100. We conclude that Ontario's forestry sector has the potential to contribute significantly to medium- and long-term GHG mitigation. Our results indicate that harvesting sustainably managed forests to produce solid HWP and using these HWP in long-lived end uses such as construction is a better mitigation option than protecting forest from harvesting.</t>
  </si>
  <si>
    <t>10.5558/tfc2018-040</t>
  </si>
  <si>
    <t>use of harvested wood</t>
  </si>
  <si>
    <t>BAUP (+AH+BAUE)</t>
  </si>
  <si>
    <t>ISP (+AH+BAUE)</t>
  </si>
  <si>
    <t>merchantable wood harvested</t>
  </si>
  <si>
    <t>end use of harvested wood products (type of construction)</t>
  </si>
  <si>
    <t>BAUE (+AH+ISP)</t>
  </si>
  <si>
    <t>ICU (+AH+ISP</t>
  </si>
  <si>
    <t>There is a back-of-the-enveloppe calculation of avoided emissions through substitution by all HWP, but if the implicit reference scenario is then "no HWP at all", then it lacks a quantification on the other compartments such as standing biomass</t>
  </si>
  <si>
    <t xml:space="preserve">Cherubini, F., Guest, G., &amp; Strømman, A. H. </t>
  </si>
  <si>
    <t xml:space="preserve"> Bioenergy from forestry and changes in atmospheric CO2: Reconciling single stand and landscape level approaches</t>
  </si>
  <si>
    <t xml:space="preserve"> Journal of environmental management</t>
  </si>
  <si>
    <t>10.1016/j.jenvman.2013.07.021</t>
  </si>
  <si>
    <t>energy source</t>
  </si>
  <si>
    <t>coal</t>
  </si>
  <si>
    <t>old forest</t>
  </si>
  <si>
    <t>gCO2-eq/MJ</t>
  </si>
  <si>
    <t>type of forest</t>
  </si>
  <si>
    <t>managed forest</t>
  </si>
  <si>
    <t>SUSTAINABLE ENVIRONMENT</t>
  </si>
  <si>
    <t>Land-use land cover change; ecosystem service valuation; deforestation; Gambia; GIS; remote sensing; Carbon storage and sequestration</t>
  </si>
  <si>
    <t>CLIMATE-CHANGE; RANDOM FOREST; EMISSIONS; ECONOMICS; CLASSIFICATION; DYNAMICS; MAP</t>
  </si>
  <si>
    <t>Dampha, NK</t>
  </si>
  <si>
    <t>Change detection (1985-2020): Projections on land-use land cover, carbon storage, sequestration, and valuation in Southwestern Gambia</t>
  </si>
  <si>
    <t>This study assesses land-use/land cover (LULC) change in the southwestern region of The Gambia, using remotely sensed satellite imagery. Using a geographic information system (GIS) software, I conducted a pixel-based supervised LULC classification applying the Random Forest Algorithm. I further used the classified LULC maps as part of the input parameters required to run the Integrated Valuation of Ecosystem Services and Tradeoffs (InVEST) Carbon Storage and Sequestration model. This study attributes the critical drivers of LULC change to deforestation, urbanization, industrial expansion, real estate development, climate change impacts, timber extraction, migration, and population density. Some of the factors are necessary for economic growth but not suitable for sustainable growth or development. The analysis reveals a forest cover loss of 22,408 ha (18% decrease) from 1985 to 2020 in the study area. The deforestation and other LULC changes between 2003 and 2020 have contributed to 21,824 metric tons of carbon emissions. The carbon loss is equivalent to an economic value ranging from US$521,526 to US$6,899,830. The study also presents three LULC projection (2020-2050) scenarios, namely, a business-as-usual (BAU), a new capital city (NCC) development, and a sustainability (SUST) pathway. Consideration of the study recommendations will minimize deforestation, increase carbon sequestration rate, support climate change mitigation, and provide adaptation co-benefits (e.g. urban flood mitigation).</t>
  </si>
  <si>
    <t>Sustain. Environ.</t>
  </si>
  <si>
    <t>10.1080/23311843.2021.1875556</t>
  </si>
  <si>
    <t>land use change trajectory</t>
  </si>
  <si>
    <t>SUST</t>
  </si>
  <si>
    <t>Gambia</t>
  </si>
  <si>
    <t>adds increased harvest area as driver because text says that conservation efforts are reinforced in sust scenario</t>
  </si>
  <si>
    <t>NCC</t>
  </si>
  <si>
    <t>adds increased harvest area as driver because text says that conservation efforts are not maintained in forest remaining forest in ncc</t>
  </si>
  <si>
    <t xml:space="preserve">Dugan, A. J., Birdsey, R., Mascorro, V. S., Magnan, M., Smyth, C. E., Olguin, M., &amp; Kurz, W. A. </t>
  </si>
  <si>
    <t xml:space="preserve"> A systems approach to assess climate change mitigation options in landscapes of the United States forest sector</t>
  </si>
  <si>
    <t xml:space="preserve"> Carbon balance and management</t>
  </si>
  <si>
    <t>10.1186/s13021-018-0100-x</t>
  </si>
  <si>
    <t>fate of harevsted wood</t>
  </si>
  <si>
    <t>extend rotation</t>
  </si>
  <si>
    <t>baseline</t>
  </si>
  <si>
    <t xml:space="preserve">HWP amount </t>
  </si>
  <si>
    <t>Sathre O'Connor 2010</t>
  </si>
  <si>
    <t>Fix sequestration sign ; Fix conversion units; Qwood cannot be taken from the HWP mitigation potential</t>
  </si>
  <si>
    <t>increase collection of harvest residues</t>
  </si>
  <si>
    <t>residues</t>
  </si>
  <si>
    <t>harvested area</t>
  </si>
  <si>
    <t>harvest BioE</t>
  </si>
  <si>
    <t>HWP amount</t>
  </si>
  <si>
    <t>bioenergy</t>
  </si>
  <si>
    <t>Functional units; Ghanaian timber; Inventory analysis; Life cycle inventory (LCI); Tropical wood</t>
  </si>
  <si>
    <t>LIFE-CYCLE INVENTORY; RENEWABLE RESOURCES; WOOD; THINKING; POLICY</t>
  </si>
  <si>
    <t>Eshun, JF; Potting, J; Leemans, R</t>
  </si>
  <si>
    <t>Inventory analysis of the timber industry in Ghana</t>
  </si>
  <si>
    <t>The timber sector, i.e., forestry and timber industry, plays an important role in the socioeconomic development of Ghana through timber products export. Timber production in this sector is associated with increasing environmental burdens in terms of use of materials and energy, production of emissions and waste, and land use changes. The purpose of this study was to compile a comprehensive life cycle inventory (LCI) to identify the most dominant environmental pressures for five major production lines in the timber industry, and to evaluate the influence of the choice of the functional unit on the results (1 m(3), 1 kg, and 1 euro). LCA's of wood typically base their functional unit on volume, but mass or money may be more appropriate for the rather different products considered in this study. The LCI covers five timber production lines, namely, air-dried lumber, kiln-dried lumber, plywood, veneer, and furniture parts. Three functional units were used for this study to identify the most appropriate basis for a fair comparison of the different timber products (functional units were 1 m(3), 1 kg and 1 euro). Questionnaires were administered to thirty selected companies in Ghana. These companies provided data about their material uses, energy requirements, and waste production for their operations from 2000 to 2007. The collected data were first converted into total annual average values, and next extrapolated to reflect the national average data for all 104 active companies. Finally, these data were expressed per functional unit for each of the five product lines on the basis of their production outputs (in volume, mass or money according to functional unit applied). Forest land used changes data was taken from the Ghana Timber Industry Development Division. Emissions for the several activities were taken from literature. Land use change for timber production in Ghana between the estimated periods turned out to be 34.0 x 10(3) ha per year, which will lead to complete deforestation in the year 2023 if continued. The total energy consumed by the timber sector per year was estimated at 1.9 x 10(9) MJ per year. The results showed that CO2 emissions by the timber sector activities per year accounted for 745k tons per year and dominate overall greenhouse gases emissions in the timber sector (changes in carbons storage related to land use changes not included). Wood waste by the timber sector accounted for 0.8 million m(3) per year. The enormous wastage of wood contributes enormously to the rapid depletion of the country's timber resources. The choice of the functional unit influences inventory results. The money-based functional unit, which also seems more appropriate for the different products considered, favors the value-added. Value-added products with strict sustainable forest management policy hold a promising future in terms of sustainability for the timber industry in Ghana. This study has yielded good quality primary data unique for LCA research in Africa. This will enhance LCA approaches in Ghana, and allows here identification of the main environmental pressures and their dominantly contributing processes in the timber sector. Land use changes due to forestry form a critical issue and require urgent attention. The chosen functional units' plays a crucial role in the environmental comparison of production line in the timber sector in Ghana. A comprehensive and transparent inventory for the timber industry provides the industry with an overview of areas in which material and thus economic savings can be made for the good of both environment and the industry finances. Good data keeping in the Ghanaian timber industry will help to build the required research capacity to develop local familiarity and competence in LCA techniques and applying these techniques will help to further certify tropical timber international markets.</t>
  </si>
  <si>
    <t>10.1007/s11367-010-0207-0</t>
  </si>
  <si>
    <t>Change in wood use</t>
  </si>
  <si>
    <t>Air-dried lumber</t>
  </si>
  <si>
    <t>Furniture parts</t>
  </si>
  <si>
    <t>Amount of wood entering the processing chain</t>
  </si>
  <si>
    <t>tCO2/m3</t>
  </si>
  <si>
    <t>Ghana</t>
  </si>
  <si>
    <t>Huge C ratios, but the perimeter (processing emissions) is limited to a small part of the C budget</t>
  </si>
  <si>
    <t>Kiln-dried lumber</t>
  </si>
  <si>
    <t>bio-ethanol; bio-fuel; biomass; cellulose bio-ethanol; enzymatic hydrolysis; ethanol; LCA; life cycle analysis; life cycle assessment; life cycle engineering</t>
  </si>
  <si>
    <t>Fu, GZ; Chan, AW; Minns, DE</t>
  </si>
  <si>
    <t>Life cycle assessment of bio-ethanol derived from cellulose</t>
  </si>
  <si>
    <t>Objective, Scope, Background. A comprehensive Life Cycle Assessment was conducted on bio-ethanol produced using a new process that converts cellulosic biomass by enzymatic hydrolysis. Options for sourcing the feedstock either from agricultural and wood waste, or, if the demand for bio-ethanol is sufficient, from cultivation are examined. The main focus of the analysis was to determine its potential for reducing greenhouse gas emissions in a 10% blend of this bio-ethanol with gasoline (E10) as a transportation fuel. Methods. SimaPro 4.0 was used as the analysis tool, which allowed a range of other environmental impacts also to be examined to assess the overall relative performance to gasoline alone. All impacts were assigned to the fuel because of uncertainties in markets for the by-products. This LCA therefore represents a worst case scenario. Results, Conclusion. It is shown that E10 gives an improved environmental performance in some impact categories, including greenhouse gas emissions, but has inferior performances in others. Whether the potential benefits of the bio-ethanol blend to reduce greenhouse gas emissions will be realized is shown to be particularly sensitive to the source of energy used to produce the process steam required to break down the cellulose to produce sugars and to distil the final product. One key area where improvements in environmental performance might be derived is in enzyme production. Recommendations and Outlook. The LCA profile helps to highlight those areas where positive and negative environmental impacts can be expected. Technological innovation can be directed accordingly to preserve the benefits while minimizing the negative impacts as development progresses to commercial scales.</t>
  </si>
  <si>
    <t>10.1007/BF02978458</t>
  </si>
  <si>
    <t>Feedstock (process energy source: fossil electric grid; table 1)</t>
  </si>
  <si>
    <t>cultivated</t>
  </si>
  <si>
    <t>Wate biomass</t>
  </si>
  <si>
    <t>g CO2 eq / km</t>
  </si>
  <si>
    <t>Emissions from E10 (bioethanol based fuel) per km driven</t>
  </si>
  <si>
    <t>Feedstock (process energy source: waste biomass; table 1)</t>
  </si>
  <si>
    <t>Proces energy source (feedstock: waste biomass; table 1)</t>
  </si>
  <si>
    <t>Fossil electric grid</t>
  </si>
  <si>
    <t>Fix sequestration sign; fix driver it is a tchnology shift</t>
  </si>
  <si>
    <t>Proces energy source (feedstock: cultivated; table 1)</t>
  </si>
  <si>
    <t>Renewable portfolio standard; Biomass; FASOMGHG; SRTS; Forest carbon</t>
  </si>
  <si>
    <t>FOREST BIOMASS; MARKETS; CARBON; TIMBER; WOOD; ELECTRICITY; PRODUCTS; DEMAND; ENERGY; SECTOR</t>
  </si>
  <si>
    <t>Galik, CS; Abt, RC; Latta, G; Vegh, T</t>
  </si>
  <si>
    <t>The environmental and economic effects of regional bioenergy policy in the southeastern US</t>
  </si>
  <si>
    <t>The unique generation, landownership, and resource attributes of the southeastern United States make the region an important test bed for implementation of novel renewable energy policy interventions. This study evaluates the environmental and economic implications of one such intervention, a hypothetical region-wide renewable portfolio standard (RPS) with biomass carve-outs. It utilizes the Forest and Agriculture Sector Optimization Model with Greenhouse Gases (FASOMGHG) to assess the multi-sector and interregional allocation of forest harvest activity, and then uses the Sub-Regional Timber Supply (SRTS) model to assess intraregional variation in forest composition and greenhouse gas (GHG) mitigation potential. The analysis finds that existing resource conditions influence the regional distribution of land use and harvest changes, resulting in a spatially and temporally diverse forest carbon response. Net forest carbon in the Southeast is greater in the RPS Scenario than in the No RPS Scenario in all but the final years of the model run. Accounting for displaced fossil emissions yields net GHG reductions in all time periods. Both research methodology and findings are also applicable to a broader suite of domestic and international policies, including European Union renewable energy initiatives and GHG mitigation under Section 111 of the U.S. Clean Air Act. (C) 2015 Elsevier Ltd. All rights reserved.</t>
  </si>
  <si>
    <t>10.1016/j.enpol.2015.05.018</t>
  </si>
  <si>
    <t>Bioenergy target RPS Replaces Coal</t>
  </si>
  <si>
    <t>Wood Bioenergy</t>
  </si>
  <si>
    <t>MgCO2eq</t>
  </si>
  <si>
    <t>Bioenergy target RPS Replaces Natural Gas</t>
  </si>
  <si>
    <t>Natural Gas</t>
  </si>
  <si>
    <t>CLEAN TECHNOLOGIES AND ENVIRONMENTAL POLICY</t>
  </si>
  <si>
    <t>Techno-ecological synergy; Biosolids management; Carbon sequestration ecosystem service; Multiobjective optimization</t>
  </si>
  <si>
    <t>SEWAGE-SLUDGE TREATMENT; WASTE HANDLING SYSTEMS; LIFE-CYCLE ASSESSMENT; MULTIOBJECTIVE OPTIMIZATION; INDUSTRIAL NETWORKS; RESOURCE-MANAGEMENT; SIMULATION-MODEL; LAND APPLICATION; SUSTAINABILITY; SCENARIOS</t>
  </si>
  <si>
    <t>Gopalakrishnan, V; Grubb, GF; Bakshi, BR</t>
  </si>
  <si>
    <t>Biosolids management with net-zero CO2 emissions: a techno-ecological synergy design</t>
  </si>
  <si>
    <t>Management of biosolids from industrial and municipal wastewater facilities presents multifaceted issues ranging from greenhouse gas emissions, high odor and high treatment costs. Until now, most studies that have focused on identifying the best treatment pathway are based on optimization of technological alternatives and life cycle analysis studies. Such studies aim toward sustainability but ignore the capacity of local ecological systems to provide ecosystem services, thus leading to design solutions that may be sub-optimal due to shifting of impacts outside the boundary, resulting in degradation. This work uses a techno-ecological synergy design methodology to identify optimal strategies for biosolids treatment and disposal, by balancing the supply and demand for carbon sequestration ecosystem service. Both the technological systems that create the ecosystem service demand and ecological systems that supply those services are included within one design framework. Technological alternatives for biosolids management in Central Ohio considered in this work are land filling, land application, incineration and composting. Approaches for supplying the carbon sequestration capacity include forestation, extension of timber cycles and geological sequestration. An additional case where biomass utilization from extension of timber cycle to produce renewable energy is also explored. Results from this study demonstrate that including carbon sequestration ecosystem service explicitly in the design problem leads to solutions where the ecosystem service demand and supply can be balanced, while also being cost-effective. Thus by including ecological systems in the design boundary, the optimal solution space expands to reveal novel solutions that cannot be found by the conventional techno-centric approach.</t>
  </si>
  <si>
    <t>Clean Technol. Environ. Policy</t>
  </si>
  <si>
    <t>10.1007/s10098-017-1398-x</t>
  </si>
  <si>
    <t>BAU_Biosolids Incinerated; small proportion to landfill</t>
  </si>
  <si>
    <t>HalfLandfillHalfCompost_minimizeCost</t>
  </si>
  <si>
    <t>MgC_per_year</t>
  </si>
  <si>
    <t>HalfLandfillhalfCompost_minimizeCO2emissions</t>
  </si>
  <si>
    <t>WithForestandGeoSequestrationAdded_minimizeCost</t>
  </si>
  <si>
    <t>WithForestandGeoSequestrationAdded_minimizeEmissions</t>
  </si>
  <si>
    <t>WithForestGeoFert_carboncredits_minimizeCost</t>
  </si>
  <si>
    <t>WithForestGeoFert_carboncredits_minimizeEmissions</t>
  </si>
  <si>
    <t>WithForestGeoFert_carboncredits_optimizeMinEmissionsMinCost</t>
  </si>
  <si>
    <t>PLOS ONE</t>
  </si>
  <si>
    <t>OLD-GROWTH FORESTS; CARBON SEQUESTRATION; ECOSYSTEM SERVICES; COVER CROPS; CROPPING SYSTEMS; NITROUS-OXIDE; MANAGEMENT; RESTORATION; MITIGATION; WILDFIRE</t>
  </si>
  <si>
    <t>Graves, RA; Haugo, RD; Holz, A; Nielsen-Pincus, M; Jones, A; Kellogg, B; Macdonald, C; Popper, K; Schindel, M</t>
  </si>
  <si>
    <t>Potential greenhouse gas reductions from Natural Climate Solutions in Oregon, USA</t>
  </si>
  <si>
    <t>Increasing concentrations of greenhouse gases (GHGs) are causing global climate change and decreasing the stability of the climate system. Long-term solutions to climate change will require reduction in GHG emissions as well as the removal of large quantities of GHGs from the atmosphere. Natural climate solutions (NCS), i.e., changes in land management, ecosystem restoration, and avoided conversion of habitats, have substantial potential to meet global and national greenhouse gas (GHG) reduction targets and contribute to the global drawdown of GHGs. However, the relative role of NCS to contribute to GHG reduction at subnational scales is not well known. We examined the potential for 12 NCS activities on natural and working lands in Oregon, USA to reduce GHG emissions in the context of the state's climate mitigation goals. We evaluated three alternative scenarios wherein NCS implementation increased across the applicable private or public land base, depending on the activity, and estimated the annual GHG reduction in carbon dioxide equivalents (CO(2)e) attributable to NCS from 2020 to 2050. We found that NCS within Oregon could contribute annual GHG emission reductions of 2.7 to 8.3 MMT CO(2)e by 2035 and 2.9 to 9.8 MMT CO(2)e by 2050. Changes in forest-based activities including deferred timber harvest, riparian reforestation, and replanting after wildfires contributed most to potential GHG reductions (76 to 94% of the overall annual reductions), followed by changes to agricultural management through no-till, cover crops, and nitrogen management (3 to 15% of overall annual reductions). GHG reduction benefits are relatively high per unit area for avoided conversion of forests (125-400 MT CO(2)e ha(-1)). However, the existing land use policy in Oregon limits the current geographic extent of active conversion of natural lands and thus, avoided conversions results in modest overall potential GHG reduction benefits (i.e., less than 5% of the overall annual reductions). Tidal wetland restoration, which has high per unit area carbon sequestration benefits (8.8 MT CO(2)e ha(-1) yr(-1)), also has limited possible geographic extent resulting in low potential (&lt; 1%) of state-level GHG reduction contributions. However, co-benefits such as improved habitat and water quality delivered by restoration NCS pathways are substantial. Ultimately, reducing GHG emissions and increasing carbon sequestration to combat climate change will require actions across multiple sectors. We demonstrate that the adoption of alternative land management practices on working lands and avoided conversion and restoration of native habitats can achieve meaningful state-level GHG reductions.</t>
  </si>
  <si>
    <t>PLoS One</t>
  </si>
  <si>
    <t>10.1371/journal.pone.0230424</t>
  </si>
  <si>
    <t>NCS solution : forest avoided conversion</t>
  </si>
  <si>
    <t>avoided forest conversion</t>
  </si>
  <si>
    <t>baseline forest conversion</t>
  </si>
  <si>
    <t>table S3</t>
  </si>
  <si>
    <t>million metric tons CO2-eq (MMTCO2)</t>
  </si>
  <si>
    <t>NCS solution : post-wildfire replanting</t>
  </si>
  <si>
    <t>post-wildfire reforestation</t>
  </si>
  <si>
    <t>baseline post-wildfire reforestation</t>
  </si>
  <si>
    <t>NCS solution : deferred harvest</t>
  </si>
  <si>
    <t>deferred harvest (ambitious)</t>
  </si>
  <si>
    <t>baseline harvest</t>
  </si>
  <si>
    <t>deferred harvest (moderate)</t>
  </si>
  <si>
    <t>BIOTECHNOLOGY FOR BIOFUELS</t>
  </si>
  <si>
    <t>2G biofuel; Perenial bioenergy crop; Poplar; Bioethanol; Supply chain; Life cycle assessment; Carbon and nitrogen cycling; Biogeochemistry model; DNDC</t>
  </si>
  <si>
    <t>NITROUS-OXIDE EMISSIONS; GREENHOUSE-GAS EMISSIONS; LIFE-CYCLE ASSESSMENT; DNDC MODEL; CARBON SEQUESTRATION; FIELD VALIDATION; N2O EMISSIONS; SYSTEMS; FLUXES; ENERGY</t>
  </si>
  <si>
    <t>Guo, M; Li, CS; Facciotto, G; Bergante, S; Bhatia, R; Comolli, R; Ferre, C; Murphy, R</t>
  </si>
  <si>
    <t>Bioethanol from poplar clone Imola: an environmentally viable alternative to fossil fuel?</t>
  </si>
  <si>
    <t>Background: Environmental issues, e.g. climate change, fossil resource depletion have triggered ambitious national/regional policies to develop biofuel and bioenergy roles within the overall energy portfolio to achieve decarbonising the global economy and increase energy security. With the 10 % binding target for the transport sector, the Renewable Energy Directive confirms the EU's commitment to renewable transport fuels especially advanced biofuels. Imola is an elite poplar clone crossed from Populus deltoides Bartr. and Populus nigra L. by Research Units for Intensive Wood Production, Agriculture Research Council in Italy. This study examines its suitability for plantation cultivation under short or very short rotation coppice regimes as a potential lignocellulosic feedstock for the production of ethanol as a transport biofuel. A life cycle assessment (LCA) approach was used to model the cradle-to-gate environmental profile of Imola-derived biofuel benchmarked against conventional fossil gasoline. Specific attention was given to analysing the agroecosystem fluxes of carbon and nitrogen occurring in the cultivation of the Imola biomass in the biofuel life cycle using a process-oriented biogeochemistry model (DeNitrification-DeComposition) specifically modified for application to 2G perennial bioenergy crops and carbon and nitrogen cycling. Results: Our results demonstrate that carbon and nitrogen cycling in perennial crop-soil ecosystems such as this example can be expected to have significant effects on the overall environmental profiles of 2G biofuels. In particular, soil carbon accumulation in perennial biomass plantations is likely to be a significant component in the overall greenhouse gas balance of future biofuel and other biorefinery products and warrants ongoing research and data collection for LCA models. We conclude that bioethanol produced from Imola represents a promising alternative transport fuel offering some savings ranging from 35 to 100 % over petrol in global warming potential, ozone depletion and photochemical oxidation impact categories. Conclusions: Via comparative analyses for Imola-derived bioethanol across potential supply chains, we highlight priority issues for potential improvement in 2G biofuel profiling. Advanced clones of poplar such as Imola for 2G biofuel production in Italy as modelled here show potential to deliver an environmentally sustainable lignocellulosic biorefinery industry and accelerate advanced biofuel penetration in the transport sector.</t>
  </si>
  <si>
    <t>Biotechnol. Biofuels</t>
  </si>
  <si>
    <t>10.1186/s13068-015-0318-8</t>
  </si>
  <si>
    <t>plantation type</t>
  </si>
  <si>
    <t>SRC (DA)</t>
  </si>
  <si>
    <t>VSRC (DA)</t>
  </si>
  <si>
    <t>kg ethanol</t>
  </si>
  <si>
    <t xml:space="preserve">table S4&amp; S6 </t>
  </si>
  <si>
    <t>SRC (LHW)</t>
  </si>
  <si>
    <t>VSRC (LHW)</t>
  </si>
  <si>
    <t>VSRC(DA)</t>
  </si>
  <si>
    <t>ethanol production technology</t>
  </si>
  <si>
    <t>DA (SRC)</t>
  </si>
  <si>
    <t>LHW (SRC)</t>
  </si>
  <si>
    <t xml:space="preserve">Haus, S., Gustavsson, L., &amp; Sathre, R. </t>
  </si>
  <si>
    <t xml:space="preserve"> Climate mitigation comparison of woody biomass systems with the inclusion of land-use in the reference fossil system</t>
  </si>
  <si>
    <t>While issues of land-use have been considered in many direct analyses of biomass sys- tems, little attention has heretofore been paid to land-use in reference fossil systems. Here we address this limitation by comparing forest biomass systems to reference fossil systems with explicit consideration of land-use in both systems. We estimate and compare the time profiles of greenhouse gas (GHG) emission and cumulative radiative forcing (CRF) of woody biomass systems and reference fossil systems. A life cycle perspective is used that includes all significant elements of both systems, including GHG emissions along the full material and energy chains. We consider the growth dynamics of forests under different manage- ment regimes, as well as energy and material substitution effects of harvested biomass. We determine the annual net emissions of CO2, N2O and CH4 for each system over a 240-year period, and then calculate time profiles of CRF as a proxy measurement of climate change impact. The results show greatest potential for climate change mitigation when intensive forest management is applied in the woody biomass system. This methodological frame- work provides a tool to help determine optimal strategies for managing forests so as to minimize climate change impacts. The inclusion of land-use in the reference system im- proves the accuracy of quantitative projections of climate benefits of biomass-based systems.</t>
  </si>
  <si>
    <t>10.1016/j.biombioe.2014.04.012</t>
  </si>
  <si>
    <t>management alternative</t>
  </si>
  <si>
    <t>unmanaged (low)</t>
  </si>
  <si>
    <t>conventional</t>
  </si>
  <si>
    <t>Only extracting biogenic as reported in fig. 4. CRF estimate was not extracted because given as either a non-Carbon unit or non cumulative variable. Technosphere and Substitution are accounted for only with CRF</t>
  </si>
  <si>
    <t>unmanaged (high)</t>
  </si>
  <si>
    <t>fig10</t>
  </si>
  <si>
    <t>fertilized</t>
  </si>
  <si>
    <t>fig9</t>
  </si>
  <si>
    <t>fig11</t>
  </si>
  <si>
    <t>Wood particleboard; Construction waste; Carbon sequestration; Life cycle assessment; Waste recycling; Biomass valorization</t>
  </si>
  <si>
    <t>LIFE-CYCLE ASSESSMENT; REACTIVE MGO CEMENTS; PORTLAND-CEMENT; CONTAMINATED WOOD; CONCRETE BLOCKS; MAGNESIA CEMENT; MIXTURE DESIGN; HONG-KONG; IMPACT; LCA</t>
  </si>
  <si>
    <t>Hossain, MU; Wang, L; Yu, IKM; Tsang, DCW; Poon, CS</t>
  </si>
  <si>
    <t>Environmental and technical feasibility study of upcycling wood waste into cement-bonded particleboard</t>
  </si>
  <si>
    <t>The scarceness of virgin resources and sustainable management of waste materials in high-density city arouse heightened focus on new technology development for waste recycling and local utilization. Wood waste recovery from construction activities and upcycling into secondary products allow the substitution of virgin resources and minimize the environmental burdens within the frontier of industrial ecology. This study assessed the technical viability and environmental sustainability of cement-bonded particleboards (CBPs) produced with recycled wood aggregates and alternative binder; and compared the performance of its counterpart produced with virgin wood and ordinary binder using experimental analysis and life cycle assessment (LCA). The experimental results showed acceptable mechanical performance of the developed CBPs in compliance with the required standards. Adoption of carbon dioxide curing technology further enhanced the durability of the developed CBPs. Although similar greenhouse gases (GHGs) emission was observed for imported conventional CBPs and locally produced CBPs with alternative materials, the considerations of direct carbon sequestration and landfill avoidance contributed to a 9% reduction of the total GHGs compared to conventional CBPs. The LCA results also demonstrated that substantial amount of GHGs can be potentially saved depending on the recycling rates of wood waste in Hong Kong. Hence, technological innovation can effectively address problem of wood waste disposal and enhance material utilization and sustainability of the construction industry. (C) 2018 Elsevier Ltd. All rights reserved.</t>
  </si>
  <si>
    <t>10.1016/j.conbuildmat.2018.04.066</t>
  </si>
  <si>
    <t>Type of wood &amp; technology used: recycled wood &amp;air curing</t>
  </si>
  <si>
    <t>Virgin wood</t>
  </si>
  <si>
    <t>recycled wood &amp; air curing</t>
  </si>
  <si>
    <t>kgCO2eq per tonne of Cement-Bounded ParticleBoard</t>
  </si>
  <si>
    <t>Type of wood &amp; technology used: recycled wood &amp; CO2 curing</t>
  </si>
  <si>
    <t>recycled wood &amp; CO2 curing</t>
  </si>
  <si>
    <t>Type of wood &amp; technology used: recycled wood &amp; CO2 curing &amp; landfill emissions accounted for</t>
  </si>
  <si>
    <t>recycled wood &amp; CO2 curing &amp; landfill emissions</t>
  </si>
  <si>
    <t>Building construction activities; Energy consumption; Greenhouse gases emission; Life cycle assessment; Wood waste</t>
  </si>
  <si>
    <t>LIFE-CYCLE ASSESSMENT; COMPARATIVE ENVIRONMENTAL EVALUATION; DEMOLITION WASTE; IMPACT ASSESSMENT; HONG-KONG; SENSITIVITY-ANALYSIS; PARTICLEBOARD; INVENTORY; SYSTEMS; CEMENT</t>
  </si>
  <si>
    <t>Hossain, MU; Poon, CS</t>
  </si>
  <si>
    <t>Comparative LCA of wood waste management strategies generated from building construction activities</t>
  </si>
  <si>
    <t>The management of a large amount of wood waste generated from construction activities is a challenging issue. However, wood waste is an inherently renewable resource that can be recycled and utilized for the production of green products and renewable energy. In order to minimize the environmental impacts and to provide a scientific basis for the decision-making process on the wood waste management systems, a life cycle assessment (LCA) approach was employed in this study to evaluate the potential management systems from an environmental point of view. Three alternative scenarios, including the recycling and reusing of wood waste to produce organic polymer based particleboard, cement-bonded particleboard and energy were compared with the current disposal strategy (landfill disposal), with the functional unit of 1 tonne of wood waste within a cradle-to-grave system boundary. The LCA results showed that significant reductions of environmental impacts were observed for the production of particleboard (scenario 1) and wood-cement composite (scenario 2) from wood waste compared to that of using virgin wood. However, the results also showed that scenario 3 (energy generation from bio-fuel derived from wood waste) was the best strategy, as this technology reduces more than 1 tonne of CO2 eq greenhouse gases compared to the energy generation from coal. The analysis conducted in this study can serve as guidelines to design a sustainable and resource-efficient wood waste management system. (C) 2017 Elsevier Ltd. All rights reserved.</t>
  </si>
  <si>
    <t>10.1016/j.jclepro.2017.12.233</t>
  </si>
  <si>
    <t>Use of eol wood products</t>
  </si>
  <si>
    <t>Recycling for cement-bounded particleboard</t>
  </si>
  <si>
    <t>kgCO2eq per m3 of wood ParticleBoard</t>
  </si>
  <si>
    <t>Recycling for particleboard</t>
  </si>
  <si>
    <t>kgCO2eq per m3 of Cement-Bounded ParticleBoard</t>
  </si>
  <si>
    <t>Biofuel with recycled wood</t>
  </si>
  <si>
    <t>kgCO2 eq per t of wood</t>
  </si>
  <si>
    <t>INTERNATIONAL JOURNAL OF HYDROGEN ENERGY</t>
  </si>
  <si>
    <t>LCA; Hydrogen for transport; Fuel cell vehicles</t>
  </si>
  <si>
    <t>NATURAL-GAS; ENERGY; CONSUMPTION; VEHICLES</t>
  </si>
  <si>
    <t>Iannuzzi, L; Hilbert, JA; Lora, EES</t>
  </si>
  <si>
    <t>Life Cycle Assessment (LCA) for use on renewable sourced hydrogen fuel cell buses vs diesel engines buses in the city of Rosario, Argentina</t>
  </si>
  <si>
    <t>The purpose of this paper is to build the first Energy and Life Cycle Analysis (LCA) comparison between buses with internal combustion engine currently used in the city of Rosario, Province of Santa Fe, Argentina, and some technological alternatives and their variants focusing on buses with an electrical engine powered by compressed hydrogen that feet fuel cells of polymer electrolyte membrane (PEM). This LCA comprehend raw material extraction up to its consumption as fuel. Specifically, hydrogen production considering different production processes from renewable sources called green hydrogen  (Velazquez Abad and Dodds, 2020) [1] and non-renewable sources called grey hydrogen  (Velazquez Abad and Dodds, 2020) [1]. Renewable sources for hydrogen production are rapid cut densified poplar energy plantation, post-industrial wood residues such as chips pallets, and maize silage. For non-renewable hydrogen production sources are the local electrical power grid from water electrolysis and natural gas from the steam methane reforming process. Buses whose fuel would be renewable hydrogen, produced near the City of Rosario, Province of Santa Fe, Argentina, meet one of the main criteria of sustainability biofuels of the European Union (EU) taken into account Renewable Energy Directive (RED) 2009/28 [2] and EU RED Directive 2018/2001 [3] that need significant reduction on net greenhouse gases (GHG) from biomass origin row material respect fossil fuels. At least 70% of GHG would be avoided fromits main fossil counterpart of the intern combustion engine (ICE), in the worst and current scenario of the emission factor of the electrical grid of Argentina in the point of use that is about 0.40 kg CO2eq/kWh with energy and environmental load of 100% in the allocation factor in the hydrogen production stage of the LCA analysis. (C) 2021 Hydrogen Energy Publications LLC. Published by Elsevier Ltd. All rights reserved.</t>
  </si>
  <si>
    <t>Int. J. Hydrog. Energy</t>
  </si>
  <si>
    <t>10.1016/j.ijhydene.2021.01.065</t>
  </si>
  <si>
    <t>Use od eol wood for H2 production</t>
  </si>
  <si>
    <t>Crude oil and Soy biodiesel</t>
  </si>
  <si>
    <t>Recycled wood residues</t>
  </si>
  <si>
    <t>gCO2eq/MJ</t>
  </si>
  <si>
    <t>Argentina</t>
  </si>
  <si>
    <t>Use of SRC wood for H2 production</t>
  </si>
  <si>
    <t>SRC poplar</t>
  </si>
  <si>
    <t>RESOURCES-BASEL</t>
  </si>
  <si>
    <t>Ostrya carpinifolia; ecosystem assessment; life cycle assessment; stove; fireplace; bioenergy</t>
  </si>
  <si>
    <t>LIFE-CYCLE ASSESSMENT; GLOBAL-SCALE; BIODIVERSITY; IMPACT; EMISSIONS; FORESTRY; OPTIMIZATION; MANAGEMENT; CONVERSION; SERVICES</t>
  </si>
  <si>
    <t>Ilari, A; Fabrizi, S; Pedretti, EF</t>
  </si>
  <si>
    <t>European Hophornbeam Biomass for Energy Application: Influence of Different Production Processes and Heating Devices on Environmental Sustainability</t>
  </si>
  <si>
    <t>Environmental sustainability has recently shifted towards biodiversity protection via governmental and intergovernmental initiatives (e.g., the UN Millennium Ecosystem Assessment, MA). The life cycle assessment, the widespread method for assessing environmental sustainability, was not created to evaluate impacts on biodiversity. However, several authors recognize its ability to estimate biodiversity loss drivers (impact indices on land use change and ecosystem). The study aims to apply LCA to the forest sector, precisely to the wood-energy chain of Hophornbeam, to cover suggestions of the MA for the biodiversity impact assessment. Six different scenarios for stove (3) and fireplace (3) wood production were analyzed, evaluating two baselines and four alternative scenarios, including sensitivity analyses related to transport distances for the raw materials. The functional unit is 1 MJ of energy. The fireplace combustion scenarios are relatively more sustainable than the stove ones are (2.95-3.21% less). The global warming potential (around 3 g CO2 eq/MJ) is consistent with current European directives on the sustainability of biofuels and scientific literature. The scenarios showed similarities regarding the impact of the categories related to MA drivers. Although biodiversity is protected by limiting forest management, some authors argue that for some species (e.g., Hophornbeam), a rational tree felling could produce biofuels, increasing biodiversity.</t>
  </si>
  <si>
    <t>Resources-Basel</t>
  </si>
  <si>
    <t>10.3390/resources11020011</t>
  </si>
  <si>
    <t>fireplace technology</t>
  </si>
  <si>
    <t>BS2 stove</t>
  </si>
  <si>
    <t>AS firewood</t>
  </si>
  <si>
    <t>functional unit</t>
  </si>
  <si>
    <t>tons dried logs</t>
  </si>
  <si>
    <t>table6b</t>
  </si>
  <si>
    <t>AS stove</t>
  </si>
  <si>
    <t>BS1 firewood</t>
  </si>
  <si>
    <t>BS1 stove</t>
  </si>
  <si>
    <t>climate change mitigation; forest fellings; carbon stock; policy implications; ToSIA; EFISCEN</t>
  </si>
  <si>
    <t>CLIMATE-CHANGE; MARKET BALANCE; MANAGEMENT; RESOURCES; BIOMASS; FUTURE; STOCKS</t>
  </si>
  <si>
    <t>Jasinevicius, G; Lindner, M; Verkerk, PJ; Aleinikovas, M</t>
  </si>
  <si>
    <t>Assessing Impacts of Wood Utilisation Scenarios for a Lithuanian Bioeconomy: Impacts on Carbon in Forests and Harvested Wood Products and on the Socio-Economic Performance of the Forest-Based Sector</t>
  </si>
  <si>
    <t>Climate change and transition towards a bioeconomy are seen as both challenges and opportunities for the forest-based sector in Europe. Transition towards a bioeconomy will in most cases rely on intensified use of renewable resources and/or advancement in technology. However, how can the intensified use of renewable resources be combined with climate change mitigation measures to increase carbon sinks in the forest-based sector? Additionally, what are the possible socio-economic and environmental impacts of intensified wood use? In this study, we examined the impacts of increased wood utilisation in Lithuania. The objective of this study was to assess the effects of increased domestic wood utilisation on: (i) employment; (ii) the economic performance of the sector; (iii) carbon in forest biomass and soil; and (iv) carbon in harvested wood products (HWP). The system boundaries were set in accordance with international greenhouse gas reporting to include only domestic wood flows. We assessed alternative wood utilisation scenarios using a forest resource model and a tool to assess sustainability impacts of (wood) value chains, using country specific data on wood (carbon) flows. Our results indicate that increased wood use could lead to trade-offs between six selected indicators. Opportunities for employment and the economic performance of the forest-based sector improved in all scenarios due to increased wood utilisation. However, when forest fellings increased, the carbon stored in forests decreased, the carbon stored in HWP increased, but overall the total carbon stored in forests and HWP decreased. When considering also additional substitution effects until the year 2100, the scenario with reduced wood exports generated larger total climate change mitigation effects than the baseline. Our results suggest that increased wood utilisation might support Lithuania's bioeconomy through increased socio-economic benefits. National positive climate change mitigation effects could be gained only if additional actions to utilise more domestic wood for long-life HWP will be taken.</t>
  </si>
  <si>
    <t>10.3390/f8040133</t>
  </si>
  <si>
    <t>Baseline + 20% harvest by 2040</t>
  </si>
  <si>
    <t>Lithuania</t>
  </si>
  <si>
    <t>Sathre, R.; O’Connor, J. A Synthesis of Research on Wood Products and Greenhouse Gas Impacts, 2nd ed.; Technical Report TR-19R; FPInnovations: Vancouver, BC, Canada, 2010; p. 117.</t>
  </si>
  <si>
    <t>INTERNATIONAL JOURNAL OF ENVIRONMENTAL RESEARCH AND PUBLIC HEALTH</t>
  </si>
  <si>
    <t>circular economy; Life cycle assessment; environmental hotspots; impact categories; sustainable strategy</t>
  </si>
  <si>
    <t>FURNITURE; INVENTORY</t>
  </si>
  <si>
    <t>Jia, LL; Chu, J; Ma, L; Qi, XM; Kumar, A</t>
  </si>
  <si>
    <t>Life Cycle Assessment of Plywood Manufacturing Process in China</t>
  </si>
  <si>
    <t>Life cycle assessment (LCA) has been an important issue in the development of a circular economy. LCA is used to identify environmental impacts and hotspots associated with plywood manufacturing. Based on our results and a literature review of LCA studies involving plywood, a sustainable and environmentally friendly scenario was proposed for the plywood processing industry to improve environmental performance and sustainability. This study covers the life cycle of plywood production from a cradle-to-gate perspective, including raw material preparation and plywood manufacturing and processing to analysis of environment impacts and hotspots. Analysis of abiotic depletion (ADP), acidification effect (AP), primary energy depletion (PED), freshwater eutrophication (EP), global warming potential (GWP), and particulate matter (RI) were selected as major impact categories in this study. All data were obtained from on-site measurements (plywood production) and investigations of the Eco-invent database and CLCD database (upstream data of materials and energy). These data can be ignored when environmental contributions comprise less than 0.001% of environmental impact and auxiliary material quality is less than 0.01% of total raw material consumption. An eco-design strategy with eco-alternatives was proposed: pyrolysis bio-oil can be used to produce green resin to replace traditional phenolic formaldehyde (PF) resin to decrease the impacts of GWP, PED, AP, PM, and especially ADP and EP. A new technology of gluing green wood was used to replace conventional plywood production technology; wood waste could undergo a gasification process to produce resultant gas rather than combusting. Plywood was also compared with other wood-based panels in China to identify additional scenarios to improve environmental sustainability.</t>
  </si>
  <si>
    <t>Int. J. Environ. Res. Public Health</t>
  </si>
  <si>
    <t>10.3390/ijerph16112037</t>
  </si>
  <si>
    <t>Using bio oil instead of petrochemical resin for plywood</t>
  </si>
  <si>
    <t>petrochemical resin</t>
  </si>
  <si>
    <t>bio oil</t>
  </si>
  <si>
    <t>table &amp; fig4</t>
  </si>
  <si>
    <t>Using new technology of gluing wood</t>
  </si>
  <si>
    <t>dry wood gluing</t>
  </si>
  <si>
    <t>green wood gluing</t>
  </si>
  <si>
    <t>Secondary forest; Rubber plantation; Land use; Carbon sequestration; Central Africa; Tropical agriculture; Gabon</t>
  </si>
  <si>
    <t>AGRICULTURAL EXPANSION; HEVEA-BRASILIENSIS; BURN AGRICULTURE; SOIL FERTILITY; STOCKS; SEQUESTRATION; FOREST; LANDSCAPE; BIOMASS; DEFORESTATION</t>
  </si>
  <si>
    <t>Jong, YW; Beirne, C; Meunier, Q; Biyogo, APM; Mbele, AE; Stewart, CG; Poulsen, JR</t>
  </si>
  <si>
    <t>Expected carbon emissions from a rubber plantation in Central Africa</t>
  </si>
  <si>
    <t>The development of agriculture on degraded lands is increasingly seen as a strategy to boost food availability and economic productivity while minimizing environmental degradation and loss of forests. To understand the effects of agricultural production on forest carbon, we quantify the aboveground carbon (AGC) of a degraded forest in northeast Gabon (the Olam Rubber Gabon concession) designated for development to a rubber plantation. Combining field measurements from 19 1-ha tree plots and aerial LiDAR, we estimate forest AGC stocks and emissions under four development scenarios: no development, 30-year rubber rotation, extended rubber rotation (replanting of plantation in stages at 30 and 40 years), and 30-year oil palm rotation. On average, the degraded forest in the study area stored 123.8 Mg C ha(-1), a mean AGC lower than the Gabon average (141.6 Mg C h(a-)1) but substantially higher than the 75 Mg C ha(-1) threshold recommended by the High Carbon Stock protocol. Converting secondary forest to plantation might incur high environmental opportunity costs from lost carbon sequestration through forest succession and growth. In this study, we estimate that a rubber plantation can sequester similar amounts of AGC as secondary forest by the end of a 30-year rotation; however, the timeaveraged AGC of regenerating secondary forests under no development would be 184% higher than a mature rubber plantation with a 30-year rotation, 169% higher than an extended rubber rotation, and 512% higher than a 30-year oil palm rotation. When degraded forest is developed for agriculture, measures should be taken to avoid emissions and prolong carbon retention. We specifically estimate carbon retention from extended harvest rotations and conserving high carbon value areas as set-asides and highlight recommendations from the litera ture such as minimizing soil disturbance and creating rubber timber products (e.g. furniture). To minimize carbon emissions from agriculture, crop plantation area should be minimized at national and regional scales in highly forested countries, and new plantations should be coupled explicitly with effective forest restoration actions, through suitable regulation and planning, to mitigate or compensate for their climate and biodiversity impacts.</t>
  </si>
  <si>
    <t>10.1016/j.foreco.2020.118668</t>
  </si>
  <si>
    <t>Natural Forest to Rubber Plantation (30-yr rotation)</t>
  </si>
  <si>
    <t>No Harvest</t>
  </si>
  <si>
    <t>30-year rubber plantation</t>
  </si>
  <si>
    <t>MgC_per_hectare</t>
  </si>
  <si>
    <t>Gabon</t>
  </si>
  <si>
    <t>Natural Forest to Palm Oil Plantation (30-yr rotation)</t>
  </si>
  <si>
    <t>30-year oil plam rotation</t>
  </si>
  <si>
    <t>Natural Forest to Rubber Plantation (Extended rotation)</t>
  </si>
  <si>
    <t>Extended rotation rubber plantation</t>
  </si>
  <si>
    <t>RENEWABLE &amp; SUSTAINABLE ENERGY REVIEWS</t>
  </si>
  <si>
    <t>Energy efficiency; GWP; PEI; Resources efficiency; Materials</t>
  </si>
  <si>
    <t>MATERIAL FLOW-ANALYSIS; RESIDENTIAL BUILDINGS; ENVIRONMENTAL-IMPACT; ASSESSMENT LCA; DEMAND; CONSTRUCTION; EMISSIONS</t>
  </si>
  <si>
    <t>Kovacic, I; Reisinger, J; Honic, M</t>
  </si>
  <si>
    <t>Life Cycle Assessment of embodied and operational energy for a passive housing block in Austria</t>
  </si>
  <si>
    <t>The creation of a sustainable built environment is related not only to energy-efficient construction but also to the efficient use of materials, in order to minimise environmental impacts and avoid further depletion of natural resources. However, passive or zero-energy buildings, which optimise operational energy, require additional materials (e.g. insulation) or the installation of technologies (e.g. mechanical ventilation) which further increase the embodied energy of the building and related environmental emissions. This paper questions the environmental impact and benefits of adding materials and technologies in order to reduce the energy consumption of a building by evaluating the embodied and operational energy of a case study of a passive housing block in Austria. The analysis is carried out using real data, based on energy monitoring carried out over three years, and on original documentation of the materials and construction of the building. Applying a Life Cycle Assessment (LCA) method, the environmental impacts of the building materials, the heating, ventilation and air-conditioning (HVAC) technologies, and the operational energy were assessed and compared for time scenarios of 20, 50 and 80 years using the environmental indicators: Global Warming Potential (GWP); Primary Energy Intensity (PEI); and Acidification Potential (AP). Two different variants of the as built building were modelled and investigated in terms of their ecological impacts. It was found that distribution pipes for building services apparently contributes 10% of the GWP, and the optimisation using timber instead of concrete is advantageous in terms of minimising GWP and AP, but is less effective in terms of PEI. Finally, the apartment block as built to a passive house standard was compared with a low-energy equivalent building in order to question whether the increased input of materials for the passive house is justified in terms of the reduction of the energy demand during the operation of the building. It was found that the passive house performs better in terms of environmental impacts, but not significantly so (max. GWP saving of 7% in the 80 years scenario). The reasons are multifaceted, and include additional heating of the apartments by the occupants, uncontrolled window opening patterns and increased hours of occupancy.</t>
  </si>
  <si>
    <t>Renew. Sust. Energ. Rev.</t>
  </si>
  <si>
    <t>Review</t>
  </si>
  <si>
    <t>10.1016/j.rser.2017.07.058</t>
  </si>
  <si>
    <t xml:space="preserve">Use of Timber instead of Concrete to build passive house </t>
  </si>
  <si>
    <t>Concrete house</t>
  </si>
  <si>
    <t>Timber House</t>
  </si>
  <si>
    <t>kg CO2/m2 of house floor</t>
  </si>
  <si>
    <t>Coy</t>
  </si>
  <si>
    <t>CROATIAN JOURNAL OF FOREST ENGINEERING</t>
  </si>
  <si>
    <t>forest operations; sustainable forestry; close-to-nature; environmental impacts; greenhouse gas emissions</t>
  </si>
  <si>
    <t>GREENHOUSE-GAS EMISSIONS; LIFE-CYCLE ASSESSMENT; WOOD; CONSUMPTION; MANAGEMENT; INVENTORY; ROUNDWOOD; ENERGY; LCA</t>
  </si>
  <si>
    <t>Labelle, ER; Lemmer, KJ</t>
  </si>
  <si>
    <t>Selected Environmental Impacts of Forest Harvesting Operations with Varying Degree of Mechanization</t>
  </si>
  <si>
    <t>Climate change affects forest ecosystems, impacting timber production and eco-services. Conversely, sustainable forest management has been identified as a means to help mitigate carbon dioxide emissions, a greenhouse gas and contributor to climate change, while also maximizing multiuse benefits through close-to-nature silviculture. In this study, a life cycle assessment was performed on forest harvesting operations at three research sites to provide real-world understanding of the selected environmental impacts associated with harvesting systems typical of Germany: motor-manual (chainsaw and forest tractor), semi-mechanized (single-grip harvester, chainsaw, and forwarder), and fully-mechanized (single-grip harvester and forwarder). Environmental impact categories assessed included greenhouse gas emissions, particulate matter emissions, and non-renewable energy consumption. Results from the three research sites were estimated on a machine basis. The semi-mechanized system resulted in the lowest environmental impact, the majority of which was attributed to felling and processing operations. Next, the environmental impacts were estimated for a complete rotation period and compared amongst the different harvesting systems. According to results, semi-mechanized harvesting systems had the lowest impact over the full rotation period as well as for thinning treatments when compared to motor-manual and fully-mechanized systems. The fully-mechanized system performed the best for final felling treatments. Considering variability between the research sites as well as the system boundary assessed, a diversified approach to harvesting operations may be considered, integrating semi-mechanized and fully-mechanized systems for different treatments throughout the rotation period.</t>
  </si>
  <si>
    <t>Croat. J. For. Eng.</t>
  </si>
  <si>
    <t>10.5552/crojfe.2019.537</t>
  </si>
  <si>
    <t>harvesting operations</t>
  </si>
  <si>
    <t>motor-manual (MM)</t>
  </si>
  <si>
    <t>fully-mechanized (FM)  (Table 8)</t>
  </si>
  <si>
    <t>kg CO2-eq/m3</t>
  </si>
  <si>
    <t>semi-mechanized (SM) (Table 8)</t>
  </si>
  <si>
    <t>LCA; LCCA; mass timber building; environmental impacts; carbon analysis; cross-laminated timber</t>
  </si>
  <si>
    <t>WOOD PRODUCTS; CONSTRUCTION; CONCRETE; INDUSTRY; BIOMASS; CARBON</t>
  </si>
  <si>
    <t>Liang, SB; Gu, HM; Bergman, R</t>
  </si>
  <si>
    <t>Environmental Life-Cycle Assessment and Life-Cycle Cost Analysis of a High-Rise Mass Timber Building: A Case Study in Pacific Northwestern United States</t>
  </si>
  <si>
    <t>Global construction industry has a huge influence on world primary energy consumption, spending, and greenhouse gas (GHGs) emissions. To better understand these factors for mass timber construction, this work quantified the life cycle environmental and economic performances of a high-rise mass timber building in U.S. Pacific Northwest region through the use of life-cycle assessment (LCA) and life-cycle cost analysis (LCCA). Using the TRACI impact category method, the cradle-to-grave LCA results showed better environmental performances for the mass timber building relative to conventional concrete building, with 3153 kg CO2-eq per m(2) floor area compared to 3203 CO2-eq per m(2) floor area, respectively. Over 90% of GHGs emissions occur at the operational stage with a 60-year study period. The end-of-life recycling of mass timber could provide carbon offset of 364 kg CO2-eq per m(2) floor that lowers the GHG emissions of the mass timber building to a total 12% lower GHGs emissions than concrete building. The LCCA results showed that mass timber building had total life cycle cost of $3976 per m(2) floor area that was 9.6% higher than concrete building, driven mainly by upfront construction costs related to the mass timber material. Uncertainty analysis of mass timber product pricing provided a pathway for builders to make mass timber buildings cost competitive. The integration of LCA and LCCA on mass timber building study can contribute more information to the decision makers such as building developers and policymakers.</t>
  </si>
  <si>
    <t>10.3390/su13147831</t>
  </si>
  <si>
    <t>Landfilling at the end of life</t>
  </si>
  <si>
    <t>0% recycled (Fig 5)</t>
  </si>
  <si>
    <t>100% recycled (Fig 5)</t>
  </si>
  <si>
    <t>kg CO2-eq / m2 floor area</t>
  </si>
  <si>
    <t>25% recycled (Fig 5)</t>
  </si>
  <si>
    <t>50% recycled (Fig 5)</t>
  </si>
  <si>
    <t>75% recycled (Fig 5)</t>
  </si>
  <si>
    <t>Source of raw material, local processing and transport</t>
  </si>
  <si>
    <t>Current</t>
  </si>
  <si>
    <t>S4 (Fig, 4)</t>
  </si>
  <si>
    <t>S3 (Fig. 4)</t>
  </si>
  <si>
    <t>S1 (Fig. 4)</t>
  </si>
  <si>
    <t>S2 (Fig. 4)</t>
  </si>
  <si>
    <t>carbon footprint; life cycle analysis; harvested wood products; carbon flow</t>
  </si>
  <si>
    <t>ENERGY; INVENTORY; SEQUESTRATION; EMISSIONS; RESOURCES; IRELAND; BALANCE; BUDGET; INPUTS; TERMS</t>
  </si>
  <si>
    <t>Lun, F; Liu, MC; Zhang, D; Li, WH; Liu, JG</t>
  </si>
  <si>
    <t>Life Cycle Analysis of Carbon Flow and Carbon Footprint of Harvested Wood Products of Larix principis-rupprechtii in China</t>
  </si>
  <si>
    <t>Larix principis-rupprechtii is a native tree species in North China with a large distribution; and its harvested timbers can be used for producing wood products. This study focused on estimating and comparing carbon flows and carbon footprints of different harvested wood products (HWPs) from Larix principis-ruppechtii based on the life cycle analysis (from seedling cultivation to HWP final disposal). Based on our interviews and surveys, the system boundary in this study was divided into three processes: the forestry process, the manufacturing process, and the use and disposal process. By tracking carbon flows of HWPs along the entire life cycle, we found that, for one forest rotation period, a total of 26.81 tC/ha sequestered carbon was transferred into these HWPs, 66.2% of which were still stored in the HWP when the rotation period had ended; however, the HWP carbon storage decreased to 0.25 tC/ha (only 0.9% left) in the 100th year after forest plantation. The manufacturing process contributed more than 90% of the total HWP carbon footprint, but it was still smaller than the HWP carbon storage. In terms of the carbon storage and the carbon footprint, construction products had the largest net positive carbon balance compared to furniture and panel products. In addition, HWP are known to have a positive impact on global carbon mitigation because they can store parts of the sequestered carbon for a certain period of time and they have a substitution effect on carbon mitigation. Furthermore, there still exist great opportunities for carbon mitigation from HWPs through the use of cleaner energy and increasing the utilization efficiency of wood fuel.</t>
  </si>
  <si>
    <t>10.3390/su8030247</t>
  </si>
  <si>
    <t>Wood product</t>
  </si>
  <si>
    <t>furniture</t>
  </si>
  <si>
    <t>panel</t>
  </si>
  <si>
    <t>kgC/m3</t>
  </si>
  <si>
    <t>Ref 30, 31 and 32</t>
  </si>
  <si>
    <t>BIOFUELS BIOPRODUCTS &amp; BIOREFINING-BIOFPR</t>
  </si>
  <si>
    <t>sustainable biomass potential; sustainability criteria; wood pellet price; GHG emissions; energy policy; supply chain analysis; sourcing country; biomass trade</t>
  </si>
  <si>
    <t>LAND-USE; BIOENERGY PRODUCTION; ENERGY POTENTIALS; ORGANIC-CARBON; RESIDUES; AVAILABILITY; SYSTEMS; REMOVAL; PELLETS; CROP</t>
  </si>
  <si>
    <t>Mai-Moulin, T; Visser, L; Fingerman, KR; Elbersen, W; Elbersen, B; Nabuurs, GJ; Fritsche, UR; Colmenar, ID; Rutz, D; Diaz-Chavez, RA; Roozen, A; Weck, M; Iriarte, L; Pelkmans, L; Gonzalez, DS; Janssen, R; Junginger, M</t>
  </si>
  <si>
    <t>Sourcing overseas biomass for EU ambitions: assessing net sustainable export potential from various sourcing countries</t>
  </si>
  <si>
    <t>Low-cost sustainable biomass availability in the European Union may not be able to meet increasing demand; exploring the option of importing biomass is therefore imperative for the years to come. This article assesses sustainable biomass export potential from Brazil, Colombia, Indonesia, Kenya, Ukraine, and the United States by applying a number of sustainability criteria. Only biomass types with the highest potential are selected, to take advantage of economies of scale, e.g. pulpwood, wood waste, and residues in the United States, and agricultural residues in Ukraine. This study found that, except for the United States, pellet markets in the sourcing regions are largely undeveloped. The export potential depends strongly on pellet mill capacity and assumed growth rates in the pellet industry. Results show that the United States, Ukraine, Indonesia, and Brazil offer the highest biomass export potential. In the Business As Usual 2030 scenario, up to 204 PJ could potentially be mobilized; in the High Export scenario this could increase to 1423 PJ, with 89% of the potential being available for costs ranging from 6.4 to 15 euro/GJ. These potentials meet the European Commission requirements for a 70% reduction in greenhouse gas emissions set in the Renewable Energy Directive. The total export potentials do not reflect the net possible import potentials to the European Union, as biomass could be imported to other countries where there is a demand for it, where less strict sustainability requirements are applied, and which are proximate to the sourcing regions, notably South Korea, Japan, and China. (c) 2018 The Authors. Biofuels, Bioproducts and Biorefining published by Society of Chemical Industry and John Wiley &amp; Sons, Ltd.</t>
  </si>
  <si>
    <t>Biofuels Bioprod. Biorefining</t>
  </si>
  <si>
    <t>10.1002/bbb.1853</t>
  </si>
  <si>
    <t>biomass harvest</t>
  </si>
  <si>
    <t>Min supply potential</t>
  </si>
  <si>
    <t>Max supply potential</t>
  </si>
  <si>
    <t>kg CO2/GJ</t>
  </si>
  <si>
    <t>Ukraine</t>
  </si>
  <si>
    <t>removed Colombia, Kenya and ìndonesia because no forest products. Changed driver to efficiency because the reported change referes to different suply potentials</t>
  </si>
  <si>
    <t>life cycle assessment (LCA); cross-laminated timber (CLT); cradle-to-installation; wooden building; environmentally conscious design; biogenic carbon; construction</t>
  </si>
  <si>
    <t>LIFE-CYCLE ASSESSMENT; EMISSIONS; LCA</t>
  </si>
  <si>
    <t>Nakano, K; Karube, M; Hattori, N</t>
  </si>
  <si>
    <t>Environmental Impacts of Building Construction Using Cross-laminated Timber Panel Construction Method: A Case of the Research Building in Kyushu, Japan</t>
  </si>
  <si>
    <t>In Japan, there has been an increase in the number of buildings built using cross-laminated timber (CLT) in order to utilize the abundant forest resources in the country. However, no studies have evaluated the environmental impact of the construction of CLT buildings in Japan. This study evaluates the environmental impacts from the start of construction to the completion of a real CLT building in Kumamoto city, Kyushu region, southern Japan. We investigated the input of the materials and energy used in the construction of the building. The environmental impact categories evaluated include climate change, ozone layer depletion, eutrophication, acidification, and photochemical oxidation. We found that the concrete used for the foundations, and the cement-based soil stabilizer used for ground reinforcement accounted for 42% of the greenhouse gas (GHG) emissions. The construction site was previously used as a seedbed field, necessitating ground reinforcement. Furthermore, the large foundations were designed in order to raise the low height of the wooden structure from the ground level. Developing and applying methods with lower environmental impacts for ground reinforcement and building foundations is recommended. In addition, we found that by using biomass-derived electricity in CLT manufacturing, the environmental impacts of CLT manufacturing could be reduced, thus reducing the environmental impacts of the entire building. The biogenic carbon fixed in the wooden parts during the building usage accounted for 32% of the total GHG emissions of the building construction. Since this biogenic carbon will be released to the atmosphere at the end-of-life stage of the building, a long-term usage of the CLT buildings and/or reuse of the CLT is recommended.</t>
  </si>
  <si>
    <t>10.3390/su12062220</t>
  </si>
  <si>
    <t>Changes in energy production for CLT manufacturing</t>
  </si>
  <si>
    <t xml:space="preserve">grid electricity and steam provided by biomass fuel </t>
  </si>
  <si>
    <t>cogeneration system using biomass fuel</t>
  </si>
  <si>
    <t>GHG emissions</t>
  </si>
  <si>
    <t>t/CO2e</t>
  </si>
  <si>
    <t>ANNALS OF THE ASSOCIATION OF AMERICAN GEOGRAPHERS</t>
  </si>
  <si>
    <t>carbon labels; emissions; land use change; life cycle assessment; paper industry</t>
  </si>
  <si>
    <t>GREENHOUSE-GAS EMISSIONS; LIFE-CYCLE INVENTORY; OLD-GROWTH FORESTS; LAND-USE; IMPACT ASSESSMENT; POLITICS; GOVERNANCE; BIOFUELS; STORAGE</t>
  </si>
  <si>
    <t>Newell, JP; Vos, RO</t>
  </si>
  <si>
    <t>Papering Over Space and Place: Product Carbon Footprint Modeling in the Global Paper Industry</t>
  </si>
  <si>
    <t>We are witnessing an explosion in carbon calculators for estimating the greenhouse gas (GHG) emissions (i.e., carbon footprint) of households, buildings, cities, and processes. Seeking to capitalize on the emergent ogreeno consumer, corporations are leading the next iteration in carbon footprinting: consumer products. This potentially lucrative low-carbon frontier, however, faces steep challenges due to complexities of scale, largely a function of the number of actors and geographies involved in globalized commodity and energy networks, and scope, which increasingly demands inclusion of emissions due to land use change (e.g., biofuel production, timber harvest, livestock grazing, mining). Life cycle assessment (LCA)the principal method behind product-level GHG emissions footprint protocolsfrequently avoids these challenges by narrowly delineating system boundaries, thereby excluding the omessinesso of space and place. Through a comparative model of energy sources and emissions in the globalized paper industry, this article reveals how complexities associated with geographic variation and land use change create indeterminacy in footprints based on these protocols. Using industry and trade data, the authors develop geographic information system transportation and energy models to map the globally dispersed pulp supply networks and to rescale Intergovernmental Panel on Climate Change GHG inventory guidelines to include carbon loss associated with land use change in the carbon footprint of coated paper. Given their integrative abilities to conceptualize and model coupled human-ecological systems, sophisticated understanding of time-space dynamics and critical theoretical insights, geographers have much to contribute to the LCA and product carbon footprinting enterprise, which to date has been largely the intellectual domain of engineers.</t>
  </si>
  <si>
    <t>Ann. Assoc. Am. Geogr.</t>
  </si>
  <si>
    <t>10.1080/00045608.2011.567929</t>
  </si>
  <si>
    <t>Land use change USA</t>
  </si>
  <si>
    <t>Scenario 2 (forests converted to plantation forest)</t>
  </si>
  <si>
    <t>Scenario 1 (forestland-to-annual-cropland)</t>
  </si>
  <si>
    <t>One metric of finished paper</t>
  </si>
  <si>
    <t>See onglet Newell_2021</t>
  </si>
  <si>
    <t xml:space="preserve">tCO2 per finished metric ton </t>
  </si>
  <si>
    <t>Land use change China</t>
  </si>
  <si>
    <t>Same land use but different importation between two countries</t>
  </si>
  <si>
    <t>Scenario 1 - USA</t>
  </si>
  <si>
    <t>Scenario 1 - China</t>
  </si>
  <si>
    <t>Scenario 2 - China</t>
  </si>
  <si>
    <t>Scenario 2 - USA</t>
  </si>
  <si>
    <t>Life Cycle Assessment; Dynamic LCA; Wood construction; Biogenic carbon dioxide; Climate impact assessment</t>
  </si>
  <si>
    <t>LIFE-CYCLE ASSESSMENT; CARBON SEQUESTRATION; ENERGY BUILDINGS; LCA; SECTOR; WOOD</t>
  </si>
  <si>
    <t>Penaloza, D; Erlandsson, M; Falk, A</t>
  </si>
  <si>
    <t>Exploring the climate impact effects of increased use of bio-based materials in buildings</t>
  </si>
  <si>
    <t>Whenever Life Cycle Assessment (LCA) is used to assess the climate impact of buildings, those with high content of biobased materials result with the lowest impact. Traditional approaches to LCA fail to capture aspects such as biogenic carbon exchanges, their timing and the effects from carbon storage. This paper explores a prospective increase of biobased materials in Swedish buildings, using traditional and dynamic LCA to assess the climate impact effects of this increase. Three alternative designs are analysed; one without biobased material content, a CLT building and an alternative timber design with increased bio. Different scenario setups explore the sensitivity to key assumptions such as the building's service life, end-of-life scenario, setting of forest sequestration before (growth) or after (regrowth) harvesting and time horizon of the dynamic LCA. Results show that increasing the biobased material content in a building reduces its climate impact when biogenic sequestration and emissions are accounted for using traditional or dynamic LCA in all the scenarios explored. The extent of these reductions is significantly sensitive to the end-of-life scenario assumed, the timing of the forest growth or regrowth and the time horizon of the integrated global warming impact in a dynamic LCA. A time horizon longer than one hundred years is necessary if biogenic flows from forest carbon sequestration and the building's life cycle are accounted for. Further climate impact reductions can be obtained by keeping the biogenic carbon dioxide stored after end-of-life or by extending the building's service life, but the time horizon and impact allocation among different life cycles must be properly addressed. (C) 2016 Elsevier Ltd. All rights reserved.</t>
  </si>
  <si>
    <t>10.1016/j.conbuildmat.2016.08.041</t>
  </si>
  <si>
    <t>Wood material + extended lifespan of material</t>
  </si>
  <si>
    <t>Concrete house + extended lifespan</t>
  </si>
  <si>
    <t>kgCO2 per m2 of living area</t>
  </si>
  <si>
    <t xml:space="preserve">Sweden </t>
  </si>
  <si>
    <t>Wood material +landfilling</t>
  </si>
  <si>
    <t>Concrete house + landfilling</t>
  </si>
  <si>
    <t>Wood material and indoor design + extended lifespan of material</t>
  </si>
  <si>
    <t>Wood material and indoor design+ landfilling</t>
  </si>
  <si>
    <t>Wood material + Dynamic LCA (forest growth)</t>
  </si>
  <si>
    <t xml:space="preserve">Concrete house + forest growth </t>
  </si>
  <si>
    <t>Wood material and indoor design + Dynamic LCA (forest growth)</t>
  </si>
  <si>
    <t>Wood material in construction</t>
  </si>
  <si>
    <t xml:space="preserve">Concrete house </t>
  </si>
  <si>
    <t>Wood material in construction and indoor design</t>
  </si>
  <si>
    <t>C sequestration; Tree biomass; Soil organic matter; CO(2)Fix</t>
  </si>
  <si>
    <t>SOIL ORGANIC-CARBON; LAND-USE CHANGE; FOREST MANAGEMENT; EUCALYPTUS-NITENS; RADIATA PINE; ABOVEGROUND BIOMASS; EMPIRICAL-MODELS; WOOD PRODUCTS; PLANTATIONS; SEQUESTRATION</t>
  </si>
  <si>
    <t>Perez-Cruzado, C; Mohren, GMJ; Merino, A; Rodriguez-Soalleiro, R</t>
  </si>
  <si>
    <t>Carbon balance for different management practices for fast growing tree species planted on former pastureland in southern Europe: a case study using the CO(2)Fix model</t>
  </si>
  <si>
    <t>Although it is known that forestry mitigates carbon emissions to some degree, there is still a need to investigate the extent to which changes in forest management regimes affect the carbon cycle. In a climate-change scenario, forest management schemes must be optimized to maximize product supply and minimize environmental impacts. It is difficult to predict the mitigating effects of different silvicultural regimes because of differences in the growth characteristics of each species, destination of products, and industrial efficiencies. The objective of the present study was to use a modeling approach to evaluate the effects of different management regimes for fast growing species in southern temperate Europe in relation to mitigating climate change. A comprehensive study was carried out considering the C sink effect in biomass, soil and wood products, the substitutive effect of bioenergy, and particular conditions of the forest industry in southern Europe. The mechanistic CO(2)Fix model was parameterized for three species used in fast growing plantations in southern Europe: Eucalyptus globulus, Eucalyptus nitens, and Pinus radiata. Data from 120 plots covering the complete age range observed for each species were used to calculate changes in C stocks in aboveground biomass and organic and mineral soil and to validate the parameterized model for these conditions. Additional information about the efficiency of forest industry processes in the region was also considered. A strong bias in soil organic carbon estimation was observed and attributed to overestimations in the decomposition rates of soil compartments. Slight bias was also observed in the carbon biomass estimation when forest-specific yield models were used to simulate afforestation over former pastureland. As regards the model sensitivity, the Yasso model was strongly robust to turnover of leaves, roots, and branches. The chip wood production alternative yielded higher carbon stock in biomass and products, as well as in bioenergy substitution effect, than the sawn wood production alternative. Nevertheless, the sawn wood alternative was the most effective as regards the C stock in the soil. Site index had an important effect for all species, alternatives, and compartments, and mitigating effects increased with site index. Harvesting of clearcutting and thinning slash for bioenergy use led to a slight decrease in the soil carbon equilibrium but significantly increased the mitigation effect through bioenergy use.</t>
  </si>
  <si>
    <t>10.1007/s10342-012-0609-6</t>
  </si>
  <si>
    <t xml:space="preserve">Species change </t>
  </si>
  <si>
    <t>E. globus (B-H)</t>
  </si>
  <si>
    <t>E. nitens (B-H)</t>
  </si>
  <si>
    <t>Table 9</t>
  </si>
  <si>
    <t>Mg C ha-1</t>
  </si>
  <si>
    <t>Spain</t>
  </si>
  <si>
    <t>P. radiata (A-H)</t>
  </si>
  <si>
    <t>Use the wood for bioenergy instead of timber</t>
  </si>
  <si>
    <t>P. radiata (B-H)</t>
  </si>
  <si>
    <t>E. nitens (A-H)</t>
  </si>
  <si>
    <t xml:space="preserve">E. globus (A-H) </t>
  </si>
  <si>
    <t>50% of the slash is harvested</t>
  </si>
  <si>
    <t>E. globus (A-H)</t>
  </si>
  <si>
    <t>E. globus (A-H) 50% slash</t>
  </si>
  <si>
    <t>E. nitens (A-H) 50% slash</t>
  </si>
  <si>
    <t>P. radiata (A-H) 50% slash</t>
  </si>
  <si>
    <t>CLIMATE-CHANGE; STOCK CHANGES; MODEL; IMPACTS; BOREAL; BIODIVERSITY; TEMPERATE; INVENTORY; DYNAMICS; CBM-CFS3</t>
  </si>
  <si>
    <t>Pilli, R; Grassi, G; Kurz, WA; Fiorese, G; Cescatti, A</t>
  </si>
  <si>
    <t>The European forest sector: past and future carbon budget and fluxes under different management scenarios</t>
  </si>
  <si>
    <t>The comprehensive analysis of carbon stocks and fluxes of managed European forests is a prerequisite to quantify their role in biomass production and climate change mitigation. We applied the Carbon Budget Model (CBM) to 26 European countries, parameterized with country information on the historical forest age structure, management practices, harvest regimes and the main natural disturbances. We modeled the C stocks for the five forest pools plus harvested wood products (HWPs) and the fluxes among these pools from 2000 to 2030. The aim is to quantify, using a consistent modeling framework for all 26 countries, the main C fluxes as affected by land-use changes, natural disturbances and forest management and to assess the impact of specific harvest and afforestation scenarios after 2012 on the mitigation potential of the EU forest sector. Substitution effects and the possible impacts of climate are not included in this analysis. Results show that for the historical period from 2000 to 2012 the net primary productivity (NPP) of the forest pools at the EU level is on average equal to 639 Tg Cyr(-1). The losses are dominated by heterotrophic respiration (409 Tg Cyr(-1)) and removals (110 Tg Cyr(-1)), with direct fire emissions being only 1 Tg Cyr(-1), leading to a net carbon stock change (i.e., sink) of 110 Tg Cyr(-1). Fellings also transferred 28 Tg Cyr(-1) of harvest residues from biomass to dead organic matter pools. The average annual net sector exchange (NSE) of the forest system, including HWP, equals a sink of 122 Tg C yr(-1) (i.e., about 19% of the NPP) for the historical period, and in 2030 it reaches 126, 101 and 151 TgC yr(-1), assuming constant, increasing (C 20 %) and decreasing (20 %) scenarios, respectively, of both harvest and afforestation rates compared to the historical period. Under the constant harvest rate scenario, our findings show an incipient aging process of the forests existing in 1990: although NPP increases ( +7 %), heterotrophic respiration increases at a greater rate ( +13 %) and this leads to a decrease in the sink in the forest pools ( 6 %) in 2030 compared to the historical period. By comparing the evolution of the biomass as a function of the NPP (i.e., the turnover time) for each country, we highlighted at least three groups of countries and turnover times. This means that, contrary to the assumptions proposed by other authors, this relationship cannot be assumed as a constant for all the EU countries, but specific conditions, such as the harvest rate, the current age structure and the forest composition, may contribute to the country-specific evolution of biomass stocks. The detailed picture of the C fluxes condensed in this study, and their evolution under different harvest scenarios, may represent both a benchmark for similar studies and a basis for broader analyses (e.g., including substitution effects of wood) on the mitigation potential of the EU forest sector.</t>
  </si>
  <si>
    <t>10.5194/bg-14-2387-2017</t>
  </si>
  <si>
    <t>Harvest Rate</t>
  </si>
  <si>
    <t>Constant Harvest</t>
  </si>
  <si>
    <t>Increase Harvest 20%</t>
  </si>
  <si>
    <t>TgC_per_Year</t>
  </si>
  <si>
    <t>Decrease Harvest 20%</t>
  </si>
  <si>
    <t>Carbon storage; Wall; Fast-growing materials; Biogenic materials; Dynamic life cycle assessment; LCA</t>
  </si>
  <si>
    <t>LIFE-CYCLE ASSESSMENT; FOREST MANAGEMENT-PRACTICES; BIOGENIC CARBON; CLIMATE IMPACT; CO2 EMISSIONS; WOOD; LIME; TIME; DIFFUSION; STORAGE</t>
  </si>
  <si>
    <t>Pittau, F; Krause, F; Lumia, G; Habert, G</t>
  </si>
  <si>
    <t>Fast-growing bio-based materials as an opportunity for storing carbon in exterior walls</t>
  </si>
  <si>
    <t>Storing carbon in construction products and building components seems a particularly attractive strategy for compensating the initial greenhouse gas (GHG) emissions from production and construction. Typically, in LCA methods, when a sustainable forestry management is assumed, biogenic carbon is not included in the calculation since forest products are considered as carbon neutral due to the full regeneration of biomass in forest at the end of a rotation period. The purpose of this article is to investigate the effect of storing carbon in biogenic materials and lime-based products when they are used as construction materials and left long in a building. Five different alternative exterior walls with different construction technologies are compared. In the first two alternatives (STR and HEM), a significant amount of fast-growing biogenic material is used as thermal insulation, while the third (TIM) represents a typical timber frame structure with mineral insulation. The last two are traditional wall alternatives based on bricks (BRI) and cast concrete (CON) with an additional external thermal insulation composite system (ETICS) in EPS. A model based on a dynamic LCA is adopted to include timing in the calculation. The results, expressed in terms of radiative forcing in the atmosphere, show that storing carbon in fast-growing biogenic materials is much more efficient than in timber elements. The carbon stored in fast-growing biogenic materials is fully captured by crop regrowth only one year after construction, while a longer time is expected for forest products due to the long rotation period required for forest regrowth.</t>
  </si>
  <si>
    <t>10.1016/j.buildenv.2017.12.006</t>
  </si>
  <si>
    <t>Hempcrete_Landfill_EOL</t>
  </si>
  <si>
    <t>Concrete_EnergyRecovery_incineratinOfEPSInsulation</t>
  </si>
  <si>
    <t>kgC02</t>
  </si>
  <si>
    <t>Straw_Landfill_EOL</t>
  </si>
  <si>
    <t>Timber_Landfill_EOL</t>
  </si>
  <si>
    <t>Bricks_Landfill_EOL</t>
  </si>
  <si>
    <t>Straw_Recycling_EOL</t>
  </si>
  <si>
    <t>Hempcrete_Recycling_EOL</t>
  </si>
  <si>
    <t>Hempcrete_EnergyRecovery_EOL</t>
  </si>
  <si>
    <t>Straw_EnergyRecovery_EOL (Incineration with Energy Recovery)</t>
  </si>
  <si>
    <t>Timber_Recycling_EOL</t>
  </si>
  <si>
    <t>Timber_EnergyRecovery_EOL</t>
  </si>
  <si>
    <t>Concrete_Landfill_EOL</t>
  </si>
  <si>
    <t>Concrete_Recycling_EOL</t>
  </si>
  <si>
    <t>Bricks_Recycling_EOL</t>
  </si>
  <si>
    <t>Bricks_EnergyRecovery_EOL</t>
  </si>
  <si>
    <t>SUSTAINABLE BUILT ENVIRONMENT D-A-CH CONFERENCE 2019 (SBE19 GRAZ)</t>
  </si>
  <si>
    <t>Pittau, F; Dotelli, G; Arrigoni, A; Habert, G; Iannaccone, G</t>
  </si>
  <si>
    <t>Massive timber building vs. conventional masonry building. A comparative life cycle assessment of an Italian case study</t>
  </si>
  <si>
    <t>This work aims to investigate the environmental friendliness of building materials, and in particular the benefit of using biogenic products as replacement of conventional materials. The sustainability of wood as a construction material is a complex issue since the environmental impacts are strongly related to forest management, service life and, finally, to end-of-life scenarios and waste treatment processes. In this study, a Life Cycle Assessment (LCA) comparison was carried out between a semi-detached house out of cross-laminated timber (CLT) and a conventional building with similar geometric characteristics and equal thermal performance (U-value), out of light-clay bricks with a reinforced concrete structure. Particularly, the environmental impacts from raw materials supply, transportation and product processing (cradle to gate) were investigated and the Recipe mid-point method was adopted for the impact assessment to compare the environmental burdens of the two equivalent buildings. The positive environmental values resulted in the massive timber building are mainly connected to the replacement of the reinforced concrete mass used in the structure. The outcome, in terms of global warming potential, show that the use of wood as a building material instead of conventional materials results in a reduction of greenhouse gas emissions of roughly 25%. This material replacement, if extended on a large scale, could give a valid contribution on achieving the community goals of reducing emissions from the construction sector.</t>
  </si>
  <si>
    <t>IOP Conf. Ser. Earth Envir. Sci.</t>
  </si>
  <si>
    <t>Proceedings Paper</t>
  </si>
  <si>
    <t>10.1088/1755-1315/323/1/012016</t>
  </si>
  <si>
    <t>MassTimber versus Concrete</t>
  </si>
  <si>
    <t>MassTimber(CLT)</t>
  </si>
  <si>
    <t>EcoInvent</t>
  </si>
  <si>
    <t>refurbishment; demolition; reconstruction; LCA; construction materials</t>
  </si>
  <si>
    <t>BUILDINGS; ENERGY</t>
  </si>
  <si>
    <t>Pittau, F; Giacomel, D; Iannaccone, G; Malighetti, L</t>
  </si>
  <si>
    <t>ENVIRONMENTAL CONSEQUENCES OF REFURBISHMENT VERSUS DEMOLITION AND RECONSTRUCTION: A COMPARATIVE LIFE CYCLE ASSESSMENT OF AN ITALIAN CASE STUDY</t>
  </si>
  <si>
    <t>In the building sector, new standards for energy efficiency are reducing the energy consumption and the carbon emissions for building operation to nearly zero. As a result, the greenhouse gas emissions and related environmental impacts from materials production, and especially insulation, are becoming key factors. In the near future, most of the building stock is expected to be refurbished and a great amount of construction materials will be consequently required. A relevant share of waste is generated from building construction and demolition and limiting the volume is a priority of the EU community. In this work the renovation of industrial buildings in a dismissed area located in Lecco, Italy, was considered as a case study. Five alternative construction systems (EPS, WOOD, ROCK, PU, HEMP) for renovating the building envelopes were assumed, and a life cycle assessment (LCA) adopted in order to measure the environmental impact of each alternative. The results were compared with a scenario which included demolition and reconstruction of a similar building with the same net volume and thermal resistance. The results showed that timber and concrete are the most environmentally friendly materials to rebuild the structures in case of demolition, contrary to steel which leads generally to higher environmental impacts, except land use. In general, EPS, WOOD and HEMP technological alternatives accounted for the highest scores, both in terms of burdens on the ecosystems and on depletion of resources, while ROCK accounted for the lowest scores. Finally, refurbishment scenarios generally accounted for a lower global warming potential (GWP) even if demolition, waste treatment and the benefit from recycling/reuse are taken into account.</t>
  </si>
  <si>
    <t>J. Green Build.</t>
  </si>
  <si>
    <t>10.1088/1755-1315/296/1/012037</t>
  </si>
  <si>
    <t>NewConstruction_Wood fiber insulation boards (WOOD) applied on the exterior surface of the envelope</t>
  </si>
  <si>
    <t>NewConstruction_Expanded Polystirene (EPS) boards applied on the exterior surface of the envelope;</t>
  </si>
  <si>
    <t>N_WOOD</t>
  </si>
  <si>
    <t>Refurbished_Wood fiber insulation boards (WOOD) applied on the exterior surface of the envelope</t>
  </si>
  <si>
    <t>R_WOOD</t>
  </si>
  <si>
    <t>NewConstruction_Hempcrete blocks (HEMP) applied on the exterior surface</t>
  </si>
  <si>
    <t>N_HEMP</t>
  </si>
  <si>
    <t>NewConstruction_Polyurethane rigid boards (PU) applied on the exterior surface of the envelope</t>
  </si>
  <si>
    <t>N_PU</t>
  </si>
  <si>
    <t>NewConstruction_Mineral wool panels (ROCK) applied on the exterior surface of the envelope</t>
  </si>
  <si>
    <t>N_ROCK</t>
  </si>
  <si>
    <t>Refurbished_Expanded Polystirene (EPS) boards applied on the exterior surface of the envelope</t>
  </si>
  <si>
    <t>R_EPS</t>
  </si>
  <si>
    <t>Refurbished_Hempcrete blocks (HEMP) applied on the exterior surface</t>
  </si>
  <si>
    <t>R_HEMP</t>
  </si>
  <si>
    <t>Refurbished_Polyurethane rigid boards (PU) applied on the exterior surface of the envelope</t>
  </si>
  <si>
    <t>R_PU</t>
  </si>
  <si>
    <t>Refurbished_Mineral wool panels (ROCK) applied on the exterior surface of the envelope</t>
  </si>
  <si>
    <t>R_ROCK</t>
  </si>
  <si>
    <t>WORLD MULTIDISCIPLINARY EARTH SCIENCES SYMPOSIUM (WMESS 2016), PTS 1-4</t>
  </si>
  <si>
    <t>OPERATIONS; IMPACTS</t>
  </si>
  <si>
    <t>Plch, R; Pulkrab, K; Bukacek, J; Sloup, R; Cudlin, P</t>
  </si>
  <si>
    <t>Effect of Forest Management of Picea abies and Fagus sylvatica with Different Types of Felling on Carbon and Economic Balances in the Czech Republic</t>
  </si>
  <si>
    <t>The selection of the most sustainable forest management under given site conditions needs suitable criteria and indicators. For this purpose, carbon and economic balance assessment, completed with environmental impact computation using the Life Cycle Assessment (LCA) were used. The aim of this study was to compare forestry operations and wood production of selected forest stands with different i) tree species composition (Norway spruce - Picea abies and European beech - Fagus sylvatica) and ii) type of felling (chainsaw and harvester). Carbon and economic balance methods consist in the comparison of quantified inputs (fossil fuels, electricity, used machinery, fertilizers, etc., converted into emission units of carbon in Mg of C-CO2-eq. or EUR) with quantified outputs (biomass production in Mg of carbon or EUR). In this contribution, similar forest stands (forest site complexes) in the 4th forest vegetation zone (in the Czech Republic approximately 400-700 m above sea-level) were selected. Forestry operations were divided into 5 main stages: i) seedling production, ii) stand establishment and pruning, iii) thinning and final cutting, iv) skidding, and v) secondary timber transport and modelled for one rotation period of timber production (ca. 100 years). The differences between Norway spruce and European beech forest stands in the carbon efficiency were relatively small while higher differences were achieved in the economic efficiency (forest stands with Norway spruce had a higher economic efficiency). Concerning the comparison of different types of felling in Norway spruce forest stands, the harvester use proved to induce significantly higher environmental impacts (emission of carbon) and lower economic costs. The comparison of forestry operation stages showed that the main part of carbon emissions, originating from fuel production and combustion, is connected with a thinning and final cutting, skidding and secondary timber transport in relations to different types of felling.</t>
  </si>
  <si>
    <t>10.1088/1755-1315/44/5/052042</t>
  </si>
  <si>
    <t>Harvester Felling</t>
  </si>
  <si>
    <t>Harvester</t>
  </si>
  <si>
    <t>Chainsaw Felling</t>
  </si>
  <si>
    <t>kgCO2eq_per_m3Wood</t>
  </si>
  <si>
    <t>Std</t>
  </si>
  <si>
    <t>Czech Republic</t>
  </si>
  <si>
    <t>Double skin facade; Structural timber; Embodied carbon; Whole life carbon; Energy savings; Life cycle assessment (LCA)</t>
  </si>
  <si>
    <t>OFFICE BUILDINGS; NATURAL VENTILATION; ENERGY PERFORMANCE; EMBODIED CARBON; REDUCTION</t>
  </si>
  <si>
    <t>Pomponi, F; D'Amico, B</t>
  </si>
  <si>
    <t>Holistic study of a timber double skin facade: Whole life carbon emissions and structural optimisation</t>
  </si>
  <si>
    <t>The upkeep of existing buildings has a great role to play in reducing the carbon emissions of the built environment. Facade upgrade represents one of the most effective interventions to improve both thermal efficiency and aesthetic appeal of existing buildings. Double Skin Facades (DSFs) have much to offer due to their use of solar and wind energy to passively heat and cool indoor spaces, whilst guaranteeing freedom and flexibility in the aesthetic design of the refurbished building. However, DSFs also bear an increase in the embodied energy and carbon due to the additional materials required for the extra skin throughout all life cycle stages. In this article, life cycle assessment (LCA) and dynamic energy modelling have been combined through a parametric approach to obtain figures for the whole-life cycle carbon assessment of 384 different configurations of an innovative, timber-made DSF for UK low-carbon refurbishments. Additionally, the structural design of the facade was also investigated through a structural optimisation procedure which takes into account all relevant loads and ensures minimal use of the structural material. Results show that operational savings outweigh the embodied impacts and therefore the proposed DSF is a viable and effective solution for net carbon-negative refurbishments. The operational energy modelling also contributes to the characterisation of DSFs thermal behaviour in temperate climates. (C) 2017 Elsevier Ltd. All rights reserved.</t>
  </si>
  <si>
    <t>10.1016/j.buildenv.2017.07.046</t>
  </si>
  <si>
    <t>Aluminum Double Skin Façade (DSF)</t>
  </si>
  <si>
    <t>Aluminum</t>
  </si>
  <si>
    <t>Timber DSF Climate Zone 1</t>
  </si>
  <si>
    <t>kgCO2e</t>
  </si>
  <si>
    <t>ELCD</t>
  </si>
  <si>
    <t>IPCC</t>
  </si>
  <si>
    <t>Steel Double Skin Façade (DSF)</t>
  </si>
  <si>
    <t>Timber DSF Climate Zone 2</t>
  </si>
  <si>
    <t>Timber DSF Climate Zone 3</t>
  </si>
  <si>
    <t>WOOD AND FIBER SCIENCE</t>
  </si>
  <si>
    <t>LCA; sustainable; renewable; flooring; cork; cement; CLT</t>
  </si>
  <si>
    <t>CROSS-LAMINATED TIMBER</t>
  </si>
  <si>
    <t>Portugal, RSE; Lawrence, B; Laleicke, PF; Sinha, A</t>
  </si>
  <si>
    <t>TECHNICAL NOTE: A PRELIMINARY STUDY TO QUANTIFY THE ENVIRONMENTAL IMPACTS OF CONCRETE AND CORK FLOORING</t>
  </si>
  <si>
    <t>Cross-laminated timber (CLT) is currently sought as a sustainable and green building material. It does not meet the International Building Code sound insulating requirements, and either a concrete slab or hardwood flooring is needed to meet the acoustic and vibrational performance benchmark. Cork, the bark of the cork oak, is well known for its sound insulating properties and often used for flooring applications in Europe. The cork-based flooring system is a potential solution to the acoustic problem faced by the CLT building industry. The goal of this preliminary study was to quantify the environmental impacts of a concrete and a cork-based flooring system that includes CLT. A life-cycle analysis (LCA) is conducted to focus on a cradle-to-gate comparison of a cork flooring system with a locally sourced concrete flooring system for use in a proposed CLT structure in Portland, OR. The LCA reveals that the global warming potential (GWP) of concrete is 25% higher for the concrete flooring system. For cork flooring, the GWP is mainly driven by inorganic compounds in the flooring assembly. The main source for cork is Portugal, which increases the GWP of the cork flooring system, in contrast to that of concrete flooring, which typically has a regional production and supply system. As environmental abatement costs increase, the profitability of cork flooring can increase to justify the creation of an appropriate system to close the loop.</t>
  </si>
  <si>
    <t>Wood Fiber Sci.</t>
  </si>
  <si>
    <t>10.22382/wfs-2018-011</t>
  </si>
  <si>
    <t>cork floor instead of concrete</t>
  </si>
  <si>
    <t>Concrete floor</t>
  </si>
  <si>
    <t>Cork floor</t>
  </si>
  <si>
    <t>the cork floor is made from cork stopper pruduction waste. There is no information regarding how much cork tree wood is needed to create the 11 square meters of floor</t>
  </si>
  <si>
    <t>Harvested wood products; Carbon sequestration; Product lifetime; Thinning from above; Thinning from below</t>
  </si>
  <si>
    <t>SUBSTITUTION; INVENTORIES; QUALITY; IMPACTS; NORWAY; SECTOR; DEBRIS; STOCKS; TRADE</t>
  </si>
  <si>
    <t>Profft, I; Mund, M; Weber, GE; Weller, E; Schulze, ED</t>
  </si>
  <si>
    <t>Forest management and carbon sequestration in wood products</t>
  </si>
  <si>
    <t>Wood products are considered to contribute to the mitigation of carbon dioxide emissions. A critical gap in the life cycle of wood products is to transfer the raw timber from the forest to the processing wood industry and, thus, the primary wood products. Therefore, often rough estimates are used for this step to obtain total forestry carbon balances. The objectives of this study were (1) to examine the fate of timber harvested in Thuringian state forests (central Germany), representing a large, intensively managed forested region, and (2) to quantify carbon stocks and the lifetime of primary wood products made from this timber. The analyses were based on the amount and assortments of actually sold timber, and production parameters of the companies that bought and processed this timber. In addition, for coniferous stands of a selected Thuringian forest district, we calculated potential effects of management, as expressed by different thinning regimes on wood products and their lifetimes. Total annual timber sale of soft- and hardwoods from Thuringian state forests (195,000 ha) increased from about 136,893 t C (similar to 0.7 t C ha(-1) year(-1)) in 1996 to 280,194 t C (similar to 1.4 t C ha(-1) year(-1)) in 2005. About 47% of annual total timber harvest went into short-lived wood products with a mean residence time (MRT) &lt; 25 years. Thirty-one per cent of the total harvest went into wood products with an MRT of 25-43 years, and only 22% was used as construction wood and glued wood, products with the longest MRT (50 years). The average MRT of carbon in harvested wood products was 20 years. Thinning from above throughout the rotation of spruce forests would lead to an average MRT in harvested wood products of about 23 years, thinning from below of about 18 years. A comparison of our calculations with estimates that resulted from the products module of the CO2FIX model (Nabuurs et al. 2001) demonstrates the influence of regional differences in forest management and wood processing industry on the lifetime of harvested wood products. To our knowledge, the present study provides for the first time real carbon inputs of a defined forest management unit to the wood product sector by linking data on raw timber production, timber sales and wood processing. With this new approach and using this data, it should be possible to substantially improve the net-carbon balance of the entire forestry sector.</t>
  </si>
  <si>
    <t>10.1007/s10342-009-0283-5</t>
  </si>
  <si>
    <t>Thin from below</t>
  </si>
  <si>
    <t>Thin Below</t>
  </si>
  <si>
    <t>Thin from above</t>
  </si>
  <si>
    <t>MgC_hectare_year</t>
  </si>
  <si>
    <t>TRANSPORTATION RESEARCH PART D-TRANSPORT AND ENVIRONMENT</t>
  </si>
  <si>
    <t>Life cycle assessment; Life cycle costing; Carbon footprint; Greenhouse gas emissions; Rail track; Railway sleepers</t>
  </si>
  <si>
    <t>LIFE-CYCLE ASSESSMENT; GREENHOUSE-GAS EMISSIONS; CONCRETE</t>
  </si>
  <si>
    <t>Rempelos, G; Preston, J; Blainey, S</t>
  </si>
  <si>
    <t>A carbon footprint analysis of railway sleepers in the United Kingdom</t>
  </si>
  <si>
    <t>This paper provides an assessment of the lifecycle Greenhouse Gas (GHG) emissions associated with the four most common sleeper (railroad tie or cross-tie in North America) types present in the UK rail network. It estimates the embodied material, process and transport emissions linked with the lifecycle activities of construction, relay/renewal and end-of-life of these variants at low and high traffic tonnage. The analysis suggests that at low traffic loads, the softwood sleepers perform the best over the whole simulated-period. At high traffic loads, the concrete sleepers outperform all other variants in terms of lifecycle CO(2)e emissions, followed by hardwood, softwood and steel. Regardless of the scenario examined, the steel sleepers perform the worst due to the carbon intensive nature of their manufacturing process. This performance gap is amplified at high traffic loads, as their service life is excessively compromised. The analysis reveals that the end-of-life pathway of timber is a critical determinant of its footprint. Results suggest that the impact of disposing of these sleepers results in their footprint being magnified. Nevertheless, if a minimum of 50% follows the combustion pathway with subsequent heat recuperation, then a GHG reduction potential of between 11% and 18% of their footprint is feasible. From a whole-lifecycle cost lens, for higher tonnage routes, the choice of concrete sleepers results in considerable financial savings. If the infrastructure manager was to install sleepers with stiff under sleeper pads (USPs), it may achieve additional economic and GHG savings, with potential for increasing the latter using recycled carbon-neutral USPs.</t>
  </si>
  <si>
    <t>Transport. Res. Part D-Transport. Environ.</t>
  </si>
  <si>
    <t>10.1016/j.trd.2020.102285</t>
  </si>
  <si>
    <t>low tonnage use</t>
  </si>
  <si>
    <t xml:space="preserve">steel </t>
  </si>
  <si>
    <t>hardwood</t>
  </si>
  <si>
    <t>Fig 5</t>
  </si>
  <si>
    <t>t CO2 e stkm</t>
  </si>
  <si>
    <t>high tonnage use</t>
  </si>
  <si>
    <t>softwood</t>
  </si>
  <si>
    <t xml:space="preserve">Repo, A., Känkänen, R., Tuovinen, J. P., Antikainen, R., Tuomi, M., Vanhala, P., &amp; Liski, J. </t>
  </si>
  <si>
    <t xml:space="preserve"> Forest bioenergy climate impact can be improved by allocating forest residue removal</t>
  </si>
  <si>
    <t>10.1111/j.1757-1707.2011.01124.x</t>
  </si>
  <si>
    <t>young stand thinnings (Fig. 5b)</t>
  </si>
  <si>
    <t>branches (Fig 5b)</t>
  </si>
  <si>
    <t xml:space="preserve"> gCO2eq/MJ</t>
  </si>
  <si>
    <t>stumps (Fig 5b)</t>
  </si>
  <si>
    <t>energy type</t>
  </si>
  <si>
    <t>PEERJ</t>
  </si>
  <si>
    <t>Climate change; Nature-based; Natural climate solutions; Mitigation; Justice; Equity; Distribution; Resiliency; Adaptation; Washington</t>
  </si>
  <si>
    <t>CLIMATE SOLUTIONS; MITIGATION; RESTORATION</t>
  </si>
  <si>
    <t>Robertson, JC; Randrup, KV; Howe, ER; Case, MJ; Levin, PS</t>
  </si>
  <si>
    <t>Leveraging the potential of nature to meet net zero greenhouse gas emissions in Washington State</t>
  </si>
  <si>
    <t>The State of Washington, USA, has set a goal to reach net zero greenhouse gas emissions by 2050, the year around which the Intergovernmental Panel on Climate Change (IPCC) recommended we must limit global warming to 1.5 degrees C above that of pre-industrial times or face catastrophic changes. We employed existing approaches to calculate the potential for a suite of Natural Climate Solution (NCS) pathways to reduce Washington's net emissions under three implementation scenarios: Limited, Moderate, and Ambitious. We found that NCS could reduce emissions between 4.3 and 8.8 MMT CO(2)e(yr-1) in thirty-one years, accounting for 4% to 9% of the State's net zero goal. These potential reductions largely rely on changing forest management practices on portions of private and public timber lands. We also mapped the distribution of each pathway's Ambitious potential emissions reductions by county, revealing spatial clustering of high potential reductions in three regions closely tied to major business sectors: private industrial forestry in southwestern coastal forests, cropland agriculture in the Columbia Basin, and urban and rural development in the Puget Trough. Overall, potential emissions reductions are provided largely by a single pathway, Extended Timber Harvest Rotations, which mostly clusters in southwestern counties. However, mapping distribution of each of the other pathways reveals wider distribution of each pathway's unique geographic relevance to support fair, just, and efficient deployment. Although the relative potential for a single pathway to contribute to statewide emissions reductions may be small, they could provide co-benefits to people, communities, economies, and nature for adaptation and resiliency across the state.</t>
  </si>
  <si>
    <t>PeerJ</t>
  </si>
  <si>
    <t>10.7717/peerj.11802</t>
  </si>
  <si>
    <t>Reforestation: low</t>
  </si>
  <si>
    <t>reforest</t>
  </si>
  <si>
    <t>Reforestation:medium</t>
  </si>
  <si>
    <t>Reforestation:high</t>
  </si>
  <si>
    <t>Avoided deforestation:low</t>
  </si>
  <si>
    <t>Avoided deforestation:med</t>
  </si>
  <si>
    <t>Avoided deforestation: High</t>
  </si>
  <si>
    <t>Replanting after wildfire: low</t>
  </si>
  <si>
    <t>Replanting after wildfire: medium</t>
  </si>
  <si>
    <t>Replanting after wildfire: high</t>
  </si>
  <si>
    <t>Extended harvest rotations: med, up to 50% counties</t>
  </si>
  <si>
    <t>Extended harvest rotations: low, less counties</t>
  </si>
  <si>
    <t>Extended harvest rotations: high, most counties</t>
  </si>
  <si>
    <t>CO2 emissions; energy balance; energy biomass; fertilization; forestmanagement; wood energy</t>
  </si>
  <si>
    <t>NITROGEN SATURATION; BOREAL FORESTS; ECOSYSTEMS; NORTHERN; IMPACT; SOILS; FERTILIZATION; COMPUTATIONS; ACCUMULATION; TEMPERATE</t>
  </si>
  <si>
    <t>Routa, J; Kellomaki, S; Kilpelainen, A; Peltola, H; Strandman, H</t>
  </si>
  <si>
    <t>Effects of forest management on the carbon dioxide emissions of wood energy in integrated production of timber and energy biomass</t>
  </si>
  <si>
    <t>The aim of this work was to study the sensitivity of carbon dioxide (CO2) emissions from wood energy to different forest management regimes when aiming at an integrated production of timber and energy biomass. For this purpose, the production of timber and energy biomass in Norway spruce [Picea abies (L.) Karst] and Scots pine (Pinus sylvestris L.) stands was simulated using an ecosystem model (SIMA) on sites of varying fertility under different management regimes, including various thinning and fertilization treatments over a fixed simulation period of 80 years. The simulations included timber (sawlogs, pulp), energy biomass (small-sized stem wood) and/or logging residues (top part of stem, branches and needles) from first thinning, and logging residues and stumps from final felling for energy production. In this context, a life cycle analysis/emission calculation tool was used to assess the CO2 emissions per unit of energy (kg CO2 MW h(-1)) which was produced based on the use of wood energy. The energy balance (GJ ha(-1)) of the supply chain was also calculated. The evaluation of CO2 emissions and energy balance of the supply chain considered the whole forest bioenergy production chain, representing all operations needed to grow and harvest biomass and transport it to a power plant for energy production. Fertilization and high precommercial stand density clearly increased stem wood production (i.e. sawlogs, pulp and small-sized stem wood), but also the amount of logging residues, stump wood and roots for energy use. Similarly, the lowest CO2 emissions per unit of energy were obtained, regardless of tree species and site fertility, when applying extremely or very dense precommercial stand density, as well as fertilization three times during the rotation. For Norway spruce such management also provided a high energy balance (GJ ha(-1)). On the other hand, the highest energy balance for Scots pine was obtained concurrently with extremely dense precommercial stands without fertilization on the medium-fertility site, while on the low-fertility site fertilization three times during the rotation was needed to attain this balance. Thus, clear differences existed between species and sites. In general, the forest bioenergy supply chain seemed to be effective; i.e. the fossil fuel energy consumption varied between 2.2% and 2.8% of the energy produced based on the forest biomass. To conclude, the primary energy use and CO2 emissions related to the forest operations, including the production and application of fertilizer, were small in relation to the increased potential of energy biomass.</t>
  </si>
  <si>
    <t>10.1111/j.1757-1707.2011.01106.x</t>
  </si>
  <si>
    <t>NorwaySpruce; Late energy wood thinning extremeleydense precommercial stand; Fertilized</t>
  </si>
  <si>
    <t>NorwaySpruce; Late energy wood thinning very dense precommercial stand; Fertilized</t>
  </si>
  <si>
    <t>NorwaySpruce; Late energy wood thinning with dense precommercial stand; Fertilized</t>
  </si>
  <si>
    <t>NorwaySpruce; Late energy wood thinning with moderate dense precommercial stand; Fertilized</t>
  </si>
  <si>
    <t>NorwaySpruce; Early energy wood thinning with moderate dense precommercial stand; Fertilized</t>
  </si>
  <si>
    <t>NorwaySpruce; Early energy wood thinning with very dense precommercial stand; Fertilized</t>
  </si>
  <si>
    <t>NorwaySpruce; Early energy wood thinning with dense precommercial stand; Fertilized</t>
  </si>
  <si>
    <t>NorwaySpruce; Early energy wood thinning with extremely dense precommercial stand; Fertilized</t>
  </si>
  <si>
    <t>ScotsPine; Early energy wood thinning with very dense precommercial stand; Fertilized</t>
  </si>
  <si>
    <t>ScotsPine; Late energy wood thinning with dense precommercial stand; Fertilized</t>
  </si>
  <si>
    <t>ScotsPine; Late energy wood thinning very dense precommercial stand; Fertilized</t>
  </si>
  <si>
    <t>ScotsPine; Early energy wood thinning with extremely dense precommercial stand; Fertilized</t>
  </si>
  <si>
    <t>ScotsPine; Late energy wood thinning with moderate dense precommercial stand; Fertilized</t>
  </si>
  <si>
    <t>NorwaySpruce; Late energy wood thinning extremeleydense precommercial stand; Unfertilized</t>
  </si>
  <si>
    <t>ScotsPine; Late energy wood thinning extremeleydense precommercial stand; Fertilized</t>
  </si>
  <si>
    <t>ScotsPine; Early energy wood thinning with dense precommercial stand; Fertilized</t>
  </si>
  <si>
    <t>NorwaySpruce; Late energy wood thinning with dense precommercial stand; Unfertilized</t>
  </si>
  <si>
    <t>NorwaySpruce; Early energy wood thinning with extremely dense precommercial stand; Unfertilized</t>
  </si>
  <si>
    <t>NorwaySpruce; Early energy wood thinning with very dense precommercial stand; Unfertilized</t>
  </si>
  <si>
    <t>NorwaySpruce; Late energy wood thinning very dense precommercial stand; Unfertilized</t>
  </si>
  <si>
    <t>NorwaySpruce; Early energy wood thinning with moderate dense precommercial stand; Unfertilized</t>
  </si>
  <si>
    <t>NorwaySpruce; Early energy wood thinning with dense precommercial stand; Unfertilized</t>
  </si>
  <si>
    <t>ScotsPine; Late energy wood thinning very dense precommercial stand; Unfertilized</t>
  </si>
  <si>
    <t>ScotsPine; Early energy wood thinning with moderate dense precommercial stand; Fertilized</t>
  </si>
  <si>
    <t>NorwaySpruce; Late energy wood thinning with moderate dense precommercial stand; Unfertilized</t>
  </si>
  <si>
    <t>ScotsPine; Late energy wood thinning extremeleydense precommercial stand; Unfertilized</t>
  </si>
  <si>
    <t>ScotsPine; Late energy wood thinning with dense precommercial stand; Unfertilized</t>
  </si>
  <si>
    <t>ScotsPine; Early energy wood thinning with very dense precommercial stand; Unfertilized</t>
  </si>
  <si>
    <t>ScotsPine; Late energy wood thinning with moderate dense precommercial stand; Unfertilized</t>
  </si>
  <si>
    <t>ScotsPine; Early energy wood thinning with extremely dense precommercial stand; Unfertilized</t>
  </si>
  <si>
    <t>ScotsPine; Early energy wood thinning with dense precommercial stand; Unfertilized</t>
  </si>
  <si>
    <t>ScotsPine; Early energy wood thinning with moderate dense precommercial stand; Unfertilized</t>
  </si>
  <si>
    <t>ECOLOGICAL ECONOMICS</t>
  </si>
  <si>
    <t>Carbon accounting; Forest residue based biomass heating; Carbon lifecycle analysis; Carbon markets; Economic cluster analysis; Bioenergy</t>
  </si>
  <si>
    <t>SITKA SPRUCE STANDS; WESTERN HEMLOCK; UNDERSTORY VEGETATION; FOREST; MANAGEMENT; BIOMASS; FOOTPRINT; GROWTH; CONSERVATION; FEASIBILITY</t>
  </si>
  <si>
    <t>Saah, D; Patterson, T; Buchholz, T; Ganz, D; Albert, D; Rush, K</t>
  </si>
  <si>
    <t>Modeling economic and carbon consequences of a shift to wood-based energy in a rural 'cluster'; a network analysis in southeast Alaska</t>
  </si>
  <si>
    <t>Integrated ecological and economic solutions are increasingly sought after by communities to provide basic energy needs such as home heating, transport, and electricity, while reducing drivers of and vulnerability to climate change. Small rural communities may require a coordinated approach to overcome the limitations of economies of scale. Low-carbon development strategies present potential for large payoffs at a household and community scale. Southeast Alaskan forests previously harvested for timber are currently re-growing and require thinning to maintain ecosystem service benefits such as wildlife habitat and hunting. Thinned material presents a potential biofuel source. However, without verification among decision alternatives, communities may not have the momentum, vision, or conviction to stimulate a shift to a new energy source. We present a network approach to evaluating multiple energy delivery pathways, and a calculation of carbon, energy, and dollar savings presented by each pathway. We quantify chain of production impacts; from the point of energy extraction and transport (upstream), through consumption and emission accounting (downstream). Our findings suggest substantial greenhouse gas emission savings of over 70% as well as heating cost savings for all bioenergy scenarios compared to fossil fuel scenarios. Outputs can facilitate dialog between land managers, planners, community members and decision-makers. (C) 2014 Elsevier B.V. All rights reserved.</t>
  </si>
  <si>
    <t>Ecol. Econ.</t>
  </si>
  <si>
    <t>10.1016/j.ecolecon.2014.08.011</t>
  </si>
  <si>
    <t>WesternShoreCraigSortingLot_HybridTransport</t>
  </si>
  <si>
    <t>MgCO2e</t>
  </si>
  <si>
    <t>WesternShoreCraigSortingLot_BargeTransport</t>
  </si>
  <si>
    <t>CentrallyLocatedLakeCrossroads_BargeTransport</t>
  </si>
  <si>
    <t>EasternShoreThornSortingLot_BargeTransport</t>
  </si>
  <si>
    <t>EasternShoreThornSortingLot_HybridTransport</t>
  </si>
  <si>
    <t>CentrallyLocatedLakeCrossroads_HybridTransport</t>
  </si>
  <si>
    <t>CentrallyLocatedLakeCrossroads_RoadTransport</t>
  </si>
  <si>
    <t>WesternShoreCraigSortingLot_RoadTransport</t>
  </si>
  <si>
    <t>EasternShoreThornSortingLot_RoadTransport</t>
  </si>
  <si>
    <t>APPLIED ENERGY</t>
  </si>
  <si>
    <t>Climate change mitigation; Wood products; Social cost of carbon; Energy tax; Building materials; Economic competitiveness</t>
  </si>
  <si>
    <t>CARBON TAXES; LIFE-CYCLE; BIOMASS; CONCRETE; BALANCES; ENERGY</t>
  </si>
  <si>
    <t>Sathre, R; Gustavsson, L</t>
  </si>
  <si>
    <t>Using wood products to mitigate climate change: External costs and structural change</t>
  </si>
  <si>
    <t>In this study we examine the use of wood products as a means to mitigate climate change. We describe the life cycle of wood products including forest growth, wood harvest and processing, and product use and disposal, focusing on the multiple roles of wood as both material and fuel. We present a comparative case study of a building constructed with either a wood or a reinforced concrete frame. We find that the production of wood building material uses less energy and emits less carbon than the production of reinforced concrete material. We compare the relative cost of the two building methods without environmental taxation, under the Current Swedish industrial energy taxation regime, and in scenarios that incorporate estimates of the full social cost of carbon emission. We find that the inclusion of climate-related external costs improves the economic standing of wood construction vis-A-vis concrete construction. We conclude that policy instruments that internalise the external costs of carbon emission should encourage a structural change toward the increased use of sustainability produced wood products. (c) 2008 Elsevier Ltd. All rights reserved.</t>
  </si>
  <si>
    <t>Appl. Energy</t>
  </si>
  <si>
    <t>10.1016/j.apenergy.2008.04.007</t>
  </si>
  <si>
    <t>Wood Building versus Concrete/Steel</t>
  </si>
  <si>
    <t>multi-objective optimization; beetle-killed biomass; forest products; supply chain; production scenario comparison; bioenergy; salvage logging</t>
  </si>
  <si>
    <t>MOUNTAIN PINE-BEETLE; FUEL-REDUCTION TREATMENTS; LODGEPOLE PINE; ROCKY-MOUNTAINS; KEY ISSUES; BIOMASS; WOOD; ENERGY; RESIDUES; BIOFUEL</t>
  </si>
  <si>
    <t>She, J; Chung, W; Han, H</t>
  </si>
  <si>
    <t>Economic and Environmental Optimization of the Forest Supply Chain for Timber and Bioenergy Production from Beetle-Killed Forests in Northern Colorado</t>
  </si>
  <si>
    <t>Harvesting mountain pine beetle-infested forest stands in the northern Colorado Rocky Mountains provides an opportunity to utilize otherwise wasted resources, generate net revenues, and minimize greenhouse gas (GHG) emissions. Timber and bioenergy production are commonly managed separately, and their integration is seldom considered. Yet, degraded wood and logging residues can provide a feedstock for bioenergy, while the sound wood from beetle-killed stands can still be used for traditional timber products. In addition, beneficial greenhouse gas emission (GHG) savings are often realized only by compromising net revenues during salvage harvest where beetle-killed wood has a relatively low market value and high harvesting cost. In this study we compared Sequential and Integrated decision-making scenarios for managing the supply chain from beetle-killed forest salvage operations. In the Sequential scenario, timber and bioenergy production was managed sequentially in two separate processes, where salvage harvest was conducted without considering influences on or from bioenergy production. Biomass availability was assessed next as an outcome from timber production managed to produce bioenergy products. In the Integrated scenario, timber and bioenergy production were managed jointly, where collective decisions were made regarding tree salvage harvest, residue treatment, and bioenergy product selection and production. We applied a multi-objective optimization approach to integrate the economic and environmental objectives of producing timber and bioenergy, and measured results by total net revenues and total net GHG emission savings, respectively. The optimization model results show that distinctively different decisions are made in selecting the harvesting system and residue treatment under the two scenarios. When the optimization is fully economic-oriented, 49.6% more forest areas are harvested under the Integrated scenario than the Sequential scenario, generating 12.3% more net revenues and 50.5% more net GHG emission savings. Comparison of modelled Pareto fronts also indicate the Integrated decision scenario provides more efficient trade-offs between the two objectives and performs better than the Sequential scenario in both objectives.</t>
  </si>
  <si>
    <t>10.3390/f10080689</t>
  </si>
  <si>
    <t>Salvage Logging Beetle-Kill; Integrated Timber and Bionergy Supply Chains; Maximize net GHG savings of Timber and Bioenergy Supply Chain (forest supply chain)</t>
  </si>
  <si>
    <t>Salvage Logging Beetle-Kill; Sequential Timber and Bionergy Supply Chains; Maximize net revenue of Timber Supply Chain; Maximize Net revenue of Bioenergy Supply Chain</t>
  </si>
  <si>
    <t>; https://meridian.allenpress.com/fpj/article/62/4/289/136357/Life-Cycle-Inventory-of-Wood-Pellet-Manufacturing; https://www.fs.usda.gov/treesearch/pubs/54276; https://www.nature.com/articles/srep39857</t>
  </si>
  <si>
    <t>?</t>
  </si>
  <si>
    <t>Salvage Logging Beetle-Kill; Sequential Timber and Bionergy Supply Chains; Maximize net GHG savings of Timber Supply Chain; Maximize Net revenue of Bioenergy Supply Chain</t>
  </si>
  <si>
    <t>Salvage Logging Beetle-Kill; Sequential Timber and Bionergy Supply Chains; Maximize net GHG savings of Timber Supply Chain; Maximize Net GHG savings of Bioenergy Supply Chain</t>
  </si>
  <si>
    <t>C_alternative values checked from file Valade_2018_data</t>
  </si>
  <si>
    <t>Salvage Logging Beetle-Kill; Integrated Timber and Bionergy Supply Chains; Maximize net revenue of Timber and Bioenergy Supply Chain (forest supply chain)</t>
  </si>
  <si>
    <t>Salvage Logging Beetle-Kill; Sequential Timber and Bionergy Supply Chains; Maximize net revenue of Timber Supply Chain; Maximize Net GHG savings of Bioenergy Supply Chain</t>
  </si>
  <si>
    <t>The real reference scenario should be fossil energy and products but the paper didn't include the baseline emissions</t>
  </si>
  <si>
    <t xml:space="preserve">Smyth, C. E., Smiley, B. P., Magnan, M., Birdsey, R., Dugan, A. J., Olguin, M., ... &amp; Kurz, W. A. </t>
  </si>
  <si>
    <t xml:space="preserve"> Climate change mitigation in Canada’s forest sector: a spatially explicit case study for two regions</t>
  </si>
  <si>
    <t>10.1186/s13021-018-0099-z</t>
  </si>
  <si>
    <t>Gg CO2 eq. y-1</t>
  </si>
  <si>
    <t>harvest residues for bioenergy</t>
  </si>
  <si>
    <t>No slashburning</t>
  </si>
  <si>
    <t>Higher utilisation</t>
  </si>
  <si>
    <t>long lived products</t>
  </si>
  <si>
    <t>JOURNAL OF ENVIRONMENTAL QUALITY</t>
  </si>
  <si>
    <t>MONTE-CARLO-SIMULATION; CARBON STORAGE; MANAGEMENT; SEQUESTRATION; INVENTORY</t>
  </si>
  <si>
    <t>Sonne, E</t>
  </si>
  <si>
    <t>Greenhouse gas emissions from forestry operations: A life cycle assessment</t>
  </si>
  <si>
    <t>Most forest carbon assessments focus only on biomass carbon and assume that greenhouse gas (GHG) emissions from forestry activities are minimal. This study took an in-depth look at the direct and indirect emissions from Pacific Northwest (PNW) Douglas-fir [Pseudotsuga menziesii (Mirbel) Franco] forestry activities to support or deny this claim. Greenhouse gas budgets for 408 management regimes were calculated using Life Cycle Assessment (LCA) methodology. These management regimes were comprised of different combinations of three types of seedlings (P + 1, 1 + 1, and large plug), two types of site preparation (pile and burn, and chemical), 17 combinations of management intensity including fertilization, herbicide treatment, precommercial thinning (PCT), commercial thinning (CT), and nothing, and four different rotation ages (30, 40, 50, and 60 yr). Normalized to 50 yr, average direct GHG emissions were 8.6 megagrams (Mg) carbon dioxide equivalents (CO(2)e) ha(-1), which accounted for 84% of total GHG emissions from the average of 408 management regimes. Harvesting (PCT, CT, and clear cuffing) contributed the most to total GHG emissions (5.9 Mg CO(2)e per 700 m(3) harvested timber), followed by pile and burn site preparation (4.0 Mg CO(2)e ha(-1) or 32% of total GHG emissions) and then fertilization (1.9 Mg CO(2)e, ha(-1) or 15% of total GHG emissions). Seedling production, seedling transportation, chemical site preparation, and herbicide treatment each contributed less than 1% of total GHG emissions when assessed per hectare of planted timberland. Total emissions per 100 m(3) averaged 1.6 Mg CO(2)e ha(-1) over all 408 management regimes. An uncertainty analysis using Monte Carlo simulations revealed that there are significant differences between most alternative management regimes.</t>
  </si>
  <si>
    <t>J. Environ. Qual.</t>
  </si>
  <si>
    <t>10.2134/jeq2005.0159</t>
  </si>
  <si>
    <t>Number of thinnings</t>
  </si>
  <si>
    <t>No thinning</t>
  </si>
  <si>
    <t>One Pre commercial thinning</t>
  </si>
  <si>
    <t xml:space="preserve">tCO2/m3 of wood harvested </t>
  </si>
  <si>
    <t xml:space="preserve">One pre commercial thinning + one commercial thinning </t>
  </si>
  <si>
    <t>No fertilisation</t>
  </si>
  <si>
    <t xml:space="preserve">Fertilisation </t>
  </si>
  <si>
    <t>Density at plantation</t>
  </si>
  <si>
    <t>865 seedlings per ha</t>
  </si>
  <si>
    <t>1235 seedlings per ha</t>
  </si>
  <si>
    <t xml:space="preserve">60 years </t>
  </si>
  <si>
    <t xml:space="preserve">40 years </t>
  </si>
  <si>
    <t xml:space="preserve">50 years </t>
  </si>
  <si>
    <t xml:space="preserve">30 years </t>
  </si>
  <si>
    <t>bioenergy; biofuels; wood pellets; greenhouse gas emissions; climate change; system dynamics</t>
  </si>
  <si>
    <t>FOREST BIOMASS; CARBON; POLICY; GROWTH</t>
  </si>
  <si>
    <t>Sterman, JD; Siegel, L; Rooney-Varga, JN</t>
  </si>
  <si>
    <t>Does replacing coal with wood lower CO2 emissions? Dynamic lifecycle analysis of wood bioenergy</t>
  </si>
  <si>
    <t>Bioenergy is booming as nations seek to cut their greenhouse gas emissions. The European Union declared biofuels to be carbon-neutral, triggering a surge in wood use. But do biofuels actually reduce emissions? A molecule of CO2 emitted today has the same impact on radiative forcing whether it comes from coal or biomass. Biofuels can only reduce atmospheric CO2 over time through post-harvest increases in net primary production (NPP). The climate impact of biofuels therefore depends on CO2 emissions from combustion of biofuels versus fossil fuels, the fate of the harvested land and dynamics of NPP. Here we develop a model for dynamic bioenergy lifecycle analysis. The model tracks carbon stocks and fluxes among the atmosphere, biomass, and soils, is extensible to multiple land types and regions, and runs in approximate to 1s, enabling rapid, interactive policy design and sensitivity testing. We simulate substitution of wood for coal in power generation, estimating the parameters governing NPP and other fluxes using data for forests in the eastern US and using published estimates for supply chain emissions. Because combustion and processing efficiencies for wood are less than coal, the immediate impact of substituting wood for coal is an increase in atmospheric CO2 relative to coal. The payback time for this carbon debt ranges from 44-104 years after clearcut, depending on forest type-assuming the land remains forest. Surprisingly, replanting hardwood forests with fast-growing pine plantations raises the CO2 impact of wood because the equilibrium carbon density of plantations is lower than natural forests. Further, projected growth in wood harvest for bioenergy would increase atmospheric CO2 for at least a century because new carbon debt continuously exceeds NPP. Assuming biofuels are carbon neutral may worsen irreversible impacts of climate change before benefits accrue. Instead, explicit dynamic models should be used to assess the climate impacts of biofuels.</t>
  </si>
  <si>
    <t>10.1088/1748-9326/aaa512</t>
  </si>
  <si>
    <t>Change in atmospheric CO2 if 1 EJ of end-use energy from coal were orfset by zero carbon energy source (e.g. solar)</t>
  </si>
  <si>
    <t>BAU (coal)</t>
  </si>
  <si>
    <t>Solar</t>
  </si>
  <si>
    <t>ppm</t>
  </si>
  <si>
    <t>Several self-calculated based on conversion of wood to energy versus coal, however Sterman calculates that wood pellets emit approximately 0.071 tC more CO2 per GJ of end-use energy than coal</t>
  </si>
  <si>
    <t>this paper</t>
  </si>
  <si>
    <t>Bioenergy assumed to have greater emissions than coal; Realistic combustion and processing efficiency in supply chain emissions; 95% removal of biomass with clearcut; NOT ALLOWED TO REGROW; WITH decomp emissions; Oak Hickory forest</t>
  </si>
  <si>
    <t>Bioenergy assumed to have greater emissions than coal; Realistic combustion and processing efficiency in supply chain emissions; 95% removal of biomass with clearcut; NOT ALLOWED TO REGROW; WITH decomp emissions;  Loblolly pine forest</t>
  </si>
  <si>
    <t>Bioenergy assumed to have greater emissions than coal; Realistic combustion and processing efficiency in supply chain emissions; 95% removal of biomass with clearcut; NOT ALLOWED TO REGROW; no decomp emissions; Oak Hickory forest</t>
  </si>
  <si>
    <t>Bioenergy assumed to have greater emissions than coal; Realistic combustion and processing efficiency in supply chain emissions; 95% removal of biomass with clearcut; NOT ALLOWED TO REGROW; no decomp emissions;  Loblolly pine forest</t>
  </si>
  <si>
    <t>Bioenergy assumed to have greater emissions than coal; Realistic combustion and processing efficiency in supply chain emissions; 95% removal of biomass with clearcut; Oak Hickory forest</t>
  </si>
  <si>
    <t>Bioenergy assumed to have greater emissions than coal; Realistic combustion and processing efficiency in supply chain emissions; 25% removal of biomass with thinning; Oak Hickory forest</t>
  </si>
  <si>
    <t>Bioenergy assumed to have same emissions as coal, same combustion and processing efficiency in supply chain emissions; 25% removal of biomass with thinning; Oak Hickory forest</t>
  </si>
  <si>
    <t>Bioenergy assumed to have greater emissions than coal; Realistic combustion and processing efficiency in supply chain emissions; 25% removal of biomass with thinning;  Loblolly pine forest</t>
  </si>
  <si>
    <t>Bioenergy assumed to have greater emissions than coal; Realistic combustion and processing efficiency in supply chain emissions; 95% removal of biomass with clearcut;  Loblolly pine forest</t>
  </si>
  <si>
    <t>Bioenergy assumed to have same emissions as coal, same combustion and processing efficiency in supply chain emissions; 25% removal of biomass with thinning; Loblolly pine forest</t>
  </si>
  <si>
    <t>ENERGY REPORTS</t>
  </si>
  <si>
    <t>Life cycle net zero carbon building; Building information modelling; Building energy simulation; Life cycle assessment; Life cycle cost; Compact house</t>
  </si>
  <si>
    <t>LCA; CONSTRUCTION</t>
  </si>
  <si>
    <t>Szalay, Z; Szagri, D; Bihari, A; Nagy, B; Kiss, B; Horvath, M; Medgyasszay, P</t>
  </si>
  <si>
    <t>Development of a life cycle net zero carbon compact house concept</t>
  </si>
  <si>
    <t>The paper presents the development process of an innovative, prefabricated compact house, which aims at creating a net zero greenhouse gas emission building design over the whole life cycle. Building Information Modelling helped to quantify the required building materials. Dynamic building simulations were performed in DesignBuilder to calculate the energy demand of the building for the operational period. To evaluate the financial feasibility and the carbon balance of the building, life cycle assessment and life cycle costing were used. A heat and moisture transfer simulation was carried out to provide a more accurate analysis and to identify possible moisture problems.The assessment showed that the ratio of embodied impacts and operational impacts is typically 1:2 for wooden buildings and 1:1.5 for brick buildings. Life cycle carbon neutrality could be achieved in both cases with additional photovoltaic panels installed on the roof. However, a major difference between timber and brick buildings is the time factor: while the initial emissions from the production of brick buildings are gradually offset with excess solar energy, timber buildings act as carbon storage with negative emissions over the study period and the carbon is only released at the eventual end -of-life stage. The necessary size of photovoltaics is largely influenced by the avoided grid impact: if dynamic decarbonization of the electricity mix is considered, the size of photovoltaics required is about 1.5 times larger to offset the environmental load of the construction due to the diminishing benefits.(c) 2022 The Author(s). Published by Elsevier Ltd. This is an open access article under the CC BY-NC-ND license (http://creativecommons.org/licenses/by-nc-nd/4.0/).</t>
  </si>
  <si>
    <t>Energy Rep.</t>
  </si>
  <si>
    <t>10.1016/j.egyr.2022.09.197</t>
  </si>
  <si>
    <t>brick_V02_same</t>
  </si>
  <si>
    <t>CC_V02_wood</t>
  </si>
  <si>
    <t>Hungary</t>
  </si>
  <si>
    <t>INTERNATIONAL HIGH-PERFORMANCE BUILT ENVIRONMENT CONFERENCE - A SUSTAINABLE BUILT ENVIRONMENT CONFERENCE 2016 SERIES (SBE16), IHBE 2016</t>
  </si>
  <si>
    <t>construction materials; construction industry; engineered wood products; input-output modelling; residential and non-residential buildings</t>
  </si>
  <si>
    <t>LIFE-CYCLE ASSESSMENT; CARBON FOOTPRINT; OUTPUT; GEOPOLYMER; EMISSIONS; CONCRETE</t>
  </si>
  <si>
    <t>Teh, SH; Wiedmann, T; Schinabeck, J; Moore, S</t>
  </si>
  <si>
    <t>Replacement scenarios for construction materials based on economy-wide hybrid LCA</t>
  </si>
  <si>
    <t>As part of the Integrated Carbon Metrics project, which comprehensively quantifies embodied GHG emissions related to the built environment in Australia, this contribution evaluates construction material replacement scenarios at the economy-wide scale. We investigate the potential use of Engineered Wood Products (EWPs) in new building stock to assess the carbon outcomes of a potentially significant shift in the use of construction materials. This becomes increasingly relevant as Australia moves forward with augmenting the National Construction Code to allow the construction of mid-rise buildings utilizing timber. The selection of low-carbon and sustainable building materials is crucial in reducing the built environment's carbon footprint. The main objective of the replacement scenario analysis is to assess the potential reduction in future GHG emissions by replacing the use of reinforced concrete with EWPs. The scenarios include the comparison of mid-rise buildings (10- story) with standard reference buildings (using reinforced concrete) at the national scale. The analysis considers the full cradle-to-gate carbon footprint of construction materials embedded in buildings. Since the scenarios are implemented in an input-output model of the Australian economy, changes in the use of construction materials can also be evaluated with respect to indirect effects on industries involved in the production chain of these materials as well as their respective GHG emissions. (C) 2017 The Authors. Published by Elsevier Ltd.</t>
  </si>
  <si>
    <t>10.1016/j.proeng.2017.04.177</t>
  </si>
  <si>
    <t>% of CLT buildings in the residential "building stock" (total amount of buildings built in a given year)</t>
  </si>
  <si>
    <t>Timber with sequestration</t>
  </si>
  <si>
    <t>Not available</t>
  </si>
  <si>
    <t>Implicit reference scenario for wood = it is not harvested (otherwise, storage in HWP should deduct what would have happened to harvested wood without rise in CLT buildings). Interestingly, the effect on the entire economy of the substitution of concrete by CLT in buildings is much higher (last two lines) than the effect on the sole building sector (sum of lines 1 and 3 or 2 and 4). I'm not sure I understand why. If useful, a "non-zero" BAU can be selected for the first four lines: linear growth of CLT share from 0 to 100% is simulated.</t>
  </si>
  <si>
    <t>% of CLT buildings in the "building stock" (total amount of buildings built in a given year)</t>
  </si>
  <si>
    <t>% of CLT buildings in the commercial "building stock" (total amount of buildings built in a given year)</t>
  </si>
  <si>
    <t>Timber without sequestration</t>
  </si>
  <si>
    <t>INTERNATIONAL JOURNAL OF FOREST ENGINEERING</t>
  </si>
  <si>
    <t>Bioenergy; technological innovations; value chains; sustainability; Renewable Energy Directive targets</t>
  </si>
  <si>
    <t>ENERGY; PRODUCTIVITY; OPERATIONS; HARVEST; FINLAND; STUMPS; FUELS; CHIPS; COST; WOOD</t>
  </si>
  <si>
    <t>Tuomasjukka, D; Martire, S; Lindner, M; Athanassiadis, D; Kuhmaier, M; Tumajer, J; Vis, M; Spinelli, R; Dees, M; Prinz, R; Routa, J; Asikainen, A</t>
  </si>
  <si>
    <t>Sustainability impacts of increased forest biomass feedstock supply - a comparative assessment of technological solutions</t>
  </si>
  <si>
    <t>Sustainably managed forests provide renewable raw material that can be used for primary/secondary conversion products and as biomass for energy generation. The potentially available amounts of timber, which are still lower than annual increments, have been published earlier. Access to this timber can be challenging for small-dimensioned assortments; however, technologically improved value chains can make them accessible while fulfilling economic and environment criteria. This paper evaluates the economic, environmental and social sustainability impacts of making the potentially available timber available with current and technologically improved value chains. This paper focuses on increasing the biomass feedstock supply for energy generation. Quantified impact assessments show which improvements - in terms of costs, employment, fuel and energy use, and reduced greenhouse gas emissions - can be expected if better mechanized machines are provided. Using three different methods - Sustainability Impacts Assessment (SIA), Life Cycle Assessment (LCA), and Emission Saving Criteria (ESC) - we calculated current and innovative machine solutions in terms of fuel use, energy use, and greenhouse gas emissions, to quantify the impact of the technology choice and also the effect of the choice of assessment method. Absolute stand-alone values can be misleading in analyses, and the use of different impact calculation approaches in parallel is clarifying the limits of using LCA-based approaches. The ESC has been discussed for the recast of the Renewable Energy Directive. Potential EU-wide results are presented.</t>
  </si>
  <si>
    <t>Int. J. Forest Eng.</t>
  </si>
  <si>
    <t>10.1080/14942119.2018.1459372</t>
  </si>
  <si>
    <t>Improvement in harvest machinery</t>
  </si>
  <si>
    <t>CEU Thinning with harvester
with MAMA head in CTL
system</t>
  </si>
  <si>
    <t>gCO2/MJ</t>
  </si>
  <si>
    <t>Improvement in chipping machinery</t>
  </si>
  <si>
    <t>Chipping with Hybrid chipper</t>
  </si>
  <si>
    <t>Chipping with Pezzolato chipper</t>
  </si>
  <si>
    <t>Improvement in harvest and chipping machinery</t>
  </si>
  <si>
    <t>Harvesting with combi harvester and chipper</t>
  </si>
  <si>
    <t>LIFE-CYCLE INVENTORY; CARBON SEQUESTRATION; EMISSIONS; SUSTAINABILITY; RESOURCES; OPTIONS; TERMS</t>
  </si>
  <si>
    <t>Ullah, N; Bano, SA; Habiba, U; Sabir, M; Akhtar, A; Ramzan, S; Shoukat, A; Israr, M; Shah, S; Nizami, SM; Hussain, M</t>
  </si>
  <si>
    <t>Environmental impacts, water footprint and cumulative energy demand of match industry in Pakistan</t>
  </si>
  <si>
    <t>A comprehensive life cycle assessment (LCA) was conducted for the matchsticks industry in the Khyber Pakhtunkhwa province of Pakistan to quantify environmental footprint, water footprint, cumulative energy use, and to identify improvement opportunities in the matchsticks manufacturing process. One carton of matchsticks was used as reference unit for this study. Foreground data was collected from the matchsticks industry through questionnaire surveys, personal meetings, and field measurements. The collected data was transformed into potential environmental impacts through the Centre for Environment Studies (CML) 2000 v.2.05 method present by default in the SimaPro v.9.1 software. Water footprint was calculated using methodology developed by Hoekstra et al., 2012 (water scarcity index) V1.02 and cumulative energy demand by SimaPro v.9.1 software. The results showed that transport of primary material (wood logs), sawn wood for matchsticks, red phosphorous, acrylic varnish, and kerosene fuel oil contributed to the overall environmental impacts. Transport of primary materials and sawn timber for matchsticks contributed significantly to abiotic depletion, global warming, eutrophication potential, ozone depletion, corrosion, human toxicity, and aquatic ecotoxicity effects. The total water footprint for manufacturing one carton of matchsticks was 0.265332 m(3), whereas the total cumulative energy demand was 715.860 Mega Joules (MJ), mainly sourced from non-renewable fossil fuels (708.979 MJ). Scenario analysis was also conducted for 20% and 30% reduction in the primary material distance covered by trucks and revealed that reducing direct material transport distances could diminish environmental impacts and energy consumption. Therefore, environmental footprint could be minimized through diverting matchsticks industries freight from indigenous routes to high mobility highways and by promoting industrial forestry close to industrial zones in Pakistan. Many industries did not have emissions control systems, exceeding the permissible limit for emissions established by the National Environmental Quality Standards (NEQS) of Pakistan. Thus, installation of emissions control system could also diminish emissions from match industry in Pakistan.</t>
  </si>
  <si>
    <t>10.1371/journal.pone.0251928</t>
  </si>
  <si>
    <t>Reduction in primary transport (transport of logs)</t>
  </si>
  <si>
    <t>20% reduction</t>
  </si>
  <si>
    <t>kg CO2e</t>
  </si>
  <si>
    <t>Pakistan</t>
  </si>
  <si>
    <t>30% reduction</t>
  </si>
  <si>
    <t>ACTA FACULTATIS XYLOLOGIAE ZVOLEN</t>
  </si>
  <si>
    <t>environmental impact; structural wood; eco-design; life cycle assessment; glulam; plywood; three-layer solid wood panel</t>
  </si>
  <si>
    <t>LIFE-CYCLE; TIMBER; LCA; BENEFITS</t>
  </si>
  <si>
    <t>Vanova, R; Stefko, J</t>
  </si>
  <si>
    <t>ASSESSMENT OF SELECTED TYPES OF THE STRUCTURAL ENGINEERED WOOD PRODUCTION FROM THE ENVIRONMENTAL POINT OF VIEW</t>
  </si>
  <si>
    <t>According to recent findings, the construction industry contributes to almost 40% of global CO2 emissions. Life Cycle Assessment is one of the methods assessing the anthropogenic impact on the environment. This paper compares the production of selected types of structural wood-glued laminated timber (glulam), plywood and three-layer solid wood panel (SWP) in terms of their environmental impact. The results of this analysis are important especially for designers and architects, who can reduce the environmental footprint by choosing materials already in the design phase and thus be part of the building eco-design creation. This direction is becoming increasingly popular in the world and, in addition, it increases market competitiveness. The selected structural wood products were compared using the IMPACT 2002+ method and SimaPro 8.5.2 software was used for the assessment. Characterization and single score results were assessed. Glulam for indoor use achieved the lowest total environmental impact. On the other side, plywood for outdoor use was found the worst one of the assessed products. The two most affected impact category for all evaluated wood products was the impact on Human health and Ecosystem quality, respectively. Generally, plywood products present a considerable environmental burden, therefore it could be replaced by SWP. The study also showed the importance of production technology in the environmental context.</t>
  </si>
  <si>
    <t>Acta Fac.Xylol. Zvolen</t>
  </si>
  <si>
    <t>10.17423/afx.2021.63.2.10</t>
  </si>
  <si>
    <t>Type of board manufacturing technique</t>
  </si>
  <si>
    <t>Softwood board planned and undried</t>
  </si>
  <si>
    <t>Softwood board unplanned and dried</t>
  </si>
  <si>
    <t>kg CO2e m-3 of product</t>
  </si>
  <si>
    <t>Type of engineered wood</t>
  </si>
  <si>
    <t>Glulam, indoor use</t>
  </si>
  <si>
    <t>SWP</t>
  </si>
  <si>
    <t>Glulam, outdoor use</t>
  </si>
  <si>
    <t>Species type (softwood vs hardwood) for veneer</t>
  </si>
  <si>
    <t>Hardwood veneer</t>
  </si>
  <si>
    <t>Softwood veneer</t>
  </si>
  <si>
    <t>Plywood, indoor use</t>
  </si>
  <si>
    <t>Plywood, outdoor use</t>
  </si>
  <si>
    <t>BIORESOURCES</t>
  </si>
  <si>
    <t>Solid wood bed; Dijkstra algorithms; Greenhouse gas; Sawn timber; Laminated timber</t>
  </si>
  <si>
    <t>LIFE-CYCLE ASSESSMENT; SUSTAINABILITY; DESIGN; FORMULATION; PRODUCTS; EMISSION; IMPACT; COST</t>
  </si>
  <si>
    <t>Wang, H; Wu, JZ; Chen, ZL</t>
  </si>
  <si>
    <t>Carbon Footprint Accounting and Low-Carbon Path Optimization for Imported Timber-based Wooden Furniture Supply Chains</t>
  </si>
  <si>
    <t>Using an imported timber-based solid wood box bed (2000 mm x 1800 mm) as the functional unit, the ILCD 2011 midpoint assessment method was used to measure the life cycle carbon emissions of the product. Using this assessment, the Dijkstra algorithm was adopted to determine the shortest supply chain path and to obtain the minimum carbon footprint of the supply chain. Results showed that the total carbon footprint of the wood bed was 464 kg for the control case. For experimental cases, the carbon footprint ranged from 456 kg to 517 kg CO2-eq. The upstream process was identified as the primary contributor to the carbon footprint, accounting for 74.6% to 80.7% of the total carbon footprint, followed by the downstream and the core-stream processes. Configuration of a timber harvesting system with lower fuel consumption, purchasing timber from areas within shorter transportation distance, and reducing the proportion of incineration for waste treatment were feasible solutions to reduce the carbon footprint of the product. A case study optimizing the low-carbon path for the wooden furniture supply chain determined the shortest path for the participants in each link, such that the minimum total carbon footprint of the supply chain was 463 kg CO2-eq.</t>
  </si>
  <si>
    <t>BioResources</t>
  </si>
  <si>
    <t>10.15376/biores.16.4.6870-6890</t>
  </si>
  <si>
    <t>waste treatment</t>
  </si>
  <si>
    <t>90% incineration/10% landfill</t>
  </si>
  <si>
    <t>60% incineration/40% landfill</t>
  </si>
  <si>
    <t>volume of timber consumed</t>
  </si>
  <si>
    <t>text p6875</t>
  </si>
  <si>
    <t>fig4d</t>
  </si>
  <si>
    <t>S5</t>
  </si>
  <si>
    <t>text p6882</t>
  </si>
  <si>
    <t>domestic transportation distance</t>
  </si>
  <si>
    <t>400km</t>
  </si>
  <si>
    <t>800km</t>
  </si>
  <si>
    <t>origins of imported timber</t>
  </si>
  <si>
    <t>PROCEEDINGS OF THE INSTITUTION OF CIVIL ENGINEERS-ENERGY</t>
  </si>
  <si>
    <t>energy; environment; waste management &amp; disposal</t>
  </si>
  <si>
    <t>WOOD</t>
  </si>
  <si>
    <t>Weight, DH</t>
  </si>
  <si>
    <t>Embodied through-life carbon dioxide equivalent assessment for timber products</t>
  </si>
  <si>
    <t>This study illustrates the relative importance of embodied energy to buildings and summarises the broad merits of various material types. It then focuses on timber, being the most abundant bio-renewable material used. An audit is carried out on carbon flows from forest to end of life for timber products, initially based on the assumption that the timber will be disposed of to landfill at the end of life, and then considering alternative scenarios. The author challenges a common view that, when landfilled, nearly all the embodied carbon dioxide will be eventually released by rotting and that carbon dioxide sequestration should therefore be excluded. Two opposing arguments are given. Firstly, when landfilled, only a relatively small percentage of the embodied carbon will be released by rotting. Secondly, it is very probable that in the future most waste wood, rather than being landfilled, will be used as fuel, when it will displace some fossil fuel that would otherwise have been used. The study includes a sensitivity analysis of carbon dioxide equivalent emissions per final kilogramme of product and provides a summary of six scenarios, covering manufacturing complexity, various end-of-life scenarios and, most importantly, the provenance of the timber and the effect of sustainable forest management. A further sensitivity study is carried out for all scenarios on different levels of economic allocation and fossil fuel displacement.</t>
  </si>
  <si>
    <t>Proc. Inst. Civ. Eng.-Energy</t>
  </si>
  <si>
    <t>10.1680/ener.2011.164.4.167</t>
  </si>
  <si>
    <t>Type of timber product (raw sawn structural timber vs highly engineered wooden windows)</t>
  </si>
  <si>
    <t>Scenario C: structural timber (EoL = incineration for electricity)</t>
  </si>
  <si>
    <t>Scenario E: highly engineered wooden windows (EoL = incineration for electricity)</t>
  </si>
  <si>
    <t>kgCO2e m-3 of dry harvested timber wood</t>
  </si>
  <si>
    <t>Surprising functional unit (m3 of dry harvested timber wood, followed by economic allocation of impacts between timber and co-products, the reported impact being that of timber). Scenario F Excluded: the deforestation scenario double counts emissions from wood (once when deforestation occurs and a second time at the EoL of wood products whereas the reference scenario counts them only once, and counts storage as the cleared forest stand is assumed to regrow</t>
  </si>
  <si>
    <t>End of life (landfill vs methane capture and burning for electricity)</t>
  </si>
  <si>
    <t>Scenario A: uncovered landfill</t>
  </si>
  <si>
    <t>Scenario B: landfill with methane capture and burning for electricity</t>
  </si>
  <si>
    <t>okAV</t>
  </si>
  <si>
    <t>End of life (landfill vs incineration for electricity)</t>
  </si>
  <si>
    <t>Scenario C: incineration for electricity</t>
  </si>
  <si>
    <t>End of life (landfill vs incineration for CHP)</t>
  </si>
  <si>
    <t>Scenario D: incineration for CHP</t>
  </si>
  <si>
    <t>carbon dioxide (CO2) emissions; greenhouse gas (GHG) emissions; harvested wood products (HWPs); industrial ecology; power grid; wastepaper recycling</t>
  </si>
  <si>
    <t>LIFE-CYCLE ASSESSMENT; TECHNOLOGY</t>
  </si>
  <si>
    <t>Wells, JR; Boucher, JF; Laurent, AB; Villeneuve, C</t>
  </si>
  <si>
    <t>Carbon Footprint Assessment of a Paperback Book Can Planned Integration of Deinked Market Pulp be Detrimental to Climate?</t>
  </si>
  <si>
    <t>This study presents the carbon footprint of a paperback book for which the cover and inside papers were produced in the United States and printed in Canada. The choice of paper mills for both cover and page papers was based on criteria such as percentage of recycled content in the pulp mix, transport distances (pulp mill to paper mill, paper mill to print), and technologies. The cradle-to-gate assessment of greenhouse gas (GHG) emissions follows recognized guidelines for carbon footprint assessment. The results show that the production of 400,000 books, mainly distributed in North America, would generate 1,084 tonnes carbon dioxide equivalent (CO2-eq), or 2.71 kilograms (kg) CO2-eq per book. The impact of using deinked market pulp (DMP) is shown here to be detrimental, accounting for 54% of total GHG emissions and being 32% higher than reference virgin Kraft pulp. This supports findings that DMP mill GHG emissions strongly correlate with the carbon intensity of the power grid supplying the pulp mill and that virgin Kraft mills that reuse wood residue and black liquor to produce heat and electricity can achieve lower GHG emissions per tonne of pulp produced. Although contrary to common thinking, this is consistent with the Paper Task Force 2002 conclusion for office paper (the closest paper grade to writing paper or fine paper) (EDF 2002a). To get a cradle-to-grave perspective, three different end-of-life (EOL) scenarios were analyzed, all of which included a harvested wood product (HWP) carbon storage benefit for 25 years. The GHG offset concept within the context of the book editor's carbon-neutral paper claims is also discussed.</t>
  </si>
  <si>
    <t>10.1111/j.1530-9290.2011.00414.x</t>
  </si>
  <si>
    <t>Share of recycled books</t>
  </si>
  <si>
    <t>EOL-A: 100% landfill</t>
  </si>
  <si>
    <t>EOL-B: 100% recycling</t>
  </si>
  <si>
    <t>kgCO2e per book</t>
  </si>
  <si>
    <t>There are also four other scenarios compared, involving virgin pulp, but it's difficult to understand what are the scenarios and how the results add up to something comparable.</t>
  </si>
  <si>
    <t>EOL-C: 50% recycling, 50% landfill</t>
  </si>
  <si>
    <t>FRONTIERS IN ENVIRONMENTAL SCIENCE</t>
  </si>
  <si>
    <t>climate change mitigation; harvested wood products; production approach; recovered paper; IPCC; carbon stock</t>
  </si>
  <si>
    <t>BUDGET; FORESTS; CYCLE; SEQUESTRATION; CONSEQUENCES; CONSTRUCTION; STORAGE; MODELS; SECTOR; SINK</t>
  </si>
  <si>
    <t>Yu, ZH; Zhang, H; Tu, QS; Yang, HQ</t>
  </si>
  <si>
    <t>Methodological Comparison of the Production Approach 2013 and 2019 for Quantifying the Carbon Stock in Harvested Wood Products in China</t>
  </si>
  <si>
    <t>Harvested wood products (HWP) play an important role in global climate change mitigation. The Production Approach, an internationally accepted HWP carbon accounting approach by the Intergovernmental Panel on Climate Change (IPCC), has been revised several times to enhance the accuracy of the accounting results. This study compared the methodological differences in the Production Approach elaborated in the 2013 Revised Supplementary Methods and Good Practice Guidance Arising from the Kyoto Protocol (PA2013) and 2019 Refinement to the 2006 IPCC Guidelines for National Greenhouse Gas Inventories (PA2019). We used PA2019 to calculate the HWP carbon stock in China under different wood utilization scenarios. In terms of recycling and reusing of recovered paper, we found that PA2019 has a more accurate representation of the increasing proportion of paper and paperboard materials produced using recovered paper in the world. In 2019, the HWP carbon stock in China was 815.94 Mt (1 Mt = 10(6) t) using PA2019. In detail, the carbon stock of sawnwood, wood-based panels, and paper and paperboard were 208.52 Mt, 559.73 Mt, and 47.69 Mt, respectively. Scenario simulation results show that half-life was an important factor that affecting HWP carbon stock. China can improve HWP carbon stock by increasing the recovered paper utilization rate for paper products or increasing the utilization rate of HWP with long half-life in construction (structural material). The additional carbon stock obtained by changing the utilization structure of wood and improve the half-life of HWP will not be large until decades later but nonetheless important.</t>
  </si>
  <si>
    <t>Front. Environ. Sci.</t>
  </si>
  <si>
    <t>10.3389/fenvs.2022.758857</t>
  </si>
  <si>
    <t>scenario of wood utilization</t>
  </si>
  <si>
    <t>bau</t>
  </si>
  <si>
    <t>Clinker; Greenhouse gas; Landfill; Life cycle assessment; Low carbon fuel</t>
  </si>
  <si>
    <t>ENVIRONMENTAL ASSESSMENT; ALTERNATIVE FUELS; LCA; ENERGY; TOOL</t>
  </si>
  <si>
    <t>Zhang, LH; Mabee, WE</t>
  </si>
  <si>
    <t>Comparative study on the life-cycle greenhouse gas emissions of the utilization of potential low carbon fuels for the cement industry</t>
  </si>
  <si>
    <t>A life cycle assessment (LCA) model has been developed to evaluate the greenhouse gas (GHG) emissions associated with the use of alternative fuels in the production of clinker, an intermediate product in the manufacture of cement, and to confirm the categorization of these alternatives as low carbon fuels (LCFs) compared to the conventional use of fossil fuels. This model has included all GHG emission sources associated with clinker production, such as the kiln process, production and transportation of raw materials and fuels, and electricity production. Four potential LCFs are investigated including construction and demolition (C&amp;D) wood waste, asphalt shingles, railway ties, and plastics. At the case study plant (Lafarge Cement in Bath, Ontario), the model estimates that the production of 1 metric tonne (t) of clinker produces a total of 971.4 kg of carbon dioxide equivalents (including all GHGs from fuels and raw materials), of which 388.6 kg CO2-e are associated with combustion of fossil fuels at a mixture of 99 wt% petroleum coke and 1 wt% coal. Emissions are decreased to 582.6 kg CO2-eit clinker (a 40% reduction) when 100% fossil fuels are replaced with C&amp;D wood waste, in which all carbon is from biogenic sources. If the volume of C&amp;D waste required to fuel 100% of cement plant operation were to be diverted from a typical landfill (with no flaring or energy recovery), emissions equivalent to 488.6 kg of CO2-eit clinker would be avoided. Using 100% C&amp;D waste, the reduced emissions in energy production coupled with avoided emissions at the landfill would effectively reduce total emissions at the plant by more than 90% compared to the baseline emissions associated with fossil fuel use. All four of the alternative fuels examined with the model provided significant GHG emission reductions at higher substitution rates, confirming their characterization as LCFs, and suggesting that the use of LCFs in cement manufacture can be effective in reducing emissions associated with global warming. Since the LCA model is able to predict the global warming potential (GWP) for any potential LCFs at any substitution ratios, it may be used as a pre-screening tool for the selection of future LCFs for the cement and other carbon-intensive industries, facilitating increased LCF usage and hence contributing to GHG reductions across the cement sector. (C) 2016 Elsevier Ltd. All rights reserved.</t>
  </si>
  <si>
    <t>10.1016/j.jclepro.2016.02.019</t>
  </si>
  <si>
    <t>Recycling wood from building demolition as fuel for clinker production instead of landfilling with methane flaring</t>
  </si>
  <si>
    <t>C&amp;D wood waste</t>
  </si>
  <si>
    <t>kgCO2e/t clinker</t>
  </si>
  <si>
    <t>One could probably deduct the amount of wood based on the amount of landfill methane but it is not a straightforward estimate and there is no way in the article to check the order of magnitude of the result.</t>
  </si>
  <si>
    <t>Recycling wood from building demolition as fuel for clinker production instead of landfilling with methane capture and burning for electricity</t>
  </si>
  <si>
    <t>Recycling wood from railway ties as fuel for clinker production instead of landfilling with methane flaring</t>
  </si>
  <si>
    <t>Recycling wood from railway ties as fuel for clinker production instead of landfilling with methane capture and burning for electricity</t>
  </si>
  <si>
    <t>Recycling wood from building demolition as fuel for clinker production instead of landfilling</t>
  </si>
  <si>
    <t>Recycling wood from railway ties as fuel for clinker production instead of landfilling</t>
  </si>
  <si>
    <t>FRESENIUS ENVIRONMENTAL BULLETIN</t>
  </si>
  <si>
    <t>Timber production; Operation models; GHG emissions; Life cycle assessment; Emission reduction; Energy consumption</t>
  </si>
  <si>
    <t>CARBON FOOTPRINT; ENERGY-CONSUMPTION; TEMPERATURE-DEPENDENCE; FOREST; ELECTRICITY; NETWORK; SEQUESTRATION; DYNAMICS; MIGRANTS; INDUSTRY</t>
  </si>
  <si>
    <t>Zhou, Y; Zheng, LF; Zhou, XN; Hu, XS; Wu, ZL; Zhou, CJ; Li, D</t>
  </si>
  <si>
    <t>GREENHOUSE GAS (GHG) EMISSIONS AND THE OPTIMUM OPERATION MODEL OF TIMBER PRODUCTION SYSTEMS IN SOUTHERN CHINA</t>
  </si>
  <si>
    <t>Deforestation as an activity of forest management is an intermediate link in timber production. Different models of timber production make a difference in GHG emissions and to a certain extent affect the sustainable development of the ecological environment. Accordingly, due to global climate change, energy conservation and emission reduction have become critical issues concerning all humans. This paper taking the operating systems of timber production in the southern China, as a case study, and GHG emissions and the optimum operation model of timber production are analysed with the B2B model of life cycle assessment (LCA) and the current forest industry standard. The results indicate that the total emissions of GHG range between 11.600 9 kg/m(3) and 15.303 6 kg/m(3), accounting for approximately 4.5 percent to 5.5 percent of their carbon sequestration abilities. Direct GHG emissions generated by fuel consumption during harvesting, skidding, loading, transportation and production are the primary emissions, accounting for approximately 69.1 percent to 91.5 percent of the total emissions. Moreover, the emission of every type of GHG is lowest under model IV (which included chainsaw cutting, cableway skidding, winch loading, diesel vehicle transportation and vehicle transmission). From the perspective of ecology, therefore, model IV is the optimal operation model. On the other hand, the emission from timber transportation is highest, accounting for approximately 61.5 percent to 72.3 percent. Therefore, appropriate operation models should be choose according to the mechanical production and management, production tasks and scales, foundations of forest mechanization and economic conditions. In terms of carbon reduction, improvement of the mechanical equipment efficiency, operation skills and utilization of new energy resources should be considered.</t>
  </si>
  <si>
    <t>Fresenius Environ. Bull.</t>
  </si>
  <si>
    <t>Zhou_2015_no_DOI</t>
  </si>
  <si>
    <t>Transport vehicle efficiency</t>
  </si>
  <si>
    <t>kgCO2/m3 of harvestable wood</t>
  </si>
  <si>
    <t>Skidding technology</t>
  </si>
  <si>
    <t>Skidding technology &amp; transport vehicle efficiency</t>
  </si>
  <si>
    <t>no delta wood</t>
  </si>
  <si>
    <t>ecosystem services; biodiversity; wood production; carbon sequestration; forest management; sustainability; simulation; Europe</t>
  </si>
  <si>
    <t>ECOSYSTEM SERVICES; CLIMATE-CHANGE; TREE MORTALITY; MANAGEMENT; IMPACTS; MONOCULTURES; STRATEGIES; DIVERSITY; CONFLICTS; DROUGHT</t>
  </si>
  <si>
    <t>Biber, P; Felton, A; Nieuwenhuis, M; Lindbladh, M; Black, K; Bahyl, J; Bingol, O; Borges, JG; Botequim, B; Brukas, V; Bugalho, MN; Corradini, G; Eriksson, LO; Forsell, N; Hengeveld, GM; Hoogstra-Klein, MA; Kadiogullari, AI; Karahalil, U; Lodin, I; Lundholm, A; Makrickiene, E; Masiero, M; Mozgeris, G; Pivoriunas, N; Poschenrieder, W; Pretzsch, H; Sedmak, R; Tucek, J</t>
  </si>
  <si>
    <t>Forest Biodiversity, Carbon Sequestration, and Wood Production: Modeling Synergies and Trade-Offs for Ten Forest Landscapes Across Europe</t>
  </si>
  <si>
    <t>Europe&amp;apos;s forests provide vital habitat for biodiversity and essential ecosystem services whose provision must be sustained or enhanced over the coming century. However, the potential to secure or increase forest ecosystem services, while securing the habitat requirements of taxa remains unclear, especially within the context of uncertain climate and socio-economic developments. To tease out the associated trade-offs and synergies, we used 10 case study landscapes within nine countries throughout Europe. Starting with the current status of the forests in the case study landscapes, we simulated forest development 100 years into the future. Simulations were embedded in three combined climate and socio-economic frame scenarios based on global and European policies which varied in their climate change mitigation efficiency. Scenarios were translated into country specific projections of climate variables, and resultant demands for wood products. Forest management regimes were projected to vary in response to these scenarios at local scales. The specific combinations of alternative forest management practices were based on parallel research and input from local forest stakeholders. For each case study, a specific forest growth simulator was used. In general, the climate scenarios applied did not cause fundamentally different ecosystem service outputs at the case study level. Our results revealed almost no reduction in outcomes for biodiversity indicators with an increase in wood production, and in some cases synergistic results occurred when diversity was actively promoted as part of the management concept. Net carbon uptake was not strongly correlated with biodiversity, indicating that biodiversity-friendly forest management doesn&amp;apos;t need to curtail carbon sequestration. Notably, we obtained heterogeneous results for the relation between sustainable wood production and net carbon uptake. Most scenarios resulted in a more or less reduced net carbon uptake over the long term, often due to stand age class distribution shifts. Levels of sustainable wood production varied widely during the simulation period, from significant increases (Sweden, Lithuania) to minor changes (Slovakia, Turkey) and slight decreases (Ireland, Netherlands). We place our results within the larger context of European forest policy and the challenges of simulating and contrasting forest biodiversity and the ecosystem services that societies depend on.</t>
  </si>
  <si>
    <t>10.3389/fevo.2020.547696</t>
  </si>
  <si>
    <t>changed_to_C_output_cannot_be_cumulated</t>
  </si>
  <si>
    <t>bioenergy; climate impact; forest biomass; forest management; radiative forcing; substitution</t>
  </si>
  <si>
    <t>ENERGY WOOD PRODUCTION; CARBON NEUTRALITY; NORWAY SPRUCE; BIOENERGY; EMISSIONS; TIMBER; RESIDUES; FINLAND; STAND; DEBT</t>
  </si>
  <si>
    <t>Kilpelainen, A; Torssonen, P; Strandman, H; Kellomaki, S; Asikainen, A; Peltola, H</t>
  </si>
  <si>
    <t>Net climate impacts of forest biomass production and utilization in managed boreal forests</t>
  </si>
  <si>
    <t>In this work, we studied the potentials offered by managed boreal forests and forestry to mitigate the climate change using forest-based materials and energy in substituting fossil-based materials (concrete and plastic) and energy (coal and oil). For this purpose, we calculated the net climate impacts (radiative forcing) of forest biomass production and utilization in the managed Finnish boreal forests (60 degrees-70 degrees N) over a 90-year period based on integrated use forest ecosystem model simulations (on carbon sequestration and biomass production of forests) and life-cycle assessment (LCA) tool. When studying the effects of management on the radiative forcing in a system integrating the carbon sink/sources dynamics in both biosystem and technosystem, the current forest management (baseline management) was used a reference management. Our results showed that the use of forest-based materials and energy in substituting fossil-based materials and energy would provide an effective option for mitigating climate change. The negative climate impacts could be further decreased by maintaining forest stocking higher over the rotation compared to the baseline management and by harvesting stumps and coarse roots in addition to logging residues in the final felling. However, the climate impacts varied substantially over time depending on the prevailing forest structure and biomass assortment (timber, energy biomass) used in substitution.</t>
  </si>
  <si>
    <t>10.1111/gcbb.12243</t>
  </si>
  <si>
    <t>Biogenic carbon; Climate change mitigation; Time-dynamic LCA; Transport sector; Partial-equilibrium model</t>
  </si>
  <si>
    <t>LIFE-CYCLE ASSESSMENT; BIOMASS SUPPLY CHAINS; IMPACT ASSESSMENT; CLIMATE IMPACTS; SYSTEM BOUNDARIES; BIOENERGY SYSTEMS; TEMPORARY-STORAGE; CONSEQUENTIAL LCA; FOREST RESIDUES; KEY ISSUES</t>
  </si>
  <si>
    <t>Albers, A; Collet, P; Lorne, D; Benoist, A; Helias, A</t>
  </si>
  <si>
    <t>Coupling partial-equilibrium and dynamic biogenic carbon models to assess future transport scenarios in France</t>
  </si>
  <si>
    <t>Bioenergy systems are promoted in an effort to mitigate climate change, and policies are defined accordingly to be implemented in the coming decades. Life Cycle Assessment (LCA) is used to assess the environmental performance of bioenergy systems, yet subject to the limitations of static approaches. In classical LCA, no temporal differentiation is undertaken: all inventoried instant to long-term greenhouse gases emissions (GHG) are aggregated and characterised in the same way, over a fixed time horizon, by means of fixed characterisation factors. Positive and negative impact contributions of dynamic biogenic carbon (C-bio) sum up to zero, yielding the same result as carbon neutral estimates. Climate mitigation results are biased without the temporal consideration of these flows. The purpose of the study is to highlight the time-sensitive potential climatic consequences of policy-driven transport strategies for metropolitan France, in the specific context of the dynamic LCA framework and climate change mitigation. We therefore propose a dynamic approach coupling a partial equilibrium model (PEM) with dynamic C-bio models. The PEM analyses in detail the techno-economic performance of the metropolitan French energy-transport sector. It explores prospective optimization options (supply demand equilibrium) of emerging commodity and energy process pathways in response to a policy in question. The C-bio model generates dynamic inventories of the C-bio embedded in the primary renewable biomass outputs of the PEM. It captures the dynamic C-bio exchange flows between the atmosphere and the technosphere over time: negative emissions from fixation (sequestration) and positive emissions from release (e.g. combustion or decay). A dynamic impact method is applied to evaluate the mitigation effects of C-bio from forest wood residues by comparing the climate change impacts from complete carbon (fossil + biogenic) with carbon neutral inventories across scenarios. Two sets of results are computed concerning the overall transport (all emissions) and bioethanol (wood-to-fuel emissions) systems. The mitigation effect from long-term historic sequestration allocated to bioethanol (462%) is significantly larger than for transport (3%), expressed as the difference with carbon neutral estimates. The fossil-sourced emissions from bioethanol production represents only 5.4%. In contrast, a comparison with an alternative reference scenario involving wood decay demonstrated higher impacts (i.e. an increase of 316%) than carbon neutral estimates. The representation of the actual climatic consequences depends on the chosen fixed end-year of the dynamic impact assessment. Moreover, the mitigation effect is proven sensitive to the rotation length of forestry wood: the shorter the length the lower the mitigation from using renewable forest resources. Other energy-policy scenarios, C-bio modelling approaches and consequences of indirect effects should be further studied and contrasted.</t>
  </si>
  <si>
    <t>10.1016/j.apenergy.2019.01.186</t>
  </si>
  <si>
    <t>The "unharvested" forest compartment of the BAU scenario is not accounted. A sensitivity analysis on rotation length could possibly be exploited, but it is not the core of the article and there is little detail about it (amount of harvested wood, …).</t>
  </si>
  <si>
    <t>whole building; cross-laminated timber (CLT); environmental impacts; embodied carbon; cradle-to-grave</t>
  </si>
  <si>
    <t>WOOD; SUBSTITUTION; CONSTRUCTION; LCA</t>
  </si>
  <si>
    <t>Chen, ZJ; Gu, HM; Bergman, RD; Liang, SB</t>
  </si>
  <si>
    <t>Comparative Life-Cycle Assessment of a High-Rise Mass Timber Building with an Equivalent Reinforced Concrete Alternative Using the Athena Impact Estimator for Buildings</t>
  </si>
  <si>
    <t>Buildings consume large amounts of materials and energy, making them one of the highest environmental impactors. Quantifying the impact of building materials can be critical to developing an effective greenhouse gas mitigation strategy. Using Athena Impact Estimator for Buildings (IE4B), this paper compares cradle-to-grave life-cycle assessment (LCA) results for a 12-story building constructed from cross-laminated timber (CLT) and a functionally equivalent reinforced concrete (RC) building. Following EN 15978 framework, environmental impacts for stages A1-A5 (product to construction), B2, B4, and B6 (use), C1-C4 (end of life), and D (beyond the building life) were evaluated in detail along resource efficiency. For material resource efficiency, total mass of the CLT building was 33.2% less than the alternative RC building. For modules A to C and not considering operational energy use (B6), LCA results show a 20.6% reduction in embodied carbon achieved for the CLT building, compared to the RC building. For modules A to D and not considering B6, the embodied carbon assessment revealed that for the CLT building, 6.57 x 10(5) kg CO2 eq was emitted, whereas for the equivalent RC building, 2.16 x 10(6) kg CO2 eq was emitted, and emissions from CLT building was 70% lower than that from RC building. Additionally, 1.84 x 10(6) kg of CO2 eq was stored in the wood material used in the CLT building during its lifetime. Building material selection should be considered for the urgent need to reduce global climate change impacts.</t>
  </si>
  <si>
    <t>10.3390/su12114709</t>
  </si>
  <si>
    <t xml:space="preserve"> actually live biomass C is only accounted for in the alternative system (regrowth) but not in the reference system (no accounting of loss in growth from harvest)</t>
  </si>
  <si>
    <t>IFOREST-BIOGEOSCIENCES AND FORESTRY</t>
  </si>
  <si>
    <t>Bioenergy policy; Carbon sinks; Disposed thinned wood; Thinning; Woody biomass</t>
  </si>
  <si>
    <t>BIOMASS; ENERGY</t>
  </si>
  <si>
    <t>Etoh, H; Sasaki, N; Chay, S; Ninomiya, H</t>
  </si>
  <si>
    <t>Carbon emission reduction potentials through thinned wood in Japan</t>
  </si>
  <si>
    <t>Substituting fossil fuel with woody biomass for bioelectricity production has great potentials for carbon emission reductions while increasing forest productivity to increase carbon sequestration and improve ecological functionalities. Until recently, study on such potentials was very limited. Beginning in 2007, Japan's special budgets were allocated for a 6-year intensive thinning on about 3.3 million ha of young stands for increasing carbon sinks in Japanese forests to meet the capped amount of 47.7 Tg CO2 year(-1) allowed under the Marrakesh Accord. Because of only 30% of the thinned wood were used for sawntimber, CO2 and CH4 must have been emitted from the disposed thinned wood and wood waste. Such emissions and reduction potentials need to be assessed to provide future alternatives for climate change mitigation. We assessed carbon emission reduction potentials when woody biomass from thinned wood is fully utilized for bioelectricity production as compared with the generation of the same amount of energy produced under coal, oil, and natural gas scenarios. Our analytical results show that if all disposed thinned wood and wood waste are utilized to generate energy, about 62.6, 58.3, and 37.8 Tg CO2 year-1 could be prevented from emitting depending on emission scenarios or about 33.2, 30.9, and 20.0% of Japan's reduction commitment to the Kyoto Protocol. On the other hand, if thinned wood and wood waste are not utilized, about 13.4 Tg CO2 year(-1) would be released due to thinning. Our results suggest that incentives to reducing emission reductions in forest sector in the future climate change mitigation agreements will likely lead to large emission reductions, otherwise leakages due to thinning are unavoidable.</t>
  </si>
  <si>
    <t>iForest</t>
  </si>
  <si>
    <t>10.3832/ifor0574-004</t>
  </si>
  <si>
    <t>disagree: losses from the forest compartments are clearly ignored, but they are equally ignored in the 3 scenarios (coal, gas, oil), as in many "LCA" papers</t>
  </si>
  <si>
    <t>Engineered wood products; Policy drivers; Scenario modelling; Potential GHG emission savings</t>
  </si>
  <si>
    <t>OPPORTUNITIES; INNOVATION; GERMANY</t>
  </si>
  <si>
    <t>Hildebrandt, J; Hagemann, N; Thran, D</t>
  </si>
  <si>
    <t>The contribution of wood-based construction materials for leveraging a low carbon building sector in europe</t>
  </si>
  <si>
    <t>Increasing the use of engineered wood products in the European Union can contribute to leveraging a shift towards a more emission-efficient production of construction materials. Engineered timber products have already been substituted for carbon and energy intensive concrete and steel-based building constructions, but they still lack the capacities and market demand to be more than just a niche market. However, in the post-crisis period after 2008 the consumption of engineered wood products began rising in Europe. In this paper we analyse options for the future development of engineered wood products taking into consideration policy barriers and technical and environmental potentials for accelerating market introduction as part of a comprehensive scenario approach. For the European building sector we assessed an achievable potential for net carbon storage of about 46 million tonnes CO2-eqv. per year in 2030. To unlock this potential a bundle of instruments is necessary for increasing the market share for engineered wood products against the backdrop of existing policy instruments such as the gradual introduction of stricter rules for carbon emissions trading or more incentives for the voluntary use of innovative wood construction materials.</t>
  </si>
  <si>
    <t>10.1016/j.scs.2017.06.013</t>
  </si>
  <si>
    <t>Two scenarios are compared but only emissions and storage from wood materials are accounted for, which results in different perimeters for the two scenarios (the scenario with less wood misses emissions from alternative materials).</t>
  </si>
  <si>
    <t>changed_to_different_perimeters</t>
  </si>
  <si>
    <t>ECOSYSTEM SERVICES</t>
  </si>
  <si>
    <t>Scenario analysis; Land-use and cover change; Raral landscape; Ecosystem service trade-offs</t>
  </si>
  <si>
    <t>IMPACT; PHILIPPINES; SYSTEMS; FUTURE; MODELS</t>
  </si>
  <si>
    <t>Shoyama, K; Yamagata, Y</t>
  </si>
  <si>
    <t>Predicting land-use change for biodiversity conservation and climate-change mitigation and its effect on ecosystem services in a watershed in Japan</t>
  </si>
  <si>
    <t>Potential conflicts between biodiversity conservation and climate-change mitigation can result in trade-offs in multiple-use land management. This study aimed to detect possible changes in land-use patterns in response to biodiversity conservation and climate-change mitigation measures and the effects on ecosystem services across a watershed. We analyzed land-cover change based on past and future scenarios in the rural Kushiro watershed in northern japan. The analysis showed that if no conservation measures were implemented and the timber and agricultural industry remained small until 2060, supporting and provisioning services would decline due to less land management. Although biodiversity conservation measures are predicted to improve three of the ecosystem services that we studied, carbon sequestration and timber production would be improved to a greater degree by climate-change mitigation measures. The greatest land-cover changes are likely to occur in the unprotected area around the middle reaches of the Kushiro River, and such changes could affect the provision of ecosystem services throughout the entire watershed. Thus, our findings indicate that landuse decisions for the middle reaches of the watershed are particularly important for managing the integrated ecosystem services of the entire watershed for the future. (C) 2014 Elsevier B.V. All rights reserved.</t>
  </si>
  <si>
    <t>Ecosyst. Serv.</t>
  </si>
  <si>
    <t>10.1016/j.ecoser.2014.02.004</t>
  </si>
  <si>
    <t xml:space="preserve">No details on where the C andharvest data come from. Exclude </t>
  </si>
  <si>
    <t>timber; harvest residues; ethanol; GHG savings; Michigan</t>
  </si>
  <si>
    <t>WOODY BIOMASS; ETHANOL-PRODUCTION; UNITED-STATES; ENERGY; MICHIGAN; RESOURCES; BIOENERGY; USA; PERSPECTIVES; EMISSIONS</t>
  </si>
  <si>
    <t>Zhang, FL; Johnson, DM; Wang, JJ; Liu, SH; Zhang, SM</t>
  </si>
  <si>
    <t>Measuring the Regional Availability of Forest Biomass for Biofuels and the Potential of GHG Reduction</t>
  </si>
  <si>
    <t>Forest biomass is an important resource for producing bioenergy and reducing greenhouse gas (GHG) emissions. The State of Michigan in the United States (U.S.) is one region recognized for its high potential of supplying forest biomass; however, the long-term availability of timber harvests and the associated harvest residues from this area has not been fully explored. In this study time trend analyses was employed for long term timber assessment and developed mathematical models for harvest residue estimation, as well as the implications of use for ethanol. The GHG savings potential of ethanol over gasoline was also modeled. The methods were applied in Michigan under scenarios of different harvest solutions, harvest types, transportation distances, conversion technologies, and higher heating values over a 50-year period. Our results indicate that the study region has the potential to supply 0.75-1.4 Megatonnes (Mt) dry timber annually and less than 0.05 Mt of dry residue produced from these harvests. This amount of forest biomass could generate 0.15-1.01 Mt of ethanol, which contains 0.68-17.32 GJ of energy. The substitution of ethanol for gasoline as transportation fuel has potential to reduce emissions by 0.043-1.09 Mt CO2eq annually. The developed method is generalizable in other similar regions of different countries for bioenergy related analyses.</t>
  </si>
  <si>
    <t>10.3390/en11010198</t>
  </si>
  <si>
    <t>Surprisingly large difference between technologies. Article looks more like a coarse draft than like a peer-reviewed article. Journal published by MDPI: beware!!!</t>
  </si>
  <si>
    <t>ENVIRONMENTAL IMPACT ASSESSMENT REVIEW</t>
  </si>
  <si>
    <t>Forest carbon; Land use change; Land use modification; Product carbon footprint protocols; Biogenic carbon; Wood life cycle inventories</t>
  </si>
  <si>
    <t>LIFE-CYCLE ASSESSMENT; OLD-GROWTH FORESTS; LAND-USE CHANGE; WOOD PRODUCTS; NET FLUX; STORAGE; MANAGEMENT; EMISSIONS; BIOMASS; MODEL</t>
  </si>
  <si>
    <t>Accounting for forest carbon pool dynamics in product carbon footprints: Challenges and opportunities</t>
  </si>
  <si>
    <t>Modification and loss of forests due to natural and anthropogenic disturbance contribute an estimated 20% of annual greenhouse gas (GHG) emissions worldwide. Although forest carbon pool modeling rarely suggests a 'carbon neutral' flux profile, the life cycle assessment community and associated product carbon footprint protocols have struggled to account for the GHG emissions associated with forestry, specifically, and land use generally. Principally, this is due to underdeveloped linkages between life cycle inventory (LCI) modeling for wood and forest carbon modeling for a full range of forest types and harvest practices, as well as a lack of transparency in globalized forest supply chains. In this paper, through a comparative study of U.S. and Chinese coated freesheet paper, we develop the initial foundations for a methodology that rescales IPCC methods from the national to the product level, with reference to the approaches in three international product carbon footprint protocols. Due to differences in geographic origin of the wood fiber, the results for two scenarios are highly divergent. This suggests that both wood LCI models and the protocols need further development to capture the range of spatial and temporal dimensions for supply chains (and the associated land use change and modification) for specific product systems. The paper concludes by outlining opportunities to measure and reduce uncertainty in accounting for net emissions of biogenic carbon from forestland, where timber is harvested for consumer products. (C) 2012 Elsevier Inc. All rights reserved.</t>
  </si>
  <si>
    <t>Environ. Impact Assess. Rev.</t>
  </si>
  <si>
    <t>10.1016/j.eiar.2012.03.005</t>
  </si>
  <si>
    <t>US FOREST; CARBON; IMPACTS</t>
  </si>
  <si>
    <t>Alig, RJ; Bair, LS</t>
  </si>
  <si>
    <t>Forest environmental investments and implications for climate change mitigation</t>
  </si>
  <si>
    <t>Forest environmental conditions are affected by climate change, but investments in forest environmental quality can be used as part of the climate change mitigation strategy. A key question involving the potential use of forests to store more carbon as part of climate change mitigation is the impact of forest investments on the timing and quantity of forest volumes that affect carbon storage. Using an economic optimization model, we project levels of U.S. forest volumes as indicators of carbon storage for a wide range of private forest investment scenarios. Results show that economic opportunities exist to further intensify timber management on some hectares and reduce the average timber rotation length such that the national volume of standing timber stocks could be reduced relative to projections reflecting historical trends. The national amount of timber volume is projected to increase over the next 50 yr, but then is projected to decline if private owners follow an economic optimization path, such as with more forest type conversions and shorter timber rotations. With perfect foresight, future forest investments can affect current timber harvest levels, with intertemporal linkages based on adjustments through markets. Forest investments that boost regenerated timber yields per hectare would act to enhance ecosystem services (e.g., forest carbon storage) if they are related to the rate of growth and extent of growing stock inventory.</t>
  </si>
  <si>
    <t>10.2134/jeq2005.0154</t>
  </si>
  <si>
    <t>ENGINEERING GEOLOGY</t>
  </si>
  <si>
    <t>Forestry; Climate variability and change; Modeling; Pacific Northwest; Landslides; Slope stability; Mass wasting</t>
  </si>
  <si>
    <t>OREGON COAST RANGE; BRITISH-COLUMBIA; SLOPE STABILITY; ROOT REINFORCEMENT; PACIFIC-NORTHWEST; HAZARD EVALUATION; VEGETATION MODEL; CHANGE SCENARIOS; RISK-ASSESSMENT; UNITED-STATES</t>
  </si>
  <si>
    <t>Barik, MG; Adam, JC; Barber, ME; Muhunthan, B</t>
  </si>
  <si>
    <t>Improved landslide susceptibility prediction for sustainable forest management in an altered climate</t>
  </si>
  <si>
    <t>Landslide occurrences, which result in significant casualties, economic losses, and ecological impacts, have been increasing worldwide over the last few decades. Thus, it is crucial for future landslide susceptibility to be considered when making long-term plans for timber extraction. Two factors that are known to reduce soil strength and increase landslide susceptibility are clear cutting (due to reduced root contributions to soil strength) and degree of soil saturation. Therefore, as projected climate change is expected to result in storms with higher intensity precipitation in many mountainous regions, these areas are likely to become more susceptible to landslide activity resulting in potentially severe consequences to aquatic habitat due to increased sediment loads. There is a need to investigate potential management plans that simultaneously protect the economic viability of the forest industry and the ecosystem services of the forest. The primary objectives of this study are to explore the impact of timber harvesting on landslide susceptibility under climate change and to create high resolution (10 m) landslide susceptibility maps to inform land management decisions in an altered climate. The Distributed Hydrology Soil Vegetation Model (DHSVM), a physically-based hydrology model that has been improved to incorporate mass wasting and erosion processes, was used to assess the sensitivity of landslide susceptibility to timber extraction. To investigate the impacts of climate change on landslide susceptibility we applied down scaled output from two General Circulation Models (GCMs) with two greenhouse gas (GHG) emission scenarios, MB and B1, for the year 2045. The areal extent classified with a high landslide susceptibility increased on average by 7.1% and 10.7% for the B1 and A1B GHG emissions scenarios, respectively. The landslide susceptibility maps produced in this study can enable forest managers to plan for climate change by identifying areas that are more prone to landslide activity under altered climate conditions. The methodologies developed herein can be used by forest managers around the world to better assess landslide potential.</t>
  </si>
  <si>
    <t>Eng. Geol.</t>
  </si>
  <si>
    <t>10.1016/j.enggeo.2017.09.026</t>
  </si>
  <si>
    <t>climate cooling impact; displacement factor; forest landscape; initial age structure; mitigation efficiency; radiative forcing</t>
  </si>
  <si>
    <t>GAS DISPLACEMENT FACTORS; HARVESTED WOOD PRODUCTS; NET CLIMATE IMPACTS; LIFE-CYCLE IMPACTS; FOSSIL-FUEL; CARBON; ENERGY; SUBSTITUTION; BIOENERGY; MANAGEMENT</t>
  </si>
  <si>
    <t>Baul, TK; Alam, A; Strandman, H; Seppala, J; Peltola, H; Kilpelainen, A</t>
  </si>
  <si>
    <t>Radiative forcing of forest biomass production and use under different thinning regimes and initial age structures of a Norway spruce forest landscape</t>
  </si>
  <si>
    <t>We studied how different thinning regimes and initial age structures of a Norway spruce (Picea abies (L.) Karst.) forest landscape affect the radiative forcing of forest biomass production and use. We considered the effects of forest carbon sequestration, substitution of materials and fossil fuels with forest biomass, and timber use efficiency. The initial age structures of our hypothetical forest landscapes in the middle boreal zone in Finland were young, middle-aged, and mature. Forest landscapes were thinned using either the current thinning recommendations (baseline) or maintaining 20% higher or 20% lower stocking over the 80-year study period. We employed forest ecosystem model simulations together with a life cycle assessment tool. The highest carbon sequestration was obtained by maintaining higher stocking in the landscapes. The initially middle-aged and mature age structures resulted in the strongest cooling of the climate in the first three decades of the simulation, but the highest cooling was found in the young age structure. However, radiative forcing was less sensitive to the thinning than to the substitution or timber use efficiency. Our results indicate that modeled climate impacts are affected by both initial age structure and forest management, which should be considered when generalizing the climate change mitigation potential of forests and forestry.</t>
  </si>
  <si>
    <t>10.1139/cjfr-2019-0286</t>
  </si>
  <si>
    <t>removed extraction because no C output and cumulative raditive forcing not convertible to tCO2</t>
  </si>
  <si>
    <r>
      <t xml:space="preserve">Borjesson, M., Athanassiadis, D., Lundmark, R., &amp; Ahlgren, E. O. . . , </t>
    </r>
    <r>
      <rPr>
        <i/>
        <sz val="12"/>
        <color theme="1"/>
        <rFont val="Calibri"/>
        <family val="2"/>
        <scheme val="minor"/>
      </rPr>
      <t>7</t>
    </r>
    <r>
      <rPr>
        <sz val="12"/>
        <color theme="1"/>
        <rFont val="Calibri"/>
        <family val="2"/>
        <scheme val="minor"/>
      </rPr>
      <t>(5), 1118-1135.</t>
    </r>
  </si>
  <si>
    <t>Bioenergy futures in Sweden–system effects of CO 2 reduction and fossil fuel phase‐out policies</t>
  </si>
  <si>
    <t>Gcb Bioenergy</t>
  </si>
  <si>
    <t>10.1111/gcbb.12225</t>
  </si>
  <si>
    <t>INTERFACE FOCUS</t>
  </si>
  <si>
    <t>indirect land-use change; biofuels; greenhouse gas; ecosystem services; environmental economics; feedstocks</t>
  </si>
  <si>
    <t>GREENHOUSE-GAS EMISSIONS; ORGANIC-CARBON; CLIMATE-CHANGE; BIOFUELS; ENERGY; AGRICULTURE; AGAVE</t>
  </si>
  <si>
    <t>Davis, SC; House, JI; Diaz-Chavez, RA; Molnar, A; Valin, H; DeLucia, EH</t>
  </si>
  <si>
    <t>How can land-use modelling tools inform bioenergy policies?</t>
  </si>
  <si>
    <t>Targets for bioenergy have been set worldwide to mitigate climate change. Although feedstock sources are often ambiguous, pledges in European nations, the United States and Brazil amount to more than 100 Mtoe of biorenewable fuel production by 2020. As a consequence, the biofuel sector is developing rapidly, and it is increasingly important to distinguish bioenergy options that can address energy security and greenhouse gas mitigation from those that cannot. This paper evaluates how bioenergy production affects land-use change (LUC), and to what extent land-use modelling can inform sound decision-making. We identified local and global internalities and externalities of biofuel development scenarios, reviewed relevant data sources and modelling approaches, identified sources of controversy about indirect LUC (iLUC) and then suggested a framework for comprehensive assessments of bioenergy. Ultimately, plant biomass must be managed to produce energy in a way that is consistent with the management of food, feed, fibre, timber and environmental services. Bioenergy production provides opportunities for improved energy security, climate mitigation and rural development, but the environmental and social consequences depend on feedstock choices and geographical location. The most desirable solutions for bioenergy production will include policies that incentivize regionally integrated management of diverse resources with low inputs, high yields, co-products, multiple benefits and minimal risks of iLUC. Many integrated assessment models include energy resources, trade, technological development and regional environmental conditions, but do not account for biodiversity and lack detailed data on the location of degraded and underproductive lands that would be ideal for bioenergy production. Specific practices that would maximize the benefits of bioenergy production regionally need to be identified before a global analysis of bioenergy-related LUC can be accomplished.</t>
  </si>
  <si>
    <t>Interface Focus</t>
  </si>
  <si>
    <t>10.1098/rsfs.2010.0023</t>
  </si>
  <si>
    <t>Forest; Nutrient balance; Timber harvesting; Nutrient availability; Harvesting guidelines; Harvest residues; Netherlands</t>
  </si>
  <si>
    <t>NORWAY SPRUCE; NITROGEN DEPOSITION; RESIDUE REMOVAL; SCOTS PINE; CARBON; IMPACTS; PHOSPHORUS; CHEMISTRY; BOREAL; ACIDIFICATION</t>
  </si>
  <si>
    <t>de Vries, W; de Jong, A; Kros, J; Spijker, J</t>
  </si>
  <si>
    <t>The use of soil nutrient balances in deriving forest biomass harvesting guidelines specific to region, tree species and soil type in the Netherlands</t>
  </si>
  <si>
    <t>The substitution of biomass for fossil fuels in energy consumption is a measure to decrease the emissions of greenhouse gases and thereby mitigate global warming. During recent years, this has led to an increasing interest to use tree harvest residues as feedstock for bioenergy. An important concern related to the removal of har vesting residues is, however, the potential adverse effects on soil fertility caused by increased nutrient removal, relative to conventional stem-only harvesting. In the Netherlands this is a major concern, since most forests are located on poor sandy soils. To develop forest harvesting guidelines, we applied a mass balance approach comparing nutrient inputs by deposition and weathering with nutrient outputs by harvesting and leaching for various timber harvesting scenarios, including both stem-only harvesting and additional removal of tree tops and branches. A distinction was made in seven major tree species, six soil types (three sandy soils, loam, clay and peat soils) and nine regions, with clear variations in atmospheric deposition of phosphorus (P), calcium (Ca), magnesium (Mg) and potassium (K). For each region-tree-soil combination we calculated the maximum amounts that can be harvested such that the output of the nutrients Ca, Mg, K and P is balanced with the inputs. Results showed that at current harvesting rates, a negative balance of Ca, Mg, K or P is hardly calculated for the richer loamy to clayey soil types, while depletion can occur for the poorer sandy soils, particularly of P and K. Results are used to derive forest biomass harvesting guidelines, taking the uncertainties in the mass balance approach into account. The role of mitigating management approaches is also discussed.</t>
  </si>
  <si>
    <t>10.1016/j.foreco.2020.118591</t>
  </si>
  <si>
    <t>Avoided carbon emissions; Carbon in wood products; Faustmann model; Life-cycle assessment; Optimal rotation age; Southern United States</t>
  </si>
  <si>
    <t>UNITED-STATES; LIFE-CYCLE; FOREST; SEQUESTRATION; TIMBER; MANAGEMENT; BIOENERGY; PINE</t>
  </si>
  <si>
    <t>Dwivedi, P; Bailis, R; Stainback, A; Carter, DR</t>
  </si>
  <si>
    <t>Impact of payments for carbon sequestered in wood products and avoided carbon emissions on the profitability of NIPF landowners in the US South</t>
  </si>
  <si>
    <t>This study determines economic impact of payments for carbon sequestered in wood products and avoided carbon emissions due to use of forest biomass for electricity generation instead of fossil fuels on the profitability of non-industrial private forest (NIPF) landowners in the US South. Penalties for carbon emitted at the time of undertaking various silvicultural activities and exponential decay of wood products were also considered. We used life-cycle assessment to evaluate carbon emissions from various silvicultural activities. We modified the traditional Faustmann forest rotation model to incorporate identified carbon payments and penalties. Slash pine (Pinus elliottii) was selected as a representative species. We found that the overall global warming impact (GWI) for managing a hectare of intensively managed slash pine plantation was 6539 kg carbon dioxide equivalent. The maximum land expectation value (LEV) for the scenario when all carbon payments and penalties along with payments for timber products were considered was $1299/ha using a 20 year rotation age. This value is about 71% higher than the LEV when only payments for timber products were taken into account ($760/ha using a 21 year rotation age). Our results clearly indicate that emerging carbon markets could greatly benefit southern NIPF landowners. (C) 2012 Elsevier B.V. All rights reserved.</t>
  </si>
  <si>
    <t>10.1016/j.ecolecon.2012.03.014</t>
  </si>
  <si>
    <t>Mathematical modelling; Sustainability; Cross-laminated; Timber; Construction</t>
  </si>
  <si>
    <t>Fernandez, M; Martinez, A; Alonso, A; Lizondo, L</t>
  </si>
  <si>
    <t>A mathematical model for the sustainability of the use of cross-laminated timber in the construction industry: the case of Spain</t>
  </si>
  <si>
    <t>In recent years, computerized mathematical modelling has enabled construction-related problems to be resolved and predictions to be made regarding the behaviours of buildings and their environments in a more rigorous fashion than was the case with the deterministic models used until now. This model enables the analysis of a simulation of the sustainability of the use of timber as a major structural component in construction. Thus, using a unique model, which could be adapted to the particular characteristics of any country, the viability of a sustainable use of woodland can be verified, with extraction rates below 100 %, in order to supply an industry which accounts for a high percentage of the carbon dioxide emissions released into the atmosphere. In the specific case of Spain, the demographic forecasts for the next 40 years were used as the basis on which to establish the operational period of the model. For this period, the different variables involved in the natural production of wood were compared, along with felling strategies. The results point to sustainable scenarios for the most part during the target period in Spain, with the most unfavourable combinations of the variables preventing the sustainability of the use of timber from being achieved.</t>
  </si>
  <si>
    <t>10.1007/s10098-014-0738-3</t>
  </si>
  <si>
    <t>NEW ZEALAND JOURNAL OF AGRICULTURAL RESEARCH</t>
  </si>
  <si>
    <t>Agriculture; emissions trading scheme; forestry carbon sequestration; general equilibrium; global timber model; linking; New Zealand; pricing</t>
  </si>
  <si>
    <t>Fernandez, MA; Daigneault, A</t>
  </si>
  <si>
    <t>The Paris Agreement and its impact on cattle and food sectors of New Zealand</t>
  </si>
  <si>
    <t>The Paris Agreement asserts that greenhouse gas emission pathways should be consistent with holding the increase in global temperature below 1.5 degrees C, or 2 degrees C above pre-industrial levels. The purpose of this paper is to assess the economic impact of this agreement on the cattle and food product sectors of New Zealand. We used a general equilibrium approach to evaluate the economic impacts, and the Global Timber Model to estimate forestry carbon sequestration. We simulated eight scenarios where we allow accounting/not accounting for sequestration, pricing/not pricing agricultural emissions, and linking/not linking the New Zealand Emissions Trading Scheme (ETS) with the European Union ETS. We found that significant negative impacts occur if sequestration is not accounted, the ETS remains unlinked and agriculture is priced. Competitiveness, in turn, is not significantly affected if sequestration is accounted, regardless of the linking scheme of the ETS.</t>
  </si>
  <si>
    <t>N. Z. J. Agric. Res.</t>
  </si>
  <si>
    <t>10.1080/00288233.2016.1215335</t>
  </si>
  <si>
    <t>bioproductive area; electronic products; environmental indicator; industrial ecology; information and communications technology (ICT); natural capital accounting</t>
  </si>
  <si>
    <t>Frey, SD; Harrison, DJ; Billett, EH</t>
  </si>
  <si>
    <t>Ecological footprint analysis applied to mobile phones</t>
  </si>
  <si>
    <t>Ecological footprints (EF) have been used for more than 15 yr as an aggregate measure of sustainability of geographical regions, but also for certain products and activities. EF analysis measures the bioproductive areas required to produce resources such as crops and timber, the directly occupied areas for infrastructure, and areas for absorbing waste flows (mostly limited to carbon dioxide) in a given year for a defined population. The need to extend ecological footprint analysis to electronic products arose because so far, mobile phones have mainly been evaluated using life-cycle assessments with a focus on toxicity, end-of-life management, and energy use, thus ignoring the wider sustainability implications. This article presents the footprint results from three mobile phone case studies. To establish the land areas consumed by the mined materials used in electronic products, a database was developed based on literature data and on approximations from the density and overburden of materials. The relationship between abundance and overburden values was used in a regression analysis to estimate energy requirements in materials extraction where other data were not available. Using a life-cycle assessment approach, environmental burdens for producing and using a mobile phone were calculated and transformed into the instantaneous rate of resource consumption. Key results were that different electronic products have different ecological footprints and that the methodology proved sensitive enough to reveal differences in small electronic products and for monitoring technologies that use bioproductive space efficiently.</t>
  </si>
  <si>
    <t>10.1162/108819806775545330</t>
  </si>
  <si>
    <t>Fuelwood; Timber market; Forest sector model; Partial equilibrium model</t>
  </si>
  <si>
    <t>BIOENERGY DEMAND; TRADE IMPACTS; UNITED-STATES; MARKET MODEL; WOOD; CARBON; SUBSTITUTION; EUROPE; ENERGY; ROUNDWOOD</t>
  </si>
  <si>
    <t>Guo, JG; Gong, PC</t>
  </si>
  <si>
    <t>Assessing the impacts of rising fuelwood demand on Swedish forest sector: An intertemporal optimization approach</t>
  </si>
  <si>
    <t>An increase in the demand for fuelwood has the potential to affect traditional timber production. Based on a partial equilibrium model of the Swedish forest sector, this paper evaluates the supply and price of sawlogs, pulpwood and fuelwood under differing levels of future fuelwood demand. The results indicate that an increasing demand for fuelwood would intensify the competition between pulpwood and fuelwood, which would cause the prices of pulpwood and fuelwood to increase. The pulpwood supply would decrease and the fuelwood supply would increase in response to fuelwood demand expansion. An increasing demand for fuelwood would affect the harvest of sawlogs positively, though the effect would be small. It is concluded that an increase in the use of fuelwood would affect mainly the pulp and paper industry in terms of the provision of raw materials. Besides, the annual increment of forest standing volume would exceed the harvest in all the scenarios analyzed, implying that the Swedish forests are a carbon sink.</t>
  </si>
  <si>
    <t>10.1016/j.forpol.2019.05.020</t>
  </si>
  <si>
    <t>disagree: driver = unspecified harvest increase + gdp/pop/consumption, C output (in situ forest C) can be obtaine from fig 1</t>
  </si>
  <si>
    <t>the paper studies the price response to changes in the demand for fuelwood. Wood stocks and/or emissions are not reported in the study.</t>
  </si>
  <si>
    <t>Building retrofit; Hygrothermics; Energy efficiency; Indoor air quality; Occupant comfort; Mould growth</t>
  </si>
  <si>
    <t>CLOSED ENVIRONMENTS; PERFORMANCE; UNCERTAINTY; SAVINGS; SYSTEM</t>
  </si>
  <si>
    <t>Hall, MR; Casey, SP; Loveday, DL; Gillott, M</t>
  </si>
  <si>
    <t>Analysis of UK domestic building retrofit scenarios based on the E.ON Retrofit Research House using energetic hygrothermics simulation - Energy efficiency, indoor air quality, occupant comfort, and mould growth potential</t>
  </si>
  <si>
    <t>The work forms part of the CALEBRE project (2008-2013), the aim of which was to investigate a suite of technologies and staged approaches for retrofit upgrades for 'hard-to-treat' solid/thin cavity masonry-walled UK domestic buildings that would i) reduce operational energy demand/carbon emissions, and ii) be acceptable and appealing to the building occupants. The E.ON Retrofit Research House (Nottingham, UK) was used as an instrumented test platform as part of this study. The retrofitting phases (and technologies) have been used as the basis for the modelling methodology in this paper, together with the corresponding envelope assemblies, material properties, climate, and internal load parameters. The approach to retrofit was to increase air tightness (reduce ACH), decrease static U-values of the external envelope (wall, floor and glazing), and upgrade heating system efficiency. This was complemented by a combination of options that included a whole-building system of mechanical ventilation with heat recovery (MVHR). These interventions were analysed alongside simulated passive buffering of variations in indoor air psychrometric conditions using conventional (clay, timber) and advanced (mesoporous silica) wall surface treatments. Each retrofit scenario was modelled using an energetic hygrothermics building performance simulation (BPS) approach to determine the combined effects of retrofit packages on indoor air psychrometric conditions, external envelope (dynamic) heat transfer, operational energy efficiency, occupant comfort, and mould growth potential. It is proposed that this approach can provide the basis for an intelligent risk management strategy to inform both the design and deployment of retrofit upgrade packages intended for residential buildings. (C) 2013 Elsevier Ltd. All rights reserved.</t>
  </si>
  <si>
    <t>10.1016/j.buildenv.2013.08.015</t>
  </si>
  <si>
    <t>IPCC default approach; Stock-change approach; Atmospheric-flow approach; Production approach; Simple decay approach; Forest carbon stock; Substitution</t>
  </si>
  <si>
    <t>LIFE-CYCLE ASSESSMENT; LAND-USE CHANGE; CARBON STORAGE; MANAGED FORESTS; FUEL ETHANOL; ENERGY; EMISSIONS; BIOMASS; CO2; SEQUESTRATION</t>
  </si>
  <si>
    <t>Hashimoto, S</t>
  </si>
  <si>
    <t>Different accounting approaches to harvested wood products in national greenhouse gas inventories: their incentives to achievement of major policy goals</t>
  </si>
  <si>
    <t>The 2006 IPCC Guidelines for National Greenhouse Gas Inventories provide four accounting approaches to harvested wood products (HWP). These differ in the way they define system boundaries. Therefore, reported national carbon emissions differ according to the accounting approach used, and the implications of each accounting approach differ for different countries. This paper investigates four IPCC accounting approaches, as well as the 1996 IPCC default approach, to determine whether they provide incentives to achievement of major policy goals related to climate, forest, trade, and waste, taking into account indirect effects of wood use change (i.e., the effects on forest carbon stocks and on carbon emissions from the use of other fuels and materials). Conclusions are as follows: (1) The analyses produced many different results from those of previous studies. These differences appear to be attributable to whether or not the indirect effects of wood use change are taken into account and the reference scenarios that are assumed; (2) The best approaches for achieving each policy goal differ, and the best approaches for particular policy goals might pose problems for other policy goals; (3) Overall, the IPCC default approach is the best accounting approach from the viewpoint of greater compatibility with, or integration across, the array of policy goals, although it does not address the issue of an increasing global carbon stock in HWP. (C) 2008 Elsevier Ltd. All rights reserved.</t>
  </si>
  <si>
    <t>10.1016/j.envsci.2008.08.002</t>
  </si>
  <si>
    <t>GLOBAL ENVIRONMENTAL CHANGE-HUMAN AND POLICY DIMENSIONS</t>
  </si>
  <si>
    <t>Forestry; Bioenergy; SSP; Climate change mitigation; Regression models</t>
  </si>
  <si>
    <t>LAND-USE; SCENARIO FRAMEWORK; IMPACTS; PRODUCTIVITY; MITIGATION; BIOENERGY; DEMAND</t>
  </si>
  <si>
    <t>Hu, XP; Iordan, CM; Cherubini, F</t>
  </si>
  <si>
    <t>Estimating future wood outtakes in the Norwegian forestry sector under the shared socioeconomic pathways</t>
  </si>
  <si>
    <t>The forest sector plays a key role in achieving low temperature stabilization targets, as woody biomass represents a cost-efficient alternative to fossil fuels for energy and material production. Estimates of future woody biomass demands vary in the Shared Socioeconomic Pathways (SSPs), depending on societal development trends, climate model projections, socioeconomic conditions, and climate and energy policies. The SSPs are qualitatively and quantitatively defined at global and macro-regional level, and their implementation for individual sectors at a national basis is challenging. In this paper, we provide estimates for forest wood outtakes in Norway until 2100 using key drivers from the SSPs such as population and Gross Domestic Product (GDP) and specific aspects of developments in the land use sector. First, we analyze historical wood harvest trends from 1960 to 2016 for the main tree species and wood classes and construct a regression model based on population, GDP and time. The model framework is based on a statistical approach that does not explicitly include market adjustments, but it is adapted to an interpretation of the salient characteristics of the different SSP scenarios to estimate future outtake volumes for each combination of tree species and wood classes in Norway. The SSP characteristics implemented in the model framework are GDP and population, land-use change regulation, participation of the land-use sector to climate change mitigation, and starting year of international cooperation for climate change mitigation. The produced estimates span a range of possible harvest rates and resource use potentials. Results show that SSP1 achieves a maximum mean extraction rate of 17.7 million m(3) (in 2090). Forest wood outtake volumes are the lowest in SSP3, reaching a maximum of about 11.9 million m(3) in 2040 and then declining. SSP2 and SSP4 generally lie in between SSP1 and SSP3. SSP5 is the most resource intensive scenario, with harvest rates achieving 27.5 million m(3) in 2100. Driven by high population and GDP, SSP5 far exceeds the forest maximum harvest potential in Norway. Variability in the estimates is larger when land use regulation is weak and market fluctuations are high, such as in SSP2, SSP3 and SSP5. The proposed model framework is an approach to interpret and translate the global qualitative SSP narratives into quantitative projections at a finer scale, and can favor the use of a consistent background setting such as the SSPs in interdisciplinary research activities across different spatial scales of analysis.</t>
  </si>
  <si>
    <t>Glob. Environ. Change-Human Policy Dimens.</t>
  </si>
  <si>
    <t>10.1016/j.gloenvcha.2018.03.004</t>
  </si>
  <si>
    <t xml:space="preserve">Kirkinen, J., Palosuo, T., Holmgren, K., &amp; Savolainen, I. </t>
  </si>
  <si>
    <t xml:space="preserve"> Greenhouse impact due to the use of combustible fuels: life cycle viewpoint and relative radiative forcing commitment</t>
  </si>
  <si>
    <t xml:space="preserve"> Environmental management</t>
  </si>
  <si>
    <t>10.1007/s00267-008-9145-z</t>
  </si>
  <si>
    <t>INTERNATIONAL BIODETERIORATION &amp; BIODEGRADATION</t>
  </si>
  <si>
    <t>Beech wood in-ground; Fungal degradation; Enzymatic activities; Predictive model; NIRS; Mechanical properties</t>
  </si>
  <si>
    <t>ARBUSCULAR-MYCORRHIZAL FUNGI; NEAR-INFRARED SPECTROSCOPY; PINUS-SYLVESTRIS L.; WHITE-ROT FUNGUS; ARCHAEOLOGICAL WOOD; FOUNDATION PILES; DURABILITY; ENZYMES; COLONIZATION; DEGRADATION</t>
  </si>
  <si>
    <t>Kleindienst, Q; Besserer, A; Antoine, ML; Perrin, C; Bocquet, JF; Bleron, L</t>
  </si>
  <si>
    <t>Predicting the beech wood decay and strength loss in-ground</t>
  </si>
  <si>
    <t>In the context of reduction of CO2 emissions and costs in the construction industry, substitution of concrete by wood for foundation piles seems to be a promising alternative. To promote the use of local wood in pile foundation, diagnostic and prediction methodology of wood decay in soil need to be improved. Outdoor mesocosm decay experiments were performed to evaluate the potential use of beech wood as foundation piles. The stochastic occurrence of soil fungal inoculum in contact with mini-stakes and water gradient in wood explained the observed patchy wood decay pattern. Various patterns of wood rotting fungi were identified. The correlation between measured strength loss and mass loss was weak. Multivariate analyses using biochemical and physico-chemical data as inputs allowed section categorizations and prediction of wood strength. Accuracy of the prediction was validated by experimental measurement of the compression parallel to the grain (f(c),(o)).The categorization of unknown sections was computed by PLS-DA and provided clues inferring their service life. The described procedure has the potential to be transferred to on-site measurements to predict the f(c,o) of wood foundation pile or any potentially damaged timber structure. (C) 2017 Elsevier Ltd. All rights reserved.</t>
  </si>
  <si>
    <t>Int. Biodeterior. Biodegrad.</t>
  </si>
  <si>
    <t>10.1016/j.ibiod.2017.06.006</t>
  </si>
  <si>
    <t>AUTOMATION IN CONSTRUCTION</t>
  </si>
  <si>
    <t>Robotic timber construction; Layered assembly; Reversible structure; Design automation; Digital twin; Human-robot collaboration</t>
  </si>
  <si>
    <t>Kunic, A; Naboni, R; Kramberger, A; Schlette, C</t>
  </si>
  <si>
    <t>Design and assembly automation of the Robotic Reversible Timber Beam</t>
  </si>
  <si>
    <t>The field of architecture is more and more referring to wood as a sustainable solution for satisfying the need of new buildings while offsetting carbon emissions. In parallel, the research in Robotic Timber Construction (RTC) has evolved rapidly, focusing both on fabrication and assembly processes in order to improve the productivity of the construction industry and extend the production digital chain. This paper presents an original workflow for the automation from design to layered robotic assembly of reversible timber structures, aided by human-robot collaboration. An advanced digital design workflow for non-standard timber structures is established, shifting the focus towards the assembly of a kit of discrete wood elements into larger configurations that can be reconfigured in time. Linked to this, collaborative robots are employed for grasping, positioning and fixing of discrete timber elements, with the introduction of a multi-phase end effector that connects wood elements through reversible joinery. As such, the work introduces fundamental design and manufacturing concepts for an automated construction process that extends the material life cycle of wood, and consequently, its carbon store. The enhancement of robotic assembly is here achieved with the (1) integration of a feedback system based on location and force signals, and (2) human collaboration to provide immediate assistance to the robot in the case the signals do not match the defined assembly conditions. The various developments are applied to a research demonstrator which crystallizes the various design, constructional, and manufacturing inputs into a physical output, which is discussed from multiple viewpoints, in order to delineate relevant areas for future studies.</t>
  </si>
  <si>
    <t>Autom. Constr.</t>
  </si>
  <si>
    <t>10.1016/j.autcon.2020.103531</t>
  </si>
  <si>
    <t>SCIENTIFIC REPORTS</t>
  </si>
  <si>
    <t>NET CLIMATE IMPACTS; FOSSIL-FUEL; CARBON SEQUESTRATION; FOREST; GREENHOUSE; MITIGATION; BIOMASS; BIODIVERSITY; DEBT</t>
  </si>
  <si>
    <t>Leturcq, P</t>
  </si>
  <si>
    <t>GHG displacement factors of harvested wood products: the myth of substitution</t>
  </si>
  <si>
    <t>A common idea is that substituting wood for fossil fuels and energy intensive materials is a better strategy in mitigating climate change than storing more carbon in forests. This opinion remains highly questionable for at least two reasons. Firstly, the carbon footprints of wood-products are underestimated as far as the biomass carbon neutrality assumption is involved in their determination, as it is often the case. When taking into account the forest carbon dynamics consecutive to wood harvest, and the limited lifetime of products, these carbon footprints are time-dependent and their presumed values under the carbon neutrality assumption are achieved only in steady-state conditions. Secondly, even if carbon footprints are correctly assessed, the benefit of substitutions is overestimated when all or parts of the wood products are supposed to replace non-wood products whatever the market conditions. Indeed, substitutions are effective only if an increase in wood product consumption implies verifiably a global reduction in non-wood productions. When these flaws in the evaluation of wood substitution effects are avoided, one must conclude that increased harvesting and wood utilization may be counter-productive for climate change mitigation objectives, especially when wood is used as a fuel.</t>
  </si>
  <si>
    <t>Sci Rep</t>
  </si>
  <si>
    <t>10.1038/s41598-020-77527-8</t>
  </si>
  <si>
    <t>This is an opinion paper. No useful numbers are given.</t>
  </si>
  <si>
    <t>co-products; ecoinvent database; economic allocation; hardwood; Poland; softwood; wooden products</t>
  </si>
  <si>
    <t>Lewandowska, A; Wawrzynkiewicz, Z; Noskowiak, A; Foltynowicz, Z</t>
  </si>
  <si>
    <t>Adaptation of ecoinvent database to Polish conditions - The case of wood production in the forest</t>
  </si>
  <si>
    <t>Background, aims and scope This paper is based on the results of a project sponsored by the Ministry of Science and Higher Education and carried out by the Wood Technology Institute in Poznan, Poland. The main purpose of the project was to assess the environmental impact generated during the entire life cycles of chosen wood products. Most of the data came from the Polish wood industry, but some of it was taken from the ecoinvent database, particularly data relating to forest processes. The data were not used as presented in the database but were properly adapted. The aim of the paper is to show how the ecoinvent&amp;apos;s initial assumptions have been changed and how the data were adapted. The influence of the adaptation on the characterization results is presented as well. Materials and methods The adaptation was performed in several steps: obtaining information about the principal assumptions of the ecoinvent database, gathering data appropriate to Polish conditions, changing the principal assumptions to include the Polish situation, calculating the new allocation and correction factors, forming the new inventory tables for round, industrial, and residual wood (softwood and hardwood), and calculating the characterization results to check the influence of the data adaptation on the life cycle assessment (LCA) final results. The following methods have been used: the economic allocation with the allocation correction to include mass, energy, and carbon dioxide uptake from nature and Ecoindicator99 method to assess the environmental impact. Results The study shows that differences exist between ecoinvent and Polish data for the wood production. Some of the differences are important and significantly impact the final results. The data differ in relation to many factors, for example: tree species, yield of forest, time from planting trees to final harvesting, length and width of forest roads or total area, and land use. The differences in the initial assumptions and further in the allocation factors result in changes of the inventory points and the characterization results. The relevant differences for round hardwood and residual hardwood are not observed. It is not, however, the case of the industrial hardwood where the visible difference exist. The results for all sorts of softwood are completely different and any similarities cannot be observed. Discussion At present, the total area of forest land in Poland is 9.0 million ha. This is equivalent to 28.8% of the country&amp;apos;s area. This means that the forest processes are important for the country. The study could be a part of a more general discussion about the suitability of data recognized by the database&amp;apos;s generators as representative for larger areas (Europe, Asia, the world). Conclusions The following conclusions could be formulated based on the results of the project: differences between countries always exist, and they can be a source of uncertainty, particularly if unspecific data are used. On the other hand, it is impossible to collect specific data for all inventory items included in the product system which is why LCA databases are needed. The following questions should be asked: how important is the discrepancy? What is its influence on the final results? Is it acceptable? There are some activities like electricity production where differences between countries can be crucial for the LCA final results. Recommendations and perspectives Two main recommendations could be formulated: the data taken from LCA databases should always be critically analyzed and reviewed to check if they are suitable for our case study, and, if possible, the adaptation to local or national conditions should be made. In Poland, the interest in LCA continues to grow; however, it is not easy for LCA practitioners to conduct LCAs because of companies&amp;apos; skepticism and their reluctance to provide data. LCA databases are important sources of information. A review of the most popular LCA databases could be a good line of further improvement to make LCA studies more relevant and reliable.</t>
  </si>
  <si>
    <t>10.1007/s11367-008-0010-3</t>
  </si>
  <si>
    <t>The paper discusses how a ecoinvent could be adjusted to the Polish conditions. I did not use Table 8 and 9 because I couldn't find the units. Else the treatment could have been "different location".
VB: the unit is RECIPE points but it's not clear how to convert it to tCO2e. It's not even clear in the text whether the difference identified in climat change impact between the two locations is more or less emission.</t>
  </si>
  <si>
    <t>Dendrochronology; Tree rings; Climate change; Climate-growth relationships; Tropical dry forests; South America</t>
  </si>
  <si>
    <t>TREE GROWTH; RADIAL GROWTH; RAINFALL; MANAGEMENT; CERRADO; DROUGHT; RINGS; AGE</t>
  </si>
  <si>
    <t>Lopez, L; Villalba, R</t>
  </si>
  <si>
    <t>Climate-growth relationships for Aspidosperma tomentosum Mart. in South American tropical dry forests</t>
  </si>
  <si>
    <t>Key messageThe precise demarcation and cross-dating of tree rings inAspidosperma tomentosumMart., a valuable timber species in the tropical dry forests of South America, were used to develop the first well-replicated chronology covering the period 1843-2015.A. tomentosumMart. tree growth is strongly regulated by soil water availability prior to and during the current growing season. In the context of increased drought severity due to climate change, determining of climate influences onA. tomentosumMart. radial growth is necessary to establish appropriate guidelines for the management, conservation and restoration of this species, currently affected by extreme weather events, extensive fires and deforestation in the Chiquitania forests, Bolivia.ContextTropical forest ecosystems play a critical role in the functioning of the Earth; thus, a better understanding of the influences of climate on tree growth is needed to estimate changes in forest productivity and consequently in carbon sink variations at regional and global scales.AimsIn the context of global environmental changes, our study aimed at using the growth rings of A. tomentosum Mart. to establish the relationships between radial growth and climatic variations.MethodsThe anatomical characterization of the wood elements facilitated the precise annual band delimitation and the rejection of samples with false rings and growth anomalies. A tree-ring chronology was developed using traditional dendrochronological methods and the relationships with climate determined using correlation functions.ResultsThe chronology is based on 20 individuals and covers the period 1843-2015. Tree-ring statistics indicate an important common signal in growth variations between trees (R-bar = 0.31, EPS = 0.90). Interannual variations in A. tomentosum Mart. are directly related to total annual precipitation (r = 0.76) and inversely to mean annual temperature (r = - 0.44). These relationships are similar to those documented for other commercial species (Centrolobium microchaete, Schinopsis brasiliensis) from tropical dry forests in South America, suggesting a consistent climatic influence on tree growth at a regional scale.ConclusionThe strong dependence of tree growth on climate variability is a major concern, as climate change scenarios for tropical dry forests in South America predict an increase in the frequency and intensity of droughts, which in turn would reduce the A. tomentosum Mart. growth during the twenty-first century.</t>
  </si>
  <si>
    <t>10.1007/s13595-020-01001-8</t>
  </si>
  <si>
    <t>This study investigates the relationship between climate and radial tree growth (= tree ring width)</t>
  </si>
  <si>
    <t>ENERGY FOR SUSTAINABLE DEVELOPMENT</t>
  </si>
  <si>
    <t>Energy planning; Rural community; Sustainable energy</t>
  </si>
  <si>
    <t>TECHNOLOGY-TRANSFER</t>
  </si>
  <si>
    <t>Lopez-Sosa, LB; Garcia, CA</t>
  </si>
  <si>
    <t>Towards the construction of a sustainable rural energy system: Case study of an indigenous community in Mexico</t>
  </si>
  <si>
    <t>One of the challenges that rural communities face is the satisfaction of their energy demand through sustainable processes, where the production, distribution and final consumption of energy are involved in an efficient, affordable, and non-polluting way. This proposal analyzes, for a rural community in Mexico, the economic and environmental impacts associated with meeting the energy demand for lighting, cooking, entertainment and technology needs, hygiene, education and mobility; by formulating three different scenarios: (a) estimation of current energy consumption (baseline) (b) satisfaction of said needs through locally available renewable energy resources, and (c) satisfaction of needs and their potential impacts by making use of efficient technologies with respect to current technologies, for refrigeration, firewood combustion, and lighting. The results show a current distribution in energy consumption of 66.8 % for cooking, 26.2 % for hygiene, 6.6 % for mobility, 0.8 % for lighting, 0.6 % for entertainment and technology, and 0.03 % for education. In total economic expenditure, the percentages by type of need are 58 % for mobility, 28 % for cooking, 11 % for hygiene, 2 % for lighting, 1 % for entertainment and technology, and 0.1 % for education. The environmental impact in terms of nitrogen oxide (NOx), methane (CH4), and carbon dioxide (CO2) emissions is, like the energy consumption, oriented to a greater extent towards energy needs that require thermal energy. Our evaluation of these scenarios has shown that the available energy resources are sufficient to supply all the local energy demand, through technologies such as solar panels, LED lights and efficient combustion stoves; and only less than 5 % of the total production of wood residues that the community generates is required to achieve this satisfaction. Finally, some guidelines are suggested for an energy management strategy that is based on the scenarios proposed for the studied community. This article provides information for the construction of sustainable rural energy systems and for the development of energy management schemes in rural and self-governing communities.(c) 2022 International Energy Initiative. Published by Elsevier Inc. All rights reserved.</t>
  </si>
  <si>
    <t>Energy Sustain Dev.</t>
  </si>
  <si>
    <t>10.1016/j.esd.2022.08.022</t>
  </si>
  <si>
    <t>ANNALS OF FOREST RESEARCH</t>
  </si>
  <si>
    <t>forest strategy; forest inventory; forest ecosystem services; biodiversity; wood production; carbon sequestration</t>
  </si>
  <si>
    <t>CARBON; RETENTION</t>
  </si>
  <si>
    <t>Lorenz, M; Englert, H; Dieter, M</t>
  </si>
  <si>
    <t>The German Forest Strategy 2020: Target achievement control using National Forest Inventory results</t>
  </si>
  <si>
    <t>In the year 2011 the German Federal Government adopted its Forest Strategy 2020. This strategy includes 60 goal formulations in nine action fields. The present paper analyses to which extent the results of the German National Forest Inventory (BWI) prove achievements of those of the 60 goals, which are quantitatively verifiable. The results reveal that forestry in Germany in general meets its own standard of multi-functionality, securing that forests fulfil manifold demands of the society. However, while the objectives of nature and climate protection are on track for being achieved, the prospects for objectives related to employment, income and value added are less encouraging. Total forest area and forest growth are increasing, forests currently constitute a carbon sink, and the naturalness and structural diversity of forests are growing. Also the high but sustainable use of the wood fosters currently the income of and employment in forest enterprises and timber industries. But the ongoing regeneration of forest stands predominantly with deciduous tree species is expected to cause a long-term lack of faster growing and higher valuated coniferous stands. The resulting lack of highly demanded softwood of small or medium-sized diameters will raise problems to timber industries. Moreover, shrinking timber production due to a decreasing share of coniferous forests has adverse consequences not only from the economic point of view. It will also decrease the climate-friendly use of wood products, in particular due to the foregone substitution effect. The results of the study also show that BWI is an indispensable source of information for forest politics and forest science particularly in view of its long-term time series. The preservations of time series must be kept in mind whenever changes in the methods of BWI are considered.</t>
  </si>
  <si>
    <t>Ann. For. Res.</t>
  </si>
  <si>
    <t>10.15287/afr.2018.1185</t>
  </si>
  <si>
    <t>This is a description of the state of the German forests between 2002 and 2012. No drivers and/or C-outputs.</t>
  </si>
  <si>
    <t>TROPICS</t>
  </si>
  <si>
    <t>Maxent; climate change; species distribution model</t>
  </si>
  <si>
    <t>POTENTIAL DISTRIBUTION; PLANT; INDIA</t>
  </si>
  <si>
    <t>Mandal, MSH; Okuda, T; Mon, SM; Chew, WC; Shigematsu, C; Hosaka, T</t>
  </si>
  <si>
    <t>Habitat suitability mapping for a high-value non-timber forest product: A case study of Rauvolfia serpentina</t>
  </si>
  <si>
    <t>Non-timber forest products (NTFPs) are essential for rural livelihoods but are often threatened by deforestation and overexploitation. Rauvolfia serpentina is a critical NTFP species; however, there have been no studies on the impact of future climate change on its potential habitat distribution. We used the Maxent modeling approach to address this knowledge gap and determine this species' current and future suitability under climate change scenarios. The areas more suitable to its occurrence were mainly located near the southwestern coastal regions of Myanmar and India. Based on our predictions, these 'very high' suitability areas are likely to decrease in 2070 under both low and high CO2 emission scenarios, indicating the future vulnerability of this species' habitat to the impact of climate change. This species is a highly valued NTFP species in the study region; therefore, such a reduction in habitat suitability may result in reductions in NTFP production and economic benefits for the dependent populations. Our findings can help define and conserve areas containing the natural habitats of this high-valued NTFP species.</t>
  </si>
  <si>
    <t>Tropics</t>
  </si>
  <si>
    <t>10.3759/tropics.SINT04</t>
  </si>
  <si>
    <t>GLOBAL ECOLOGY AND CONSERVATION</t>
  </si>
  <si>
    <t>Biomod2; Climate change; Conservation planning; IPCC; Species distribution modelling; Southeast Asia</t>
  </si>
  <si>
    <t>CLIMATE-CHANGE; DISTRIBUTIONS; CONSERVATION; CARNIVORES; ACCURACY; IMPACTS; RECORDS</t>
  </si>
  <si>
    <t>Mathai, J; Niedballa, J; Radchuk, V; Sollmann, R; Heckmann, I; Brodie, J; Struebig, M; Hearn, AJ; Ross, J; Macdonald, DW; Hon, J; Wilting, A</t>
  </si>
  <si>
    <t>Identifying refuges for Borneo's elusive Hose's civet</t>
  </si>
  <si>
    <t>Human-induced environmental changes, particularly climate change, pose a threat to many tropical montane species, making the identification of optimal future habitat a conservation priority. Here we used maximum entropy (Maxent) and boosted regression trees to predict suitable habitat of the threatened Bornean highland endemic Hose&amp;apos;s civet (Diplogale hosei), that is currently available, and for future time periods (2050s and 2080s), considering future land cover and climate change predictions. Next, we identified areas that were consistently suitable under current and future model predictions as forest refuges. Our analysis predicted that Hose&amp;apos;s civet is restricted mainly to the highlands of Borneo to an area less than 20,000 km(2) (about 2% of the entire island of Borneo). Changes in land cover have little impact on predicted suitable area for the species. However, we predicted habitat loss due to climate change to approximate 86% by 2080, except under a green economy scenario which showed stable or increasing suitable habitat. Refuges were small, about 11% of 2010 habitat, and mostly restricted to lower montane forest. About 28-35% of refuges lie within the current protected area network though much is designated as commercial forests within the proposed Heart of Borneo (HoB). For the conservation of Hose&amp;apos;s civet and likely other Bornean highland endemics, we recommend increased wildlife and forest law enforcement in identified protected refuges and sustainable timber harvesting practices in surrounding commercial forests, both within the HoB and the extensions we identified. Results of our green model showed that efforts to reduce greenhouse gas emissions will likely contribute immensely to the long-term conservation of highland species such as Hose&amp;apos;s civet. (C) 2019 The Authors. Published by Elsevier B.V.</t>
  </si>
  <si>
    <t>Glob. Ecol. Conserv.</t>
  </si>
  <si>
    <t>10.1016/j.gecco.2019.e00531</t>
  </si>
  <si>
    <t>Study about the effect of diferent scenarios on the habitat of the civet. No C output.</t>
  </si>
  <si>
    <t>Forest management; Scenarios; Modelling; Economic assessment</t>
  </si>
  <si>
    <t>ECOSYSTEM SERVICES; FOREST; AVAILABILITY; POLICY</t>
  </si>
  <si>
    <t>Mozgeris, G; Kavaliauskas, M; Brukas, V; Stanislovaitis, A</t>
  </si>
  <si>
    <t>Assessment of timber supply under alternative contextual scenarios</t>
  </si>
  <si>
    <t>Forest planners in former Eastern Block countries tend to provide conservative forecasts of timber supply, based on a rigid area control under the legislated rotation ages, and often assuming uniform forest management behaviour irrespective of the owner type. This study, in contrast, explores timber supply in a multi-disciplinary approach that analyses contextual factors and expands the space of future forest management options. Methodological steps include: (i) participatory development of qualitative scenarios, following different trajectories of contextual factors affecting forest management; (ii) identification of forest management programmes at the stand level; and (iii) modelling and economic assessment of future flows of timber at the landscape level. This research is carried out in a case study area (CSA) in central Lithuania containing 37,000 ha of forest, of which 80% is under state ownership. The development of forest resources was simulated for four contextualised scenarios: Business as Usual, Efficiency and Reforms, Ecology, and Climate Change Mitigation. Six forest-management programs were constructed together with stakeholders to describe the behaviour of state forest managers and private forest owners under each scenario. All four scenarios led to increased timber supply, largely due to the high proportion of middle-aged and premature stands in current forests. Notably, the present-day approach of rigid area control prioritises a steady timber supply through an evener age-class structure but largely fails on the last point. Our scenario analysis shows that relaxation of legislative requirements not only leads to increased long-term contribution to economic welfare but also enables achievement of evener age-class distributions.</t>
  </si>
  <si>
    <t>10.1016/j.forpol.2018.01.002</t>
  </si>
  <si>
    <t>Il y a des stocks de bois prélevé sous différents scénarios mais il n'y a pas d'émissions CO2 associés</t>
  </si>
  <si>
    <t>CO2; carbon neutrality; supply chain management; wood procurement</t>
  </si>
  <si>
    <t>SUPPLY CHAIN MANAGEMENT; ENVIRONMENTAL BENEFITS; OPERATIONS-RESEARCH; PLANNING-MODELS; EFFICIENCY; SECTOR; ISSUES; TIMBER; PULP</t>
  </si>
  <si>
    <t>Palander, T; Vesa, L</t>
  </si>
  <si>
    <t>Data-Driven Optimization of Forestry and Wood Procurement toward Carbon-Neutral Logistics of Forest Industry</t>
  </si>
  <si>
    <t>Investments toward a carbon-neutral forest industry will change forestry and wood procurement in Northern Finland. The changing market situation requires data-driven DSSs for the strategic management of logistics. Using this software, logistics were described by a continuing wood flow model and optimized by a dynamic method. Three logistics scenarios described wood flows in the present and in the future. The optimization minimized the economic and environmental costs, which decreased by 4.9%. However, synchronized multimodal transportation costs increased by 23.3%. Therefore, maximum logistics efficiency necessitates increases in railway transport capacity. The change would also decrease CO2 emission costs. Under scenario-specific circumstances, logistics operations could be focused on four profitable regions, increasing market shares at municipalities. To guarantee environmental sustainability of these municipalities, optimization of timber markets between forest owners and forest industry must be developed further by driving data from the EU's emission allowance price compensation mechanism to the optimization process.</t>
  </si>
  <si>
    <t>10.3390/f13050759</t>
  </si>
  <si>
    <t>mass timber; carbon storage; lifecycle analysis; regional demand assessments; global trade modelling; climate change; forest impact assessments; sustainable forest management</t>
  </si>
  <si>
    <t>LIFE-CYCLE ASSESSMENT; MANAGEMENT</t>
  </si>
  <si>
    <t>Pasternack, R; Wishnie, M; Clarke, C; Wang, YY; Belair, E; Marshall, S; Gu, HM; Nepal, P; Dolezal, F; Lomax, G; Johnston, C; Felmer, G; Morales-Vera, R; Puettmann, M; van den Huevel, R</t>
  </si>
  <si>
    <t>What Is the Impact of Mass Timber Utilization on Climate and Forests?</t>
  </si>
  <si>
    <t>As the need to address climate change grows more urgent, policymakers, businesses, and others are seeking innovative approaches to remove carbon dioxide emissions from the atmosphere and decarbonize hard-to-abate sectors. Forests can play a role in reducing atmospheric carbon. However, there is disagreement over whether forests are most effective in reducing carbon emissions when left alone versus managed for sustainable harvesting and wood product production. Cross-laminated timber is at the forefront of the mass timber movement, which is enabling designers, engineers, and other stakeholders to build taller wood buildings. Several recent studies have shown that substituting mass timber for steel and concrete in mid-rise buildings can reduce the emissions associated with manufacturing, transporting, and installing building materials by 13%-26.5%. However, the prospect of increased utilization of wood products as a climate solution also raises questions about the impact of increased demand for wood on forest carbon stocks, on forest condition, and on the provision of the many other critical social and environmental benefits that healthy forests can provide. A holistic assessment of the total climate impact of forest product demand across product substitution, carbon storage in materials, current and future forest carbon stock, and forest area and condition is challenging, but it is important to understand the impact of increased mass timber utilization on forests and climate, and therefore also on which safeguards might be necessary to ensure positive outcomes. To thus assess the potential impacts, both positive and negative, of greater mass timber utilization on forests ecosystems and emissions associated with the built environment, The Nature Conservancy (TNC) initiated a global mass timber impact assessment (GMTIA), a five-part, highly collaborative research program focused on understanding the potential benefits and risks of increased demand for mass timber products on forests and identifying appropriate safeguards to ensure positive outcomes.</t>
  </si>
  <si>
    <t>10.3390/su14020758</t>
  </si>
  <si>
    <t>JOURNAL OF POLYMERS AND THE ENVIRONMENT</t>
  </si>
  <si>
    <t>LCA; Biorefinery; Wood residues; LUC</t>
  </si>
  <si>
    <t>BIOFUELS</t>
  </si>
  <si>
    <t>Piemonte, V</t>
  </si>
  <si>
    <t>Wood Residues as Raw Material for Biorefinery Systems: LCA Case Study on Bioethanol and Electricity Production</t>
  </si>
  <si>
    <t>Fossil energy and chemical sources are depleting. There is a critical need to change the current industry and human civilization to a sustainable manner, assuring that our way of life actual continues on the path of improvement after the depletion of fossil energy sources. The utilization of agricultural residues as raw materials in a biorefinery is a promising alternative to fossil resources for production of energy carriers and chemicals, thus mitigating climate change and enhancing energy security. Biorefinery is a concept of converting lignocellulosic biomass or grains (such as corn) to chemicals, materials and energy on which human civilization runs, replacing the need for petroleum, coal, natural gas, and other nonrenewable energy and chemical sources. Lignocellulosic biomass is renewable, that is plant synthesizes chemicals (by drawing energy from the sun and carbon dioxide) and water from the environment, while releasing oxygen. Combustion of biomass releases energy, carbon dioxide and water. Therefore, biorefinery plays a key role in satisfying human needs for energy and chemicals by using the biomass production and consumption cycle. This paper focuses on a biorefinery concept and in particular on the bioethanol production from wood residues. In order to evaluate the environmental reliability of the system under study, the biorefinery plant (producing bioethanol and electricity from wood residues) was compared, by using the LCA methodology, to both conventional refinery system (producing light fuel oil and electricity from petroleum) and biorefinery plant based on corn feedstock producing the same goods. Interesting considerations about LUC emissions effect on biorefinery sustainability are also reported. The obtained results show that by assigning reasonable values to the three damage categories used in the eco-indicator 99 methodology the biorefinery system is preferable, from an environmental point of view, to the conventional refinery system analysed. This finding confirms the high potentials of this innovative plant technology.</t>
  </si>
  <si>
    <t>J. Polym. Environ.</t>
  </si>
  <si>
    <t>10.1007/s10924-011-0396-z</t>
  </si>
  <si>
    <t>bioenergy; linear programming; optimization; sustainability; woody biomass; pellets; torrefied pellet</t>
  </si>
  <si>
    <t>BIOENERGY SYSTEMS; DEBRIS RETENTION; CLIMATE-CHANGE; TRADE; SUSTAINABILITY; RESIDUES; BIOFUELS; HEALTH; MARKET; COSTS</t>
  </si>
  <si>
    <t>Radics, RI; Dasmohapatra, S; Kelley, SS</t>
  </si>
  <si>
    <t>Use of linear programming to -optimize the social, -environmental, and economic impacts of using woody feedstocks for pellet and -torrefied pellet production</t>
  </si>
  <si>
    <t>Linear programming was used to optimize the economic, environmental, and social impacts of forest biomass used for bioenergy production. Sixteen scenarios (combinations of feedstocks, products, markets, and end use) were studied. Two feedstocks (roundwood and wood residues), two densified bioenergy products (white pellet, torrefied pellet), two markets (domestic, international), and two end uses (power generation, district heating) were evaluated. The social, environmental, and economic sustainability attributes were quantified and monetized using peer-reviewed literature to analyze the trade-offs. Using the economic criteria alone, the model showed that the best solution was use of 70% roundwood and 30% forest residue feedstock to produce torrefied pellets (TP) sold for district heating in the EU. The model predicts $5.4 million annual profit which is driven by the use of lower cost forest residue feedstocks, and relatively higher prices for the heating market in the EU. Inclusion of all three sustainability attributes led to a different optimized solution. TP produced from roundwood and sold to the EU market for heating was the optimum, due to the social benefits derived from increased local income to landowners and reduced shipping costs. It also had added benefits of reductions in emissions across the transportation system on an energy basis. TP consistently had higher social benefits than WP due to the need for more biomass per unit of final product, and providing more local jobs and income from feedstock production. The increasing costs of carbon emissions increased the environmental benefits of TP compared to WP or coal. (c) 2016 Society of Chemical Industry and John Wiley &amp; Sons, Ltd</t>
  </si>
  <si>
    <t>10.1002/bbb.1658</t>
  </si>
  <si>
    <t>ECOTOXICOLOGY AND ENVIRONMENTAL SAFETY</t>
  </si>
  <si>
    <t>Environment; GHG emission; Biorefinery; Black liquor; Biomass</t>
  </si>
  <si>
    <t>PRE-EXTRACTION; LIGNIN; WATER; PULP; RECOVERY; PRODUCTS; BIOMASS; PINE</t>
  </si>
  <si>
    <t>Sharma, N; Nainwal, S; Jain, S; Jain, S</t>
  </si>
  <si>
    <t>Emerging biorefinery technologies for Indian forest industry to reduce GHG emissions</t>
  </si>
  <si>
    <t>The production of biofuels as alternative energy source over fossil fuels has gained immense interest over the years as it can contribute significantly to reduce the greenhouse gas (GHG) emissions from energy production and utilization. Also with rapidly increasing fuel price and fall in oil wells, the present scenario forces us to look for an alternative source of energy that will help us in the operation of industrial as well as the transportation sector. The pulp mills in India are one of the many options. The pulp mills in India can help us to produce bio-fuels by thermo-chemical/biochemical conversion of black liquor and wood residues. These technologies include extraction of hemi-cellulose from wooden chips and black liquor, lignin from black liquor, methanol from evaporator condensates, biogas production from waste sludge, syngas production from biomass using gasification and bio-oil production from biomass using pyrolysis. The objective of this paper is to overview these emerging bio-refinery technologies that can be implemented in Indian Forest Industry to get bio-fuels, bio-chemicals and bio-energy to reduce GHG emissions. (C) 2015 Elsevier Inc. All rights reserved.</t>
  </si>
  <si>
    <t>Ecotox. Environ. Safe.</t>
  </si>
  <si>
    <t>10.1016/j.ecoenv.2015.04.050</t>
  </si>
  <si>
    <t>Clean Development Mechanism; forest carbon; forest management; Kyoto Protocol; reduced impact logging; tropical forests</t>
  </si>
  <si>
    <t>INDICATORS; BIOMASS; FIRE</t>
  </si>
  <si>
    <t>Smith, J; Applegate, G</t>
  </si>
  <si>
    <t>Could payments for forest carbon contribute to improved tropical forest management?</t>
  </si>
  <si>
    <t>Under the Kyoto Protocol industrialized countries will be able to meet carbon emission reduction commitments by financing forestry projects that sequester carbon in developing countries. While this mechanism would compensate for missing markets in forest environmental services, it could also enable industrialized countries to avoid reducing energy use. This paper assesses whether such projects could contribute to improved logging practices in the tropics. Results from studies primarily in Asia and Latin America are analyzed in the context of the modalities of the Kyoto Protocol. Results show that the opportunity cost of shifting from conventional logging to improved practices may have been underestimated. At the same time the long-term carbon and biodiversity benefits of improved forest management may have been underestimated. These results follow primarily from the fact that most previous studies assume that a permanent forest estate is maintained under conventional logging and that cutting cycles are as long as 30-60 years. A more realistic scenario, however, consists of repeated harvesting at short intervals during the first few decades, resulting in the degradation of the forest into shrub and grassland. The implications of these results are that forest management projects may be less cost-effective than previously assumed. Therefore, expectations about their potential contribution to improved management should be scaled down. At the same time, the extent to which such projects will enable industrialized countries to avoid reducing industrial pollution is also unlikely to be significant. Cost-effectiveness is likely to be highest where timber volumes in the first few decades after initial logging are comparable under conventional and improved logging. This is likely where topography is relatively flat, biodiversity values are low, wastage of felled timber is high and the policy environment is favorable. A number of proactive measures are suggested to expand the niche for forest management carbon projects. These measures are justified because the incremental carbon and biodiversity benefits in the long run may be higher than previous studies have indicated. (C) 2002 Elsevier Science B.V. All rights reserved.</t>
  </si>
  <si>
    <t>10.1016/S1389-9341(02)00102-8</t>
  </si>
  <si>
    <t>FALL CHINOOK SALMON; STREAM TEMPERATURE; STEELHEAD TROUT; TEMPORAL VARIABILITY; POTENTIAL IMPACTS; WATER TEMPERATURE; THERMAL REGIMES; DISCHARGE; DYNAMICS; SURVIVAL</t>
  </si>
  <si>
    <t>Spanjer, AR; Gendaszek, AS; Wulfkuhle, EJ; Black, RW; Jaeger, KL</t>
  </si>
  <si>
    <t>Assessing climate change impacts on Pacific salmon and trout using bioenergetics and spatiotemporal explicit river temperature predictions under varying riparian conditions</t>
  </si>
  <si>
    <t>Pacific salmon and trout populations are affected by timber harvest, the removal and alteration of riparian vegetation, and the resulting physical changes to water quality, temperature, and associated delivery of high-quality terrestrial prey. Juvenile salmon and trout growth, a key predictor of survival, is poorly understood in the context of current and future (climate-change mediated) conditions, with resource managers needing information on how land use will impact future river conditions for these commercially and culturally important species. We used the Heat Source water temperature modeling framework to develop a spatiotemporal model to assess how riparian canopy and vegetation preservation and addition could influence river temperatures under future climate predictions in a coastal river fed by a moraine-dammed lake: the Quinault River in Washington State. The model predicted higher water temperatures under future carbon emission projections, representative concentration pathway (RCP) 4.5 and 8.5, with varying magnitude based on different riparian vegetation scenarios. We used the daily average temperature output from these scenarios to predict potential juvenile fish growth using the Wisconsin bioenergetics model. A combination of riparian vegetation removal and continued high carbon emissions resulted in a predicted seven-day average daily maximum temperature (7DADM) increase of 1.7 degrees C in the lower river by 2080; increases in riparian shading mitigate this 7DADM increase to only 0.9 degrees C. Under the current thermal regime, bioenergetics modeling predicts juvenile fish lose weight in the lower river; this loss of potential growth worsens by an average of 20-83% in the lower river by 2080, increasing with the loss of riparian shading. This study assess the impact of riparian vegetation management on future thermal habitat for Pacific salmon and trout under warming climates and provide a useful spatially explicit modeling framework that managers can use to make decisions regarding riparian vegetation management and its mechanistic impact to water temperature and rearing juvenile fish.</t>
  </si>
  <si>
    <t>10.1371/journal.pone.0266871</t>
  </si>
  <si>
    <t>air-dry wood density; annual radial increment; cambial age; dendroecology; emmeans; high-frequency densitometry; linear mixed-effects models; lme4; lmerTest</t>
  </si>
  <si>
    <t>HIGH-FREQUENCY DENSITOMETRY; NORWAY SPRUCE; RING WIDTH; IMAGE-ANALYSIS; RADIAL GROWTH; LATEWOOD DENSITY; TREE-RINGS; SCOTS PINE; TEMPERATURE; CLIMATE</t>
  </si>
  <si>
    <t>Sprengel, L; Cheng, ZQ; Hipler, SM; Wu, SR; Spiecker, H</t>
  </si>
  <si>
    <t>Mean Annual Wood Density Variations of Larix gmelinii (Rupr.), Quercus mongolica Fisch. ex Ledeb., and Pinus tabulaeformis Carr. at Two Different Stem Heights</t>
  </si>
  <si>
    <t>Forests are a large carbon sink with an additional substitution effect in the merchantable timber compartment of harvested trees, where carbon stored within the same volume of wood varies depending on wood density. Here, we investigated mean annual air-dry wood density variations depending on cambial age, annual radial increment, and two different stem heights of Larix gmelinii (Rupr.), Quercus mongolica Fisch. ex. Ledeb., and Pinus tabulaeformis Carr. from a first climatic region (Mulan Forest) and exclusively of P. tabulaeformis from a second climatic region (Zhongtiaoshan Forest) in the temperate zone of China. We applied linear mixed-effects models with partly transformed variables and estimated marginal means for pairwise comparisons. Results showed that mean wood density was not significantly different between L. gmelinii (0.626 g cm(-3)) and Q. mongolica (0.596 g cm(-3)), but significantly different between P. tabulaeformis from the two different climatic regions (0.445 g cm(-3) in Mulan Forest and 0.521 g cm(-3) in Zhongtiaoshan Forest). Mean annual wood density within trees except for P. tabulaeformis from Mulan Forest was initially increasing until an intermediate cambial age, after which it decreased again to lower values. These findings showed that tree age had to be considered in assessing carbon sequestration in wood. It also could play an important role in decision making for forest management in Mulan Forest and show the benefit of the wood properties and carbon storage potential of the faster growing L. gmelinii compared to Q. mongolica. Furthermore, these findings gave an indication that intermediate old forest stands for some tree species accumulated more carbon per year within their woody biomass than young stands or old growth forests. Our results may have an impact on the planning of rotation lengths and of tree species composition for forest stands in Mulan Forest and Zhongtiaoshan Forest.</t>
  </si>
  <si>
    <t>10.3390/f11040394</t>
  </si>
  <si>
    <t>Technical efficiency; Allocative efficiency; Profit efficiency; Data envelopment analysis; Ecosystem services; Climate change</t>
  </si>
  <si>
    <t>DATA ENVELOPMENT ANALYSIS; ECOSYSTEM SERVICES; BIODIVERSITY; FRAMEWORK; IMPACTS; MODEL</t>
  </si>
  <si>
    <t>Susaeta, A; Adams, DC; Carter, DR; Gonzalez-Benecke, C; Dwivedi, P</t>
  </si>
  <si>
    <t>Technical, allocative, and total profit efficiency of loblolly pine forests under changing climatic conditions</t>
  </si>
  <si>
    <t>Forest ecosystem services (ES) provide significant value to society. Without means to adequately capture that value, societal ES values have little influence on landowners' management decisions, leading to inefficiencies in forest-based ES provision. To understand these inefficiencies, we employ data envelopment analysis (DEA) to assess three types of efficiency - technical, allocative and total profit - of planted pine forests using loblolly pine (Pines taeda L.) in the Southern US as an example. Field data from n = 28 plots are used to assess stand level efficiency in the production of timber, carbon sequestration, and species richness considering inputs such as site index, age and number of trees, precipitation and temperatures. Given the impacts of climate change on key inputs, we also assess efficiency under climate scenarios representing moderate (RCP4.5) and high (RCP8.5) greenhouse gas emissions pathways. We find that 96% of forest plots are technically efficient in providing timber, carbon sequestration and species richness and 75% are allocative or total profit efficient With climate change, allocative or total profit efficiency remains similar to the initial conditions, and total profit substantially increases (42.8% and 45.6% for RCP4.5 and RCP8.5). These findings highlight the increasingly important role that forests play in providing sodally valuable ES. (C) 2016 Elsevier B.V. All rights reserved.</t>
  </si>
  <si>
    <t>10.1016/j.forpol.2016.06.021</t>
  </si>
  <si>
    <t>LAND</t>
  </si>
  <si>
    <t>renewable energy; land demand; fuelwood; carbon sequestration; ecosystem services</t>
  </si>
  <si>
    <t>EMISSIONS</t>
  </si>
  <si>
    <t>Syrbe, RU; Han, TT; Grunewald, K; Xiao, SL; Wende, W</t>
  </si>
  <si>
    <t>Residential Heating Using Woody Biomass in Germany-Supply, Demand, and Spatial Implications</t>
  </si>
  <si>
    <t>Low-carbon energy requires more land than the non-renewable resources. This paper balances holistic assessments of the land demands for biomass heating and their ecosystem services. It is predicted that biomass will continue to play an important role in the heating sector in Germany by 2050, as it is one way to increase the use of renewable energy and reduce CO2 emissions. To balance this out, it is important to ensure that the substitution of fossil fuels with fuelwood does not result in losses in biodiversity, natural forest, and agricultural land. Based on the observed types of fuel demand, the need for space in terms of the growing area is characterized as the corresponding land under the consideration of a given land-use type. Formulas have been applied at the federal level in Germany. The area required to supply an average German household is 0.64 ha if all the wood harvested is used for energy purposes, but this is in competition with all other types of timber use. Fuelwood from thinning alone cannot meet the domestic demand. However, a sustainable supply of woody biomass is possible if residues mainly from forestry and the wood processing industry are used, causing a land demand of 2.69 ha per house, possibly in combination with smaller shares of the above-mentioned types of use. Thus, the shares of pellets and wood chips for heating purposes should be expanded, which would also bring ecological advantages. The qualitative consideration of forest ecosystem services shows that changing the forest composition or management may increase the fuelwood supply but does not necessarily decrease forest ecological services.</t>
  </si>
  <si>
    <t>Land</t>
  </si>
  <si>
    <t>10.3390/land11111937</t>
  </si>
  <si>
    <t>INTERNATIONAL JOURNAL OF GEOMATE</t>
  </si>
  <si>
    <t>Advanced Materials; Sustainability; Innovation; Civil Engineering; Construction</t>
  </si>
  <si>
    <t>Thorpe, DS</t>
  </si>
  <si>
    <t>UPTAKE OF ADVANCED AND SUSTAINABLE ENGINEERING MATERIALS IN CIVIL INFRASTRUCTURE PROJECTS</t>
  </si>
  <si>
    <t>Advanced and sustainable engineering materials, such as engineered fibre composites, geoploymer cement, and recycled concrete have the potential to reduce demand on scarce resources, improve safety, reduce greenhouse gas emissions and contribute to positive initiatives in civil engineering design and construction in areas like foundations and structural members. For example, engineered fibre composites can replace other materials (such as timber), because of their high strength to weight ratio, light weight and ease of installation. They can also have positive impacts on sustainability. While advanced materials have several advantages, their take-up by industry, and in particular small and medium enterprise companies (SMEs), has in a number of cases been relatively slow. This is likely to be the result of a number of factors, such as relatively high cost, financial risk in using an unproven technology, lack of suitable design standards, an unproven life cycle, uncertainty over long-term sustainability issues, and possible changed building and construction methods. Advantages and disadvantages of the use of selected advanced and sustainable materials in civil engineering projects are investigated. A weighted scoring methodology for improved evaluation of their advantages and disadvantages, with a view to aiding decisions, is proposed.</t>
  </si>
  <si>
    <t>Int. J. GEOMATE</t>
  </si>
  <si>
    <t>10.21660/2015.15.4239</t>
  </si>
  <si>
    <t>No C output according to the abstract.</t>
  </si>
  <si>
    <t>LAND USE POLICY</t>
  </si>
  <si>
    <t>Agroforestry; Atlantic Forest; Biodiversity conservation; Environmental legislation; Forest certification; Land use policy</t>
  </si>
  <si>
    <t>EUTERPE-EDULIS MART.; ARAUCARIA-ANGUSTIFOLIA; CLIMATE-CHANGE; CONSERVATION; MANAGEMENT; BIODIVERSITY; RESTORATION</t>
  </si>
  <si>
    <t>Urruth, LM; Bassi, JB; Chemello, D</t>
  </si>
  <si>
    <t>Policies to encourage agroforestry in the Southern Atlantic Forest</t>
  </si>
  <si>
    <t>Agroforestry is recognized as a friendly land-management practice because it can contribute to improve soil productivity, biodiversity conservation, ecosystem functions, climate change mitigation, landscape connectivity and the delivery of ecosystem services, optimizing livelihood benefits for people. The Atlantic Forest, a worldwide biodiversity hotspot, which presents large areas in natural regeneration and a promising scenario for ecological restoration has great potential for agroforestry. According to Brazilian legislation, the agroforestry conducted on remnants of Atlantic Forest depends on previous environmental authorization regarding both the vegetation management and the commercialization of native flora products. Although Brazilian legislation provides incentives for agroforestry, there are important barriers to its development regarding to the vegetation management for production, processing (enforcement of health and sanitation laws), and trading of timber and non-timber products. In the Rio Grande do Sul, the procedures for obtaining environmental authorization concerning the management and trading of native plants were too bureaucratic, unattractive, and infeasible for small rural landowners because the environmental legislation was not translated into effective public policies. Since the agroforestry and extraction of native flora products needs to comply with legislation and the key point is to guarantee the legal and sustainable origin of the products, and the management carried out, the appropriate procedure for the regularization of such practices is a certification of forest management. The SEMA's agroforestry certification (SAC) is a simplified procedure to legal compliance and sustainable management of native vegetation and mainly attends family farmers, indigenous peoples, maroons, and traditional populations. Until September 2019, nearly 130 landowners requested the SAC from 65 municipalities of Rio Grande do Sul. According to the applicants, around 99% of rural properties are considered small, ranging from 1.3 to 156 ha. Altogether, they add up to almost 380 ha of agroforestry in anthropic areas, some of them degraded by intense historical land use. The extraction of fruits and seeds and the planting of native tree species (59% and 48%, respectively) were the most mentioned agroforestry management by the applicants. The main products or species of interest mentioned were fruits and heart of palm from Euterpe edulis (52%), fruits of Citrus spp. (51%), native timber (49%), non-native fruits (44%), native Myrtaceae fruits (39%), other native fruits (32%), banana crops (29%), Yerba-mate (26%), non-native timber (16%), other non-native plants (9%), ornamental plants (9%), Butia catarinensis fruits (7%), and Butia odorata fruits (2%). The SAC has brought stakeholders (farmers, technical assistants, and researchers) closer to the environmental agency, creating a broad new regional agenda on agroforestry, and a myriad of conservation opportunities. The strengthening of agroforestry-support policies must be an important conservation strategy in the Atlantic Forest. However, to carry out such policies, it is necessary to create conditions and incentives beyond the legislative scope, translating the legal provisions to procedures and actions.</t>
  </si>
  <si>
    <t>Land Use Pol.</t>
  </si>
  <si>
    <t>10.1016/j.lusepol.2021.105802</t>
  </si>
  <si>
    <t>Out of scope: paper about barriers to agroforestry in Brazil</t>
  </si>
  <si>
    <t>SCANDINAVIAN JOURNAL OF FOREST RESEARCH</t>
  </si>
  <si>
    <t>Carbon stock; Chinese fir; site specific-based scenario; mixed forest-based scenario</t>
  </si>
  <si>
    <t>LEAF-LITTER DECOMPOSITION; NUTRIENT RETURN; FIR; PLANTATIONS; DYNAMICS</t>
  </si>
  <si>
    <t>Wang, B; Wei, WJ; Xing, ZK; You, WZ; Niu, X; Ren, XX; Liu, CJ</t>
  </si>
  <si>
    <t>Biomass carbon pools of Cunninghamia lanceolata (Lamb.) Hook. forests in subtropical China: Characteristics and potential</t>
  </si>
  <si>
    <t>Chinese fir (Cunninghamia lanceolata ( Lamb.) Hook.) is one of the most important indigenous tree species in China. Owing to their rapid growth, good timber quality and short rotation time, increasing numbers of plantations are being established with successive rotations. Numerous competing hypotheses have been described to explain the decline in yield that occurs with successive rotations of the plantations. In addition, there are some uncertainties regarding the changes and characteristics of biomass carbon pools in Chinese fir forests in subtropical China, and information is lacking regarding how to improve carbon sequestration by this biomass sink. The total biomass carbon stock of the Chinese fir forest in China increased from 91.57 Tg C in 1977-1981 to 238.50 Tg C in 2004-2008, accounting for 2.48-4.32% of the national forest biomass carbon in the corresponding period. Due to the decreased yield during successive rotation for Chinese fir plantations before the 1990s, the biomass carbon stock of Chinese fir forests decreased in several regions in China during the 1980s and 1990s, and increased in the 2000s when several silvicultural measures were implemented to improving the quality of Chinese fir plantations. When compared with the age-based volume to biomass (V-B) method of determining biomass carbon stock in Chinese fir forests in Jiangxi Province, the site specific-based and the mixed forests-based scenarios would both help offset CO2 emissions by sequestrating more CO2 from the atmosphere.</t>
  </si>
  <si>
    <t>Scand. J. Forest Res.</t>
  </si>
  <si>
    <t>10.1080/02827581.2012.672585</t>
  </si>
  <si>
    <t>The paper is poorly written. It seems that three scenarios with different species mixes are studied, but even this is unclear. What the C outputs displayed correspond to is even less clear.</t>
  </si>
  <si>
    <t>changedAV excluded, the C output is the application of a substitution coefficient without clear explanation of boundaries used to define the coefficient</t>
  </si>
  <si>
    <t>biodiesel production; carbon sequestration; environmental economic analysis; oleaginous trees; renewable energy</t>
  </si>
  <si>
    <t>CARBON SEQUESTRATION; ECONOMIC-ANALYSIS; OIL PALM; FOREST; BIOENERGY; EMISSIONS; BIOGAS; YIELD; MODEL; WOOD</t>
  </si>
  <si>
    <t>Zhang, J; Cong, RG; Hasler, B</t>
  </si>
  <si>
    <t>Sustainable Management of Oleaginous Trees as a Source for Renewable Energy Supply and Climate Change Mitigation: A Case Study in China</t>
  </si>
  <si>
    <t>Forests provide a range of ecosystem services, including bioenergy supply and carbon sequestration, both contributing to significant climate change mitigation. Oleaginous trees have potential to provide bioenergy supplies through biodiesel-producing seed yield as well as contributing to carbon sequestration. This paper aims to show the provisions of bioenergy and carbon savings through forest rotation management and it will investigate the potential of oleaginous forest management in China. We use the land expectation value (LEV) model to calculate the optimal joint values of timber, seed and total carbon savings, including carbon sequestration from forest and carbon reductions through energy substitutions. The results indicate that combining both values of seeds and carbon savings increase the LEV and rotation age (167,611 Yuan/ha, 78 years) compared to sole timber value (26,053 Yuan/ha, 55 years). The optimization of the LEVs and the resulting optimal rotation ages are significantly sensitive to the discounting rate. Annual biodiesel potential production from Pistacia chinensis can take up 1.7% of the national diesel consumption in China. We conclude that China can use improved forest rotation management as an effective means for achieving goals in its low-carbon energy strategy.</t>
  </si>
  <si>
    <t>10.3390/en11051123</t>
  </si>
  <si>
    <t>Only C output is a map of GHG savings per Chinese province based on biodiesel production. Results cannot be extracted. Even if they could, it would be difficult to identify the baseline scenario.</t>
  </si>
  <si>
    <t>INTERNATIONAL JOURNAL OF BUILDING PATHOLOGY AND ADAPTATION</t>
  </si>
  <si>
    <t>Buildings; Aluminium; Sustainability; Life cycle assessment; Timber; Windows</t>
  </si>
  <si>
    <t>CONSTRUCTION SECTOR; BUILDING ENERGY; ASSESSMENT LCA; SAUDI-ARABIA</t>
  </si>
  <si>
    <t>Asif, M</t>
  </si>
  <si>
    <t>An empirical study on life cycle assessment of double-glazed aluminium-clad timber windows</t>
  </si>
  <si>
    <t>Purpose Life cycle assessment (LCA) is a useful tool to determine the environmental performance of materials and products. The purpose of this paper is to undertake the LCA of double-glazed aluminium-clad timber windows in order to determine their environmental performance. Design/methodology/approach The scope of the LCA study covers the production and the use of windows over a 30-year life span. The LCA exercise has been carried out by auditing the materials and processes involved in the making of the windows. Windows production facilities were visited to investigate the respective quantities and embodied energy of the major constituting materials, i.e. timber, aluminium, glass, infill gases and auxiliary components. The main processes involved, i.e. powder coating of aluminium cladding profiles, glazing unit production and window assembly, were also examined. SimaPro software was used to calculate the environmental impacts associated with the windows for three types of glazing infills: Argon (Ar), Krypton (Kr) and Xenon (Xe). Findings Embodied energy of a standard sized (1.2 mx1.2 m) double-glazed aluminium-clad timber window is found to be 899, 1,402 and 5,400 MJ for Argon (Ar), Krypton (Kr) and Xenon (Xe) infill gases, respectively. It is also found that an Argon-filled window can lose 95,130 kWh of energy resulting into over 37,000 kg of CO2 emissions. Originality/value Besides carrying value for research community, the findings of this study can help the building and construction industry adopt windows that are energy-efficient and environmentally less burdensome. It can also help the concerned legislative bodied.</t>
  </si>
  <si>
    <t>Int. J. Build. Pathol. Adapt.</t>
  </si>
  <si>
    <t>10.1108/IJBPA-01-2019-0001</t>
  </si>
  <si>
    <t>the paper compares different gass-filled windows but the construction of these different types of windows use the same amount of wood.</t>
  </si>
  <si>
    <t>SOIL CARBON; FOREST; DECOMPOSITION; DYNAMICS; 3-PG; PRODUCTIVITY; ICBM; PARAMETERIZATION; PHOTOSYNTHESIS; CHRONOSEQUENCE</t>
  </si>
  <si>
    <t>Minunno, F; Xenakis, G; Perks, MP; Mencuccini, M</t>
  </si>
  <si>
    <t>Calibration and validation of a simplified process-based model for the prediction of the carbon balance of Scottish Sitka spruce (Picea sitchensis) plantations</t>
  </si>
  <si>
    <t>There is increasing recognition that forestry provides a low cost and robust means of climate change abatement through carbon sequestration and substitution. However, current understanding of forest ecosystem carbon exchange and forest-atmosphere interactions are often inadequately characterized by existing empirical growth models with resulting poor representation for regional extrapolations. In this paper, we describe the parameterisation and independent validation, against both eddy covariance and forest growth experimental data, of a process-oriented model 3PGN to provide assessments of carbon sequestration of Sitka spruce (Picea sitchensis (Bong.) Carriere) plantations across Scotland. In comparison with eddy covariance measurements, the model predicted all of the major annual carbon fluxes, i.e., gross primary production (P-G), net ecosystem production (P-E), and ecosystem respiration (R-E), with biases lower than 10%. At a monthly time step, only P-G and P-E were accurately estimated, whereas R-E was not. At longer time scales (i.e., several decades), the model reliably represented the major patterns of the carbon balance. Soil type was identified as the important factor influencing site productivity; fertilization practices did not alter long-term site nutritional status. The analyses also highlighted the potential impact of carbon loss from carbon-rich soils, which can result in differences between optimal rotation length for carbon sequestration and for timber production.</t>
  </si>
  <si>
    <t>10.1139/X10-181</t>
  </si>
  <si>
    <t>EUROPEAN JOURNAL OF WOOD AND WOOD PRODUCTS</t>
  </si>
  <si>
    <t>BUILDINGS; CONTEXT; IMPACT</t>
  </si>
  <si>
    <t>Achenbach, H; Wenker, JL; Ruter, S</t>
  </si>
  <si>
    <t>Life cycle assessment of product- and construction stage of prefabricated timber houses: a sector representative approach for Germany according to EN 15804, EN 15978 and EN 16485</t>
  </si>
  <si>
    <t>Energy savings in the use phase of a building's life cycle increased the relative importance of environmental impacts of the product-, construction- and end-of-life stages of a building. The European Committee for Standardization (CEN) thus developed horizontal standards to enable the sustainability assessment of construction works over their entire life cycle. Consistent with the European standards EN 15804, EN 15978 and EN 16485, a life cycle assessment (LCA) was carried out to determine the environmental impacts of the production and construction stages of an average prefabricated timber house produced in Germany as well as its particular building elements (1 mA(2) inner/outer wall, 1 mA(2) roof element, 1 mA(2) ceiling element). The life cycle inventories (LCIs) were compiled on the basis of annual data of 12 participating manufacturers of prefabricated timber houses. A specific LCA model was developed for the calculation of the input- and output flows referring to the functional units on factory level. Furthermore, one focus was laid on the application of the modular principle according to EN 15804/15978 to construction systems with a high level of prefabrication. The normalization to the overall German impacts shows that the contributions to the environmental categories global warming potential (GWP), acidification (AP) and to the abiotic depletion potential (ADPe) are most important. The highest impacts originate from the manufacturing of the building materials. However, for the categories GWP and AP, around 30% of the impacts originate from the prefabrication of the building elements, their transport and the processes at the construction site.</t>
  </si>
  <si>
    <t>Eur. J. Wood Wood Prod.</t>
  </si>
  <si>
    <t>10.1007/s00107-017-1236-1</t>
  </si>
  <si>
    <t>SUSTAINABLE ENERGY TECHNOLOGIES AND ASSESSMENTS</t>
  </si>
  <si>
    <t>Life cycle assessment; LCA; Bioenergy; Gasification; CHP; Industry</t>
  </si>
  <si>
    <t>Adams, PWR; McManus, MC</t>
  </si>
  <si>
    <t>Small-scale biomass gasification CHP utilisation in industry: Energy and environmental evaluation</t>
  </si>
  <si>
    <t>Biomass gasification is regarded as a sustainable energy technology used for waste management and producing renewable fuel. Using the techniques of life cycle assessment (LCA) and net energy analysis this study quantifies the energy, resource, and emission flows. The purpose of the research is to assess the net energy produced and potential environmental effects of biomass gasification using wood waste. This paper outlines a case study that uses waste wood from a factory for use in an entrained flow gasification CHP plant. Results show that environmental impacts may arise from toxicity, particulates, and resource depletion. Toxicity is a potential issue through the disposal of ash. Particulate matter arises from the combustion of syngas therefore effective gas cleaning and emission control is required. Assessment of resource depletion shows natural gas, electricity, fossil fuels, metals, and water are all crucial components of the system. The energy gain ratio is 4.71MJdelivered/MJprimary when only electricity is considered, this increases to 13.94MJdelivered/MJprimary if 100% of the available heat is utilised. Greenhouse gas emissions are very low (7-15 g CO2-e/kWh(e)) although this would increase if the biomass feedstock was not a waste and needed to be cultivated and transported. Overall small-scale biomass gasification is an attractive technology if the high capital costs and operational difficulties can be overcome, and a consistent feedstock source is available. (C) 2014 Elsevier Ltd. All rights reserved.</t>
  </si>
  <si>
    <t>Sustain. Energy Technol. Assess.</t>
  </si>
  <si>
    <t>10.1016/j.seta.2014.02.002</t>
  </si>
  <si>
    <t>deforestation; management regimes; historic emissions; counter appraoches; Pakistan</t>
  </si>
  <si>
    <t>LAND-USE CHANGE; HIMALAYA; BIOMASS; STOCKS; DEFORESTATION; DEGRADATION; ATMOSPHERE; PATTERNS; TRENDS; SINK</t>
  </si>
  <si>
    <t>Ahmad, A; Ahmad, S; Nabi, G; Zeb, A; Rajpar, MN; Ullah, S; Khalid, F; Rahman, M; Liu, QJ; Zu, KL; Guo, XL; Wanghe, K</t>
  </si>
  <si>
    <t>Carbon Emissions With Forest Cover Change and Wood Harvest in the Dry Temperate Region of Pakistan Between 1908 and 2015</t>
  </si>
  <si>
    <t>Regional carbon emissions related to forest cover change (FCC) and wood harvest (WH) are critical for the accurate estimates of global carbon balance over an extended time period. Using remote sensing and inventory data, this study provides a comprehensive record of FCC, WH, and their integrated carbon emissions between 1908 and 2015 in the dry temperate regions of Pakistan. Results demonstrate a significant decline in forest area (21,034 ha) at an annual rate of 0.56% from 1973 to 2015. The total WH was 24.84 million m(3) (0.23 million m(3) yr(-1)) between 1908 and 2015. Deforestation was responsible for a net loss of 1.39 million Mg C (0.018 million Mg C yr(-1)), while WH-related carbon emissions accounted for 11.29 million Mg C (0.52 million Mg C yr(-1)). The present results indicate that under the existing FCC and WH harvest scenario, the forests are acting as a net source of 0.29 million Mg C yr(-1). Agriculture expansion and the heavy dependency of local communities on the forest's resources, exclusion of conservation and local communities from forest management, insufficient monitoring, and weak law-enforcement were the striking drivers of FCC, WH, and their related emissions. These findings suggest that to maintain forest carbon and meet the communities' requirements, counter approaches such as agriculture incentives, agroforestry, trophy hunting, alternative energy sources, and inclusion of conservation and secure community-based management are needed.</t>
  </si>
  <si>
    <t>10.3389/fenvs.2022.876225</t>
  </si>
  <si>
    <t>Wood-based materials; In-use carbon stocks; Carbon sequestration; Material flow analysis; Dynamic stock modeling; Climate change mitigation</t>
  </si>
  <si>
    <t>RESIDENTIAL BUILDINGS; ENERGY; FLOW; EMISSIONS; ECONOMY; STEEL; PRODUCTS; DYNAMICS; IMPACTS; JAKARTA</t>
  </si>
  <si>
    <t>Estimating in-use wood-based materials carbon stocks in Indonesia: Towards a contribution to the national climate mitigation effort</t>
  </si>
  <si>
    <t>The carbon sequestered in harvested wood products (HWP) can contribute to climate change mitigation. As a fast-growing country with abundant forest resources, Indonesia potentially has vast HWP carbon stocks that need to be accurately assessed as a first step towards understanding the extent of their potential contribution in climate change mitigation. In this study, a dynamic materials stock and flow analysis for carbon in wood-based products in Indonesia was conducted, covering six end-use sectors. In general, only around 30.3% of the harvested wood (carbon mass) was converted into end-use materials in 2014, indicating a significantly low harvested wood conversion rate in Indonesia. There was a significant increase of wood-based products' carbon stocks in Indonesia from 1961 to 2016. There were 72 (-17/+15) Mt-C of wood stocks in Indonesian society in 2016, or equivalent to 0.28 t-C/capita. Buildings (42%) and infrastructure (31%) were the largest contributors to in-use carbon stocks. The product lifetime uncertainty had a significant influence on the estimate of total society's wood-based carbon stock. Indonesia's in-use stock of wood-based products in 2008 was below its stock level of steel (1.2 times smaller) and cement (5.3 times smaller). Both wood-steel and wood-cement stock ratios showed declining trends, indicating a shifting trend to non-renewable materials use over the past decades. This is the first study that accounts for the in-use wood-based carbon stocks in a developing country. Its results can facilitate further quantitative environmental assessments of non-renewable materials substitution and could help framing materials use policies for climate change mitigation.</t>
  </si>
  <si>
    <t>10.1016/j.resconrec.2019.06.010</t>
  </si>
  <si>
    <t>TREES FORESTS AND PEOPLE</t>
  </si>
  <si>
    <t>Avoided emissions; conservation; coastal protection; ecosystem services; income; tree biomass</t>
  </si>
  <si>
    <t>HOMESTEAD FORESTS; CLIMATE-CHANGE; CO-BENEFITS; DIVERSITY; BIODIVERSITY; TREES; AGROFORESTRY; HOUSEHOLD; BIOENERGY; KNOWLEDGE</t>
  </si>
  <si>
    <t>Baul, TK; Chakraborty, A; Nandi, R; Nath, TK; Mohiuddin, M</t>
  </si>
  <si>
    <t>Phytosociological attributes and ecosystem services of homegardens of Maheshkhali island of Bangladesh</t>
  </si>
  <si>
    <t>Homegardens with diverse plants have the potential to generate ecosystem services. We investigated phytosociological attributes and ecosystem services, and thereof economic benefits, and how attributes of homegardens and socioeconomic characteristics of the households influencing the economic benefits and regulating services of homegardens of Maheshkhali Island in South-Western Bangladesh. We randomly surveyed and interviewed a total of 239 homegardens and respective households located in the hillside (67), beachside (69), and inland (103) of Maheshkhali island, and conducted three focus group discussions. Tree species diversity and tree individuals per household were significantly higher in the hillside and inland in comparison to beachside. We found 56 tree species which have a wide range of regulating services. About 31-37%, 31-46%, 31-39%, and 37-42% of tree species across the three locations provide shade, coastal protection, soil improvement, and conservation services, respectively, with more species on the beachside for coastal protection. The responses of regulating services were significantly affected by respondents' age and gender. About 40-44% of tree species provide multiple provisioning services. These services of homegardens contributed to the household economy (income, utilization, and sale of tree biomass fuels, fruits, timber, and bamboo) and avoided CO2 emissions, which were higher in inland and hillside than the beachside, where households were relatively poor. These sale revenues and utilization values increased with the increasing size of landholdings and homegardens, tree and bamboo individuals, and species diversity, contributed to increasing income. The attributes of homegardens were also positively correlated with the harvesting of biomass fuels and avoided emissions, and had a positive contribution to total energy supply. Having a wide range of economic and ecological values, it is important to ensure the sustainability of homegardens. Authorities (e.g., Local government councils, forest department) may provide incentives such as technical advice and material support for the conservation of homegardens.</t>
  </si>
  <si>
    <t>Trees For. People</t>
  </si>
  <si>
    <t>10.1016/j.tfp.2021.100092</t>
  </si>
  <si>
    <t>The paper is about trees in homegardens</t>
  </si>
  <si>
    <t>changed_to_no_driver</t>
  </si>
  <si>
    <t>INTERNATIONAL WOOD PRODUCTS JOURNAL</t>
  </si>
  <si>
    <t>Mass timber; CLT; sustainable supply; robustness; durability; end of life; net zero carbon; embodied carbon</t>
  </si>
  <si>
    <t>Campbell, A</t>
  </si>
  <si>
    <t>What engineers (still) do not know about wood: an engineer's perspective on key knowledge gaps in the use of mass timber</t>
  </si>
  <si>
    <t>An engineer's viewpoint on key areas for further research and industry initiatives to support the increased use of mass timber, particularly Cross Laminated Timber. The paper identifies issues related to project delivery in UK and global construction markets including design for durability, approaches to building design complexity, sustainable supply and the end of life scenarios of buildings, and emerging net zero carbon emissions strategies and the role of forestry for products.</t>
  </si>
  <si>
    <t>Int. Wood Prod. J.</t>
  </si>
  <si>
    <t>10.1080/20426445.2020.1730047</t>
  </si>
  <si>
    <t>BOREAL FOREST; FIRE FREQUENCY; WOOD; SUPPRESSION; IMPACTS; BALANCE; GROWTH</t>
  </si>
  <si>
    <t>Chen, JX; Colombo, SJ; Ter-Mikaelian, MT; Heath, LS</t>
  </si>
  <si>
    <t>Carbon Profile of the Managed Forest Sector in Canada in the 20th Century: Sink or Source?</t>
  </si>
  <si>
    <t>Canada contains 10% of global forests and has been one of the world's largest harvested wood products (HWP) producers. Therefore, Canada's managed forest sector, the managed forest area and HWP, has the potential to significantly increase or reduce atmospheric greenhouse gases. Using the most comprehensive carbon balance analysis to date, this study shows Canada's managed forest area and resulting HWP were a sink of 7510 and 849 teragrams carbon (TgC), respectively, in the period 1901-2010, exceeding Canada's fossil fuel-based emissions over this period (7333 TgC). If Canadian HWP were not produced and used for residential construction, and instead more energy intensive materials were used, there would have been an additional 790 TgC fossil fuel-based emissions. Because the forest carbon increases in the 20th century were mainly due to younger growing forests that resulted from disturbances in the 19th century, and future increases in forest carbon stocks appear uncertain, in coming decades most of the mitigation contribution from Canadian forests will likely accrue from wood substitution that reduces fossil fuel-based emissions and stores carbon, so long as those forests are managed sustainably.</t>
  </si>
  <si>
    <t>10.1021/es5005957</t>
  </si>
  <si>
    <t>Bamboo; Sustainability; Housing projects; CO2</t>
  </si>
  <si>
    <t>LIFE-CYCLE; CONSTRUCTION MATERIALS; RESIDENTIAL BUILDINGS; EMISSIONS; IMPACTS</t>
  </si>
  <si>
    <t>Escamilla, EZ; Habert, G; Wohlmuth, E</t>
  </si>
  <si>
    <t>When CO2 counts: Sustainability assessment of industrialized bamboo as an alternative for social housing programs in the Philippines</t>
  </si>
  <si>
    <t>The growth of human populations in urban areas has introduced an increasing demand for housing solutions. The housing demand in the Philippines is further increased by the severity and number of natural disasters afflicting the country every year. Organizations that focus on social housing programs tend to use conventional construction materials. These materials are known for high levels of emissions related to their production. Bio-based construction materials, such as bamboo or wood, can capture CO2 during their growth phase and can store it in their durable products. This storage phase becomes important when it spans decades, as occurs with buildings. The present research aims to evaluate the sustainability of industrialized bamboo solutions in housing projects. Three categories were used for the sustainability assessment: environmental impact considering CO2 emissions, economic considering potential revenue from CO2 credits and social considering the job creation potential. The results show that the most important variables are the life span of the bamboo-based buildings and their end-of-life scenarios. The results show that the transition toward a more sustainable built environment will be much faster with the implementation of industrialized bamboo production than with the use of industrial wood production. However, bamboo -based buildings require careful management regarding their end-of-life circumstances to efficiently store CO2. (C) 2016 Elsevier Ltd. All rights reserved.</t>
  </si>
  <si>
    <t>10.1016/j.buildenv.2016.04.003</t>
  </si>
  <si>
    <t>CO2 value is incorrect with the addition of stock and flux. Displayed results do not allow a robust data extraction.</t>
  </si>
  <si>
    <t>exclude paper</t>
  </si>
  <si>
    <t>economic-environmental sustainability; life cycle costing; life cycle assessment; CO2 emissions; environmental externalities; green public procurement; sustainable public procurement; public-private partnership (PPP)</t>
  </si>
  <si>
    <t>ENERGY; LIFE; COST; EFFICIENCY; MARKET</t>
  </si>
  <si>
    <t>Fregonara, E; Ferrando, DG; Tulliani, JM</t>
  </si>
  <si>
    <t>Sustainable Public Procurement in the Building Construction Sector</t>
  </si>
  <si>
    <t>Considering that in the E.U. public procurement in the construction sector is highly represented, the Directive 2014/24/EU is implemented for harmonizing procurement processes across European countries. The Directive is transposed in Italy, through the Sustainable Public Procurement (SPP) national action plan, for supporting public procurement and public-private partnership (PPP) interventions. SPP is founded on two pillars: according to an economic viewpoint, the financial efficiency is the key aspect to verify, and, according to a sustainability viewpoint, externalities are a key element in the environmental evaluation, despite the fact that their monetary quantification into the global cost calculation is quite complex. Thus, this work aims to explore a methodology for the joint evaluation of economic-environmental sustainability of project options, in the tender evaluation phase of the SPP. The methodology is based on the life cycle costing (LCC) and CO2 emissions joint assessment, including criteria weighting and uncertainty components. Two alternative technologies-a timber and an aluminum window frame-are assumed as a case for a simulation, implemented with the software Smart SPP LCC-CO2 Tool (developed through the research Smart SPP-Innovation through sustainable procurement, supported by Intelligent Energy Europe). The simulation demonstrates that the methodology is a fast and effective modality for selecting alternative options, introducing sustainability in the decision-making process. The work is a contribution to the growing literature on the topic, and for giving support to subjects (public authorities and private operators) involved in public procurement processes/PPP interventions.</t>
  </si>
  <si>
    <t>10.3390/su141811616</t>
  </si>
  <si>
    <t>Redwood lumber; Life cycle analysis; Environmental impacts; Fuel consumption in timber harvesting; Air quality impacts</t>
  </si>
  <si>
    <t>ENVIRONMENTAL IMPACTS; WOOD PRODUCTS; DECAY RESISTANCE; INLAND NORTHWEST; PERFORMANCE; INVENTORY; HEARTWOOD; DECKING</t>
  </si>
  <si>
    <t>Han, HS; Oneil, E; Bergman, RD; Eastin, IL; Johnson, LR</t>
  </si>
  <si>
    <t>Cradle-to-gate life cycle impacts of redwood forest resource harvesting in northern California</t>
  </si>
  <si>
    <t>The first life cycle impact assessment for redwood (Sequoia sempervirens) forest management activities (i.e. a cradle-to-sawmill gate input) including the growing, harvesting, and hauling of redwood sawlogs to a sawmill was completed. In the stump-to-truck timber harvesting analysis, primary transport activities such as skidding and yarding consumed the largest amount of fuel and consequently generated the greatest environmental impacts (50% of the total) compared with the other harvesting stages (felling, processing, and loading). Hauling sawlogs to the sawmill was also a major contributor to total greenhouse gas emissions, representing 20% of total emissions. The most efficient harvest method in terms of fuel consumption per m(3) of wood harvested was the manual ground-based system used in even-aged silvicultural operations, followed by the skyline harvesting methods. Relative to even-aged silvicultural systems, uneven-aged systems, often prescribed to meet environmental goals such as maintaining biodiversity and protecting wildlife habitats, used 20% more fuel per m(3) of redwood sawlogs harvested. This was because uneven-aged systems required an increased number of entries to harvest the same amount of wood as even-aged systems. The cradle-to-gate GHG emissions from redwood forest management activities including growing, harvesting and hauling the logs represent only 14% (17.13 kg CO(2)e/m(3)) of the total GHG emissions (i.e. cradle-to-grave) associated with redwood decking lumber. The study results showed substantial differences in environmental impacts for the various harvesting operations and silvicultural systems for redwood forest management and operations. Therefore, the life cycle impact assessment results for the various redwood harvesting and silvicultural systems should be carefully considered when evaluating environmental performance of forest management activities along with other objectives. (C) 2015 Elsevier Ltd. All rights reserved.</t>
  </si>
  <si>
    <t>10.1016/j.jclepro.2015.02.088</t>
  </si>
  <si>
    <t>One could compare even vs uneven aged managements, but it's clearly not the aim of the paper (the comparison is neither mentionned in the abstract nor in the conclusion).</t>
  </si>
  <si>
    <t>EARTH SYSTEM DYNAMICS</t>
  </si>
  <si>
    <t>CARBON BUDGET; COVER CHANGE; USE TRANSITIONS; WOOD-HARVEST; EMISSIONS; HOLOCENE; HARMONIZATION; MANAGEMENT; CO2</t>
  </si>
  <si>
    <t>Hartung, K; Bastos, A; Chini, L; Ganzenmuller, R; Havermann, F; Hurtt, GC; Loughran, T; Nabel, JEMS; Nutzel, T; Obermeier, WA; Pongratz, J</t>
  </si>
  <si>
    <t>Bookkeeping estimates of the net land-use change flux - a sensitivity study with the CMIP6 land-use dataset</t>
  </si>
  <si>
    <t>The carbon flux due to land-use and land-cover change (net LULCC flux) historically contributed to a large fraction of anthropogenic carbon emissions while at the same time being associated with large uncertainties. This study aims to compare the contribution of several sensitivities underlying the net LULCC flux by assessing their relative importance in a bookkeeping model (Bookkeeping of Land Use Emissions, BLUE) based on a LULCC dataset including uncertainty estimates (the Land-Use Harmonization 2 (LUH2) dataset). The sensitivity experiments build upon the approach of Hurtt et al. (2011) and compare the impacts of LULCC uncertainty (a high, baseline and low land-use estimate), the starting time of the bookkeeping model simulation (850, 1700 and 1850), net area transitions versus gross area transitions (shifting cultivation) and neglecting wood harvest on estimates of the net LULCC flux. Additional factorial experiments isolate the impact of uncertainty from initial conditions and transitions on the net LULCC flux. Finally, historical simulations are extended with future land-use scenarios to assess the impact of past LULCC uncertainty in future projections. Over the period 1850-2014, baseline and low LULCC scenarios produce a comparable cumulative net LULCC flux, while the high LULCC estimate initially produces a larger net LULCC flux which decreases towards the end of the period and even becomes smaller than in the baseline estimate. LULCC uncertainty leads to slightly higher sensitivity in the cumulative net LULCC flux (up to 22 %; references are the baseline simulations) compared to the starting year of a model simulation (up to 15 %). The contribution from neglecting wood harvest activities (up to 28% cumulative net LULCC flux) is larger than that from LULCC uncertainty, and the implementation of land-cover transitions (gross or net transitions) exhibits the smallest sensitivity (up to 13 %). At the end of the historical LULCC dataset in 2014, the LULCC uncertainty retains some impact on the net LULCC flux (+/- 0.15 PgC yr(-1) at an estimate of 1.7 PgC yr(-1)). Of the past uncertainties in LULCC, a small impact persists in 2099, mainly due to uncertainty of harvest remaining in 2014. However, compared to the uncertainty range of the LULCC flux estimated today, the estimates in 2099 appear to be indistinguishable. These results, albeit from a single model, are important for CMIP6 as they compare the relative importance of starting year, uncertainty of LULCC, applying gross transitions and wood harvest on the net LULCC flux. For the cumulative net LULCC flux over the industrial period, the uncertainty of LULCC is as relevant as applying wood harvest and gross transitions. However, LULCC uncertainty matters less (by about a factor of 3) than the other two factors for the net LULCC flux in 2014, and historical LULCC uncertainty is negligible for estimates of future scenarios.</t>
  </si>
  <si>
    <t>Earth Syst. Dynam.</t>
  </si>
  <si>
    <t>10.5194/esd-12-763-2021</t>
  </si>
  <si>
    <t>Global land use model with little details on the scenarios =&gt; difficult to identify drivers</t>
  </si>
  <si>
    <t>Negative CO2 emissions; Forest wood products; Carbon balance; Biomass; Forest management; Bioenergy; Life-cycle assessment</t>
  </si>
  <si>
    <t>CLIMATE-CHANGE; CARBON; IMPACTS; MITIGATION; MANAGEMENT; BIOENERGY; CYCLE; CONSISTENT; SCENARIOS; SCIENCE</t>
  </si>
  <si>
    <t>Iordan, CM; Hu, XP; Arvesen, A; Kauppi, P; Cherubini, F</t>
  </si>
  <si>
    <t>Contribution of forest wood products to negative emissions: historical comparative analysis from 1960 to 2015 in Norway, Sweden and Finland</t>
  </si>
  <si>
    <t>Background: Forests and forest products can significantly contribute to climate change mitigation by stabilizing and even potentially decreasing the concentration of carbon dioxide (CO2) in the atmosphere. Harvested wood products (HWP) represent a common widespread and cost-efficient opportunity for negative emissions. After harvest, a significant fraction of the wood remains stored in HWPs for a period that can vary from some months to many decades, whereas atmospheric carbon (C) is immediately sequestered by vegetation re-growth. This temporal mismatch between oxidation of HWPs and C uptake by vegetation generates a net sink that lasts over time. The role of temporary carbon storage in forest products has been analysed and debated in the scientific literature, but detailed bottomup studies mapping the fate of harvested materials and quantifying the associated emission profiles at national scales are rare. In this work, we quantify the net CO2 emissions and the temporary carbon storage in forest products in Norway, Sweden and Finland for the period 1960-2015, and investigate their correlation. We use a Chi square probability distribution to model the oxidation rate of C over time in HWPs, taking into consideration specific half-lives of each category of products. We model the forest regrowth and estimate the time-distributed C removal. We also integrate the specific HWP flows with an emission inventory database to quantify the associated life-cycle emissions of fossil CO2, CH4 and N2O. Results: We find that assuming an instantaneous oxidation of HWPs would overestimate emissions of about 1.18 billion t CO2 (cumulative values for the three countries over the period 1960-2015).We also find that about 40 years after 1960, the starting year of our analysis, are sufficient to detect signs of negative emissions. The total amount of net CO2 emissions achieved in 2015 are about -3.8 million t CO2, -27.9 t CO2 and -43.6 t CO2 in Norway, Sweden, and Finland, respectively. Conclusion: We argue for a more explicit accounting of the actual emission rates from HWPs in carbon balance studies and climate impact analysis of forestry systems and products, and a more transparent inclusion of the potential of HWP as negative emissions in perspective studies and scenarios. Simply assuming that all harvested carbon is instantaneously oxidized can lead to large biases and ultimately overlook the benefits of negative emissions of HWPs.</t>
  </si>
  <si>
    <t>10.1186/s13021-018-0101-9</t>
  </si>
  <si>
    <t>JURNAL MANAJEMEN HUTAN TROPIKA</t>
  </si>
  <si>
    <t>acidification; eutrophication; greenhouse gases; life cycle assessment</t>
  </si>
  <si>
    <t>BIOMASS</t>
  </si>
  <si>
    <t>Iswanto; Nurrochmat, DR; Siregar, UJ</t>
  </si>
  <si>
    <t>Life Cycle Assessment (LCA) of Wood Pellet Production at Korintiga Hutani Company, Central Kalimantan, Indonesia</t>
  </si>
  <si>
    <t>Climate change has forced human being to adapt in fulfilling their energy needs sustainably. In Indonesia, forestry activities has been considered as an emission rather than carbon sink. This study aims to analyze the inputs, outputs, and potential environmental impacts of wood pellet production in a forest company using life cycle assessment (LCA). The wood pellet is made from Eucalyptus pellita plantation. Analysis was made for I planting cycle or 6 years, and allometric equations were used to estimate the ability of industrial timber plantation forest to absorb CO2, Production of wood pellet starting from plantation requires inputs as follows: diesel fuel, electricity, NPK and other fertilizers, pesticides, and electrical energy. Those inputs produced emissions, of which the largest was N2O of 551.2927 kg, followed by NH3 of 7.5275 kg generated from NPK fertilizer Another was PO43- amounted at 0.1792-0.2229 kg from liquid fertilizers and pesticides. Potential acidification came from 13.3675 kg SO2 eq, and eutrophication of 0.4021 kg PO43-. eq. The greenhouse gas (GHG) emission was 678.0270 kg CO2 eq from the plantation activities, especially from diesel-based energy consumption, while wood pellet mills only released 0.1053 kg CO2 eq of GHG emissions. Thus, total emissions from 6 years' time of wood pellet production are much lower compared to the average CO2 absorbed by the plantation forest, of which annually is 36.34-67.69 ton ha(-1) year(-1).</t>
  </si>
  <si>
    <t>J. Manaj. Hutan Tropika</t>
  </si>
  <si>
    <t>10.7226/jtfm.27.3.200</t>
  </si>
  <si>
    <t>Only one scenario</t>
  </si>
  <si>
    <t>CONSERVATION BIOLOGY</t>
  </si>
  <si>
    <t>integrated assessment model; IPCC; species-area relationship; IPCC; modelo de evaluacion integrada; relacion especies-area</t>
  </si>
  <si>
    <t>BIRD EXTINCTIONS; USE TRANSITIONS; WOOD-HARVEST; SPECIES LOSS; DEFORESTATION; CONSERVATION; STABILIZATION; IMPACTS; PATHWAY</t>
  </si>
  <si>
    <t>Jantz, SM; Barker, B; Brooks, TM; Chini, LP; Huang, QY; Moore, RM; Noel, J; Hurtt, GC</t>
  </si>
  <si>
    <t>Future habitat loss and extinctions driven by land-use change in biodiversity hotspots under four scenarios of climate-change mitigation</t>
  </si>
  <si>
    <t>Numerous species have been pushed into extinction as an increasing portion of Earth's land surface has been appropriated for human enterprise. In the future, global biodiversity will be affected by both climate change and land-use change, the latter of which is currently the primary driver of species extinctions. How societies address climate change will critically affect biodiversity because climate-change mitigation policies will reduce direct climate-change impacts; however, these policies will influence land-use decisions, which could have negative impacts on habitat for a substantial number of species. We assessed the potential impact future climate policy could have on the loss of habitable area in biodiversity hotspots due to associated land-use changes. We estimated past extinctions from historical land-use changes (1500-2005) based on the global gridded land-use data used for the Intergovernmental Panel on Climate Change Fifth Assessment Report and habitat extent and species data for each hotspot. We then estimated potential extinctions due to future land-use changes under alternative climate-change scenarios (2005-2100). Future land-use changes are projected to reduce natural vegetative cover by 26-58% in the hotspots. As a consequence, the number of additional species extinctions, relative to those already incurred between 1500 and 2005, due to land-use change by 2100 across all hotspots ranged from about 220 to 21000 (0.2% to 16%), depending on the climate-change mitigation scenario and biological factors such as the slope of the species-area relationship and the contribution of wood harvest to extinctions. These estimates of potential future extinctions were driven by land-use change only and likely would have been higher if the direct effects of climate change had been considered. Future extinctions could potentially be reduced by incorporating habitat preservation into scenario development to reduce projected future land-use changes in hotspots or by lessening the impact of future land-use activities on biodiversity within hotspots. La Futura Perdida de Habitat y Extinciones Causados por el Cambio en el Uso de Suelo en los Puntos Clave de Biodiversidad bajo Cuatro Escenarios de Mitigacion de Cambio Climatico Se ha llevado a numerosas especies a la extincion conforme una porcion creciente de la superficie terrestre ha sido aduenada por actividades humanas. En el futuro, la biodiversidad global se vera afectada tanto por el cambio climatico como por el cambio en el uso de suelo, de los cuales el ultimo es actualmente el principal conductor de la extincion de especies. La manera en que las sociedades aborden el cambio climatico afectara criticamente a la biodiversidad ya que las politicas de mitigacion de cambio climatico reduciran directamente los impactos del cambio climatico; sin embargo, estas politicas influenciaran las decisiones de uso de suelo, lo que podria tener impactos negativos sobre el habitat de numerosas especies. Evaluamos el impacto potencial que podrian tener las futuras politicas de clima sobre la perdida del area habitable en los puntos clave de biodiversidad debido al cambio asociado en el uso de suelo. Estimamos las extinciones pasadas a partir de cambios historicos en el uso de suelo (1500 - 2005) con base en la extension del habitat, los datos de especies para cada punto clave, y la cuadricula global de datos sobre uso de suelo, la cual fue utilizada para el Reporte de la Quinta Evaluacion del Panel Intergubernamental sobre Cambio Climatico. Despues estimamos las extinciones potenciales causadas por futuros cambios en el uso de suelo bajo escenarios alternativos de cambio climatico (2005 - 2100). El numero de extinciones de especies adicionales, en relacion con aquellas ya provocadas entre 1500 y 2005, causadas por el cambio en el uso de suelo para 2100 en todos los puntos clave, vario aproximadamente de 220 a 21, 000 (0.2% a 16%), dependiendo del escenario de mitigacion de cambio climatico y factores biologicos, como la pendiente de la relacion especies-area y la contribucion de la tala a las extinciones. Estas estimaciones de las extinciones potenciales en el futuro fueron causadas solamente por el cambio en el uso de suelo y probablemente habrian sido mas altas si se hubiesen considerado los efectos directos del cambio climatico. Las extinciones futuras podrian reducirse potencialmente al incorporar la preservacion del habitat al desarrollo del escenario para reducir los futuros cambios en el uso de suelo en los puntos clave o al disminuir el impacto de las futuras actividades de uso de suelo sobre la biodiversidad dentro de los puntos clave. Resumen</t>
  </si>
  <si>
    <t>Conserv. Biol.</t>
  </si>
  <si>
    <t>10.1111/cobi.12549</t>
  </si>
  <si>
    <t>ECOLOGICAL INDICATORS</t>
  </si>
  <si>
    <t>Sustainable forest management; Timber utilization; Carbon offsets; Timber harvesting; C-Balance; Displacement factor</t>
  </si>
  <si>
    <t>LIFE-CYCLE; WOOD; BIOENERGY; IMPACTS; COSTS</t>
  </si>
  <si>
    <t>Kohl, M; Ehrhart, HP; Knauf, M; Neupane, PR</t>
  </si>
  <si>
    <t>A viable indicator approach for assessing sustainable forest management in terms of carbon emissions and removals</t>
  </si>
  <si>
    <t>In forest management, the sustainability of a multitude of economic, ecological and socio-economic impacts and services is assessed. The role of forests in the global carbon (C) cycle is almost exclusively assessed through an ecosystem approach that relates emissions from timber harvesting and removals through biomass growth and C sequestration. While harvested wood leads to a reduction in the C-stock in forest C-pools, the use of wood for energy and production of wood-based materials results in significant emission reductions by substituting in place of greenhouse gas (GHG) intensive fuels and energy-intensive non-wood materials respectively. We present a new indicator approach for the assessment of sustainable forest management that includes the entire emissions and removals associated with the harvested wood along the wood product value chain and thus represents represents C-sustainability with respect to emissions and removals. The indicator is implemented in two variants. If information available on wood use and the carbon offsets associated with it is sufficient, the indicator can be derived by presenting emissions from wood harvesting and removals from wood use in the form of a carbon balance (C-balance indicator). If the balance is even or if removals predominate, forest management fulfills the requirement of C-sustainability. If the information is insufficient, the emissions from the wood harvest and possible wood processing losses are summed up, and the necessary displacement factor (DF) is calculated, which is necessary to compensate the corresponding emissions by carbon offsets of the wood use (DF-indicator). A comparison of the necessary displacement factor with common carbon offsets of typical wood uses allows an assessment of C-sustainability. The effectiveness of the C-indicator for assessing sustainable forest management is illustrated by two case studies. We found that in order to achieve carbon neutrality, substitution factors between 1.9 (lignite) and 2.5 (gas) are necessary, depending on the fossil fuel substituted. If no energetic substitution is assumed, the DF increases to a value of 3.3. In situations with high harvest losses, the necessary DFs well exceed values that can be achieved even under very positive assumptions; C-sustainability is therefore not met. Both approaches allow an assessment of C-sustainability beyond forest boundaries by giving appropriate weight to the importance of wood use in the carbon cycle. In addition to the implication of the indicator to evaluate SFM, we claim that this indicator is responsive to the emerging global forest related international processes and their reporting requirements such as Reducing Emissions from Deforestation and forest Degradation in Developing Countries (REDD + ) as well as nationally appropriate mitigation actions (NDCs, Low Emission Development Strategy).</t>
  </si>
  <si>
    <t>Ecol. Indic.</t>
  </si>
  <si>
    <t>10.1016/j.ecolind.2019.106057</t>
  </si>
  <si>
    <t>ecosystem modeling; environmental drivers; carbon sink; lagged response; ecosystem equilibrium; committed change</t>
  </si>
  <si>
    <t>EARTH SYSTEM MODEL; LAND-USE CHANGE; CO2 FERTILIZATION; CLIMATE; NITROGEN; DIVERGENCE; MANAGEMENT; SINK</t>
  </si>
  <si>
    <t>Krause, A; Arneth, A; Anthoni, P; Rammig, A</t>
  </si>
  <si>
    <t>Legacy Effects from Historical Environmental Changes Dominate Future Terrestrial Carbon Uptake</t>
  </si>
  <si>
    <t>Ecosystems continuously adapt to interacting environmental drivers that change over time. Consequently, the carbon balance of terrestrial ecosystem may presently still be affected by past anthropogenic disturbances (e.g., deforestation) and other environmental changes (e.g., climate change). However, even though such so-called legacy effects are implicitly included in many carbon cycle modeling studies, they are typically not explicitly quantified and therefore scientists might not be aware of their long-term importance. Here, we use the ecosystem model LPJ-GUESS to quantify legacy effects for the 21st century and the respective contributions of the following environmental drivers: climate change, CO2 fertilization, land use change, wood harvest, nitrogen deposition, and nitrogen fertilization. According to our simulations, the combined legacy effects of historical (1850-2015) environmental changes result in a land carbon uptake of +126 Gt C over the future (2015-2099) period. This by far exceeds the impacts of future environmental changes (range -53 Gt C to +16 Gt C for three scenarios) and is comparable in magnitude to historical carbon losses (-154 Gt C). Legacy effects can mainly be attributed to ecosystems still adapting to historical increases in atmospheric CO2 (+65 Gt C) and nitrogen deposition (+33 Gt C), but long-term vegetation regrowth following agricultural abandonment (+8 Gt C) and wood harvest (+19 Gt C) also play a role. The response of the biosphere to historical environmental changes dominates future terrestrial carbon cycling at least until midcentury. Legacy effects persist many decades after environmental changes occurred and need to be considered when interpreting changes and estimating terrestrial carbon uptake potentials.</t>
  </si>
  <si>
    <t>10.1029/2020EF001674</t>
  </si>
  <si>
    <t>climate change; greenhouse gas emissions; life cycle assessment; forestry; timber harvesting</t>
  </si>
  <si>
    <t>LIFE-CYCLE ASSESSMENT; SHORT-ROTATION COPPICE; ENVIRONMENTAL-IMPACT; BIOENERGY PRODUCTION; ROUNDWOOD PRODUCTION; CARBON STORAGE; CLIMATE-CHANGE; OPERATIONS; WOOD; ENERGY</t>
  </si>
  <si>
    <t>Kuhmaier, M; Kral, I; Kanzian, C</t>
  </si>
  <si>
    <t>Greenhouse Gas Emissions of the Forest Supply Chain in Austria in the Year 2018</t>
  </si>
  <si>
    <t>Wood is a renewable product, but for the supply of wood non-renewable materials are also necessary, which can have negative environmental impacts. The objective of this study was to analyze the greenhouse gas (GHG) emissions caused by the forest supply chain in Austria using Life Cycle Assessment (LCA) methods. The forest supply chain consists of several processes like site preparation and tending, harvesting, and transport. In total, 30 relevant forest processes from seedling production until delivery of wood to the plant gate were considered. Results show that in the year 2018, a total of 492,096 t of CO2 eq. were emitted in Austria for harvesting and transportation of 19.2 hm(3) of timber. This corresponds to 25.63 kg CO2 eq. per m(3). At 77%, transport accounts for the largest share of emissions within the supply chain. Extraction causes 14% of emissions, felling and processing cause 5%, and chipping causes 4%. GHG emissions for felling, delimbing, and crosscutting are much lower when using a chainsaw compared to harvester. The high numbers for the transport can be explained by the high transportation distances. Especially for the transportation of wood, it is necessary to find more climate-friendly solutions from a technical and organizational point of view. The provision of wood is climate-friendly, and its use enables the substitution of fossil fuels or materials with higher negative effects on climate change such as aluminum, steel, or concrete.</t>
  </si>
  <si>
    <t>10.3390/su14020792</t>
  </si>
  <si>
    <t>Harvested wood product; Life-cycle assessment; Biogenic carbon; Boreal forest; Construction materials</t>
  </si>
  <si>
    <t>WOOD; INVENTORY; ENERGY</t>
  </si>
  <si>
    <t>Laurent, AB; Menard, JF; Lesage, P; Beauregard, R</t>
  </si>
  <si>
    <t>Cradle-to-Gate Environmental Life Cycle Assessment of the Portfolio of an Innovative Forest Products Manufacturing Unit</t>
  </si>
  <si>
    <t>Manufacturing companies are under pressure from consumers and legislation to reduce their environmental impacts. In some sectors where competition is particularly fierce, the ability to offer a product with a lighter environmental impact than the competition can be useful in significantly increasing market share. The forest industry, which harvests and processes wood, a renewable resource, also aims at being part of this trend towards transparency. Life cycle assessment (LCA) is often used to quantify the environmental footprint of harvested wood products (HWP). Based on a primary data inventory of four years of activity, this study presents an LCA of the portfolio of an innovative forest products manufacturer. The functional unit of that assessment is a cubic meter. A sensitive analysis on an economic allocation was also conducted. Because of loops in the studied system and flow conservation constraint, results of the portfolio LCA was verified using an organizational footprint assessment. From the material flow and the half-life of products, a bottom-up accounting method is suggested for integrating HWP in national greenhouse gas (GHG) inventories.</t>
  </si>
  <si>
    <t>10.15376/biores.11.4.8981-9001</t>
  </si>
  <si>
    <t>The paper lists different wood products. They cannot be compared.</t>
  </si>
  <si>
    <t>climate change adaptation; scenario analysis; growth model; simulation; mixed species stands; carbon sequestration; rotation cycle</t>
  </si>
  <si>
    <t>AREA INCREMENT MODEL; NITROGEN DEPOSITION; IMPACTS; SECTOR; SEQUESTRATION; DYNAMICS; CLIMATE; VULNERABILITY; STANDS; YIELD</t>
  </si>
  <si>
    <t>Ledermann, T; Braun, M; Kindermann, G; Jandl, R; Ludvig, A; Schadauer, K; Schwarzbauer, P; Weiss, P</t>
  </si>
  <si>
    <t>Effects of Silvicultural Adaptation Measures on Carbon Stock of Austrian Forests</t>
  </si>
  <si>
    <t>We present the results of a simulation experiment that evaluated three scenarios of forest management in the context of climate change mitigation. Two scenarios refer to climate change adaptation measures. The third scenario was a business-as-usual scenario representing the continuation of current forest management. We wanted to know whether a change in tree species composition or the implementation of shorter rotation cycles is in accordance with the objectives of climate change mitigation. Our simulation experiment was based on data of the Austrian National Forest Inventory. A forest sector simulation model was used to derive timber demand and potential harvesting rates. Forest dynamics were simulated with an individual-tree growth model. We compared carbon stocks, harvesting rates, current annual increment, salvage logging, and forest structure. Compared to the business-as-usual scenario, a change in tree species composition and shorter rotation cycles reduce salvage logging by 14% and 32%, respectively. However, shorter rotation cycles reduce the carbon stock by 27%, but increase the harvesting rate by 4.8% within the simulation period of 140 years. For changes in the tree species composition, the results were the opposite. Here, the carbon stock is increased by 47%, but the harvesting rate is reduced by 15%. Thus, there are clear tradeoffs between the different ecosystem services depending on the climate change adaptation scenario. We also show that a fundamental change in forest management must be accompanied by a transformation in wood processing technology and innovation in wood utilization.</t>
  </si>
  <si>
    <t>10.3390/f13040565</t>
  </si>
  <si>
    <t>EU; Carbon Budget Model; Forest management; Afforestation; Deforestation; Harvest; Natural disturbances; GHGI</t>
  </si>
  <si>
    <t>Pilli, R; Grassi, G; Kurz, WA; Moris, JV; Vinas, RA</t>
  </si>
  <si>
    <t>Modelling forest carbon stock changes as affected by harvest and natural disturbances. II. EU-level analysis</t>
  </si>
  <si>
    <t>Background: Forests and the forest sector may play an important role in mitigating climate change. The Paris Agreement and the recent legislative proposal to include the land use sector in the EU 2030 climate targets reflect this expectation. However, greater confidence on estimates from national greenhouse gas inventories (GHGI) and more comprehensive analyses of mitigation options are needed to seize this mitigation potential. The aim of this paper is to provide a tool at EU level for verifying the EU GHGI and for simulating specific policy and forest management scenarios. Therefore, the Carbon Budget Model (CBM) was applied for an integrated assessment of the EU forest carbon (C) balance from 2000 to 2012, including: (i) estimates of the C stock and net CO2 emissions for forest management (FM), afforestation/reforestation (AR) and deforestation (D), covering carbon in both the forest and the harvest wood product (HWP) pools; (ii) an overall analysis of the C dynamics associated with harvest and natural disturbances (mainly storms and fires); (iii) a comparison of our estimates with the data reported in the EU GHGI. Results: Overall, the average annual FM sink (-365 Mt CO2 year(-1)) estimated by the CBM in the period 2000-2012 corresponds to about 7 % of total GHG emissions at the EU level for the same period (excluding land use, land-use change and forestry). The HWP pool sink (-44 Mt CO2 year(-1)) contributes an additional 1 %. Emissions from D (about 33 Mt CO2 year(-1)) are more than compensated by the sink in AR (about 43 Mt CO2 year(-1) over the period). For FM, the estimates from the CBM were about 8 % lower than the EU GHGI, a value well within the typical uncertainty range of the EU forest sink estimates. For AR and D the match with the EU GHGI was nearly perfect (difference &lt;+/- 2 % in the period 2008-2012). Our analysis on harvest and natural disturbances shows that: (i) the impact of harvest is much greater than natural disturbances but, because of salvage logging (often very relevant), the impact of natural disturbances is often not easily distinguishable from the impact of harvest, and (ii) the impact of storms on the biomass C stock is 5-10 times greater than fires, but while storms cause only indirect emissions (i.e., a transfer of C from living biomass to dead organic matter), fires cause both direct and indirect emissions. Conclusions: This study presents the application of a consistent methodological approach, based on an inventory-based model, adapted to the forest management conditions of EU countries. The approach captures, with satisfactory detail, the C sink reported in the EU GHGI and the country-specific variability due to harvest, natural disturbances and land-use changes. To our knowledge, this is the most comprehensive study of its kind at EU level, i.e., including all the forest pools, HWP and natural disturbances, and a comparison with the EU GHGI.The results provide the basis for possible future policy-relevant applications of this model, e.g., as a tool to support GHGIs (e.g., on accounting for natural disturbances) and to verify the EU GHGI, and for the simulation of specific scenarios at EU level.</t>
  </si>
  <si>
    <t>10.1186/s13021-016-0059-4</t>
  </si>
  <si>
    <t>TELLUS SERIES B-CHEMICAL AND PHYSICAL METEOROLOGY</t>
  </si>
  <si>
    <t>land use change; carbon cycle; carbon budget; wood harvest; shifting cultivation; terrestrial carbon sink</t>
  </si>
  <si>
    <t>COVER CHANGE; ATMOSPHERIC CO2; SOIL CARBON; USE TRANSITIONS; SYSTEM MODEL; 3 CENTURIES; CLIMATE; EMISSIONS; NITROGEN; BUDGET</t>
  </si>
  <si>
    <t>Stocker, BD; Feissli, F; Strassmann, KM; Spahni, R; Joos, F</t>
  </si>
  <si>
    <t>Past and future carbon fluxes from land use change, shifting cultivation and wood harvest</t>
  </si>
  <si>
    <t>Carbon emissions from anthropogenic land use (LU) and land use change (LUC) are quantified with a Dynamic Global Vegetation Model for the past and the 21st century following Representative Concentration Pathways (RCPs). Wood harvesting and parallel abandonment and expansion of agricultural land in areas of shifting cultivation are explicitly simulated (gross LUC) based on the Land Use Harmonization (LUH) dataset and a proposed alternative method that relies on minimum input data and generically accounts for gross LUC. Cumulative global LUC emissions are 72 GtC by 1850 and 243 GtC by 2004 and 27-151 GtC for the next 95 yr following the different RCP scenarios. The alternative method reproduces results based on LUH data with full transition information within &lt;0.1 GtC/yr over the last decades and bears potential for applications in combination with other LU scenarios. In the last decade, shifting cultivation and wood harvest within remaining forests including slash each contributed 19% to the mean annual emissions of 1.2 GtC/yr. These factors, in combination with amplification effects under elevated CO2, contribute substantially to future emissions from LUC in all RCPs.</t>
  </si>
  <si>
    <t>Tellus Ser. B-Chem. Phys. Meteorol.</t>
  </si>
  <si>
    <t>10.3402/tellusb.v66.23188</t>
  </si>
  <si>
    <t>More specifically, all drivers (climate change, land use, harvest, …) are moving simultaneously in the different scenarios which makes the results useless to single out a given effect.</t>
  </si>
  <si>
    <t>prefabrication; masonry; connections; life cycle analysis; design; reinforced masonry; post-tensioned masonry; thin layered mortared masonry</t>
  </si>
  <si>
    <t>MORTARED CONCRETE MASONRY; LIFE-CYCLE PERFORMANCE; OF-THE-ART; MODULAR BUILDINGS; FLEXURAL STRENGTH; RESIDENTIAL BUILDINGS; STRUCTURAL RESPONSE; SHEAR WALLS; BEHAVIOR; CONSTRUCTION</t>
  </si>
  <si>
    <t>Thamboo, J; Zahra, T; Navaratnam, S; Asad, M; Poologanathan, K</t>
  </si>
  <si>
    <t>Prospects of Developing Prefabricated Masonry Walling Systems in Australia</t>
  </si>
  <si>
    <t>Prefabrication has been shown to be an effective way of construction in the modern-day context. Although much progress has been made in developing reinforced concrete (RC), timber and steel prefabricated elements/structures, prefabrication of masonry walling systems has received limited attention in the past. Conventional masonry construction is labour-intensive and time-consuming; therefore, prefabrication can be an effective solution to accelerate the masonry construction to make it more cost-effective. Therefore, in this paper, an attempt has been made to evaluate the effectiveness of prefabricated masonry systems (PMS) in terms of their structural characteristics and sustainability perspectives in an Australian context. Subsequently, the available studies related to PMS and the prospects of developing prefabricated masonry walling systems were appraised and reported. In order to assess the applicability of PMS, a case study was carried out by designing four types of prospective prefabricated masonry walling systems for a typical housing unit in Australia. It was shown that the reinforced (RM), post-tensioned (PT) and thin layered mortared (TLM) masonry systems are better suited for prefabrication. Later, in order to assess the sustainability of the considered masonry walling systems, life cycle energy analyses were carried using the Environmental Performance in Construction (EPIC) database. It was found that there can be nearly 30% and 15% savings, respectively, in terms of energy saving and CO2 emissions in prefabricated construction than the conventional masonry construction. Finally, the prospects of developing PMS and the need for future research studies on these systems are highlighted.</t>
  </si>
  <si>
    <t>10.3390/buildings11070294</t>
  </si>
  <si>
    <t>Compares different masonries for a house but without any element on which masonry uses more wood, or even whether they use wood at all (the word "wood" appears only once in the text).</t>
  </si>
  <si>
    <t>Carbon footprint; Greenhouse gas emissions; LCA; LCI; Norwegian forestry; Timber transport</t>
  </si>
  <si>
    <t>LIFE-CYCLE ASSESSMENT; LAND-USE; OPERATIONS; WOOD; IMPACT; BENEFITS; ENERGY; BIODIVERSITY; PRODUCTS; RESIDUES</t>
  </si>
  <si>
    <t>Timmermann, V; Dibdiakova, J</t>
  </si>
  <si>
    <t>Greenhouse gas emissions from forestry in East Norway</t>
  </si>
  <si>
    <t>So far no calculations have been made for greenhouse gas (GHG) emissions from forestry in East Norway. This region stands for 80 % of the Norwegian timber production. The aim of this study was to assess the annual GHG emissions of Norwegian forestry in the eastern parts of the country from seed production to final felling and transport of timber to sawmill and wood processing industry (cradle-to-gate inventory), based on specific Norwegian data. The life cycle inventory was conducted with SimaPro applying primary and secondary data from Norwegian forestry. GHG emissions of fossil-related inputs from the technosphere were calculated for the functional unit of 1 m(3) timber extracted and delivered to industry gate in East Norway in 2010. The analysis includes seed and seedling production, silvicultural operations, forest road construction and upgrading, thinning, final felling, timber forwarding and timber transport on road and rail from the forest to the industry. Norwegian time studies of forestry machines and operations were used to calculate efficiency, fuel consumption and transport distances. Due to the lack of specific Norwegian data in Ecoinvent, we designed and constructed unit processes based on primary and secondary data from forestry in East Norway. GHG emissions from forestry in East Norway amounted to 17.893 kg CO2-equivalents per m(3) of timber delivered to industry gate in 2010. Road transport of timber accounted for almost half of the total GHG emissions, final felling and forwarding for nearly one third of the GHG emissions. Due to longer road transport distances, pulpwood had higher impact on the climate change category than saw timber. The construction of forest roads had the highest impact on the natural land transformation category. The net CO2 emissions of fossil CO2 corresponded to 2.3 % of the CO2 sequestered by 1 m(3) of growing forest trees and were compared to a calculation of biogenic CO2 release from the forest floor as a direct consequence of harvesting. Shorter forwarding and road transport distances, increased logging truck size and higher proportion of railway transport may result in lower emissions per volume of transported timber. A life cycle assessment of forestry may also consider impacts on environmental categories other than climate change. Biogenic CO2 emissions from the soil may be up to 10 times higher than the fossil-related emissions, at least in a short-term perspective, and are highly dependent on stand rotation length.</t>
  </si>
  <si>
    <t>10.1007/s11367-014-0773-7</t>
  </si>
  <si>
    <t>LCA of the forestry sector in Eastern Norway: single scenario, no alternatives to current practices are assessed</t>
  </si>
  <si>
    <t>Greenhouse gas emissions; Harvested wood products (HWPs); Carbon stocks; Stock changes climate change mitigation; IPCC models</t>
  </si>
  <si>
    <t>PLANTED FOREST; INVENTORY</t>
  </si>
  <si>
    <t>Wakelin, SJ; Searles, N; Lawrence, D; Paul, TSH</t>
  </si>
  <si>
    <t>Estimating New Zealand's harvested wood products carbon stocks and stock changes</t>
  </si>
  <si>
    <t>Background Reducing net greenhouse gas emissions through conserving existing forest carbon stocks and encouraging additional uptake of carbon in existing and new forests have become important climate change mitigation tools. The contribution of harvested wood products (HWPs) to increasing carbon uptake has been recognised and approaches to quantifying this pool developed. In New Zealand, harvesting has more than doubled since 1990 while log exports have increased by a factor of 11 due to past afforestation and comparatively little expansion in domestic processing. This paper documents New Zealand's application of the IPCC approaches for reporting contributions of the HWP pool to net emissions, in order to meet international greenhouse gas inventory reporting requirements. We examine the implications of the different approaches and assumptions used in calculating the HWP contribution and highlight model limitations. Results Choice of system boundary has a large impact for a country with a small domestic market and significant HWP exports. Under the Production approach used for New Zealand's greenhouse gas inventory reporting, stock changes in planted forests and in HWPs both rank highly as key categories. The contribution from HWPs is even greater under the Atmospheric Flow approach, because emissions from exported HWPs are not included. Conversely the Stock Change approach minimises the contribution of HWPs because the domestic market is small. The use of country-specific data to backfill the time series from 1900 to 1960 has little impact but using country-specific parameters in place of IPCC defaults results in a smaller HWP sink for New Zealand. This is because of the dominance of plantation forestry based on a softwood mainly used in relatively short-lived products. Conclusions The NZ HWP Model currently meets international inventory reporting requirements. Further disaggregation of the semi-finished HWP end uses both within New Zealand and in export markets is required to improve accuracy. Product end-uses and lifespans need to be continually assessed to capture changes. More extensive analyses that include the benefits of avoided emissions through product substitution and life cycle emissions from the forestry sector are required to fully assess the contribution of forests and forest products to climate change mitigation and a low emissions future.</t>
  </si>
  <si>
    <t>10.1186/s13021-020-00144-5</t>
  </si>
  <si>
    <t>This paper documents the impact of different reporting approaches on New Zealand's UNFCCC accounting</t>
  </si>
  <si>
    <t>China; Office building; CO2 emission; Energy consumption; Life cycle assessment</t>
  </si>
  <si>
    <t>ENVIRONMENTAL PERFORMANCE; EMBODIED ENERGY; WOOD; CONCRETE; CONSTRUCTION; SYSTEMS; DESIGN; LCA; CHALLENGES; EFFICIENCY</t>
  </si>
  <si>
    <t>Wu, HJJ; Yuan, ZWW; Zhang, L; Bi, J</t>
  </si>
  <si>
    <t>Life cycle energy consumption and CO2 emission of an office building in China</t>
  </si>
  <si>
    <t>Building is one of the main factors of energy use and greenhouse gas emissions. Reducing energy consumption and carbon dioxide (CO2) emission from building is urgent for environmental protection and sustainable development. The objective of this study is to develop a life cycle assessment (LCA) model for an office building in China to assess its energy consumption and CO2 emission, determine the whole life cycle phases, and the significant environmental aspects that contribute most to the impact. A process-based LCA has been used to identify and quantify the energy consumption and CO2 emission of the office building. The LCA is conducted in accordance with the Environmental Protection Agency, The Society of Environmental Toxicology and Chemistry, and the International Organization for Standardization standards for life cycle assessments. The entire life cycle including building materials production, construction, operation, and demolition of the building is studied. A service life of 50 years is assumed and the major construction materials such as concrete, cement, brick, steel, timber, glass, and plastic are selected for the building. The results show that building operation uses the largest share of energy and contributes most to CO2 emission. The cooling and heating system in building operation strongly influence the energy consumption and CO2 emission of the building. In addition, the large quantity use of concrete and steel in materials production, and the treatment of end-of-life building materials are also the important aspects impacting the environmental performance of the building. Based on the results of the study, some environmental improvements aiming at reducing energy consumption and CO2 emission throughout the life cycle of the building are provided. This study provides an LCA of the energy consumption and CO2 emission of a typical office building in China. It determines the whole life cycle phases that contribute most to the impact and defines the significant environmental aspects of the building. This study also shows the importance of using a life cycle perspective when evaluating energy consumption and CO2 emission of building and also lays the groundwork for LCA studying of other office buildings in China.</t>
  </si>
  <si>
    <t>10.1007/s11367-011-0342-2</t>
  </si>
  <si>
    <t>LCA of an office building in China, but without alternative scenarios in terms of wood use/use efficiency.</t>
  </si>
  <si>
    <t>Value engineering; Building; Embodied greenhouse gas emissions; Capital cost; Hybrid life cycle assessment; Environmentally-extended input-output analysis</t>
  </si>
  <si>
    <t>SUSTAINABLE STRUCTURAL DESIGN; CARBON-DIOXIDE EQUIVALENT; COST-ANALYSIS; CO2 EMISSION; ENERGY; BUILDINGS; FRAMEWORK; SYSTEM; OPTIMIZATION; PERFORMANCE</t>
  </si>
  <si>
    <t>Yu, M; Robati, M; Oldfield, P; Wiedmann, T; Crawford, R; Nezhad, AA; Carmichael, D</t>
  </si>
  <si>
    <t>The impact of value engineering on embodied greenhouse gas emissions in the built environment: A hybrid life cycle assessment</t>
  </si>
  <si>
    <t>While traditional value engineering (VE) is primarily driven by cost saving, this study aims to comprehensively and reliably investigating the impact of traditional VE on the embodied greenhouse gas (GHG) emissions in the Australian built environment. An Australian-specific hybrid life cycle assessment (LCA) is developed and applied to a mixed-use building complex located in central Sydney, Australia. A list of GHG emissions intensities (GEIs) for 118 construction products is derived from hybrid LCA, demonstrating an average increase of 20% than the corresponding process-based GEIs. By applying the hybrid GEIs, the assessment of the case study building proves that traditional VE can potentially provide environmental benefits through the dematerialisation of the building. These benefits are small in this instance, with a capital cost reduction of 0.72% equating to an embodied GHG reduction of 0.32%, or a total of 267 t CO2e (i.e. -3 kg CO2e/m2 gross floor area), but if such savings were rolled out across the entirety of new building stock in Australia, the accumulated GHG emissions reduction would be significant. Concrete, reinforcing steel and timber formwork are the hotspots for cost and embodied GHG emissions reduction. Manufacturing and electricity are the originating industries that jointly contribute to more than 80% of the embodied GHG emissions.</t>
  </si>
  <si>
    <t>10.1016/j.buildenv.2019.106452</t>
  </si>
  <si>
    <t>New LCA technique ("hybrid") applied to buildings. No scenarios implying a difference in wood use.</t>
  </si>
  <si>
    <t>CURRENT FORESTRY REPORTS</t>
  </si>
  <si>
    <t>Industrial ecology; Forest products; Life cycle assessment; Input-output analysis; Material flow analysis; Industrial symbiosis</t>
  </si>
  <si>
    <t>LIFE-CYCLE ASSESSMENT; INTEGRATED SUSTAINABILITY MODEL; SUPPLY CHAIN; SYSTEM; WOOD; LCA; ENERGY; BIOREFINERIES; TECHNOLOGIES; RESIDUES</t>
  </si>
  <si>
    <t>Zargar, S; Roy, BB; Li, QP; Gan, JL; Ke, JM; Liu, XY; Tu, QS</t>
  </si>
  <si>
    <t>The Application of Industrial Ecology Methods to Understand the Environmental and Economic Implications of the Forest Product Industries</t>
  </si>
  <si>
    <t>Purpose of Review Industrial ecology (IE) methods have been widely applied to understand the sustainability implications of forest product industries, yet a comprehensive review of these applications is not available. We aim to (1) summarize the major questions that the IE methods were applied to answer, (2) highlight the major conclusions, and (3) identify advantages, limitations, and research gaps. Recent Findings Life cycle assessment (LCA) was the most frequently used among all IE methods reviewed in this study. LCA has primarily applied to evaluate the climate change mitigation potential of forest products. The application of input-output analysis (IOA) is focused on the aggregated forest sector where individual products are not differentiable. The results of IOA can inform the economic implications of changes in supply-demand relationships between the forest sector and other sectors of the economy. System dynamic (SD) modeling is often applied to study the consequences (e.g., economic, environmental) of decision-making along the supply chain of forest bioenergy and biofuels. Material flow analysis (MFA) is applied to estimate the stock and flows of wood in different formats (e.g., timber, residues). Industrial symbiosis (IS) practices are found to minimize waste generation, stabilize material and energy supply, and reduce climate change impacts for the participants from different forest product industries. Overall, the LCA studies showed that forest products could reduce climate change impacts compared to the fossil-based benchmark. The IOA studies revealed the important role of forestry and forest product industries in a nation's economy. The drivers promoting the forest product industries (illustrated by the SD studies) and the detailed flows of wood among different industries (by MFA studies) can provide crucial insights for the design of a forest-based bioeconomy. The applications of these IE methods in forest product industries are expected to grow in the future, considering the global development of bioeconomy where forest products are essential. Data availability and quality, lack of harmonized modeling assumptions, and a need to integrate different methods are the common gaps for future research.</t>
  </si>
  <si>
    <t>Curr. For. Rep.</t>
  </si>
  <si>
    <t>10.1007/s40725-022-00174-x</t>
  </si>
  <si>
    <t>Carbon budget; Harvested wood products; Life cycle perspective; Carbon stock; Carbon emission; Stock-change approach</t>
  </si>
  <si>
    <t>GREENHOUSE-GAS INVENTORIES; FOREST SECTOR; INTERNATIONAL-TRADE; SEQUESTRATION; SUBSTITUTION; COUNTRIES; IRELAND; CANADA; STOCK; IPCC</t>
  </si>
  <si>
    <t>Zhang, XB; Yang, HQ; Chen, JX</t>
  </si>
  <si>
    <t>Life-cycle carbon budget of China's harvested wood products in 1900-2015</t>
  </si>
  <si>
    <t>Harvested wood products (HWP) are essential carbon pool of the forestry sector and can play an important role in climate change mitigation. Since the 10th Conference of Parties to the United Nations Framework Conversion on Climate Change in 2009, HWP have been required to be included in forest management as an additional carbon pool in national greenhouse gas (GHG) inventory reports. China is the largest consumer of end-use HWP and the largest importer of primary HWP in the world. Thus, the carbon stocks and emissions of China's HWP must be accurately assessed for evaluating their contribution to the climate change mitigation potential of global HWP. We developed an analysis framework by using Stock-Change Approach to estimate China's HWP carbon stocks/emissions from a life-cycle perspective, which covers three HWP life-cycle stages, namely, manufacture, end use, and end-of-life disposal. Using this framework, we produced the first-ever life-cycle carbon budget for HWP consumed by China in the period 1900-2015, based on a comprehensive analysis of China-specific data. From 1900 to 2015, total wood fiber input to the HWP carbon system in China was estimated to be 8049 teragrams of carbon dioxide-equivalent (Tg CO2-eq). Of the total wood fiber input, discarded mill residue, in-use HWP, and HWP disposed of at solid waste disposal sites retained 513, 3284, and 659 Tg CO2-eq of carbon, respectively, with the remaining 3591 Tg CO2-eq of wood carbon released back to the atmosphere. Of the total emission, combustion and decomposition of mill residue, burning of fuelwood, and combustion and decomposition of retired HWP accounted for 36.5%, 24.6%, and 38.9%, respectively. Landfill methane emissions were estimated to be 780 Tg CO2-eq after considering the global warming potential of this greenhouse gas. The net HWP carbon stocks, the sum of the carbon retained by discarded mill residue and the carbon stocks of HWP in use and in landfills, minus landfill methane emissions, increased from 297 Tg CO2-eq in 1950 to 4456 Tg CO2-eq in 2015.</t>
  </si>
  <si>
    <t>10.1016/j.forpol.2018.05.005</t>
  </si>
  <si>
    <t>c</t>
  </si>
  <si>
    <t>LCA of all HWP in China based on historical data, no alternative scenario.</t>
  </si>
  <si>
    <t>PROCEEDINGS OF THE INSTITUTION OF CIVIL ENGINEERS-STRUCTURES AND BUILDINGS</t>
  </si>
  <si>
    <t>built environment; embodied carbon; embodied energy; energy efficiency; renewable energy; statistical analysis; structural materials; sustainability</t>
  </si>
  <si>
    <t>Anderson, J; Moncaster, A</t>
  </si>
  <si>
    <t>Embodied carbon, embodied energy and renewable energy: a review of environmental product declarations</t>
  </si>
  <si>
    <t>Environmental product declarations (EPD) to EN 15804 provide information about the embodied carbon dioxide of construction products - their life cycle greenhouse gas emissions - alongside reporting the use of renewable and non-renewable primary energy and secondary fuels, among the other environmental indicators. As the number of EPD to EN 15804 increases, they become a useful data resource to consider these impacts. In moving towards a reduction in the embodied carbon of products, it is necessary to use renewable energy resources efficiently to allow the transition to net zero; this is because of the increasing demands on renewable energy to decarbonise industry, transport and domestic energy consumption and the limited capacity to expand renewable generation. This paper reviews published EPD data for structural and reinforcing steels, cement, bricks and structural timber products, and considers, for the cradle to gate 'product' life cycle stage, exploring the relationship of embodied carbon with embodied energy (total energy used), the balance of renewable and non-renewable energy, and the efficient use of energy. It is found, for bricks and timber, that EPD show products that use a greater percentage of renewable energy have higher embodied energy, suggesting a less efficient use of renewable energy for these products.</t>
  </si>
  <si>
    <t>Proc. Inst. Civil Eng.-Struct. Build.</t>
  </si>
  <si>
    <t>Review; Early Access</t>
  </si>
  <si>
    <t>10.1680/jstbu.21.00160</t>
  </si>
  <si>
    <t>NAFTA-GAZ</t>
  </si>
  <si>
    <t>biohydrogen; biofuel; reforming; gasification; GHG emissions</t>
  </si>
  <si>
    <t>HYDROGEN-PRODUCTION; GASIFICATION; BIOMASS</t>
  </si>
  <si>
    <t>Berdechowski, K</t>
  </si>
  <si>
    <t>Analysis of biohydrogen production methods in terms of GHG emission value</t>
  </si>
  <si>
    <t>One of the fuels which will be used in the future to a much greater extent than currently is hydrogen. Many of the implemented technologies will allow this kind of fuel to drive motor vehicles without major obstacles. However, hydrogen has long been an indispensable raw material for many installations for the production of traditional fuels and used primarily for the so-called hydrogen catalytic processes (including hydrocracking, hydrotreating). Traditional hydrogen production based on natural gas steam reforming, generates high GHG emissions over the life cycle. The reason for this is the use of fossil raw material, from which CO2 is generated at the production stage (treated as emission from fossil fuel and included in the GHG emission balance). The second reason is the high energy consumption of the process, which translates into additional greenhouse gas emissions generated in the life cycle. Given this aspect, it is advisable to use alternative methods of obtaining hydrogen and known processes, but using waste biomass as the starting raw material. Such processes lead to obtaining hydrogen, which due to the origin of the raw material from which it was created, is treated as a biofuel. Current legislation allows the possibility to qualify the biohydrogen used in the abovementioned refinery processes as a biogenic component of traditional fuel. However, according to the current regulations, each biofuel must meet the sustainability criteria. One of them is the minimum level of greenhouse gas emission reduction calculated in the whole life cycle. Therefore, as part of this work, three production paths have been analyzed. The following pathways were analyzed: biohydrogen from biogas, biohydrogen from wood residues and biohydrogen from raw glycerine. Of the three, the most advantageous variant turned out to be biogas reforming, which showed a GEG emission reduction of around 77%. In addition, only this production path met the requirements for biofuels obtained on new installations.</t>
  </si>
  <si>
    <t>Naft.-Gaz</t>
  </si>
  <si>
    <t>10.18668/NG.2019.04.05</t>
  </si>
  <si>
    <t>excluded because written in polish</t>
  </si>
  <si>
    <t>18TH WORLD IMACS CONGRESS AND MODSIM09 INTERNATIONAL CONGRESS ON MODELLING AND SIMULATION: INTERFACING MODELLING AND SIMULATION WITH MATHEMATICAL AND COMPUTATIONAL SCIENCES</t>
  </si>
  <si>
    <t>Climate change; plantation species selection; probability of fire; carbon sequestration</t>
  </si>
  <si>
    <t>Buchanan, G; Kennedy, J</t>
  </si>
  <si>
    <t>Optimal selection of plantation tree species accounting for climate change</t>
  </si>
  <si>
    <t>The Australian plantation forestry industry, including the manufacture of forest products will be affected directly by climate change, since changes in weather variables such as temperature and rainfall directly impact timber yields. Furthermore, increased CO(2) concentrations and risk of fire are also likely to directly result in altered yields from forested land. This analysis aims to examine the future viability and profitability of the two most widely planted and financially important plantation species in Australia, Pinus Radiata and Eucalyptus Globulus. These two species of plantation tree have proved successful in the environment of Australia; however whether this continues to be the case in a changing climate is unclear. Examination of this question is facilitated through the use of a Central Victorian case study. The most recent National Plantation Inventory (1996) of the Bureau of Rural Sciences (BRS) defines Central Victoria as the region located immediately west of Melbourne, stretching from the Otway Ranges, north to Castlemaine, and to just west of the Grampians. The main areas of significance for plantation centre on Ballarat, Beaufort, Colac and Geelong which are also major centres for timber processing (and shipping in Geelong). Central Victoria has a reported total plantation area of 57,185 hectares, of which the two most planted species are Pinus Radiata which comprise 53.7 % of plantation land, and Eucalyptus Globulus which constitutes 43.2 %. Australia wide the two most widely planted plantation species are also Pinus Radiata which accounts for 42.6 % of the total land in Australia under plantation, and Eucalyptus Globulus which accounts for 21.6 % of total plantings in Australia. The data used in this study concentrates on these two species since they are central to the plantation industry in the region and in the country as a whole. The expected long-run value of the two species, Pinus Radiata and Eucalyptus Globulus, are estimated, in two ways: first assuming current growing conditions continue indefinitely; and secondly assuming changing growing conditions as a result of projected climate change. The plantation region considered is Central Victoria, split into three productivity areas based on historical seasonal rainfall. Estimates of the effect of climate change, represented by changes in atmospheric carbon dioxide concentration, ambient temperature and rainfall, on timber yields for the two species are used in the second part of the study. Maximum net present values of plantation returns with respect to rotation length are determined in the first part based on the Faustmann formula for infinite rotations with no changes in growth parameters. In the second part, maximum net present values are calculated with respect to rotation length the same for each rotation, over 20 rotations, allowing for changing growth parameters. For the base rate of discount of 3 per cent per annum the net present values over a planning horizon of 20 rotations closely approximate the present values over infinite rotations. Plantation returns include payments from carbon sequestration calculated for a range of carbon prices. Allowance is made for the changing probability of fire destroying a plantation in any year by adding a suitable element to the rate of discount. It is concluded that for the base case climate-change scenario, Eucalyptus Globulus dominates Pinus Radiata as the preferred species, but this is subject to a number of caveats. The modelling of how the net present value (NPV) of each species changes under climate change provides insight for management practices (including selection of plantation species) to better anticipate the challenges of climate change.</t>
  </si>
  <si>
    <t>EXPANDING BOUNDARIES: SYSTEMS THINKING IN THE BUILT ENVIRONMENT</t>
  </si>
  <si>
    <t>Life-cycle assessment; Post-tensioned timber; Reinforced concrete; Costs; Construction time; Greenhouse gas emissions</t>
  </si>
  <si>
    <t>Cattarinussi, L; Hofstetter, K; Ryffel, R; Zumstein, K; Ioannidou, D; Klippel, M</t>
  </si>
  <si>
    <t>LIFE CYCLE ASSESSMENT OF A POST-TENSIONED TIMBER FRAME IN COMPARISON TO A REINFORCED CONCRETE FRAME FOR TALL BUILDINGS</t>
  </si>
  <si>
    <t>This paper summarises a recently conducted project to investigate the sustainability of high-rise timber buildings. In particular, an innovative post-tensioned timber frame structure using glued laminated timber was compared to a functionally equivalent traditional reinforced concrete frame by means of a cradle-to-gate Life Cycle Assessment (LCA). Further, the two structures were compared with regard to costs and time for the construction. The assessment showed that the post-tensioned timber frame structure contributes about 44% less on greenhouse gas emissions compared to the traditional reinforced concrete structure. Additional performed analysis estimating the construction costs and construction time showed the great potential when using timber in comparison to reinforced concrete.</t>
  </si>
  <si>
    <t>WORLD HERITAGE AND LEGACY: CULTURE, CREATIVITY, CONTAMINATION</t>
  </si>
  <si>
    <t>LCA; FEM analysis; reinforced concrete structures; timber structures; thermal analysis</t>
  </si>
  <si>
    <t>CARBON</t>
  </si>
  <si>
    <t>Chiaia, B; Fantilli, AP; Mancinelli, O</t>
  </si>
  <si>
    <t>Comparison between the environmental performance of buildings made of reinforced concrete and timber</t>
  </si>
  <si>
    <t>In order to reduce the environmental impact of the construction industry, the case of natural material (such as timber) is pursued. However, is the use of low-impact materials sufficient to decrease the overall environmental impact of a building? The answer is not trivial, because there are many parameters that affect sustainability, in addition to the unitary environmental impact of the building materials. Through this article, an evaluation of the total CO2 emission in buildings made of reinforced concrete and CLT panels is carried out. The entire life cycle (LCA) of the materials is considered, as well as the CO2 emissions derived from heating and chilling. The relationship between CO2 emissions and building height is also taken into account along with weather conditions. The structures and envelopes of a three - storey family house and of a multi-storey residential building are designed from a structural and thermal point of view, respectively. In order to consider the climatic effects, three locations with very different weather conditions are assumed (i.e. Catania, Turin, Oslo). The carbon footprint of three different structures is considered, namely RC frame made with cast-in-situ structural elements, precast RC panels and timber CLT structure. The quantification of the carbon footprint allows to notice how the overall structural and thermal performances, including the thermal mass, affect the environment performance.</t>
  </si>
  <si>
    <t>LIFE-CYCLE ANALYSIS AND ASSESSMENT IN CIVIL ENGINEERING: TOWARDS AN INTEGRATED VISION</t>
  </si>
  <si>
    <t>De Wolf, C; Davies, D</t>
  </si>
  <si>
    <t>Benchmarking embodied carbon in structural materials</t>
  </si>
  <si>
    <t>To inspire structural engineers to contribute towards the vision of zero carbon buildings by 2050, this paper discusses the Structural Engineers 2050 Commitment. To participate, structural engineers are encouraged to share their progress with data on material quantities and embodied carbon in their structures within the database of embodied Quantity outputs (deQo). The literature reviews the variations in carbon emissions (Embodied Carbon Coefficients expressed in kg of CO2 equivalent or CO(2)e per kg of material) for common structural materials. These variations illustrate why it is necessary to collect data on material quantities in buildings rather than the end result in terms of carbon emissions of building structures: once the ECCs of materials become more accurate, the collected material quantities can be used to update the Global Warming Potential (expressed in kg of CO(2)e per m(2) of floor area or another functional unit) of the building structure. This is needed to create benchmarks of embodied carbon in building structures. To align methodologies for evaluating embodied carbon in industry practice and in deQo, an LCA specification guide is being published by the Carbon Leadership Forum. From the presented benchmarking efforts, strategies to lower embodied carbon are derived: structural optimization and low-carbon material choices. Compared to conventional practices in concrete, steel and timber structures, these strategies are applied to project case studies provided by Magnusson Klemencic Associates. In particular, new lower carbon construction materials under development are explored to illustrate the potential reductions toward the goal of zero carbon buildings by 2050.</t>
  </si>
  <si>
    <t>INNOVATIVE SOLUTIONS FOR ENERGY TRANSITIONS</t>
  </si>
  <si>
    <t>Post-use building material; end-of-life; primary energy; carbon dioxide emissions; recyclig</t>
  </si>
  <si>
    <t>CYCLE ASSESSMENT; WOOD; CONCRETE; CONSTRUCTION; IMPACTS</t>
  </si>
  <si>
    <t>Dodoo, A; Gustaysson, L; Tettey, UYA</t>
  </si>
  <si>
    <t>Effects of end-of-life management options for materials on primary energy and greenhouse gas balances of building systems</t>
  </si>
  <si>
    <t>In this study we have analysed the life cycle primary energy and greenhouse gas (GHG) balances of concrete-frame and timber frame multi-storey building alternatives, designed to meet the current Swedish building code, considering different end-of-life scenarios. The scenarios include recycling of concrete and steel, cascading by recycling of wood into particle board and energy recovery at the end-of-life of the board, energy recovery of wood by combustion, and landfilling of wood with and without landfill gas (LFG) recovery. The energy recovered is assumed to replace fossil coal or gas. Our analysis accounts for energy and GHG flows in the production and end-of-life phases. We estimate the GHG emission changes achieved per unit of difference in finished wood in buildings or in harvest forest biomass between the timber buildings and the concrete building. The results show that the timber building systems give significantly lower life cycle primary energy balances than the concrete building system for all the end-of-life options. The concrete building system gives higher life cycle GHG balances than the timber alternatives for all the end-of-life options, except when wood is landfill without LFG recovery. The end-of-life primary energy and GHG benefit of wood materials is most significant for energy recovery while the benefit of cascading is low. However, replacing fossil gas instead of fossil coal significantly reduce the carbon benefits of the timber alternatives. The benefits of recycling steel and concrete are small. This study shows that end-of-life options for building materials can offer opportunities to reduce energy use and GHG emissions in the built environment. (C) 2019 The Authors. Published by Elsevier Ltd.</t>
  </si>
  <si>
    <t>10.1016/j.egypro.2019.01.802</t>
  </si>
  <si>
    <t>Forster, EJ; Healey, JR; Dymond, CC; Newman, G; Davies, G; Styles, D</t>
  </si>
  <si>
    <t>Linking construction timber carbon storage with land use and forestry management practices</t>
  </si>
  <si>
    <t>Consequential life cycle assessment was applied to forestry systems to evaluate the environmental balance of expanding forestry onto marginal agricultural land to supply more timber for the built environment, accounting for land use effects and product substitution. Forestry expansion to supply timber buildings could mitigate UK greenhouse gas (GHG) emissions by 2.4 Gg CO2 eq. per ha of forest over 100 years, though net mitigation could be halved if beef production were displaced to Brazil. Forest thinning increases wood yields and percentage conversion of harvested wood to construction sawnwood, resulting in 5% greater net GHG mitigation compared with unthinned systems. Optimising the environmental sustainability of construction timber value chains in a circular, bio-based economy will require holistic accounting of land use (change), forestry management and complex flows of wood.</t>
  </si>
  <si>
    <t>10.1088/1755-1315/323/1/012142</t>
  </si>
  <si>
    <t>PAPERS OF THE 25TH EUROPEAN BIOMASS CONFERENCE</t>
  </si>
  <si>
    <t>life cycle assessment; wood-based bioeconomy; integrated industrial production networks; lignocellulosic biorefineries</t>
  </si>
  <si>
    <t>Hildebrandt, J; Budzinski, M; Thran, D; Bezama, A</t>
  </si>
  <si>
    <t>ASSESSING A BIOECONOMY NETWORK FROM AN INTEGRATED LIFE CYCLE PERSPECTIVE</t>
  </si>
  <si>
    <t>The production of wood fibres, bio-based polymers and engineered wood products within integrated industrial production networks can be organized by industrial decision makers in future production planning with a varying degree in the integration of cross company supply and conversion chains. For instance, the supply with wood fibres in future composite and wood panel production lines can rely on individual or cooperative operation of refinery plants. Also, the feedstock of lignocellulosic biorefineries can primarily be mobilized from raw wood resources or can be sourced from saw mill by-products and/or secondary wood resources. Finally, a major option for coupled use and integration of value added chains between biorefineries and wood manufacturing industries is the production of intermediary and auxiliary materials such as bio-based resins and adhesives for glue-laminated and cross-laminated timber products. Considering these scenarios of varying intensity in coupled use and cascade use of wood resources a baseline scenario was developed and assessed in this study, which serves as a basis for further LCA studies on extended scenarios. If these horizontal and vertical integration options really contribute to favourable reduction of environmental impacts along the bio-based value chains in bioeconomy regions, thereby remains a major question for further in-depth assessments. A life cycle-based approach has been used to model and evaluate the technological processes that take part in wood-based bio-polymer and wood processing supply chains. This work analyses the negative environmental impacts of a future wood-based bioeconomy network and compares its impacts with those of a traditional fossil-based production system. Results show that for the future bioeconomy system for seven out of 11 impact categories a relative advantage between 25 % to 130% of the initial impacts of fossil-based counterparts is attainable. As expected the global warming potential and the abiotic depletion potentials are building the top group with 130 % and 70 % respectively. The inventory analysis shows that the integration of regional and cross company supply chains and the minimization of fossil-based additives and auxiliaries and utility service installations offer further options for leveraging optimization scenarios.</t>
  </si>
  <si>
    <t>27TH EUROPEAN SYMPOSIUM ON COMPUTER AIDED PROCESS ENGINEERING, PT B</t>
  </si>
  <si>
    <t>Biomass; Bioenergy; Cogeneration; Multigeneration; Renewable resources</t>
  </si>
  <si>
    <t>Kanematsu, Y; Oosawa, K; Okubo, T; Kikuchi, Y</t>
  </si>
  <si>
    <t>A design of rural energy system by industrial symbiosis considering availability of regional resources</t>
  </si>
  <si>
    <t>This paper performed the design of rural energy system by industrial symbiosis considering long-term availability of forest resources, As for the case examples, alternatives of energy system in Tanegashima, a remote island in Japan, were examined, where two types of combined heating and power (CHP) were designed. In the first option, bagasse-based CHP at the cane sugar mill was enhanced to use woody biomass as additional fuel and generate energy for district heating and cooling (DHC). In another option, small scale biomass-CHP was designed for DHC in city center. Both options were mathematically modeled and simulated for examining the resource requirements and life cycle greenhouse gas emission. A constraint on total availability of woody biomass was taken into account, which was calculated through a simulation on forestry. The effect of total timber availability and allocation to the two CHP systems was quantified. A design of rural energy system by industrial symbiosis can be facilitated by simulation-based analysis to visualize the impacts of such energy networks among involved multiple players such as industry, residential, and commercial sectors,</t>
  </si>
  <si>
    <t>10.1016/B978-0-444-63965-3.50333-0</t>
  </si>
  <si>
    <t>changed_to_nojournal</t>
  </si>
  <si>
    <t>4TH WORLD MULTIDISCIPLINARY CIVIL ENGINEERING-ARCHITECTURE-URBAN PLANNING SYMPOSIUM - WMCAUS</t>
  </si>
  <si>
    <t>Karas, A; Idem, R</t>
  </si>
  <si>
    <t>The Dilemmas of Choosing a Suitable Technology for Low Energy and Passive Houses in the Context of their Overheating Issues</t>
  </si>
  <si>
    <t>In compliance with European Union directives, numerous countries are introducing increasingly stricter legal limits on the estimated energy consumption of newly designed residential buildings. However, the fact, that regulations and designers' efforts are focused on decreasing energy consumption (and consequently carbon dioxide emissions) only at the post-occupancy stage, may lead to a significant increase in the carbon footprint of the buildings during their entire life cycle. A frequent criticism levelled at low-energy and passive buildings is that they are susceptible to the phenomenon of overheating. The reduction of overheating through the choice of massive technologies, materials with high thermal capacity as well as a high heat dispersion coefficient, stands in opposition to the requirement to choose the technologies that ensure a low ecological footprint (i.e. timber frame technologies). The development of a tool facilitating decision making in this issue seems to be a challenge. Life Cycle Assessment (LCA) is a well-known, optimal method for forecasting buildings' carbon footprint, however, it is an expensive and time-consuming method. Life Cycle Assessment is a method dedicated to large investments. In practice, such analysis are not carried out for residential buildings. The purpose of this paper is to analyse the foregoing problem on the example of detached single-family houses and to propose a method and tool that can assist architectural design in this regard.</t>
  </si>
  <si>
    <t>10.1088/1757-899X/603/4/042024</t>
  </si>
  <si>
    <t>19TH INTERNATIONAL CONGRESS ON MODELLING AND SIMULATION (MODSIM2011)</t>
  </si>
  <si>
    <t>Intertemporal general equilibrium; optimal forest management; mixed complementarity</t>
  </si>
  <si>
    <t>Lennox, JA; Turner, JA; Daigneault, A; Jhunjhnuwala, K</t>
  </si>
  <si>
    <t>Global forestry and land use change dynamics in intertemporal general equilibrium</t>
  </si>
  <si>
    <t>Management of forests for timber and other values, deforestation and afforestation are subjects of major policy interest, with important implications for climate change and food security inter alia. To robustly quantify impacts of policies on forests and on land use generally requires accounting for economic interactions not only between agricultural and forestry, but also energy and other sectors. At larger scales, these interactions may include linkages via international trade. General equilibrium models are well suited to capture such interactions; however, adequate representation of land use change and forestry in these models remains challenging. We present a dynamic bottom-up representation of forestry within a top-down intertemporal general equilibrium model that is formulated as a mixed complementarity problem (Mathiesen, 1985; Lau et al., 2002). Intertemporally optimal management of forests and optimal harvest ages are determined endogenously within the model, bringing into an intertemporal general equilibrium farmework features hitherto limited to partial equilibrium models (e. g. the Global Timber Model Sedjo and Lyon, 1990; Sohngen et al., 1999) or recursive dynamic general equilibrium models (Pant, H. M. 2010). Planted or naturally regenerating production forests are represented by a set of multiperiod production functions corresponding to a discrete set of harvest ages. Complementarity between negative profits and output allow for the endogenous selection of the optimal age(s) at any time under conditions of perfect foresight. A comparable bottom-up treatment of timber production from and clearance of primary forests is the subject of ongoing research. These dynamic representations of forestry in a general equilibrium framework will allow for more robust assessments of policies such as domestic greenhouse gas emissions trading schemes or Reducing Emissions from Degradation and Deforestation (REDD) Plus in developed and developing countries. Computational limitations on direct bottom-up integration may be prohibited for models with more sectoral or regional detail. However, larger models should be tractable with the aid of decomposition techniques, which allow for tight and theoretically consistent linking of a top-down general equilibrium model with bottom-up partial equilibrium sub-models. This is also the subject of our own-going research An illustrative scenario using a four-region version of our CliMAT-DGE model with bottom-up forestry showed the effects of carbon credits for HWPs in the US, within a wider context of CO2 emissions pricing by developed countries. We showed not only a significant expansion of forestland and output in the US, but changes in age composition of the forest estate and harvest ages during a six decade transition. Marginal flow-on effects of the US HWP credits were small, but larger effects could be expected for policies affecting a larger share of global forest production, or in regions where forestry is economically more important. Computational considerations limit the number of regions and the level of bottom-up detail achievable through direct bottom-up integration. However, larger models should be solvable with the aid of decomposition techniques, which allow tight and theoretically consistent linking of a top-down model with bottom-up sub-models. This is another focus of our own-going research.</t>
  </si>
  <si>
    <t>changed_to_no_journal</t>
  </si>
  <si>
    <t>PROCEEDINGS OF AICCE&amp;apos;19: TRANSFORMING THE NATION FOR A SUSTAINABLE TOMORROW</t>
  </si>
  <si>
    <t>Carbon footprint; Industrialised building system; Life cycle assessment</t>
  </si>
  <si>
    <t>Lip, YY; Teo, FY; Tang, IYH</t>
  </si>
  <si>
    <t>Carbon Footprint Analysis of Industrialised Building System in Malaysia</t>
  </si>
  <si>
    <t>The topic on sustainability of Industrialised Building System (IBS) in the construction industry of Malaysia is always debatable and questionable. This study is carried out to determine the carbon footprint of a typical commercial project with the application of IBS. In this paper, IBS is classified to aluminium formwork system and fully precast concrete structure. The carbon footprint is quantified with life cycle assessment (LCA) of the building dividing into production phase of materials, transportation phase and construction phase. Whereas the study adopted data of embodied carbon of materials and carbon emission factor from reliable external source to estimate the total carbon emission of the project with the application of IBS. The outcome of carbon footprint is compared with conventional building method to identify the sustainability of each building method. Based on the data analysis, the application of precast concrete has the lowest carbon footprint as compared to cast-in situ with aluminium formwork and timber formwork. Although the carbon emission from the transportation of precast concrete elements is relatively high, but the overall carbon footprint is still the lowest among the other building method. The amount of carbon emission of the commercial project with IBS construction is 0.342 tonnes CO2 per meter square. The production of construction materials that contributed the most to the carbon footprint is concrete, followed by steel rebar and formwork. The findings in this study is very useful for future research on carbon footprint of construction in Malaysia. The study also helps to raise awareness towards sustainable construction with the application of IBS in Malaysia.</t>
  </si>
  <si>
    <t>10.1007/978-3-030-32816-0_59</t>
  </si>
  <si>
    <t>The Study deals with an LCA of prefab aluminum components. The word "wood" or "forest" were not mentioned in the manuscript.</t>
  </si>
  <si>
    <t>LESNOY ZHURNAL-FORESTRY JOURNAL</t>
  </si>
  <si>
    <t>boiler; wood pellet fuel; harmful substances; numerical modeling; heat losses; efficiency</t>
  </si>
  <si>
    <t>COMBUSTION; GRATE</t>
  </si>
  <si>
    <t>Lyubov, VK; Vladimirov, AM</t>
  </si>
  <si>
    <t>COMPLEX EFFICIENCY OF USING WOOD PELLETS IN POWER PLANTS</t>
  </si>
  <si>
    <t>In advanced countries, the dramatic impact of greenhouse gases on the global climate is reduced by replacing fossil fuels with biofuels. This method is being actively encouraged. However, by-products of logging, processing and conversion of wood are classified as difficult to burn fuels due to their high moisture content, low energy density and extremely heterogeneous granulometric composition. A promising direction to increase the energy density and transportability of the timber industry by-products is their granulation. Wood pellet fuel burning in heat-generating plants results in significant increase in their energy and environmental performance. The purpose of the paper is an experimental and calculation study of the energy and environmental performance of 4 MW hot water boilers produced by Polytechnik Luft- und Feuerungstechnik GmbH in the process of burning pine and spruce wood pellets obtained from by-products woodworking. When performing studies, the components of the boiler&amp;apos;s heat balance, gas release, and particulate emissions were determined. Numerical modeling of thermochemical and aerodynamic processes taking place in the boiler combustion chamber was carried out by using the Ansys Fluent three-dimensional simulation software. Together with industrial-operational tests it showed the possibility to reduce the total share of flue gas recirculation into combustion chambers of boiler units to values not exceeding 0.45, in providing an acceptable temperature of combustion products at the combustion chamber outlet and maintaining minimum emissions of carbon and nitrogen monoxides. At the same time, the share of gases fed by recirculation smoke exhausters to the over-bed area of the burner should have higher values than under the reciprocating grates of boilers. Guidelines for comprehensive improvement of wood pellet combustion efficiency in combustion chamber of 4 MW hot water boilers have been developed and implemented. The priorities are: using the air passed through the cooling channels of the setting as secondary air; reducing the rarefaction in the combustion chambers to 30-70 Pa; optimizing the ratio of primary and secondary air, herewith, the share of primary air in the total flow should be 0.26-0.35. Implementation of the developed guidelines allowed to increase the boiler gross efficiency by 0.5-1.8 %, to reduce the aerodynamic resistance of the gas path by 15-20 % and to ensure consistently low emissions of carbon and nitrogen monoxides and soot particles. When designing boiler units for burning wood pellet fuel it is advisable to place heating surfaces in the combustion chamber, included in the circulation circuit of the boiler. This will increase the efficiency and life cycle of the boiler unit.</t>
  </si>
  <si>
    <t>Lesnoy Zh.</t>
  </si>
  <si>
    <t>10.37482/0536-1036-2021-1-159-172</t>
  </si>
  <si>
    <t>It is written in Russian.</t>
  </si>
  <si>
    <t>GREENHOUSE GAS CONTROL TECHNOLOGIES, VOLS I AND II, PROCEEDINGS</t>
  </si>
  <si>
    <t>Read, P; Lermit, J; Kathirgamanathan, P</t>
  </si>
  <si>
    <t>Modelling bio-energy with carbon storage (BECS) in a multi-region version of flames</t>
  </si>
  <si>
    <t>Global FLAMES [1,2] demonstrates the potential of the combined evolution of the stock and flow effects from temporary sequestration and subsequent fossil fuel displacement due to plantation based bio-energy, in reducing greenhouse gas levels below those widely thought to be feasible [3]. This surprising effectiveness can be further enhanced by linking plantation bio-energy to carbon capture and storage [4]. Such 'BECS' technology yields, potentially, a negative emissions energy system and control of CO2 levels on a few decade time-scale. The effect of BECS is illustrated using global FLAMES. To provide relevance to country level scenario building and decision taking, FLAMES has been developed [5] into a multi-region dynamic market model simulating trade in fossil fuel, biofuel, and timber products. Results are illustrated in the case of three notional regions, 'rich', 'landed' and 'popet' (populous with petroleum) - broadly equivalent to the 'North', South Sahara Africa with Southern America, and Asia plus OPEC.</t>
  </si>
  <si>
    <t>FARM MACHINERY AND PROCESSES MANAGEMENT IN SUSTAINABLE AGRICULTURE</t>
  </si>
  <si>
    <t>greenhouse gas emissions; bioenergy; short rotation coppice; willow</t>
  </si>
  <si>
    <t>Rodzkin, A; Kostukevich, S; Tanas, W; Szymanek, M; Kassar, FH</t>
  </si>
  <si>
    <t>ASSESSMENT OF THE BALANCE OF GREENHOUSE GASES IN THE PRODUCTION OF RENEWABLE BIOMASS FROM SHORT-CYCLE ENERGY PLANTATIONS OF WILLOW</t>
  </si>
  <si>
    <t>Greenhouse gas control it is the key aspect for climate protection. As climate regulation became inevitable, companies started adopting more proactive strategies. One of the effective methods for greenhouse gas emission calculation is based on life cycle analysis. A carbon footprint is defined as the sum of greenhouse gas emissions caused by an organization, event, or product and is expressed in terms of CO2 equivalents. The investigations were devoted to greenhouse emission assessment during life cycle of willow wood production from short rotation coppice plantations. In accordance with results about 48% of carbon dioxide gas from all life cycle of willow was emitted during wood harvesting and transportation to energy plants.</t>
  </si>
  <si>
    <t>10.24326/fmpmsa.2017.60</t>
  </si>
  <si>
    <t>PAPERS OF THE 22ND EUROPEAN BIOMASS CONFERENCE: SETTING THE COURSE FOR A BIOBASED ECONOMY</t>
  </si>
  <si>
    <t>Canada; managed forest; harvested wood product (HWP); wood pellets; life cycle analysis; cascade</t>
  </si>
  <si>
    <t>Sikkema, R; Junginger, HM; Faaij, APC; McFarlane, P</t>
  </si>
  <si>
    <t>THE CASCADED USE OF HARVESTED WOOD PRODUCTS COMPARED WITH THE USE OF WOOD FOR ENERGY - A GHG INVENTORY ON AVAILABLE FOREST RESOURCES IN CANADA</t>
  </si>
  <si>
    <t>Some Parties (Countries) to the UNFCCC decided to include the carbon uptake by harvested wood products (HWP) in a new general accounting framework after 2012 (post Kyoto). We combine the new HWP framework with an assumed increased 5 0 million m(3) harvest level in Canada and evaluate the impact of the GHG emissions over a 100 year period. Our reference case assumes all harvested wood is an immediate CO2 emission (IPCC default) and no substitution effects, i.e. annual GHG emissions of 41 million tonnes CO2eq. In our wood utilisation scenarios, harvested trees are allocated to three end-products: construction wood, paper products and pellets for power production. In comparison with our base case, a combination of fossil fuel substitution, material substitution and temporary carbon uptake by HWP leads to significant decreases in GHG emissions. A similar approach is intended for future EU-28 harvesting.</t>
  </si>
  <si>
    <t>STRUCTURES AND ARCHITECTURE: CONCEPTS: APPLICATIONS AND CHALLENGES</t>
  </si>
  <si>
    <t>Spinelli, A</t>
  </si>
  <si>
    <t>Convertible city: light wood prefab systems in the extension of built environment</t>
  </si>
  <si>
    <t>The research work proposes a reflection about transforming existing city. The paper focus about transformation projects which considering the addition of part and volumes an opportunity to redefine performance and architectural appeal of existent building and renovate the whole city functioning. The research refers to urban living context and housing quality, by using timber technology as method to read the change towards new smart urban environment. This topic becomes the driving force at the center of development actions in many European medium cities, promoting a new research approach against soil consumption. Thus represent an opportunity to experiment new forms of living and search further directions for the building sector. Wood can be seen as the most suitable material for these interventions, it offers the opportunity to reduce energy consumption and CO2 emissions during the entire construction process and the building life cycle.</t>
  </si>
  <si>
    <t>STAHLBAU</t>
  </si>
  <si>
    <t>sustainability; embodied emissions; resource efficiency; lightweight structures; circular construction; life cycle expansion; material use; infra-lightweight-concrete</t>
  </si>
  <si>
    <t>Stockhusen, K; Erichsen, J</t>
  </si>
  <si>
    <t>The net zero as a target: examples for building in line with the reduce-reuse-recycle principle</t>
  </si>
  <si>
    <t>The building sector is currently facing an unprecedented challenge: How can we drastically reduce emissions of climate-damaging greenhouse gases and still meet the growing global demand for a built environment? It is certain that sustainability can only be achieved through a holistic architectural approach. Just as important as taking into account operational emissions are the emissions generated during construction itself. After all, the amount of these embodied emissions produced by 2050 is crucial to achieving the United Nations' climate goals. The three R's of Reduce - Reuse - Recycle are essential for the building industry to be able to meet these objectives. In the following, projects are presented that are guided by these three R's and successfully demonstrate how innovative approaches and concepts can drive the change to net-zero. Among these are the roof of the Olympic Stadium in Munich as a pioneering model for all light-weight structures, the hanging timber canopy for the 2024 Olympic Aquatics Center in Paris as an example of materials-based design, the free-form steel and glass domes of the Moynihan Train Hall in New York City, as well as the modular container stadium serving as examples for preserving and extending the life cycle of structures or entire building components, the City of Dream Pavilion Cast &amp; Place made of recycled aluminum, and the youth facility Betonoase in Berlin, whose exterior walls and porches are made of the particularly recycling-friendly infra-light concrete (ILC).</t>
  </si>
  <si>
    <t>Stahlbau</t>
  </si>
  <si>
    <t>10.1002/stab.202200006</t>
  </si>
  <si>
    <t>ECOLOGY, ECONOMICS, EDUCATION AND LEGISLATION, VOL I</t>
  </si>
  <si>
    <t>civil engineering; timber products; sustainable; GFRP; LCA</t>
  </si>
  <si>
    <t>Taranu, N; Maxineasa, SG; Entuc, IS; Oprisan, G; Secu, A</t>
  </si>
  <si>
    <t>Assessing the environmental impact of a glass fibre reinforced polymer strengthening solution for timber beams</t>
  </si>
  <si>
    <t>It is common knowledge that forests represent the most proficient tool of the planet Earth for improving air quality, by sequestering and replacing a significant volume of carbon dioxide (CO2) with oxygen (O-2). Moreover, wood plantations are known to provide a natural habitat for animals, making them an important element in the global efforts of protecting the fauna. Due to the crucial influence of trees in ensuring such life conditions, during the latest years, international debates concerning the protection of old-growth forests by reducing the consumption of trees as a material in different economic industries have intensified. World-wide, a significant amount of wood is processed in order to be utilised in the civil engineering sector. Even if the utilization of trees from certified forests is encouraged, at the moment, only a small part of the amount of timber products used in this sector is fabricated by processing materials originated from sustainable wood plantations. Therefore, besides increasing the volume of the processed certified trees, the construction field should also implement new solutions in order to minimize the environmental load resulted from using uncertified timber solutions. The reusing of existing timber structures by applying different fibre reinforced polymer (FRP) composites strengthening solutions can represent an efficient approach for achieving this goal. The present paper evaluates the environmental impact of a glass fibre reinforced polymer (GFRP) strengthening technique utilized on a timber beam by using the Life Cycle Assessment (LCA) methodology and the GaBi 6 software. The resulted values point to the fact that despite their negative influence, FRP materials can have an important role in protecting and improving the condition of the natural environment by reducing the quantity of timber used in this sector.</t>
  </si>
  <si>
    <t>Carbon emissions; structural frames; low energy building; building materials; concrete; wood</t>
  </si>
  <si>
    <t>LIFE-CYCLE; WOOD; CONCRETE</t>
  </si>
  <si>
    <t>Tettey, UYA; Dodoo, A; Gustavsson, L</t>
  </si>
  <si>
    <t>Carbon balances for a low energy apartment building with different structural frame materials</t>
  </si>
  <si>
    <t>We analyse the life cycle carbon implications of a building, with structural frame of prefabricated concrete, prefabricated modular timber or cross laminated timber (CLT) elements, designed to meet the Swedish passive house criteria. The analysis covers non-biogenic carbon flows related to the building alternatives, over an assumed life time of 80 years. The building alternatives are all modelled to have the same housing service and operation energy demand. Substitution factors, showing the efficiency of CO2 emissions reductions when wood alternatives are used instead of non-wood alternatives, are calculated for the CLT and modular alternatives with reference to the concrete alternative. The results show that the CLT and modular buildings give less carbon emissions to the atmosphere during production and when the buildings are demolished at the end-of-life. Moreover, the wood residues from the production and end-of-life activities for the timber alternatives far exceed that for the concrete alternative. The substitution factors differ slightly between the CLT and the modular alternatives, and are significantly lower when fossil gas is substituted by wood residues instead of fossil coal. In summary, the life cycle carbon emissions are significantly lower for the timber alternatives. (C) 2019 The Authors. Published by Elsevier Ltd.</t>
  </si>
  <si>
    <t>10.1016/j.egypro.2019.01.801</t>
  </si>
  <si>
    <t>17TH INTERNATIONAL SCIENTIFIC CONFERENCE: ENGINEERING FOR RURAL DEVELOPMENT</t>
  </si>
  <si>
    <t>biomass; climate-friendly; moisture; compression; pellets</t>
  </si>
  <si>
    <t>WOOD PELLETS; FUEL PELLETS; QUALITY; ENERGY; DENSIFICATION; TEMPERATURE; PRESSURE; RESIDUES; DURABILITY; PARAMETERS</t>
  </si>
  <si>
    <t>Ungureanu, N; Vladut, V; Voicu, G; Dinca, MN; Zabava, BS</t>
  </si>
  <si>
    <t>INFLUENCE OF BIOMASS MOISTURE CONTENT ON PELLET PROPERTIES - REVIEW</t>
  </si>
  <si>
    <t>Seeking to become more climate-friendly and less energy-consuming, the European Union has pledged to cut its greenhouse gas emissions and milestones to achieve this are set to 20 % by 2020, 40 % by 2030, 60 % by 2040 and 80 % by 2050. Due to its abundance, biomass is gaining more and more importance both for the production of thermal energy by direct combustion or gasification of vegetal materials, for electricity and for the production of biofuels. Direct combustion of biomass generates CO2, but the process is neutral in terms of greenhouse gas emissions, because the same amount of CO2 was absorbed by plants from the air during their life cycle. Ecological solid fuels such as pellets have become rapidly a viable alternative to fossil fuels, due to their high energy content, which makes them suitable for use by both small households and industrial consumers. Pellets are obtained from a variety of raw materials such as: agricultural residues, energy crops, forestry and wood residues, used exclusively or mixed and having different physical-chemical properties. This paper presents a summary of literature on the effect of the moisture content on the properties of pellets obtained from various types of biomass. Moisture content of raw material is one of the most important factors that influence negatively the properties of pellets, such as bulk density or mechanical durability during storage and transportation. Energy consumption increases during pelletizing of high moisture biomass, as moisture is a lubricant that lowers friction in the die. Other studies found a positive correlation between pellets durability and optimal moisture (10 %), because water together with the die temperature, pressure and chemical composition of raw material acts like a binding agent that increases pellet quality. Pellets with 5 % moisture have low strength, become brittle, and large amounts of dust are produced during their storage and transportation. Moisture higher than 15 % damages pellets during storage.</t>
  </si>
  <si>
    <t>10.22616/ERDev2018.17.N449</t>
  </si>
  <si>
    <t>EKONOMICHESKAYA POLITIKA</t>
  </si>
  <si>
    <t>Paris Agreement; the role of boreal forests in carbon balance; carbon neutrality; Canada</t>
  </si>
  <si>
    <t>DYNAMICS</t>
  </si>
  <si>
    <t>Shvarts, EA; Ptichnikov, AV; Kokorin, AO; Krenke, AN</t>
  </si>
  <si>
    <t>Cross-Border Carbon Regulation and Forests in Russia: From Expectations and Myth to Realization of Interests</t>
  </si>
  <si>
    <t>Introduction of the EU Carbon Border Adjustment Mechanism over the period from 2023 to 2026 together with corporate commitments to achieve carbon neutrality and carry out commercial decarbonization have markedly increased interest in assessing the potential of carbon sequestration by Russian forests as a possible way to achieve decarbonization and facilitate Russian exports. The prevailing opinion in business circles is that a signi ficant net positive carbon balance from Russia's forests could circumvent the need for businesses to make costly reductions in their direct CO2 emissions. However, international decarbonization strategies and standards do not concur with that idea. Direct emissions will have to be reduced. Offset mechanisms, whose benefits are calculated as the difference between a baseline and an improved scenario for forest management (the principle of additionality), will compensate for only a part of the emissions. The experience of Canada is indicative, as it consistently implements measures to decarbonize industry without regard to the absorption of CO2 by its forests. Even though Canada has climatic conditions, forest growth, and population density similar to Russia's, its policy is not dependent upon revising estimates of net CO2 absorption by forests upward. Forestry priorities in Russia, including reforestation, should instead be gradually shifted from managing commercial forests for harvesting timber to reducing all forest fires. Leased and non-leased forests should both be included, and reforestation that favors deciduous species and mixed forests should be given a higher priority. It is also necessary to remove barriers to forestry in agricultural forests and to plan for implementation of projects directed at improving both forestry and climate on the land leased out from the holdings of the State Forest Fund as well as on agricultural tracts, including those now overgrown by forests.</t>
  </si>
  <si>
    <t>EKONOMICHESKAYA POLIT.</t>
  </si>
  <si>
    <t>10.18288/1994-5124-2022-5-54-77</t>
  </si>
  <si>
    <t>not english</t>
  </si>
  <si>
    <t>forests; climate; environment; policy; bioenergy</t>
  </si>
  <si>
    <t>HARVEST RESIDUES; CARBON; LAND</t>
  </si>
  <si>
    <t>Birdsey, R; Duffy, P; Smyth, C; Akurz, W; Dugan, AJ; Houghton, R</t>
  </si>
  <si>
    <t>Climate, economic, and environmental impacts of producing wood for bioenergy</t>
  </si>
  <si>
    <t>Increasing combustion of woody biomass for electricity has raised concerns and produced conflicting statements about impacts on atmospheric greenhouse gas (GHG) concentrations, climate, and other forest values such as timber supply and biodiversity. The purposes of this concise review of current literature are to (1) examine impacts on net GHG emissions and climate from increasing bioenergy production from forests and exporting wood pellets to Europe from North America, (2) develop a set of science-based recommendations about the circumstances that would result in GHG reductions or increases in the atmosphere, and (3) identify economic and environmental impacts of increasing bioenergy use of forests. We find that increasing bioenergy production and pellet exports often increase net emissions of GHGs for decades or longer, depending on source of feedstock and its alternate fate, time horizon of analysis, energy emissions associated with the supply chain and fuel substitution, and impacts on carbon cycling of forest ecosystems. Alternative uses of roundwood often offer larger reductions in GHGs, in particular long-lived wood products that store carbon for longer periods of time and can achieve greater substitution benefits than bioenergy. Other effects of using wood for bioenergy may be considerable including induced land-use change, changes in supplies of wood and other materials for construction, albedo and non-radiative effects of land-cover change on climate, and long-term impacts on soil productivity. Changes in biodiversity and other ecosystem attributes may be strongly affected by increasing biofuel production, depending on source of material and the projected scale of biofuel production increases.</t>
  </si>
  <si>
    <t>10.1088/1748-9326/aab9d5</t>
  </si>
  <si>
    <t>GLOBAL CHANGE BIOLOGY</t>
  </si>
  <si>
    <t>carbon retention curve; carbon sequestration; cascading; climate change; first-order decay; half-life; low-carbon economy; mitigation; wood industry</t>
  </si>
  <si>
    <t>FOREST MANAGEMENT-PRACTICES; LIFE-CYCLE ASSESSMENT; GREENHOUSE-GAS; CLIMATE-CHANGE; ROTATION LENGTH; SEQUESTRATION; STORAGE; IMPACTS; DECOMPOSITION; DYNAMICS</t>
  </si>
  <si>
    <t>Brunet-Navarro, P; Jochheim, H; Muys, B</t>
  </si>
  <si>
    <t>Modelling carbon stocks and fluxes in the wood product sector: a comparative review</t>
  </si>
  <si>
    <t>In addition to forest ecosystems, wood products are carbon pools that can be strategically managed to mitigate climate change. Wood product models (WPMs) simulating the carbon balance of wood production, use and end of life can complement forest growth models to evaluate the mitigation potential of the forest sector as a whole. WPMs can be used to compare scenarios of product use and explore mitigation strategies. A considerable number of WPMs have been developed in the last three decades, but there is no review available analysing their functionality and performance. This study analyses and compares 41 WPMs. One surprising initial result was that we discovered the erroneous implementation of a few concepts and assumptions in some of the models. We further described and compared the models using six model characteristics (bucking allocation, industrial processes, carbon pools, product removal, recycling and substitution effects) and three model-use characteristics (system boundaries, model initialization and evaluation of results). Using a set of indicators based on the model characteristics, we classified models using a hierarchical clustering technique and differentiated them according to their increasing degrees of complexity and varying levels of user support. For purposes of simulating carbon stock in wood products, models with a simple structure may be sufficient, but to compare climate change mitigation options, complex models are needed. The number of models has increased substantially over the last ten years, introducing more diversity and accuracy. Calculation of substitution effects and recycling has also become more prominent. However, the lack of data is still an important constraint for a more realistic estimation of carbon stocks and fluxes. Therefore, if the sector wants to demonstrate the environmental quality of its products, it should make it a priority to provide reliable life cycle inventory data, particularly regarding aspects of time and location.</t>
  </si>
  <si>
    <t>Glob. Change Biol.</t>
  </si>
  <si>
    <t>10.1111/gcb.13235</t>
  </si>
  <si>
    <t>REVISTA BRASILEIRA DE ZOOTECNIA-BRAZILIAN JOURNAL OF ANIMAL SCIENCE</t>
  </si>
  <si>
    <t>biological N-2 fixation; ecosystem services; grassland; nutrient cycling; tropical</t>
  </si>
  <si>
    <t>LEUCAENA-LEUCOCEPHALA; GLIRICIDIA-SEPIUM; ECOSYSTEM SERVICES; CONDENSED TANNINS; TROPICAL TREE; NUTRITION SECURITY; BIOMASS PRODUCTION; NITROGEN-FIXATION; FODDER TREES; N-2 FIXATION</t>
  </si>
  <si>
    <t>Dubeux, JCB; Muir, JP; Apolinario, VXD; Nair, PKR; Lira, MD; Sollenberger, LE</t>
  </si>
  <si>
    <t>Tree legumes: an underexploited resource in warm-climate silvopastures</t>
  </si>
  <si>
    <t>Tree legumes are an underexploited resource in warm-climate silvopastures. Perceived benefits of tree legumes include provisioning (browse/mast, timber, fuel, human food, natural medicines, and ornamentals), regulating (C sequestration, greenhouse gas mitigation, soil erosion control and riparian buffers, shade, windbreaks, and habitat for pollinators), supporting (biological N-2-fixation, nutrient cycling, soil fertility and soil health, photosynthesis, and primary productivity), and cultural ecosystem services. Tree legumes, however, have not been assessed to the same extent as herbaceous legumes. Once tree legumes are established, they are often more persistent than most herbaceous legumes. There are limitations for extended research with tree legume silvopastures, but extensive research has been done in Africa and Australia and recent efforts have been reported in South America. Economic benefits must be demonstrated to land managers to increase adoption. These benefits are apparent in the research and successes already available, but more long-term research, including the livestock component is necessary. Other factors that reduce adoption include paucity of domesticated germplasm, lag in research/technology, challenges of multipurpose trees and management complexity, challenges to mechanization, dangers of invasive weeds, and social and cultural barriers. In the current scenario of climate change and the need to increase food security, tree legumes are a key component for the sustainable intensification of livestock systems in warm-climate regions.</t>
  </si>
  <si>
    <t>Rev. Bras. Zootecn.</t>
  </si>
  <si>
    <t>10.1590/S1806-92902017000800010</t>
  </si>
  <si>
    <t>Ghanaian timber sector; Environmental performance indicators; Functional units; Life cycle impact assessment (LCIA); Tropical wood</t>
  </si>
  <si>
    <t>LAND-USE IMPACT; ENVIRONMENTAL-IMPACT; WOOD WASTES; INVENTORY; BIODIVERSITY; METHODOLOGY; PRODUCTS</t>
  </si>
  <si>
    <t>LCA of the timber sector in Ghana: preliminary life cycle impact assessment (LCIA)</t>
  </si>
  <si>
    <t>Purpose Most life cycle impact assessment (LCIA) approaches in life cycle assessment (LCA) are developed for western countries. Their LCIA approaches and characterization methodologies for different impact categories may not be necessarily relevant to African environmental conditions and particularly not for the timber sector in Ghana. This study reviews the relevance of existing impact categories and LCIA approaches, and uses the most relevant for the timber sector of Ghana. Materials and methods The study reviewed 23 life cycle inventories (LCIs) and LCAs on forestry, timber, and wood products for relevant impact categories and LCIA approaches for their relevance to the specific conditions in Ghana. This study uses an earlier LCI study of the timber industry as a starting point for an additional LCIA. We next performed a correlation and regression analysis to learn whether wood wastes may function as a reasonable single indicator for land use as proxy for biodiversity loss and the other impact categories. Results and discussion The literature review shows that no LCI or LCA studies were developed for Africa or the tropics. The LCIA approaches in the reviewed LCAs are indeed shown to take their basis in the environmental problems in western countries and characterization methodologies relating to how these problems manifest themselves in the western world. Characterization methodologies for different impact categories in CML-2000 and other LCIA approaches may not be necessarily relevant to African tropical environmental conditions and particularly not for the timber sector in Ghana. This situation hampers the reliability of our LCIA and points to a serious research gap in LCIA development in general. We applied the scientifically well-recognized CML 2000 to the earlier LCI results and characterized the preliminary selected impact categories of global warming, acidification, eutrophication, photochemical oxidant formation, and human toxicity. The correlation analysis indicated that wood waste is indeed strongly correlated with land use as proxy for biodiversity loss and also positively correlated with the other five potential impact results. It can be concluded that wood waste production is a major driving force for biodiversity loss and a sufficiently good single indicator for all other environmental performance indicators in the timber sector of Ghana. Conclusions This study and the previous LCI paper are pioneering a field not yet explored, since the correct environmental performance indicators are not yet developed or adapted to tropical conditions. The development of LCIA approaches in the tropics may be the start of a never-ending journey in LCA research in Africa, particularly Ghana.</t>
  </si>
  <si>
    <t>10.1007/s11367-011-0307-5</t>
  </si>
  <si>
    <t>not a review per se but duplicates results from Eshun 2010</t>
  </si>
  <si>
    <t>Climate change; Harvested wood products; Carbon stocks and emissions; Wood substitute</t>
  </si>
  <si>
    <t>FOREST BIOENERGY; LIFE-CYCLE; ENERGY USE; EMISSIONS; SEQUESTRATION; CONSTRUCTION; MANAGEMENT; IMPACTS; CLIMATE; BUDGET</t>
  </si>
  <si>
    <t>Geng, AX; Yang, HQ; Chen, JX; Hong, YX</t>
  </si>
  <si>
    <t>Review of carbon storage function of harvested wood products and the potential of wood substitution in greenhouse gas mitigation</t>
  </si>
  <si>
    <t>Global forests have the potential to significantly increase or reduce atmospheric greenhouse gas (GHG) concentration. Harvested wood products (HWP) are an important part of the forest-atmosphere carbon cycle. On the one hand, HWP can retain the carbon for various periods of time, depending on the end uses. On the other hand, using HWP in place of more GHG-intensive materials and using wood bioenergy to substitute for fossil fuels result in reduced fossil fuel emissions. However, critical methodological differences exist in existing literature in assessing the GHG effects of HWP and wood bioenergy substitution, and large diversity in system boundary, substitution scenario, study period, and reference baseline results in large difference in reported GHG effects of wood substitution. In the present study, we conducted a comprehensive literature review to (a) clarify the methodological issues in GHG effects assessments of HWP and wood bioenergy substitution, (b) summarize and compare the reported GHG effects, and (c) identify knowledge gaps to inform future research. We support the conclusion that to accurately assess the GHG effects, HWP and wood bioenergy life-cycle carbon analysis needs to be integrated with forest carbon balance analysis. Substituting HWP for non-wood materials appears to be more effective in reducing GHG emissions than substituting wood for fossil fuels. The time required to obtain net emission reduction for wood bioenergy in place of fossil fuels can be 0 years, decades or more than a century, depending on forest biomass sources (e.g., harvest residue, standing live trees) and fossil fuels displaced. For HWP used to replace non-wood material, however, the time required to obtain net emission reduction largely remains a future research need. Overall, HWP and wood bioenergy originated from sustainably managed forests can significantly contribute to GHG emissions reduction in the long term.</t>
  </si>
  <si>
    <t>10.1016/j.forpol.2017.08.007</t>
  </si>
  <si>
    <t>disagree: it is an original LCA paper. It combines existing LCAs on raw materials to compare a baseline with a "high HWP" scenario</t>
  </si>
  <si>
    <t>cross-laminated timber; life-cycle assessment; mass timber building; whole-building LCA methodology</t>
  </si>
  <si>
    <t>Gu, HM; Liang, SB; Pierobon, F; Puettmann, M; Ganguly, I; Chen, CY; Pasternack, R; Wishnie, M; Jones, S; Maples, I</t>
  </si>
  <si>
    <t>Mass Timber Building Life Cycle Assessment Methodology for the US Regional Case Studies</t>
  </si>
  <si>
    <t>The building industry currently consumes over a third of energy produced and emits 39% of greenhouse gases globally produced by human activities. The manufacturing of building materials and the construction of buildings make up 11% of those emissions within the sector. Whole-building life-cycle assessment is a holistic and scientific tool to assess multiple environmental impacts with internationally accepted inventory databases. A comparison of the building life-cycle assessment results would help to select materials and designs to reduce total environmental impacts at the early planning stage for architects and developers, and to revise the building code to improve environmental performance. The Nature Conservancy convened a group of researchers and policymakers from governments and non-profit organizations with expertise across wood product life-cycle assessment, forest carbon, and forest products market analysis to address emissions and energy consumption associated with mass timber building solutions. The study disclosed a series of detailed, comparative life-cycle assessments of pairs of buildings using both mass timber and conventional materials. The methodologies used in this study are clearly laid out in this paper for transparency and accountability. A plethora of data exists on the favorable environmental performance of wood as a building material and energy source, and many opportunities appear for research to improve on current practices.</t>
  </si>
  <si>
    <t>10.3390/su132414034</t>
  </si>
  <si>
    <t>structural and engineered timber; life cycle assessment; harvested wood products; carbon storage; built environment; climate change mitigation</t>
  </si>
  <si>
    <t>LIFE-CYCLE ASSESSMENT; CLIMATE-CHANGE; CARBON MITIGATION; BUILT ENVIRONMENT; EMBODIED CARBON; BIOGENIC CARBON; COMPARATIVE LCA; WOOD PRODUCTS; LAND-USE; IMPACT</t>
  </si>
  <si>
    <t>Hart, J; Pomponi, F</t>
  </si>
  <si>
    <t>More Timber in Construction: Unanswered Questions and Future Challenges</t>
  </si>
  <si>
    <t>The built environment is one of the greatest contributors to carbon emissions, climate change, and to the unsustainable pressure on the natural environment and its ecosystems. The use of more timber in construction is one possible response, and an authoritative contribution to this growing movement comes from the UK's Committee on Climate Change, which identifies a substantial increase in the use of wood in the construction of buildings as a top priority. However, a global encouragement of such a strategy raises some difficult questions. Given the urgency of effective solutions for low-carbon built environments, and the likely continued growth in demand for timber in construction, this article reviews its sustainability and identifies future challenges and unanswered questions. Existing evidence points indeed towards timber as the lower carbon option when modelled through life cycle assessment without having to draw on arguments around carbon storage. Issues however remain on the timing of carbon emissions, land allocation, and the environmental loads and benefits associated with the end-of-life options: analysis of environmental product declarations for engineered timber suggests that landfill might either be the best or the worst option from a climate change perspective, depending on assumptions.</t>
  </si>
  <si>
    <t>10.3390/su12083473</t>
  </si>
  <si>
    <t>wood-based products; circular bioeconomy; market development; climate change impacts; environmental sustainability</t>
  </si>
  <si>
    <t>LIFE-CYCLE ASSESSMENT; KRAFT PULP-MILL; CRUDE TALL OIL; GREENHOUSE-GAS; GLOBAL PAPER; MARKET; BIODIVERSITY; CHEMICALS; INDUSTRY; IMPACTS</t>
  </si>
  <si>
    <t>Hassegawa, M; Van Brusselen, J; Cramm, M; Verkerk, PJ</t>
  </si>
  <si>
    <t>Wood-Based Products in the Circular Bioeconomy: Status and Opportunities towards Environmental Sustainability</t>
  </si>
  <si>
    <t>The circular bioeconomy offers solutions to curb the effects of climate change by focusing on the use of renewable, biological resources to produce food, energy, materials, and services. The substitution of fossil products by wood-based products can help avoid or reduce greenhouse gas emissions over the life cycle of products. However, it is important to understand the potential impacts of large-scale material substitution at the market level. This study aimed to assess the role of selected wood-based products in the circular bioeconomy, the possible changes in their markets, and investigate which elements could ensure the environmental sustainability of these products. The demand for graphic paper has declined over the last 15 years, while the demand for packaging has increased. Cross-laminated timber and man-made cellulosic fibres have seen their global consumption increase over the last decade. While there are benefits associated with the substitution of non-renewable materials by wood-based products, there is still limited understanding of the substitution effects at market-, country- and global level. Some factors enabling the further uptake of wood-based products include initiatives that stimulate technological change, incentives to produce or consume less fossil-based and more bio-based alternatives, and the promotion and marketing of wood-based products as viable alternatives to non-renewable materials.</t>
  </si>
  <si>
    <t>10.3390/land11122131</t>
  </si>
  <si>
    <t>circular economy; climate change mitigation; life cycle assessment; industrial policy; resource efficiency; cement; iron and steel</t>
  </si>
  <si>
    <t>LIFE-CYCLE ASSESSMENT; COMPARING ENVIRONMENTAL IMPACTS; PRINTED-CIRCUIT BOARDS; MATERIAL FLOW-ANALYSIS; DEMOLITION WASTE; ENERGY DEMAND; STEEL REUSE; RESIDENTIAL BUILDINGS; BUILT ENVIRONMENT; EMBODIED ENERGY</t>
  </si>
  <si>
    <t>Hertwich, EG; Ali, S; Ciacci, L; Fishman, T; Heeren, N; Masanet, E; Asghari, FN; Olivetti, E; Pauliuk, S; Tu, QS; Wolfram, P</t>
  </si>
  <si>
    <t>Material efficiency strategies to reducing greenhouse gas emissions associated with buildings, vehicles, and electronics-a review</t>
  </si>
  <si>
    <t>As one quarter of global energy use serves the production of materials, the more efficient use of these materials presents a significant opportunity for the mitigation of greenhouse gas (GHG) emissions. With the renewed interest of policy makers in the circular economy, material efficiency (ME) strategies such as light-weighting and downsizing of and lifetime extension for products, reuse and recycling of materials, and appropriate material choice are being promoted. Yet, the emissions savings from ME remain poorly understood, owing in part to the multitude of material uses and diversity of circumstances and in part to a lack of analytical effort. We have reviewed emissions reductions from ME strategies applied to buildings, cars, and electronics. We find that there can be a systematic trade-off between material use in the production of buildings, vehicles, and appliances and energy use in their operation, requiring a careful life cycle assessment of ME strategies. We find that the largest potential emission reductions quantified in the literature result from more intensive use of and lifetime extension for buildings and the light-weighting and reduced size of vehicles. Replacing metals and concrete with timber in construction can result in significant GHG benefits, but trade-offs and limitations to the potential supply of timber need to be recognized. Repair and remanufacturing of products can also result in emission reductions, which have been quantified only on a case-by-case basis and are difficult to generalize. The recovery of steel, aluminum, and copper from building demolition waste and the end-of-life vehicles and appliances already results in the recycling of base metals, which achieves significant emission reductions. Higher collection rates, sorting efficiencies, and the alloy-specific sorting of metals to preserve the function of alloying elements while avoiding the contamination of base metals are important steps to further reduce emissions.</t>
  </si>
  <si>
    <t>10.1088/1748-9326/ab0fe3</t>
  </si>
  <si>
    <t xml:space="preserve">Hurmekoski, E., Smyth, C., Stern, T., Verkerk, P. J., &amp; Asada, R. </t>
  </si>
  <si>
    <t xml:space="preserve"> Substitution impacts of wood use at the market level: a systematic review</t>
  </si>
  <si>
    <t>10.1088/1748-9326/ac386f</t>
  </si>
  <si>
    <t>ENVIRONMENTAL REVIEWS</t>
  </si>
  <si>
    <t>boreal forest; Canada; carbon; climate change; mitigation</t>
  </si>
  <si>
    <t>LAND-USE CHANGE; GREENHOUSE-GAS-MITIGATION; GROWING POPLAR PLANTATIONS; MOUNTAIN PINE-BEETLE; LIFE-CYCLE ANALYSIS; OLD-GROWTH FORESTS; CARBON SEQUESTRATION; WOOD PRODUCTS; AGRICULTURAL LAND; BLACK SPRUCE</t>
  </si>
  <si>
    <t>Lempriere, TC; Kurz, WA; Hogg, EH; Schmoll, C; Rampley, GJ; Yemshanov, D; McKenney, DW; Gilsenan, R; Beatch, A; Blain, D; Bhatti, JS; Krcmar, E</t>
  </si>
  <si>
    <t>Canadian boreal forests and climate change mitigation</t>
  </si>
  <si>
    <t>Quantitative assessment of Canada&amp;apos;s boreal forest mitigation potential is not yet possible, though the range of mitigation activities is known, requirements for sound analyses of options are increasingly understood, and there is emerging recognition that biogeophysical effects need greater attention. Use of a systems perspective highlights trade-offs between activities aimed at increasing carbon storage in the ecosystem, increasing carbon storage in harvested wood products (HWPs), or increasing the substitution benefits of using wood in place of fossil fuels or more emissions-intensive products. A systems perspective also suggests that erroneous conclusions about mitigation potential could result if analyses assume that HWP carbon is emitted at harvest, or bioenergy is carbon neutral. The greatest short-run boreal mitigation benefit generally would be achieved by avoiding greenhouse gas emissions; but over the longer run, there could be significant potential in activities that increase carbon removals. Mitigation activities could maximize landscape carbon uptake or maximize landscape carbon density, but not both simultaneously. The difference between the two is the rate at which HWPs are produced to meet society&amp;apos;s demands, and mitigation activities could seek to delay or reduce HWP emissions and increase substitution benefits. Use of forest biomass for bioenergy could also contribute though the point in time at which this produces a net mitigation benefit relative to a fossil fuel alternative will be situation-specific. Key knowledge gaps exist in understanding boreal mitigation strategies that are robust to climate change and how mitigation could be integrated with adaptation to climate change.</t>
  </si>
  <si>
    <t>Environ. Rev.</t>
  </si>
  <si>
    <t>10.1139/er-2013-0039</t>
  </si>
  <si>
    <t>JOURNAL OF FORESTRY</t>
  </si>
  <si>
    <t>forest management; forest policy; forest carbon dynamics; carbon accounting; carbon offsets; life cycle assessment; building products substitution; bioenergy</t>
  </si>
  <si>
    <t>SOIL ORGANIC-MATTER; LIFE-CYCLE INVENTORY; MOUNTAIN PINE-BEETLE; UNITED-STATES; CLIMATE-CHANGE; BOREAL FOREST; ENVIRONMENTAL PERFORMANCE; PACIFIC-NORTHWEST; SOFTWOOD LUMBER; OFFSET PROJECTS</t>
  </si>
  <si>
    <t>Malmsheimer, RW; Bowyer, JL; Fried, JS; Gee, E; Izlar, RL; Miner, RA; Munn, IA; Oneil, E; Stewart, WC</t>
  </si>
  <si>
    <t>Managing Forests because Carbon Matters: Integrating Energy, Products, and Land Management Policy</t>
  </si>
  <si>
    <t>The United States needs many different types of forests: some managed for wood products plus other benefits, and some managed for nonconsumptive uses and benefits. The objective of reducing global greenhouse gases (GHG) requires increasing carbon storage in pools other than the atmosphere. Growing more forests and keeping forests as forests are only part of the solution, because focusing solely on the sequestration benefits of the forests misses the important (and substantial) carbon storage and substitution GHG benefits of harvested forest products, as well as other benefits of active forest management. Forests and global climate are closely linked in terms of carbon storage and releases, water fluxes from the soil and into the atmosphere, and solar energy capture. Understanding how carbon dynamics are affected by stand age, density, and management and will evolve with climate change is fundamental to exploiting the capacity for sustainably managed forests to remove carbon dioxide from the atmosphere. For example, even though emperate forests continue to be carbon sinks, in western North America forest fires and tree mortality from insects are converting some forests into net carbon sources. Expanding forest biomass use for biofuels and energy generation will compete with traditional forest products, but it may also produce benefits through competition and market efficiency. Short-rotation woody crops, as well as landowners&amp;apos; preferences-based on investment-return expectations and environmental considerations, both of which will be affected by energy and environmental policies-have the potential to increase biomass supply. Unlike metals, concrete, and plastic, forest products store atmospheric carbon and have low embodied energy (the amount of energy it takes to make products), so there is a substitution effect when wood is used in place of other building materials. Wood used for energy production also provides substitution benefits by reducing the flow of fossil fuel based carbon emissions to the atmosphere. The value of carbon credits generated by forest carbon offset projects differs dramatically, depending on the sets of carbon pods allowed by the protocol and baseline employed. The costs associated with establishing and maintaining offset projects depend largely on the protocols&amp;apos; specific.. Measurement challenges and relatively high transaction costs needed for forest carbon offsets warrant consideration of other policies that promote climate benefits from forests and forest products but do not require project-specific accounting. Policies can foster changes in forest management and product manufacture that reduce carbon emissions over time while maintaining forests for environmental and societal benefits. US policymakers should take to heart the finding of the Intergovernmental Panel on Climate Change in its Fourth Assessment Report when it concluded that In the long term, a sustainable forest management strategy aimed at maintaining or increasing forest carbon stocks, while producing on annual sustained yield of timber, fibre, or energy from the forest, will generate the largest sustained mitigation benefit. A rational energy and environmental policy framework must be based on the premise that atmospheric greenhouse gas levels are increasing primarily because of the addition of geologic fossil fuel-based carbon into the carbon cycle. Forest carbon policy that builds on the scientific information summarized in this article can be a significant and important part of a comprehensive energy policy that provides for energy independence and carbon benefits while simultaneously providing clean water, wildlife habitat, recreation, and other uses and values.</t>
  </si>
  <si>
    <t>J. For.</t>
  </si>
  <si>
    <t>10.1093/jof/109.s1.S7</t>
  </si>
  <si>
    <t>More an overview than a review, but there are no original results</t>
  </si>
  <si>
    <t>changed_to_review</t>
  </si>
  <si>
    <t>CLIMATE-CHANGE MITIGATION; LIFE-CYCLE ASSESSMENT; FOREST SECTOR; ALTERNATIVE MATERIALS; CARBON EMISSIONS; PRODUCTS; IMPACTS; MANAGEMENT; BIOENERGY; BENEFITS</t>
  </si>
  <si>
    <t>Myllyviita, T; Soimakallio, S; Judl, J; Seppala, J</t>
  </si>
  <si>
    <t>Wood substitution potential in greenhouse gas emission reduction-review on current state and application of displacement factors</t>
  </si>
  <si>
    <t>Background Replacing non-renewable materials and energy with wood offers a potential strategy to mitigate climate change if the net emissions of ecosystem and technosystem are reduced in a considered time period. Displacement factors (DFs) describe an emission reduction for a wood-based product or fuel which is used in place of a non-wood alternative. The aims of this review were to map and assess DFs from scientific literature and to provide findings on how to harmonise practices behind them and to support coherent application. Results Most of the reviewed DFs were positive, implying decreasing fossil GHG emissions in the technosystem. The vast majority of the reviewed DFs describe avoided fossil emissions either both in processing and use of wood or only in the latter when wood processing emissions were considered separately. Some of the reviewed DFs included emissions avoided in post-use of harvested wood products (HWPs). Changes in forest and product carbon stocks were not included in DFs except in a few single cases. However, in most of the reviewed studies they were considered separately in a consistent way along with DFs. DFs for wood energy, construction and material substitution were widely available, whereas DFs for packaging products, chemicals and textiles were scarce. More than half of DFs were calculated by the authors of the reviewed articles while the rest of them were adopted from other articles. Conclusions Most of the reviewed DFs describe the avoided fossil GHG emissions. These DFs may provide insights on the wood-based products with a potential to replace emissions intensive alternatives but they do not reveal the actual climate change mitigation effects of wood use. The way DFs should be applied and interpreted depends on what has been included in them. If the aim of DFs is to describe the overall climate effects of wood use, DFs should include all the relevant GHG flows, including changes in forest and HWP carbon stock and post-use of HWPs, however, based on this literature review this is not a common practice. DFs including only fossil emissions should be applied together with a coherent assessment of changes in forest and HWP carbon stocks, as was the case in most of the reviewed studies. To increase robustness and transparency and to decrease misuse, we recommend that system boundaries and other assumptions behind DFs should be clearly documented.</t>
  </si>
  <si>
    <t>10.1186/s40663-021-00326-8</t>
  </si>
  <si>
    <t xml:space="preserve">Niles, J. O., &amp; Schwarze, R. </t>
  </si>
  <si>
    <t xml:space="preserve"> The value of careful carbon accounting in wood products</t>
  </si>
  <si>
    <t>10.1023/A:1010655806130</t>
  </si>
  <si>
    <t>WILEY INTERDISCIPLINARY REVIEWS-ENERGY AND ENVIRONMENT</t>
  </si>
  <si>
    <t>biodiversity; climate; soil; stump biomass; water</t>
  </si>
  <si>
    <t>COARSE WOODY DEBRIS; LOGGING RESIDUE EXTRACTION; SWEDISH FOREST SOILS; CONTROL ROOT-ROT; NORWAY SPRUCE; PICEA-ABIES; SCOTS PINE; ORGANIC-CARBON; METHYL-MERCURY; BOREAL FOREST</t>
  </si>
  <si>
    <t>Persson, T; Egnell, G</t>
  </si>
  <si>
    <t>Stump harvesting for bioenergy: A review of climatic and environmental impacts in northern Europe and America</t>
  </si>
  <si>
    <t>Stump harvesting is defined as an intensification of forest management in comparison with stem-only harvesting and removal of tops and branches. It increases soil mixing and the proportion of bare soil. In contrast to earlier hypotheses, stump harvesting was found to reduce emissions of carbon dioxide (CO2), nitrous oxide, and methane in the short term. In the long term, heterotrophic soil CO2 evolution is reduced. Both model and empirical studies indicate that stump removal can reduce the soil organic carbon (SOC) pool in the short term, but long-term experiments (32-39 years) could not verify any SOC decline. Life cycle assessment studies showed that stumps as fuel resulted in markedly lower emissions of CO2 into the atmosphere, viewed over a whole forest rotation compared to heating by natural gas and coal. Stump removal does not seem to affect timber production in the next forest rotation and often reduces the infection rate of root rot. It increases the natural regeneration of birch and pine, it can increase nitrate leaching at N-rich sites, and it can increase the number of water-filled cavities where methylmercury is formed. Stump extraction decreases the amount of dwarf shrubs in young clear-cuts, but after 1-2 decades, these species are generally recovered. Many species dependent on dead wood are adversely affected by intense stump harvest. Model studies suggest that the risk of species extinction is small when only 10% of the total clear-cut area in the forest landscape is stump harvested, but the risk of extinction rises at increasing extraction intensities. This article is categorized under: Bioenergy &gt; Climate and Environment Energy and Climate &gt; Climate and Environment Energy and Development &gt; Climate and Environment</t>
  </si>
  <si>
    <t>Wiley Interdiscip. Rev. Energy Environ.</t>
  </si>
  <si>
    <t>10.1002/wene.307</t>
  </si>
  <si>
    <t>life-cycle-assessment (LCA); substitution; cost-effectiveness; economics; wood; steel; concrete</t>
  </si>
  <si>
    <t>LIFE-CYCLE</t>
  </si>
  <si>
    <t>Petersen, AK; Solberg, B</t>
  </si>
  <si>
    <t>Environmental and economic impacts of substitution between wood products and alternative materials: a review of micro-level analyses from Norway and Sweden</t>
  </si>
  <si>
    <t>This article gives a state of the art overview on quantitative analyses from Norway and Sweden of Life cycle analyses (LCA), which compare the environmental impacts of substitution between wood and alternative materials, with emphasis on greenhouse gas (GHG) emissions, economics and methodological issues. In all studies referred to this overview, wood is a better alternative than other materials with regard to GHG emissions. Furthermore, wood is causing less emissions of SO2 and generates less waste compared to the alternative materials. Preservative treated wood, on the other hand, might have toxicological impacts on human health and ecosystems. Impacts on acidification, eutrofication and creation of photochemical ozone vary in different comparisons. Amount of greenhouse gases avoided due to substitution between wood and steel is in the range of 36-530 kg CO2-equivalents per in 3 input of timber with 4% discount rate; depending on waste management of the materials, and how carbon fixation on forest land is included. This amount is 93-1062 kg CO2-equivalents for substitution between wood and concrete, if the wood is not landfilled after use. Many of the LCAs could be considerably improved, if the analyses were done with several alternative assumptions regarding boundaries of the system used in the LCA. This is important, not least to map what are the main assumptions for the results obtained and to compare with other studies. It is also important to consider the time-profile of the GHG emissions and other impacts over the life-cycle-it is surprising that this is not taken more seriously. Wood as a building material is competitive on price in those studies that include costs. It is a weak point of many LCAs that costs as well as other economic aspects influencing product substitution are not included, and a major research challenge is to combine traditional LCA with economic analysis in order to make both more policy relevant. In particular, one should develop dynamic input/output models where price and income substitutions as well as technological changes and cost components are included endogenously. (c) 2003 Elsevier B.V. All rights reserved.</t>
  </si>
  <si>
    <t>10.1016/S1389-9341(03)00063-7</t>
  </si>
  <si>
    <t>Buildings; Life cycle assessment; Embodied emissions; Dynamic; Biogenic; Carbonation</t>
  </si>
  <si>
    <t>LIFE-CYCLE ASSESSMENT; BIOGENIC CARBON; SENSITIVITY-ANALYSIS; IMPACT ASSESSMENT; LCA; FRAMEWORK; STORAGE; TIME</t>
  </si>
  <si>
    <t>Resch, E; Andresen, I; Cherubini, F; Brattebo, H</t>
  </si>
  <si>
    <t>Estimating dynamic climate change effects of material use in buildings-Timing, uncertainty, and emission sources</t>
  </si>
  <si>
    <t>Material use in buildings affects the climate over centuries, however, temporal aspects are often ignored in Life Cycle Assessment (LCA). Results too often promise uncontested precision of impacts occurring far into the future. Additionally, the validity of building LCAs is being questioned over inadequate scope and inventory. A dynamic LCA method for material use in buildings that addresses those concerns is presented, along with a case study of 20 buildings. In particular, a novel solution to account for delayed emissions is presented, along with future technological improvements. Climate change effects of material use in construction, operation, and end-of-life phases are estimated, from production, transport, construction-waste incineration, biogenic carbon sequestration, and cement carbonation. Building subpart metrics reveal drivers of impacts and are used for generating statistical emission profiles. Application on a bottom-up harmonized dataset produces statistical results for building types (typology, timber/concrete) and building subparts (building elements, material categories). Global warming policy targets requires that the building industry focuses on interventions with short-term effects, such as low-impact materials in the construction phase and reduced construction waste. Uncertainty is estimated, and parameter influence assessed with global sensitivity analysis. Time horizon (TH), building lifetime, and construction waste parameters are found most sensitive. The method reduces uncertainty of postulated future impacts; an important step in the direction of policy-relevant modeling. We recommend that building LCA modeling practice adopts the presented methodological concepts to gain trust and policy-relevance.</t>
  </si>
  <si>
    <t>10.1016/j.buildenv.2020.107399</t>
  </si>
  <si>
    <t>The review actually retreats LCA data from 20 buildings to incorporate in situ forest emissions/storage, finds that time horizon is key and proposes a distribution of C footprint depending on time horizon -&gt; to be quoted!</t>
  </si>
  <si>
    <t>climate change mitigation; forest carbon; forest management; life cycle assessment; modelling; scenarios; tree harvest</t>
  </si>
  <si>
    <t>TRADE-OFFS; MANAGEMENT SCENARIOS; CHANGING CLIMATE; BOREAL FORESTS; WOOD PRODUCTS; TIMBER; SEQUESTRATION; BIODIVERSITY; EMISSIONS; BIOENERGY</t>
  </si>
  <si>
    <t>Soimakallio, S; Bottcher, H; Niemi, J; Mosley, F; Turunen, S; Hennenberg, KJ; Reise, J; Fehrenbach, H</t>
  </si>
  <si>
    <t>Closing an open balance: The impact of increased tree harvest on forest carbon</t>
  </si>
  <si>
    <t>Fossil-based emissions can be avoided by using wood in place of non-renewable raw materials as energy and materials. However, wood harvest influences forest carbon stocks. Increased harvest may reduce the overall climate benefit of wood use significantly, but is widely overlooked. We reviewed selected simulation studies and compared differences in forest carbon and amount of wood harvested between harvest scenarios of different intensities for three different time perspectives: short- (1-30 years), mid- (31-70 years), and long-term (71-100 years). Out of more than 450 reviewed studies 45 provided adequate data. Our results show that increased harvest reduces carbon stocks over 100 years in temperate and boreal forests by about 1.6 (stdev 0.9) t(C) per t(C) harvested (referred to as carbon balance indicator (CBI)). CBI proved to be robust when outliers explicitly influenced by factors other than changes in the harvest rate, such as fertilization or increase in forest area, were removed. The carbon impacts tend to be greatest in the mid-term, but no significant difference in was found for average values between short and long time-horizons. CBI can be interpreted as carbon opportunity costs of wood harvest in forests. Our results indicate that even after 100 years, CBI is significant compared to the typical GHG credits expected in the technosphere by avoiding fossil emissions in substitution and increasing carbon stocks in harvested wood products. Our estimates provide typical values that can directly be included in GHG balances of products or assessments of mitigation policies and measures related to wood use. However, more systematic scenarios with transparent information on influencing factors for forest carbon stocks are required to provide better constrained estimates for specific forest types.</t>
  </si>
  <si>
    <t>10.1111/gcbb.12981</t>
  </si>
  <si>
    <t>alternative management; biodiversity; fire hazard abatement; forest residues; mammal habitat; piles and windrows; smoke emissions; woody debris</t>
  </si>
  <si>
    <t>UNDERSTORY PLANT-COMMUNITIES; GREEN-TREE RETENTION; DOWNED WOOD; POPULATION-DYNAMICS; LOGGING DEBRIS; TIMBER HARVEST; AIR-POLLUTION; RESPONSES; FIRE; BIODIVERSITY</t>
  </si>
  <si>
    <t>Sullivan, TP; Sullivan, DS; Klenner, W</t>
  </si>
  <si>
    <t>Fate of Postharvest Woody Debris, Mammal Habitat, and Alternative Management of Forest Residues on Clearcuts: A Synthesis</t>
  </si>
  <si>
    <t>Coarse woody debris on the forest floor contributes to maintenance of forest biodiversity and long-term ecosystem productivity. Down wood is often dispersed over harvested sites during logging activities, thereby leaving piles of postharvest debris as excess material at landings and roadsides. These wood residues may be burned in most jurisdictions in North America to reduce a perceived fire hazard. The fire hazard debate needs to acknowledge the documented benefits of woody debris retention while striking a balance among biodiversity, bioenergy, and alternative uses for debris, while reducing ignitions by humans. The burning of excess woody debris also creates smoke, causes the release of greenhouse gas (GHG) emissions, and creates human health issues, particularly for vulnerable individuals. The relationship of wildfire smoke to human health problems is well documented. However, there is no scientific evidence showing that postharvest debris piles are ignition points for forest fires, other than those caused by humans. Wood residues from forest harvesting or natural disturbance wood from wildfire and insect outbreaks may be used as renewable biomass feedstocks that could help improve energy supplies and reduce GHG emissions. If not marketable, the management of postharvest debris should seek alternative outlets that do not dispose of debris by burning, but still meet fire hazard abatement requirements. The construction of woody debris structures (e.g., piles and windrows) built at the time of forest harvesting and log processing, or later at the site preparation stages, has positive benefits for wildlife habitat and forest biodiversity. A windrow or series of piles may connect patches and reserves of mature forest and riparian areas on clearcut openings. Piles and windrows have consistently provided habitat on new clearcuts for southern red-backed voles (Myodes gapperi) and Microtus voles, as well as a host of other forest-floor small mammal species, at least up to 12 years postconstruction. Woody debris provides important habitat for foraging and cover attributes for marten (Martes americana), weasels (Mustela spp.), and other furbearers. A list of What to do? and When and Where? with options for construction of woody debris habitats: poorest, good, better, and best are given. In the cases where fire risk from humans is minimized and there are no marketable wood products, eight alternative management scenarios for postharvest woody debris are provided. These include: (1) piles for wildlife habitat; (2) distribution of debris in partial cut forests; (3) machinery to break up and crush debris; (4) protection of riparian zones with barriers for cattle; (5) construction of range fencing; (6) reclamation of landings and skid-trails; (7) soil fertility and reduction in weed competition and drought for planted conifers; and (8) slope stabilization and revegetation. Advantages and disadvantages (if known) are given for each alternative. A flow chart for the fate of excess postharvest woody debris with respect to fire hazard abatement and markets or nonmarkets is given.</t>
  </si>
  <si>
    <t>10.3390/f12050551</t>
  </si>
  <si>
    <t>Cross-laminated timber; Carbon footprint; Life cycle assessment; Climate change; Sustainable multi-story construction</t>
  </si>
  <si>
    <t>CONCRETE; LCA; FUTURE; ENERGY; CARBON; SUSTAINABILITY; ALTERNATIVES; METHODOLOGY; MITIGATION; SCENARIOS</t>
  </si>
  <si>
    <t>Younis, A; Dodoo, A</t>
  </si>
  <si>
    <t>Cross-laminated timber for building construction: A life-cycle-assessment overview</t>
  </si>
  <si>
    <t>The building industry is a large contributor to greenhouse gas (GHG) emissions and a vast con -sumer of natural resources. It is estimated that, in the next 40 years, around 415 Gt of CO2 will be released as a result of global construction activities. Therefore, improvements in construction technologies are essential to reduce GHG emissions and thereby attain national and international goals to mitigate climate change. Cross-laminated timber (CLT) has emerged as an innovative alternative material to steel/concrete in building construction, given its relatively low carbon footprint, not to mention its high strength-to-weight ratio, simple installation, and aesthetic features. CLT is a structural composite panel product developed in the early 1990s, and the contemporary generation of CLT buildings are yet to reach the end of their service life. Accord-ingly, there has been growing interest to understand and optimize the performance of CLT in building construction. In view of that, this paper presents an overview on the feasibility of using CLT in buildings from a life-cycle assessment (LCA) standpoint. The authors performed a brief review on LCA studies conducted in the past decade pertaining to the carbon footprint of CLT buildings. On average, the findings of these studies revealed about 40% reduction in carbon footprint when using CLT in lieu of conventional construction materials (steel/concrete) for multi-story buildings. Furthermore, the paper explores the challenges associated with conducting LCA on CLT buildings, identifies the gaps in knowledge, and outlines directions for future research.</t>
  </si>
  <si>
    <t>10.1016/j.jobe.2022.104482</t>
  </si>
  <si>
    <t>Reconstituted decorative lumber; Life cycle; Ecological civilization; Sustainable development</t>
  </si>
  <si>
    <t>WOOD; DESIGN; SUSTAINABILITY; CARBON</t>
  </si>
  <si>
    <t>Zhou, CM; Shi, ZY; Kaner, J</t>
  </si>
  <si>
    <t>Life Cycle Analysis for Reconstituted Decorative Lumber from an Ecological Perspective: A Review</t>
  </si>
  <si>
    <t>In response to global Sustainable Development Goals (SDGs), the Chinese government has pledged to curtail increased carbon dioxide emissions beyond 2030 and to achieve carbon neutrality by 2060, thus achieving a status of an ecological civilization. Reconstituted decorative lumber, with rotary-cut (or planed) veneer from plantation or common species timber as the main raw material, has beneficial development opportunities for forestry from the perspective of an ecological civilization. This paper first discusses China's current state of ecological civilization, then researches the various life cycles of reconstituted decorative lumber using the life cycle theory and provides a reference for the Chinese reconstituted decorative lumber industry's development by analyzing progress in related fields. The eco-friendliness of reconstituted decorative lumber is explained via systematic combing, and proposals for the use and promotion of reconstituted decorative lumber in the new period are presented. Research and analysis findings show that it is necessary to comprehensively regulate the production chain of reconstituted decorative lumber based on life cycle. Research on the development and utilization of reconstituted decorative lumber needs to be strengthened. The promotion and marketing of reconstituted decorative lumber can be promoted by emphasizing its ecological significance.</t>
  </si>
  <si>
    <t>10.15376/biores.17.3.Zhou</t>
  </si>
  <si>
    <t>duplicate data</t>
  </si>
  <si>
    <t>Silviculture for removals</t>
  </si>
  <si>
    <t>Silviculture for productivity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</si>
</sst>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0.000"/>
    <numFmt numFmtId="166" formatCode="#,##0.000"/>
  </numFmts>
  <fonts count="56">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Calibri"/>
      <family val="2"/>
      <scheme val="minor"/>
    </font>
    <font>
      <b/>
      <sz val="12"/>
      <color theme="1"/>
      <name val="Calibri"/>
      <family val="2"/>
      <scheme val="minor"/>
    </font>
    <font>
      <sz val="10"/>
      <name val="Arial"/>
      <family val="2"/>
    </font>
    <font>
      <sz val="9"/>
      <color theme="1"/>
      <name val="Calibri"/>
      <family val="2"/>
      <scheme val="minor"/>
    </font>
    <font>
      <sz val="12"/>
      <name val="Calibri"/>
      <family val="2"/>
      <scheme val="minor"/>
    </font>
    <font>
      <b/>
      <sz val="10"/>
      <name val="Arial"/>
      <family val="2"/>
    </font>
    <font>
      <sz val="10"/>
      <color theme="1"/>
      <name val="Arial"/>
      <family val="2"/>
    </font>
    <font>
      <b/>
      <sz val="10"/>
      <color theme="1"/>
      <name val="Arial"/>
      <family val="2"/>
    </font>
    <font>
      <b/>
      <sz val="12"/>
      <color theme="4"/>
      <name val="Calibri"/>
      <family val="2"/>
      <scheme val="minor"/>
    </font>
    <font>
      <sz val="11"/>
      <color theme="1"/>
      <name val="Linux Libertine"/>
    </font>
    <font>
      <sz val="12"/>
      <color indexed="2"/>
      <name val="Calibri"/>
      <family val="2"/>
      <scheme val="minor"/>
    </font>
    <font>
      <sz val="8"/>
      <color theme="1"/>
      <name val="AdvTimes"/>
    </font>
    <font>
      <sz val="12"/>
      <color theme="0" tint="-0.14999847407452621"/>
      <name val="Calibri"/>
      <family val="2"/>
      <scheme val="minor"/>
    </font>
    <font>
      <b/>
      <sz val="12"/>
      <name val="Calibri"/>
      <family val="2"/>
      <scheme val="minor"/>
    </font>
    <font>
      <b/>
      <sz val="12"/>
      <name val="Calibri"/>
      <family val="2"/>
    </font>
    <font>
      <sz val="12"/>
      <name val="Calibri"/>
      <family val="2"/>
    </font>
    <font>
      <sz val="10"/>
      <color theme="0" tint="-0.14999847407452621"/>
      <name val="Arial"/>
      <family val="2"/>
    </font>
    <font>
      <sz val="8.5"/>
      <color rgb="FF131413"/>
      <name val="Times New Roman"/>
      <family val="1"/>
    </font>
    <font>
      <b/>
      <sz val="12"/>
      <color rgb="FF4472C4"/>
      <name val="Calibri"/>
      <family val="2"/>
      <scheme val="minor"/>
    </font>
    <font>
      <sz val="10"/>
      <color indexed="2"/>
      <name val="Arial"/>
      <family val="2"/>
    </font>
    <font>
      <sz val="12"/>
      <color theme="8"/>
      <name val="Calibri"/>
      <family val="2"/>
      <scheme val="minor"/>
    </font>
    <font>
      <sz val="10"/>
      <color theme="8"/>
      <name val="Arial"/>
      <family val="2"/>
    </font>
    <font>
      <b/>
      <sz val="12"/>
      <color theme="8"/>
      <name val="Calibri"/>
      <family val="2"/>
      <scheme val="minor"/>
    </font>
    <font>
      <b/>
      <sz val="11"/>
      <name val="Arial"/>
      <family val="2"/>
    </font>
    <font>
      <u/>
      <sz val="12"/>
      <color theme="1"/>
      <name val="Calibri"/>
      <family val="2"/>
      <scheme val="minor"/>
    </font>
    <font>
      <sz val="12"/>
      <color rgb="FFD9D9D9"/>
      <name val="Calibri"/>
      <family val="2"/>
      <scheme val="minor"/>
    </font>
    <font>
      <sz val="10"/>
      <color theme="1"/>
      <name val="AdvOTc20ddc96"/>
    </font>
    <font>
      <sz val="12"/>
      <color theme="4"/>
      <name val="Calibri"/>
      <family val="2"/>
      <scheme val="minor"/>
    </font>
    <font>
      <sz val="6"/>
      <name val="Helvetica"/>
      <family val="2"/>
    </font>
    <font>
      <sz val="7"/>
      <color theme="1"/>
      <name val="AdvOTc20ddc96"/>
    </font>
    <font>
      <b/>
      <sz val="9"/>
      <name val="Tahoma"/>
      <family val="2"/>
    </font>
    <font>
      <sz val="9"/>
      <name val="Tahoma"/>
      <family val="2"/>
    </font>
    <font>
      <sz val="12"/>
      <color rgb="FFFF0000"/>
      <name val="Calibri"/>
      <family val="2"/>
      <scheme val="minor"/>
    </font>
    <font>
      <sz val="12"/>
      <color rgb="FF000000"/>
      <name val="Calibri"/>
      <family val="2"/>
      <scheme val="minor"/>
    </font>
    <font>
      <b/>
      <sz val="12"/>
      <color rgb="FFFF0000"/>
      <name val="Calibri"/>
      <family val="2"/>
      <scheme val="minor"/>
    </font>
    <font>
      <b/>
      <sz val="9"/>
      <color rgb="FF000000"/>
      <name val="Tahoma"/>
      <family val="2"/>
    </font>
    <font>
      <sz val="9"/>
      <color rgb="FF000000"/>
      <name val="Tahoma"/>
      <family val="2"/>
    </font>
    <font>
      <sz val="11"/>
      <color rgb="FF000000"/>
      <name val="Times"/>
    </font>
    <font>
      <sz val="12"/>
      <color indexed="64"/>
      <name val="Calibri"/>
      <family val="2"/>
      <scheme val="minor"/>
    </font>
    <font>
      <sz val="12"/>
      <color theme="1" tint="4.9989318521683403E-2"/>
      <name val="Calibri"/>
      <family val="2"/>
      <scheme val="minor"/>
    </font>
    <font>
      <b/>
      <sz val="12"/>
      <color indexed="2"/>
      <name val="Calibri"/>
      <family val="2"/>
      <scheme val="minor"/>
    </font>
    <font>
      <sz val="9"/>
      <color theme="1"/>
      <name val="Times"/>
      <family val="1"/>
    </font>
    <font>
      <b/>
      <sz val="9"/>
      <color indexed="81"/>
      <name val="Tahoma"/>
      <family val="2"/>
    </font>
    <font>
      <sz val="9"/>
      <color indexed="81"/>
      <name val="Tahoma"/>
      <family val="2"/>
    </font>
    <font>
      <i/>
      <sz val="12"/>
      <color theme="1"/>
      <name val="Calibri"/>
      <family val="2"/>
      <scheme val="minor"/>
    </font>
    <font>
      <b/>
      <sz val="12"/>
      <color theme="0" tint="-0.14999847407452621"/>
      <name val="Calibri"/>
      <family val="2"/>
      <scheme val="minor"/>
    </font>
  </fonts>
  <fills count="68">
    <fill>
      <patternFill patternType="none"/>
    </fill>
    <fill>
      <patternFill patternType="gray125"/>
    </fill>
    <fill>
      <patternFill patternType="solid">
        <fgColor theme="0" tint="-0.14999847407452621"/>
        <bgColor indexed="65"/>
      </patternFill>
    </fill>
    <fill>
      <patternFill patternType="solid">
        <fgColor theme="7" tint="-0.249977111117893"/>
        <bgColor indexed="65"/>
      </patternFill>
    </fill>
    <fill>
      <patternFill patternType="solid">
        <fgColor rgb="FF90C987"/>
        <bgColor rgb="FF90C987"/>
      </patternFill>
    </fill>
    <fill>
      <patternFill patternType="solid">
        <fgColor rgb="FF90C987"/>
      </patternFill>
    </fill>
    <fill>
      <patternFill patternType="solid">
        <fgColor theme="0" tint="-0.249977111117893"/>
        <bgColor indexed="65"/>
      </patternFill>
    </fill>
    <fill>
      <patternFill patternType="solid">
        <fgColor theme="7" tint="-0.249977111117893"/>
        <bgColor theme="0" tint="-0.14999847407452621"/>
      </patternFill>
    </fill>
    <fill>
      <patternFill patternType="solid">
        <fgColor theme="0" tint="-0.14999847407452621"/>
        <bgColor theme="0" tint="-0.14999847407452621"/>
      </patternFill>
    </fill>
    <fill>
      <patternFill patternType="solid">
        <fgColor rgb="FFCAACCB"/>
        <bgColor rgb="FFF4A736"/>
      </patternFill>
    </fill>
    <fill>
      <patternFill patternType="solid">
        <fgColor rgb="FFCAACCB"/>
        <bgColor rgb="FFCAACCB"/>
      </patternFill>
    </fill>
    <fill>
      <patternFill patternType="solid">
        <fgColor rgb="FF994F88"/>
        <bgColor rgb="FF994F88"/>
      </patternFill>
    </fill>
    <fill>
      <patternFill patternType="solid">
        <fgColor theme="0" tint="-0.14999847407452621"/>
        <bgColor rgb="FFCAACCB"/>
      </patternFill>
    </fill>
    <fill>
      <patternFill patternType="solid">
        <fgColor theme="0" tint="-0.14999847407452621"/>
        <bgColor rgb="FF994F88"/>
      </patternFill>
    </fill>
    <fill>
      <patternFill patternType="solid">
        <fgColor rgb="FFA5170E"/>
        <bgColor rgb="FFA5170E"/>
      </patternFill>
    </fill>
    <fill>
      <patternFill patternType="solid">
        <fgColor rgb="FFC00000"/>
        <bgColor rgb="FFA5170E"/>
      </patternFill>
    </fill>
    <fill>
      <patternFill patternType="solid">
        <fgColor rgb="FFE65518"/>
        <bgColor rgb="FFCAE0AB"/>
      </patternFill>
    </fill>
    <fill>
      <patternFill patternType="solid">
        <fgColor theme="0" tint="-0.14999847407452621"/>
        <bgColor rgb="FFDC050C"/>
      </patternFill>
    </fill>
    <fill>
      <patternFill patternType="solid">
        <fgColor rgb="FF90C987"/>
        <bgColor theme="0" tint="-0.14999847407452621"/>
      </patternFill>
    </fill>
    <fill>
      <patternFill patternType="solid">
        <fgColor theme="0" tint="-0.14999847407452621"/>
        <bgColor rgb="FF90C987"/>
      </patternFill>
    </fill>
    <fill>
      <patternFill patternType="solid">
        <fgColor rgb="FFD9D9D9"/>
        <bgColor rgb="FFD9D9D9"/>
      </patternFill>
    </fill>
    <fill>
      <patternFill patternType="solid">
        <fgColor theme="0" tint="-0.14999847407452621"/>
        <bgColor indexed="5"/>
      </patternFill>
    </fill>
    <fill>
      <patternFill patternType="solid">
        <fgColor rgb="FFCAACCB"/>
        <bgColor rgb="FFF7CB45"/>
      </patternFill>
    </fill>
    <fill>
      <patternFill patternType="solid">
        <fgColor rgb="FFD9CCE3"/>
        <bgColor rgb="FFD9CCE3"/>
      </patternFill>
    </fill>
    <fill>
      <patternFill patternType="solid">
        <fgColor rgb="FFBA8DB4"/>
        <bgColor rgb="FFBA8DB4"/>
      </patternFill>
    </fill>
    <fill>
      <patternFill patternType="solid">
        <fgColor rgb="FF882E72"/>
        <bgColor rgb="FF882E72"/>
      </patternFill>
    </fill>
    <fill>
      <patternFill patternType="solid">
        <fgColor theme="0" tint="-0.14999847407452621"/>
        <bgColor rgb="FFBA8DB4"/>
      </patternFill>
    </fill>
    <fill>
      <patternFill patternType="solid">
        <fgColor theme="0" tint="-0.14999847407452621"/>
        <bgColor rgb="FF882E72"/>
      </patternFill>
    </fill>
    <fill>
      <patternFill patternType="solid">
        <fgColor rgb="FFDC050C"/>
        <bgColor rgb="FFDC050C"/>
      </patternFill>
    </fill>
    <fill>
      <patternFill patternType="solid">
        <fgColor rgb="FF72190E"/>
        <bgColor rgb="FF72190E"/>
      </patternFill>
    </fill>
    <fill>
      <patternFill patternType="solid">
        <fgColor rgb="FFE65518"/>
        <bgColor rgb="FF90C987"/>
      </patternFill>
    </fill>
    <fill>
      <patternFill patternType="solid">
        <fgColor theme="0" tint="-0.14999847407452621"/>
        <bgColor rgb="FFA5170E"/>
      </patternFill>
    </fill>
    <fill>
      <patternFill patternType="solid">
        <fgColor rgb="FFCAE1AB"/>
        <bgColor theme="0" tint="-0.14999847407452621"/>
      </patternFill>
    </fill>
    <fill>
      <patternFill patternType="solid">
        <fgColor rgb="FF4EB265"/>
        <bgColor rgb="FF1965B0"/>
      </patternFill>
    </fill>
    <fill>
      <patternFill patternType="solid">
        <fgColor theme="3" tint="0.79998168889431442"/>
        <bgColor theme="3" tint="0.79998168889431442"/>
      </patternFill>
    </fill>
    <fill>
      <patternFill patternType="solid">
        <fgColor rgb="FFD9CCE3"/>
        <bgColor rgb="FFCAACCB"/>
      </patternFill>
    </fill>
    <fill>
      <patternFill patternType="solid">
        <fgColor rgb="FFCAE0AB"/>
        <bgColor rgb="FFCAE0AB"/>
      </patternFill>
    </fill>
    <fill>
      <patternFill patternType="solid">
        <fgColor theme="0" tint="-0.14999847407452621"/>
        <bgColor rgb="FFCAE0AB"/>
      </patternFill>
    </fill>
    <fill>
      <patternFill patternType="solid">
        <fgColor rgb="FF4EB265"/>
        <bgColor rgb="FF4EB265"/>
      </patternFill>
    </fill>
    <fill>
      <patternFill patternType="solid">
        <fgColor theme="0" tint="-0.249977111117893"/>
        <bgColor rgb="FF90C987"/>
      </patternFill>
    </fill>
    <fill>
      <patternFill patternType="solid">
        <fgColor theme="0" tint="-0.249977111117893"/>
        <bgColor theme="0" tint="-0.14999847407452621"/>
      </patternFill>
    </fill>
    <fill>
      <patternFill patternType="solid">
        <fgColor rgb="FF90C987"/>
        <bgColor rgb="FF4EB265"/>
      </patternFill>
    </fill>
    <fill>
      <patternFill patternType="solid">
        <fgColor indexed="5"/>
      </patternFill>
    </fill>
    <fill>
      <patternFill patternType="solid">
        <fgColor theme="7" tint="-0.249977111117893"/>
        <bgColor indexed="5"/>
      </patternFill>
    </fill>
    <fill>
      <patternFill patternType="solid">
        <fgColor rgb="FFD9D9D9"/>
        <bgColor indexed="5"/>
      </patternFill>
    </fill>
    <fill>
      <patternFill patternType="solid">
        <fgColor rgb="FFD9D9D9"/>
      </patternFill>
    </fill>
    <fill>
      <patternFill patternType="solid">
        <fgColor indexed="5"/>
        <bgColor indexed="5"/>
      </patternFill>
    </fill>
    <fill>
      <patternFill patternType="solid">
        <fgColor rgb="FF777777"/>
        <bgColor rgb="FF777777"/>
      </patternFill>
    </fill>
    <fill>
      <patternFill patternType="solid">
        <fgColor rgb="FF437DBF"/>
        <bgColor rgb="FF437DBF"/>
      </patternFill>
    </fill>
    <fill>
      <patternFill patternType="solid">
        <fgColor rgb="FF7BAFDE"/>
        <bgColor rgb="FF7BAFDE"/>
      </patternFill>
    </fill>
    <fill>
      <patternFill patternType="solid">
        <fgColor rgb="FF1965B0"/>
        <bgColor rgb="FF1965B0"/>
      </patternFill>
    </fill>
    <fill>
      <patternFill patternType="solid">
        <fgColor rgb="FFF4A736"/>
        <bgColor rgb="FFF4A736"/>
      </patternFill>
    </fill>
    <fill>
      <patternFill patternType="solid">
        <fgColor rgb="FFFFC000"/>
      </patternFill>
    </fill>
    <fill>
      <patternFill patternType="solid">
        <fgColor rgb="FF70AD47"/>
      </patternFill>
    </fill>
    <fill>
      <patternFill patternType="solid">
        <fgColor rgb="FF7030A0"/>
      </patternFill>
    </fill>
    <fill>
      <patternFill patternType="solid">
        <fgColor rgb="FFE7E6E6"/>
      </patternFill>
    </fill>
    <fill>
      <patternFill patternType="solid">
        <fgColor rgb="FFC65911"/>
      </patternFill>
    </fill>
    <fill>
      <patternFill patternType="solid">
        <fgColor theme="5" tint="0.79998168889431442"/>
        <bgColor indexed="65"/>
      </patternFill>
    </fill>
    <fill>
      <patternFill patternType="solid">
        <fgColor theme="7" tint="0.79998168889431442"/>
        <bgColor indexed="65"/>
      </patternFill>
    </fill>
    <fill>
      <patternFill patternType="solid">
        <fgColor theme="4" tint="0.79998168889431442"/>
        <bgColor indexed="65"/>
      </patternFill>
    </fill>
    <fill>
      <patternFill patternType="solid">
        <fgColor theme="9" tint="0.79998168889431442"/>
        <bgColor indexed="65"/>
      </patternFill>
    </fill>
    <fill>
      <patternFill patternType="solid">
        <fgColor theme="2"/>
      </patternFill>
    </fill>
    <fill>
      <patternFill patternType="solid">
        <fgColor theme="8" tint="0.79998168889431442"/>
        <bgColor theme="8" tint="0.79998168889431442"/>
      </patternFill>
    </fill>
    <fill>
      <patternFill patternType="solid">
        <fgColor rgb="FFFFFF00"/>
        <bgColor indexed="64"/>
      </patternFill>
    </fill>
    <fill>
      <patternFill patternType="solid">
        <fgColor theme="9" tint="0.39997558519241921"/>
        <bgColor indexed="64"/>
      </patternFill>
    </fill>
    <fill>
      <patternFill patternType="solid">
        <fgColor theme="5"/>
        <bgColor indexed="64"/>
      </patternFill>
    </fill>
    <fill>
      <patternFill patternType="solid">
        <fgColor theme="9"/>
        <bgColor indexed="64"/>
      </patternFill>
    </fill>
    <fill>
      <patternFill patternType="solid">
        <fgColor rgb="FFFFC000"/>
        <bgColor indexed="64"/>
      </patternFill>
    </fill>
  </fills>
  <borders count="24">
    <border>
      <left/>
      <right/>
      <top/>
      <bottom/>
      <diagonal/>
    </border>
    <border>
      <left style="medium">
        <color auto="1"/>
      </left>
      <right/>
      <top/>
      <bottom/>
      <diagonal/>
    </border>
    <border>
      <left/>
      <right style="medium">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s>
  <cellStyleXfs count="3">
    <xf numFmtId="0" fontId="0" fillId="0" borderId="0"/>
    <xf numFmtId="0" fontId="10" fillId="0" borderId="0" applyNumberFormat="0" applyFill="0" applyBorder="0" applyProtection="0"/>
    <xf numFmtId="0" fontId="9" fillId="0" borderId="0"/>
  </cellStyleXfs>
  <cellXfs count="335">
    <xf numFmtId="0" fontId="0" fillId="0" borderId="0" xfId="0"/>
    <xf numFmtId="0" fontId="0" fillId="0" borderId="1" xfId="0" applyBorder="1"/>
    <xf numFmtId="0" fontId="0" fillId="0" borderId="2" xfId="0" applyBorder="1"/>
    <xf numFmtId="0" fontId="0" fillId="2" borderId="0" xfId="0" applyFill="1"/>
    <xf numFmtId="0" fontId="0" fillId="2" borderId="2" xfId="0" applyFill="1" applyBorder="1"/>
    <xf numFmtId="0" fontId="0" fillId="0" borderId="3" xfId="0" applyBorder="1"/>
    <xf numFmtId="49" fontId="0" fillId="3" borderId="4" xfId="0" applyNumberFormat="1" applyFill="1" applyBorder="1"/>
    <xf numFmtId="49" fontId="11" fillId="3" borderId="5" xfId="0" applyNumberFormat="1" applyFont="1" applyFill="1" applyBorder="1"/>
    <xf numFmtId="49" fontId="11" fillId="2" borderId="5" xfId="0" applyNumberFormat="1" applyFont="1" applyFill="1" applyBorder="1"/>
    <xf numFmtId="0" fontId="0" fillId="2" borderId="5" xfId="0" applyFill="1" applyBorder="1"/>
    <xf numFmtId="0" fontId="0" fillId="2" borderId="6" xfId="0" applyFill="1" applyBorder="1"/>
    <xf numFmtId="0" fontId="0" fillId="0" borderId="4" xfId="0" applyBorder="1"/>
    <xf numFmtId="0" fontId="0" fillId="0" borderId="5" xfId="0" applyBorder="1"/>
    <xf numFmtId="49" fontId="0" fillId="4" borderId="4" xfId="0" applyNumberFormat="1" applyFill="1" applyBorder="1"/>
    <xf numFmtId="49" fontId="0" fillId="4" borderId="5" xfId="0" applyNumberFormat="1" applyFill="1" applyBorder="1"/>
    <xf numFmtId="0" fontId="0" fillId="5" borderId="5" xfId="0" applyFill="1" applyBorder="1"/>
    <xf numFmtId="0" fontId="0" fillId="5" borderId="6" xfId="0" applyFill="1" applyBorder="1"/>
    <xf numFmtId="0" fontId="0" fillId="6" borderId="4" xfId="0" applyFill="1" applyBorder="1"/>
    <xf numFmtId="0" fontId="0" fillId="6" borderId="5" xfId="0" applyFill="1" applyBorder="1"/>
    <xf numFmtId="0" fontId="0" fillId="6" borderId="6" xfId="0" applyFill="1" applyBorder="1"/>
    <xf numFmtId="0" fontId="0" fillId="0" borderId="7" xfId="0" applyBorder="1"/>
    <xf numFmtId="0" fontId="0" fillId="0" borderId="8" xfId="0" applyBorder="1"/>
    <xf numFmtId="49" fontId="0" fillId="0" borderId="3" xfId="0" applyNumberFormat="1" applyBorder="1"/>
    <xf numFmtId="49" fontId="0" fillId="7" borderId="9" xfId="0" applyNumberFormat="1" applyFill="1" applyBorder="1"/>
    <xf numFmtId="49" fontId="0" fillId="7" borderId="3" xfId="0" applyNumberFormat="1" applyFill="1" applyBorder="1"/>
    <xf numFmtId="49" fontId="0" fillId="8" borderId="3" xfId="0" applyNumberFormat="1" applyFill="1" applyBorder="1"/>
    <xf numFmtId="49" fontId="0" fillId="2" borderId="3" xfId="0" applyNumberFormat="1" applyFill="1" applyBorder="1" applyAlignment="1">
      <alignment wrapText="1"/>
    </xf>
    <xf numFmtId="49" fontId="0" fillId="2" borderId="10" xfId="0" applyNumberFormat="1" applyFill="1" applyBorder="1" applyAlignment="1">
      <alignment wrapText="1"/>
    </xf>
    <xf numFmtId="49" fontId="0" fillId="9" borderId="9" xfId="0" applyNumberFormat="1" applyFill="1" applyBorder="1"/>
    <xf numFmtId="49" fontId="0" fillId="9" borderId="3" xfId="0" applyNumberFormat="1" applyFill="1" applyBorder="1"/>
    <xf numFmtId="49" fontId="0" fillId="10" borderId="3" xfId="0" applyNumberFormat="1" applyFill="1" applyBorder="1"/>
    <xf numFmtId="49" fontId="12" fillId="11" borderId="3" xfId="0" applyNumberFormat="1" applyFont="1" applyFill="1" applyBorder="1" applyAlignment="1">
      <alignment wrapText="1"/>
    </xf>
    <xf numFmtId="49" fontId="0" fillId="12" borderId="3" xfId="0" applyNumberFormat="1" applyFill="1" applyBorder="1"/>
    <xf numFmtId="49" fontId="12" fillId="13" borderId="3" xfId="0" applyNumberFormat="1" applyFont="1" applyFill="1" applyBorder="1" applyAlignment="1">
      <alignment wrapText="1"/>
    </xf>
    <xf numFmtId="49" fontId="12" fillId="13" borderId="10" xfId="0" applyNumberFormat="1" applyFont="1" applyFill="1" applyBorder="1" applyAlignment="1">
      <alignment wrapText="1"/>
    </xf>
    <xf numFmtId="49" fontId="0" fillId="14" borderId="9" xfId="0" applyNumberFormat="1" applyFill="1" applyBorder="1"/>
    <xf numFmtId="49" fontId="0" fillId="14" borderId="3" xfId="0" applyNumberFormat="1" applyFill="1" applyBorder="1"/>
    <xf numFmtId="49" fontId="0" fillId="15" borderId="3" xfId="0" applyNumberFormat="1" applyFill="1" applyBorder="1"/>
    <xf numFmtId="49" fontId="13" fillId="16" borderId="3" xfId="0" applyNumberFormat="1" applyFont="1" applyFill="1" applyBorder="1"/>
    <xf numFmtId="49" fontId="11" fillId="17" borderId="3" xfId="0" applyNumberFormat="1" applyFont="1" applyFill="1" applyBorder="1" applyAlignment="1">
      <alignment wrapText="1"/>
    </xf>
    <xf numFmtId="49" fontId="11" fillId="17" borderId="10" xfId="0" applyNumberFormat="1" applyFont="1" applyFill="1" applyBorder="1" applyAlignment="1">
      <alignment wrapText="1"/>
    </xf>
    <xf numFmtId="49" fontId="0" fillId="18" borderId="9" xfId="0" applyNumberFormat="1" applyFill="1" applyBorder="1"/>
    <xf numFmtId="49" fontId="0" fillId="18" borderId="3" xfId="0" applyNumberFormat="1" applyFill="1" applyBorder="1"/>
    <xf numFmtId="49" fontId="0" fillId="19" borderId="3" xfId="0" applyNumberFormat="1" applyFill="1" applyBorder="1"/>
    <xf numFmtId="49" fontId="0" fillId="4" borderId="3" xfId="0" applyNumberFormat="1" applyFill="1" applyBorder="1"/>
    <xf numFmtId="49" fontId="0" fillId="4" borderId="10" xfId="0" applyNumberFormat="1" applyFill="1" applyBorder="1"/>
    <xf numFmtId="49" fontId="0" fillId="6" borderId="9" xfId="0" applyNumberFormat="1" applyFill="1" applyBorder="1"/>
    <xf numFmtId="49" fontId="0" fillId="6" borderId="3" xfId="0" applyNumberFormat="1" applyFill="1" applyBorder="1"/>
    <xf numFmtId="49" fontId="0" fillId="6" borderId="10" xfId="0" applyNumberFormat="1" applyFill="1" applyBorder="1"/>
    <xf numFmtId="49" fontId="14" fillId="20" borderId="7" xfId="0" applyNumberFormat="1" applyFont="1" applyFill="1" applyBorder="1"/>
    <xf numFmtId="49" fontId="14" fillId="20" borderId="3" xfId="0" applyNumberFormat="1" applyFont="1" applyFill="1" applyBorder="1"/>
    <xf numFmtId="49" fontId="0" fillId="0" borderId="8" xfId="0" applyNumberFormat="1" applyBorder="1" applyAlignment="1">
      <alignment wrapText="1"/>
    </xf>
    <xf numFmtId="49" fontId="0" fillId="0" borderId="7" xfId="0" applyNumberFormat="1" applyBorder="1"/>
    <xf numFmtId="49" fontId="0" fillId="11" borderId="3" xfId="0" applyNumberFormat="1" applyFill="1" applyBorder="1"/>
    <xf numFmtId="49" fontId="0" fillId="3" borderId="9" xfId="0" applyNumberFormat="1" applyFill="1" applyBorder="1" applyAlignment="1">
      <alignment horizontal="center"/>
    </xf>
    <xf numFmtId="49" fontId="0" fillId="3" borderId="3" xfId="0" applyNumberFormat="1" applyFill="1" applyBorder="1" applyAlignment="1">
      <alignment horizontal="center"/>
    </xf>
    <xf numFmtId="49" fontId="0" fillId="3" borderId="3" xfId="0" applyNumberFormat="1" applyFill="1" applyBorder="1" applyAlignment="1">
      <alignment wrapText="1"/>
    </xf>
    <xf numFmtId="49" fontId="0" fillId="21" borderId="3" xfId="0" applyNumberFormat="1" applyFill="1" applyBorder="1" applyAlignment="1">
      <alignment horizontal="center" wrapText="1"/>
    </xf>
    <xf numFmtId="49" fontId="12" fillId="21" borderId="3" xfId="0" applyNumberFormat="1" applyFont="1" applyFill="1" applyBorder="1" applyAlignment="1">
      <alignment wrapText="1"/>
    </xf>
    <xf numFmtId="49" fontId="0" fillId="2" borderId="3" xfId="0" applyNumberFormat="1" applyFill="1" applyBorder="1"/>
    <xf numFmtId="49" fontId="0" fillId="2" borderId="10" xfId="0" applyNumberFormat="1" applyFill="1" applyBorder="1"/>
    <xf numFmtId="49" fontId="0" fillId="22" borderId="9" xfId="0" applyNumberFormat="1" applyFill="1" applyBorder="1"/>
    <xf numFmtId="49" fontId="0" fillId="22" borderId="3" xfId="0" applyNumberFormat="1" applyFill="1" applyBorder="1"/>
    <xf numFmtId="49" fontId="0" fillId="22" borderId="3" xfId="0" applyNumberFormat="1" applyFill="1" applyBorder="1" applyAlignment="1">
      <alignment wrapText="1"/>
    </xf>
    <xf numFmtId="49" fontId="12" fillId="23" borderId="3" xfId="0" applyNumberFormat="1" applyFont="1" applyFill="1" applyBorder="1" applyAlignment="1">
      <alignment wrapText="1"/>
    </xf>
    <xf numFmtId="49" fontId="12" fillId="10" borderId="3" xfId="0" applyNumberFormat="1" applyFont="1" applyFill="1" applyBorder="1" applyAlignment="1">
      <alignment wrapText="1"/>
    </xf>
    <xf numFmtId="49" fontId="15" fillId="24" borderId="3" xfId="0" applyNumberFormat="1" applyFont="1" applyFill="1" applyBorder="1" applyAlignment="1">
      <alignment wrapText="1"/>
    </xf>
    <xf numFmtId="49" fontId="12" fillId="25" borderId="3" xfId="0" applyNumberFormat="1" applyFont="1" applyFill="1" applyBorder="1" applyAlignment="1">
      <alignment wrapText="1"/>
    </xf>
    <xf numFmtId="49" fontId="12" fillId="8" borderId="3" xfId="0" applyNumberFormat="1" applyFont="1" applyFill="1" applyBorder="1" applyAlignment="1">
      <alignment wrapText="1"/>
    </xf>
    <xf numFmtId="49" fontId="15" fillId="26" borderId="3" xfId="0" applyNumberFormat="1" applyFont="1" applyFill="1" applyBorder="1" applyAlignment="1">
      <alignment wrapText="1"/>
    </xf>
    <xf numFmtId="49" fontId="12" fillId="27" borderId="3" xfId="0" applyNumberFormat="1" applyFont="1" applyFill="1" applyBorder="1" applyAlignment="1">
      <alignment wrapText="1"/>
    </xf>
    <xf numFmtId="49" fontId="12" fillId="27" borderId="10" xfId="0" applyNumberFormat="1" applyFont="1" applyFill="1" applyBorder="1" applyAlignment="1">
      <alignment wrapText="1"/>
    </xf>
    <xf numFmtId="49" fontId="11" fillId="28" borderId="9" xfId="0" applyNumberFormat="1" applyFont="1" applyFill="1" applyBorder="1" applyAlignment="1">
      <alignment wrapText="1"/>
    </xf>
    <xf numFmtId="49" fontId="11" fillId="28" borderId="3" xfId="0" applyNumberFormat="1" applyFont="1" applyFill="1" applyBorder="1" applyAlignment="1">
      <alignment wrapText="1"/>
    </xf>
    <xf numFmtId="49" fontId="0" fillId="14" borderId="3" xfId="0" applyNumberFormat="1" applyFill="1" applyBorder="1" applyAlignment="1">
      <alignment wrapText="1"/>
    </xf>
    <xf numFmtId="49" fontId="0" fillId="29" borderId="3" xfId="0" applyNumberFormat="1" applyFill="1" applyBorder="1" applyAlignment="1">
      <alignment wrapText="1"/>
    </xf>
    <xf numFmtId="49" fontId="0" fillId="30" borderId="3" xfId="0" applyNumberFormat="1" applyFill="1" applyBorder="1"/>
    <xf numFmtId="49" fontId="0" fillId="31" borderId="3" xfId="0" applyNumberFormat="1" applyFill="1" applyBorder="1"/>
    <xf numFmtId="49" fontId="0" fillId="31" borderId="10" xfId="0" applyNumberFormat="1" applyFill="1" applyBorder="1"/>
    <xf numFmtId="49" fontId="0" fillId="18" borderId="9" xfId="0" applyNumberFormat="1" applyFill="1" applyBorder="1" applyAlignment="1">
      <alignment wrapText="1"/>
    </xf>
    <xf numFmtId="49" fontId="0" fillId="18" borderId="3" xfId="0" applyNumberFormat="1" applyFill="1" applyBorder="1" applyAlignment="1">
      <alignment wrapText="1"/>
    </xf>
    <xf numFmtId="49" fontId="0" fillId="8" borderId="3" xfId="0" applyNumberFormat="1" applyFill="1" applyBorder="1" applyAlignment="1">
      <alignment wrapText="1"/>
    </xf>
    <xf numFmtId="49" fontId="0" fillId="32" borderId="3" xfId="0" applyNumberFormat="1" applyFill="1" applyBorder="1"/>
    <xf numFmtId="49" fontId="15" fillId="4" borderId="3" xfId="0" applyNumberFormat="1" applyFont="1" applyFill="1" applyBorder="1" applyAlignment="1">
      <alignment wrapText="1"/>
    </xf>
    <xf numFmtId="49" fontId="12" fillId="33" borderId="3" xfId="0" applyNumberFormat="1" applyFont="1" applyFill="1" applyBorder="1" applyAlignment="1">
      <alignment wrapText="1"/>
    </xf>
    <xf numFmtId="49" fontId="12" fillId="33" borderId="10" xfId="0" applyNumberFormat="1" applyFont="1" applyFill="1" applyBorder="1" applyAlignment="1">
      <alignment wrapText="1"/>
    </xf>
    <xf numFmtId="49" fontId="0" fillId="34" borderId="7" xfId="0" applyNumberFormat="1" applyFill="1" applyBorder="1"/>
    <xf numFmtId="49" fontId="0" fillId="34" borderId="3" xfId="0" applyNumberFormat="1" applyFill="1" applyBorder="1"/>
    <xf numFmtId="49" fontId="0" fillId="0" borderId="8" xfId="0" applyNumberFormat="1" applyBorder="1"/>
    <xf numFmtId="49" fontId="0" fillId="35" borderId="3" xfId="0" applyNumberFormat="1" applyFill="1" applyBorder="1"/>
    <xf numFmtId="49" fontId="0" fillId="24" borderId="3" xfId="0" applyNumberFormat="1" applyFill="1" applyBorder="1"/>
    <xf numFmtId="49" fontId="14" fillId="25" borderId="3" xfId="0" applyNumberFormat="1" applyFont="1" applyFill="1" applyBorder="1"/>
    <xf numFmtId="49" fontId="13" fillId="36" borderId="3" xfId="0" applyNumberFormat="1" applyFont="1" applyFill="1" applyBorder="1"/>
    <xf numFmtId="49" fontId="15" fillId="19" borderId="3" xfId="0" applyNumberFormat="1" applyFont="1" applyFill="1" applyBorder="1" applyAlignment="1">
      <alignment wrapText="1"/>
    </xf>
    <xf numFmtId="49" fontId="0" fillId="36" borderId="3" xfId="0" applyNumberFormat="1" applyFill="1" applyBorder="1"/>
    <xf numFmtId="49" fontId="0" fillId="37" borderId="3" xfId="0" applyNumberFormat="1" applyFill="1" applyBorder="1"/>
    <xf numFmtId="49" fontId="0" fillId="38" borderId="3" xfId="0" applyNumberFormat="1" applyFill="1" applyBorder="1"/>
    <xf numFmtId="49" fontId="0" fillId="38" borderId="10" xfId="0" applyNumberFormat="1" applyFill="1" applyBorder="1"/>
    <xf numFmtId="49" fontId="0" fillId="39" borderId="3" xfId="0" applyNumberFormat="1" applyFill="1" applyBorder="1"/>
    <xf numFmtId="49" fontId="0" fillId="40" borderId="3" xfId="0" applyNumberFormat="1" applyFill="1" applyBorder="1"/>
    <xf numFmtId="49" fontId="15" fillId="41" borderId="3" xfId="0" applyNumberFormat="1" applyFont="1" applyFill="1" applyBorder="1" applyAlignment="1">
      <alignment wrapText="1"/>
    </xf>
    <xf numFmtId="0" fontId="0" fillId="6" borderId="3" xfId="0" applyFill="1" applyBorder="1"/>
    <xf numFmtId="0" fontId="0" fillId="6" borderId="10" xfId="0" applyFill="1" applyBorder="1"/>
    <xf numFmtId="49" fontId="0" fillId="42" borderId="7" xfId="0" applyNumberFormat="1" applyFill="1" applyBorder="1"/>
    <xf numFmtId="49" fontId="0" fillId="0" borderId="3" xfId="0" applyNumberFormat="1" applyBorder="1" applyAlignment="1">
      <alignment wrapText="1"/>
    </xf>
    <xf numFmtId="49" fontId="16" fillId="3" borderId="9" xfId="0" applyNumberFormat="1" applyFont="1" applyFill="1" applyBorder="1" applyAlignment="1">
      <alignment horizontal="center" vertical="top" textRotation="90"/>
    </xf>
    <xf numFmtId="49" fontId="16" fillId="3" borderId="3" xfId="0" applyNumberFormat="1" applyFont="1" applyFill="1" applyBorder="1" applyAlignment="1">
      <alignment horizontal="center" vertical="top" textRotation="90"/>
    </xf>
    <xf numFmtId="49" fontId="17" fillId="3" borderId="3" xfId="0" applyNumberFormat="1" applyFont="1" applyFill="1" applyBorder="1" applyAlignment="1">
      <alignment horizontal="center" vertical="top" textRotation="90"/>
    </xf>
    <xf numFmtId="49" fontId="16" fillId="43" borderId="3" xfId="0" applyNumberFormat="1" applyFont="1" applyFill="1" applyBorder="1" applyAlignment="1">
      <alignment horizontal="center" vertical="top" textRotation="90"/>
    </xf>
    <xf numFmtId="49" fontId="16" fillId="7" borderId="3" xfId="0" applyNumberFormat="1" applyFont="1" applyFill="1" applyBorder="1" applyAlignment="1">
      <alignment horizontal="center" vertical="top" textRotation="90"/>
    </xf>
    <xf numFmtId="49" fontId="0" fillId="0" borderId="3" xfId="0" applyNumberFormat="1" applyBorder="1" applyAlignment="1">
      <alignment horizontal="center" vertical="top" textRotation="90" wrapText="1"/>
    </xf>
    <xf numFmtId="49" fontId="12" fillId="44" borderId="3" xfId="0" applyNumberFormat="1" applyFont="1" applyFill="1" applyBorder="1" applyAlignment="1">
      <alignment horizontal="center" vertical="top" textRotation="90"/>
    </xf>
    <xf numFmtId="49" fontId="12" fillId="45" borderId="3" xfId="0" applyNumberFormat="1" applyFont="1" applyFill="1" applyBorder="1" applyAlignment="1">
      <alignment horizontal="center" vertical="top" textRotation="90"/>
    </xf>
    <xf numFmtId="49" fontId="16" fillId="2" borderId="3" xfId="0" applyNumberFormat="1" applyFont="1" applyFill="1" applyBorder="1" applyAlignment="1">
      <alignment horizontal="center" vertical="top" textRotation="90"/>
    </xf>
    <xf numFmtId="49" fontId="16" fillId="2" borderId="10" xfId="0" applyNumberFormat="1" applyFont="1" applyFill="1" applyBorder="1" applyAlignment="1">
      <alignment horizontal="center" vertical="top" textRotation="90"/>
    </xf>
    <xf numFmtId="49" fontId="0" fillId="0" borderId="9" xfId="0" applyNumberFormat="1" applyBorder="1" applyAlignment="1">
      <alignment horizontal="center" vertical="top" textRotation="90"/>
    </xf>
    <xf numFmtId="49" fontId="0" fillId="0" borderId="3" xfId="0" applyNumberFormat="1" applyBorder="1" applyAlignment="1">
      <alignment horizontal="center" vertical="top" textRotation="90"/>
    </xf>
    <xf numFmtId="49" fontId="11" fillId="0" borderId="3" xfId="0" applyNumberFormat="1" applyFont="1" applyBorder="1" applyAlignment="1">
      <alignment horizontal="center" vertical="top" textRotation="90" wrapText="1"/>
    </xf>
    <xf numFmtId="49" fontId="16" fillId="0" borderId="3" xfId="0" applyNumberFormat="1" applyFont="1" applyBorder="1" applyAlignment="1">
      <alignment horizontal="center" vertical="top" textRotation="90"/>
    </xf>
    <xf numFmtId="49" fontId="17" fillId="0" borderId="3" xfId="0" applyNumberFormat="1" applyFont="1" applyBorder="1" applyAlignment="1">
      <alignment horizontal="center" vertical="top" textRotation="90"/>
    </xf>
    <xf numFmtId="49" fontId="17" fillId="2" borderId="3" xfId="0" applyNumberFormat="1" applyFont="1" applyFill="1" applyBorder="1" applyAlignment="1">
      <alignment horizontal="center" vertical="top" textRotation="90"/>
    </xf>
    <xf numFmtId="49" fontId="17" fillId="21" borderId="3" xfId="0" applyNumberFormat="1" applyFont="1" applyFill="1" applyBorder="1" applyAlignment="1">
      <alignment horizontal="center" vertical="top" textRotation="90"/>
    </xf>
    <xf numFmtId="49" fontId="15" fillId="0" borderId="9" xfId="0" applyNumberFormat="1" applyFont="1" applyBorder="1" applyAlignment="1">
      <alignment horizontal="center" vertical="top" textRotation="90" wrapText="1"/>
    </xf>
    <xf numFmtId="49" fontId="12" fillId="0" borderId="3" xfId="0" applyNumberFormat="1" applyFont="1" applyBorder="1" applyAlignment="1">
      <alignment horizontal="center" vertical="top" textRotation="90" wrapText="1"/>
    </xf>
    <xf numFmtId="49" fontId="15" fillId="0" borderId="3" xfId="0" applyNumberFormat="1" applyFont="1" applyBorder="1" applyAlignment="1">
      <alignment horizontal="center" vertical="top" textRotation="90" wrapText="1"/>
    </xf>
    <xf numFmtId="49" fontId="15" fillId="46" borderId="3" xfId="0" applyNumberFormat="1" applyFont="1" applyFill="1" applyBorder="1" applyAlignment="1">
      <alignment horizontal="center" vertical="top" textRotation="90" wrapText="1"/>
    </xf>
    <xf numFmtId="49" fontId="15" fillId="2" borderId="3" xfId="0" applyNumberFormat="1" applyFont="1" applyFill="1" applyBorder="1" applyAlignment="1">
      <alignment horizontal="center" vertical="top" textRotation="90" wrapText="1"/>
    </xf>
    <xf numFmtId="49" fontId="12" fillId="2" borderId="3" xfId="0" applyNumberFormat="1" applyFont="1" applyFill="1" applyBorder="1" applyAlignment="1">
      <alignment horizontal="center" vertical="top" textRotation="90" wrapText="1"/>
    </xf>
    <xf numFmtId="49" fontId="16" fillId="0" borderId="9" xfId="0" applyNumberFormat="1" applyFont="1" applyBorder="1" applyAlignment="1">
      <alignment horizontal="center" vertical="top" textRotation="90"/>
    </xf>
    <xf numFmtId="49" fontId="11" fillId="2" borderId="3" xfId="0" applyNumberFormat="1" applyFont="1" applyFill="1" applyBorder="1" applyAlignment="1">
      <alignment horizontal="center" vertical="top" textRotation="90" wrapText="1"/>
    </xf>
    <xf numFmtId="49" fontId="16" fillId="6" borderId="3" xfId="0" applyNumberFormat="1" applyFont="1" applyFill="1" applyBorder="1" applyAlignment="1">
      <alignment horizontal="center" vertical="top" textRotation="90"/>
    </xf>
    <xf numFmtId="49" fontId="16" fillId="42" borderId="3" xfId="0" applyNumberFormat="1" applyFont="1" applyFill="1" applyBorder="1" applyAlignment="1">
      <alignment horizontal="center" vertical="top" textRotation="90"/>
    </xf>
    <xf numFmtId="49" fontId="16" fillId="0" borderId="10" xfId="0" applyNumberFormat="1" applyFont="1" applyBorder="1" applyAlignment="1">
      <alignment horizontal="center" vertical="top" textRotation="90"/>
    </xf>
    <xf numFmtId="49" fontId="0" fillId="6" borderId="9" xfId="0" applyNumberFormat="1" applyFill="1" applyBorder="1" applyAlignment="1">
      <alignment wrapText="1"/>
    </xf>
    <xf numFmtId="49" fontId="0" fillId="6" borderId="3" xfId="0" applyNumberFormat="1" applyFill="1" applyBorder="1" applyAlignment="1">
      <alignment wrapText="1"/>
    </xf>
    <xf numFmtId="49" fontId="0" fillId="6" borderId="10" xfId="0" applyNumberFormat="1" applyFill="1" applyBorder="1" applyAlignment="1">
      <alignment wrapText="1"/>
    </xf>
    <xf numFmtId="49" fontId="16" fillId="0" borderId="7" xfId="0" applyNumberFormat="1" applyFont="1" applyBorder="1" applyAlignment="1">
      <alignment horizontal="center" vertical="top" textRotation="90"/>
    </xf>
    <xf numFmtId="49" fontId="16" fillId="0" borderId="8" xfId="0" applyNumberFormat="1" applyFont="1" applyBorder="1" applyAlignment="1">
      <alignment horizontal="center" vertical="top" textRotation="90"/>
    </xf>
    <xf numFmtId="49" fontId="0" fillId="42" borderId="7" xfId="0" applyNumberFormat="1" applyFill="1" applyBorder="1" applyAlignment="1">
      <alignment wrapText="1"/>
    </xf>
    <xf numFmtId="49" fontId="16" fillId="0" borderId="0" xfId="0" applyNumberFormat="1" applyFont="1" applyAlignment="1">
      <alignment horizontal="center" vertical="top" textRotation="90"/>
    </xf>
    <xf numFmtId="0" fontId="18" fillId="0" borderId="0" xfId="0" applyFont="1"/>
    <xf numFmtId="0" fontId="14" fillId="0" borderId="0" xfId="0" applyFont="1"/>
    <xf numFmtId="0" fontId="11" fillId="0" borderId="1" xfId="0" applyFont="1" applyBorder="1"/>
    <xf numFmtId="0" fontId="11" fillId="0" borderId="0" xfId="0" applyFont="1"/>
    <xf numFmtId="4" fontId="0" fillId="0" borderId="0" xfId="0" applyNumberFormat="1"/>
    <xf numFmtId="0" fontId="16" fillId="0" borderId="0" xfId="0" applyFont="1"/>
    <xf numFmtId="0" fontId="19" fillId="0" borderId="0" xfId="0" applyFont="1" applyAlignment="1">
      <alignment vertical="center"/>
    </xf>
    <xf numFmtId="49" fontId="0" fillId="34" borderId="0" xfId="0" applyNumberFormat="1" applyFill="1"/>
    <xf numFmtId="2" fontId="0" fillId="0" borderId="0" xfId="0" applyNumberFormat="1" applyAlignment="1">
      <alignment horizontal="center" vertical="center"/>
    </xf>
    <xf numFmtId="49" fontId="0" fillId="0" borderId="0" xfId="0" applyNumberFormat="1"/>
    <xf numFmtId="0" fontId="10" fillId="0" borderId="0" xfId="1"/>
    <xf numFmtId="0" fontId="20" fillId="0" borderId="0" xfId="0" applyFont="1"/>
    <xf numFmtId="2" fontId="0" fillId="0" borderId="0" xfId="0" applyNumberFormat="1"/>
    <xf numFmtId="49" fontId="0" fillId="14" borderId="0" xfId="0" applyNumberFormat="1" applyFill="1" applyAlignment="1">
      <alignment wrapText="1"/>
    </xf>
    <xf numFmtId="49" fontId="0" fillId="0" borderId="1" xfId="0" applyNumberFormat="1" applyBorder="1"/>
    <xf numFmtId="49" fontId="0" fillId="0" borderId="0" xfId="0" applyNumberFormat="1" applyAlignment="1">
      <alignment wrapText="1"/>
    </xf>
    <xf numFmtId="0" fontId="21" fillId="0" borderId="0" xfId="0" applyFont="1"/>
    <xf numFmtId="0" fontId="22" fillId="0" borderId="0" xfId="0" applyFont="1"/>
    <xf numFmtId="3" fontId="23" fillId="0" borderId="0" xfId="0" applyNumberFormat="1" applyFont="1"/>
    <xf numFmtId="3" fontId="11" fillId="0" borderId="0" xfId="0" applyNumberFormat="1" applyFont="1"/>
    <xf numFmtId="49" fontId="11" fillId="0" borderId="0" xfId="0" applyNumberFormat="1" applyFont="1" applyAlignment="1">
      <alignment wrapText="1"/>
    </xf>
    <xf numFmtId="49" fontId="0" fillId="0" borderId="0" xfId="0" applyNumberFormat="1" applyAlignment="1">
      <alignment horizontal="center" wrapText="1"/>
    </xf>
    <xf numFmtId="49" fontId="0" fillId="0" borderId="1" xfId="0" applyNumberFormat="1" applyBorder="1" applyAlignment="1">
      <alignment wrapText="1"/>
    </xf>
    <xf numFmtId="0" fontId="23" fillId="0" borderId="0" xfId="0" applyFont="1"/>
    <xf numFmtId="0" fontId="24" fillId="0" borderId="1" xfId="0" applyFont="1" applyBorder="1" applyAlignment="1">
      <alignment horizontal="left"/>
    </xf>
    <xf numFmtId="0" fontId="25" fillId="0" borderId="0" xfId="0" applyFont="1" applyAlignment="1">
      <alignment horizontal="left"/>
    </xf>
    <xf numFmtId="0" fontId="24" fillId="0" borderId="0" xfId="0" applyFont="1" applyAlignment="1">
      <alignment horizontal="left"/>
    </xf>
    <xf numFmtId="11" fontId="25" fillId="0" borderId="0" xfId="0" applyNumberFormat="1" applyFont="1" applyAlignment="1">
      <alignment horizontal="right"/>
    </xf>
    <xf numFmtId="0" fontId="24" fillId="0" borderId="0" xfId="0" applyFont="1" applyAlignment="1">
      <alignment horizontal="right"/>
    </xf>
    <xf numFmtId="11" fontId="0" fillId="0" borderId="0" xfId="0" applyNumberFormat="1"/>
    <xf numFmtId="11" fontId="14" fillId="0" borderId="0" xfId="0" applyNumberFormat="1" applyFont="1"/>
    <xf numFmtId="0" fontId="26" fillId="0" borderId="0" xfId="0" applyFont="1"/>
    <xf numFmtId="2" fontId="27" fillId="0" borderId="0" xfId="0" applyNumberFormat="1" applyFont="1" applyAlignment="1">
      <alignment horizontal="left" vertical="center" wrapText="1" indent="2"/>
    </xf>
    <xf numFmtId="0" fontId="23" fillId="0" borderId="1" xfId="0" applyFont="1" applyBorder="1"/>
    <xf numFmtId="0" fontId="14" fillId="0" borderId="1" xfId="0" applyFont="1" applyBorder="1"/>
    <xf numFmtId="0" fontId="28" fillId="0" borderId="0" xfId="0" applyFont="1"/>
    <xf numFmtId="3" fontId="14" fillId="0" borderId="0" xfId="0" applyNumberFormat="1" applyFont="1"/>
    <xf numFmtId="0" fontId="14" fillId="0" borderId="2" xfId="0" applyFont="1" applyBorder="1"/>
    <xf numFmtId="49" fontId="11" fillId="0" borderId="1" xfId="0" applyNumberFormat="1" applyFont="1" applyBorder="1" applyAlignment="1">
      <alignment wrapText="1"/>
    </xf>
    <xf numFmtId="1" fontId="0" fillId="0" borderId="0" xfId="0" applyNumberFormat="1"/>
    <xf numFmtId="49" fontId="12" fillId="0" borderId="0" xfId="0" applyNumberFormat="1" applyFont="1" applyAlignment="1">
      <alignment wrapText="1"/>
    </xf>
    <xf numFmtId="0" fontId="29" fillId="0" borderId="0" xfId="0" applyFont="1"/>
    <xf numFmtId="49" fontId="16" fillId="0" borderId="1" xfId="0" applyNumberFormat="1" applyFont="1" applyBorder="1" applyAlignment="1">
      <alignment horizontal="center" vertical="top" textRotation="90"/>
    </xf>
    <xf numFmtId="9" fontId="11" fillId="0" borderId="0" xfId="0" applyNumberFormat="1" applyFont="1"/>
    <xf numFmtId="0" fontId="0" fillId="0" borderId="0" xfId="0" applyAlignment="1">
      <alignment wrapText="1"/>
    </xf>
    <xf numFmtId="0" fontId="30" fillId="0" borderId="0" xfId="0" applyFont="1"/>
    <xf numFmtId="0" fontId="30" fillId="0" borderId="1" xfId="0" applyFont="1" applyBorder="1"/>
    <xf numFmtId="0" fontId="31" fillId="0" borderId="0" xfId="0" applyFont="1"/>
    <xf numFmtId="0" fontId="30" fillId="0" borderId="2" xfId="0" applyFont="1" applyBorder="1"/>
    <xf numFmtId="4" fontId="30" fillId="0" borderId="0" xfId="0" applyNumberFormat="1" applyFont="1"/>
    <xf numFmtId="0" fontId="30" fillId="0" borderId="0" xfId="0" applyFont="1" applyAlignment="1">
      <alignment wrapText="1"/>
    </xf>
    <xf numFmtId="0" fontId="32" fillId="0" borderId="0" xfId="0" applyFont="1"/>
    <xf numFmtId="0" fontId="33" fillId="0" borderId="0" xfId="0" applyFont="1"/>
    <xf numFmtId="49" fontId="12" fillId="0" borderId="0" xfId="0" applyNumberFormat="1" applyFont="1"/>
    <xf numFmtId="49" fontId="11" fillId="0" borderId="1" xfId="0" applyNumberFormat="1" applyFont="1" applyBorder="1"/>
    <xf numFmtId="49" fontId="11" fillId="0" borderId="0" xfId="0" applyNumberFormat="1" applyFont="1"/>
    <xf numFmtId="0" fontId="11" fillId="0" borderId="2" xfId="0" applyFont="1" applyBorder="1"/>
    <xf numFmtId="0" fontId="0" fillId="0" borderId="0" xfId="0" quotePrefix="1"/>
    <xf numFmtId="3" fontId="0" fillId="0" borderId="0" xfId="0" applyNumberFormat="1"/>
    <xf numFmtId="0" fontId="0" fillId="46" borderId="0" xfId="0" applyFill="1"/>
    <xf numFmtId="49" fontId="0" fillId="47" borderId="0" xfId="0" applyNumberFormat="1" applyFill="1"/>
    <xf numFmtId="0" fontId="34" fillId="0" borderId="0" xfId="0" applyFont="1"/>
    <xf numFmtId="49" fontId="0" fillId="4" borderId="0" xfId="0" applyNumberFormat="1" applyFill="1"/>
    <xf numFmtId="49" fontId="0" fillId="36" borderId="0" xfId="0" applyNumberFormat="1" applyFill="1"/>
    <xf numFmtId="49" fontId="0" fillId="48" borderId="0" xfId="0" applyNumberFormat="1" applyFill="1"/>
    <xf numFmtId="49" fontId="0" fillId="49" borderId="0" xfId="0" applyNumberFormat="1" applyFill="1"/>
    <xf numFmtId="49" fontId="0" fillId="50" borderId="0" xfId="0" applyNumberFormat="1" applyFill="1"/>
    <xf numFmtId="49" fontId="0" fillId="10" borderId="0" xfId="0" applyNumberFormat="1" applyFill="1"/>
    <xf numFmtId="49" fontId="0" fillId="23" borderId="0" xfId="0" applyNumberFormat="1" applyFill="1"/>
    <xf numFmtId="49" fontId="0" fillId="24" borderId="0" xfId="0" applyNumberFormat="1" applyFill="1"/>
    <xf numFmtId="49" fontId="0" fillId="11" borderId="0" xfId="0" applyNumberFormat="1" applyFill="1"/>
    <xf numFmtId="49" fontId="0" fillId="25" borderId="0" xfId="0" applyNumberFormat="1" applyFill="1"/>
    <xf numFmtId="49" fontId="0" fillId="51" borderId="0" xfId="0" applyNumberFormat="1" applyFill="1"/>
    <xf numFmtId="49" fontId="0" fillId="28" borderId="0" xfId="0" applyNumberFormat="1" applyFill="1"/>
    <xf numFmtId="49" fontId="0" fillId="14" borderId="0" xfId="0" applyNumberFormat="1" applyFill="1"/>
    <xf numFmtId="49" fontId="0" fillId="29" borderId="0" xfId="0" applyNumberFormat="1" applyFill="1"/>
    <xf numFmtId="0" fontId="0" fillId="52" borderId="0" xfId="0" applyFill="1"/>
    <xf numFmtId="0" fontId="14" fillId="52" borderId="0" xfId="0" applyFont="1" applyFill="1"/>
    <xf numFmtId="0" fontId="35" fillId="0" borderId="0" xfId="0" applyFont="1"/>
    <xf numFmtId="0" fontId="14" fillId="53" borderId="0" xfId="0" applyFont="1" applyFill="1"/>
    <xf numFmtId="164" fontId="14" fillId="53" borderId="0" xfId="0" applyNumberFormat="1" applyFont="1" applyFill="1"/>
    <xf numFmtId="0" fontId="14" fillId="54" borderId="0" xfId="0" applyFont="1" applyFill="1"/>
    <xf numFmtId="164" fontId="14" fillId="0" borderId="0" xfId="0" applyNumberFormat="1" applyFont="1"/>
    <xf numFmtId="0" fontId="14" fillId="55" borderId="0" xfId="0" applyFont="1" applyFill="1"/>
    <xf numFmtId="164" fontId="14" fillId="55" borderId="0" xfId="0" applyNumberFormat="1" applyFont="1" applyFill="1"/>
    <xf numFmtId="0" fontId="14" fillId="56" borderId="0" xfId="0" applyFont="1" applyFill="1"/>
    <xf numFmtId="164" fontId="14" fillId="54" borderId="0" xfId="0" applyNumberFormat="1" applyFont="1" applyFill="1"/>
    <xf numFmtId="165" fontId="0" fillId="0" borderId="0" xfId="0" applyNumberFormat="1"/>
    <xf numFmtId="0" fontId="0" fillId="0" borderId="11" xfId="0" applyBorder="1"/>
    <xf numFmtId="0" fontId="0" fillId="0" borderId="12" xfId="0" applyBorder="1"/>
    <xf numFmtId="0" fontId="0" fillId="0" borderId="13" xfId="0" applyBorder="1"/>
    <xf numFmtId="0" fontId="0" fillId="0" borderId="14" xfId="0" applyBorder="1"/>
    <xf numFmtId="0" fontId="0" fillId="57" borderId="0" xfId="0" applyFill="1"/>
    <xf numFmtId="0" fontId="0" fillId="58" borderId="0" xfId="0" applyFill="1"/>
    <xf numFmtId="0" fontId="0" fillId="0" borderId="15" xfId="0" applyBorder="1"/>
    <xf numFmtId="0" fontId="0" fillId="0" borderId="16" xfId="0" applyBorder="1"/>
    <xf numFmtId="0" fontId="0" fillId="0" borderId="17" xfId="0" applyBorder="1"/>
    <xf numFmtId="0" fontId="0" fillId="59" borderId="0" xfId="0" applyFill="1"/>
    <xf numFmtId="0" fontId="0" fillId="42" borderId="0" xfId="0" applyFill="1"/>
    <xf numFmtId="0" fontId="0" fillId="60" borderId="0" xfId="0" applyFill="1"/>
    <xf numFmtId="0" fontId="0" fillId="0" borderId="18" xfId="0" applyBorder="1"/>
    <xf numFmtId="0" fontId="0" fillId="0" borderId="19" xfId="0" applyBorder="1"/>
    <xf numFmtId="0" fontId="0" fillId="0" borderId="20" xfId="0" applyBorder="1"/>
    <xf numFmtId="0" fontId="0" fillId="0" borderId="21" xfId="0" applyBorder="1"/>
    <xf numFmtId="0" fontId="0" fillId="61" borderId="0" xfId="0" applyFill="1"/>
    <xf numFmtId="0" fontId="14" fillId="62" borderId="0" xfId="0" applyFont="1" applyFill="1"/>
    <xf numFmtId="0" fontId="14" fillId="46" borderId="0" xfId="0" applyFont="1" applyFill="1"/>
    <xf numFmtId="0" fontId="36" fillId="0" borderId="0" xfId="0" applyFont="1"/>
    <xf numFmtId="1" fontId="20" fillId="0" borderId="0" xfId="0" applyNumberFormat="1" applyFont="1"/>
    <xf numFmtId="2" fontId="20" fillId="0" borderId="0" xfId="0" applyNumberFormat="1" applyFont="1"/>
    <xf numFmtId="0" fontId="14" fillId="0" borderId="22" xfId="0" applyFont="1" applyBorder="1"/>
    <xf numFmtId="0" fontId="14" fillId="0" borderId="23" xfId="0" applyFont="1" applyBorder="1"/>
    <xf numFmtId="164" fontId="20" fillId="0" borderId="0" xfId="0" applyNumberFormat="1" applyFont="1"/>
    <xf numFmtId="0" fontId="37" fillId="0" borderId="0" xfId="0" applyFont="1"/>
    <xf numFmtId="0" fontId="38" fillId="0" borderId="0" xfId="0" applyFont="1"/>
    <xf numFmtId="0" fontId="0" fillId="63" borderId="2" xfId="0" applyFill="1" applyBorder="1"/>
    <xf numFmtId="0" fontId="9" fillId="0" borderId="1" xfId="2" applyBorder="1"/>
    <xf numFmtId="0" fontId="9" fillId="0" borderId="0" xfId="2"/>
    <xf numFmtId="0" fontId="9" fillId="0" borderId="2" xfId="2" applyBorder="1"/>
    <xf numFmtId="4" fontId="9" fillId="0" borderId="0" xfId="2" applyNumberFormat="1"/>
    <xf numFmtId="0" fontId="42" fillId="0" borderId="0" xfId="0" applyFont="1"/>
    <xf numFmtId="0" fontId="44" fillId="0" borderId="0" xfId="0" applyFont="1"/>
    <xf numFmtId="0" fontId="8" fillId="63" borderId="2" xfId="0" applyFont="1" applyFill="1" applyBorder="1"/>
    <xf numFmtId="0" fontId="8" fillId="0" borderId="1" xfId="0" applyFont="1" applyBorder="1"/>
    <xf numFmtId="0" fontId="8" fillId="0" borderId="0" xfId="0" applyFont="1"/>
    <xf numFmtId="49" fontId="11" fillId="28" borderId="0" xfId="0" applyNumberFormat="1" applyFont="1" applyFill="1" applyAlignment="1">
      <alignment wrapText="1"/>
    </xf>
    <xf numFmtId="0" fontId="47" fillId="0" borderId="0" xfId="0" applyFont="1"/>
    <xf numFmtId="49" fontId="8" fillId="14" borderId="0" xfId="0" applyNumberFormat="1" applyFont="1" applyFill="1" applyAlignment="1">
      <alignment wrapText="1"/>
    </xf>
    <xf numFmtId="0" fontId="8" fillId="63" borderId="0" xfId="0" applyFont="1" applyFill="1"/>
    <xf numFmtId="0" fontId="8" fillId="0" borderId="2" xfId="0" applyFont="1" applyBorder="1"/>
    <xf numFmtId="49" fontId="8" fillId="0" borderId="0" xfId="0" applyNumberFormat="1" applyFont="1" applyAlignment="1">
      <alignment wrapText="1"/>
    </xf>
    <xf numFmtId="0" fontId="0" fillId="64" borderId="0" xfId="0" applyFill="1"/>
    <xf numFmtId="0" fontId="0" fillId="65" borderId="0" xfId="0" applyFill="1"/>
    <xf numFmtId="0" fontId="0" fillId="66" borderId="0" xfId="0" applyFill="1"/>
    <xf numFmtId="0" fontId="0" fillId="67" borderId="0" xfId="0" applyFill="1"/>
    <xf numFmtId="0" fontId="18" fillId="0" borderId="0" xfId="2" applyFont="1"/>
    <xf numFmtId="0" fontId="11" fillId="0" borderId="0" xfId="2" applyFont="1"/>
    <xf numFmtId="0" fontId="14" fillId="0" borderId="0" xfId="2" applyFont="1"/>
    <xf numFmtId="0" fontId="11" fillId="0" borderId="1" xfId="2" applyFont="1" applyBorder="1"/>
    <xf numFmtId="0" fontId="20" fillId="0" borderId="0" xfId="2" applyFont="1"/>
    <xf numFmtId="0" fontId="48" fillId="0" borderId="0" xfId="0" applyFont="1" applyAlignment="1">
      <alignment vertical="center" wrapText="1"/>
    </xf>
    <xf numFmtId="49" fontId="16" fillId="0" borderId="0" xfId="2" applyNumberFormat="1" applyFont="1" applyAlignment="1">
      <alignment horizontal="center" vertical="top" textRotation="90"/>
    </xf>
    <xf numFmtId="49" fontId="20" fillId="0" borderId="0" xfId="0" applyNumberFormat="1" applyFont="1" applyAlignment="1">
      <alignment wrapText="1"/>
    </xf>
    <xf numFmtId="0" fontId="0" fillId="42" borderId="2" xfId="0" applyFill="1" applyBorder="1"/>
    <xf numFmtId="2" fontId="14" fillId="0" borderId="0" xfId="0" applyNumberFormat="1" applyFont="1"/>
    <xf numFmtId="4" fontId="14" fillId="0" borderId="0" xfId="0" applyNumberFormat="1" applyFont="1"/>
    <xf numFmtId="0" fontId="14" fillId="67" borderId="2" xfId="0" applyFont="1" applyFill="1" applyBorder="1"/>
    <xf numFmtId="4" fontId="42" fillId="0" borderId="0" xfId="0" applyNumberFormat="1" applyFont="1"/>
    <xf numFmtId="4" fontId="8" fillId="0" borderId="0" xfId="0" applyNumberFormat="1" applyFont="1"/>
    <xf numFmtId="2" fontId="42" fillId="0" borderId="0" xfId="0" applyNumberFormat="1" applyFont="1"/>
    <xf numFmtId="0" fontId="14" fillId="63" borderId="2" xfId="0" applyFont="1" applyFill="1" applyBorder="1"/>
    <xf numFmtId="1" fontId="42" fillId="0" borderId="0" xfId="0" applyNumberFormat="1" applyFont="1"/>
    <xf numFmtId="0" fontId="50" fillId="0" borderId="0" xfId="0" applyFont="1"/>
    <xf numFmtId="0" fontId="0" fillId="67" borderId="2" xfId="0" applyFill="1" applyBorder="1"/>
    <xf numFmtId="49" fontId="8" fillId="0" borderId="0" xfId="0" applyNumberFormat="1" applyFont="1"/>
    <xf numFmtId="0" fontId="10" fillId="0" borderId="0" xfId="1" applyFill="1" applyBorder="1"/>
    <xf numFmtId="0" fontId="51" fillId="0" borderId="0" xfId="0" applyFont="1"/>
    <xf numFmtId="49" fontId="8" fillId="0" borderId="1" xfId="0" applyNumberFormat="1" applyFont="1" applyBorder="1"/>
    <xf numFmtId="49" fontId="8" fillId="0" borderId="1" xfId="0" applyNumberFormat="1" applyFont="1" applyBorder="1" applyAlignment="1">
      <alignment wrapText="1"/>
    </xf>
    <xf numFmtId="0" fontId="43" fillId="0" borderId="0" xfId="0" applyFont="1"/>
    <xf numFmtId="0" fontId="8" fillId="0" borderId="15" xfId="0" applyFont="1" applyBorder="1"/>
    <xf numFmtId="0" fontId="49" fillId="0" borderId="0" xfId="0" applyFont="1"/>
    <xf numFmtId="49" fontId="0" fillId="14" borderId="15" xfId="0" applyNumberFormat="1" applyFill="1" applyBorder="1" applyAlignment="1">
      <alignment wrapText="1"/>
    </xf>
    <xf numFmtId="49" fontId="42" fillId="0" borderId="0" xfId="0" applyNumberFormat="1" applyFont="1" applyAlignment="1">
      <alignment wrapText="1"/>
    </xf>
    <xf numFmtId="0" fontId="7" fillId="0" borderId="0" xfId="0" applyFont="1"/>
    <xf numFmtId="0" fontId="6" fillId="0" borderId="0" xfId="0" applyFont="1"/>
    <xf numFmtId="49" fontId="6" fillId="14" borderId="0" xfId="0" applyNumberFormat="1" applyFont="1" applyFill="1" applyAlignment="1">
      <alignment wrapText="1"/>
    </xf>
    <xf numFmtId="0" fontId="6" fillId="0" borderId="1" xfId="0" applyFont="1" applyBorder="1"/>
    <xf numFmtId="0" fontId="4" fillId="0" borderId="0" xfId="0" applyFont="1"/>
    <xf numFmtId="49" fontId="5" fillId="14" borderId="0" xfId="0" applyNumberFormat="1" applyFont="1" applyFill="1" applyAlignment="1">
      <alignment wrapText="1"/>
    </xf>
    <xf numFmtId="0" fontId="11" fillId="0" borderId="15" xfId="0" applyFont="1" applyBorder="1"/>
    <xf numFmtId="0" fontId="3" fillId="0" borderId="0" xfId="0" applyFont="1"/>
    <xf numFmtId="0" fontId="3" fillId="0" borderId="2" xfId="0" applyFont="1" applyBorder="1"/>
    <xf numFmtId="49" fontId="3" fillId="0" borderId="0" xfId="0" applyNumberFormat="1" applyFont="1"/>
    <xf numFmtId="2" fontId="25" fillId="0" borderId="0" xfId="0" applyNumberFormat="1" applyFont="1" applyAlignment="1">
      <alignment horizontal="center"/>
    </xf>
    <xf numFmtId="0" fontId="11" fillId="0" borderId="0" xfId="0" applyFont="1" applyAlignment="1">
      <alignment horizontal="left"/>
    </xf>
    <xf numFmtId="0" fontId="24" fillId="0" borderId="0" xfId="0" applyFont="1" applyAlignment="1">
      <alignment horizontal="center"/>
    </xf>
    <xf numFmtId="49" fontId="3" fillId="0" borderId="0" xfId="0" applyNumberFormat="1" applyFont="1" applyAlignment="1">
      <alignment wrapText="1"/>
    </xf>
    <xf numFmtId="0" fontId="3" fillId="0" borderId="1" xfId="0" applyFont="1" applyBorder="1"/>
    <xf numFmtId="0" fontId="25" fillId="0" borderId="0" xfId="0" applyFont="1" applyAlignment="1">
      <alignment horizontal="center"/>
    </xf>
    <xf numFmtId="0" fontId="0" fillId="0" borderId="0" xfId="0" applyAlignment="1">
      <alignment horizontal="left"/>
    </xf>
    <xf numFmtId="49" fontId="3" fillId="0" borderId="1" xfId="0" applyNumberFormat="1" applyFont="1" applyBorder="1"/>
    <xf numFmtId="166" fontId="11" fillId="0" borderId="0" xfId="0" applyNumberFormat="1" applyFont="1"/>
    <xf numFmtId="166" fontId="0" fillId="0" borderId="0" xfId="0" applyNumberFormat="1"/>
    <xf numFmtId="0" fontId="23" fillId="0" borderId="0" xfId="0" applyFont="1" applyAlignment="1">
      <alignment horizontal="left"/>
    </xf>
    <xf numFmtId="3" fontId="24" fillId="0" borderId="0" xfId="0" applyNumberFormat="1" applyFont="1" applyAlignment="1">
      <alignment horizontal="right"/>
    </xf>
    <xf numFmtId="0" fontId="3" fillId="0" borderId="0" xfId="0" applyFont="1" applyAlignment="1">
      <alignment wrapText="1"/>
    </xf>
    <xf numFmtId="0" fontId="55" fillId="0" borderId="0" xfId="0" applyFont="1"/>
    <xf numFmtId="0" fontId="12" fillId="0" borderId="0" xfId="0" applyFont="1"/>
    <xf numFmtId="0" fontId="2" fillId="0" borderId="0" xfId="0" applyFont="1"/>
    <xf numFmtId="0" fontId="3" fillId="0" borderId="15" xfId="0" applyFont="1" applyBorder="1"/>
    <xf numFmtId="49" fontId="20" fillId="0" borderId="15" xfId="0" applyNumberFormat="1" applyFont="1" applyBorder="1" applyAlignment="1">
      <alignment wrapText="1"/>
    </xf>
    <xf numFmtId="0" fontId="0" fillId="0" borderId="0" xfId="0" applyAlignment="1">
      <alignment horizontal="center"/>
    </xf>
    <xf numFmtId="0" fontId="0" fillId="0" borderId="0" xfId="0" applyAlignment="1">
      <alignment horizontal="center" wrapText="1"/>
    </xf>
    <xf numFmtId="0" fontId="14" fillId="0" borderId="0" xfId="0" applyFont="1" applyAlignment="1">
      <alignment horizontal="center"/>
    </xf>
  </cellXfs>
  <cellStyles count="3">
    <cellStyle name="Hyperlink" xfId="1" builtinId="8"/>
    <cellStyle name="Normal" xfId="0" builtinId="0"/>
    <cellStyle name="Normal 2" xfId="2" xr:uid="{418F03ED-F283-C94E-BADD-E0877E52EFE1}"/>
  </cellStyles>
  <dxfs count="216">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emf"/><Relationship Id="rId18" Type="http://schemas.openxmlformats.org/officeDocument/2006/relationships/image" Target="../media/image18.png"/><Relationship Id="rId26" Type="http://schemas.openxmlformats.org/officeDocument/2006/relationships/image" Target="../media/image26.emf"/><Relationship Id="rId39" Type="http://schemas.openxmlformats.org/officeDocument/2006/relationships/image" Target="../media/image39.emf"/><Relationship Id="rId21" Type="http://schemas.openxmlformats.org/officeDocument/2006/relationships/image" Target="../media/image21.emf"/><Relationship Id="rId34" Type="http://schemas.openxmlformats.org/officeDocument/2006/relationships/image" Target="../media/image34.emf"/><Relationship Id="rId7" Type="http://schemas.openxmlformats.org/officeDocument/2006/relationships/image" Target="../media/image7.emf"/><Relationship Id="rId2" Type="http://schemas.openxmlformats.org/officeDocument/2006/relationships/image" Target="../media/image2.emf"/><Relationship Id="rId16" Type="http://schemas.openxmlformats.org/officeDocument/2006/relationships/image" Target="../media/image16.png"/><Relationship Id="rId20" Type="http://schemas.openxmlformats.org/officeDocument/2006/relationships/image" Target="../media/image20.emf"/><Relationship Id="rId29" Type="http://schemas.openxmlformats.org/officeDocument/2006/relationships/image" Target="../media/image29.emf"/><Relationship Id="rId41" Type="http://schemas.openxmlformats.org/officeDocument/2006/relationships/image" Target="../media/image41.emf"/><Relationship Id="rId1" Type="http://schemas.openxmlformats.org/officeDocument/2006/relationships/image" Target="../media/image1.emf"/><Relationship Id="rId6" Type="http://schemas.openxmlformats.org/officeDocument/2006/relationships/image" Target="../media/image6.emf"/><Relationship Id="rId11" Type="http://schemas.openxmlformats.org/officeDocument/2006/relationships/image" Target="../media/image11.png"/><Relationship Id="rId24" Type="http://schemas.openxmlformats.org/officeDocument/2006/relationships/image" Target="../media/image24.emf"/><Relationship Id="rId32" Type="http://schemas.openxmlformats.org/officeDocument/2006/relationships/image" Target="../media/image32.emf"/><Relationship Id="rId37" Type="http://schemas.openxmlformats.org/officeDocument/2006/relationships/image" Target="../media/image37.emf"/><Relationship Id="rId40" Type="http://schemas.openxmlformats.org/officeDocument/2006/relationships/image" Target="../media/image40.emf"/><Relationship Id="rId5" Type="http://schemas.openxmlformats.org/officeDocument/2006/relationships/image" Target="../media/image5.emf"/><Relationship Id="rId15" Type="http://schemas.openxmlformats.org/officeDocument/2006/relationships/image" Target="../media/image15.emf"/><Relationship Id="rId23" Type="http://schemas.openxmlformats.org/officeDocument/2006/relationships/image" Target="../media/image23.emf"/><Relationship Id="rId28" Type="http://schemas.openxmlformats.org/officeDocument/2006/relationships/image" Target="../media/image28.emf"/><Relationship Id="rId36" Type="http://schemas.openxmlformats.org/officeDocument/2006/relationships/image" Target="../media/image36.png"/><Relationship Id="rId10" Type="http://schemas.openxmlformats.org/officeDocument/2006/relationships/image" Target="../media/image10.emf"/><Relationship Id="rId19" Type="http://schemas.openxmlformats.org/officeDocument/2006/relationships/image" Target="../media/image19.emf"/><Relationship Id="rId31" Type="http://schemas.openxmlformats.org/officeDocument/2006/relationships/image" Target="../media/image31.emf"/><Relationship Id="rId4" Type="http://schemas.openxmlformats.org/officeDocument/2006/relationships/image" Target="../media/image4.emf"/><Relationship Id="rId9" Type="http://schemas.openxmlformats.org/officeDocument/2006/relationships/image" Target="../media/image9.emf"/><Relationship Id="rId14" Type="http://schemas.openxmlformats.org/officeDocument/2006/relationships/image" Target="../media/image14.emf"/><Relationship Id="rId22" Type="http://schemas.openxmlformats.org/officeDocument/2006/relationships/image" Target="../media/image22.emf"/><Relationship Id="rId27" Type="http://schemas.openxmlformats.org/officeDocument/2006/relationships/image" Target="../media/image27.emf"/><Relationship Id="rId30" Type="http://schemas.openxmlformats.org/officeDocument/2006/relationships/image" Target="../media/image30.emf"/><Relationship Id="rId35" Type="http://schemas.openxmlformats.org/officeDocument/2006/relationships/image" Target="../media/image35.emf"/><Relationship Id="rId8" Type="http://schemas.openxmlformats.org/officeDocument/2006/relationships/image" Target="../media/image8.emf"/><Relationship Id="rId3" Type="http://schemas.openxmlformats.org/officeDocument/2006/relationships/image" Target="../media/image3.emf"/><Relationship Id="rId12" Type="http://schemas.openxmlformats.org/officeDocument/2006/relationships/image" Target="../media/image12.emf"/><Relationship Id="rId17" Type="http://schemas.openxmlformats.org/officeDocument/2006/relationships/image" Target="../media/image17.emf"/><Relationship Id="rId25" Type="http://schemas.openxmlformats.org/officeDocument/2006/relationships/image" Target="../media/image25.emf"/><Relationship Id="rId33" Type="http://schemas.openxmlformats.org/officeDocument/2006/relationships/image" Target="../media/image33.emf"/><Relationship Id="rId38" Type="http://schemas.openxmlformats.org/officeDocument/2006/relationships/image" Target="../media/image3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389</xdr:row>
      <xdr:rowOff>32658</xdr:rowOff>
    </xdr:from>
    <xdr:to>
      <xdr:col>10</xdr:col>
      <xdr:colOff>815340</xdr:colOff>
      <xdr:row>414</xdr:row>
      <xdr:rowOff>185057</xdr:rowOff>
    </xdr:to>
    <xdr:pic>
      <xdr:nvPicPr>
        <xdr:cNvPr id="2" name="Image 36">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tretch/>
      </xdr:blipFill>
      <xdr:spPr bwMode="auto">
        <a:xfrm>
          <a:off x="0" y="79077458"/>
          <a:ext cx="9070340" cy="5232399"/>
        </a:xfrm>
        <a:prstGeom prst="rect">
          <a:avLst/>
        </a:prstGeom>
        <a:noFill/>
      </xdr:spPr>
    </xdr:pic>
    <xdr:clientData/>
  </xdr:twoCellAnchor>
  <xdr:twoCellAnchor editAs="oneCell">
    <xdr:from>
      <xdr:col>0</xdr:col>
      <xdr:colOff>152400</xdr:colOff>
      <xdr:row>2</xdr:row>
      <xdr:rowOff>15240</xdr:rowOff>
    </xdr:from>
    <xdr:to>
      <xdr:col>6</xdr:col>
      <xdr:colOff>517372</xdr:colOff>
      <xdr:row>14</xdr:row>
      <xdr:rowOff>144780</xdr:rowOff>
    </xdr:to>
    <xdr:pic>
      <xdr:nvPicPr>
        <xdr:cNvPr id="3" name="Image 1">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stretch/>
      </xdr:blipFill>
      <xdr:spPr bwMode="auto">
        <a:xfrm>
          <a:off x="152400" y="421640"/>
          <a:ext cx="5317972" cy="2567940"/>
        </a:xfrm>
        <a:prstGeom prst="rect">
          <a:avLst/>
        </a:prstGeom>
        <a:noFill/>
      </xdr:spPr>
    </xdr:pic>
    <xdr:clientData/>
  </xdr:twoCellAnchor>
  <xdr:twoCellAnchor editAs="oneCell">
    <xdr:from>
      <xdr:col>0</xdr:col>
      <xdr:colOff>68580</xdr:colOff>
      <xdr:row>17</xdr:row>
      <xdr:rowOff>45720</xdr:rowOff>
    </xdr:from>
    <xdr:to>
      <xdr:col>4</xdr:col>
      <xdr:colOff>618314</xdr:colOff>
      <xdr:row>28</xdr:row>
      <xdr:rowOff>167640</xdr:rowOff>
    </xdr:to>
    <xdr:pic>
      <xdr:nvPicPr>
        <xdr:cNvPr id="4" name="Image 2">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stretch/>
      </xdr:blipFill>
      <xdr:spPr bwMode="auto">
        <a:xfrm>
          <a:off x="68580" y="3500120"/>
          <a:ext cx="3851735" cy="2357120"/>
        </a:xfrm>
        <a:prstGeom prst="rect">
          <a:avLst/>
        </a:prstGeom>
        <a:noFill/>
      </xdr:spPr>
    </xdr:pic>
    <xdr:clientData/>
  </xdr:twoCellAnchor>
  <xdr:twoCellAnchor editAs="oneCell">
    <xdr:from>
      <xdr:col>0</xdr:col>
      <xdr:colOff>327659</xdr:colOff>
      <xdr:row>24</xdr:row>
      <xdr:rowOff>83820</xdr:rowOff>
    </xdr:from>
    <xdr:to>
      <xdr:col>4</xdr:col>
      <xdr:colOff>483974</xdr:colOff>
      <xdr:row>34</xdr:row>
      <xdr:rowOff>175260</xdr:rowOff>
    </xdr:to>
    <xdr:pic>
      <xdr:nvPicPr>
        <xdr:cNvPr id="5" name="Image 3">
          <a:extLst>
            <a:ext uri="{FF2B5EF4-FFF2-40B4-BE49-F238E27FC236}">
              <a16:creationId xmlns:a16="http://schemas.microsoft.com/office/drawing/2014/main" id="{00000000-0008-0000-0500-000005000000}"/>
            </a:ext>
          </a:extLst>
        </xdr:cNvPr>
        <xdr:cNvPicPr>
          <a:picLocks noChangeAspect="1" noChangeArrowheads="1"/>
        </xdr:cNvPicPr>
      </xdr:nvPicPr>
      <xdr:blipFill>
        <a:blip xmlns:r="http://schemas.openxmlformats.org/officeDocument/2006/relationships" r:embed="rId4"/>
        <a:stretch/>
      </xdr:blipFill>
      <xdr:spPr bwMode="auto">
        <a:xfrm>
          <a:off x="327660" y="4960620"/>
          <a:ext cx="3458315" cy="2123440"/>
        </a:xfrm>
        <a:prstGeom prst="rect">
          <a:avLst/>
        </a:prstGeom>
        <a:noFill/>
      </xdr:spPr>
    </xdr:pic>
    <xdr:clientData/>
  </xdr:twoCellAnchor>
  <xdr:twoCellAnchor editAs="oneCell">
    <xdr:from>
      <xdr:col>1</xdr:col>
      <xdr:colOff>534720</xdr:colOff>
      <xdr:row>18</xdr:row>
      <xdr:rowOff>15240</xdr:rowOff>
    </xdr:from>
    <xdr:to>
      <xdr:col>7</xdr:col>
      <xdr:colOff>640080</xdr:colOff>
      <xdr:row>33</xdr:row>
      <xdr:rowOff>91440</xdr:rowOff>
    </xdr:to>
    <xdr:pic>
      <xdr:nvPicPr>
        <xdr:cNvPr id="6" name="Image 4">
          <a:extLst>
            <a:ext uri="{FF2B5EF4-FFF2-40B4-BE49-F238E27FC236}">
              <a16:creationId xmlns:a16="http://schemas.microsoft.com/office/drawing/2014/main" id="{00000000-0008-0000-0500-000006000000}"/>
            </a:ext>
          </a:extLst>
        </xdr:cNvPr>
        <xdr:cNvPicPr>
          <a:picLocks noChangeAspect="1" noChangeArrowheads="1"/>
        </xdr:cNvPicPr>
      </xdr:nvPicPr>
      <xdr:blipFill>
        <a:blip xmlns:r="http://schemas.openxmlformats.org/officeDocument/2006/relationships" r:embed="rId5"/>
        <a:stretch/>
      </xdr:blipFill>
      <xdr:spPr bwMode="auto">
        <a:xfrm>
          <a:off x="1360220" y="3672839"/>
          <a:ext cx="5058360" cy="3124200"/>
        </a:xfrm>
        <a:prstGeom prst="rect">
          <a:avLst/>
        </a:prstGeom>
        <a:noFill/>
      </xdr:spPr>
    </xdr:pic>
    <xdr:clientData/>
  </xdr:twoCellAnchor>
  <xdr:twoCellAnchor editAs="oneCell">
    <xdr:from>
      <xdr:col>0</xdr:col>
      <xdr:colOff>0</xdr:colOff>
      <xdr:row>37</xdr:row>
      <xdr:rowOff>0</xdr:rowOff>
    </xdr:from>
    <xdr:to>
      <xdr:col>5</xdr:col>
      <xdr:colOff>785762</xdr:colOff>
      <xdr:row>49</xdr:row>
      <xdr:rowOff>15240</xdr:rowOff>
    </xdr:to>
    <xdr:pic>
      <xdr:nvPicPr>
        <xdr:cNvPr id="7" name="Image 5">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6"/>
        <a:stretch/>
      </xdr:blipFill>
      <xdr:spPr bwMode="auto">
        <a:xfrm>
          <a:off x="0" y="7518400"/>
          <a:ext cx="4913262" cy="2453640"/>
        </a:xfrm>
        <a:prstGeom prst="rect">
          <a:avLst/>
        </a:prstGeom>
        <a:noFill/>
      </xdr:spPr>
    </xdr:pic>
    <xdr:clientData/>
  </xdr:twoCellAnchor>
  <xdr:twoCellAnchor editAs="oneCell">
    <xdr:from>
      <xdr:col>1</xdr:col>
      <xdr:colOff>76200</xdr:colOff>
      <xdr:row>40</xdr:row>
      <xdr:rowOff>53340</xdr:rowOff>
    </xdr:from>
    <xdr:to>
      <xdr:col>7</xdr:col>
      <xdr:colOff>1272</xdr:colOff>
      <xdr:row>62</xdr:row>
      <xdr:rowOff>114300</xdr:rowOff>
    </xdr:to>
    <xdr:pic>
      <xdr:nvPicPr>
        <xdr:cNvPr id="8" name="Image 6">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7"/>
        <a:stretch/>
      </xdr:blipFill>
      <xdr:spPr bwMode="auto">
        <a:xfrm>
          <a:off x="901700" y="8181340"/>
          <a:ext cx="4878073" cy="4531360"/>
        </a:xfrm>
        <a:prstGeom prst="rect">
          <a:avLst/>
        </a:prstGeom>
        <a:noFill/>
      </xdr:spPr>
    </xdr:pic>
    <xdr:clientData/>
  </xdr:twoCellAnchor>
  <xdr:twoCellAnchor editAs="oneCell">
    <xdr:from>
      <xdr:col>1</xdr:col>
      <xdr:colOff>7620</xdr:colOff>
      <xdr:row>64</xdr:row>
      <xdr:rowOff>129538</xdr:rowOff>
    </xdr:from>
    <xdr:to>
      <xdr:col>4</xdr:col>
      <xdr:colOff>265824</xdr:colOff>
      <xdr:row>86</xdr:row>
      <xdr:rowOff>91440</xdr:rowOff>
    </xdr:to>
    <xdr:pic>
      <xdr:nvPicPr>
        <xdr:cNvPr id="9" name="Image 7">
          <a:extLst>
            <a:ext uri="{FF2B5EF4-FFF2-40B4-BE49-F238E27FC236}">
              <a16:creationId xmlns:a16="http://schemas.microsoft.com/office/drawing/2014/main" id="{00000000-0008-0000-0500-000009000000}"/>
            </a:ext>
          </a:extLst>
        </xdr:cNvPr>
        <xdr:cNvPicPr>
          <a:picLocks noChangeAspect="1" noChangeArrowheads="1"/>
        </xdr:cNvPicPr>
      </xdr:nvPicPr>
      <xdr:blipFill>
        <a:blip xmlns:r="http://schemas.openxmlformats.org/officeDocument/2006/relationships" r:embed="rId8"/>
        <a:stretch/>
      </xdr:blipFill>
      <xdr:spPr bwMode="auto">
        <a:xfrm>
          <a:off x="833120" y="13134340"/>
          <a:ext cx="2734704" cy="4432300"/>
        </a:xfrm>
        <a:prstGeom prst="rect">
          <a:avLst/>
        </a:prstGeom>
        <a:noFill/>
      </xdr:spPr>
    </xdr:pic>
    <xdr:clientData/>
  </xdr:twoCellAnchor>
  <xdr:twoCellAnchor editAs="oneCell">
    <xdr:from>
      <xdr:col>1</xdr:col>
      <xdr:colOff>350520</xdr:colOff>
      <xdr:row>1</xdr:row>
      <xdr:rowOff>68580</xdr:rowOff>
    </xdr:from>
    <xdr:to>
      <xdr:col>6</xdr:col>
      <xdr:colOff>144780</xdr:colOff>
      <xdr:row>15</xdr:row>
      <xdr:rowOff>91314</xdr:rowOff>
    </xdr:to>
    <xdr:pic>
      <xdr:nvPicPr>
        <xdr:cNvPr id="10" name="Image 8">
          <a:extLst>
            <a:ext uri="{FF2B5EF4-FFF2-40B4-BE49-F238E27FC236}">
              <a16:creationId xmlns:a16="http://schemas.microsoft.com/office/drawing/2014/main" id="{00000000-0008-0000-0500-00000A000000}"/>
            </a:ext>
          </a:extLst>
        </xdr:cNvPr>
        <xdr:cNvPicPr>
          <a:picLocks noChangeAspect="1" noChangeArrowheads="1"/>
        </xdr:cNvPicPr>
      </xdr:nvPicPr>
      <xdr:blipFill>
        <a:blip xmlns:r="http://schemas.openxmlformats.org/officeDocument/2006/relationships" r:embed="rId9"/>
        <a:stretch/>
      </xdr:blipFill>
      <xdr:spPr bwMode="auto">
        <a:xfrm>
          <a:off x="1176020" y="271780"/>
          <a:ext cx="3921760" cy="2867535"/>
        </a:xfrm>
        <a:prstGeom prst="rect">
          <a:avLst/>
        </a:prstGeom>
        <a:noFill/>
      </xdr:spPr>
    </xdr:pic>
    <xdr:clientData/>
  </xdr:twoCellAnchor>
  <xdr:twoCellAnchor editAs="oneCell">
    <xdr:from>
      <xdr:col>0</xdr:col>
      <xdr:colOff>304800</xdr:colOff>
      <xdr:row>125</xdr:row>
      <xdr:rowOff>137160</xdr:rowOff>
    </xdr:from>
    <xdr:to>
      <xdr:col>4</xdr:col>
      <xdr:colOff>510540</xdr:colOff>
      <xdr:row>139</xdr:row>
      <xdr:rowOff>106680</xdr:rowOff>
    </xdr:to>
    <xdr:pic>
      <xdr:nvPicPr>
        <xdr:cNvPr id="11" name="Image 10">
          <a:extLst>
            <a:ext uri="{FF2B5EF4-FFF2-40B4-BE49-F238E27FC236}">
              <a16:creationId xmlns:a16="http://schemas.microsoft.com/office/drawing/2014/main" id="{00000000-0008-0000-0500-00000B000000}"/>
            </a:ext>
          </a:extLst>
        </xdr:cNvPr>
        <xdr:cNvPicPr>
          <a:picLocks noChangeAspect="1" noChangeArrowheads="1"/>
        </xdr:cNvPicPr>
      </xdr:nvPicPr>
      <xdr:blipFill>
        <a:blip xmlns:r="http://schemas.openxmlformats.org/officeDocument/2006/relationships" r:embed="rId10"/>
        <a:stretch/>
      </xdr:blipFill>
      <xdr:spPr bwMode="auto">
        <a:xfrm>
          <a:off x="304800" y="25537160"/>
          <a:ext cx="3507740" cy="2814320"/>
        </a:xfrm>
        <a:prstGeom prst="rect">
          <a:avLst/>
        </a:prstGeom>
        <a:noFill/>
      </xdr:spPr>
    </xdr:pic>
    <xdr:clientData/>
  </xdr:twoCellAnchor>
  <xdr:twoCellAnchor editAs="oneCell">
    <xdr:from>
      <xdr:col>0</xdr:col>
      <xdr:colOff>365760</xdr:colOff>
      <xdr:row>127</xdr:row>
      <xdr:rowOff>190500</xdr:rowOff>
    </xdr:from>
    <xdr:to>
      <xdr:col>5</xdr:col>
      <xdr:colOff>198121</xdr:colOff>
      <xdr:row>142</xdr:row>
      <xdr:rowOff>89251</xdr:rowOff>
    </xdr:to>
    <xdr:pic>
      <xdr:nvPicPr>
        <xdr:cNvPr id="12" name="Image 11">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11"/>
        <a:stretch/>
      </xdr:blipFill>
      <xdr:spPr bwMode="auto">
        <a:xfrm>
          <a:off x="365761" y="25996900"/>
          <a:ext cx="3959860" cy="2946751"/>
        </a:xfrm>
        <a:prstGeom prst="rect">
          <a:avLst/>
        </a:prstGeom>
      </xdr:spPr>
    </xdr:pic>
    <xdr:clientData/>
  </xdr:twoCellAnchor>
  <xdr:twoCellAnchor editAs="oneCell">
    <xdr:from>
      <xdr:col>1</xdr:col>
      <xdr:colOff>304800</xdr:colOff>
      <xdr:row>129</xdr:row>
      <xdr:rowOff>38100</xdr:rowOff>
    </xdr:from>
    <xdr:to>
      <xdr:col>5</xdr:col>
      <xdr:colOff>601980</xdr:colOff>
      <xdr:row>142</xdr:row>
      <xdr:rowOff>160020</xdr:rowOff>
    </xdr:to>
    <xdr:pic>
      <xdr:nvPicPr>
        <xdr:cNvPr id="13" name="Image 12">
          <a:extLst>
            <a:ext uri="{FF2B5EF4-FFF2-40B4-BE49-F238E27FC236}">
              <a16:creationId xmlns:a16="http://schemas.microsoft.com/office/drawing/2014/main" id="{00000000-0008-0000-0500-00000D000000}"/>
            </a:ext>
          </a:extLst>
        </xdr:cNvPr>
        <xdr:cNvPicPr>
          <a:picLocks noChangeAspect="1" noChangeArrowheads="1"/>
        </xdr:cNvPicPr>
      </xdr:nvPicPr>
      <xdr:blipFill>
        <a:blip xmlns:r="http://schemas.openxmlformats.org/officeDocument/2006/relationships" r:embed="rId12"/>
        <a:stretch/>
      </xdr:blipFill>
      <xdr:spPr bwMode="auto">
        <a:xfrm>
          <a:off x="1130300" y="26250900"/>
          <a:ext cx="3599180" cy="2763520"/>
        </a:xfrm>
        <a:prstGeom prst="rect">
          <a:avLst/>
        </a:prstGeom>
        <a:noFill/>
      </xdr:spPr>
    </xdr:pic>
    <xdr:clientData/>
  </xdr:twoCellAnchor>
  <xdr:twoCellAnchor editAs="oneCell">
    <xdr:from>
      <xdr:col>1</xdr:col>
      <xdr:colOff>228600</xdr:colOff>
      <xdr:row>130</xdr:row>
      <xdr:rowOff>167640</xdr:rowOff>
    </xdr:from>
    <xdr:to>
      <xdr:col>5</xdr:col>
      <xdr:colOff>495299</xdr:colOff>
      <xdr:row>143</xdr:row>
      <xdr:rowOff>190500</xdr:rowOff>
    </xdr:to>
    <xdr:pic>
      <xdr:nvPicPr>
        <xdr:cNvPr id="14" name="Image 13">
          <a:extLst>
            <a:ext uri="{FF2B5EF4-FFF2-40B4-BE49-F238E27FC236}">
              <a16:creationId xmlns:a16="http://schemas.microsoft.com/office/drawing/2014/main" id="{00000000-0008-0000-0500-00000E000000}"/>
            </a:ext>
          </a:extLst>
        </xdr:cNvPr>
        <xdr:cNvPicPr>
          <a:picLocks noChangeAspect="1" noChangeArrowheads="1"/>
        </xdr:cNvPicPr>
      </xdr:nvPicPr>
      <xdr:blipFill>
        <a:blip xmlns:r="http://schemas.openxmlformats.org/officeDocument/2006/relationships" r:embed="rId13"/>
        <a:stretch/>
      </xdr:blipFill>
      <xdr:spPr bwMode="auto">
        <a:xfrm>
          <a:off x="1054100" y="26583640"/>
          <a:ext cx="3568700" cy="2664459"/>
        </a:xfrm>
        <a:prstGeom prst="rect">
          <a:avLst/>
        </a:prstGeom>
        <a:noFill/>
      </xdr:spPr>
    </xdr:pic>
    <xdr:clientData/>
  </xdr:twoCellAnchor>
  <xdr:twoCellAnchor editAs="oneCell">
    <xdr:from>
      <xdr:col>0</xdr:col>
      <xdr:colOff>541019</xdr:colOff>
      <xdr:row>121</xdr:row>
      <xdr:rowOff>76200</xdr:rowOff>
    </xdr:from>
    <xdr:to>
      <xdr:col>4</xdr:col>
      <xdr:colOff>777240</xdr:colOff>
      <xdr:row>134</xdr:row>
      <xdr:rowOff>38100</xdr:rowOff>
    </xdr:to>
    <xdr:pic>
      <xdr:nvPicPr>
        <xdr:cNvPr id="15" name="Image 9">
          <a:extLst>
            <a:ext uri="{FF2B5EF4-FFF2-40B4-BE49-F238E27FC236}">
              <a16:creationId xmlns:a16="http://schemas.microsoft.com/office/drawing/2014/main" id="{00000000-0008-0000-0500-00000F000000}"/>
            </a:ext>
          </a:extLst>
        </xdr:cNvPr>
        <xdr:cNvPicPr>
          <a:picLocks noChangeAspect="1" noChangeArrowheads="1"/>
        </xdr:cNvPicPr>
      </xdr:nvPicPr>
      <xdr:blipFill>
        <a:blip xmlns:r="http://schemas.openxmlformats.org/officeDocument/2006/relationships" r:embed="rId14"/>
        <a:stretch/>
      </xdr:blipFill>
      <xdr:spPr bwMode="auto">
        <a:xfrm>
          <a:off x="541020" y="24663400"/>
          <a:ext cx="3538220" cy="2603500"/>
        </a:xfrm>
        <a:prstGeom prst="rect">
          <a:avLst/>
        </a:prstGeom>
        <a:noFill/>
      </xdr:spPr>
    </xdr:pic>
    <xdr:clientData/>
  </xdr:twoCellAnchor>
  <xdr:twoCellAnchor editAs="oneCell">
    <xdr:from>
      <xdr:col>0</xdr:col>
      <xdr:colOff>104776</xdr:colOff>
      <xdr:row>147</xdr:row>
      <xdr:rowOff>57150</xdr:rowOff>
    </xdr:from>
    <xdr:to>
      <xdr:col>5</xdr:col>
      <xdr:colOff>554668</xdr:colOff>
      <xdr:row>158</xdr:row>
      <xdr:rowOff>180975</xdr:rowOff>
    </xdr:to>
    <xdr:pic>
      <xdr:nvPicPr>
        <xdr:cNvPr id="16" name="Image 14">
          <a:extLst>
            <a:ext uri="{FF2B5EF4-FFF2-40B4-BE49-F238E27FC236}">
              <a16:creationId xmlns:a16="http://schemas.microsoft.com/office/drawing/2014/main" id="{00000000-0008-0000-0500-000010000000}"/>
            </a:ext>
          </a:extLst>
        </xdr:cNvPr>
        <xdr:cNvPicPr>
          <a:picLocks noChangeAspect="1" noChangeArrowheads="1"/>
        </xdr:cNvPicPr>
      </xdr:nvPicPr>
      <xdr:blipFill>
        <a:blip xmlns:r="http://schemas.openxmlformats.org/officeDocument/2006/relationships" r:embed="rId15"/>
        <a:stretch/>
      </xdr:blipFill>
      <xdr:spPr bwMode="auto">
        <a:xfrm>
          <a:off x="104776" y="29927550"/>
          <a:ext cx="4577392" cy="2359025"/>
        </a:xfrm>
        <a:prstGeom prst="rect">
          <a:avLst/>
        </a:prstGeom>
        <a:noFill/>
      </xdr:spPr>
    </xdr:pic>
    <xdr:clientData/>
  </xdr:twoCellAnchor>
  <xdr:twoCellAnchor editAs="oneCell">
    <xdr:from>
      <xdr:col>0</xdr:col>
      <xdr:colOff>0</xdr:colOff>
      <xdr:row>161</xdr:row>
      <xdr:rowOff>95250</xdr:rowOff>
    </xdr:from>
    <xdr:to>
      <xdr:col>5</xdr:col>
      <xdr:colOff>617005</xdr:colOff>
      <xdr:row>170</xdr:row>
      <xdr:rowOff>9183</xdr:rowOff>
    </xdr:to>
    <xdr:pic>
      <xdr:nvPicPr>
        <xdr:cNvPr id="17" name="Image 15">
          <a:extLst>
            <a:ext uri="{FF2B5EF4-FFF2-40B4-BE49-F238E27FC236}">
              <a16:creationId xmlns:a16="http://schemas.microsoft.com/office/drawing/2014/main" id="{00000000-0008-0000-0500-000011000000}"/>
            </a:ext>
          </a:extLst>
        </xdr:cNvPr>
        <xdr:cNvPicPr>
          <a:picLocks noChangeAspect="1"/>
        </xdr:cNvPicPr>
      </xdr:nvPicPr>
      <xdr:blipFill>
        <a:blip xmlns:r="http://schemas.openxmlformats.org/officeDocument/2006/relationships" r:embed="rId16"/>
        <a:stretch/>
      </xdr:blipFill>
      <xdr:spPr bwMode="auto">
        <a:xfrm>
          <a:off x="0" y="32810450"/>
          <a:ext cx="4744505" cy="1742733"/>
        </a:xfrm>
        <a:prstGeom prst="rect">
          <a:avLst/>
        </a:prstGeom>
      </xdr:spPr>
    </xdr:pic>
    <xdr:clientData/>
  </xdr:twoCellAnchor>
  <xdr:twoCellAnchor editAs="oneCell">
    <xdr:from>
      <xdr:col>1</xdr:col>
      <xdr:colOff>818484</xdr:colOff>
      <xdr:row>194</xdr:row>
      <xdr:rowOff>43894</xdr:rowOff>
    </xdr:from>
    <xdr:to>
      <xdr:col>6</xdr:col>
      <xdr:colOff>402115</xdr:colOff>
      <xdr:row>205</xdr:row>
      <xdr:rowOff>171958</xdr:rowOff>
    </xdr:to>
    <xdr:pic>
      <xdr:nvPicPr>
        <xdr:cNvPr id="18" name="Image 16">
          <a:extLst>
            <a:ext uri="{FF2B5EF4-FFF2-40B4-BE49-F238E27FC236}">
              <a16:creationId xmlns:a16="http://schemas.microsoft.com/office/drawing/2014/main" id="{00000000-0008-0000-0500-000012000000}"/>
            </a:ext>
          </a:extLst>
        </xdr:cNvPr>
        <xdr:cNvPicPr>
          <a:picLocks noChangeAspect="1" noChangeArrowheads="1"/>
        </xdr:cNvPicPr>
      </xdr:nvPicPr>
      <xdr:blipFill>
        <a:blip xmlns:r="http://schemas.openxmlformats.org/officeDocument/2006/relationships" r:embed="rId17"/>
        <a:stretch/>
      </xdr:blipFill>
      <xdr:spPr bwMode="auto">
        <a:xfrm>
          <a:off x="1643984" y="39464694"/>
          <a:ext cx="3711130" cy="2363265"/>
        </a:xfrm>
        <a:prstGeom prst="rect">
          <a:avLst/>
        </a:prstGeom>
        <a:noFill/>
      </xdr:spPr>
    </xdr:pic>
    <xdr:clientData/>
  </xdr:twoCellAnchor>
  <xdr:twoCellAnchor editAs="oneCell">
    <xdr:from>
      <xdr:col>0</xdr:col>
      <xdr:colOff>746014</xdr:colOff>
      <xdr:row>194</xdr:row>
      <xdr:rowOff>147892</xdr:rowOff>
    </xdr:from>
    <xdr:to>
      <xdr:col>4</xdr:col>
      <xdr:colOff>293939</xdr:colOff>
      <xdr:row>207</xdr:row>
      <xdr:rowOff>128430</xdr:rowOff>
    </xdr:to>
    <xdr:pic>
      <xdr:nvPicPr>
        <xdr:cNvPr id="19" name="Image 17">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18"/>
        <a:stretch/>
      </xdr:blipFill>
      <xdr:spPr bwMode="auto">
        <a:xfrm>
          <a:off x="746014" y="39568692"/>
          <a:ext cx="2849925" cy="2622139"/>
        </a:xfrm>
        <a:prstGeom prst="rect">
          <a:avLst/>
        </a:prstGeom>
      </xdr:spPr>
    </xdr:pic>
    <xdr:clientData/>
  </xdr:twoCellAnchor>
  <xdr:twoCellAnchor editAs="oneCell">
    <xdr:from>
      <xdr:col>4</xdr:col>
      <xdr:colOff>579849</xdr:colOff>
      <xdr:row>197</xdr:row>
      <xdr:rowOff>189211</xdr:rowOff>
    </xdr:from>
    <xdr:to>
      <xdr:col>8</xdr:col>
      <xdr:colOff>668800</xdr:colOff>
      <xdr:row>214</xdr:row>
      <xdr:rowOff>141587</xdr:rowOff>
    </xdr:to>
    <xdr:pic>
      <xdr:nvPicPr>
        <xdr:cNvPr id="20" name="Image 18">
          <a:extLst>
            <a:ext uri="{FF2B5EF4-FFF2-40B4-BE49-F238E27FC236}">
              <a16:creationId xmlns:a16="http://schemas.microsoft.com/office/drawing/2014/main" id="{00000000-0008-0000-0500-000014000000}"/>
            </a:ext>
          </a:extLst>
        </xdr:cNvPr>
        <xdr:cNvPicPr>
          <a:picLocks noChangeAspect="1" noChangeArrowheads="1"/>
        </xdr:cNvPicPr>
      </xdr:nvPicPr>
      <xdr:blipFill>
        <a:blip xmlns:r="http://schemas.openxmlformats.org/officeDocument/2006/relationships" r:embed="rId19"/>
        <a:stretch/>
      </xdr:blipFill>
      <xdr:spPr bwMode="auto">
        <a:xfrm>
          <a:off x="3881849" y="40219612"/>
          <a:ext cx="3390952" cy="3406775"/>
        </a:xfrm>
        <a:prstGeom prst="rect">
          <a:avLst/>
        </a:prstGeom>
        <a:noFill/>
      </xdr:spPr>
    </xdr:pic>
    <xdr:clientData/>
  </xdr:twoCellAnchor>
  <xdr:twoCellAnchor editAs="oneCell">
    <xdr:from>
      <xdr:col>26</xdr:col>
      <xdr:colOff>549874</xdr:colOff>
      <xdr:row>197</xdr:row>
      <xdr:rowOff>95250</xdr:rowOff>
    </xdr:from>
    <xdr:to>
      <xdr:col>30</xdr:col>
      <xdr:colOff>18389</xdr:colOff>
      <xdr:row>214</xdr:row>
      <xdr:rowOff>152400</xdr:rowOff>
    </xdr:to>
    <xdr:pic>
      <xdr:nvPicPr>
        <xdr:cNvPr id="21" name="Image 19">
          <a:extLst>
            <a:ext uri="{FF2B5EF4-FFF2-40B4-BE49-F238E27FC236}">
              <a16:creationId xmlns:a16="http://schemas.microsoft.com/office/drawing/2014/main" id="{00000000-0008-0000-0500-000015000000}"/>
            </a:ext>
          </a:extLst>
        </xdr:cNvPr>
        <xdr:cNvPicPr>
          <a:picLocks noChangeAspect="1" noChangeArrowheads="1"/>
        </xdr:cNvPicPr>
      </xdr:nvPicPr>
      <xdr:blipFill>
        <a:blip xmlns:r="http://schemas.openxmlformats.org/officeDocument/2006/relationships" r:embed="rId20"/>
        <a:stretch/>
      </xdr:blipFill>
      <xdr:spPr bwMode="auto">
        <a:xfrm>
          <a:off x="21962074" y="40125649"/>
          <a:ext cx="3316615" cy="3511550"/>
        </a:xfrm>
        <a:prstGeom prst="rect">
          <a:avLst/>
        </a:prstGeom>
        <a:noFill/>
      </xdr:spPr>
    </xdr:pic>
    <xdr:clientData/>
  </xdr:twoCellAnchor>
  <xdr:twoCellAnchor editAs="oneCell">
    <xdr:from>
      <xdr:col>28</xdr:col>
      <xdr:colOff>593125</xdr:colOff>
      <xdr:row>197</xdr:row>
      <xdr:rowOff>19183</xdr:rowOff>
    </xdr:from>
    <xdr:to>
      <xdr:col>33</xdr:col>
      <xdr:colOff>119076</xdr:colOff>
      <xdr:row>212</xdr:row>
      <xdr:rowOff>128197</xdr:rowOff>
    </xdr:to>
    <xdr:pic>
      <xdr:nvPicPr>
        <xdr:cNvPr id="22" name="Image 20">
          <a:extLst>
            <a:ext uri="{FF2B5EF4-FFF2-40B4-BE49-F238E27FC236}">
              <a16:creationId xmlns:a16="http://schemas.microsoft.com/office/drawing/2014/main" id="{00000000-0008-0000-0500-000016000000}"/>
            </a:ext>
          </a:extLst>
        </xdr:cNvPr>
        <xdr:cNvPicPr>
          <a:picLocks noChangeAspect="1" noChangeArrowheads="1"/>
        </xdr:cNvPicPr>
      </xdr:nvPicPr>
      <xdr:blipFill>
        <a:blip xmlns:r="http://schemas.openxmlformats.org/officeDocument/2006/relationships" r:embed="rId21"/>
        <a:stretch/>
      </xdr:blipFill>
      <xdr:spPr bwMode="auto">
        <a:xfrm>
          <a:off x="23656325" y="40049583"/>
          <a:ext cx="4199551" cy="3157015"/>
        </a:xfrm>
        <a:prstGeom prst="rect">
          <a:avLst/>
        </a:prstGeom>
        <a:noFill/>
      </xdr:spPr>
    </xdr:pic>
    <xdr:clientData/>
  </xdr:twoCellAnchor>
  <xdr:twoCellAnchor editAs="oneCell">
    <xdr:from>
      <xdr:col>1</xdr:col>
      <xdr:colOff>0</xdr:colOff>
      <xdr:row>220</xdr:row>
      <xdr:rowOff>0</xdr:rowOff>
    </xdr:from>
    <xdr:to>
      <xdr:col>7</xdr:col>
      <xdr:colOff>520608</xdr:colOff>
      <xdr:row>243</xdr:row>
      <xdr:rowOff>160020</xdr:rowOff>
    </xdr:to>
    <xdr:pic>
      <xdr:nvPicPr>
        <xdr:cNvPr id="23" name="Image 21">
          <a:extLst>
            <a:ext uri="{FF2B5EF4-FFF2-40B4-BE49-F238E27FC236}">
              <a16:creationId xmlns:a16="http://schemas.microsoft.com/office/drawing/2014/main" id="{00000000-0008-0000-0500-000017000000}"/>
            </a:ext>
          </a:extLst>
        </xdr:cNvPr>
        <xdr:cNvPicPr>
          <a:picLocks noChangeAspect="1" noChangeArrowheads="1"/>
        </xdr:cNvPicPr>
      </xdr:nvPicPr>
      <xdr:blipFill>
        <a:blip xmlns:r="http://schemas.openxmlformats.org/officeDocument/2006/relationships" r:embed="rId22"/>
        <a:stretch/>
      </xdr:blipFill>
      <xdr:spPr bwMode="auto">
        <a:xfrm>
          <a:off x="825500" y="44704000"/>
          <a:ext cx="5473609" cy="4833620"/>
        </a:xfrm>
        <a:prstGeom prst="rect">
          <a:avLst/>
        </a:prstGeom>
        <a:noFill/>
      </xdr:spPr>
    </xdr:pic>
    <xdr:clientData/>
  </xdr:twoCellAnchor>
  <xdr:twoCellAnchor editAs="oneCell">
    <xdr:from>
      <xdr:col>1</xdr:col>
      <xdr:colOff>304800</xdr:colOff>
      <xdr:row>221</xdr:row>
      <xdr:rowOff>99060</xdr:rowOff>
    </xdr:from>
    <xdr:to>
      <xdr:col>7</xdr:col>
      <xdr:colOff>687626</xdr:colOff>
      <xdr:row>242</xdr:row>
      <xdr:rowOff>137160</xdr:rowOff>
    </xdr:to>
    <xdr:pic>
      <xdr:nvPicPr>
        <xdr:cNvPr id="24" name="Image 22">
          <a:extLst>
            <a:ext uri="{FF2B5EF4-FFF2-40B4-BE49-F238E27FC236}">
              <a16:creationId xmlns:a16="http://schemas.microsoft.com/office/drawing/2014/main" id="{00000000-0008-0000-0500-000018000000}"/>
            </a:ext>
          </a:extLst>
        </xdr:cNvPr>
        <xdr:cNvPicPr>
          <a:picLocks noChangeAspect="1" noChangeArrowheads="1"/>
        </xdr:cNvPicPr>
      </xdr:nvPicPr>
      <xdr:blipFill>
        <a:blip xmlns:r="http://schemas.openxmlformats.org/officeDocument/2006/relationships" r:embed="rId23"/>
        <a:stretch/>
      </xdr:blipFill>
      <xdr:spPr bwMode="auto">
        <a:xfrm>
          <a:off x="1130300" y="45006260"/>
          <a:ext cx="5335826" cy="4305300"/>
        </a:xfrm>
        <a:prstGeom prst="rect">
          <a:avLst/>
        </a:prstGeom>
        <a:noFill/>
      </xdr:spPr>
    </xdr:pic>
    <xdr:clientData/>
  </xdr:twoCellAnchor>
  <xdr:twoCellAnchor editAs="oneCell">
    <xdr:from>
      <xdr:col>1</xdr:col>
      <xdr:colOff>518159</xdr:colOff>
      <xdr:row>222</xdr:row>
      <xdr:rowOff>149062</xdr:rowOff>
    </xdr:from>
    <xdr:to>
      <xdr:col>7</xdr:col>
      <xdr:colOff>571500</xdr:colOff>
      <xdr:row>243</xdr:row>
      <xdr:rowOff>99058</xdr:rowOff>
    </xdr:to>
    <xdr:pic>
      <xdr:nvPicPr>
        <xdr:cNvPr id="25" name="Image 23">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24"/>
        <a:stretch/>
      </xdr:blipFill>
      <xdr:spPr bwMode="auto">
        <a:xfrm>
          <a:off x="1343660" y="45259462"/>
          <a:ext cx="5006340" cy="4217197"/>
        </a:xfrm>
        <a:prstGeom prst="rect">
          <a:avLst/>
        </a:prstGeom>
        <a:noFill/>
      </xdr:spPr>
    </xdr:pic>
    <xdr:clientData/>
  </xdr:twoCellAnchor>
  <xdr:twoCellAnchor editAs="oneCell">
    <xdr:from>
      <xdr:col>1</xdr:col>
      <xdr:colOff>708660</xdr:colOff>
      <xdr:row>224</xdr:row>
      <xdr:rowOff>45720</xdr:rowOff>
    </xdr:from>
    <xdr:to>
      <xdr:col>7</xdr:col>
      <xdr:colOff>535298</xdr:colOff>
      <xdr:row>243</xdr:row>
      <xdr:rowOff>167640</xdr:rowOff>
    </xdr:to>
    <xdr:pic>
      <xdr:nvPicPr>
        <xdr:cNvPr id="26" name="Image 24">
          <a:extLst>
            <a:ext uri="{FF2B5EF4-FFF2-40B4-BE49-F238E27FC236}">
              <a16:creationId xmlns:a16="http://schemas.microsoft.com/office/drawing/2014/main" id="{00000000-0008-0000-0500-00001A000000}"/>
            </a:ext>
          </a:extLst>
        </xdr:cNvPr>
        <xdr:cNvPicPr>
          <a:picLocks noChangeAspect="1" noChangeArrowheads="1"/>
        </xdr:cNvPicPr>
      </xdr:nvPicPr>
      <xdr:blipFill>
        <a:blip xmlns:r="http://schemas.openxmlformats.org/officeDocument/2006/relationships" r:embed="rId25"/>
        <a:stretch/>
      </xdr:blipFill>
      <xdr:spPr bwMode="auto">
        <a:xfrm>
          <a:off x="1534159" y="45562520"/>
          <a:ext cx="4779638" cy="3982720"/>
        </a:xfrm>
        <a:prstGeom prst="rect">
          <a:avLst/>
        </a:prstGeom>
        <a:noFill/>
      </xdr:spPr>
    </xdr:pic>
    <xdr:clientData/>
  </xdr:twoCellAnchor>
  <xdr:twoCellAnchor editAs="oneCell">
    <xdr:from>
      <xdr:col>1</xdr:col>
      <xdr:colOff>259976</xdr:colOff>
      <xdr:row>246</xdr:row>
      <xdr:rowOff>116542</xdr:rowOff>
    </xdr:from>
    <xdr:to>
      <xdr:col>6</xdr:col>
      <xdr:colOff>526676</xdr:colOff>
      <xdr:row>267</xdr:row>
      <xdr:rowOff>185122</xdr:rowOff>
    </xdr:to>
    <xdr:pic>
      <xdr:nvPicPr>
        <xdr:cNvPr id="27" name="Image 25">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26"/>
        <a:stretch/>
      </xdr:blipFill>
      <xdr:spPr bwMode="auto">
        <a:xfrm>
          <a:off x="1085476" y="50103742"/>
          <a:ext cx="4394200" cy="4335780"/>
        </a:xfrm>
        <a:prstGeom prst="rect">
          <a:avLst/>
        </a:prstGeom>
        <a:noFill/>
      </xdr:spPr>
    </xdr:pic>
    <xdr:clientData/>
  </xdr:twoCellAnchor>
  <xdr:twoCellAnchor editAs="oneCell">
    <xdr:from>
      <xdr:col>2</xdr:col>
      <xdr:colOff>358588</xdr:colOff>
      <xdr:row>248</xdr:row>
      <xdr:rowOff>179294</xdr:rowOff>
    </xdr:from>
    <xdr:to>
      <xdr:col>7</xdr:col>
      <xdr:colOff>655768</xdr:colOff>
      <xdr:row>272</xdr:row>
      <xdr:rowOff>81131</xdr:rowOff>
    </xdr:to>
    <xdr:pic>
      <xdr:nvPicPr>
        <xdr:cNvPr id="28" name="Image 26">
          <a:extLst>
            <a:ext uri="{FF2B5EF4-FFF2-40B4-BE49-F238E27FC236}">
              <a16:creationId xmlns:a16="http://schemas.microsoft.com/office/drawing/2014/main" id="{00000000-0008-0000-0500-00001C000000}"/>
            </a:ext>
          </a:extLst>
        </xdr:cNvPr>
        <xdr:cNvPicPr>
          <a:picLocks noChangeAspect="1" noChangeArrowheads="1"/>
        </xdr:cNvPicPr>
      </xdr:nvPicPr>
      <xdr:blipFill>
        <a:blip xmlns:r="http://schemas.openxmlformats.org/officeDocument/2006/relationships" r:embed="rId27"/>
        <a:stretch/>
      </xdr:blipFill>
      <xdr:spPr bwMode="auto">
        <a:xfrm>
          <a:off x="2009587" y="50572894"/>
          <a:ext cx="4424680" cy="4778637"/>
        </a:xfrm>
        <a:prstGeom prst="rect">
          <a:avLst/>
        </a:prstGeom>
        <a:noFill/>
      </xdr:spPr>
    </xdr:pic>
    <xdr:clientData/>
  </xdr:twoCellAnchor>
  <xdr:twoCellAnchor editAs="oneCell">
    <xdr:from>
      <xdr:col>1</xdr:col>
      <xdr:colOff>185057</xdr:colOff>
      <xdr:row>274</xdr:row>
      <xdr:rowOff>160083</xdr:rowOff>
    </xdr:from>
    <xdr:to>
      <xdr:col>6</xdr:col>
      <xdr:colOff>451757</xdr:colOff>
      <xdr:row>287</xdr:row>
      <xdr:rowOff>138119</xdr:rowOff>
    </xdr:to>
    <xdr:pic>
      <xdr:nvPicPr>
        <xdr:cNvPr id="29" name="Image 27">
          <a:extLst>
            <a:ext uri="{FF2B5EF4-FFF2-40B4-BE49-F238E27FC236}">
              <a16:creationId xmlns:a16="http://schemas.microsoft.com/office/drawing/2014/main" id="{00000000-0008-0000-0500-00001D000000}"/>
            </a:ext>
          </a:extLst>
        </xdr:cNvPr>
        <xdr:cNvPicPr>
          <a:picLocks noChangeAspect="1" noChangeArrowheads="1"/>
        </xdr:cNvPicPr>
      </xdr:nvPicPr>
      <xdr:blipFill>
        <a:blip xmlns:r="http://schemas.openxmlformats.org/officeDocument/2006/relationships" r:embed="rId28"/>
        <a:stretch/>
      </xdr:blipFill>
      <xdr:spPr bwMode="auto">
        <a:xfrm>
          <a:off x="1010557" y="55836883"/>
          <a:ext cx="4394200" cy="2619636"/>
        </a:xfrm>
        <a:prstGeom prst="rect">
          <a:avLst/>
        </a:prstGeom>
        <a:noFill/>
      </xdr:spPr>
    </xdr:pic>
    <xdr:clientData/>
  </xdr:twoCellAnchor>
  <xdr:twoCellAnchor editAs="oneCell">
    <xdr:from>
      <xdr:col>1</xdr:col>
      <xdr:colOff>403412</xdr:colOff>
      <xdr:row>276</xdr:row>
      <xdr:rowOff>44825</xdr:rowOff>
    </xdr:from>
    <xdr:to>
      <xdr:col>6</xdr:col>
      <xdr:colOff>670113</xdr:colOff>
      <xdr:row>288</xdr:row>
      <xdr:rowOff>105783</xdr:rowOff>
    </xdr:to>
    <xdr:pic>
      <xdr:nvPicPr>
        <xdr:cNvPr id="30" name="Image 28">
          <a:extLst>
            <a:ext uri="{FF2B5EF4-FFF2-40B4-BE49-F238E27FC236}">
              <a16:creationId xmlns:a16="http://schemas.microsoft.com/office/drawing/2014/main" id="{00000000-0008-0000-0500-00001E000000}"/>
            </a:ext>
          </a:extLst>
        </xdr:cNvPr>
        <xdr:cNvPicPr>
          <a:picLocks noChangeAspect="1" noChangeArrowheads="1"/>
        </xdr:cNvPicPr>
      </xdr:nvPicPr>
      <xdr:blipFill>
        <a:blip xmlns:r="http://schemas.openxmlformats.org/officeDocument/2006/relationships" r:embed="rId29"/>
        <a:stretch/>
      </xdr:blipFill>
      <xdr:spPr bwMode="auto">
        <a:xfrm>
          <a:off x="1228912" y="56128025"/>
          <a:ext cx="4394201" cy="2499360"/>
        </a:xfrm>
        <a:prstGeom prst="rect">
          <a:avLst/>
        </a:prstGeom>
        <a:noFill/>
      </xdr:spPr>
    </xdr:pic>
    <xdr:clientData/>
  </xdr:twoCellAnchor>
  <xdr:twoCellAnchor editAs="oneCell">
    <xdr:from>
      <xdr:col>1</xdr:col>
      <xdr:colOff>744070</xdr:colOff>
      <xdr:row>277</xdr:row>
      <xdr:rowOff>62752</xdr:rowOff>
    </xdr:from>
    <xdr:to>
      <xdr:col>6</xdr:col>
      <xdr:colOff>797411</xdr:colOff>
      <xdr:row>289</xdr:row>
      <xdr:rowOff>56029</xdr:rowOff>
    </xdr:to>
    <xdr:pic>
      <xdr:nvPicPr>
        <xdr:cNvPr id="31" name="Image 29">
          <a:extLst>
            <a:ext uri="{FF2B5EF4-FFF2-40B4-BE49-F238E27FC236}">
              <a16:creationId xmlns:a16="http://schemas.microsoft.com/office/drawing/2014/main" id="{00000000-0008-0000-0500-00001F000000}"/>
            </a:ext>
          </a:extLst>
        </xdr:cNvPr>
        <xdr:cNvPicPr>
          <a:picLocks noChangeAspect="1" noChangeArrowheads="1"/>
        </xdr:cNvPicPr>
      </xdr:nvPicPr>
      <xdr:blipFill>
        <a:blip xmlns:r="http://schemas.openxmlformats.org/officeDocument/2006/relationships" r:embed="rId30"/>
        <a:stretch/>
      </xdr:blipFill>
      <xdr:spPr bwMode="auto">
        <a:xfrm>
          <a:off x="1569570" y="56349153"/>
          <a:ext cx="4180841" cy="2431676"/>
        </a:xfrm>
        <a:prstGeom prst="rect">
          <a:avLst/>
        </a:prstGeom>
        <a:noFill/>
      </xdr:spPr>
    </xdr:pic>
    <xdr:clientData/>
  </xdr:twoCellAnchor>
  <xdr:twoCellAnchor editAs="oneCell">
    <xdr:from>
      <xdr:col>2</xdr:col>
      <xdr:colOff>130627</xdr:colOff>
      <xdr:row>278</xdr:row>
      <xdr:rowOff>130627</xdr:rowOff>
    </xdr:from>
    <xdr:to>
      <xdr:col>7</xdr:col>
      <xdr:colOff>214448</xdr:colOff>
      <xdr:row>290</xdr:row>
      <xdr:rowOff>102322</xdr:rowOff>
    </xdr:to>
    <xdr:pic>
      <xdr:nvPicPr>
        <xdr:cNvPr id="32" name="Image 30">
          <a:extLst>
            <a:ext uri="{FF2B5EF4-FFF2-40B4-BE49-F238E27FC236}">
              <a16:creationId xmlns:a16="http://schemas.microsoft.com/office/drawing/2014/main" id="{00000000-0008-0000-0500-000020000000}"/>
            </a:ext>
          </a:extLst>
        </xdr:cNvPr>
        <xdr:cNvPicPr>
          <a:picLocks noChangeAspect="1" noChangeArrowheads="1"/>
        </xdr:cNvPicPr>
      </xdr:nvPicPr>
      <xdr:blipFill>
        <a:blip xmlns:r="http://schemas.openxmlformats.org/officeDocument/2006/relationships" r:embed="rId31"/>
        <a:stretch/>
      </xdr:blipFill>
      <xdr:spPr bwMode="auto">
        <a:xfrm>
          <a:off x="1781628" y="56620228"/>
          <a:ext cx="4211320" cy="2410096"/>
        </a:xfrm>
        <a:prstGeom prst="rect">
          <a:avLst/>
        </a:prstGeom>
        <a:noFill/>
      </xdr:spPr>
    </xdr:pic>
    <xdr:clientData/>
  </xdr:twoCellAnchor>
  <xdr:twoCellAnchor editAs="oneCell">
    <xdr:from>
      <xdr:col>2</xdr:col>
      <xdr:colOff>348341</xdr:colOff>
      <xdr:row>280</xdr:row>
      <xdr:rowOff>0</xdr:rowOff>
    </xdr:from>
    <xdr:to>
      <xdr:col>7</xdr:col>
      <xdr:colOff>432162</xdr:colOff>
      <xdr:row>292</xdr:row>
      <xdr:rowOff>53340</xdr:rowOff>
    </xdr:to>
    <xdr:pic>
      <xdr:nvPicPr>
        <xdr:cNvPr id="33" name="Image 31">
          <a:extLst>
            <a:ext uri="{FF2B5EF4-FFF2-40B4-BE49-F238E27FC236}">
              <a16:creationId xmlns:a16="http://schemas.microsoft.com/office/drawing/2014/main" id="{00000000-0008-0000-0500-000021000000}"/>
            </a:ext>
          </a:extLst>
        </xdr:cNvPr>
        <xdr:cNvPicPr>
          <a:picLocks noChangeAspect="1" noChangeArrowheads="1"/>
        </xdr:cNvPicPr>
      </xdr:nvPicPr>
      <xdr:blipFill>
        <a:blip xmlns:r="http://schemas.openxmlformats.org/officeDocument/2006/relationships" r:embed="rId32"/>
        <a:stretch/>
      </xdr:blipFill>
      <xdr:spPr bwMode="auto">
        <a:xfrm>
          <a:off x="1999342" y="56896000"/>
          <a:ext cx="4211320" cy="2491740"/>
        </a:xfrm>
        <a:prstGeom prst="rect">
          <a:avLst/>
        </a:prstGeom>
        <a:noFill/>
      </xdr:spPr>
    </xdr:pic>
    <xdr:clientData/>
  </xdr:twoCellAnchor>
  <xdr:twoCellAnchor editAs="oneCell">
    <xdr:from>
      <xdr:col>0</xdr:col>
      <xdr:colOff>337457</xdr:colOff>
      <xdr:row>359</xdr:row>
      <xdr:rowOff>174172</xdr:rowOff>
    </xdr:from>
    <xdr:to>
      <xdr:col>8</xdr:col>
      <xdr:colOff>695596</xdr:colOff>
      <xdr:row>382</xdr:row>
      <xdr:rowOff>69670</xdr:rowOff>
    </xdr:to>
    <xdr:pic>
      <xdr:nvPicPr>
        <xdr:cNvPr id="34" name="Image 32">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3"/>
        <a:stretch/>
      </xdr:blipFill>
      <xdr:spPr bwMode="auto">
        <a:xfrm>
          <a:off x="337457" y="73122972"/>
          <a:ext cx="6962140" cy="4569098"/>
        </a:xfrm>
        <a:prstGeom prst="rect">
          <a:avLst/>
        </a:prstGeom>
        <a:noFill/>
      </xdr:spPr>
    </xdr:pic>
    <xdr:clientData/>
  </xdr:twoCellAnchor>
  <xdr:twoCellAnchor editAs="oneCell">
    <xdr:from>
      <xdr:col>0</xdr:col>
      <xdr:colOff>729342</xdr:colOff>
      <xdr:row>360</xdr:row>
      <xdr:rowOff>10886</xdr:rowOff>
    </xdr:from>
    <xdr:to>
      <xdr:col>9</xdr:col>
      <xdr:colOff>177438</xdr:colOff>
      <xdr:row>382</xdr:row>
      <xdr:rowOff>186146</xdr:rowOff>
    </xdr:to>
    <xdr:pic>
      <xdr:nvPicPr>
        <xdr:cNvPr id="35" name="Image 33">
          <a:extLst>
            <a:ext uri="{FF2B5EF4-FFF2-40B4-BE49-F238E27FC236}">
              <a16:creationId xmlns:a16="http://schemas.microsoft.com/office/drawing/2014/main" id="{00000000-0008-0000-0500-000023000000}"/>
            </a:ext>
          </a:extLst>
        </xdr:cNvPr>
        <xdr:cNvPicPr>
          <a:picLocks noChangeAspect="1" noChangeArrowheads="1"/>
        </xdr:cNvPicPr>
      </xdr:nvPicPr>
      <xdr:blipFill>
        <a:blip xmlns:r="http://schemas.openxmlformats.org/officeDocument/2006/relationships" r:embed="rId34"/>
        <a:stretch/>
      </xdr:blipFill>
      <xdr:spPr bwMode="auto">
        <a:xfrm>
          <a:off x="729343" y="73162886"/>
          <a:ext cx="6877595" cy="4645660"/>
        </a:xfrm>
        <a:prstGeom prst="rect">
          <a:avLst/>
        </a:prstGeom>
        <a:noFill/>
      </xdr:spPr>
    </xdr:pic>
    <xdr:clientData/>
  </xdr:twoCellAnchor>
  <xdr:twoCellAnchor editAs="oneCell">
    <xdr:from>
      <xdr:col>1</xdr:col>
      <xdr:colOff>141514</xdr:colOff>
      <xdr:row>360</xdr:row>
      <xdr:rowOff>0</xdr:rowOff>
    </xdr:from>
    <xdr:to>
      <xdr:col>10</xdr:col>
      <xdr:colOff>103414</xdr:colOff>
      <xdr:row>383</xdr:row>
      <xdr:rowOff>175260</xdr:rowOff>
    </xdr:to>
    <xdr:pic>
      <xdr:nvPicPr>
        <xdr:cNvPr id="36" name="Image 34">
          <a:extLst>
            <a:ext uri="{FF2B5EF4-FFF2-40B4-BE49-F238E27FC236}">
              <a16:creationId xmlns:a16="http://schemas.microsoft.com/office/drawing/2014/main" id="{00000000-0008-0000-0500-000024000000}"/>
            </a:ext>
          </a:extLst>
        </xdr:cNvPr>
        <xdr:cNvPicPr>
          <a:picLocks noChangeAspect="1" noChangeArrowheads="1"/>
        </xdr:cNvPicPr>
      </xdr:nvPicPr>
      <xdr:blipFill>
        <a:blip xmlns:r="http://schemas.openxmlformats.org/officeDocument/2006/relationships" r:embed="rId35"/>
        <a:stretch/>
      </xdr:blipFill>
      <xdr:spPr bwMode="auto">
        <a:xfrm>
          <a:off x="967014" y="73152000"/>
          <a:ext cx="7391400" cy="4848860"/>
        </a:xfrm>
        <a:prstGeom prst="rect">
          <a:avLst/>
        </a:prstGeom>
        <a:noFill/>
      </xdr:spPr>
    </xdr:pic>
    <xdr:clientData/>
  </xdr:twoCellAnchor>
  <xdr:twoCellAnchor editAs="oneCell">
    <xdr:from>
      <xdr:col>0</xdr:col>
      <xdr:colOff>500742</xdr:colOff>
      <xdr:row>379</xdr:row>
      <xdr:rowOff>97971</xdr:rowOff>
    </xdr:from>
    <xdr:to>
      <xdr:col>7</xdr:col>
      <xdr:colOff>661905</xdr:colOff>
      <xdr:row>392</xdr:row>
      <xdr:rowOff>84047</xdr:rowOff>
    </xdr:to>
    <xdr:pic>
      <xdr:nvPicPr>
        <xdr:cNvPr id="37" name="Image 35">
          <a:extLst>
            <a:ext uri="{FF2B5EF4-FFF2-40B4-BE49-F238E27FC236}">
              <a16:creationId xmlns:a16="http://schemas.microsoft.com/office/drawing/2014/main" id="{00000000-0008-0000-0500-000025000000}"/>
            </a:ext>
          </a:extLst>
        </xdr:cNvPr>
        <xdr:cNvPicPr>
          <a:picLocks noChangeAspect="1"/>
        </xdr:cNvPicPr>
      </xdr:nvPicPr>
      <xdr:blipFill>
        <a:blip xmlns:r="http://schemas.openxmlformats.org/officeDocument/2006/relationships" r:embed="rId36"/>
        <a:stretch/>
      </xdr:blipFill>
      <xdr:spPr bwMode="auto">
        <a:xfrm>
          <a:off x="500743" y="77110771"/>
          <a:ext cx="5939662" cy="2627676"/>
        </a:xfrm>
        <a:prstGeom prst="rect">
          <a:avLst/>
        </a:prstGeom>
      </xdr:spPr>
    </xdr:pic>
    <xdr:clientData/>
  </xdr:twoCellAnchor>
  <xdr:twoCellAnchor editAs="oneCell">
    <xdr:from>
      <xdr:col>0</xdr:col>
      <xdr:colOff>0</xdr:colOff>
      <xdr:row>417</xdr:row>
      <xdr:rowOff>81642</xdr:rowOff>
    </xdr:from>
    <xdr:to>
      <xdr:col>9</xdr:col>
      <xdr:colOff>17689</xdr:colOff>
      <xdr:row>439</xdr:row>
      <xdr:rowOff>10884</xdr:rowOff>
    </xdr:to>
    <xdr:pic>
      <xdr:nvPicPr>
        <xdr:cNvPr id="38" name="Image 37">
          <a:extLst>
            <a:ext uri="{FF2B5EF4-FFF2-40B4-BE49-F238E27FC236}">
              <a16:creationId xmlns:a16="http://schemas.microsoft.com/office/drawing/2014/main" id="{00000000-0008-0000-0500-000026000000}"/>
            </a:ext>
          </a:extLst>
        </xdr:cNvPr>
        <xdr:cNvPicPr>
          <a:picLocks noChangeAspect="1" noChangeArrowheads="1"/>
        </xdr:cNvPicPr>
      </xdr:nvPicPr>
      <xdr:blipFill>
        <a:blip xmlns:r="http://schemas.openxmlformats.org/officeDocument/2006/relationships" r:embed="rId37"/>
        <a:stretch/>
      </xdr:blipFill>
      <xdr:spPr bwMode="auto">
        <a:xfrm>
          <a:off x="0" y="84816041"/>
          <a:ext cx="7447189" cy="4399643"/>
        </a:xfrm>
        <a:prstGeom prst="rect">
          <a:avLst/>
        </a:prstGeom>
        <a:noFill/>
      </xdr:spPr>
    </xdr:pic>
    <xdr:clientData/>
  </xdr:twoCellAnchor>
  <xdr:twoCellAnchor editAs="oneCell">
    <xdr:from>
      <xdr:col>0</xdr:col>
      <xdr:colOff>0</xdr:colOff>
      <xdr:row>423</xdr:row>
      <xdr:rowOff>95250</xdr:rowOff>
    </xdr:from>
    <xdr:to>
      <xdr:col>8</xdr:col>
      <xdr:colOff>741590</xdr:colOff>
      <xdr:row>444</xdr:row>
      <xdr:rowOff>114300</xdr:rowOff>
    </xdr:to>
    <xdr:pic>
      <xdr:nvPicPr>
        <xdr:cNvPr id="39" name="Image 38">
          <a:extLst>
            <a:ext uri="{FF2B5EF4-FFF2-40B4-BE49-F238E27FC236}">
              <a16:creationId xmlns:a16="http://schemas.microsoft.com/office/drawing/2014/main" id="{00000000-0008-0000-0500-000027000000}"/>
            </a:ext>
          </a:extLst>
        </xdr:cNvPr>
        <xdr:cNvPicPr>
          <a:picLocks noChangeAspect="1" noChangeArrowheads="1"/>
        </xdr:cNvPicPr>
      </xdr:nvPicPr>
      <xdr:blipFill>
        <a:blip xmlns:r="http://schemas.openxmlformats.org/officeDocument/2006/relationships" r:embed="rId38"/>
        <a:stretch/>
      </xdr:blipFill>
      <xdr:spPr bwMode="auto">
        <a:xfrm>
          <a:off x="0" y="86048850"/>
          <a:ext cx="7345590" cy="4286250"/>
        </a:xfrm>
        <a:prstGeom prst="rect">
          <a:avLst/>
        </a:prstGeom>
        <a:noFill/>
      </xdr:spPr>
    </xdr:pic>
    <xdr:clientData/>
  </xdr:twoCellAnchor>
  <xdr:twoCellAnchor editAs="oneCell">
    <xdr:from>
      <xdr:col>0</xdr:col>
      <xdr:colOff>1</xdr:colOff>
      <xdr:row>428</xdr:row>
      <xdr:rowOff>176895</xdr:rowOff>
    </xdr:from>
    <xdr:to>
      <xdr:col>8</xdr:col>
      <xdr:colOff>469576</xdr:colOff>
      <xdr:row>448</xdr:row>
      <xdr:rowOff>176894</xdr:rowOff>
    </xdr:to>
    <xdr:pic>
      <xdr:nvPicPr>
        <xdr:cNvPr id="40" name="Image 39">
          <a:extLst>
            <a:ext uri="{FF2B5EF4-FFF2-40B4-BE49-F238E27FC236}">
              <a16:creationId xmlns:a16="http://schemas.microsoft.com/office/drawing/2014/main" id="{00000000-0008-0000-0500-000028000000}"/>
            </a:ext>
          </a:extLst>
        </xdr:cNvPr>
        <xdr:cNvPicPr>
          <a:picLocks noChangeAspect="1" noChangeArrowheads="1"/>
        </xdr:cNvPicPr>
      </xdr:nvPicPr>
      <xdr:blipFill>
        <a:blip xmlns:r="http://schemas.openxmlformats.org/officeDocument/2006/relationships" r:embed="rId39"/>
        <a:stretch/>
      </xdr:blipFill>
      <xdr:spPr bwMode="auto">
        <a:xfrm>
          <a:off x="1" y="87146495"/>
          <a:ext cx="7073575" cy="4063999"/>
        </a:xfrm>
        <a:prstGeom prst="rect">
          <a:avLst/>
        </a:prstGeom>
        <a:noFill/>
      </xdr:spPr>
    </xdr:pic>
    <xdr:clientData/>
  </xdr:twoCellAnchor>
  <xdr:twoCellAnchor editAs="oneCell">
    <xdr:from>
      <xdr:col>0</xdr:col>
      <xdr:colOff>0</xdr:colOff>
      <xdr:row>433</xdr:row>
      <xdr:rowOff>40823</xdr:rowOff>
    </xdr:from>
    <xdr:to>
      <xdr:col>8</xdr:col>
      <xdr:colOff>1346</xdr:colOff>
      <xdr:row>451</xdr:row>
      <xdr:rowOff>108858</xdr:rowOff>
    </xdr:to>
    <xdr:pic>
      <xdr:nvPicPr>
        <xdr:cNvPr id="41" name="Image 40">
          <a:extLst>
            <a:ext uri="{FF2B5EF4-FFF2-40B4-BE49-F238E27FC236}">
              <a16:creationId xmlns:a16="http://schemas.microsoft.com/office/drawing/2014/main" id="{00000000-0008-0000-0500-000029000000}"/>
            </a:ext>
          </a:extLst>
        </xdr:cNvPr>
        <xdr:cNvPicPr>
          <a:picLocks noChangeAspect="1" noChangeArrowheads="1"/>
        </xdr:cNvPicPr>
      </xdr:nvPicPr>
      <xdr:blipFill>
        <a:blip xmlns:r="http://schemas.openxmlformats.org/officeDocument/2006/relationships" r:embed="rId40"/>
        <a:stretch/>
      </xdr:blipFill>
      <xdr:spPr bwMode="auto">
        <a:xfrm>
          <a:off x="0" y="88026423"/>
          <a:ext cx="6605346" cy="3725636"/>
        </a:xfrm>
        <a:prstGeom prst="rect">
          <a:avLst/>
        </a:prstGeom>
        <a:noFill/>
      </xdr:spPr>
    </xdr:pic>
    <xdr:clientData/>
  </xdr:twoCellAnchor>
  <xdr:twoCellAnchor editAs="oneCell">
    <xdr:from>
      <xdr:col>0</xdr:col>
      <xdr:colOff>87086</xdr:colOff>
      <xdr:row>453</xdr:row>
      <xdr:rowOff>76200</xdr:rowOff>
    </xdr:from>
    <xdr:to>
      <xdr:col>7</xdr:col>
      <xdr:colOff>53340</xdr:colOff>
      <xdr:row>471</xdr:row>
      <xdr:rowOff>190500</xdr:rowOff>
    </xdr:to>
    <xdr:pic>
      <xdr:nvPicPr>
        <xdr:cNvPr id="42" name="Image 41">
          <a:extLst>
            <a:ext uri="{FF2B5EF4-FFF2-40B4-BE49-F238E27FC236}">
              <a16:creationId xmlns:a16="http://schemas.microsoft.com/office/drawing/2014/main" id="{00000000-0008-0000-0500-00002A000000}"/>
            </a:ext>
          </a:extLst>
        </xdr:cNvPr>
        <xdr:cNvPicPr>
          <a:picLocks noChangeAspect="1" noChangeArrowheads="1"/>
        </xdr:cNvPicPr>
      </xdr:nvPicPr>
      <xdr:blipFill>
        <a:blip xmlns:r="http://schemas.openxmlformats.org/officeDocument/2006/relationships" r:embed="rId41"/>
        <a:stretch/>
      </xdr:blipFill>
      <xdr:spPr bwMode="auto">
        <a:xfrm>
          <a:off x="87086" y="92125800"/>
          <a:ext cx="5744754" cy="3771900"/>
        </a:xfrm>
        <a:prstGeom prst="rect">
          <a:avLst/>
        </a:prstGeom>
        <a:noFill/>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valade/Documents/GitHub/Wood-Carbon/rawData/database_substitution_metaanalysis.v5.v6.QC7.init.xlsx" TargetMode="External"/><Relationship Id="rId1" Type="http://schemas.openxmlformats.org/officeDocument/2006/relationships/externalLinkPath" Target="database_substitution_metaanalysis.v5.v6.QC7.init.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KN2805.xlsx" TargetMode="External"/><Relationship Id="rId1" Type="http://schemas.openxmlformats.org/officeDocument/2006/relationships/externalLinkPath" Target="/Users/valade/EcoSols_Nextcloud2/Substitution/Metaanalysis/Data_extraction/V7_QC/database_substitution_metaanalysis.v5.v6.QC7_KN280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AV.xlsx" TargetMode="External"/><Relationship Id="rId1" Type="http://schemas.openxmlformats.org/officeDocument/2006/relationships/externalLinkPath" Target="/Users/valade/EcoSols_Nextcloud2/Substitution/Metaanalysis/Data_extraction/V7_QC/database_substitution_metaanalysis.v5.v6.QC7_AV.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assignment/database_substitution_metaanalysis.v5.v6.QC7.init.xlsx" TargetMode="External"/><Relationship Id="rId1" Type="http://schemas.openxmlformats.org/officeDocument/2006/relationships/externalLinkPath" Target="/Users/valade/EcoSols_Nextcloud2/Substitution/Metaanalysis/Data_extraction/V7_QC/assignment/database_substitution_metaanalysis.v5.v6.QC7.ini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SL.xlsx" TargetMode="External"/><Relationship Id="rId1" Type="http://schemas.openxmlformats.org/officeDocument/2006/relationships/externalLinkPath" Target="/Users/valade/EcoSols_Nextcloud2/Substitution/Metaanalysis/Data_extraction/V7_QC/database_substitution_metaanalysis.v5.v6.QC7_S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1.0775197499982896E-2</v>
          </cell>
          <cell r="C1">
            <v>1.8910205397060962</v>
          </cell>
        </row>
        <row r="2">
          <cell r="B2">
            <v>1.095600793497254</v>
          </cell>
          <cell r="C2">
            <v>17.240381284500241</v>
          </cell>
        </row>
      </sheetData>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0.37295525093000825</v>
          </cell>
          <cell r="C1">
            <v>2.6877997053052463</v>
          </cell>
        </row>
        <row r="2">
          <cell r="B2">
            <v>0.64039315597979518</v>
          </cell>
          <cell r="C2">
            <v>0.56852465477793612</v>
          </cell>
        </row>
      </sheetData>
      <sheetData sheetId="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_extractions"/>
      <sheetName val="QC_indicators"/>
      <sheetName val="TO DO"/>
    </sheetNames>
    <sheetDataSet>
      <sheetData sheetId="0"/>
      <sheetData sheetId="1"/>
      <sheetData sheetId="2"/>
      <sheetData sheetId="3"/>
      <sheetData sheetId="4"/>
      <sheetData sheetId="5"/>
      <sheetData sheetId="6"/>
      <sheetData sheetId="7">
        <row r="1">
          <cell r="B1">
            <v>-776.37754144405631</v>
          </cell>
          <cell r="C1">
            <v>7576.0701064399027</v>
          </cell>
        </row>
        <row r="2">
          <cell r="B2">
            <v>1.0543044868334877</v>
          </cell>
          <cell r="C2">
            <v>3.3613684057037871</v>
          </cell>
        </row>
      </sheetData>
      <sheetData sheetId="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1.0775197499982896E-2</v>
          </cell>
          <cell r="C1">
            <v>1.8910205397060962</v>
          </cell>
        </row>
        <row r="2">
          <cell r="B2">
            <v>1.095600793497254</v>
          </cell>
          <cell r="C2">
            <v>17.240381284500241</v>
          </cell>
        </row>
      </sheetData>
      <sheetData sheetId="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-1.8997365780877833E-2</v>
          </cell>
          <cell r="C1">
            <v>1.6411993046763687</v>
          </cell>
        </row>
        <row r="2">
          <cell r="B2">
            <v>0.79395189651467302</v>
          </cell>
          <cell r="C2">
            <v>5.7175504813569882</v>
          </cell>
        </row>
      </sheetData>
      <sheetData sheetId="8"/>
    </sheetDataSet>
  </externalBook>
</externalLink>
</file>

<file path=xl/persons/person.xml><?xml version="1.0" encoding="utf-8"?>
<personList xmlns="http://schemas.microsoft.com/office/spreadsheetml/2018/threadedcomments" xmlns:x="http://schemas.openxmlformats.org/spreadsheetml/2006/main">
  <person displayName="chaste" id="{B4A1B9F9-4F05-4929-52AF-3BFD274CC250}"/>
  <person displayName="Microsoft Office User" id="{C7A66F49-825B-E7AC-4D5D-DD5B3A1D23DA}"/>
  <person displayName="vbellassen" id="{9DD4F19F-4D62-70CC-6F05-7D4DA1931E33}"/>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D1026" personId="{B4A1B9F9-4F05-4929-52AF-3BFD274CC250}" id="{00DE0036-0060-421B-8E4B-00E500630047}" done="0">
    <text xml:space="preserve">Il y a aussi un scenario "Upstream" dont les données émissions sont disponibles mais pas les données Qwood. Fait-on la somme des autres Qwood? 
</text>
  </threadedComment>
  <threadedComment ref="DO1026" personId="{B4A1B9F9-4F05-4929-52AF-3BFD274CC250}" id="{00270063-00AA-4C40-B979-000800430066}" done="0">
    <text xml:space="preserve">They evaluated reductions in carbon emissions by substituting wood for fossil fuels for energy production = scenario "heavy oil". See page 8 of the document: 
"We evaluated reductions in carbon emissions by substituting wood for fossil fuels for energy production. Assuming the displacement of heavy oil, we calculated the substitution amounts (L) of heavy oil by multiplying the energy use amounts (m3) of logging residues; wood residues from processing, construction, and furniture production; and waste wood after use in building and furniture by the specific gravity in absolute dry condition (t/m3) (see Table S-1) and the calorific value of wood (GJ/t) (Kayo et al., 2011). We then divided that product by the calorific value of heavy oil (GJ/L) (Kayo et al.,2011). We estimated reductions of carbon emissions (tC) from heavy oil consumption by multiplying the displaced amounts (L) of heavy oil by the carbon emission intensity (tC/L) for the combustion of heavy oil (Kayo et al., 2011)."
But this scenario is not well explicited in the document with explicit values so this requires some calculations. I put values for this substitution evaluated in the Onglet "Kayo_2014", lines 23 and 45 extracted from Figure 4 and 5.
</text>
  </threadedComment>
  <threadedComment ref="AD1106" personId="{B4A1B9F9-4F05-4929-52AF-3BFD274CC250}" id="{007B00A0-002F-43CD-9B94-007100A60047}" done="0">
    <text xml:space="preserve">Il y a un scenario de machine manuelle et machine motorisée mais il n'y a pas les résultats pour les deux (partie 2.2.2). C'est un scénario mixte alors je ne sais pas si je dois l'indiquer. 
</text>
  </threadedComment>
  <threadedComment ref="EB1113" personId="{B4A1B9F9-4F05-4929-52AF-3BFD274CC250}" id="{00C40065-0007-457C-AB2B-009800900003}" done="0">
    <text xml:space="preserve">The scope of this study includes forest growth and cultivation, collection and processing of wood products and by-products, densification (chipping and bundling) and combustion in bioenergy facility to generate electricity.
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ext>
  </threadedComment>
  <threadedComment ref="EC1113" personId="{B4A1B9F9-4F05-4929-52AF-3BFD274CC250}" id="{00110064-0039-4EAB-80D9-0003004B006A}" done="0">
    <text xml:space="preserve">The scope of this study includes forest growth and cultivation, collection and processing of wood products and by-products, densification (chipping and bundling) and combustion in bioenergy facility to generate electricity.
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ext>
  </threadedComment>
  <threadedComment ref="DX1116" personId="{B4A1B9F9-4F05-4929-52AF-3BFD274CC250}" id="{005D00E3-0093-4D16-8B68-002F006C007C}" done="0">
    <text xml:space="preserve">Juste aboveground
</text>
  </threadedComment>
  <threadedComment ref="V1116" personId="{B4A1B9F9-4F05-4929-52AF-3BFD274CC250}" id="{00870082-0006-4C84-B620-006600550039}" done="0">
    <text xml:space="preserve">J'ai mis oui ici car entre 
</text>
  </threadedComment>
  <threadedComment ref="DX1117" personId="{B4A1B9F9-4F05-4929-52AF-3BFD274CC250}" id="{008C00D7-009B-4B21-B96F-0035001A0096}" done="0">
    <text xml:space="preserve">Juste aboveground
</text>
  </threadedComment>
  <threadedComment ref="DX1118" personId="{B4A1B9F9-4F05-4929-52AF-3BFD274CC250}" id="{009000A2-0075-4314-825E-001100DA00E6}" done="0">
    <text xml:space="preserve">Juste aboveground
</text>
  </threadedComment>
  <threadedComment ref="DX1119" personId="{B4A1B9F9-4F05-4929-52AF-3BFD274CC250}" id="{009E0054-0030-4264-B934-004D00D100E1}" done="0">
    <text xml:space="preserve">Juste aboveground
</text>
  </threadedComment>
  <threadedComment ref="DX1588" personId="{B4A1B9F9-4F05-4929-52AF-3BFD274CC250}" id="{00570091-0027-42C1-9526-00A500BA0085}" done="0">
    <text xml:space="preserve">Juste aboveground
</text>
  </threadedComment>
  <threadedComment ref="V1588" personId="{B4A1B9F9-4F05-4929-52AF-3BFD274CC250}" id="{004700EF-0041-4F61-82E0-006A00C60041}" done="0">
    <text xml:space="preserve">j'ai mis oui dans ce cas là car entre les deux pays ce qui change c'est les importations de bois et donc ce qui est extrait sur place
</text>
  </threadedComment>
  <threadedComment ref="DX1589" personId="{B4A1B9F9-4F05-4929-52AF-3BFD274CC250}" id="{005700C0-007A-4676-8B85-00D80000001C}" done="0">
    <text xml:space="preserve">Juste aboveground
</text>
  </threadedComment>
  <threadedComment ref="DX1590" personId="{B4A1B9F9-4F05-4929-52AF-3BFD274CC250}" id="{00C3004E-00A3-4F3E-8181-004F000D004C}" done="0">
    <text xml:space="preserve">Juste aboveground
</text>
  </threadedComment>
  <threadedComment ref="DX1591" personId="{B4A1B9F9-4F05-4929-52AF-3BFD274CC250}" id="{005C0076-005E-4D1A-97EC-00CD00F3005E}" done="0">
    <text xml:space="preserve">Juste aboveground
</text>
  </threadedComment>
  <threadedComment ref="DZ7" personId="{C7A66F49-825B-E7AC-4D5D-DD5B3A1D23DA}" id="{003E00CD-00AE-4422-B5D5-00BF00E10024}" done="0">
    <text xml:space="preserve">ie : C-neutrality of wood assumed = 0, C-emissions of wood at eol accounted = 1
</text>
  </threadedComment>
  <threadedComment ref="EA7" personId="{C7A66F49-825B-E7AC-4D5D-DD5B3A1D23DA}" id="{006C007C-002F-4F20-B8B1-006E00A600AE}" done="0">
    <text xml:space="preserve">accounts for avoided emissions,wood reuseor recycling outside of the lifetime of the product itself
</text>
  </threadedComment>
  <threadedComment ref="EB7" personId="{C7A66F49-825B-E7AC-4D5D-DD5B3A1D23DA}" id="{00CC003E-006B-456E-AD65-001D00CB003C}" done="0">
    <text xml:space="preserve">may be accounted for through the use of a displacement factor
</text>
  </threadedComment>
  <threadedComment ref="AF653" personId="{C7A66F49-825B-E7AC-4D5D-DD5B3A1D23DA}" id="{00DD0084-00A9-4338-AA26-004000E4002E}" done="0">
    <text xml:space="preserve">to be listed as a secondary driver
</text>
  </threadedComment>
  <threadedComment ref="AF654" personId="{C7A66F49-825B-E7AC-4D5D-DD5B3A1D23DA}" id="{00AC0038-00B8-45C0-BBCC-00AF0097006C}" done="0">
    <text xml:space="preserve">to be listed as a secondary driver
</text>
  </threadedComment>
  <threadedComment ref="M971" personId="{B4A1B9F9-4F05-4929-52AF-3BFD274CC250}" id="{008D00D5-0062-4869-9F4F-00EB000B005F}" done="0">
    <text xml:space="preserve">Hart et al. 2021
</text>
  </threadedComment>
  <threadedComment ref="M972" personId="{B4A1B9F9-4F05-4929-52AF-3BFD274CC250}" id="{00F100A4-00E1-4D42-8B8A-001300940043}" done="0">
    <text xml:space="preserve">Hart et al. 2021
</text>
  </threadedComment>
  <threadedComment ref="M973" personId="{B4A1B9F9-4F05-4929-52AF-3BFD274CC250}" id="{007E0014-0091-4E41-B67E-001500120087}" done="0">
    <text xml:space="preserve">Hart et al. 2021
</text>
  </threadedComment>
  <threadedComment ref="M974" personId="{B4A1B9F9-4F05-4929-52AF-3BFD274CC250}" id="{00FB0097-0036-449C-B525-00F80031005C}" done="0">
    <text xml:space="preserve">Hart et al. 2021
</text>
  </threadedComment>
  <threadedComment ref="M975" personId="{B4A1B9F9-4F05-4929-52AF-3BFD274CC250}" id="{00280038-004A-41E5-98D9-007500830041}" done="0">
    <text xml:space="preserve">Hart et al. 2021
</text>
  </threadedComment>
  <threadedComment ref="M976" personId="{B4A1B9F9-4F05-4929-52AF-3BFD274CC250}" id="{00B30012-0031-4E2C-8FFC-008D004B00DF}" done="0">
    <text xml:space="preserve">Hart et al. 2021
</text>
  </threadedComment>
  <threadedComment ref="EB992" personId="{B4A1B9F9-4F05-4929-52AF-3BFD274CC250}" id="{00160003-006F-4FB9-8562-005B00280044}" done="0">
    <text xml:space="preserve">Change on domestic demand
</text>
  </threadedComment>
  <threadedComment ref="DL993" personId="{B4A1B9F9-4F05-4929-52AF-3BFD274CC250}" id="{00740038-0078-4532-BD0F-00E100FC00A0}"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M993" personId="{B4A1B9F9-4F05-4929-52AF-3BFD274CC250}" id="{00D60008-0056-4AF7-8779-001E00AD00FB}" done="0">
    <text xml:space="preserve">page 4: 
Logging residue supply curves are based on regional supply curve functions estimated using the spatial allocation optimization routine described in Baker et al. (2018).
</text>
  </threadedComment>
  <threadedComment ref="DN993" personId="{B4A1B9F9-4F05-4929-52AF-3BFD274CC250}" id="{000B0082-000A-43C7-9AF8-00F8009600A2}" done="0">
    <text xml:space="preserve">reflecting of hauling forest biomass from plot to final demand point post-harvest.
</text>
  </threadedComment>
  <threadedComment ref="EB993" personId="{B4A1B9F9-4F05-4929-52AF-3BFD274CC250}" id="{00EC0002-0094-4E4C-8F8B-009100DD0032}" done="0">
    <text xml:space="preserve">Change on domestic demand
</text>
  </threadedComment>
  <threadedComment ref="DV994" personId="{B4A1B9F9-4F05-4929-52AF-3BFD274CC250}" id="{00570037-0060-4A5B-9D16-002800E30090}"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4" personId="{B4A1B9F9-4F05-4929-52AF-3BFD274CC250}" id="{004E00DB-0040-4DAC-81A5-00370055000D}" done="0">
    <text xml:space="preserve">page 4: 
Logging residue supply curves are based on regional supply curve functions estimated using the spatial allocation optimization routine described in Baker et al. (2018).
</text>
  </threadedComment>
  <threadedComment ref="DX994" personId="{B4A1B9F9-4F05-4929-52AF-3BFD274CC250}" id="{001000A9-009E-41DE-8B04-001C00D300D6}" done="0">
    <text xml:space="preserve">reflecting of hauling forest biomass from plot to final demand point post-harvest.
</text>
  </threadedComment>
  <threadedComment ref="DY994" personId="{B4A1B9F9-4F05-4929-52AF-3BFD274CC250}" id="{005F00B3-00FE-4BCE-B865-00FC003A007B}" done="0">
    <text xml:space="preserve">Je ne suis pas sûre
</text>
  </threadedComment>
  <threadedComment ref="EB994" personId="{B4A1B9F9-4F05-4929-52AF-3BFD274CC250}" id="{004A0094-0059-413C-B21F-002200DC00E1}" done="0">
    <text xml:space="preserve">Change on domestic demand
</text>
  </threadedComment>
  <threadedComment ref="DV995" personId="{B4A1B9F9-4F05-4929-52AF-3BFD274CC250}" id="{00E100A8-002A-400B-8BB2-004F00CB00AE}"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5" personId="{B4A1B9F9-4F05-4929-52AF-3BFD274CC250}" id="{00DF00EC-0028-4963-8234-007F00C500FE}" done="0">
    <text xml:space="preserve">page 4: 
Logging residue supply curves are based on regional supply curve functions estimated using the spatial allocation optimization routine described in Baker et al. (2018).
</text>
  </threadedComment>
  <threadedComment ref="DX995" personId="{B4A1B9F9-4F05-4929-52AF-3BFD274CC250}" id="{00C9008F-005A-44E7-B9C6-00A600E90062}" done="0">
    <text xml:space="preserve">reflecting of hauling forest biomass from plot to final demand point post-harvest.
</text>
  </threadedComment>
  <threadedComment ref="DY995" personId="{B4A1B9F9-4F05-4929-52AF-3BFD274CC250}" id="{00B900BC-009A-4E0A-825C-000600B10036}" done="0">
    <text xml:space="preserve">Je ne suis pas sûre
</text>
  </threadedComment>
  <threadedComment ref="EC995" personId="{B4A1B9F9-4F05-4929-52AF-3BFD274CC250}" id="{00340052-00BC-4436-A913-0013000B0065}"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5" personId="{B4A1B9F9-4F05-4929-52AF-3BFD274CC250}" id="{005B00C3-00FC-47F9-BA73-001000D10081}" done="0">
    <text xml:space="preserve">Change on domestic demand
</text>
  </threadedComment>
  <threadedComment ref="DV996" personId="{B4A1B9F9-4F05-4929-52AF-3BFD274CC250}" id="{00FA0096-001B-4FC4-BFEA-008C006A00E5}"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6" personId="{B4A1B9F9-4F05-4929-52AF-3BFD274CC250}" id="{009B0090-0029-4236-B3AC-006C009C00CD}" done="0">
    <text xml:space="preserve">page 4: 
Logging residue supply curves are based on regional supply curve functions estimated using the spatial allocation optimization routine described in Baker et al. (2018).
</text>
  </threadedComment>
  <threadedComment ref="DX996" personId="{B4A1B9F9-4F05-4929-52AF-3BFD274CC250}" id="{00E1009E-005F-4360-ACD1-000C00A40034}" done="0">
    <text xml:space="preserve">reflecting of hauling forest biomass from plot to final demand point post-harvest.
</text>
  </threadedComment>
  <threadedComment ref="DY996" personId="{B4A1B9F9-4F05-4929-52AF-3BFD274CC250}" id="{00900085-0089-4EAB-A222-00C500AE0030}" done="0">
    <text xml:space="preserve">Je ne suis pas sûre
</text>
  </threadedComment>
  <threadedComment ref="EC996" personId="{B4A1B9F9-4F05-4929-52AF-3BFD274CC250}" id="{00FA00B1-00F3-4D2D-A49A-005D001100F3}"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6" personId="{B4A1B9F9-4F05-4929-52AF-3BFD274CC250}" id="{007B0061-0062-4646-94B8-00D1001D008F}" done="0">
    <text xml:space="preserve">Change on domestic demand
</text>
  </threadedComment>
  <threadedComment ref="DV997" personId="{B4A1B9F9-4F05-4929-52AF-3BFD274CC250}" id="{00FD0047-0084-47CC-B6C9-00E5006D0006}"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7" personId="{B4A1B9F9-4F05-4929-52AF-3BFD274CC250}" id="{0088006E-00AC-4395-95C7-0027000C0032}" done="0">
    <text xml:space="preserve">page 4: 
Logging residue supply curves are based on regional supply curve functions estimated using the spatial allocation optimization routine described in Baker et al. (2018).
</text>
  </threadedComment>
  <threadedComment ref="DX997" personId="{B4A1B9F9-4F05-4929-52AF-3BFD274CC250}" id="{004E00E5-00F0-43BF-A9B1-003F00CB00BE}" done="0">
    <text xml:space="preserve">reflecting of hauling forest biomass from plot to final demand point post-harvest.
</text>
  </threadedComment>
  <threadedComment ref="DY997" personId="{B4A1B9F9-4F05-4929-52AF-3BFD274CC250}" id="{001E00CF-0075-4C18-8205-001400B6000E}" done="0">
    <text xml:space="preserve">Je ne suis pas sûre
</text>
  </threadedComment>
  <threadedComment ref="EC997" personId="{B4A1B9F9-4F05-4929-52AF-3BFD274CC250}" id="{006B00AC-00CB-4139-9E9A-008400B500E2}"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7" personId="{B4A1B9F9-4F05-4929-52AF-3BFD274CC250}" id="{003D00F6-00B7-487F-B561-004900D300D8}" done="0">
    <text xml:space="preserve">Change on domestic demand
</text>
  </threadedComment>
</ThreadedComments>
</file>

<file path=xl/threadedComments/threadedComment2.xml><?xml version="1.0" encoding="utf-8"?>
<ThreadedComments xmlns="http://schemas.microsoft.com/office/spreadsheetml/2018/threadedcomments" xmlns:x="http://schemas.openxmlformats.org/spreadsheetml/2006/main">
  <threadedComment ref="E2" personId="{9DD4F19F-4D62-70CC-6F05-7D4DA1931E33}" id="{00B60088-0080-489A-8313-00FA007800FE}" done="0">
    <text xml:space="preserve">400 pour du résineux mais pour du feuillu on est plutôt à 580. Moyenne des deux ?
</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doi.org/10.1139/x03-020" TargetMode="External"/><Relationship Id="rId21" Type="http://schemas.openxmlformats.org/officeDocument/2006/relationships/hyperlink" Target="https://doi.org/10.1088/1748-9326/aaaa03" TargetMode="External"/><Relationship Id="rId34" Type="http://schemas.openxmlformats.org/officeDocument/2006/relationships/hyperlink" Target="https://doi.org/10.1139/x03-020" TargetMode="External"/><Relationship Id="rId42" Type="http://schemas.openxmlformats.org/officeDocument/2006/relationships/hyperlink" Target="https://doi.org/10.1111/j.1757-1707.2012.01161.x" TargetMode="External"/><Relationship Id="rId47" Type="http://schemas.openxmlformats.org/officeDocument/2006/relationships/hyperlink" Target="https://www.sciencedirect.com/science/article/abs/pii/S0306261913005771?via%3Dihub" TargetMode="External"/><Relationship Id="rId50" Type="http://schemas.openxmlformats.org/officeDocument/2006/relationships/hyperlink" Target="https://doi.org/10.1016/j.biombioe.2014.04.012" TargetMode="External"/><Relationship Id="rId55" Type="http://schemas.openxmlformats.org/officeDocument/2006/relationships/hyperlink" Target="https://doi.org/10.1016/j.biombioe.2014.04.012" TargetMode="External"/><Relationship Id="rId63" Type="http://schemas.openxmlformats.org/officeDocument/2006/relationships/hyperlink" Target="http://dx.doi.org/10.21660/2015.15.4239" TargetMode="External"/><Relationship Id="rId68" Type="http://schemas.microsoft.com/office/2017/10/relationships/threadedComment" Target="../threadedComments/threadedComment1.xml"/><Relationship Id="rId7" Type="http://schemas.openxmlformats.org/officeDocument/2006/relationships/hyperlink" Target="https://doi.org/10.1088/1748-9326/aaaa03" TargetMode="External"/><Relationship Id="rId2" Type="http://schemas.openxmlformats.org/officeDocument/2006/relationships/hyperlink" Target="https://doi.org/10.1088/1748-9326/aaaa03" TargetMode="External"/><Relationship Id="rId16" Type="http://schemas.openxmlformats.org/officeDocument/2006/relationships/hyperlink" Target="https://doi.org/10.1088/1748-9326/aaaa03" TargetMode="External"/><Relationship Id="rId29" Type="http://schemas.openxmlformats.org/officeDocument/2006/relationships/hyperlink" Target="https://doi.org/10.1016/S1462-9011(01)00044-2" TargetMode="External"/><Relationship Id="rId11" Type="http://schemas.openxmlformats.org/officeDocument/2006/relationships/hyperlink" Target="https://doi.org/10.1088/1748-9326/aaaa03" TargetMode="External"/><Relationship Id="rId24" Type="http://schemas.openxmlformats.org/officeDocument/2006/relationships/hyperlink" Target="https://doi.org/10.1088/1748-9326/aaaa03" TargetMode="External"/><Relationship Id="rId32" Type="http://schemas.openxmlformats.org/officeDocument/2006/relationships/hyperlink" Target="https://doi.org/10.1016/S1462-9011(01)00044-2" TargetMode="External"/><Relationship Id="rId37" Type="http://schemas.openxmlformats.org/officeDocument/2006/relationships/hyperlink" Target="https://doi.org/10.1139/x03-020" TargetMode="External"/><Relationship Id="rId40" Type="http://schemas.openxmlformats.org/officeDocument/2006/relationships/hyperlink" Target="https://doi.org/10.1139/X06-257" TargetMode="External"/><Relationship Id="rId45" Type="http://schemas.openxmlformats.org/officeDocument/2006/relationships/hyperlink" Target="https://www.sciencedirect.com/science/article/abs/pii/S0306261913005771?via%3Dihub" TargetMode="External"/><Relationship Id="rId53" Type="http://schemas.openxmlformats.org/officeDocument/2006/relationships/hyperlink" Target="https://doi.org/10.1016/j.biombioe.2014.04.012" TargetMode="External"/><Relationship Id="rId58" Type="http://schemas.openxmlformats.org/officeDocument/2006/relationships/hyperlink" Target="https://doi.org/10.1016/j.biombioe.2014.04.012" TargetMode="External"/><Relationship Id="rId66" Type="http://schemas.openxmlformats.org/officeDocument/2006/relationships/vmlDrawing" Target="../drawings/vmlDrawing1.vml"/><Relationship Id="rId5" Type="http://schemas.openxmlformats.org/officeDocument/2006/relationships/hyperlink" Target="https://doi.org/10.1088/1748-9326/aaaa03" TargetMode="External"/><Relationship Id="rId61" Type="http://schemas.openxmlformats.org/officeDocument/2006/relationships/hyperlink" Target="https://doi.org/10.1016/j.jenvman.2013.07.021" TargetMode="External"/><Relationship Id="rId19" Type="http://schemas.openxmlformats.org/officeDocument/2006/relationships/hyperlink" Target="https://doi.org/10.1088/1748-9326/aaaa03" TargetMode="External"/><Relationship Id="rId14" Type="http://schemas.openxmlformats.org/officeDocument/2006/relationships/hyperlink" Target="https://doi.org/10.1088/1748-9326/aaaa03" TargetMode="External"/><Relationship Id="rId22" Type="http://schemas.openxmlformats.org/officeDocument/2006/relationships/hyperlink" Target="https://doi.org/10.1088/1748-9326/aaaa03" TargetMode="External"/><Relationship Id="rId27" Type="http://schemas.openxmlformats.org/officeDocument/2006/relationships/hyperlink" Target="https://doi.org/10.1016/S1462-9011(01)00044-2" TargetMode="External"/><Relationship Id="rId30" Type="http://schemas.openxmlformats.org/officeDocument/2006/relationships/hyperlink" Target="https://doi.org/10.1016/S1462-9011(01)00044-2" TargetMode="External"/><Relationship Id="rId35" Type="http://schemas.openxmlformats.org/officeDocument/2006/relationships/hyperlink" Target="https://doi.org/10.1139/x03-020" TargetMode="External"/><Relationship Id="rId43" Type="http://schemas.openxmlformats.org/officeDocument/2006/relationships/hyperlink" Target="https://www.sciencedirect.com/science/article/abs/pii/S0306261913005771?via%3Dihub" TargetMode="External"/><Relationship Id="rId48" Type="http://schemas.openxmlformats.org/officeDocument/2006/relationships/hyperlink" Target="https://doi.org/10.1016/j.biombioe.2014.04.012" TargetMode="External"/><Relationship Id="rId56" Type="http://schemas.openxmlformats.org/officeDocument/2006/relationships/hyperlink" Target="https://doi.org/10.1016/j.biombioe.2014.04.012" TargetMode="External"/><Relationship Id="rId64" Type="http://schemas.openxmlformats.org/officeDocument/2006/relationships/hyperlink" Target="http://dx.doi.org/10.1023/A:1010655806130" TargetMode="External"/><Relationship Id="rId8" Type="http://schemas.openxmlformats.org/officeDocument/2006/relationships/hyperlink" Target="https://doi.org/10.1088/1748-9326/aaaa03" TargetMode="External"/><Relationship Id="rId51" Type="http://schemas.openxmlformats.org/officeDocument/2006/relationships/hyperlink" Target="https://doi.org/10.1016/j.biombioe.2014.04.012" TargetMode="External"/><Relationship Id="rId3" Type="http://schemas.openxmlformats.org/officeDocument/2006/relationships/hyperlink" Target="https://doi.org/10.1088/1748-9326/aaaa03" TargetMode="External"/><Relationship Id="rId12" Type="http://schemas.openxmlformats.org/officeDocument/2006/relationships/hyperlink" Target="https://doi.org/10.1088/1748-9326/aaaa03" TargetMode="External"/><Relationship Id="rId17" Type="http://schemas.openxmlformats.org/officeDocument/2006/relationships/hyperlink" Target="https://doi.org/10.1088/1748-9326/aaaa03" TargetMode="External"/><Relationship Id="rId25" Type="http://schemas.openxmlformats.org/officeDocument/2006/relationships/hyperlink" Target="https://doi.org/10.1016/j.apenergy.2014.10.013" TargetMode="External"/><Relationship Id="rId33" Type="http://schemas.openxmlformats.org/officeDocument/2006/relationships/hyperlink" Target="https://doi.org/10.1016/S1462-9011(01)00044-2" TargetMode="External"/><Relationship Id="rId38" Type="http://schemas.openxmlformats.org/officeDocument/2006/relationships/hyperlink" Target="https://doi.org/10.1139/x03-020" TargetMode="External"/><Relationship Id="rId46" Type="http://schemas.openxmlformats.org/officeDocument/2006/relationships/hyperlink" Target="https://www.sciencedirect.com/science/article/abs/pii/S0306261913005771?via%3Dihub" TargetMode="External"/><Relationship Id="rId59" Type="http://schemas.openxmlformats.org/officeDocument/2006/relationships/hyperlink" Target="https://doi.org/10.1016/j.biombioe.2014.04.012" TargetMode="External"/><Relationship Id="rId67" Type="http://schemas.openxmlformats.org/officeDocument/2006/relationships/comments" Target="../comments1.xml"/><Relationship Id="rId20" Type="http://schemas.openxmlformats.org/officeDocument/2006/relationships/hyperlink" Target="https://doi.org/10.1088/1748-9326/aaaa03" TargetMode="External"/><Relationship Id="rId41" Type="http://schemas.openxmlformats.org/officeDocument/2006/relationships/hyperlink" Target="https://doi.org/10.1139/X06-257" TargetMode="External"/><Relationship Id="rId54" Type="http://schemas.openxmlformats.org/officeDocument/2006/relationships/hyperlink" Target="https://doi.org/10.1016/j.biombioe.2014.04.012" TargetMode="External"/><Relationship Id="rId62" Type="http://schemas.openxmlformats.org/officeDocument/2006/relationships/hyperlink" Target="https://doi.org/10.1111/gcbb.12225" TargetMode="External"/><Relationship Id="rId1" Type="http://schemas.openxmlformats.org/officeDocument/2006/relationships/hyperlink" Target="https://doi.org/10.1088/1748-9326/aaaa03" TargetMode="External"/><Relationship Id="rId6" Type="http://schemas.openxmlformats.org/officeDocument/2006/relationships/hyperlink" Target="https://doi.org/10.1088/1748-9326/aaaa03" TargetMode="External"/><Relationship Id="rId15" Type="http://schemas.openxmlformats.org/officeDocument/2006/relationships/hyperlink" Target="https://doi.org/10.1088/1748-9326/aaaa03" TargetMode="External"/><Relationship Id="rId23" Type="http://schemas.openxmlformats.org/officeDocument/2006/relationships/hyperlink" Target="https://doi.org/10.1088/1748-9326/aaaa03" TargetMode="External"/><Relationship Id="rId28" Type="http://schemas.openxmlformats.org/officeDocument/2006/relationships/hyperlink" Target="https://doi.org/10.1016/S1462-9011(01)00044-2" TargetMode="External"/><Relationship Id="rId36" Type="http://schemas.openxmlformats.org/officeDocument/2006/relationships/hyperlink" Target="https://doi.org/10.1139/x03-020" TargetMode="External"/><Relationship Id="rId49" Type="http://schemas.openxmlformats.org/officeDocument/2006/relationships/hyperlink" Target="https://doi.org/10.1016/j.biombioe.2014.04.012" TargetMode="External"/><Relationship Id="rId57" Type="http://schemas.openxmlformats.org/officeDocument/2006/relationships/hyperlink" Target="https://doi.org/10.1016/j.biombioe.2014.04.012" TargetMode="External"/><Relationship Id="rId10" Type="http://schemas.openxmlformats.org/officeDocument/2006/relationships/hyperlink" Target="https://doi.org/10.1088/1748-9326/aaaa03" TargetMode="External"/><Relationship Id="rId31" Type="http://schemas.openxmlformats.org/officeDocument/2006/relationships/hyperlink" Target="https://doi.org/10.1016/S1462-9011(01)00044-2" TargetMode="External"/><Relationship Id="rId44" Type="http://schemas.openxmlformats.org/officeDocument/2006/relationships/hyperlink" Target="https://www.sciencedirect.com/science/article/abs/pii/S0306261913005771?via%3Dihub" TargetMode="External"/><Relationship Id="rId52" Type="http://schemas.openxmlformats.org/officeDocument/2006/relationships/hyperlink" Target="https://doi.org/10.1016/j.biombioe.2014.04.012" TargetMode="External"/><Relationship Id="rId60" Type="http://schemas.openxmlformats.org/officeDocument/2006/relationships/hyperlink" Target="http://dx.doi.org/10.22382/wfs-2018-011" TargetMode="External"/><Relationship Id="rId65" Type="http://schemas.openxmlformats.org/officeDocument/2006/relationships/hyperlink" Target="https://doi.org/10.1093/jof/109.s1.S7" TargetMode="External"/><Relationship Id="rId4" Type="http://schemas.openxmlformats.org/officeDocument/2006/relationships/hyperlink" Target="https://doi.org/10.1088/1748-9326/aaaa03" TargetMode="External"/><Relationship Id="rId9" Type="http://schemas.openxmlformats.org/officeDocument/2006/relationships/hyperlink" Target="https://doi.org/10.1088/1748-9326/aaaa03" TargetMode="External"/><Relationship Id="rId13" Type="http://schemas.openxmlformats.org/officeDocument/2006/relationships/hyperlink" Target="https://doi.org/10.1088/1748-9326/aaaa03" TargetMode="External"/><Relationship Id="rId18" Type="http://schemas.openxmlformats.org/officeDocument/2006/relationships/hyperlink" Target="https://doi.org/10.1088/1748-9326/aaaa03" TargetMode="External"/><Relationship Id="rId39" Type="http://schemas.openxmlformats.org/officeDocument/2006/relationships/hyperlink" Target="https://doi.org/10.1016/j.jenvman.2013.07.021"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U1968"/>
  <sheetViews>
    <sheetView tabSelected="1" zoomScale="125" workbookViewId="0">
      <pane xSplit="13" ySplit="7" topLeftCell="N939" activePane="bottomRight" state="frozen"/>
      <selection activeCell="M1410" sqref="M1410"/>
      <selection pane="topRight"/>
      <selection pane="bottomLeft"/>
      <selection pane="bottomRight" activeCell="L1747" sqref="L1747"/>
    </sheetView>
  </sheetViews>
  <sheetFormatPr baseColWidth="10" defaultColWidth="10.6640625" defaultRowHeight="16"/>
  <cols>
    <col min="1" max="1" width="1.6640625" style="1" customWidth="1"/>
    <col min="2" max="2" width="2.83203125" customWidth="1"/>
    <col min="3" max="3" width="1.83203125" customWidth="1"/>
    <col min="4" max="4" width="2.83203125" customWidth="1"/>
    <col min="5" max="5" width="3.5" customWidth="1"/>
    <col min="6" max="6" width="3" customWidth="1"/>
    <col min="7" max="7" width="3.5" customWidth="1"/>
    <col min="8" max="9" width="3.6640625" customWidth="1"/>
    <col min="10" max="10" width="2.33203125" customWidth="1"/>
    <col min="11" max="11" width="2.83203125" customWidth="1"/>
    <col min="12" max="12" width="2.5" customWidth="1"/>
    <col min="13" max="13" width="19.33203125" customWidth="1"/>
    <col min="14" max="14" width="10.6640625" customWidth="1"/>
    <col min="17" max="17" width="10.83203125" bestFit="1" customWidth="1"/>
    <col min="18" max="18" width="10.83203125" style="2" customWidth="1"/>
    <col min="19" max="19" width="17.6640625" style="1" customWidth="1"/>
    <col min="20" max="20" width="20.6640625" customWidth="1"/>
    <col min="21" max="21" width="21.33203125" customWidth="1"/>
    <col min="22" max="49" width="3.33203125" customWidth="1"/>
    <col min="52" max="56" width="5.83203125" customWidth="1"/>
    <col min="57" max="57" width="14.6640625" style="3" customWidth="1"/>
    <col min="58" max="58" width="10.6640625" style="4"/>
    <col min="59" max="59" width="5.5" style="1" customWidth="1"/>
    <col min="60" max="60" width="7" customWidth="1"/>
    <col min="61" max="61" width="5.5" customWidth="1"/>
    <col min="62" max="62" width="4" customWidth="1"/>
    <col min="63" max="63" width="15.5" customWidth="1"/>
    <col min="64" max="64" width="12.83203125" customWidth="1"/>
    <col min="65" max="65" width="3.33203125" customWidth="1"/>
    <col min="66" max="66" width="6.1640625" customWidth="1"/>
    <col min="67" max="67" width="13" customWidth="1"/>
    <col min="68" max="68" width="12" customWidth="1"/>
    <col min="69" max="69" width="7.83203125" customWidth="1"/>
    <col min="70" max="70" width="3.1640625" customWidth="1"/>
    <col min="71" max="71" width="11.6640625" customWidth="1"/>
    <col min="72" max="72" width="12.5" customWidth="1"/>
    <col min="73" max="73" width="9.6640625" customWidth="1"/>
    <col min="74" max="74" width="10.1640625" customWidth="1"/>
    <col min="75" max="75" width="11.6640625" customWidth="1"/>
    <col min="76" max="76" width="13.6640625" customWidth="1"/>
    <col min="77" max="77" width="12.1640625" bestFit="1" customWidth="1"/>
    <col min="78" max="88" width="2.83203125" customWidth="1"/>
    <col min="89" max="89" width="18.6640625" bestFit="1" customWidth="1"/>
    <col min="90" max="90" width="17.83203125" bestFit="1" customWidth="1"/>
    <col min="91" max="91" width="19" bestFit="1" customWidth="1"/>
    <col min="92" max="94" width="10.6640625" style="3"/>
    <col min="95" max="95" width="13.33203125" style="3" bestFit="1" customWidth="1"/>
    <col min="96" max="97" width="10.6640625" style="3"/>
    <col min="98" max="99" width="13.6640625" style="3" customWidth="1"/>
    <col min="100" max="100" width="13.6640625" style="4" customWidth="1"/>
    <col min="101" max="101" width="10.6640625" style="1"/>
    <col min="102" max="102" width="15.6640625" style="3" bestFit="1" customWidth="1"/>
    <col min="107" max="107" width="15.6640625" style="3" bestFit="1" customWidth="1"/>
    <col min="113" max="113" width="5.33203125" style="3" customWidth="1"/>
    <col min="114" max="114" width="10.6640625" style="3"/>
    <col min="115" max="115" width="8.33203125" style="3" customWidth="1"/>
    <col min="116" max="116" width="5.83203125" style="3" customWidth="1"/>
    <col min="117" max="117" width="5.1640625" style="3" customWidth="1"/>
    <col min="118" max="118" width="5.6640625" style="3" customWidth="1"/>
    <col min="121" max="121" width="14.5" customWidth="1"/>
    <col min="123" max="123" width="18.1640625" customWidth="1"/>
    <col min="124" max="125" width="10.6640625" style="3"/>
    <col min="126" max="126" width="8.5" customWidth="1"/>
    <col min="127" max="127" width="6.6640625" customWidth="1"/>
    <col min="128" max="128" width="6.83203125" customWidth="1"/>
    <col min="129" max="129" width="6.6640625" customWidth="1"/>
    <col min="130" max="131" width="7.33203125" customWidth="1"/>
    <col min="132" max="132" width="6.5" customWidth="1"/>
    <col min="133" max="134" width="6.6640625" customWidth="1"/>
    <col min="135" max="135" width="7.83203125" customWidth="1"/>
    <col min="136" max="136" width="5.1640625" customWidth="1"/>
    <col min="137" max="137" width="4.33203125" customWidth="1"/>
    <col min="138" max="138" width="5.1640625" customWidth="1"/>
    <col min="139" max="139" width="7.1640625" style="2" customWidth="1"/>
    <col min="140" max="140" width="10.6640625" style="1"/>
    <col min="143" max="143" width="10.6640625" style="2"/>
    <col min="149" max="149" width="12.33203125" bestFit="1" customWidth="1"/>
  </cols>
  <sheetData>
    <row r="1" spans="1:151" s="5" customFormat="1">
      <c r="A1" s="6" t="s">
        <v>0</v>
      </c>
      <c r="B1" s="7" t="s">
        <v>0</v>
      </c>
      <c r="C1" s="7" t="s">
        <v>0</v>
      </c>
      <c r="D1" s="7" t="s">
        <v>0</v>
      </c>
      <c r="E1" s="7" t="s">
        <v>0</v>
      </c>
      <c r="F1" s="7" t="s">
        <v>0</v>
      </c>
      <c r="G1" s="7" t="s">
        <v>0</v>
      </c>
      <c r="H1" s="7" t="s">
        <v>0</v>
      </c>
      <c r="I1" s="7" t="s">
        <v>0</v>
      </c>
      <c r="J1" s="7" t="s">
        <v>0</v>
      </c>
      <c r="K1" s="7" t="s">
        <v>0</v>
      </c>
      <c r="L1" s="7" t="s">
        <v>0</v>
      </c>
      <c r="M1" s="7" t="s">
        <v>0</v>
      </c>
      <c r="N1" s="7" t="s">
        <v>0</v>
      </c>
      <c r="O1" s="8" t="s">
        <v>1</v>
      </c>
      <c r="P1" s="8" t="s">
        <v>1</v>
      </c>
      <c r="Q1" s="9"/>
      <c r="R1" s="10"/>
      <c r="S1" s="11" t="s">
        <v>2</v>
      </c>
      <c r="T1" s="12" t="s">
        <v>2</v>
      </c>
      <c r="U1" s="12" t="s">
        <v>2</v>
      </c>
      <c r="V1" s="12" t="s">
        <v>2</v>
      </c>
      <c r="W1" s="12" t="s">
        <v>2</v>
      </c>
      <c r="X1" s="12" t="s">
        <v>2</v>
      </c>
      <c r="Y1" s="12" t="s">
        <v>2</v>
      </c>
      <c r="Z1" s="12" t="s">
        <v>2</v>
      </c>
      <c r="AA1" s="12" t="s">
        <v>2</v>
      </c>
      <c r="AB1" s="12" t="s">
        <v>2</v>
      </c>
      <c r="AC1" s="12" t="s">
        <v>2</v>
      </c>
      <c r="AD1" s="12" t="s">
        <v>2</v>
      </c>
      <c r="AE1" s="12" t="s">
        <v>2</v>
      </c>
      <c r="AF1" s="12" t="s">
        <v>2</v>
      </c>
      <c r="AG1" s="12" t="s">
        <v>2</v>
      </c>
      <c r="AH1" s="12" t="s">
        <v>2</v>
      </c>
      <c r="AI1" s="12" t="s">
        <v>2</v>
      </c>
      <c r="AJ1" s="12" t="s">
        <v>2</v>
      </c>
      <c r="AK1" s="12" t="s">
        <v>2</v>
      </c>
      <c r="AL1" s="12" t="s">
        <v>2</v>
      </c>
      <c r="AM1" s="12" t="s">
        <v>2</v>
      </c>
      <c r="AN1" s="12" t="s">
        <v>2</v>
      </c>
      <c r="AO1" s="12" t="s">
        <v>2</v>
      </c>
      <c r="AP1" s="12" t="s">
        <v>2</v>
      </c>
      <c r="AQ1" s="12" t="s">
        <v>2</v>
      </c>
      <c r="AR1" s="12" t="s">
        <v>2</v>
      </c>
      <c r="AS1" s="12" t="s">
        <v>2</v>
      </c>
      <c r="AT1" s="12" t="s">
        <v>2</v>
      </c>
      <c r="AU1" s="12" t="s">
        <v>2</v>
      </c>
      <c r="AV1" s="12" t="s">
        <v>2</v>
      </c>
      <c r="AW1" s="12" t="s">
        <v>2</v>
      </c>
      <c r="AX1" s="12" t="s">
        <v>1</v>
      </c>
      <c r="AY1" s="12" t="s">
        <v>1</v>
      </c>
      <c r="AZ1" s="12"/>
      <c r="BA1" s="12"/>
      <c r="BB1" s="12"/>
      <c r="BC1" s="12" t="s">
        <v>1</v>
      </c>
      <c r="BD1" s="12" t="s">
        <v>1</v>
      </c>
      <c r="BE1" s="9" t="s">
        <v>2</v>
      </c>
      <c r="BF1" s="10" t="s">
        <v>2</v>
      </c>
      <c r="BG1" s="11" t="s">
        <v>3</v>
      </c>
      <c r="BH1" s="12" t="s">
        <v>3</v>
      </c>
      <c r="BI1" s="12"/>
      <c r="BJ1" s="12" t="s">
        <v>3</v>
      </c>
      <c r="BK1" s="12" t="s">
        <v>3</v>
      </c>
      <c r="BL1" s="12" t="s">
        <v>3</v>
      </c>
      <c r="BM1" s="12" t="s">
        <v>3</v>
      </c>
      <c r="BN1" s="12" t="s">
        <v>3</v>
      </c>
      <c r="BO1" s="12" t="s">
        <v>3</v>
      </c>
      <c r="BP1" s="12" t="s">
        <v>3</v>
      </c>
      <c r="BQ1" s="12"/>
      <c r="BR1" s="12" t="s">
        <v>3</v>
      </c>
      <c r="BS1" s="12" t="s">
        <v>3</v>
      </c>
      <c r="BT1" s="12" t="s">
        <v>3</v>
      </c>
      <c r="BU1" s="12" t="s">
        <v>3</v>
      </c>
      <c r="BV1" s="12" t="s">
        <v>3</v>
      </c>
      <c r="BW1" s="12"/>
      <c r="BX1" s="12" t="s">
        <v>3</v>
      </c>
      <c r="BY1" s="12" t="s">
        <v>3</v>
      </c>
      <c r="BZ1" s="12" t="s">
        <v>3</v>
      </c>
      <c r="CA1" s="12" t="s">
        <v>3</v>
      </c>
      <c r="CB1" s="12" t="s">
        <v>3</v>
      </c>
      <c r="CC1" s="12" t="s">
        <v>3</v>
      </c>
      <c r="CD1" s="12" t="s">
        <v>3</v>
      </c>
      <c r="CE1" s="12" t="s">
        <v>3</v>
      </c>
      <c r="CF1" s="12" t="s">
        <v>3</v>
      </c>
      <c r="CG1" s="12" t="s">
        <v>3</v>
      </c>
      <c r="CH1" s="12" t="s">
        <v>3</v>
      </c>
      <c r="CI1" s="12" t="s">
        <v>3</v>
      </c>
      <c r="CJ1" s="12" t="s">
        <v>3</v>
      </c>
      <c r="CK1" s="12" t="s">
        <v>3</v>
      </c>
      <c r="CL1" s="12" t="s">
        <v>3</v>
      </c>
      <c r="CM1" s="12" t="s">
        <v>3</v>
      </c>
      <c r="CN1" s="9" t="s">
        <v>3</v>
      </c>
      <c r="CO1" s="9" t="s">
        <v>3</v>
      </c>
      <c r="CP1" s="9" t="s">
        <v>3</v>
      </c>
      <c r="CQ1" s="9" t="s">
        <v>3</v>
      </c>
      <c r="CR1" s="9" t="s">
        <v>3</v>
      </c>
      <c r="CS1" s="9" t="s">
        <v>3</v>
      </c>
      <c r="CT1" s="9" t="s">
        <v>3</v>
      </c>
      <c r="CU1" s="9" t="s">
        <v>3</v>
      </c>
      <c r="CV1" s="10" t="s">
        <v>3</v>
      </c>
      <c r="CW1" s="13" t="s">
        <v>4</v>
      </c>
      <c r="CX1" s="14" t="s">
        <v>4</v>
      </c>
      <c r="CY1" s="14" t="s">
        <v>4</v>
      </c>
      <c r="CZ1" s="14" t="s">
        <v>4</v>
      </c>
      <c r="DA1" s="14" t="s">
        <v>4</v>
      </c>
      <c r="DB1" s="14" t="s">
        <v>4</v>
      </c>
      <c r="DC1" s="14" t="s">
        <v>4</v>
      </c>
      <c r="DD1" s="14" t="s">
        <v>4</v>
      </c>
      <c r="DE1" s="14" t="s">
        <v>4</v>
      </c>
      <c r="DF1" s="14" t="s">
        <v>4</v>
      </c>
      <c r="DG1" s="14" t="s">
        <v>4</v>
      </c>
      <c r="DH1" s="14" t="s">
        <v>4</v>
      </c>
      <c r="DI1" s="14" t="s">
        <v>4</v>
      </c>
      <c r="DJ1" s="14" t="s">
        <v>4</v>
      </c>
      <c r="DK1" s="14" t="s">
        <v>4</v>
      </c>
      <c r="DL1" s="14" t="s">
        <v>4</v>
      </c>
      <c r="DM1" s="14" t="s">
        <v>4</v>
      </c>
      <c r="DN1" s="14" t="s">
        <v>4</v>
      </c>
      <c r="DO1" s="14" t="s">
        <v>4</v>
      </c>
      <c r="DP1" s="14" t="s">
        <v>4</v>
      </c>
      <c r="DQ1" s="14" t="s">
        <v>4</v>
      </c>
      <c r="DR1" s="14" t="s">
        <v>4</v>
      </c>
      <c r="DS1" s="14" t="s">
        <v>4</v>
      </c>
      <c r="DT1" s="14" t="s">
        <v>4</v>
      </c>
      <c r="DU1" s="14" t="s">
        <v>4</v>
      </c>
      <c r="DV1" s="14" t="s">
        <v>4</v>
      </c>
      <c r="DW1" s="14" t="s">
        <v>4</v>
      </c>
      <c r="DX1" s="14" t="s">
        <v>4</v>
      </c>
      <c r="DY1" s="14" t="s">
        <v>4</v>
      </c>
      <c r="DZ1" s="14" t="s">
        <v>4</v>
      </c>
      <c r="EA1" s="14" t="s">
        <v>4</v>
      </c>
      <c r="EB1" s="14" t="s">
        <v>4</v>
      </c>
      <c r="EC1" s="14" t="s">
        <v>4</v>
      </c>
      <c r="ED1" s="14" t="s">
        <v>4</v>
      </c>
      <c r="EE1" s="14" t="s">
        <v>4</v>
      </c>
      <c r="EF1" s="15" t="s">
        <v>4</v>
      </c>
      <c r="EG1" s="15" t="s">
        <v>4</v>
      </c>
      <c r="EH1" s="15" t="s">
        <v>4</v>
      </c>
      <c r="EI1" s="16" t="s">
        <v>4</v>
      </c>
      <c r="EJ1" s="17"/>
      <c r="EK1" s="18"/>
      <c r="EL1" s="18"/>
      <c r="EM1" s="19"/>
      <c r="EN1" s="20" t="s">
        <v>1</v>
      </c>
      <c r="EO1" s="5" t="s">
        <v>1</v>
      </c>
      <c r="EP1" s="5" t="s">
        <v>1</v>
      </c>
      <c r="EQ1" s="5" t="s">
        <v>1</v>
      </c>
      <c r="ER1" s="5" t="s">
        <v>1</v>
      </c>
      <c r="ES1" s="21" t="s">
        <v>1</v>
      </c>
      <c r="ET1" s="20"/>
    </row>
    <row r="2" spans="1:151" s="22" customFormat="1" ht="26" hidden="1" customHeight="1">
      <c r="A2" s="23" t="s">
        <v>5</v>
      </c>
      <c r="B2" s="24" t="s">
        <v>5</v>
      </c>
      <c r="C2" s="24" t="s">
        <v>5</v>
      </c>
      <c r="D2" s="24" t="s">
        <v>5</v>
      </c>
      <c r="E2" s="24" t="s">
        <v>5</v>
      </c>
      <c r="F2" s="24" t="s">
        <v>5</v>
      </c>
      <c r="G2" s="24" t="s">
        <v>5</v>
      </c>
      <c r="H2" s="24" t="s">
        <v>5</v>
      </c>
      <c r="I2" s="24" t="s">
        <v>5</v>
      </c>
      <c r="J2" s="24" t="s">
        <v>5</v>
      </c>
      <c r="K2" s="24" t="s">
        <v>5</v>
      </c>
      <c r="L2" s="24" t="s">
        <v>5</v>
      </c>
      <c r="M2" s="24" t="s">
        <v>5</v>
      </c>
      <c r="N2" s="24" t="s">
        <v>1</v>
      </c>
      <c r="O2" s="25" t="s">
        <v>6</v>
      </c>
      <c r="P2" s="25" t="s">
        <v>7</v>
      </c>
      <c r="Q2" s="26" t="s">
        <v>8</v>
      </c>
      <c r="R2" s="27"/>
      <c r="S2" s="28" t="s">
        <v>9</v>
      </c>
      <c r="T2" s="29" t="s">
        <v>9</v>
      </c>
      <c r="U2" s="29" t="s">
        <v>9</v>
      </c>
      <c r="V2" s="30" t="s">
        <v>10</v>
      </c>
      <c r="W2" s="30" t="s">
        <v>10</v>
      </c>
      <c r="X2" s="30" t="s">
        <v>10</v>
      </c>
      <c r="Y2" s="30" t="s">
        <v>10</v>
      </c>
      <c r="Z2" s="30" t="s">
        <v>10</v>
      </c>
      <c r="AA2" s="30" t="s">
        <v>10</v>
      </c>
      <c r="AB2" s="30" t="s">
        <v>10</v>
      </c>
      <c r="AC2" s="30" t="s">
        <v>10</v>
      </c>
      <c r="AD2" s="30" t="s">
        <v>10</v>
      </c>
      <c r="AE2" s="30" t="s">
        <v>10</v>
      </c>
      <c r="AF2" s="30" t="s">
        <v>10</v>
      </c>
      <c r="AG2" s="30" t="s">
        <v>10</v>
      </c>
      <c r="AH2" s="30" t="s">
        <v>10</v>
      </c>
      <c r="AI2" s="30" t="s">
        <v>10</v>
      </c>
      <c r="AJ2" s="30" t="s">
        <v>10</v>
      </c>
      <c r="AK2" s="30" t="s">
        <v>10</v>
      </c>
      <c r="AL2" s="30" t="s">
        <v>10</v>
      </c>
      <c r="AM2" s="31" t="s">
        <v>11</v>
      </c>
      <c r="AN2" s="31" t="s">
        <v>11</v>
      </c>
      <c r="AO2" s="31" t="s">
        <v>11</v>
      </c>
      <c r="AP2" s="31" t="s">
        <v>11</v>
      </c>
      <c r="AQ2" s="31" t="s">
        <v>11</v>
      </c>
      <c r="AR2" s="31" t="s">
        <v>11</v>
      </c>
      <c r="AS2" s="31" t="s">
        <v>11</v>
      </c>
      <c r="AT2" s="31" t="s">
        <v>11</v>
      </c>
      <c r="AU2" s="31" t="s">
        <v>11</v>
      </c>
      <c r="AV2" s="31" t="s">
        <v>11</v>
      </c>
      <c r="AW2" s="31" t="s">
        <v>11</v>
      </c>
      <c r="AX2" s="25" t="s">
        <v>7</v>
      </c>
      <c r="AY2" s="32" t="s">
        <v>12</v>
      </c>
      <c r="AZ2" s="33"/>
      <c r="BA2" s="33"/>
      <c r="BB2" s="33"/>
      <c r="BC2" s="33" t="s">
        <v>12</v>
      </c>
      <c r="BD2" s="33" t="s">
        <v>12</v>
      </c>
      <c r="BE2" s="33" t="s">
        <v>9</v>
      </c>
      <c r="BF2" s="34" t="s">
        <v>9</v>
      </c>
      <c r="BG2" s="35" t="s">
        <v>13</v>
      </c>
      <c r="BH2" s="36" t="s">
        <v>13</v>
      </c>
      <c r="BI2" s="36"/>
      <c r="BJ2" s="36" t="s">
        <v>13</v>
      </c>
      <c r="BK2" s="36" t="s">
        <v>13</v>
      </c>
      <c r="BL2" s="36" t="s">
        <v>13</v>
      </c>
      <c r="BM2" s="36" t="s">
        <v>13</v>
      </c>
      <c r="BN2" s="36" t="s">
        <v>13</v>
      </c>
      <c r="BO2" s="36" t="s">
        <v>13</v>
      </c>
      <c r="BP2" s="36" t="s">
        <v>13</v>
      </c>
      <c r="BQ2" s="36"/>
      <c r="BR2" s="36" t="s">
        <v>13</v>
      </c>
      <c r="BS2" s="36" t="s">
        <v>13</v>
      </c>
      <c r="BT2" s="36" t="s">
        <v>13</v>
      </c>
      <c r="BU2" s="36" t="s">
        <v>13</v>
      </c>
      <c r="BV2" s="36" t="s">
        <v>13</v>
      </c>
      <c r="BW2" s="36"/>
      <c r="BX2" s="36" t="s">
        <v>13</v>
      </c>
      <c r="BY2" s="37"/>
      <c r="BZ2" s="38" t="s">
        <v>14</v>
      </c>
      <c r="CA2" s="38" t="s">
        <v>14</v>
      </c>
      <c r="CB2" s="38" t="s">
        <v>14</v>
      </c>
      <c r="CC2" s="38" t="s">
        <v>14</v>
      </c>
      <c r="CD2" s="38" t="s">
        <v>14</v>
      </c>
      <c r="CE2" s="38" t="s">
        <v>14</v>
      </c>
      <c r="CF2" s="38" t="s">
        <v>14</v>
      </c>
      <c r="CG2" s="38" t="s">
        <v>14</v>
      </c>
      <c r="CH2" s="38" t="s">
        <v>14</v>
      </c>
      <c r="CI2" s="38" t="s">
        <v>14</v>
      </c>
      <c r="CJ2" s="38" t="s">
        <v>14</v>
      </c>
      <c r="CK2" s="38" t="s">
        <v>14</v>
      </c>
      <c r="CL2" s="38" t="s">
        <v>14</v>
      </c>
      <c r="CM2" s="38" t="s">
        <v>14</v>
      </c>
      <c r="CN2" s="39" t="s">
        <v>15</v>
      </c>
      <c r="CO2" s="39" t="s">
        <v>15</v>
      </c>
      <c r="CP2" s="39" t="s">
        <v>15</v>
      </c>
      <c r="CQ2" s="39" t="s">
        <v>15</v>
      </c>
      <c r="CR2" s="39" t="s">
        <v>15</v>
      </c>
      <c r="CS2" s="39" t="s">
        <v>15</v>
      </c>
      <c r="CT2" s="39" t="s">
        <v>15</v>
      </c>
      <c r="CU2" s="39" t="s">
        <v>15</v>
      </c>
      <c r="CV2" s="40" t="s">
        <v>15</v>
      </c>
      <c r="CW2" s="41" t="s">
        <v>16</v>
      </c>
      <c r="CX2" s="42" t="s">
        <v>16</v>
      </c>
      <c r="CY2" s="42" t="s">
        <v>16</v>
      </c>
      <c r="CZ2" s="42" t="s">
        <v>16</v>
      </c>
      <c r="DA2" s="42" t="s">
        <v>16</v>
      </c>
      <c r="DB2" s="42" t="s">
        <v>16</v>
      </c>
      <c r="DC2" s="42" t="s">
        <v>16</v>
      </c>
      <c r="DD2" s="42" t="s">
        <v>16</v>
      </c>
      <c r="DE2" s="42" t="s">
        <v>16</v>
      </c>
      <c r="DF2" s="42" t="s">
        <v>16</v>
      </c>
      <c r="DG2" s="42" t="s">
        <v>16</v>
      </c>
      <c r="DH2" s="42" t="s">
        <v>16</v>
      </c>
      <c r="DI2" s="43" t="s">
        <v>12</v>
      </c>
      <c r="DJ2" s="42" t="s">
        <v>16</v>
      </c>
      <c r="DK2" s="42" t="s">
        <v>16</v>
      </c>
      <c r="DL2" s="42" t="s">
        <v>16</v>
      </c>
      <c r="DM2" s="42" t="s">
        <v>16</v>
      </c>
      <c r="DN2" s="42" t="s">
        <v>16</v>
      </c>
      <c r="DO2" s="44" t="s">
        <v>17</v>
      </c>
      <c r="DP2" s="44" t="s">
        <v>17</v>
      </c>
      <c r="DQ2" s="44" t="s">
        <v>18</v>
      </c>
      <c r="DR2" s="44" t="s">
        <v>18</v>
      </c>
      <c r="DS2" s="44" t="s">
        <v>18</v>
      </c>
      <c r="DT2" s="43" t="s">
        <v>12</v>
      </c>
      <c r="DU2" s="43" t="s">
        <v>7</v>
      </c>
      <c r="DV2" s="44" t="s">
        <v>17</v>
      </c>
      <c r="DW2" s="44" t="s">
        <v>17</v>
      </c>
      <c r="DX2" s="44" t="s">
        <v>17</v>
      </c>
      <c r="DY2" s="44" t="s">
        <v>17</v>
      </c>
      <c r="DZ2" s="44" t="s">
        <v>17</v>
      </c>
      <c r="EA2" s="44" t="s">
        <v>17</v>
      </c>
      <c r="EB2" s="44" t="s">
        <v>17</v>
      </c>
      <c r="EC2" s="44" t="s">
        <v>17</v>
      </c>
      <c r="ED2" s="44" t="s">
        <v>17</v>
      </c>
      <c r="EE2" s="44" t="s">
        <v>17</v>
      </c>
      <c r="EF2" s="44" t="s">
        <v>17</v>
      </c>
      <c r="EG2" s="44" t="s">
        <v>17</v>
      </c>
      <c r="EH2" s="44" t="s">
        <v>17</v>
      </c>
      <c r="EI2" s="45" t="s">
        <v>17</v>
      </c>
      <c r="EJ2" s="46"/>
      <c r="EK2" s="47"/>
      <c r="EL2" s="47"/>
      <c r="EM2" s="48"/>
      <c r="EN2" s="49" t="s">
        <v>7</v>
      </c>
      <c r="EO2" s="50" t="s">
        <v>7</v>
      </c>
      <c r="EP2" s="50" t="s">
        <v>7</v>
      </c>
      <c r="EQ2" s="50" t="s">
        <v>7</v>
      </c>
      <c r="ER2" s="50" t="s">
        <v>7</v>
      </c>
      <c r="ES2" s="51" t="s">
        <v>12</v>
      </c>
      <c r="ET2" s="52"/>
    </row>
    <row r="3" spans="1:151" s="22" customFormat="1" ht="16" hidden="1" customHeight="1">
      <c r="A3" s="23"/>
      <c r="B3" s="24"/>
      <c r="C3" s="24"/>
      <c r="D3" s="24"/>
      <c r="E3" s="24"/>
      <c r="F3" s="24"/>
      <c r="G3" s="24"/>
      <c r="H3" s="24"/>
      <c r="I3" s="24"/>
      <c r="J3" s="24"/>
      <c r="K3" s="24"/>
      <c r="L3" s="24"/>
      <c r="M3" s="24"/>
      <c r="N3" s="24"/>
      <c r="O3" s="25"/>
      <c r="P3" s="25"/>
      <c r="Q3" s="26"/>
      <c r="R3" s="27"/>
      <c r="S3" s="28"/>
      <c r="T3" s="29"/>
      <c r="U3" s="29"/>
      <c r="V3" s="30" t="s">
        <v>19</v>
      </c>
      <c r="W3" s="30" t="s">
        <v>19</v>
      </c>
      <c r="X3" s="30" t="s">
        <v>19</v>
      </c>
      <c r="Y3" s="30" t="s">
        <v>19</v>
      </c>
      <c r="Z3" s="30" t="s">
        <v>19</v>
      </c>
      <c r="AA3" s="30" t="s">
        <v>19</v>
      </c>
      <c r="AB3" s="30" t="s">
        <v>19</v>
      </c>
      <c r="AC3" s="30" t="s">
        <v>19</v>
      </c>
      <c r="AD3" s="30" t="s">
        <v>19</v>
      </c>
      <c r="AE3" s="30" t="s">
        <v>19</v>
      </c>
      <c r="AF3" s="30" t="s">
        <v>19</v>
      </c>
      <c r="AG3" s="30" t="s">
        <v>19</v>
      </c>
      <c r="AH3" s="30" t="s">
        <v>19</v>
      </c>
      <c r="AI3" s="30" t="s">
        <v>19</v>
      </c>
      <c r="AJ3" s="30" t="s">
        <v>19</v>
      </c>
      <c r="AK3" s="30" t="s">
        <v>19</v>
      </c>
      <c r="AL3" s="30" t="s">
        <v>19</v>
      </c>
      <c r="AM3" s="53" t="s">
        <v>20</v>
      </c>
      <c r="AN3" s="53" t="s">
        <v>20</v>
      </c>
      <c r="AO3" s="53" t="s">
        <v>20</v>
      </c>
      <c r="AP3" s="53" t="s">
        <v>20</v>
      </c>
      <c r="AQ3" s="53" t="s">
        <v>20</v>
      </c>
      <c r="AR3" s="53" t="s">
        <v>20</v>
      </c>
      <c r="AS3" s="53" t="s">
        <v>20</v>
      </c>
      <c r="AT3" s="53" t="s">
        <v>20</v>
      </c>
      <c r="AU3" s="53" t="s">
        <v>20</v>
      </c>
      <c r="AV3" s="53" t="s">
        <v>20</v>
      </c>
      <c r="AW3" s="53" t="s">
        <v>20</v>
      </c>
      <c r="AX3" s="25"/>
      <c r="AY3" s="32"/>
      <c r="AZ3" s="33"/>
      <c r="BA3" s="33"/>
      <c r="BB3" s="33"/>
      <c r="BC3" s="33"/>
      <c r="BD3" s="33"/>
      <c r="BE3" s="33"/>
      <c r="BF3" s="34"/>
      <c r="BG3" s="35"/>
      <c r="BH3" s="36"/>
      <c r="BI3" s="36"/>
      <c r="BJ3" s="36"/>
      <c r="BK3" s="36"/>
      <c r="BL3" s="36"/>
      <c r="BM3" s="36"/>
      <c r="BN3" s="36"/>
      <c r="BO3" s="36"/>
      <c r="BP3" s="36"/>
      <c r="BQ3" s="36"/>
      <c r="BR3" s="36"/>
      <c r="BS3" s="36"/>
      <c r="BT3" s="36"/>
      <c r="BU3" s="36"/>
      <c r="BV3" s="36"/>
      <c r="BW3" s="36"/>
      <c r="BX3" s="36"/>
      <c r="BY3" s="37"/>
      <c r="BZ3" s="38"/>
      <c r="CA3" s="38"/>
      <c r="CB3" s="38"/>
      <c r="CC3" s="38"/>
      <c r="CD3" s="38"/>
      <c r="CE3" s="38"/>
      <c r="CF3" s="38"/>
      <c r="CG3" s="38"/>
      <c r="CH3" s="38"/>
      <c r="CI3" s="38"/>
      <c r="CJ3" s="38"/>
      <c r="CK3" s="38"/>
      <c r="CL3" s="38"/>
      <c r="CM3" s="38"/>
      <c r="CN3" s="39"/>
      <c r="CO3" s="39"/>
      <c r="CP3" s="39"/>
      <c r="CQ3" s="39"/>
      <c r="CR3" s="39"/>
      <c r="CS3" s="39"/>
      <c r="CT3" s="39"/>
      <c r="CU3" s="39"/>
      <c r="CV3" s="40"/>
      <c r="CW3" s="41"/>
      <c r="CX3" s="42"/>
      <c r="CY3" s="42"/>
      <c r="CZ3" s="42"/>
      <c r="DA3" s="42"/>
      <c r="DB3" s="42"/>
      <c r="DC3" s="42"/>
      <c r="DD3" s="42"/>
      <c r="DE3" s="42"/>
      <c r="DF3" s="42"/>
      <c r="DG3" s="42"/>
      <c r="DH3" s="44"/>
      <c r="DI3" s="43" t="s">
        <v>21</v>
      </c>
      <c r="DJ3" s="43"/>
      <c r="DK3" s="43"/>
      <c r="DL3" s="43"/>
      <c r="DM3" s="43"/>
      <c r="DN3" s="43"/>
      <c r="DO3" s="44" t="s">
        <v>22</v>
      </c>
      <c r="DP3" s="44" t="s">
        <v>22</v>
      </c>
      <c r="DQ3" s="44" t="s">
        <v>22</v>
      </c>
      <c r="DR3" s="44" t="s">
        <v>22</v>
      </c>
      <c r="DS3" s="44" t="s">
        <v>22</v>
      </c>
      <c r="DT3" s="43" t="s">
        <v>21</v>
      </c>
      <c r="DU3" s="43"/>
      <c r="DV3" s="44" t="s">
        <v>22</v>
      </c>
      <c r="DW3" s="44" t="s">
        <v>22</v>
      </c>
      <c r="DX3" s="44" t="s">
        <v>22</v>
      </c>
      <c r="DY3" s="44" t="s">
        <v>22</v>
      </c>
      <c r="DZ3" s="44" t="s">
        <v>22</v>
      </c>
      <c r="EA3" s="44" t="s">
        <v>22</v>
      </c>
      <c r="EB3" s="44" t="s">
        <v>22</v>
      </c>
      <c r="EC3" s="44" t="s">
        <v>22</v>
      </c>
      <c r="ED3" s="44" t="s">
        <v>22</v>
      </c>
      <c r="EE3" s="44" t="s">
        <v>22</v>
      </c>
      <c r="EF3" s="44" t="s">
        <v>23</v>
      </c>
      <c r="EG3" s="44" t="s">
        <v>24</v>
      </c>
      <c r="EH3" s="44" t="s">
        <v>25</v>
      </c>
      <c r="EI3" s="45" t="s">
        <v>26</v>
      </c>
      <c r="EJ3" s="46"/>
      <c r="EK3" s="47"/>
      <c r="EL3" s="47"/>
      <c r="EM3" s="48"/>
      <c r="EN3" s="49"/>
      <c r="EO3" s="50"/>
      <c r="EP3" s="50"/>
      <c r="EQ3" s="50"/>
      <c r="ER3" s="50"/>
      <c r="ES3" s="51"/>
      <c r="ET3" s="52"/>
    </row>
    <row r="4" spans="1:151" s="22" customFormat="1" ht="170">
      <c r="A4" s="54" t="s">
        <v>27</v>
      </c>
      <c r="B4" s="55" t="s">
        <v>28</v>
      </c>
      <c r="C4" s="55" t="s">
        <v>28</v>
      </c>
      <c r="D4" s="55" t="s">
        <v>29</v>
      </c>
      <c r="E4" s="55" t="s">
        <v>28</v>
      </c>
      <c r="F4" s="55" t="s">
        <v>28</v>
      </c>
      <c r="G4" s="55" t="s">
        <v>30</v>
      </c>
      <c r="H4" s="55" t="s">
        <v>27</v>
      </c>
      <c r="I4" s="55" t="s">
        <v>27</v>
      </c>
      <c r="J4" s="55" t="s">
        <v>27</v>
      </c>
      <c r="K4" s="55" t="s">
        <v>27</v>
      </c>
      <c r="L4" s="55" t="s">
        <v>27</v>
      </c>
      <c r="M4" s="55" t="s">
        <v>29</v>
      </c>
      <c r="N4" s="56" t="s">
        <v>31</v>
      </c>
      <c r="O4" s="57" t="s">
        <v>32</v>
      </c>
      <c r="P4" s="58" t="s">
        <v>33</v>
      </c>
      <c r="Q4" s="59"/>
      <c r="R4" s="60"/>
      <c r="S4" s="61" t="s">
        <v>34</v>
      </c>
      <c r="T4" s="62" t="s">
        <v>34</v>
      </c>
      <c r="U4" s="63" t="s">
        <v>34</v>
      </c>
      <c r="V4" s="64" t="s">
        <v>5203</v>
      </c>
      <c r="W4" s="64" t="s">
        <v>5203</v>
      </c>
      <c r="X4" s="64" t="s">
        <v>5203</v>
      </c>
      <c r="Y4" s="64" t="s">
        <v>5203</v>
      </c>
      <c r="Z4" s="64" t="s">
        <v>5204</v>
      </c>
      <c r="AA4" s="64" t="s">
        <v>5204</v>
      </c>
      <c r="AB4" s="64" t="s">
        <v>5204</v>
      </c>
      <c r="AC4" s="64" t="s">
        <v>5204</v>
      </c>
      <c r="AD4" s="65" t="s">
        <v>35</v>
      </c>
      <c r="AE4" s="65" t="s">
        <v>35</v>
      </c>
      <c r="AF4" s="65" t="s">
        <v>35</v>
      </c>
      <c r="AG4" s="65" t="s">
        <v>35</v>
      </c>
      <c r="AH4" s="65" t="s">
        <v>35</v>
      </c>
      <c r="AI4" s="65" t="s">
        <v>35</v>
      </c>
      <c r="AJ4" s="66" t="s">
        <v>36</v>
      </c>
      <c r="AK4" s="66" t="s">
        <v>36</v>
      </c>
      <c r="AL4" s="66" t="s">
        <v>36</v>
      </c>
      <c r="AM4" s="31" t="s">
        <v>11</v>
      </c>
      <c r="AN4" s="31" t="s">
        <v>11</v>
      </c>
      <c r="AO4" s="31" t="s">
        <v>11</v>
      </c>
      <c r="AP4" s="31" t="s">
        <v>11</v>
      </c>
      <c r="AQ4" s="31" t="s">
        <v>11</v>
      </c>
      <c r="AR4" s="31" t="s">
        <v>11</v>
      </c>
      <c r="AS4" s="67" t="s">
        <v>37</v>
      </c>
      <c r="AT4" s="67" t="s">
        <v>37</v>
      </c>
      <c r="AU4" s="67" t="s">
        <v>37</v>
      </c>
      <c r="AV4" s="67" t="s">
        <v>37</v>
      </c>
      <c r="AW4" s="67" t="s">
        <v>37</v>
      </c>
      <c r="AX4" s="68" t="s">
        <v>12</v>
      </c>
      <c r="AY4" s="68" t="s">
        <v>38</v>
      </c>
      <c r="AZ4" s="69"/>
      <c r="BA4" s="69"/>
      <c r="BB4" s="69"/>
      <c r="BC4" s="69" t="s">
        <v>39</v>
      </c>
      <c r="BD4" s="69" t="s">
        <v>39</v>
      </c>
      <c r="BE4" s="70" t="s">
        <v>40</v>
      </c>
      <c r="BF4" s="71" t="s">
        <v>40</v>
      </c>
      <c r="BG4" s="72" t="s">
        <v>41</v>
      </c>
      <c r="BH4" s="73" t="s">
        <v>41</v>
      </c>
      <c r="BI4" s="73"/>
      <c r="BJ4" s="73" t="s">
        <v>41</v>
      </c>
      <c r="BK4" s="73" t="s">
        <v>41</v>
      </c>
      <c r="BL4" s="73" t="s">
        <v>41</v>
      </c>
      <c r="BM4" s="73" t="s">
        <v>41</v>
      </c>
      <c r="BN4" s="73" t="s">
        <v>41</v>
      </c>
      <c r="BO4" s="73" t="s">
        <v>41</v>
      </c>
      <c r="BP4" s="74" t="s">
        <v>42</v>
      </c>
      <c r="BQ4" s="74" t="s">
        <v>42</v>
      </c>
      <c r="BR4" s="74" t="s">
        <v>42</v>
      </c>
      <c r="BS4" s="74" t="s">
        <v>42</v>
      </c>
      <c r="BT4" s="74" t="s">
        <v>42</v>
      </c>
      <c r="BU4" s="74" t="s">
        <v>42</v>
      </c>
      <c r="BV4" s="74" t="s">
        <v>42</v>
      </c>
      <c r="BW4" s="74"/>
      <c r="BX4" s="74" t="s">
        <v>42</v>
      </c>
      <c r="BY4" s="75" t="s">
        <v>43</v>
      </c>
      <c r="BZ4" s="22" t="s">
        <v>44</v>
      </c>
      <c r="CA4" s="76" t="s">
        <v>45</v>
      </c>
      <c r="CB4" s="76" t="s">
        <v>45</v>
      </c>
      <c r="CC4" s="76" t="s">
        <v>45</v>
      </c>
      <c r="CD4" s="76" t="s">
        <v>45</v>
      </c>
      <c r="CE4" s="76" t="s">
        <v>45</v>
      </c>
      <c r="CF4" s="76" t="s">
        <v>45</v>
      </c>
      <c r="CG4" s="76" t="s">
        <v>46</v>
      </c>
      <c r="CH4" s="76" t="s">
        <v>46</v>
      </c>
      <c r="CI4" s="76" t="s">
        <v>46</v>
      </c>
      <c r="CJ4" s="76" t="s">
        <v>46</v>
      </c>
      <c r="CK4" s="76" t="s">
        <v>46</v>
      </c>
      <c r="CL4" s="76" t="s">
        <v>47</v>
      </c>
      <c r="CM4" s="76" t="s">
        <v>48</v>
      </c>
      <c r="CN4" s="77" t="s">
        <v>34</v>
      </c>
      <c r="CO4" s="39" t="s">
        <v>41</v>
      </c>
      <c r="CP4" s="77" t="s">
        <v>13</v>
      </c>
      <c r="CQ4" s="77" t="s">
        <v>13</v>
      </c>
      <c r="CR4" s="77" t="s">
        <v>13</v>
      </c>
      <c r="CS4" s="77" t="s">
        <v>13</v>
      </c>
      <c r="CT4" s="77" t="s">
        <v>13</v>
      </c>
      <c r="CU4" s="77" t="s">
        <v>13</v>
      </c>
      <c r="CV4" s="78" t="s">
        <v>13</v>
      </c>
      <c r="CW4" s="79" t="s">
        <v>49</v>
      </c>
      <c r="CX4" s="26" t="s">
        <v>49</v>
      </c>
      <c r="CY4" s="80" t="s">
        <v>49</v>
      </c>
      <c r="CZ4" s="80" t="s">
        <v>50</v>
      </c>
      <c r="DA4" s="80" t="s">
        <v>50</v>
      </c>
      <c r="DB4" s="80" t="s">
        <v>50</v>
      </c>
      <c r="DC4" s="81"/>
      <c r="DD4" s="42" t="s">
        <v>51</v>
      </c>
      <c r="DE4" s="42" t="s">
        <v>51</v>
      </c>
      <c r="DF4" s="42" t="s">
        <v>51</v>
      </c>
      <c r="DG4" s="42" t="s">
        <v>51</v>
      </c>
      <c r="DH4" s="44" t="s">
        <v>52</v>
      </c>
      <c r="DI4" s="43" t="s">
        <v>12</v>
      </c>
      <c r="DJ4" s="42" t="s">
        <v>51</v>
      </c>
      <c r="DK4" s="42" t="s">
        <v>51</v>
      </c>
      <c r="DL4" s="42" t="s">
        <v>51</v>
      </c>
      <c r="DM4" s="42" t="s">
        <v>51</v>
      </c>
      <c r="DN4" s="42" t="s">
        <v>51</v>
      </c>
      <c r="DO4" s="82" t="s">
        <v>53</v>
      </c>
      <c r="DP4" s="82" t="s">
        <v>53</v>
      </c>
      <c r="DQ4" s="82" t="s">
        <v>53</v>
      </c>
      <c r="DR4" s="82" t="s">
        <v>53</v>
      </c>
      <c r="DS4" s="82" t="s">
        <v>53</v>
      </c>
      <c r="DT4" s="43" t="s">
        <v>12</v>
      </c>
      <c r="DU4" s="25" t="s">
        <v>53</v>
      </c>
      <c r="DV4" s="83" t="s">
        <v>54</v>
      </c>
      <c r="DW4" s="83" t="s">
        <v>54</v>
      </c>
      <c r="DX4" s="83" t="s">
        <v>54</v>
      </c>
      <c r="DY4" s="83" t="s">
        <v>54</v>
      </c>
      <c r="DZ4" s="83" t="s">
        <v>54</v>
      </c>
      <c r="EA4" s="83" t="s">
        <v>54</v>
      </c>
      <c r="EB4" s="83" t="s">
        <v>54</v>
      </c>
      <c r="EC4" s="83" t="s">
        <v>54</v>
      </c>
      <c r="ED4" s="83" t="s">
        <v>54</v>
      </c>
      <c r="EE4" s="83" t="s">
        <v>54</v>
      </c>
      <c r="EF4" s="84" t="s">
        <v>55</v>
      </c>
      <c r="EG4" s="84" t="s">
        <v>55</v>
      </c>
      <c r="EH4" s="84" t="s">
        <v>55</v>
      </c>
      <c r="EI4" s="85" t="s">
        <v>55</v>
      </c>
      <c r="EJ4" s="46"/>
      <c r="EK4" s="47"/>
      <c r="EL4" s="47"/>
      <c r="EM4" s="48"/>
      <c r="EN4" s="86" t="s">
        <v>12</v>
      </c>
      <c r="EO4" s="87" t="s">
        <v>12</v>
      </c>
      <c r="EP4" s="87" t="s">
        <v>12</v>
      </c>
      <c r="EQ4" s="87" t="s">
        <v>12</v>
      </c>
      <c r="ER4" s="87" t="s">
        <v>12</v>
      </c>
      <c r="ES4" s="88" t="s">
        <v>56</v>
      </c>
      <c r="ET4" s="52"/>
    </row>
    <row r="5" spans="1:151" s="22" customFormat="1">
      <c r="A5" s="54"/>
      <c r="B5" s="55"/>
      <c r="C5" s="55"/>
      <c r="D5" s="55"/>
      <c r="E5" s="55"/>
      <c r="F5" s="55"/>
      <c r="G5" s="55"/>
      <c r="H5" s="55"/>
      <c r="I5" s="55"/>
      <c r="J5" s="55"/>
      <c r="K5" s="55"/>
      <c r="L5" s="55"/>
      <c r="M5" s="55"/>
      <c r="N5" s="56"/>
      <c r="O5" s="57"/>
      <c r="P5" s="58"/>
      <c r="Q5" s="59"/>
      <c r="R5" s="60"/>
      <c r="S5" s="61"/>
      <c r="T5" s="62"/>
      <c r="U5" s="63"/>
      <c r="V5" s="89" t="s">
        <v>57</v>
      </c>
      <c r="W5" s="89" t="s">
        <v>57</v>
      </c>
      <c r="X5" s="89" t="s">
        <v>57</v>
      </c>
      <c r="Y5" s="89" t="s">
        <v>57</v>
      </c>
      <c r="Z5" s="89" t="s">
        <v>57</v>
      </c>
      <c r="AA5" s="89" t="s">
        <v>57</v>
      </c>
      <c r="AB5" s="89" t="s">
        <v>57</v>
      </c>
      <c r="AC5" s="89" t="s">
        <v>57</v>
      </c>
      <c r="AD5" s="30" t="s">
        <v>19</v>
      </c>
      <c r="AE5" s="30" t="s">
        <v>19</v>
      </c>
      <c r="AF5" s="30" t="s">
        <v>19</v>
      </c>
      <c r="AG5" s="30" t="s">
        <v>19</v>
      </c>
      <c r="AH5" s="30" t="s">
        <v>19</v>
      </c>
      <c r="AI5" s="30" t="s">
        <v>19</v>
      </c>
      <c r="AJ5" s="90" t="s">
        <v>58</v>
      </c>
      <c r="AK5" s="90" t="s">
        <v>58</v>
      </c>
      <c r="AL5" s="90" t="s">
        <v>58</v>
      </c>
      <c r="AM5" s="53" t="s">
        <v>59</v>
      </c>
      <c r="AN5" s="53" t="s">
        <v>59</v>
      </c>
      <c r="AO5" s="53" t="s">
        <v>59</v>
      </c>
      <c r="AP5" s="53" t="s">
        <v>59</v>
      </c>
      <c r="AQ5" s="53" t="s">
        <v>59</v>
      </c>
      <c r="AR5" s="53" t="s">
        <v>59</v>
      </c>
      <c r="AS5" s="91" t="s">
        <v>60</v>
      </c>
      <c r="AT5" s="91" t="s">
        <v>60</v>
      </c>
      <c r="AU5" s="91" t="s">
        <v>60</v>
      </c>
      <c r="AV5" s="91" t="s">
        <v>60</v>
      </c>
      <c r="AW5" s="91" t="s">
        <v>60</v>
      </c>
      <c r="AX5" s="68"/>
      <c r="AY5" s="68"/>
      <c r="AZ5" s="69"/>
      <c r="BA5" s="69"/>
      <c r="BB5" s="69"/>
      <c r="BC5" s="69"/>
      <c r="BD5" s="69"/>
      <c r="BE5" s="70"/>
      <c r="BF5" s="71"/>
      <c r="BG5" s="72"/>
      <c r="BH5" s="73"/>
      <c r="BI5" s="73"/>
      <c r="BJ5" s="73"/>
      <c r="BK5" s="73"/>
      <c r="BL5" s="73"/>
      <c r="BM5" s="73"/>
      <c r="BN5" s="73"/>
      <c r="BO5" s="73"/>
      <c r="BP5" s="74"/>
      <c r="BQ5" s="74"/>
      <c r="BR5" s="74"/>
      <c r="BS5" s="74"/>
      <c r="BT5" s="74"/>
      <c r="BU5" s="74"/>
      <c r="BV5" s="74"/>
      <c r="BW5" s="74"/>
      <c r="BX5" s="74"/>
      <c r="BY5" s="75"/>
      <c r="CA5" s="76"/>
      <c r="CB5" s="76"/>
      <c r="CC5" s="76"/>
      <c r="CD5" s="76"/>
      <c r="CE5" s="76"/>
      <c r="CF5" s="76"/>
      <c r="CG5" s="76"/>
      <c r="CH5" s="76"/>
      <c r="CI5" s="76"/>
      <c r="CJ5" s="76"/>
      <c r="CK5" s="76"/>
      <c r="CL5" s="76"/>
      <c r="CM5" s="76"/>
      <c r="CN5" s="77"/>
      <c r="CO5" s="39"/>
      <c r="CP5" s="77"/>
      <c r="CQ5" s="77"/>
      <c r="CR5" s="77"/>
      <c r="CS5" s="77"/>
      <c r="CT5" s="77"/>
      <c r="CU5" s="77"/>
      <c r="CV5" s="78"/>
      <c r="CW5" s="79"/>
      <c r="CX5" s="26"/>
      <c r="CY5" s="80"/>
      <c r="CZ5" s="80"/>
      <c r="DA5" s="80"/>
      <c r="DB5" s="80"/>
      <c r="DC5" s="81"/>
      <c r="DD5" s="42"/>
      <c r="DE5" s="42"/>
      <c r="DF5" s="42"/>
      <c r="DG5" s="42"/>
      <c r="DH5" s="92"/>
      <c r="DI5" s="43" t="s">
        <v>21</v>
      </c>
      <c r="DJ5" s="93"/>
      <c r="DK5" s="93"/>
      <c r="DL5" s="93"/>
      <c r="DM5" s="93"/>
      <c r="DN5" s="93"/>
      <c r="DO5" s="94" t="s">
        <v>61</v>
      </c>
      <c r="DP5" s="94" t="s">
        <v>61</v>
      </c>
      <c r="DQ5" s="94" t="s">
        <v>61</v>
      </c>
      <c r="DR5" s="94" t="s">
        <v>61</v>
      </c>
      <c r="DS5" s="94" t="s">
        <v>61</v>
      </c>
      <c r="DT5" s="43" t="s">
        <v>21</v>
      </c>
      <c r="DU5" s="95"/>
      <c r="DV5" s="44" t="s">
        <v>22</v>
      </c>
      <c r="DW5" s="44" t="s">
        <v>22</v>
      </c>
      <c r="DX5" s="44" t="s">
        <v>22</v>
      </c>
      <c r="DY5" s="44" t="s">
        <v>22</v>
      </c>
      <c r="DZ5" s="44" t="s">
        <v>22</v>
      </c>
      <c r="EA5" s="44" t="s">
        <v>22</v>
      </c>
      <c r="EB5" s="44" t="s">
        <v>22</v>
      </c>
      <c r="EC5" s="44" t="s">
        <v>22</v>
      </c>
      <c r="ED5" s="44" t="s">
        <v>22</v>
      </c>
      <c r="EE5" s="44" t="s">
        <v>22</v>
      </c>
      <c r="EF5" s="96" t="s">
        <v>62</v>
      </c>
      <c r="EG5" s="96" t="s">
        <v>62</v>
      </c>
      <c r="EH5" s="96" t="s">
        <v>62</v>
      </c>
      <c r="EI5" s="97" t="s">
        <v>62</v>
      </c>
      <c r="EJ5" s="46"/>
      <c r="EK5" s="47"/>
      <c r="EL5" s="47"/>
      <c r="EM5" s="48"/>
      <c r="EN5" s="86"/>
      <c r="EO5" s="87"/>
      <c r="EP5" s="87"/>
      <c r="EQ5" s="87"/>
      <c r="ER5" s="87"/>
      <c r="ES5" s="88"/>
      <c r="ET5" s="52"/>
    </row>
    <row r="6" spans="1:151" s="22" customFormat="1" ht="44" customHeight="1">
      <c r="A6" s="54" t="s">
        <v>27</v>
      </c>
      <c r="B6" s="55" t="s">
        <v>28</v>
      </c>
      <c r="C6" s="55" t="s">
        <v>28</v>
      </c>
      <c r="D6" s="55" t="s">
        <v>29</v>
      </c>
      <c r="E6" s="55" t="s">
        <v>28</v>
      </c>
      <c r="F6" s="55" t="s">
        <v>28</v>
      </c>
      <c r="G6" s="55" t="s">
        <v>30</v>
      </c>
      <c r="H6" s="55" t="s">
        <v>27</v>
      </c>
      <c r="I6" s="55" t="s">
        <v>27</v>
      </c>
      <c r="J6" s="55" t="s">
        <v>27</v>
      </c>
      <c r="K6" s="55" t="s">
        <v>27</v>
      </c>
      <c r="L6" s="55" t="s">
        <v>27</v>
      </c>
      <c r="M6" s="55" t="s">
        <v>29</v>
      </c>
      <c r="N6" s="56" t="s">
        <v>31</v>
      </c>
      <c r="O6" s="57" t="s">
        <v>32</v>
      </c>
      <c r="P6" s="58" t="s">
        <v>33</v>
      </c>
      <c r="Q6" s="59"/>
      <c r="R6" s="60" t="s">
        <v>12</v>
      </c>
      <c r="S6" s="61" t="s">
        <v>34</v>
      </c>
      <c r="T6" s="62" t="s">
        <v>34</v>
      </c>
      <c r="U6" s="63" t="s">
        <v>34</v>
      </c>
      <c r="V6" s="64" t="s">
        <v>5203</v>
      </c>
      <c r="W6" s="64" t="s">
        <v>5203</v>
      </c>
      <c r="X6" s="64" t="s">
        <v>5203</v>
      </c>
      <c r="Y6" s="64" t="s">
        <v>5203</v>
      </c>
      <c r="Z6" s="64" t="s">
        <v>5204</v>
      </c>
      <c r="AA6" s="64" t="s">
        <v>5204</v>
      </c>
      <c r="AB6" s="64" t="s">
        <v>5204</v>
      </c>
      <c r="AC6" s="64" t="s">
        <v>5204</v>
      </c>
      <c r="AD6" s="65" t="s">
        <v>35</v>
      </c>
      <c r="AE6" s="65" t="s">
        <v>35</v>
      </c>
      <c r="AF6" s="65" t="s">
        <v>35</v>
      </c>
      <c r="AG6" s="65" t="s">
        <v>35</v>
      </c>
      <c r="AH6" s="65" t="s">
        <v>35</v>
      </c>
      <c r="AI6" s="65" t="s">
        <v>35</v>
      </c>
      <c r="AJ6" s="66" t="s">
        <v>36</v>
      </c>
      <c r="AK6" s="66" t="s">
        <v>36</v>
      </c>
      <c r="AL6" s="66" t="s">
        <v>36</v>
      </c>
      <c r="AM6" s="31" t="s">
        <v>11</v>
      </c>
      <c r="AN6" s="31" t="s">
        <v>11</v>
      </c>
      <c r="AO6" s="31" t="s">
        <v>11</v>
      </c>
      <c r="AP6" s="31" t="s">
        <v>11</v>
      </c>
      <c r="AQ6" s="31" t="s">
        <v>11</v>
      </c>
      <c r="AR6" s="31" t="s">
        <v>11</v>
      </c>
      <c r="AS6" s="67" t="s">
        <v>37</v>
      </c>
      <c r="AT6" s="67" t="s">
        <v>37</v>
      </c>
      <c r="AU6" s="67" t="s">
        <v>37</v>
      </c>
      <c r="AV6" s="67" t="s">
        <v>37</v>
      </c>
      <c r="AW6" s="67" t="s">
        <v>37</v>
      </c>
      <c r="AX6" s="68" t="s">
        <v>12</v>
      </c>
      <c r="AY6" s="68" t="s">
        <v>38</v>
      </c>
      <c r="AZ6" s="69"/>
      <c r="BA6" s="69"/>
      <c r="BB6" s="69"/>
      <c r="BC6" s="69" t="s">
        <v>39</v>
      </c>
      <c r="BD6" s="69" t="s">
        <v>39</v>
      </c>
      <c r="BE6" s="70" t="s">
        <v>40</v>
      </c>
      <c r="BF6" s="71" t="s">
        <v>40</v>
      </c>
      <c r="BG6" s="72" t="s">
        <v>41</v>
      </c>
      <c r="BH6" s="73" t="s">
        <v>41</v>
      </c>
      <c r="BI6" s="73"/>
      <c r="BJ6" s="73" t="s">
        <v>41</v>
      </c>
      <c r="BK6" s="73" t="s">
        <v>41</v>
      </c>
      <c r="BL6" s="73" t="s">
        <v>41</v>
      </c>
      <c r="BM6" s="73" t="s">
        <v>41</v>
      </c>
      <c r="BN6" s="73" t="s">
        <v>41</v>
      </c>
      <c r="BO6" s="73" t="s">
        <v>41</v>
      </c>
      <c r="BP6" s="74" t="s">
        <v>42</v>
      </c>
      <c r="BQ6" s="74" t="s">
        <v>42</v>
      </c>
      <c r="BR6" s="74" t="s">
        <v>42</v>
      </c>
      <c r="BS6" s="74" t="s">
        <v>42</v>
      </c>
      <c r="BT6" s="74" t="s">
        <v>42</v>
      </c>
      <c r="BU6" s="74" t="s">
        <v>42</v>
      </c>
      <c r="BV6" s="74" t="s">
        <v>42</v>
      </c>
      <c r="BW6" s="74"/>
      <c r="BX6" s="74" t="s">
        <v>42</v>
      </c>
      <c r="BY6" s="75" t="s">
        <v>43</v>
      </c>
      <c r="BZ6" s="22" t="s">
        <v>44</v>
      </c>
      <c r="CA6" s="76" t="s">
        <v>45</v>
      </c>
      <c r="CB6" s="76" t="s">
        <v>45</v>
      </c>
      <c r="CC6" s="76" t="s">
        <v>45</v>
      </c>
      <c r="CD6" s="76" t="s">
        <v>45</v>
      </c>
      <c r="CE6" s="76" t="s">
        <v>45</v>
      </c>
      <c r="CF6" s="76" t="s">
        <v>45</v>
      </c>
      <c r="CG6" s="76" t="s">
        <v>46</v>
      </c>
      <c r="CH6" s="76" t="s">
        <v>46</v>
      </c>
      <c r="CI6" s="76" t="s">
        <v>46</v>
      </c>
      <c r="CJ6" s="76" t="s">
        <v>46</v>
      </c>
      <c r="CK6" s="76" t="s">
        <v>46</v>
      </c>
      <c r="CL6" s="76" t="s">
        <v>47</v>
      </c>
      <c r="CM6" s="76" t="s">
        <v>48</v>
      </c>
      <c r="CN6" s="77" t="s">
        <v>34</v>
      </c>
      <c r="CO6" s="39" t="s">
        <v>41</v>
      </c>
      <c r="CP6" s="77" t="s">
        <v>13</v>
      </c>
      <c r="CQ6" s="77" t="s">
        <v>13</v>
      </c>
      <c r="CR6" s="77" t="s">
        <v>13</v>
      </c>
      <c r="CS6" s="77" t="s">
        <v>13</v>
      </c>
      <c r="CT6" s="77" t="s">
        <v>13</v>
      </c>
      <c r="CU6" s="77" t="s">
        <v>13</v>
      </c>
      <c r="CV6" s="78" t="s">
        <v>13</v>
      </c>
      <c r="CW6" s="79" t="s">
        <v>49</v>
      </c>
      <c r="CX6" s="26" t="s">
        <v>49</v>
      </c>
      <c r="CY6" s="80" t="s">
        <v>49</v>
      </c>
      <c r="CZ6" s="80" t="s">
        <v>50</v>
      </c>
      <c r="DA6" s="80" t="s">
        <v>50</v>
      </c>
      <c r="DB6" s="80" t="s">
        <v>50</v>
      </c>
      <c r="DC6" s="81"/>
      <c r="DD6" s="42" t="s">
        <v>51</v>
      </c>
      <c r="DE6" s="42" t="s">
        <v>51</v>
      </c>
      <c r="DF6" s="42" t="s">
        <v>51</v>
      </c>
      <c r="DG6" s="42" t="s">
        <v>51</v>
      </c>
      <c r="DH6" s="44" t="s">
        <v>52</v>
      </c>
      <c r="DI6" s="98" t="s">
        <v>12</v>
      </c>
      <c r="DJ6" s="99" t="s">
        <v>51</v>
      </c>
      <c r="DK6" s="99" t="s">
        <v>51</v>
      </c>
      <c r="DL6" s="99" t="s">
        <v>51</v>
      </c>
      <c r="DM6" s="99" t="s">
        <v>51</v>
      </c>
      <c r="DN6" s="99" t="s">
        <v>51</v>
      </c>
      <c r="DO6" s="82" t="s">
        <v>53</v>
      </c>
      <c r="DP6" s="82" t="s">
        <v>53</v>
      </c>
      <c r="DQ6" s="82" t="s">
        <v>53</v>
      </c>
      <c r="DR6" s="82" t="s">
        <v>53</v>
      </c>
      <c r="DS6" s="82" t="s">
        <v>53</v>
      </c>
      <c r="DT6" s="43" t="s">
        <v>12</v>
      </c>
      <c r="DU6" s="25" t="s">
        <v>53</v>
      </c>
      <c r="DV6" s="100" t="s">
        <v>63</v>
      </c>
      <c r="DW6" s="100" t="s">
        <v>63</v>
      </c>
      <c r="DX6" s="100" t="s">
        <v>63</v>
      </c>
      <c r="DY6" s="100" t="s">
        <v>64</v>
      </c>
      <c r="DZ6" s="100" t="s">
        <v>64</v>
      </c>
      <c r="EA6" s="100" t="s">
        <v>64</v>
      </c>
      <c r="EB6" s="83" t="s">
        <v>65</v>
      </c>
      <c r="EC6" s="83" t="s">
        <v>66</v>
      </c>
      <c r="ED6" s="83" t="s">
        <v>66</v>
      </c>
      <c r="EE6" s="83" t="s">
        <v>66</v>
      </c>
      <c r="EF6" s="84" t="s">
        <v>67</v>
      </c>
      <c r="EG6" s="84" t="s">
        <v>67</v>
      </c>
      <c r="EH6" s="84" t="s">
        <v>68</v>
      </c>
      <c r="EI6" s="85" t="s">
        <v>68</v>
      </c>
      <c r="EJ6" s="46"/>
      <c r="EK6" s="101">
        <f>COUNTIF(EK8:EK1732,"Whole sector")</f>
        <v>481</v>
      </c>
      <c r="EL6" s="101">
        <f>COUNTIF(EL8:EL1732,"Ecosystem approach")</f>
        <v>224</v>
      </c>
      <c r="EM6" s="102">
        <f>COUNTIF($EM8:EM1732,"Technology approach")</f>
        <v>348</v>
      </c>
      <c r="EN6" s="86" t="s">
        <v>12</v>
      </c>
      <c r="EO6" s="87" t="s">
        <v>12</v>
      </c>
      <c r="EP6" s="87" t="s">
        <v>12</v>
      </c>
      <c r="EQ6" s="87" t="s">
        <v>12</v>
      </c>
      <c r="ER6" s="87" t="s">
        <v>12</v>
      </c>
      <c r="ES6" s="88" t="s">
        <v>56</v>
      </c>
      <c r="ET6" s="103" t="s">
        <v>69</v>
      </c>
    </row>
    <row r="7" spans="1:151" s="104" customFormat="1" ht="100" customHeight="1">
      <c r="A7" s="105" t="s">
        <v>70</v>
      </c>
      <c r="B7" s="106" t="s">
        <v>71</v>
      </c>
      <c r="C7" s="106" t="s">
        <v>72</v>
      </c>
      <c r="D7" s="107" t="s">
        <v>29</v>
      </c>
      <c r="E7" s="106" t="s">
        <v>73</v>
      </c>
      <c r="F7" s="106" t="s">
        <v>74</v>
      </c>
      <c r="G7" s="106" t="s">
        <v>75</v>
      </c>
      <c r="H7" s="106" t="s">
        <v>76</v>
      </c>
      <c r="I7" s="106" t="s">
        <v>77</v>
      </c>
      <c r="J7" s="106" t="s">
        <v>78</v>
      </c>
      <c r="K7" s="106" t="s">
        <v>79</v>
      </c>
      <c r="L7" s="108" t="s">
        <v>80</v>
      </c>
      <c r="M7" s="109" t="s">
        <v>81</v>
      </c>
      <c r="N7" s="110" t="s">
        <v>31</v>
      </c>
      <c r="O7" s="111" t="s">
        <v>82</v>
      </c>
      <c r="P7" s="112" t="s">
        <v>83</v>
      </c>
      <c r="Q7" s="113" t="s">
        <v>8</v>
      </c>
      <c r="R7" s="114" t="s">
        <v>84</v>
      </c>
      <c r="S7" s="115" t="s">
        <v>85</v>
      </c>
      <c r="T7" s="116" t="s">
        <v>86</v>
      </c>
      <c r="U7" s="117" t="s">
        <v>87</v>
      </c>
      <c r="V7" s="118" t="s">
        <v>88</v>
      </c>
      <c r="W7" s="118" t="s">
        <v>89</v>
      </c>
      <c r="X7" s="118" t="s">
        <v>90</v>
      </c>
      <c r="Y7" s="119" t="s">
        <v>91</v>
      </c>
      <c r="Z7" s="118" t="s">
        <v>92</v>
      </c>
      <c r="AA7" s="119" t="s">
        <v>93</v>
      </c>
      <c r="AB7" s="118" t="s">
        <v>94</v>
      </c>
      <c r="AC7" s="119" t="s">
        <v>95</v>
      </c>
      <c r="AD7" s="118" t="s">
        <v>96</v>
      </c>
      <c r="AE7" s="119" t="s">
        <v>97</v>
      </c>
      <c r="AF7" s="118" t="s">
        <v>98</v>
      </c>
      <c r="AG7" s="119" t="s">
        <v>99</v>
      </c>
      <c r="AH7" s="118" t="s">
        <v>100</v>
      </c>
      <c r="AI7" s="119" t="s">
        <v>101</v>
      </c>
      <c r="AJ7" s="119" t="s">
        <v>102</v>
      </c>
      <c r="AK7" s="119" t="s">
        <v>103</v>
      </c>
      <c r="AL7" s="118" t="s">
        <v>104</v>
      </c>
      <c r="AM7" s="118" t="s">
        <v>105</v>
      </c>
      <c r="AN7" s="118" t="s">
        <v>106</v>
      </c>
      <c r="AO7" s="119" t="s">
        <v>107</v>
      </c>
      <c r="AP7" s="118" t="s">
        <v>108</v>
      </c>
      <c r="AQ7" s="119" t="s">
        <v>109</v>
      </c>
      <c r="AR7" s="118" t="s">
        <v>110</v>
      </c>
      <c r="AS7" s="118" t="s">
        <v>111</v>
      </c>
      <c r="AT7" s="119" t="s">
        <v>112</v>
      </c>
      <c r="AU7" s="118" t="s">
        <v>113</v>
      </c>
      <c r="AV7" s="119" t="s">
        <v>114</v>
      </c>
      <c r="AW7" s="118" t="s">
        <v>115</v>
      </c>
      <c r="AX7" s="120" t="s">
        <v>116</v>
      </c>
      <c r="AY7" s="121" t="s">
        <v>117</v>
      </c>
      <c r="AZ7" s="113" t="s">
        <v>118</v>
      </c>
      <c r="BA7" s="113" t="s">
        <v>119</v>
      </c>
      <c r="BB7" s="113" t="s">
        <v>120</v>
      </c>
      <c r="BC7" s="113" t="s">
        <v>121</v>
      </c>
      <c r="BD7" s="113" t="s">
        <v>122</v>
      </c>
      <c r="BE7" s="113" t="s">
        <v>123</v>
      </c>
      <c r="BF7" s="114" t="s">
        <v>124</v>
      </c>
      <c r="BG7" s="122" t="s">
        <v>125</v>
      </c>
      <c r="BH7" s="123" t="s">
        <v>126</v>
      </c>
      <c r="BI7" s="123" t="s">
        <v>127</v>
      </c>
      <c r="BJ7" s="124" t="s">
        <v>128</v>
      </c>
      <c r="BK7" s="123" t="s">
        <v>129</v>
      </c>
      <c r="BL7" s="124" t="s">
        <v>130</v>
      </c>
      <c r="BM7" s="124" t="s">
        <v>131</v>
      </c>
      <c r="BN7" s="124" t="s">
        <v>132</v>
      </c>
      <c r="BO7" s="124" t="s">
        <v>133</v>
      </c>
      <c r="BP7" s="125" t="s">
        <v>134</v>
      </c>
      <c r="BQ7" s="125" t="s">
        <v>135</v>
      </c>
      <c r="BR7" s="123" t="s">
        <v>136</v>
      </c>
      <c r="BS7" s="124" t="s">
        <v>137</v>
      </c>
      <c r="BT7" s="123" t="s">
        <v>138</v>
      </c>
      <c r="BU7" s="123" t="s">
        <v>139</v>
      </c>
      <c r="BV7" s="118" t="s">
        <v>140</v>
      </c>
      <c r="BW7" s="118"/>
      <c r="BX7" s="118" t="s">
        <v>141</v>
      </c>
      <c r="BY7" s="118" t="s">
        <v>142</v>
      </c>
      <c r="BZ7" s="119" t="s">
        <v>143</v>
      </c>
      <c r="CA7" s="118" t="s">
        <v>144</v>
      </c>
      <c r="CB7" s="119" t="s">
        <v>145</v>
      </c>
      <c r="CC7" s="118" t="s">
        <v>146</v>
      </c>
      <c r="CD7" s="119" t="s">
        <v>147</v>
      </c>
      <c r="CE7" s="118" t="s">
        <v>148</v>
      </c>
      <c r="CF7" s="119" t="s">
        <v>149</v>
      </c>
      <c r="CG7" s="118" t="s">
        <v>150</v>
      </c>
      <c r="CH7" s="119" t="s">
        <v>151</v>
      </c>
      <c r="CI7" s="118" t="s">
        <v>152</v>
      </c>
      <c r="CJ7" s="118" t="s">
        <v>153</v>
      </c>
      <c r="CK7" s="118" t="s">
        <v>154</v>
      </c>
      <c r="CL7" s="118" t="s">
        <v>155</v>
      </c>
      <c r="CM7" s="119" t="s">
        <v>156</v>
      </c>
      <c r="CN7" s="126" t="s">
        <v>157</v>
      </c>
      <c r="CO7" s="126" t="s">
        <v>158</v>
      </c>
      <c r="CP7" s="126" t="s">
        <v>159</v>
      </c>
      <c r="CQ7" s="126" t="s">
        <v>160</v>
      </c>
      <c r="CR7" s="127" t="s">
        <v>161</v>
      </c>
      <c r="CS7" s="127" t="s">
        <v>162</v>
      </c>
      <c r="CT7" s="113" t="s">
        <v>141</v>
      </c>
      <c r="CU7" s="113" t="s">
        <v>163</v>
      </c>
      <c r="CV7" s="114" t="s">
        <v>164</v>
      </c>
      <c r="CW7" s="128" t="s">
        <v>165</v>
      </c>
      <c r="CX7" s="113" t="s">
        <v>166</v>
      </c>
      <c r="CY7" s="123" t="s">
        <v>167</v>
      </c>
      <c r="CZ7" s="123" t="s">
        <v>168</v>
      </c>
      <c r="DA7" s="117" t="s">
        <v>169</v>
      </c>
      <c r="DB7" s="117" t="s">
        <v>170</v>
      </c>
      <c r="DC7" s="129" t="s">
        <v>171</v>
      </c>
      <c r="DD7" s="118" t="s">
        <v>172</v>
      </c>
      <c r="DE7" s="119" t="s">
        <v>173</v>
      </c>
      <c r="DF7" s="118" t="s">
        <v>174</v>
      </c>
      <c r="DG7" s="119" t="s">
        <v>175</v>
      </c>
      <c r="DH7" s="118" t="s">
        <v>176</v>
      </c>
      <c r="DI7" s="130" t="s">
        <v>177</v>
      </c>
      <c r="DJ7" s="130" t="s">
        <v>178</v>
      </c>
      <c r="DK7" s="130" t="s">
        <v>179</v>
      </c>
      <c r="DL7" s="130" t="s">
        <v>180</v>
      </c>
      <c r="DM7" s="130" t="s">
        <v>181</v>
      </c>
      <c r="DN7" s="130" t="s">
        <v>182</v>
      </c>
      <c r="DO7" s="118" t="s">
        <v>183</v>
      </c>
      <c r="DP7" s="119" t="s">
        <v>184</v>
      </c>
      <c r="DQ7" s="119" t="s">
        <v>185</v>
      </c>
      <c r="DR7" s="118" t="s">
        <v>186</v>
      </c>
      <c r="DS7" s="119" t="s">
        <v>187</v>
      </c>
      <c r="DT7" s="113" t="s">
        <v>188</v>
      </c>
      <c r="DU7" s="120" t="s">
        <v>189</v>
      </c>
      <c r="DV7" s="119" t="s">
        <v>190</v>
      </c>
      <c r="DW7" s="119" t="s">
        <v>191</v>
      </c>
      <c r="DX7" s="118" t="s">
        <v>192</v>
      </c>
      <c r="DY7" s="118" t="s">
        <v>193</v>
      </c>
      <c r="DZ7" s="118" t="s">
        <v>194</v>
      </c>
      <c r="EA7" s="131" t="s">
        <v>195</v>
      </c>
      <c r="EB7" s="119" t="s">
        <v>196</v>
      </c>
      <c r="EC7" s="118" t="s">
        <v>197</v>
      </c>
      <c r="ED7" s="119" t="s">
        <v>198</v>
      </c>
      <c r="EE7" s="118" t="s">
        <v>199</v>
      </c>
      <c r="EF7" s="118" t="s">
        <v>200</v>
      </c>
      <c r="EG7" s="119" t="s">
        <v>201</v>
      </c>
      <c r="EH7" s="119" t="s">
        <v>202</v>
      </c>
      <c r="EI7" s="132" t="s">
        <v>203</v>
      </c>
      <c r="EJ7" s="133" t="s">
        <v>204</v>
      </c>
      <c r="EK7" s="134" t="s">
        <v>205</v>
      </c>
      <c r="EL7" s="134" t="s">
        <v>206</v>
      </c>
      <c r="EM7" s="135" t="s">
        <v>207</v>
      </c>
      <c r="EN7" s="136" t="s">
        <v>208</v>
      </c>
      <c r="EO7" s="118" t="s">
        <v>209</v>
      </c>
      <c r="EP7" s="118" t="s">
        <v>210</v>
      </c>
      <c r="EQ7" s="118" t="s">
        <v>211</v>
      </c>
      <c r="ER7" s="118" t="s">
        <v>212</v>
      </c>
      <c r="ES7" s="137" t="s">
        <v>213</v>
      </c>
      <c r="ET7" s="138"/>
    </row>
    <row r="8" spans="1:151" s="139" customFormat="1" ht="15" hidden="1" customHeight="1">
      <c r="A8" s="1" t="s">
        <v>587</v>
      </c>
      <c r="B8" t="s">
        <v>3423</v>
      </c>
      <c r="C8" t="s">
        <v>3424</v>
      </c>
      <c r="D8" t="s">
        <v>3425</v>
      </c>
      <c r="E8" t="s">
        <v>3426</v>
      </c>
      <c r="F8" t="s">
        <v>3427</v>
      </c>
      <c r="G8" t="s">
        <v>593</v>
      </c>
      <c r="H8"/>
      <c r="I8">
        <v>2018</v>
      </c>
      <c r="J8"/>
      <c r="K8" t="s">
        <v>3428</v>
      </c>
      <c r="L8"/>
      <c r="M8" t="str">
        <f t="shared" ref="M8:M25" si="0">LEFT($D8,FIND(",",$D8)-1)&amp;"_"&amp;I8&amp;L8</f>
        <v>Abbas_2018</v>
      </c>
      <c r="N8" s="311" t="s">
        <v>4382</v>
      </c>
      <c r="O8" s="140" t="s">
        <v>223</v>
      </c>
      <c r="P8"/>
      <c r="Q8" s="311" t="s">
        <v>224</v>
      </c>
      <c r="R8" s="312"/>
      <c r="S8" s="1" t="s">
        <v>3429</v>
      </c>
      <c r="T8" t="s">
        <v>3430</v>
      </c>
      <c r="U8" s="143" t="s">
        <v>3431</v>
      </c>
      <c r="V8">
        <v>0</v>
      </c>
      <c r="W8">
        <v>0</v>
      </c>
      <c r="X8">
        <v>0</v>
      </c>
      <c r="Y8">
        <v>1</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s="141">
        <f t="shared" ref="AX8:AX20" si="1">COUNTIF(V8:AW8,"&lt;&gt;0")</f>
        <v>1</v>
      </c>
      <c r="AY8" s="141">
        <f t="shared" ref="AY8:AY20" si="2">COUNTIF(V8:AL8,"&lt;&gt;0")</f>
        <v>1</v>
      </c>
      <c r="AZ8">
        <f t="shared" ref="AZ8:AZ20" si="3">COUNTIF(V8:AC8,"&lt;&gt;0")</f>
        <v>1</v>
      </c>
      <c r="BA8">
        <f t="shared" ref="BA8:BA20" si="4">COUNTIF(AD8:AI8,"&lt;&gt;0")</f>
        <v>0</v>
      </c>
      <c r="BB8">
        <f t="shared" ref="BB8:BB20" si="5">COUNTIF(AJ8:AL8,"&lt;&gt;0")</f>
        <v>0</v>
      </c>
      <c r="BC8">
        <f t="shared" ref="BC8:BC20" si="6">COUNTIF(AS8:AW8,"&lt;&gt;0")</f>
        <v>0</v>
      </c>
      <c r="BD8">
        <f t="shared" ref="BD8:BD20" si="7">COUNTIF(AM8:AR8,"&lt;&gt;0")</f>
        <v>0</v>
      </c>
      <c r="BE8" t="str" cm="1">
        <f t="array" ref="BE8">IF(AY8=1,INDEX($V$7:$AL$7,MATCH(TRUE,INDEX($V8:$AW8&lt;&gt;0,),0)),IF(AY8=0,INDEX($AM$7:$AW$7,MATCH(1,$AM8:$AW8,0)),IF(BF8="Multiple strategies","mixed drivers",IF(BF8="Supply chain","multiple supply","multiple silviculture"))))</f>
        <v xml:space="preserve">cutting intensity </v>
      </c>
      <c r="BF8" s="2" t="str" cm="1">
        <f t="array" ref="BF8">IF(COUNTIF(AZ8:BB8,"&lt;&gt;0")=1,INDEX($V$4:$AW$4,MATCH(TRUE,INDEX($V8:$AW8&lt;&gt;0,),0)),IF(COUNTIF(AZ8:BB8,"&lt;&gt;0")=0,INDEX($AM$4:$AW$4,MATCH(1,$AM8:$AW8,0)),"Multiple strategies"))</f>
        <v>Silviculture for removals</v>
      </c>
      <c r="BG8" s="142" t="s">
        <v>321</v>
      </c>
      <c r="BH8" t="s">
        <v>3432</v>
      </c>
      <c r="BI8"/>
      <c r="BJ8" s="143" t="s">
        <v>3433</v>
      </c>
      <c r="BK8">
        <v>1</v>
      </c>
      <c r="BL8" s="143">
        <v>1</v>
      </c>
      <c r="BM8" s="143"/>
      <c r="BN8">
        <f t="shared" ref="BN8:BN20" si="8">BL8-BK8</f>
        <v>0</v>
      </c>
      <c r="BO8" s="143">
        <f t="shared" ref="BO8:BO20" si="9">BN8*t_to_m3</f>
        <v>0</v>
      </c>
      <c r="BP8" s="311" t="s">
        <v>232</v>
      </c>
      <c r="BQ8" s="311" t="s">
        <v>3434</v>
      </c>
      <c r="BR8" t="s">
        <v>3435</v>
      </c>
      <c r="BS8">
        <v>-23.3</v>
      </c>
      <c r="BT8">
        <v>-17.7</v>
      </c>
      <c r="BU8" s="144">
        <v>0.75965665236051494</v>
      </c>
      <c r="BV8">
        <v>5.6000000000000014</v>
      </c>
      <c r="BW8"/>
      <c r="BX8">
        <f t="shared" ref="BX8:BX20" si="10">BV8/1000</f>
        <v>5.6000000000000017E-3</v>
      </c>
      <c r="BY8" t="str">
        <f t="shared" ref="BY8:BY25" si="11">IFERROR(BX8/BO8,"")</f>
        <v/>
      </c>
      <c r="BZ8">
        <v>0</v>
      </c>
      <c r="CA8">
        <v>0</v>
      </c>
      <c r="CB8">
        <v>0</v>
      </c>
      <c r="CC8">
        <v>0</v>
      </c>
      <c r="CD8">
        <v>0</v>
      </c>
      <c r="CE8">
        <v>0</v>
      </c>
      <c r="CF8">
        <v>0</v>
      </c>
      <c r="CG8">
        <v>0</v>
      </c>
      <c r="CH8">
        <v>0</v>
      </c>
      <c r="CI8">
        <v>0</v>
      </c>
      <c r="CJ8">
        <v>0</v>
      </c>
      <c r="CK8">
        <v>0</v>
      </c>
      <c r="CL8">
        <v>0</v>
      </c>
      <c r="CM8">
        <v>0</v>
      </c>
      <c r="CN8" t="str">
        <f t="shared" ref="CN8:CN25" si="12">IF($BL8&lt;$BK8,"refNeedCorrection","refOK")</f>
        <v>refOK</v>
      </c>
      <c r="CO8">
        <f t="shared" ref="CO8:CO20" si="13">IF($CN8="refOK",$BK8,$BL8)</f>
        <v>1</v>
      </c>
      <c r="CP8">
        <f t="shared" ref="CP8:CP20" si="14">IF($CN8="refOK",$BL8,$BK8)</f>
        <v>1</v>
      </c>
      <c r="CQ8">
        <f t="shared" ref="CQ8:CQ20" si="15">IF($CN8="refOK",$BO8,-$BO8)</f>
        <v>0</v>
      </c>
      <c r="CR8">
        <f t="shared" ref="CR8:CR20" si="16">IF($CN8="refOK",$BS8,$BT8)*IF($BP8="Emissions positive",-1,1)</f>
        <v>-23.3</v>
      </c>
      <c r="CS8">
        <f t="shared" ref="CS8:CS20" si="17">IF($CN8="refOK",$BT8,$BS8)*IF($BP8="Emissions positive",-1,1)</f>
        <v>-17.7</v>
      </c>
      <c r="CT8">
        <f t="shared" ref="CT8:CT20" si="18">IF($CN8="refNeedCorrection",-BX8,BX8)*IF($BP8="Emissions positive",-1,1)</f>
        <v>5.6000000000000017E-3</v>
      </c>
      <c r="CU8" t="str">
        <f t="shared" ref="CU8:CU20" si="19">IFERROR(CT8/CQ8,"")</f>
        <v/>
      </c>
      <c r="CV8" s="2">
        <f t="shared" ref="CV8:CV25" si="20">IFERROR((CS8-CR8)/ABS(CR8),"")</f>
        <v>0.24034334763948503</v>
      </c>
      <c r="CW8" s="1" t="s">
        <v>1198</v>
      </c>
      <c r="CX8" s="311" t="str">
        <f t="shared" ref="CX8:CX20" si="21">IF(OR($CW8="prd",$CW8="std",$CW8="cit"),"loc",IF(OR($CW8="eur",$CW8="reg",$CW8="coy"),"reg",$CW8))</f>
        <v>reg</v>
      </c>
      <c r="CY8" t="s">
        <v>428</v>
      </c>
      <c r="CZ8"/>
      <c r="DA8" s="143"/>
      <c r="DB8" s="143">
        <v>0</v>
      </c>
      <c r="DC8" t="str">
        <f t="shared" ref="DC8:DC20" si="22">IF(DB8=0,"0",IF(AND(DB8&gt;=1,DB8&lt;=30),"1-30",IF(AND(DB8&gt;30,DB8&lt;=70),"31-70",IF(AND(DB8&gt;70,DB8&lt;=100),"71-100",IF(DB8&gt;100,"+100")))))</f>
        <v>0</v>
      </c>
      <c r="DD8">
        <v>1</v>
      </c>
      <c r="DE8">
        <v>0</v>
      </c>
      <c r="DF8">
        <v>0</v>
      </c>
      <c r="DG8">
        <v>0</v>
      </c>
      <c r="DH8"/>
      <c r="DI8">
        <f t="shared" ref="DI8:DI20" si="23">SUM(DD8:DG8)</f>
        <v>1</v>
      </c>
      <c r="DJ8" t="str">
        <f t="shared" ref="DJ8:DJ20" si="24">IF(DI8=1,INDEX($DD$7:$DG$7,MATCH(1,$DD8:$DG8,0)),"mixedProduct")</f>
        <v>UpstreamInput</v>
      </c>
      <c r="DK8" t="str">
        <f t="shared" ref="DK8:DK20" si="25">IF(DD8=1,DK$7,0)</f>
        <v>Upstream</v>
      </c>
      <c r="DL8">
        <f t="shared" ref="DL8:DL20" si="26">IF(DE8=1,DL$7,0)</f>
        <v>0</v>
      </c>
      <c r="DM8">
        <f t="shared" ref="DM8:DM20" si="27">IF(DF8=1,DM$7,0)</f>
        <v>0</v>
      </c>
      <c r="DN8">
        <f t="shared" ref="DN8:DN20" si="28">IF(DG8=1,DN$7,0)</f>
        <v>0</v>
      </c>
      <c r="DO8">
        <v>0</v>
      </c>
      <c r="DP8" s="143">
        <v>0</v>
      </c>
      <c r="DQ8" s="143">
        <v>0</v>
      </c>
      <c r="DR8" s="143">
        <v>0</v>
      </c>
      <c r="DS8" s="143">
        <v>0</v>
      </c>
      <c r="DT8">
        <f t="shared" ref="DT8:DT20" si="29">SUM(DO8:DP8)</f>
        <v>0</v>
      </c>
      <c r="DU8" s="143" t="str">
        <f t="shared" ref="DU8:DU20" si="30">IF(DO8=1,"self-calculated DF",IF(DP8=1,"external DF used","explicit C balance"))</f>
        <v>explicit C balance</v>
      </c>
      <c r="DV8" s="143">
        <v>0</v>
      </c>
      <c r="DW8" s="143">
        <v>0</v>
      </c>
      <c r="DX8" s="143">
        <v>0</v>
      </c>
      <c r="DY8" s="143">
        <v>0</v>
      </c>
      <c r="DZ8">
        <v>0</v>
      </c>
      <c r="EA8" s="143">
        <v>0</v>
      </c>
      <c r="EB8" s="143">
        <v>1</v>
      </c>
      <c r="EC8" s="143">
        <v>0</v>
      </c>
      <c r="ED8" s="143">
        <v>0</v>
      </c>
      <c r="EE8" s="143">
        <v>0</v>
      </c>
      <c r="EF8">
        <v>0</v>
      </c>
      <c r="EG8" s="143">
        <v>0</v>
      </c>
      <c r="EH8">
        <v>0</v>
      </c>
      <c r="EI8" s="2">
        <v>0</v>
      </c>
      <c r="EJ8" s="1"/>
      <c r="EK8" t="str">
        <f t="shared" ref="EK8:EK25" si="31">IF(AND(AND(AND(OR($DX8=1,$DW8=1),OR($EC8=1,$EA8=1)),SUM($DV8:$DZ8,$EF8)&gt;=3),SUM($EA8:$EE8)&gt;=2),"Whole sector","")</f>
        <v/>
      </c>
      <c r="EL8" t="str">
        <f t="shared" ref="EL8:EL25" si="32">IF(AND(AND(OR($DX8=1,$DW8=1),AND($EC8=0,$EA8=0)),SUM($DV8:$DZ8,$EF8)&gt;=3),"Ecosystem approach","")</f>
        <v/>
      </c>
      <c r="EM8" s="2" t="str">
        <f t="shared" ref="EM8:EM25" si="33">IF(AND(AND(AND($DX8=0,$DW8=0),OR($EC8=1,$EA8=1)),SUM($EB8:$EE8)&gt;=2),"Technology approach","")</f>
        <v/>
      </c>
      <c r="EN8"/>
      <c r="EO8"/>
      <c r="EP8" t="b">
        <f>IF(ISNUMBER(BU8),IF(ABS(BU8-[1]QC_indicators!$B$2)&gt;3*[1]QC_indicators!$C$2,"C ratio",IF(ISNUMBER(BY8),IF(ABS(BY8-[1]QC_indicators!$B$1)&gt;3*[1]QC_indicators!$C$1,"DF","no"))),IF(ISNUMBER(BY8),IF(ABS(BY8-[1]QC_indicators!$B$1)&gt;3*[1]QC_indicators!$C$1,"DF","no")))</f>
        <v>0</v>
      </c>
      <c r="EQ8"/>
      <c r="ER8" s="313" t="s">
        <v>349</v>
      </c>
      <c r="ES8"/>
      <c r="ET8"/>
      <c r="EU8"/>
    </row>
    <row r="9" spans="1:151" s="139" customFormat="1" ht="15" hidden="1" customHeight="1">
      <c r="A9" s="1" t="s">
        <v>587</v>
      </c>
      <c r="B9" t="s">
        <v>3423</v>
      </c>
      <c r="C9" t="s">
        <v>3424</v>
      </c>
      <c r="D9" t="s">
        <v>3425</v>
      </c>
      <c r="E9" t="s">
        <v>3426</v>
      </c>
      <c r="F9" t="s">
        <v>3427</v>
      </c>
      <c r="G9" t="s">
        <v>593</v>
      </c>
      <c r="H9"/>
      <c r="I9">
        <v>2018</v>
      </c>
      <c r="J9"/>
      <c r="K9" t="s">
        <v>3428</v>
      </c>
      <c r="L9"/>
      <c r="M9" t="str">
        <f t="shared" si="0"/>
        <v>Abbas_2018</v>
      </c>
      <c r="N9" s="311" t="s">
        <v>4382</v>
      </c>
      <c r="O9" s="140" t="s">
        <v>223</v>
      </c>
      <c r="P9"/>
      <c r="Q9" s="311" t="s">
        <v>224</v>
      </c>
      <c r="R9" s="312"/>
      <c r="S9" s="1" t="s">
        <v>3429</v>
      </c>
      <c r="T9" t="s">
        <v>3430</v>
      </c>
      <c r="U9" s="143" t="s">
        <v>3431</v>
      </c>
      <c r="V9">
        <v>0</v>
      </c>
      <c r="W9">
        <v>0</v>
      </c>
      <c r="X9">
        <v>0</v>
      </c>
      <c r="Y9">
        <v>1</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s="141">
        <f t="shared" si="1"/>
        <v>1</v>
      </c>
      <c r="AY9" s="141">
        <f t="shared" si="2"/>
        <v>1</v>
      </c>
      <c r="AZ9">
        <f t="shared" si="3"/>
        <v>1</v>
      </c>
      <c r="BA9">
        <f t="shared" si="4"/>
        <v>0</v>
      </c>
      <c r="BB9">
        <f t="shared" si="5"/>
        <v>0</v>
      </c>
      <c r="BC9">
        <f t="shared" si="6"/>
        <v>0</v>
      </c>
      <c r="BD9">
        <f t="shared" si="7"/>
        <v>0</v>
      </c>
      <c r="BE9" t="str" cm="1">
        <f t="array" ref="BE9">IF(AY9=1,INDEX($V$7:$AL$7,MATCH(TRUE,INDEX($V9:$AW9&lt;&gt;0,),0)),IF(AY9=0,INDEX($AM$7:$AW$7,MATCH(1,$AM9:$AW9,0)),IF(BF9="Multiple strategies","mixed drivers",IF(BF9="Supply chain","multiple supply","multiple silviculture"))))</f>
        <v xml:space="preserve">cutting intensity </v>
      </c>
      <c r="BF9" s="2" t="str" cm="1">
        <f t="array" ref="BF9">IF(COUNTIF(AZ9:BB9,"&lt;&gt;0")=1,INDEX($V$4:$AW$4,MATCH(TRUE,INDEX($V9:$AW9&lt;&gt;0,),0)),IF(COUNTIF(AZ9:BB9,"&lt;&gt;0")=0,INDEX($AM$4:$AW$4,MATCH(1,$AM9:$AW9,0)),"Multiple strategies"))</f>
        <v>Silviculture for removals</v>
      </c>
      <c r="BG9" s="142" t="s">
        <v>321</v>
      </c>
      <c r="BH9" t="s">
        <v>3432</v>
      </c>
      <c r="BI9"/>
      <c r="BJ9" s="143" t="s">
        <v>3433</v>
      </c>
      <c r="BK9">
        <v>1</v>
      </c>
      <c r="BL9" s="143">
        <v>1</v>
      </c>
      <c r="BM9" s="143"/>
      <c r="BN9">
        <f t="shared" si="8"/>
        <v>0</v>
      </c>
      <c r="BO9" s="143">
        <f t="shared" si="9"/>
        <v>0</v>
      </c>
      <c r="BP9" s="311" t="s">
        <v>232</v>
      </c>
      <c r="BQ9" s="311" t="s">
        <v>3434</v>
      </c>
      <c r="BR9" t="s">
        <v>3435</v>
      </c>
      <c r="BS9">
        <v>-19.399999999999999</v>
      </c>
      <c r="BT9">
        <v>-16.2</v>
      </c>
      <c r="BU9" s="144">
        <v>0.83505154639175261</v>
      </c>
      <c r="BV9">
        <v>3.1999999999999993</v>
      </c>
      <c r="BW9"/>
      <c r="BX9">
        <f t="shared" si="10"/>
        <v>3.1999999999999993E-3</v>
      </c>
      <c r="BY9" t="str">
        <f t="shared" si="11"/>
        <v/>
      </c>
      <c r="BZ9">
        <v>0</v>
      </c>
      <c r="CA9">
        <v>0</v>
      </c>
      <c r="CB9">
        <v>0</v>
      </c>
      <c r="CC9">
        <v>0</v>
      </c>
      <c r="CD9">
        <v>0</v>
      </c>
      <c r="CE9">
        <v>0</v>
      </c>
      <c r="CF9">
        <v>0</v>
      </c>
      <c r="CG9">
        <v>0</v>
      </c>
      <c r="CH9">
        <v>0</v>
      </c>
      <c r="CI9">
        <v>0</v>
      </c>
      <c r="CJ9">
        <v>0</v>
      </c>
      <c r="CK9">
        <v>0</v>
      </c>
      <c r="CL9">
        <v>0</v>
      </c>
      <c r="CM9">
        <v>0</v>
      </c>
      <c r="CN9" t="str">
        <f t="shared" si="12"/>
        <v>refOK</v>
      </c>
      <c r="CO9">
        <f t="shared" si="13"/>
        <v>1</v>
      </c>
      <c r="CP9">
        <f t="shared" si="14"/>
        <v>1</v>
      </c>
      <c r="CQ9">
        <f t="shared" si="15"/>
        <v>0</v>
      </c>
      <c r="CR9">
        <f t="shared" si="16"/>
        <v>-19.399999999999999</v>
      </c>
      <c r="CS9">
        <f t="shared" si="17"/>
        <v>-16.2</v>
      </c>
      <c r="CT9">
        <f t="shared" si="18"/>
        <v>3.1999999999999993E-3</v>
      </c>
      <c r="CU9" t="str">
        <f t="shared" si="19"/>
        <v/>
      </c>
      <c r="CV9" s="2">
        <f t="shared" si="20"/>
        <v>0.16494845360824739</v>
      </c>
      <c r="CW9" s="1" t="s">
        <v>1198</v>
      </c>
      <c r="CX9" s="311" t="str">
        <f t="shared" si="21"/>
        <v>reg</v>
      </c>
      <c r="CY9" t="s">
        <v>428</v>
      </c>
      <c r="CZ9"/>
      <c r="DA9" s="143"/>
      <c r="DB9" s="143">
        <v>0</v>
      </c>
      <c r="DC9" t="str">
        <f t="shared" si="22"/>
        <v>0</v>
      </c>
      <c r="DD9">
        <v>1</v>
      </c>
      <c r="DE9">
        <v>0</v>
      </c>
      <c r="DF9">
        <v>0</v>
      </c>
      <c r="DG9">
        <v>0</v>
      </c>
      <c r="DH9"/>
      <c r="DI9">
        <f t="shared" si="23"/>
        <v>1</v>
      </c>
      <c r="DJ9" t="str">
        <f t="shared" si="24"/>
        <v>UpstreamInput</v>
      </c>
      <c r="DK9" t="str">
        <f t="shared" si="25"/>
        <v>Upstream</v>
      </c>
      <c r="DL9">
        <f t="shared" si="26"/>
        <v>0</v>
      </c>
      <c r="DM9">
        <f t="shared" si="27"/>
        <v>0</v>
      </c>
      <c r="DN9">
        <f t="shared" si="28"/>
        <v>0</v>
      </c>
      <c r="DO9">
        <v>0</v>
      </c>
      <c r="DP9" s="143">
        <v>0</v>
      </c>
      <c r="DQ9" s="143">
        <v>0</v>
      </c>
      <c r="DR9" s="143">
        <v>0</v>
      </c>
      <c r="DS9" s="143">
        <v>0</v>
      </c>
      <c r="DT9">
        <f t="shared" si="29"/>
        <v>0</v>
      </c>
      <c r="DU9" s="143" t="str">
        <f t="shared" si="30"/>
        <v>explicit C balance</v>
      </c>
      <c r="DV9" s="143">
        <v>0</v>
      </c>
      <c r="DW9" s="143">
        <v>0</v>
      </c>
      <c r="DX9" s="143">
        <v>0</v>
      </c>
      <c r="DY9" s="143">
        <v>0</v>
      </c>
      <c r="DZ9">
        <v>0</v>
      </c>
      <c r="EA9" s="143">
        <v>0</v>
      </c>
      <c r="EB9" s="143">
        <v>1</v>
      </c>
      <c r="EC9" s="143">
        <v>0</v>
      </c>
      <c r="ED9" s="143">
        <v>0</v>
      </c>
      <c r="EE9" s="143">
        <v>0</v>
      </c>
      <c r="EF9">
        <v>0</v>
      </c>
      <c r="EG9" s="143">
        <v>0</v>
      </c>
      <c r="EH9">
        <v>0</v>
      </c>
      <c r="EI9" s="2">
        <v>0</v>
      </c>
      <c r="EJ9" s="1"/>
      <c r="EK9" t="str">
        <f t="shared" si="31"/>
        <v/>
      </c>
      <c r="EL9" t="str">
        <f t="shared" si="32"/>
        <v/>
      </c>
      <c r="EM9" s="2" t="str">
        <f t="shared" si="33"/>
        <v/>
      </c>
      <c r="EN9"/>
      <c r="EO9"/>
      <c r="EP9" t="b">
        <f>IF(ISNUMBER(BU9),IF(ABS(BU9-[1]QC_indicators!$B$2)&gt;3*[1]QC_indicators!$C$2,"C ratio",IF(ISNUMBER(BY9),IF(ABS(BY9-[1]QC_indicators!$B$1)&gt;3*[1]QC_indicators!$C$1,"DF","no"))),IF(ISNUMBER(BY9),IF(ABS(BY9-[1]QC_indicators!$B$1)&gt;3*[1]QC_indicators!$C$1,"DF","no")))</f>
        <v>0</v>
      </c>
      <c r="EQ9"/>
      <c r="ER9" s="313" t="s">
        <v>349</v>
      </c>
      <c r="ES9"/>
      <c r="ET9"/>
      <c r="EU9"/>
    </row>
    <row r="10" spans="1:151" s="139" customFormat="1" ht="15" hidden="1" customHeight="1">
      <c r="A10" s="1" t="s">
        <v>587</v>
      </c>
      <c r="B10" t="s">
        <v>3423</v>
      </c>
      <c r="C10" t="s">
        <v>3424</v>
      </c>
      <c r="D10" t="s">
        <v>3425</v>
      </c>
      <c r="E10" t="s">
        <v>3426</v>
      </c>
      <c r="F10" t="s">
        <v>3427</v>
      </c>
      <c r="G10" t="s">
        <v>593</v>
      </c>
      <c r="H10"/>
      <c r="I10">
        <v>2018</v>
      </c>
      <c r="J10"/>
      <c r="K10" t="s">
        <v>3428</v>
      </c>
      <c r="L10"/>
      <c r="M10" t="str">
        <f t="shared" si="0"/>
        <v>Abbas_2018</v>
      </c>
      <c r="N10" s="311" t="s">
        <v>4382</v>
      </c>
      <c r="O10" s="140" t="s">
        <v>223</v>
      </c>
      <c r="P10"/>
      <c r="Q10" s="311" t="s">
        <v>224</v>
      </c>
      <c r="R10" s="312"/>
      <c r="S10" s="1" t="s">
        <v>3429</v>
      </c>
      <c r="T10" t="s">
        <v>3436</v>
      </c>
      <c r="U10" s="143" t="s">
        <v>3431</v>
      </c>
      <c r="V10">
        <v>0</v>
      </c>
      <c r="W10">
        <v>0</v>
      </c>
      <c r="X10">
        <v>0</v>
      </c>
      <c r="Y10">
        <v>1</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s="141">
        <f t="shared" si="1"/>
        <v>1</v>
      </c>
      <c r="AY10" s="141">
        <f t="shared" si="2"/>
        <v>1</v>
      </c>
      <c r="AZ10">
        <f t="shared" si="3"/>
        <v>1</v>
      </c>
      <c r="BA10">
        <f t="shared" si="4"/>
        <v>0</v>
      </c>
      <c r="BB10">
        <f t="shared" si="5"/>
        <v>0</v>
      </c>
      <c r="BC10">
        <f t="shared" si="6"/>
        <v>0</v>
      </c>
      <c r="BD10">
        <f t="shared" si="7"/>
        <v>0</v>
      </c>
      <c r="BE10" t="str" cm="1">
        <f t="array" ref="BE10">IF(AY10=1,INDEX($V$7:$AL$7,MATCH(TRUE,INDEX($V10:$AW10&lt;&gt;0,),0)),IF(AY10=0,INDEX($AM$7:$AW$7,MATCH(1,$AM10:$AW10,0)),IF(BF10="Multiple strategies","mixed drivers",IF(BF10="Supply chain","multiple supply","multiple silviculture"))))</f>
        <v xml:space="preserve">cutting intensity </v>
      </c>
      <c r="BF10" s="2" t="str" cm="1">
        <f t="array" ref="BF10">IF(COUNTIF(AZ10:BB10,"&lt;&gt;0")=1,INDEX($V$4:$AW$4,MATCH(TRUE,INDEX($V10:$AW10&lt;&gt;0,),0)),IF(COUNTIF(AZ10:BB10,"&lt;&gt;0")=0,INDEX($AM$4:$AW$4,MATCH(1,$AM10:$AW10,0)),"Multiple strategies"))</f>
        <v>Silviculture for removals</v>
      </c>
      <c r="BG10" s="142" t="s">
        <v>321</v>
      </c>
      <c r="BH10" t="s">
        <v>3432</v>
      </c>
      <c r="BI10"/>
      <c r="BJ10" s="143" t="s">
        <v>3433</v>
      </c>
      <c r="BK10">
        <v>1</v>
      </c>
      <c r="BL10" s="143">
        <v>1</v>
      </c>
      <c r="BM10" s="143"/>
      <c r="BN10">
        <f t="shared" si="8"/>
        <v>0</v>
      </c>
      <c r="BO10" s="143">
        <f t="shared" si="9"/>
        <v>0</v>
      </c>
      <c r="BP10" s="311" t="s">
        <v>232</v>
      </c>
      <c r="BQ10" s="311" t="s">
        <v>3434</v>
      </c>
      <c r="BR10" t="s">
        <v>3435</v>
      </c>
      <c r="BS10">
        <v>-21.1</v>
      </c>
      <c r="BT10">
        <v>-17.7</v>
      </c>
      <c r="BU10" s="144">
        <v>0.83886255924170605</v>
      </c>
      <c r="BV10">
        <v>3.4000000000000021</v>
      </c>
      <c r="BW10"/>
      <c r="BX10">
        <f t="shared" si="10"/>
        <v>3.400000000000002E-3</v>
      </c>
      <c r="BY10" t="str">
        <f t="shared" si="11"/>
        <v/>
      </c>
      <c r="BZ10">
        <v>0</v>
      </c>
      <c r="CA10">
        <v>0</v>
      </c>
      <c r="CB10">
        <v>0</v>
      </c>
      <c r="CC10">
        <v>0</v>
      </c>
      <c r="CD10">
        <v>0</v>
      </c>
      <c r="CE10">
        <v>0</v>
      </c>
      <c r="CF10">
        <v>0</v>
      </c>
      <c r="CG10">
        <v>0</v>
      </c>
      <c r="CH10">
        <v>0</v>
      </c>
      <c r="CI10">
        <v>0</v>
      </c>
      <c r="CJ10">
        <v>0</v>
      </c>
      <c r="CK10">
        <v>0</v>
      </c>
      <c r="CL10">
        <v>0</v>
      </c>
      <c r="CM10">
        <v>0</v>
      </c>
      <c r="CN10" t="str">
        <f t="shared" si="12"/>
        <v>refOK</v>
      </c>
      <c r="CO10">
        <f t="shared" si="13"/>
        <v>1</v>
      </c>
      <c r="CP10">
        <f t="shared" si="14"/>
        <v>1</v>
      </c>
      <c r="CQ10">
        <f t="shared" si="15"/>
        <v>0</v>
      </c>
      <c r="CR10">
        <f t="shared" si="16"/>
        <v>-21.1</v>
      </c>
      <c r="CS10">
        <f t="shared" si="17"/>
        <v>-17.7</v>
      </c>
      <c r="CT10">
        <f t="shared" si="18"/>
        <v>3.400000000000002E-3</v>
      </c>
      <c r="CU10" t="str">
        <f t="shared" si="19"/>
        <v/>
      </c>
      <c r="CV10" s="2">
        <f t="shared" si="20"/>
        <v>0.16113744075829392</v>
      </c>
      <c r="CW10" s="1" t="s">
        <v>1198</v>
      </c>
      <c r="CX10" s="311" t="str">
        <f t="shared" si="21"/>
        <v>reg</v>
      </c>
      <c r="CY10" t="s">
        <v>428</v>
      </c>
      <c r="CZ10"/>
      <c r="DA10" s="143"/>
      <c r="DB10" s="143">
        <v>0</v>
      </c>
      <c r="DC10" t="str">
        <f t="shared" si="22"/>
        <v>0</v>
      </c>
      <c r="DD10">
        <v>1</v>
      </c>
      <c r="DE10">
        <v>0</v>
      </c>
      <c r="DF10">
        <v>0</v>
      </c>
      <c r="DG10">
        <v>0</v>
      </c>
      <c r="DH10"/>
      <c r="DI10">
        <f t="shared" si="23"/>
        <v>1</v>
      </c>
      <c r="DJ10" t="str">
        <f t="shared" si="24"/>
        <v>UpstreamInput</v>
      </c>
      <c r="DK10" t="str">
        <f t="shared" si="25"/>
        <v>Upstream</v>
      </c>
      <c r="DL10">
        <f t="shared" si="26"/>
        <v>0</v>
      </c>
      <c r="DM10">
        <f t="shared" si="27"/>
        <v>0</v>
      </c>
      <c r="DN10">
        <f t="shared" si="28"/>
        <v>0</v>
      </c>
      <c r="DO10">
        <v>0</v>
      </c>
      <c r="DP10" s="143">
        <v>0</v>
      </c>
      <c r="DQ10" s="143">
        <v>0</v>
      </c>
      <c r="DR10" s="143">
        <v>0</v>
      </c>
      <c r="DS10" s="143">
        <v>0</v>
      </c>
      <c r="DT10">
        <f t="shared" si="29"/>
        <v>0</v>
      </c>
      <c r="DU10" s="143" t="str">
        <f t="shared" si="30"/>
        <v>explicit C balance</v>
      </c>
      <c r="DV10" s="143">
        <v>0</v>
      </c>
      <c r="DW10" s="143">
        <v>0</v>
      </c>
      <c r="DX10" s="143">
        <v>0</v>
      </c>
      <c r="DY10" s="143">
        <v>0</v>
      </c>
      <c r="DZ10">
        <v>0</v>
      </c>
      <c r="EA10" s="143">
        <v>0</v>
      </c>
      <c r="EB10" s="143">
        <v>1</v>
      </c>
      <c r="EC10" s="143">
        <v>0</v>
      </c>
      <c r="ED10" s="143">
        <v>0</v>
      </c>
      <c r="EE10" s="143">
        <v>0</v>
      </c>
      <c r="EF10">
        <v>0</v>
      </c>
      <c r="EG10" s="143">
        <v>0</v>
      </c>
      <c r="EH10">
        <v>0</v>
      </c>
      <c r="EI10" s="2">
        <v>0</v>
      </c>
      <c r="EJ10" s="1"/>
      <c r="EK10" t="str">
        <f t="shared" si="31"/>
        <v/>
      </c>
      <c r="EL10" t="str">
        <f t="shared" si="32"/>
        <v/>
      </c>
      <c r="EM10" s="2" t="str">
        <f t="shared" si="33"/>
        <v/>
      </c>
      <c r="EN10"/>
      <c r="EO10"/>
      <c r="EP10" t="b">
        <f>IF(ISNUMBER(BU10),IF(ABS(BU10-[1]QC_indicators!$B$2)&gt;3*[1]QC_indicators!$C$2,"C ratio",IF(ISNUMBER(BY10),IF(ABS(BY10-[1]QC_indicators!$B$1)&gt;3*[1]QC_indicators!$C$1,"DF","no"))),IF(ISNUMBER(BY10),IF(ABS(BY10-[1]QC_indicators!$B$1)&gt;3*[1]QC_indicators!$C$1,"DF","no")))</f>
        <v>0</v>
      </c>
      <c r="EQ10"/>
      <c r="ER10" s="313" t="s">
        <v>349</v>
      </c>
      <c r="ES10"/>
      <c r="ET10"/>
      <c r="EU10"/>
    </row>
    <row r="11" spans="1:151" s="139" customFormat="1" ht="15" hidden="1" customHeight="1">
      <c r="A11" s="1" t="s">
        <v>587</v>
      </c>
      <c r="B11" t="s">
        <v>3423</v>
      </c>
      <c r="C11" t="s">
        <v>3424</v>
      </c>
      <c r="D11" t="s">
        <v>3425</v>
      </c>
      <c r="E11" t="s">
        <v>3426</v>
      </c>
      <c r="F11" t="s">
        <v>3427</v>
      </c>
      <c r="G11" t="s">
        <v>593</v>
      </c>
      <c r="H11"/>
      <c r="I11">
        <v>2018</v>
      </c>
      <c r="J11"/>
      <c r="K11" t="s">
        <v>3428</v>
      </c>
      <c r="L11"/>
      <c r="M11" t="str">
        <f t="shared" si="0"/>
        <v>Abbas_2018</v>
      </c>
      <c r="N11" s="311" t="s">
        <v>4382</v>
      </c>
      <c r="O11" s="140" t="s">
        <v>223</v>
      </c>
      <c r="P11"/>
      <c r="Q11" s="311" t="s">
        <v>224</v>
      </c>
      <c r="R11" s="312"/>
      <c r="S11" s="1" t="s">
        <v>3429</v>
      </c>
      <c r="T11" t="s">
        <v>3436</v>
      </c>
      <c r="U11" s="143" t="s">
        <v>3431</v>
      </c>
      <c r="V11">
        <v>0</v>
      </c>
      <c r="W11">
        <v>0</v>
      </c>
      <c r="X11">
        <v>0</v>
      </c>
      <c r="Y11">
        <v>1</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s="141">
        <f t="shared" si="1"/>
        <v>1</v>
      </c>
      <c r="AY11" s="141">
        <f t="shared" si="2"/>
        <v>1</v>
      </c>
      <c r="AZ11">
        <f t="shared" si="3"/>
        <v>1</v>
      </c>
      <c r="BA11">
        <f t="shared" si="4"/>
        <v>0</v>
      </c>
      <c r="BB11">
        <f t="shared" si="5"/>
        <v>0</v>
      </c>
      <c r="BC11">
        <f t="shared" si="6"/>
        <v>0</v>
      </c>
      <c r="BD11">
        <f t="shared" si="7"/>
        <v>0</v>
      </c>
      <c r="BE11" t="str" cm="1">
        <f t="array" ref="BE11">IF(AY11=1,INDEX($V$7:$AL$7,MATCH(TRUE,INDEX($V11:$AW11&lt;&gt;0,),0)),IF(AY11=0,INDEX($AM$7:$AW$7,MATCH(1,$AM11:$AW11,0)),IF(BF11="Multiple strategies","mixed drivers",IF(BF11="Supply chain","multiple supply","multiple silviculture"))))</f>
        <v xml:space="preserve">cutting intensity </v>
      </c>
      <c r="BF11" s="2" t="str" cm="1">
        <f t="array" ref="BF11">IF(COUNTIF(AZ11:BB11,"&lt;&gt;0")=1,INDEX($V$4:$AW$4,MATCH(TRUE,INDEX($V11:$AW11&lt;&gt;0,),0)),IF(COUNTIF(AZ11:BB11,"&lt;&gt;0")=0,INDEX($AM$4:$AW$4,MATCH(1,$AM11:$AW11,0)),"Multiple strategies"))</f>
        <v>Silviculture for removals</v>
      </c>
      <c r="BG11" s="142" t="s">
        <v>321</v>
      </c>
      <c r="BH11" t="s">
        <v>3432</v>
      </c>
      <c r="BI11"/>
      <c r="BJ11" s="143" t="s">
        <v>3433</v>
      </c>
      <c r="BK11">
        <v>1</v>
      </c>
      <c r="BL11" s="143">
        <v>1</v>
      </c>
      <c r="BM11" s="143"/>
      <c r="BN11">
        <f t="shared" si="8"/>
        <v>0</v>
      </c>
      <c r="BO11" s="143">
        <f t="shared" si="9"/>
        <v>0</v>
      </c>
      <c r="BP11" s="311" t="s">
        <v>232</v>
      </c>
      <c r="BQ11" s="311" t="s">
        <v>3434</v>
      </c>
      <c r="BR11" t="s">
        <v>3435</v>
      </c>
      <c r="BS11">
        <v>-18.600000000000001</v>
      </c>
      <c r="BT11">
        <v>-16.2</v>
      </c>
      <c r="BU11" s="144">
        <v>0.87096774193548376</v>
      </c>
      <c r="BV11">
        <v>2.4000000000000021</v>
      </c>
      <c r="BW11"/>
      <c r="BX11">
        <f t="shared" si="10"/>
        <v>2.400000000000002E-3</v>
      </c>
      <c r="BY11" t="str">
        <f t="shared" si="11"/>
        <v/>
      </c>
      <c r="BZ11">
        <v>0</v>
      </c>
      <c r="CA11">
        <v>0</v>
      </c>
      <c r="CB11">
        <v>0</v>
      </c>
      <c r="CC11">
        <v>0</v>
      </c>
      <c r="CD11">
        <v>0</v>
      </c>
      <c r="CE11">
        <v>0</v>
      </c>
      <c r="CF11">
        <v>0</v>
      </c>
      <c r="CG11">
        <v>0</v>
      </c>
      <c r="CH11">
        <v>0</v>
      </c>
      <c r="CI11">
        <v>0</v>
      </c>
      <c r="CJ11">
        <v>0</v>
      </c>
      <c r="CK11">
        <v>0</v>
      </c>
      <c r="CL11">
        <v>0</v>
      </c>
      <c r="CM11">
        <v>0</v>
      </c>
      <c r="CN11" t="str">
        <f t="shared" si="12"/>
        <v>refOK</v>
      </c>
      <c r="CO11">
        <f t="shared" si="13"/>
        <v>1</v>
      </c>
      <c r="CP11">
        <f t="shared" si="14"/>
        <v>1</v>
      </c>
      <c r="CQ11">
        <f t="shared" si="15"/>
        <v>0</v>
      </c>
      <c r="CR11">
        <f t="shared" si="16"/>
        <v>-18.600000000000001</v>
      </c>
      <c r="CS11">
        <f t="shared" si="17"/>
        <v>-16.2</v>
      </c>
      <c r="CT11">
        <f t="shared" si="18"/>
        <v>2.400000000000002E-3</v>
      </c>
      <c r="CU11" t="str">
        <f t="shared" si="19"/>
        <v/>
      </c>
      <c r="CV11" s="2">
        <f t="shared" si="20"/>
        <v>0.12903225806451624</v>
      </c>
      <c r="CW11" s="1" t="s">
        <v>1198</v>
      </c>
      <c r="CX11" s="311" t="str">
        <f t="shared" si="21"/>
        <v>reg</v>
      </c>
      <c r="CY11" t="s">
        <v>428</v>
      </c>
      <c r="CZ11"/>
      <c r="DA11" s="143"/>
      <c r="DB11" s="143">
        <v>0</v>
      </c>
      <c r="DC11" t="str">
        <f t="shared" si="22"/>
        <v>0</v>
      </c>
      <c r="DD11">
        <v>1</v>
      </c>
      <c r="DE11">
        <v>0</v>
      </c>
      <c r="DF11">
        <v>0</v>
      </c>
      <c r="DG11">
        <v>0</v>
      </c>
      <c r="DH11"/>
      <c r="DI11">
        <f t="shared" si="23"/>
        <v>1</v>
      </c>
      <c r="DJ11" t="str">
        <f t="shared" si="24"/>
        <v>UpstreamInput</v>
      </c>
      <c r="DK11" t="str">
        <f t="shared" si="25"/>
        <v>Upstream</v>
      </c>
      <c r="DL11">
        <f t="shared" si="26"/>
        <v>0</v>
      </c>
      <c r="DM11">
        <f t="shared" si="27"/>
        <v>0</v>
      </c>
      <c r="DN11">
        <f t="shared" si="28"/>
        <v>0</v>
      </c>
      <c r="DO11">
        <v>0</v>
      </c>
      <c r="DP11" s="143">
        <v>0</v>
      </c>
      <c r="DQ11" s="143">
        <v>0</v>
      </c>
      <c r="DR11" s="143">
        <v>0</v>
      </c>
      <c r="DS11" s="143">
        <v>0</v>
      </c>
      <c r="DT11">
        <f t="shared" si="29"/>
        <v>0</v>
      </c>
      <c r="DU11" s="143" t="str">
        <f t="shared" si="30"/>
        <v>explicit C balance</v>
      </c>
      <c r="DV11" s="143">
        <v>0</v>
      </c>
      <c r="DW11" s="143">
        <v>0</v>
      </c>
      <c r="DX11" s="143">
        <v>0</v>
      </c>
      <c r="DY11" s="143">
        <v>0</v>
      </c>
      <c r="DZ11">
        <v>0</v>
      </c>
      <c r="EA11" s="143">
        <v>0</v>
      </c>
      <c r="EB11" s="143">
        <v>1</v>
      </c>
      <c r="EC11" s="143">
        <v>0</v>
      </c>
      <c r="ED11" s="143">
        <v>0</v>
      </c>
      <c r="EE11" s="143">
        <v>0</v>
      </c>
      <c r="EF11">
        <v>0</v>
      </c>
      <c r="EG11" s="143">
        <v>0</v>
      </c>
      <c r="EH11">
        <v>0</v>
      </c>
      <c r="EI11" s="2">
        <v>0</v>
      </c>
      <c r="EJ11" s="1"/>
      <c r="EK11" t="str">
        <f t="shared" si="31"/>
        <v/>
      </c>
      <c r="EL11" t="str">
        <f t="shared" si="32"/>
        <v/>
      </c>
      <c r="EM11" s="2" t="str">
        <f t="shared" si="33"/>
        <v/>
      </c>
      <c r="EN11"/>
      <c r="EO11"/>
      <c r="EP11" t="b">
        <f>IF(ISNUMBER(BU11),IF(ABS(BU11-[1]QC_indicators!$B$2)&gt;3*[1]QC_indicators!$C$2,"C ratio",IF(ISNUMBER(BY11),IF(ABS(BY11-[1]QC_indicators!$B$1)&gt;3*[1]QC_indicators!$C$1,"DF","no"))),IF(ISNUMBER(BY11),IF(ABS(BY11-[1]QC_indicators!$B$1)&gt;3*[1]QC_indicators!$C$1,"DF","no")))</f>
        <v>0</v>
      </c>
      <c r="EQ11"/>
      <c r="ER11" s="313" t="s">
        <v>349</v>
      </c>
      <c r="ES11"/>
      <c r="ET11"/>
      <c r="EU11"/>
    </row>
    <row r="12" spans="1:151" s="139" customFormat="1" ht="15" hidden="1" customHeight="1">
      <c r="A12" s="1" t="s">
        <v>587</v>
      </c>
      <c r="B12" t="s">
        <v>3423</v>
      </c>
      <c r="C12" t="s">
        <v>3424</v>
      </c>
      <c r="D12" t="s">
        <v>3425</v>
      </c>
      <c r="E12" t="s">
        <v>3426</v>
      </c>
      <c r="F12" t="s">
        <v>3427</v>
      </c>
      <c r="G12" t="s">
        <v>593</v>
      </c>
      <c r="H12"/>
      <c r="I12">
        <v>2018</v>
      </c>
      <c r="J12"/>
      <c r="K12" t="s">
        <v>3428</v>
      </c>
      <c r="L12"/>
      <c r="M12" t="str">
        <f t="shared" si="0"/>
        <v>Abbas_2018</v>
      </c>
      <c r="N12" s="311" t="s">
        <v>4382</v>
      </c>
      <c r="O12" s="140" t="s">
        <v>223</v>
      </c>
      <c r="P12"/>
      <c r="Q12" s="311" t="s">
        <v>224</v>
      </c>
      <c r="R12" s="312"/>
      <c r="S12" s="1" t="s">
        <v>3437</v>
      </c>
      <c r="T12" t="s">
        <v>3438</v>
      </c>
      <c r="U12" s="143" t="s">
        <v>3439</v>
      </c>
      <c r="V12">
        <v>0</v>
      </c>
      <c r="W12">
        <v>0</v>
      </c>
      <c r="X12">
        <v>0</v>
      </c>
      <c r="Y12">
        <v>0</v>
      </c>
      <c r="Z12">
        <v>0</v>
      </c>
      <c r="AA12">
        <v>0</v>
      </c>
      <c r="AB12">
        <v>0</v>
      </c>
      <c r="AC12">
        <v>0</v>
      </c>
      <c r="AD12">
        <v>1</v>
      </c>
      <c r="AE12">
        <v>0</v>
      </c>
      <c r="AF12">
        <v>0</v>
      </c>
      <c r="AG12">
        <v>0</v>
      </c>
      <c r="AH12">
        <v>0</v>
      </c>
      <c r="AI12">
        <v>0</v>
      </c>
      <c r="AJ12">
        <v>0</v>
      </c>
      <c r="AK12">
        <v>0</v>
      </c>
      <c r="AL12">
        <v>0</v>
      </c>
      <c r="AM12">
        <v>0</v>
      </c>
      <c r="AN12">
        <v>0</v>
      </c>
      <c r="AO12">
        <v>0</v>
      </c>
      <c r="AP12">
        <v>0</v>
      </c>
      <c r="AQ12">
        <v>0</v>
      </c>
      <c r="AR12">
        <v>0</v>
      </c>
      <c r="AS12">
        <v>0</v>
      </c>
      <c r="AT12">
        <v>0</v>
      </c>
      <c r="AU12">
        <v>0</v>
      </c>
      <c r="AV12">
        <v>0</v>
      </c>
      <c r="AW12">
        <v>0</v>
      </c>
      <c r="AX12" s="141">
        <f t="shared" si="1"/>
        <v>1</v>
      </c>
      <c r="AY12" s="141">
        <f t="shared" si="2"/>
        <v>1</v>
      </c>
      <c r="AZ12">
        <f t="shared" si="3"/>
        <v>0</v>
      </c>
      <c r="BA12">
        <f t="shared" si="4"/>
        <v>1</v>
      </c>
      <c r="BB12">
        <f t="shared" si="5"/>
        <v>0</v>
      </c>
      <c r="BC12">
        <f t="shared" si="6"/>
        <v>0</v>
      </c>
      <c r="BD12">
        <f t="shared" si="7"/>
        <v>0</v>
      </c>
      <c r="BE12" t="str" cm="1">
        <f t="array" ref="BE12">IF(AY12=1,INDEX($V$7:$AL$7,MATCH(TRUE,INDEX($V12:$AW12&lt;&gt;0,),0)),IF(AY12=0,INDEX($AM$7:$AW$7,MATCH(1,$AM12:$AW12,0)),IF(BF12="Multiple strategies","mixed drivers",IF(BF12="Supply chain","multiple supply","multiple silviculture"))))</f>
        <v>harvesting system</v>
      </c>
      <c r="BF12" s="2" t="str" cm="1">
        <f t="array" ref="BF12">IF(COUNTIF(AZ12:BB12,"&lt;&gt;0")=1,INDEX($V$4:$AW$4,MATCH(TRUE,INDEX($V12:$AW12&lt;&gt;0,),0)),IF(COUNTIF(AZ12:BB12,"&lt;&gt;0")=0,INDEX($AM$4:$AW$4,MATCH(1,$AM12:$AW12,0)),"Multiple strategies"))</f>
        <v>Supply chain</v>
      </c>
      <c r="BG12" s="142" t="s">
        <v>321</v>
      </c>
      <c r="BH12" t="s">
        <v>3432</v>
      </c>
      <c r="BI12"/>
      <c r="BJ12" s="143" t="s">
        <v>3433</v>
      </c>
      <c r="BK12">
        <v>1</v>
      </c>
      <c r="BL12" s="143">
        <v>1</v>
      </c>
      <c r="BM12" s="143"/>
      <c r="BN12">
        <f t="shared" si="8"/>
        <v>0</v>
      </c>
      <c r="BO12" s="143">
        <f t="shared" si="9"/>
        <v>0</v>
      </c>
      <c r="BP12" s="311" t="s">
        <v>232</v>
      </c>
      <c r="BQ12" s="311" t="s">
        <v>3434</v>
      </c>
      <c r="BR12" t="s">
        <v>3435</v>
      </c>
      <c r="BS12">
        <v>-23.3</v>
      </c>
      <c r="BT12">
        <v>-19.399999999999999</v>
      </c>
      <c r="BU12" s="144">
        <v>0.83261802575107291</v>
      </c>
      <c r="BV12">
        <v>3.9000000000000021</v>
      </c>
      <c r="BW12"/>
      <c r="BX12">
        <f t="shared" si="10"/>
        <v>3.900000000000002E-3</v>
      </c>
      <c r="BY12" t="str">
        <f t="shared" si="11"/>
        <v/>
      </c>
      <c r="BZ12">
        <v>0</v>
      </c>
      <c r="CA12">
        <v>0</v>
      </c>
      <c r="CB12">
        <v>0</v>
      </c>
      <c r="CC12">
        <v>0</v>
      </c>
      <c r="CD12">
        <v>0</v>
      </c>
      <c r="CE12">
        <v>0</v>
      </c>
      <c r="CF12">
        <v>0</v>
      </c>
      <c r="CG12">
        <v>0</v>
      </c>
      <c r="CH12">
        <v>0</v>
      </c>
      <c r="CI12">
        <v>0</v>
      </c>
      <c r="CJ12">
        <v>0</v>
      </c>
      <c r="CK12">
        <v>0</v>
      </c>
      <c r="CL12">
        <v>0</v>
      </c>
      <c r="CM12">
        <v>0</v>
      </c>
      <c r="CN12" t="str">
        <f t="shared" si="12"/>
        <v>refOK</v>
      </c>
      <c r="CO12">
        <f t="shared" si="13"/>
        <v>1</v>
      </c>
      <c r="CP12">
        <f t="shared" si="14"/>
        <v>1</v>
      </c>
      <c r="CQ12">
        <f t="shared" si="15"/>
        <v>0</v>
      </c>
      <c r="CR12">
        <f t="shared" si="16"/>
        <v>-23.3</v>
      </c>
      <c r="CS12">
        <f t="shared" si="17"/>
        <v>-19.399999999999999</v>
      </c>
      <c r="CT12">
        <f t="shared" si="18"/>
        <v>3.900000000000002E-3</v>
      </c>
      <c r="CU12" t="str">
        <f t="shared" si="19"/>
        <v/>
      </c>
      <c r="CV12" s="2">
        <f t="shared" si="20"/>
        <v>0.16738197424892712</v>
      </c>
      <c r="CW12" s="1" t="s">
        <v>1198</v>
      </c>
      <c r="CX12" s="311" t="str">
        <f t="shared" si="21"/>
        <v>reg</v>
      </c>
      <c r="CY12" t="s">
        <v>428</v>
      </c>
      <c r="CZ12"/>
      <c r="DA12" s="143"/>
      <c r="DB12" s="143">
        <v>0</v>
      </c>
      <c r="DC12" t="str">
        <f t="shared" si="22"/>
        <v>0</v>
      </c>
      <c r="DD12">
        <v>1</v>
      </c>
      <c r="DE12">
        <v>0</v>
      </c>
      <c r="DF12">
        <v>0</v>
      </c>
      <c r="DG12">
        <v>0</v>
      </c>
      <c r="DH12"/>
      <c r="DI12">
        <f t="shared" si="23"/>
        <v>1</v>
      </c>
      <c r="DJ12" t="str">
        <f t="shared" si="24"/>
        <v>UpstreamInput</v>
      </c>
      <c r="DK12" t="str">
        <f t="shared" si="25"/>
        <v>Upstream</v>
      </c>
      <c r="DL12">
        <f t="shared" si="26"/>
        <v>0</v>
      </c>
      <c r="DM12">
        <f t="shared" si="27"/>
        <v>0</v>
      </c>
      <c r="DN12">
        <f t="shared" si="28"/>
        <v>0</v>
      </c>
      <c r="DO12">
        <v>0</v>
      </c>
      <c r="DP12" s="143">
        <v>0</v>
      </c>
      <c r="DQ12" s="143">
        <v>0</v>
      </c>
      <c r="DR12" s="143">
        <v>0</v>
      </c>
      <c r="DS12" s="143">
        <v>0</v>
      </c>
      <c r="DT12">
        <f t="shared" si="29"/>
        <v>0</v>
      </c>
      <c r="DU12" s="143" t="str">
        <f t="shared" si="30"/>
        <v>explicit C balance</v>
      </c>
      <c r="DV12" s="143">
        <v>0</v>
      </c>
      <c r="DW12" s="143">
        <v>0</v>
      </c>
      <c r="DX12" s="143">
        <v>0</v>
      </c>
      <c r="DY12" s="143">
        <v>0</v>
      </c>
      <c r="DZ12">
        <v>0</v>
      </c>
      <c r="EA12" s="143">
        <v>0</v>
      </c>
      <c r="EB12" s="143">
        <v>1</v>
      </c>
      <c r="EC12" s="143">
        <v>0</v>
      </c>
      <c r="ED12" s="143">
        <v>0</v>
      </c>
      <c r="EE12" s="143">
        <v>0</v>
      </c>
      <c r="EF12">
        <v>0</v>
      </c>
      <c r="EG12" s="143">
        <v>0</v>
      </c>
      <c r="EH12">
        <v>0</v>
      </c>
      <c r="EI12" s="2">
        <v>0</v>
      </c>
      <c r="EJ12" s="1"/>
      <c r="EK12" t="str">
        <f t="shared" si="31"/>
        <v/>
      </c>
      <c r="EL12" t="str">
        <f t="shared" si="32"/>
        <v/>
      </c>
      <c r="EM12" s="2" t="str">
        <f t="shared" si="33"/>
        <v/>
      </c>
      <c r="EN12"/>
      <c r="EO12"/>
      <c r="EP12" t="b">
        <f>IF(ISNUMBER(BU12),IF(ABS(BU12-[1]QC_indicators!$B$2)&gt;3*[1]QC_indicators!$C$2,"C ratio",IF(ISNUMBER(BY12),IF(ABS(BY12-[1]QC_indicators!$B$1)&gt;3*[1]QC_indicators!$C$1,"DF","no"))),IF(ISNUMBER(BY12),IF(ABS(BY12-[1]QC_indicators!$B$1)&gt;3*[1]QC_indicators!$C$1,"DF","no")))</f>
        <v>0</v>
      </c>
      <c r="EQ12"/>
      <c r="ER12" s="313" t="s">
        <v>349</v>
      </c>
      <c r="ES12"/>
      <c r="ET12"/>
      <c r="EU12"/>
    </row>
    <row r="13" spans="1:151" s="139" customFormat="1" ht="15" hidden="1" customHeight="1">
      <c r="A13" s="1" t="s">
        <v>587</v>
      </c>
      <c r="B13" t="s">
        <v>3423</v>
      </c>
      <c r="C13" t="s">
        <v>3424</v>
      </c>
      <c r="D13" t="s">
        <v>3425</v>
      </c>
      <c r="E13" t="s">
        <v>3426</v>
      </c>
      <c r="F13" t="s">
        <v>3427</v>
      </c>
      <c r="G13" t="s">
        <v>593</v>
      </c>
      <c r="H13"/>
      <c r="I13">
        <v>2018</v>
      </c>
      <c r="J13"/>
      <c r="K13" t="s">
        <v>3428</v>
      </c>
      <c r="L13"/>
      <c r="M13" t="str">
        <f t="shared" si="0"/>
        <v>Abbas_2018</v>
      </c>
      <c r="N13" s="311" t="s">
        <v>4382</v>
      </c>
      <c r="O13" s="140" t="s">
        <v>223</v>
      </c>
      <c r="P13"/>
      <c r="Q13" s="311" t="s">
        <v>224</v>
      </c>
      <c r="R13" s="312"/>
      <c r="S13" s="1" t="s">
        <v>3437</v>
      </c>
      <c r="T13" t="s">
        <v>3438</v>
      </c>
      <c r="U13" s="143" t="s">
        <v>3439</v>
      </c>
      <c r="V13">
        <v>0</v>
      </c>
      <c r="W13">
        <v>0</v>
      </c>
      <c r="X13">
        <v>0</v>
      </c>
      <c r="Y13">
        <v>0</v>
      </c>
      <c r="Z13">
        <v>0</v>
      </c>
      <c r="AA13">
        <v>0</v>
      </c>
      <c r="AB13">
        <v>0</v>
      </c>
      <c r="AC13">
        <v>0</v>
      </c>
      <c r="AD13">
        <v>1</v>
      </c>
      <c r="AE13">
        <v>0</v>
      </c>
      <c r="AF13">
        <v>0</v>
      </c>
      <c r="AG13">
        <v>0</v>
      </c>
      <c r="AH13">
        <v>0</v>
      </c>
      <c r="AI13">
        <v>0</v>
      </c>
      <c r="AJ13">
        <v>0</v>
      </c>
      <c r="AK13">
        <v>0</v>
      </c>
      <c r="AL13">
        <v>0</v>
      </c>
      <c r="AM13">
        <v>0</v>
      </c>
      <c r="AN13">
        <v>0</v>
      </c>
      <c r="AO13">
        <v>0</v>
      </c>
      <c r="AP13">
        <v>0</v>
      </c>
      <c r="AQ13">
        <v>0</v>
      </c>
      <c r="AR13">
        <v>0</v>
      </c>
      <c r="AS13">
        <v>0</v>
      </c>
      <c r="AT13">
        <v>0</v>
      </c>
      <c r="AU13">
        <v>0</v>
      </c>
      <c r="AV13">
        <v>0</v>
      </c>
      <c r="AW13">
        <v>0</v>
      </c>
      <c r="AX13" s="141">
        <f t="shared" si="1"/>
        <v>1</v>
      </c>
      <c r="AY13" s="141">
        <f t="shared" si="2"/>
        <v>1</v>
      </c>
      <c r="AZ13">
        <f t="shared" si="3"/>
        <v>0</v>
      </c>
      <c r="BA13">
        <f t="shared" si="4"/>
        <v>1</v>
      </c>
      <c r="BB13">
        <f t="shared" si="5"/>
        <v>0</v>
      </c>
      <c r="BC13">
        <f t="shared" si="6"/>
        <v>0</v>
      </c>
      <c r="BD13">
        <f t="shared" si="7"/>
        <v>0</v>
      </c>
      <c r="BE13" t="str" cm="1">
        <f t="array" ref="BE13">IF(AY13=1,INDEX($V$7:$AL$7,MATCH(TRUE,INDEX($V13:$AW13&lt;&gt;0,),0)),IF(AY13=0,INDEX($AM$7:$AW$7,MATCH(1,$AM13:$AW13,0)),IF(BF13="Multiple strategies","mixed drivers",IF(BF13="Supply chain","multiple supply","multiple silviculture"))))</f>
        <v>harvesting system</v>
      </c>
      <c r="BF13" s="2" t="str" cm="1">
        <f t="array" ref="BF13">IF(COUNTIF(AZ13:BB13,"&lt;&gt;0")=1,INDEX($V$4:$AW$4,MATCH(TRUE,INDEX($V13:$AW13&lt;&gt;0,),0)),IF(COUNTIF(AZ13:BB13,"&lt;&gt;0")=0,INDEX($AM$4:$AW$4,MATCH(1,$AM13:$AW13,0)),"Multiple strategies"))</f>
        <v>Supply chain</v>
      </c>
      <c r="BG13" s="142" t="s">
        <v>321</v>
      </c>
      <c r="BH13" t="s">
        <v>3432</v>
      </c>
      <c r="BI13"/>
      <c r="BJ13" s="143" t="s">
        <v>3433</v>
      </c>
      <c r="BK13">
        <v>1</v>
      </c>
      <c r="BL13" s="143">
        <v>1</v>
      </c>
      <c r="BM13" s="143"/>
      <c r="BN13">
        <f t="shared" si="8"/>
        <v>0</v>
      </c>
      <c r="BO13" s="143">
        <f t="shared" si="9"/>
        <v>0</v>
      </c>
      <c r="BP13" s="311" t="s">
        <v>232</v>
      </c>
      <c r="BQ13" s="311" t="s">
        <v>3434</v>
      </c>
      <c r="BR13" t="s">
        <v>3435</v>
      </c>
      <c r="BS13">
        <v>-21.1</v>
      </c>
      <c r="BT13">
        <v>-18.600000000000001</v>
      </c>
      <c r="BU13" s="144">
        <v>0.88151658767772512</v>
      </c>
      <c r="BV13">
        <v>2.5</v>
      </c>
      <c r="BW13"/>
      <c r="BX13">
        <f t="shared" si="10"/>
        <v>2.5000000000000001E-3</v>
      </c>
      <c r="BY13" t="str">
        <f t="shared" si="11"/>
        <v/>
      </c>
      <c r="BZ13">
        <v>0</v>
      </c>
      <c r="CA13">
        <v>0</v>
      </c>
      <c r="CB13">
        <v>0</v>
      </c>
      <c r="CC13">
        <v>0</v>
      </c>
      <c r="CD13">
        <v>0</v>
      </c>
      <c r="CE13">
        <v>0</v>
      </c>
      <c r="CF13">
        <v>0</v>
      </c>
      <c r="CG13">
        <v>0</v>
      </c>
      <c r="CH13">
        <v>0</v>
      </c>
      <c r="CI13">
        <v>0</v>
      </c>
      <c r="CJ13">
        <v>0</v>
      </c>
      <c r="CK13">
        <v>0</v>
      </c>
      <c r="CL13">
        <v>0</v>
      </c>
      <c r="CM13">
        <v>0</v>
      </c>
      <c r="CN13" t="str">
        <f t="shared" si="12"/>
        <v>refOK</v>
      </c>
      <c r="CO13">
        <f t="shared" si="13"/>
        <v>1</v>
      </c>
      <c r="CP13">
        <f t="shared" si="14"/>
        <v>1</v>
      </c>
      <c r="CQ13">
        <f t="shared" si="15"/>
        <v>0</v>
      </c>
      <c r="CR13">
        <f t="shared" si="16"/>
        <v>-21.1</v>
      </c>
      <c r="CS13">
        <f t="shared" si="17"/>
        <v>-18.600000000000001</v>
      </c>
      <c r="CT13">
        <f t="shared" si="18"/>
        <v>2.5000000000000001E-3</v>
      </c>
      <c r="CU13" t="str">
        <f t="shared" si="19"/>
        <v/>
      </c>
      <c r="CV13" s="2">
        <f t="shared" si="20"/>
        <v>0.11848341232227487</v>
      </c>
      <c r="CW13" s="1" t="s">
        <v>1198</v>
      </c>
      <c r="CX13" s="311" t="str">
        <f t="shared" si="21"/>
        <v>reg</v>
      </c>
      <c r="CY13" t="s">
        <v>428</v>
      </c>
      <c r="CZ13"/>
      <c r="DA13" s="143"/>
      <c r="DB13" s="143">
        <v>0</v>
      </c>
      <c r="DC13" t="str">
        <f t="shared" si="22"/>
        <v>0</v>
      </c>
      <c r="DD13">
        <v>1</v>
      </c>
      <c r="DE13">
        <v>0</v>
      </c>
      <c r="DF13">
        <v>0</v>
      </c>
      <c r="DG13">
        <v>0</v>
      </c>
      <c r="DH13"/>
      <c r="DI13">
        <f t="shared" si="23"/>
        <v>1</v>
      </c>
      <c r="DJ13" t="str">
        <f t="shared" si="24"/>
        <v>UpstreamInput</v>
      </c>
      <c r="DK13" t="str">
        <f t="shared" si="25"/>
        <v>Upstream</v>
      </c>
      <c r="DL13">
        <f t="shared" si="26"/>
        <v>0</v>
      </c>
      <c r="DM13">
        <f t="shared" si="27"/>
        <v>0</v>
      </c>
      <c r="DN13">
        <f t="shared" si="28"/>
        <v>0</v>
      </c>
      <c r="DO13">
        <v>0</v>
      </c>
      <c r="DP13" s="143">
        <v>0</v>
      </c>
      <c r="DQ13" s="143">
        <v>0</v>
      </c>
      <c r="DR13" s="143">
        <v>0</v>
      </c>
      <c r="DS13" s="143">
        <v>0</v>
      </c>
      <c r="DT13">
        <f t="shared" si="29"/>
        <v>0</v>
      </c>
      <c r="DU13" s="143" t="str">
        <f t="shared" si="30"/>
        <v>explicit C balance</v>
      </c>
      <c r="DV13" s="143">
        <v>0</v>
      </c>
      <c r="DW13" s="143">
        <v>0</v>
      </c>
      <c r="DX13" s="143">
        <v>0</v>
      </c>
      <c r="DY13" s="143">
        <v>0</v>
      </c>
      <c r="DZ13">
        <v>0</v>
      </c>
      <c r="EA13" s="143">
        <v>0</v>
      </c>
      <c r="EB13" s="143">
        <v>1</v>
      </c>
      <c r="EC13" s="143">
        <v>0</v>
      </c>
      <c r="ED13" s="143">
        <v>0</v>
      </c>
      <c r="EE13" s="143">
        <v>0</v>
      </c>
      <c r="EF13">
        <v>0</v>
      </c>
      <c r="EG13" s="143">
        <v>0</v>
      </c>
      <c r="EH13">
        <v>0</v>
      </c>
      <c r="EI13" s="2">
        <v>0</v>
      </c>
      <c r="EJ13" s="1"/>
      <c r="EK13" t="str">
        <f t="shared" si="31"/>
        <v/>
      </c>
      <c r="EL13" t="str">
        <f t="shared" si="32"/>
        <v/>
      </c>
      <c r="EM13" s="2" t="str">
        <f t="shared" si="33"/>
        <v/>
      </c>
      <c r="EN13"/>
      <c r="EO13"/>
      <c r="EP13" t="b">
        <f>IF(ISNUMBER(BU13),IF(ABS(BU13-[1]QC_indicators!$B$2)&gt;3*[1]QC_indicators!$C$2,"C ratio",IF(ISNUMBER(BY13),IF(ABS(BY13-[1]QC_indicators!$B$1)&gt;3*[1]QC_indicators!$C$1,"DF","no"))),IF(ISNUMBER(BY13),IF(ABS(BY13-[1]QC_indicators!$B$1)&gt;3*[1]QC_indicators!$C$1,"DF","no")))</f>
        <v>0</v>
      </c>
      <c r="EQ13"/>
      <c r="ER13" s="313" t="s">
        <v>349</v>
      </c>
      <c r="ES13"/>
      <c r="ET13"/>
      <c r="EU13"/>
    </row>
    <row r="14" spans="1:151" s="139" customFormat="1" ht="15" hidden="1" customHeight="1">
      <c r="A14" s="1" t="s">
        <v>587</v>
      </c>
      <c r="B14" t="s">
        <v>3423</v>
      </c>
      <c r="C14" t="s">
        <v>3424</v>
      </c>
      <c r="D14" t="s">
        <v>3425</v>
      </c>
      <c r="E14" t="s">
        <v>3426</v>
      </c>
      <c r="F14" t="s">
        <v>3427</v>
      </c>
      <c r="G14" t="s">
        <v>593</v>
      </c>
      <c r="H14"/>
      <c r="I14">
        <v>2018</v>
      </c>
      <c r="J14"/>
      <c r="K14" t="s">
        <v>3428</v>
      </c>
      <c r="L14"/>
      <c r="M14" t="str">
        <f t="shared" si="0"/>
        <v>Abbas_2018</v>
      </c>
      <c r="N14" s="311" t="s">
        <v>4382</v>
      </c>
      <c r="O14" s="140" t="s">
        <v>223</v>
      </c>
      <c r="P14"/>
      <c r="Q14" s="311" t="s">
        <v>224</v>
      </c>
      <c r="R14" s="312"/>
      <c r="S14" s="1" t="s">
        <v>3437</v>
      </c>
      <c r="T14" t="s">
        <v>3438</v>
      </c>
      <c r="U14" s="143" t="s">
        <v>3439</v>
      </c>
      <c r="V14">
        <v>0</v>
      </c>
      <c r="W14">
        <v>0</v>
      </c>
      <c r="X14">
        <v>0</v>
      </c>
      <c r="Y14">
        <v>0</v>
      </c>
      <c r="Z14">
        <v>0</v>
      </c>
      <c r="AA14">
        <v>0</v>
      </c>
      <c r="AB14">
        <v>0</v>
      </c>
      <c r="AC14">
        <v>0</v>
      </c>
      <c r="AD14">
        <v>1</v>
      </c>
      <c r="AE14">
        <v>0</v>
      </c>
      <c r="AF14">
        <v>0</v>
      </c>
      <c r="AG14">
        <v>0</v>
      </c>
      <c r="AH14">
        <v>0</v>
      </c>
      <c r="AI14">
        <v>0</v>
      </c>
      <c r="AJ14">
        <v>0</v>
      </c>
      <c r="AK14">
        <v>0</v>
      </c>
      <c r="AL14">
        <v>0</v>
      </c>
      <c r="AM14">
        <v>0</v>
      </c>
      <c r="AN14">
        <v>0</v>
      </c>
      <c r="AO14">
        <v>0</v>
      </c>
      <c r="AP14">
        <v>0</v>
      </c>
      <c r="AQ14">
        <v>0</v>
      </c>
      <c r="AR14">
        <v>0</v>
      </c>
      <c r="AS14">
        <v>0</v>
      </c>
      <c r="AT14">
        <v>0</v>
      </c>
      <c r="AU14">
        <v>0</v>
      </c>
      <c r="AV14">
        <v>0</v>
      </c>
      <c r="AW14">
        <v>0</v>
      </c>
      <c r="AX14" s="141">
        <f t="shared" si="1"/>
        <v>1</v>
      </c>
      <c r="AY14" s="141">
        <f t="shared" si="2"/>
        <v>1</v>
      </c>
      <c r="AZ14">
        <f t="shared" si="3"/>
        <v>0</v>
      </c>
      <c r="BA14">
        <f t="shared" si="4"/>
        <v>1</v>
      </c>
      <c r="BB14">
        <f t="shared" si="5"/>
        <v>0</v>
      </c>
      <c r="BC14">
        <f t="shared" si="6"/>
        <v>0</v>
      </c>
      <c r="BD14">
        <f t="shared" si="7"/>
        <v>0</v>
      </c>
      <c r="BE14" t="str" cm="1">
        <f t="array" ref="BE14">IF(AY14=1,INDEX($V$7:$AL$7,MATCH(TRUE,INDEX($V14:$AW14&lt;&gt;0,),0)),IF(AY14=0,INDEX($AM$7:$AW$7,MATCH(1,$AM14:$AW14,0)),IF(BF14="Multiple strategies","mixed drivers",IF(BF14="Supply chain","multiple supply","multiple silviculture"))))</f>
        <v>harvesting system</v>
      </c>
      <c r="BF14" s="2" t="str" cm="1">
        <f t="array" ref="BF14">IF(COUNTIF(AZ14:BB14,"&lt;&gt;0")=1,INDEX($V$4:$AW$4,MATCH(TRUE,INDEX($V14:$AW14&lt;&gt;0,),0)),IF(COUNTIF(AZ14:BB14,"&lt;&gt;0")=0,INDEX($AM$4:$AW$4,MATCH(1,$AM14:$AW14,0)),"Multiple strategies"))</f>
        <v>Supply chain</v>
      </c>
      <c r="BG14" s="142" t="s">
        <v>321</v>
      </c>
      <c r="BH14" t="s">
        <v>3432</v>
      </c>
      <c r="BI14"/>
      <c r="BJ14" s="143" t="s">
        <v>3433</v>
      </c>
      <c r="BK14">
        <v>1</v>
      </c>
      <c r="BL14" s="143">
        <v>1</v>
      </c>
      <c r="BM14" s="143"/>
      <c r="BN14">
        <f t="shared" si="8"/>
        <v>0</v>
      </c>
      <c r="BO14" s="143">
        <f t="shared" si="9"/>
        <v>0</v>
      </c>
      <c r="BP14" s="311" t="s">
        <v>232</v>
      </c>
      <c r="BQ14" s="311" t="s">
        <v>3434</v>
      </c>
      <c r="BR14" t="s">
        <v>3435</v>
      </c>
      <c r="BS14">
        <v>-17.7</v>
      </c>
      <c r="BT14">
        <v>-16.2</v>
      </c>
      <c r="BU14" s="144">
        <v>0.9152542372881356</v>
      </c>
      <c r="BV14">
        <v>1.5</v>
      </c>
      <c r="BW14"/>
      <c r="BX14">
        <f t="shared" si="10"/>
        <v>1.5E-3</v>
      </c>
      <c r="BY14" t="str">
        <f t="shared" si="11"/>
        <v/>
      </c>
      <c r="BZ14">
        <v>0</v>
      </c>
      <c r="CA14">
        <v>0</v>
      </c>
      <c r="CB14">
        <v>0</v>
      </c>
      <c r="CC14">
        <v>0</v>
      </c>
      <c r="CD14">
        <v>0</v>
      </c>
      <c r="CE14">
        <v>0</v>
      </c>
      <c r="CF14">
        <v>0</v>
      </c>
      <c r="CG14">
        <v>0</v>
      </c>
      <c r="CH14">
        <v>0</v>
      </c>
      <c r="CI14">
        <v>0</v>
      </c>
      <c r="CJ14">
        <v>0</v>
      </c>
      <c r="CK14">
        <v>0</v>
      </c>
      <c r="CL14">
        <v>0</v>
      </c>
      <c r="CM14">
        <v>0</v>
      </c>
      <c r="CN14" t="str">
        <f t="shared" si="12"/>
        <v>refOK</v>
      </c>
      <c r="CO14">
        <f t="shared" si="13"/>
        <v>1</v>
      </c>
      <c r="CP14">
        <f t="shared" si="14"/>
        <v>1</v>
      </c>
      <c r="CQ14">
        <f t="shared" si="15"/>
        <v>0</v>
      </c>
      <c r="CR14">
        <f t="shared" si="16"/>
        <v>-17.7</v>
      </c>
      <c r="CS14">
        <f t="shared" si="17"/>
        <v>-16.2</v>
      </c>
      <c r="CT14">
        <f t="shared" si="18"/>
        <v>1.5E-3</v>
      </c>
      <c r="CU14" t="str">
        <f t="shared" si="19"/>
        <v/>
      </c>
      <c r="CV14" s="2">
        <f t="shared" si="20"/>
        <v>8.4745762711864417E-2</v>
      </c>
      <c r="CW14" s="1" t="s">
        <v>1198</v>
      </c>
      <c r="CX14" s="311" t="str">
        <f t="shared" si="21"/>
        <v>reg</v>
      </c>
      <c r="CY14" t="s">
        <v>428</v>
      </c>
      <c r="CZ14"/>
      <c r="DA14" s="143"/>
      <c r="DB14" s="143">
        <v>0</v>
      </c>
      <c r="DC14" t="str">
        <f t="shared" si="22"/>
        <v>0</v>
      </c>
      <c r="DD14">
        <v>1</v>
      </c>
      <c r="DE14">
        <v>0</v>
      </c>
      <c r="DF14">
        <v>0</v>
      </c>
      <c r="DG14">
        <v>0</v>
      </c>
      <c r="DH14"/>
      <c r="DI14">
        <f t="shared" si="23"/>
        <v>1</v>
      </c>
      <c r="DJ14" t="str">
        <f t="shared" si="24"/>
        <v>UpstreamInput</v>
      </c>
      <c r="DK14" t="str">
        <f t="shared" si="25"/>
        <v>Upstream</v>
      </c>
      <c r="DL14">
        <f t="shared" si="26"/>
        <v>0</v>
      </c>
      <c r="DM14">
        <f t="shared" si="27"/>
        <v>0</v>
      </c>
      <c r="DN14">
        <f t="shared" si="28"/>
        <v>0</v>
      </c>
      <c r="DO14">
        <v>0</v>
      </c>
      <c r="DP14" s="143">
        <v>0</v>
      </c>
      <c r="DQ14" s="143">
        <v>0</v>
      </c>
      <c r="DR14" s="143">
        <v>0</v>
      </c>
      <c r="DS14" s="143">
        <v>0</v>
      </c>
      <c r="DT14">
        <f t="shared" si="29"/>
        <v>0</v>
      </c>
      <c r="DU14" s="143" t="str">
        <f t="shared" si="30"/>
        <v>explicit C balance</v>
      </c>
      <c r="DV14" s="143">
        <v>0</v>
      </c>
      <c r="DW14" s="143">
        <v>0</v>
      </c>
      <c r="DX14" s="143">
        <v>0</v>
      </c>
      <c r="DY14" s="143">
        <v>0</v>
      </c>
      <c r="DZ14">
        <v>0</v>
      </c>
      <c r="EA14" s="143">
        <v>0</v>
      </c>
      <c r="EB14" s="143">
        <v>1</v>
      </c>
      <c r="EC14" s="143">
        <v>0</v>
      </c>
      <c r="ED14" s="143">
        <v>0</v>
      </c>
      <c r="EE14" s="143">
        <v>0</v>
      </c>
      <c r="EF14">
        <v>0</v>
      </c>
      <c r="EG14" s="143">
        <v>0</v>
      </c>
      <c r="EH14">
        <v>0</v>
      </c>
      <c r="EI14" s="2">
        <v>0</v>
      </c>
      <c r="EJ14" s="1"/>
      <c r="EK14" t="str">
        <f t="shared" si="31"/>
        <v/>
      </c>
      <c r="EL14" t="str">
        <f t="shared" si="32"/>
        <v/>
      </c>
      <c r="EM14" s="2" t="str">
        <f t="shared" si="33"/>
        <v/>
      </c>
      <c r="EN14"/>
      <c r="EO14"/>
      <c r="EP14" t="b">
        <f>IF(ISNUMBER(BU14),IF(ABS(BU14-[1]QC_indicators!$B$2)&gt;3*[1]QC_indicators!$C$2,"C ratio",IF(ISNUMBER(BY14),IF(ABS(BY14-[1]QC_indicators!$B$1)&gt;3*[1]QC_indicators!$C$1,"DF","no"))),IF(ISNUMBER(BY14),IF(ABS(BY14-[1]QC_indicators!$B$1)&gt;3*[1]QC_indicators!$C$1,"DF","no")))</f>
        <v>0</v>
      </c>
      <c r="EQ14"/>
      <c r="ER14" s="313" t="s">
        <v>349</v>
      </c>
      <c r="ES14"/>
      <c r="ET14"/>
      <c r="EU14"/>
    </row>
    <row r="15" spans="1:151" s="139" customFormat="1" ht="15" hidden="1" customHeight="1">
      <c r="A15" s="1" t="s">
        <v>587</v>
      </c>
      <c r="B15" t="s">
        <v>3423</v>
      </c>
      <c r="C15" t="s">
        <v>3424</v>
      </c>
      <c r="D15" t="s">
        <v>3425</v>
      </c>
      <c r="E15" t="s">
        <v>3426</v>
      </c>
      <c r="F15" t="s">
        <v>3427</v>
      </c>
      <c r="G15" t="s">
        <v>593</v>
      </c>
      <c r="H15"/>
      <c r="I15">
        <v>2018</v>
      </c>
      <c r="J15"/>
      <c r="K15" t="s">
        <v>3428</v>
      </c>
      <c r="L15"/>
      <c r="M15" t="str">
        <f t="shared" si="0"/>
        <v>Abbas_2018</v>
      </c>
      <c r="N15" s="311" t="s">
        <v>4382</v>
      </c>
      <c r="O15" s="140" t="s">
        <v>223</v>
      </c>
      <c r="P15"/>
      <c r="Q15" s="311" t="s">
        <v>224</v>
      </c>
      <c r="R15" s="312"/>
      <c r="S15" s="1" t="s">
        <v>3440</v>
      </c>
      <c r="T15" t="s">
        <v>3441</v>
      </c>
      <c r="U15" s="143" t="s">
        <v>3442</v>
      </c>
      <c r="V15">
        <v>0</v>
      </c>
      <c r="W15">
        <v>0</v>
      </c>
      <c r="X15">
        <v>0</v>
      </c>
      <c r="Y15">
        <v>0</v>
      </c>
      <c r="Z15">
        <v>0</v>
      </c>
      <c r="AA15">
        <v>0</v>
      </c>
      <c r="AB15">
        <v>0</v>
      </c>
      <c r="AC15">
        <v>0</v>
      </c>
      <c r="AD15">
        <v>1</v>
      </c>
      <c r="AE15">
        <v>0</v>
      </c>
      <c r="AF15">
        <v>0</v>
      </c>
      <c r="AG15">
        <v>0</v>
      </c>
      <c r="AH15">
        <v>0</v>
      </c>
      <c r="AI15">
        <v>0</v>
      </c>
      <c r="AJ15">
        <v>0</v>
      </c>
      <c r="AK15">
        <v>0</v>
      </c>
      <c r="AL15">
        <v>0</v>
      </c>
      <c r="AM15">
        <v>0</v>
      </c>
      <c r="AN15">
        <v>0</v>
      </c>
      <c r="AO15">
        <v>0</v>
      </c>
      <c r="AP15">
        <v>0</v>
      </c>
      <c r="AQ15">
        <v>0</v>
      </c>
      <c r="AR15">
        <v>0</v>
      </c>
      <c r="AS15">
        <v>0</v>
      </c>
      <c r="AT15">
        <v>0</v>
      </c>
      <c r="AU15">
        <v>0</v>
      </c>
      <c r="AV15">
        <v>0</v>
      </c>
      <c r="AW15">
        <v>0</v>
      </c>
      <c r="AX15" s="141">
        <f t="shared" si="1"/>
        <v>1</v>
      </c>
      <c r="AY15" s="141">
        <f t="shared" si="2"/>
        <v>1</v>
      </c>
      <c r="AZ15">
        <f t="shared" si="3"/>
        <v>0</v>
      </c>
      <c r="BA15">
        <f t="shared" si="4"/>
        <v>1</v>
      </c>
      <c r="BB15">
        <f t="shared" si="5"/>
        <v>0</v>
      </c>
      <c r="BC15">
        <f t="shared" si="6"/>
        <v>0</v>
      </c>
      <c r="BD15">
        <f t="shared" si="7"/>
        <v>0</v>
      </c>
      <c r="BE15" t="str" cm="1">
        <f t="array" ref="BE15">IF(AY15=1,INDEX($V$7:$AL$7,MATCH(TRUE,INDEX($V15:$AW15&lt;&gt;0,),0)),IF(AY15=0,INDEX($AM$7:$AW$7,MATCH(1,$AM15:$AW15,0)),IF(BF15="Multiple strategies","mixed drivers",IF(BF15="Supply chain","multiple supply","multiple silviculture"))))</f>
        <v>harvesting system</v>
      </c>
      <c r="BF15" s="2" t="str" cm="1">
        <f t="array" ref="BF15">IF(COUNTIF(AZ15:BB15,"&lt;&gt;0")=1,INDEX($V$4:$AW$4,MATCH(TRUE,INDEX($V15:$AW15&lt;&gt;0,),0)),IF(COUNTIF(AZ15:BB15,"&lt;&gt;0")=0,INDEX($AM$4:$AW$4,MATCH(1,$AM15:$AW15,0)),"Multiple strategies"))</f>
        <v>Supply chain</v>
      </c>
      <c r="BG15" s="142" t="s">
        <v>321</v>
      </c>
      <c r="BH15" t="s">
        <v>3432</v>
      </c>
      <c r="BI15"/>
      <c r="BJ15" s="143" t="s">
        <v>3433</v>
      </c>
      <c r="BK15">
        <v>1</v>
      </c>
      <c r="BL15" s="143">
        <v>1</v>
      </c>
      <c r="BM15" s="143"/>
      <c r="BN15">
        <f t="shared" si="8"/>
        <v>0</v>
      </c>
      <c r="BO15" s="143">
        <f t="shared" si="9"/>
        <v>0</v>
      </c>
      <c r="BP15" s="311" t="s">
        <v>232</v>
      </c>
      <c r="BQ15" s="155" t="s">
        <v>701</v>
      </c>
      <c r="BR15" t="s">
        <v>3435</v>
      </c>
      <c r="BS15">
        <v>22.9</v>
      </c>
      <c r="BT15">
        <v>26.8</v>
      </c>
      <c r="BU15" s="144">
        <v>1.1703056768558953</v>
      </c>
      <c r="BV15">
        <v>3.9000000000000021</v>
      </c>
      <c r="BW15"/>
      <c r="BX15">
        <f t="shared" si="10"/>
        <v>3.900000000000002E-3</v>
      </c>
      <c r="BY15" t="str">
        <f t="shared" si="11"/>
        <v/>
      </c>
      <c r="BZ15">
        <v>0</v>
      </c>
      <c r="CA15">
        <v>0</v>
      </c>
      <c r="CB15">
        <v>0</v>
      </c>
      <c r="CC15">
        <v>0</v>
      </c>
      <c r="CD15">
        <v>0</v>
      </c>
      <c r="CE15">
        <v>0</v>
      </c>
      <c r="CF15">
        <v>0</v>
      </c>
      <c r="CG15">
        <v>0</v>
      </c>
      <c r="CH15">
        <v>0</v>
      </c>
      <c r="CI15">
        <v>0</v>
      </c>
      <c r="CJ15">
        <v>0</v>
      </c>
      <c r="CK15">
        <v>0</v>
      </c>
      <c r="CL15">
        <v>0</v>
      </c>
      <c r="CM15">
        <v>0</v>
      </c>
      <c r="CN15" t="str">
        <f t="shared" si="12"/>
        <v>refOK</v>
      </c>
      <c r="CO15">
        <f t="shared" si="13"/>
        <v>1</v>
      </c>
      <c r="CP15">
        <f t="shared" si="14"/>
        <v>1</v>
      </c>
      <c r="CQ15">
        <f t="shared" si="15"/>
        <v>0</v>
      </c>
      <c r="CR15">
        <f t="shared" si="16"/>
        <v>22.9</v>
      </c>
      <c r="CS15">
        <f t="shared" si="17"/>
        <v>26.8</v>
      </c>
      <c r="CT15">
        <f t="shared" si="18"/>
        <v>3.900000000000002E-3</v>
      </c>
      <c r="CU15" t="str">
        <f t="shared" si="19"/>
        <v/>
      </c>
      <c r="CV15" s="2">
        <f t="shared" si="20"/>
        <v>0.17030567685589529</v>
      </c>
      <c r="CW15" s="1" t="s">
        <v>1198</v>
      </c>
      <c r="CX15" s="311" t="str">
        <f t="shared" si="21"/>
        <v>reg</v>
      </c>
      <c r="CY15" t="s">
        <v>428</v>
      </c>
      <c r="CZ15"/>
      <c r="DA15" s="143"/>
      <c r="DB15" s="143">
        <v>0</v>
      </c>
      <c r="DC15" t="str">
        <f t="shared" si="22"/>
        <v>0</v>
      </c>
      <c r="DD15">
        <v>1</v>
      </c>
      <c r="DE15">
        <v>0</v>
      </c>
      <c r="DF15">
        <v>0</v>
      </c>
      <c r="DG15">
        <v>0</v>
      </c>
      <c r="DH15"/>
      <c r="DI15">
        <f t="shared" si="23"/>
        <v>1</v>
      </c>
      <c r="DJ15" t="str">
        <f t="shared" si="24"/>
        <v>UpstreamInput</v>
      </c>
      <c r="DK15" t="str">
        <f t="shared" si="25"/>
        <v>Upstream</v>
      </c>
      <c r="DL15">
        <f t="shared" si="26"/>
        <v>0</v>
      </c>
      <c r="DM15">
        <f t="shared" si="27"/>
        <v>0</v>
      </c>
      <c r="DN15">
        <f t="shared" si="28"/>
        <v>0</v>
      </c>
      <c r="DO15">
        <v>0</v>
      </c>
      <c r="DP15" s="143">
        <v>0</v>
      </c>
      <c r="DQ15" s="143">
        <v>0</v>
      </c>
      <c r="DR15" s="143">
        <v>0</v>
      </c>
      <c r="DS15" s="143">
        <v>0</v>
      </c>
      <c r="DT15">
        <f t="shared" si="29"/>
        <v>0</v>
      </c>
      <c r="DU15" s="143" t="str">
        <f t="shared" si="30"/>
        <v>explicit C balance</v>
      </c>
      <c r="DV15" s="143">
        <v>0</v>
      </c>
      <c r="DW15" s="143">
        <v>0</v>
      </c>
      <c r="DX15" s="143">
        <v>0</v>
      </c>
      <c r="DY15" s="143">
        <v>0</v>
      </c>
      <c r="DZ15">
        <v>0</v>
      </c>
      <c r="EA15" s="143">
        <v>0</v>
      </c>
      <c r="EB15" s="143">
        <v>1</v>
      </c>
      <c r="EC15" s="143">
        <v>1</v>
      </c>
      <c r="ED15" s="143">
        <v>0</v>
      </c>
      <c r="EE15" s="143">
        <v>0</v>
      </c>
      <c r="EF15">
        <v>0</v>
      </c>
      <c r="EG15" s="143">
        <v>0</v>
      </c>
      <c r="EH15">
        <v>0</v>
      </c>
      <c r="EI15" s="2">
        <v>0</v>
      </c>
      <c r="EJ15" s="1"/>
      <c r="EK15" t="str">
        <f t="shared" si="31"/>
        <v/>
      </c>
      <c r="EL15" t="str">
        <f t="shared" si="32"/>
        <v/>
      </c>
      <c r="EM15" s="2" t="str">
        <f t="shared" si="33"/>
        <v>Technology approach</v>
      </c>
      <c r="EN15"/>
      <c r="EO15"/>
      <c r="EP15" t="b">
        <f>IF(ISNUMBER(BU15),IF(ABS(BU15-[1]QC_indicators!$B$2)&gt;3*[1]QC_indicators!$C$2,"C ratio",IF(ISNUMBER(BY15),IF(ABS(BY15-[1]QC_indicators!$B$1)&gt;3*[1]QC_indicators!$C$1,"DF","no"))),IF(ISNUMBER(BY15),IF(ABS(BY15-[1]QC_indicators!$B$1)&gt;3*[1]QC_indicators!$C$1,"DF","no")))</f>
        <v>0</v>
      </c>
      <c r="EQ15"/>
      <c r="ER15" s="313" t="s">
        <v>349</v>
      </c>
      <c r="ES15"/>
      <c r="ET15"/>
      <c r="EU15"/>
    </row>
    <row r="16" spans="1:151" s="139" customFormat="1" ht="15" hidden="1" customHeight="1">
      <c r="A16" s="1" t="s">
        <v>587</v>
      </c>
      <c r="B16" t="s">
        <v>3423</v>
      </c>
      <c r="C16" t="s">
        <v>3424</v>
      </c>
      <c r="D16" t="s">
        <v>3425</v>
      </c>
      <c r="E16" t="s">
        <v>3426</v>
      </c>
      <c r="F16" t="s">
        <v>3427</v>
      </c>
      <c r="G16" t="s">
        <v>593</v>
      </c>
      <c r="H16"/>
      <c r="I16">
        <v>2018</v>
      </c>
      <c r="J16"/>
      <c r="K16" t="s">
        <v>3428</v>
      </c>
      <c r="L16"/>
      <c r="M16" t="str">
        <f t="shared" si="0"/>
        <v>Abbas_2018</v>
      </c>
      <c r="N16" s="311" t="s">
        <v>4382</v>
      </c>
      <c r="O16" s="140" t="s">
        <v>223</v>
      </c>
      <c r="P16"/>
      <c r="Q16" s="311" t="s">
        <v>224</v>
      </c>
      <c r="R16" s="312"/>
      <c r="S16" s="1" t="s">
        <v>3440</v>
      </c>
      <c r="T16" t="s">
        <v>3441</v>
      </c>
      <c r="U16" s="143" t="s">
        <v>3442</v>
      </c>
      <c r="V16">
        <v>0</v>
      </c>
      <c r="W16">
        <v>0</v>
      </c>
      <c r="X16">
        <v>0</v>
      </c>
      <c r="Y16">
        <v>0</v>
      </c>
      <c r="Z16">
        <v>0</v>
      </c>
      <c r="AA16">
        <v>0</v>
      </c>
      <c r="AB16">
        <v>0</v>
      </c>
      <c r="AC16">
        <v>0</v>
      </c>
      <c r="AD16">
        <v>1</v>
      </c>
      <c r="AE16">
        <v>0</v>
      </c>
      <c r="AF16">
        <v>0</v>
      </c>
      <c r="AG16">
        <v>0</v>
      </c>
      <c r="AH16">
        <v>0</v>
      </c>
      <c r="AI16">
        <v>0</v>
      </c>
      <c r="AJ16">
        <v>0</v>
      </c>
      <c r="AK16">
        <v>0</v>
      </c>
      <c r="AL16">
        <v>0</v>
      </c>
      <c r="AM16">
        <v>0</v>
      </c>
      <c r="AN16">
        <v>0</v>
      </c>
      <c r="AO16">
        <v>0</v>
      </c>
      <c r="AP16">
        <v>0</v>
      </c>
      <c r="AQ16">
        <v>0</v>
      </c>
      <c r="AR16">
        <v>0</v>
      </c>
      <c r="AS16">
        <v>0</v>
      </c>
      <c r="AT16">
        <v>0</v>
      </c>
      <c r="AU16">
        <v>0</v>
      </c>
      <c r="AV16">
        <v>0</v>
      </c>
      <c r="AW16">
        <v>0</v>
      </c>
      <c r="AX16" s="141">
        <f t="shared" si="1"/>
        <v>1</v>
      </c>
      <c r="AY16" s="141">
        <f t="shared" si="2"/>
        <v>1</v>
      </c>
      <c r="AZ16">
        <f t="shared" si="3"/>
        <v>0</v>
      </c>
      <c r="BA16">
        <f t="shared" si="4"/>
        <v>1</v>
      </c>
      <c r="BB16">
        <f t="shared" si="5"/>
        <v>0</v>
      </c>
      <c r="BC16">
        <f t="shared" si="6"/>
        <v>0</v>
      </c>
      <c r="BD16">
        <f t="shared" si="7"/>
        <v>0</v>
      </c>
      <c r="BE16" t="str" cm="1">
        <f t="array" ref="BE16">IF(AY16=1,INDEX($V$7:$AL$7,MATCH(TRUE,INDEX($V16:$AW16&lt;&gt;0,),0)),IF(AY16=0,INDEX($AM$7:$AW$7,MATCH(1,$AM16:$AW16,0)),IF(BF16="Multiple strategies","mixed drivers",IF(BF16="Supply chain","multiple supply","multiple silviculture"))))</f>
        <v>harvesting system</v>
      </c>
      <c r="BF16" s="2" t="str" cm="1">
        <f t="array" ref="BF16">IF(COUNTIF(AZ16:BB16,"&lt;&gt;0")=1,INDEX($V$4:$AW$4,MATCH(TRUE,INDEX($V16:$AW16&lt;&gt;0,),0)),IF(COUNTIF(AZ16:BB16,"&lt;&gt;0")=0,INDEX($AM$4:$AW$4,MATCH(1,$AM16:$AW16,0)),"Multiple strategies"))</f>
        <v>Supply chain</v>
      </c>
      <c r="BG16" s="142" t="s">
        <v>321</v>
      </c>
      <c r="BH16" t="s">
        <v>3432</v>
      </c>
      <c r="BI16"/>
      <c r="BJ16" s="143" t="s">
        <v>3433</v>
      </c>
      <c r="BK16">
        <v>1</v>
      </c>
      <c r="BL16" s="143">
        <v>1</v>
      </c>
      <c r="BM16" s="143"/>
      <c r="BN16">
        <f t="shared" si="8"/>
        <v>0</v>
      </c>
      <c r="BO16" s="143">
        <f t="shared" si="9"/>
        <v>0</v>
      </c>
      <c r="BP16" s="311" t="s">
        <v>232</v>
      </c>
      <c r="BQ16" s="311" t="s">
        <v>701</v>
      </c>
      <c r="BR16" t="s">
        <v>3435</v>
      </c>
      <c r="BS16">
        <v>34</v>
      </c>
      <c r="BT16">
        <v>37.9</v>
      </c>
      <c r="BU16" s="144">
        <v>1.1147058823529412</v>
      </c>
      <c r="BV16">
        <v>3.8999999999999986</v>
      </c>
      <c r="BW16"/>
      <c r="BX16">
        <f t="shared" si="10"/>
        <v>3.8999999999999985E-3</v>
      </c>
      <c r="BY16" t="str">
        <f t="shared" si="11"/>
        <v/>
      </c>
      <c r="BZ16">
        <v>0</v>
      </c>
      <c r="CA16">
        <v>0</v>
      </c>
      <c r="CB16">
        <v>0</v>
      </c>
      <c r="CC16">
        <v>0</v>
      </c>
      <c r="CD16">
        <v>0</v>
      </c>
      <c r="CE16">
        <v>0</v>
      </c>
      <c r="CF16">
        <v>0</v>
      </c>
      <c r="CG16">
        <v>0</v>
      </c>
      <c r="CH16">
        <v>0</v>
      </c>
      <c r="CI16">
        <v>0</v>
      </c>
      <c r="CJ16">
        <v>0</v>
      </c>
      <c r="CK16">
        <v>0</v>
      </c>
      <c r="CL16">
        <v>0</v>
      </c>
      <c r="CM16">
        <v>0</v>
      </c>
      <c r="CN16" t="str">
        <f t="shared" si="12"/>
        <v>refOK</v>
      </c>
      <c r="CO16">
        <f t="shared" si="13"/>
        <v>1</v>
      </c>
      <c r="CP16">
        <f t="shared" si="14"/>
        <v>1</v>
      </c>
      <c r="CQ16">
        <f t="shared" si="15"/>
        <v>0</v>
      </c>
      <c r="CR16">
        <f t="shared" si="16"/>
        <v>34</v>
      </c>
      <c r="CS16">
        <f t="shared" si="17"/>
        <v>37.9</v>
      </c>
      <c r="CT16">
        <f t="shared" si="18"/>
        <v>3.8999999999999985E-3</v>
      </c>
      <c r="CU16" t="str">
        <f t="shared" si="19"/>
        <v/>
      </c>
      <c r="CV16" s="2">
        <f t="shared" si="20"/>
        <v>0.11470588235294113</v>
      </c>
      <c r="CW16" s="1" t="s">
        <v>1198</v>
      </c>
      <c r="CX16" s="311" t="str">
        <f t="shared" si="21"/>
        <v>reg</v>
      </c>
      <c r="CY16" t="s">
        <v>428</v>
      </c>
      <c r="CZ16"/>
      <c r="DA16" s="143"/>
      <c r="DB16" s="143">
        <v>0</v>
      </c>
      <c r="DC16" t="str">
        <f t="shared" si="22"/>
        <v>0</v>
      </c>
      <c r="DD16">
        <v>1</v>
      </c>
      <c r="DE16">
        <v>0</v>
      </c>
      <c r="DF16">
        <v>0</v>
      </c>
      <c r="DG16">
        <v>0</v>
      </c>
      <c r="DH16"/>
      <c r="DI16">
        <f t="shared" si="23"/>
        <v>1</v>
      </c>
      <c r="DJ16" t="str">
        <f t="shared" si="24"/>
        <v>UpstreamInput</v>
      </c>
      <c r="DK16" t="str">
        <f t="shared" si="25"/>
        <v>Upstream</v>
      </c>
      <c r="DL16">
        <f t="shared" si="26"/>
        <v>0</v>
      </c>
      <c r="DM16">
        <f t="shared" si="27"/>
        <v>0</v>
      </c>
      <c r="DN16">
        <f t="shared" si="28"/>
        <v>0</v>
      </c>
      <c r="DO16">
        <v>0</v>
      </c>
      <c r="DP16" s="143">
        <v>0</v>
      </c>
      <c r="DQ16" s="143">
        <v>0</v>
      </c>
      <c r="DR16" s="143">
        <v>0</v>
      </c>
      <c r="DS16" s="143">
        <v>0</v>
      </c>
      <c r="DT16">
        <f t="shared" si="29"/>
        <v>0</v>
      </c>
      <c r="DU16" s="143" t="str">
        <f t="shared" si="30"/>
        <v>explicit C balance</v>
      </c>
      <c r="DV16" s="143">
        <v>0</v>
      </c>
      <c r="DW16" s="143">
        <v>0</v>
      </c>
      <c r="DX16" s="143">
        <v>0</v>
      </c>
      <c r="DY16" s="143">
        <v>0</v>
      </c>
      <c r="DZ16">
        <v>0</v>
      </c>
      <c r="EA16" s="143">
        <v>0</v>
      </c>
      <c r="EB16" s="143">
        <v>1</v>
      </c>
      <c r="EC16" s="143">
        <v>1</v>
      </c>
      <c r="ED16" s="143">
        <v>0</v>
      </c>
      <c r="EE16" s="143">
        <v>0</v>
      </c>
      <c r="EF16">
        <v>0</v>
      </c>
      <c r="EG16" s="143">
        <v>0</v>
      </c>
      <c r="EH16">
        <v>0</v>
      </c>
      <c r="EI16" s="2">
        <v>0</v>
      </c>
      <c r="EJ16" s="1"/>
      <c r="EK16" t="str">
        <f t="shared" si="31"/>
        <v/>
      </c>
      <c r="EL16" t="str">
        <f t="shared" si="32"/>
        <v/>
      </c>
      <c r="EM16" s="2" t="str">
        <f t="shared" si="33"/>
        <v>Technology approach</v>
      </c>
      <c r="EN16"/>
      <c r="EO16"/>
      <c r="EP16" t="b">
        <f>IF(ISNUMBER(BU16),IF(ABS(BU16-[1]QC_indicators!$B$2)&gt;3*[1]QC_indicators!$C$2,"C ratio",IF(ISNUMBER(BY16),IF(ABS(BY16-[1]QC_indicators!$B$1)&gt;3*[1]QC_indicators!$C$1,"DF","no"))),IF(ISNUMBER(BY16),IF(ABS(BY16-[1]QC_indicators!$B$1)&gt;3*[1]QC_indicators!$C$1,"DF","no")))</f>
        <v>0</v>
      </c>
      <c r="EQ16"/>
      <c r="ER16" s="313" t="s">
        <v>349</v>
      </c>
      <c r="ES16"/>
      <c r="ET16"/>
      <c r="EU16"/>
    </row>
    <row r="17" spans="1:151" s="139" customFormat="1" ht="15" hidden="1" customHeight="1">
      <c r="A17" s="1" t="s">
        <v>587</v>
      </c>
      <c r="B17" t="s">
        <v>3423</v>
      </c>
      <c r="C17" t="s">
        <v>3424</v>
      </c>
      <c r="D17" t="s">
        <v>3425</v>
      </c>
      <c r="E17" t="s">
        <v>3426</v>
      </c>
      <c r="F17" t="s">
        <v>3427</v>
      </c>
      <c r="G17" t="s">
        <v>593</v>
      </c>
      <c r="H17"/>
      <c r="I17">
        <v>2018</v>
      </c>
      <c r="J17"/>
      <c r="K17" t="s">
        <v>3428</v>
      </c>
      <c r="L17"/>
      <c r="M17" t="str">
        <f t="shared" si="0"/>
        <v>Abbas_2018</v>
      </c>
      <c r="N17" s="311" t="s">
        <v>4382</v>
      </c>
      <c r="O17" s="140" t="s">
        <v>223</v>
      </c>
      <c r="P17"/>
      <c r="Q17" s="311" t="s">
        <v>224</v>
      </c>
      <c r="R17" s="312"/>
      <c r="S17" s="1" t="s">
        <v>3440</v>
      </c>
      <c r="T17" t="s">
        <v>3441</v>
      </c>
      <c r="U17" s="143" t="s">
        <v>3442</v>
      </c>
      <c r="V17">
        <v>0</v>
      </c>
      <c r="W17">
        <v>0</v>
      </c>
      <c r="X17">
        <v>0</v>
      </c>
      <c r="Y17">
        <v>0</v>
      </c>
      <c r="Z17">
        <v>0</v>
      </c>
      <c r="AA17">
        <v>0</v>
      </c>
      <c r="AB17">
        <v>0</v>
      </c>
      <c r="AC17">
        <v>0</v>
      </c>
      <c r="AD17">
        <v>1</v>
      </c>
      <c r="AE17">
        <v>0</v>
      </c>
      <c r="AF17">
        <v>0</v>
      </c>
      <c r="AG17">
        <v>0</v>
      </c>
      <c r="AH17">
        <v>0</v>
      </c>
      <c r="AI17">
        <v>0</v>
      </c>
      <c r="AJ17">
        <v>0</v>
      </c>
      <c r="AK17">
        <v>0</v>
      </c>
      <c r="AL17">
        <v>0</v>
      </c>
      <c r="AM17">
        <v>0</v>
      </c>
      <c r="AN17">
        <v>0</v>
      </c>
      <c r="AO17">
        <v>0</v>
      </c>
      <c r="AP17">
        <v>0</v>
      </c>
      <c r="AQ17">
        <v>0</v>
      </c>
      <c r="AR17">
        <v>0</v>
      </c>
      <c r="AS17">
        <v>0</v>
      </c>
      <c r="AT17">
        <v>0</v>
      </c>
      <c r="AU17">
        <v>0</v>
      </c>
      <c r="AV17">
        <v>0</v>
      </c>
      <c r="AW17">
        <v>0</v>
      </c>
      <c r="AX17" s="141">
        <f t="shared" si="1"/>
        <v>1</v>
      </c>
      <c r="AY17" s="141">
        <f t="shared" si="2"/>
        <v>1</v>
      </c>
      <c r="AZ17">
        <f t="shared" si="3"/>
        <v>0</v>
      </c>
      <c r="BA17">
        <f t="shared" si="4"/>
        <v>1</v>
      </c>
      <c r="BB17">
        <f t="shared" si="5"/>
        <v>0</v>
      </c>
      <c r="BC17">
        <f t="shared" si="6"/>
        <v>0</v>
      </c>
      <c r="BD17">
        <f t="shared" si="7"/>
        <v>0</v>
      </c>
      <c r="BE17" t="str" cm="1">
        <f t="array" ref="BE17">IF(AY17=1,INDEX($V$7:$AL$7,MATCH(TRUE,INDEX($V17:$AW17&lt;&gt;0,),0)),IF(AY17=0,INDEX($AM$7:$AW$7,MATCH(1,$AM17:$AW17,0)),IF(BF17="Multiple strategies","mixed drivers",IF(BF17="Supply chain","multiple supply","multiple silviculture"))))</f>
        <v>harvesting system</v>
      </c>
      <c r="BF17" s="2" t="str" cm="1">
        <f t="array" ref="BF17">IF(COUNTIF(AZ17:BB17,"&lt;&gt;0")=1,INDEX($V$4:$AW$4,MATCH(TRUE,INDEX($V17:$AW17&lt;&gt;0,),0)),IF(COUNTIF(AZ17:BB17,"&lt;&gt;0")=0,INDEX($AM$4:$AW$4,MATCH(1,$AM17:$AW17,0)),"Multiple strategies"))</f>
        <v>Supply chain</v>
      </c>
      <c r="BG17" s="142" t="s">
        <v>321</v>
      </c>
      <c r="BH17" t="s">
        <v>3432</v>
      </c>
      <c r="BI17"/>
      <c r="BJ17" s="143" t="s">
        <v>3433</v>
      </c>
      <c r="BK17">
        <v>1</v>
      </c>
      <c r="BL17" s="143">
        <v>1</v>
      </c>
      <c r="BM17" s="143"/>
      <c r="BN17">
        <f t="shared" si="8"/>
        <v>0</v>
      </c>
      <c r="BO17" s="143">
        <f t="shared" si="9"/>
        <v>0</v>
      </c>
      <c r="BP17" s="311" t="s">
        <v>232</v>
      </c>
      <c r="BQ17" s="311" t="s">
        <v>701</v>
      </c>
      <c r="BR17" t="s">
        <v>3435</v>
      </c>
      <c r="BS17">
        <v>45.1</v>
      </c>
      <c r="BT17">
        <v>49</v>
      </c>
      <c r="BU17" s="144">
        <v>1.0864745011086474</v>
      </c>
      <c r="BV17">
        <v>3.8999999999999986</v>
      </c>
      <c r="BW17"/>
      <c r="BX17">
        <f t="shared" si="10"/>
        <v>3.8999999999999985E-3</v>
      </c>
      <c r="BY17" t="str">
        <f t="shared" si="11"/>
        <v/>
      </c>
      <c r="BZ17">
        <v>0</v>
      </c>
      <c r="CA17">
        <v>0</v>
      </c>
      <c r="CB17">
        <v>0</v>
      </c>
      <c r="CC17">
        <v>0</v>
      </c>
      <c r="CD17">
        <v>0</v>
      </c>
      <c r="CE17">
        <v>0</v>
      </c>
      <c r="CF17">
        <v>0</v>
      </c>
      <c r="CG17">
        <v>0</v>
      </c>
      <c r="CH17">
        <v>0</v>
      </c>
      <c r="CI17">
        <v>0</v>
      </c>
      <c r="CJ17">
        <v>0</v>
      </c>
      <c r="CK17">
        <v>0</v>
      </c>
      <c r="CL17">
        <v>0</v>
      </c>
      <c r="CM17">
        <v>0</v>
      </c>
      <c r="CN17" t="str">
        <f t="shared" si="12"/>
        <v>refOK</v>
      </c>
      <c r="CO17">
        <f t="shared" si="13"/>
        <v>1</v>
      </c>
      <c r="CP17">
        <f t="shared" si="14"/>
        <v>1</v>
      </c>
      <c r="CQ17">
        <f t="shared" si="15"/>
        <v>0</v>
      </c>
      <c r="CR17">
        <f t="shared" si="16"/>
        <v>45.1</v>
      </c>
      <c r="CS17">
        <f t="shared" si="17"/>
        <v>49</v>
      </c>
      <c r="CT17">
        <f t="shared" si="18"/>
        <v>3.8999999999999985E-3</v>
      </c>
      <c r="CU17" t="str">
        <f t="shared" si="19"/>
        <v/>
      </c>
      <c r="CV17" s="2">
        <f t="shared" si="20"/>
        <v>8.647450110864742E-2</v>
      </c>
      <c r="CW17" s="1" t="s">
        <v>1198</v>
      </c>
      <c r="CX17" s="311" t="str">
        <f t="shared" si="21"/>
        <v>reg</v>
      </c>
      <c r="CY17" t="s">
        <v>428</v>
      </c>
      <c r="CZ17"/>
      <c r="DA17" s="143"/>
      <c r="DB17" s="143">
        <v>0</v>
      </c>
      <c r="DC17" t="str">
        <f t="shared" si="22"/>
        <v>0</v>
      </c>
      <c r="DD17">
        <v>1</v>
      </c>
      <c r="DE17">
        <v>0</v>
      </c>
      <c r="DF17">
        <v>0</v>
      </c>
      <c r="DG17">
        <v>0</v>
      </c>
      <c r="DH17"/>
      <c r="DI17">
        <f t="shared" si="23"/>
        <v>1</v>
      </c>
      <c r="DJ17" t="str">
        <f t="shared" si="24"/>
        <v>UpstreamInput</v>
      </c>
      <c r="DK17" t="str">
        <f t="shared" si="25"/>
        <v>Upstream</v>
      </c>
      <c r="DL17">
        <f t="shared" si="26"/>
        <v>0</v>
      </c>
      <c r="DM17">
        <f t="shared" si="27"/>
        <v>0</v>
      </c>
      <c r="DN17">
        <f t="shared" si="28"/>
        <v>0</v>
      </c>
      <c r="DO17">
        <v>0</v>
      </c>
      <c r="DP17" s="143">
        <v>0</v>
      </c>
      <c r="DQ17" s="143">
        <v>0</v>
      </c>
      <c r="DR17" s="143">
        <v>0</v>
      </c>
      <c r="DS17" s="143">
        <v>0</v>
      </c>
      <c r="DT17">
        <f t="shared" si="29"/>
        <v>0</v>
      </c>
      <c r="DU17" s="143" t="str">
        <f t="shared" si="30"/>
        <v>explicit C balance</v>
      </c>
      <c r="DV17" s="143">
        <v>0</v>
      </c>
      <c r="DW17" s="143">
        <v>0</v>
      </c>
      <c r="DX17" s="143">
        <v>0</v>
      </c>
      <c r="DY17" s="143">
        <v>0</v>
      </c>
      <c r="DZ17">
        <v>0</v>
      </c>
      <c r="EA17" s="143">
        <v>0</v>
      </c>
      <c r="EB17" s="143">
        <v>1</v>
      </c>
      <c r="EC17" s="143">
        <v>1</v>
      </c>
      <c r="ED17" s="143">
        <v>0</v>
      </c>
      <c r="EE17" s="143">
        <v>0</v>
      </c>
      <c r="EF17">
        <v>0</v>
      </c>
      <c r="EG17" s="143">
        <v>0</v>
      </c>
      <c r="EH17">
        <v>0</v>
      </c>
      <c r="EI17" s="2">
        <v>0</v>
      </c>
      <c r="EJ17" s="1"/>
      <c r="EK17" t="str">
        <f t="shared" si="31"/>
        <v/>
      </c>
      <c r="EL17" t="str">
        <f t="shared" si="32"/>
        <v/>
      </c>
      <c r="EM17" s="2" t="str">
        <f t="shared" si="33"/>
        <v>Technology approach</v>
      </c>
      <c r="EN17"/>
      <c r="EO17"/>
      <c r="EP17" t="b">
        <f>IF(ISNUMBER(BU17),IF(ABS(BU17-[1]QC_indicators!$B$2)&gt;3*[1]QC_indicators!$C$2,"C ratio",IF(ISNUMBER(BY17),IF(ABS(BY17-[1]QC_indicators!$B$1)&gt;3*[1]QC_indicators!$C$1,"DF","no"))),IF(ISNUMBER(BY17),IF(ABS(BY17-[1]QC_indicators!$B$1)&gt;3*[1]QC_indicators!$C$1,"DF","no")))</f>
        <v>0</v>
      </c>
      <c r="EQ17"/>
      <c r="ER17" s="313" t="s">
        <v>349</v>
      </c>
      <c r="ES17"/>
      <c r="ET17"/>
      <c r="EU17"/>
    </row>
    <row r="18" spans="1:151" s="139" customFormat="1" ht="15" hidden="1" customHeight="1">
      <c r="A18" s="1" t="s">
        <v>587</v>
      </c>
      <c r="B18" t="s">
        <v>3423</v>
      </c>
      <c r="C18" t="s">
        <v>3424</v>
      </c>
      <c r="D18" t="s">
        <v>3425</v>
      </c>
      <c r="E18" t="s">
        <v>3426</v>
      </c>
      <c r="F18" t="s">
        <v>3427</v>
      </c>
      <c r="G18" t="s">
        <v>593</v>
      </c>
      <c r="H18" s="155"/>
      <c r="I18">
        <v>2018</v>
      </c>
      <c r="J18" s="155"/>
      <c r="K18" t="s">
        <v>3428</v>
      </c>
      <c r="L18" s="155"/>
      <c r="M18" t="str">
        <f t="shared" si="0"/>
        <v>Abbas_2018</v>
      </c>
      <c r="N18" s="311" t="s">
        <v>4382</v>
      </c>
      <c r="O18" s="140" t="s">
        <v>223</v>
      </c>
      <c r="P18" s="155"/>
      <c r="Q18" s="311" t="s">
        <v>224</v>
      </c>
      <c r="R18" s="312"/>
      <c r="S18" s="1" t="s">
        <v>523</v>
      </c>
      <c r="T18" t="s">
        <v>3443</v>
      </c>
      <c r="U18" s="143" t="s">
        <v>3444</v>
      </c>
      <c r="V18">
        <v>0</v>
      </c>
      <c r="W18">
        <v>0</v>
      </c>
      <c r="X18">
        <v>0</v>
      </c>
      <c r="Y18">
        <v>0</v>
      </c>
      <c r="Z18">
        <v>0</v>
      </c>
      <c r="AA18">
        <v>0</v>
      </c>
      <c r="AB18">
        <v>0</v>
      </c>
      <c r="AC18">
        <v>0</v>
      </c>
      <c r="AD18">
        <v>0</v>
      </c>
      <c r="AE18">
        <v>0</v>
      </c>
      <c r="AF18">
        <v>1</v>
      </c>
      <c r="AG18">
        <v>0</v>
      </c>
      <c r="AH18">
        <v>0</v>
      </c>
      <c r="AI18">
        <v>0</v>
      </c>
      <c r="AJ18">
        <v>0</v>
      </c>
      <c r="AK18">
        <v>0</v>
      </c>
      <c r="AL18">
        <v>0</v>
      </c>
      <c r="AM18">
        <v>0</v>
      </c>
      <c r="AN18">
        <v>0</v>
      </c>
      <c r="AO18">
        <v>0</v>
      </c>
      <c r="AP18">
        <v>0</v>
      </c>
      <c r="AQ18">
        <v>0</v>
      </c>
      <c r="AR18">
        <v>0</v>
      </c>
      <c r="AS18">
        <v>0</v>
      </c>
      <c r="AT18">
        <v>0</v>
      </c>
      <c r="AU18">
        <v>0</v>
      </c>
      <c r="AV18">
        <v>0</v>
      </c>
      <c r="AW18">
        <v>0</v>
      </c>
      <c r="AX18" s="141">
        <f t="shared" si="1"/>
        <v>1</v>
      </c>
      <c r="AY18" s="141">
        <f t="shared" si="2"/>
        <v>1</v>
      </c>
      <c r="AZ18">
        <f t="shared" si="3"/>
        <v>0</v>
      </c>
      <c r="BA18">
        <f t="shared" si="4"/>
        <v>1</v>
      </c>
      <c r="BB18">
        <f t="shared" si="5"/>
        <v>0</v>
      </c>
      <c r="BC18">
        <f t="shared" si="6"/>
        <v>0</v>
      </c>
      <c r="BD18">
        <f t="shared" si="7"/>
        <v>0</v>
      </c>
      <c r="BE18" t="str" cm="1">
        <f t="array" ref="BE18">IF(AY18=1,INDEX($V$7:$AL$7,MATCH(TRUE,INDEX($V18:$AW18&lt;&gt;0,),0)),IF(AY18=0,INDEX($AM$7:$AW$7,MATCH(1,$AM18:$AW18,0)),IF(BF18="Multiple strategies","mixed drivers",IF(BF18="Supply chain","multiple supply","multiple silviculture"))))</f>
        <v>supply chain organization</v>
      </c>
      <c r="BF18" s="2" t="str" cm="1">
        <f t="array" ref="BF18">IF(COUNTIF(AZ18:BB18,"&lt;&gt;0")=1,INDEX($V$4:$AW$4,MATCH(TRUE,INDEX($V18:$AW18&lt;&gt;0,),0)),IF(COUNTIF(AZ18:BB18,"&lt;&gt;0")=0,INDEX($AM$4:$AW$4,MATCH(1,$AM18:$AW18,0)),"Multiple strategies"))</f>
        <v>Supply chain</v>
      </c>
      <c r="BG18" s="142" t="s">
        <v>321</v>
      </c>
      <c r="BH18" t="s">
        <v>3432</v>
      </c>
      <c r="BI18"/>
      <c r="BJ18" s="143" t="s">
        <v>3433</v>
      </c>
      <c r="BK18">
        <v>1</v>
      </c>
      <c r="BL18" s="143">
        <v>1</v>
      </c>
      <c r="BM18" s="143"/>
      <c r="BN18">
        <f t="shared" si="8"/>
        <v>0</v>
      </c>
      <c r="BO18" s="143">
        <f t="shared" si="9"/>
        <v>0</v>
      </c>
      <c r="BP18" s="311" t="s">
        <v>232</v>
      </c>
      <c r="BQ18" s="311" t="s">
        <v>701</v>
      </c>
      <c r="BR18" t="s">
        <v>3435</v>
      </c>
      <c r="BS18">
        <v>45.1</v>
      </c>
      <c r="BT18">
        <v>22.9</v>
      </c>
      <c r="BU18" s="144">
        <v>0.50776053215077599</v>
      </c>
      <c r="BV18">
        <v>-22.200000000000003</v>
      </c>
      <c r="BW18"/>
      <c r="BX18">
        <f t="shared" si="10"/>
        <v>-2.2200000000000004E-2</v>
      </c>
      <c r="BY18" t="str">
        <f t="shared" si="11"/>
        <v/>
      </c>
      <c r="BZ18">
        <v>0</v>
      </c>
      <c r="CA18">
        <v>0</v>
      </c>
      <c r="CB18">
        <v>0</v>
      </c>
      <c r="CC18">
        <v>0</v>
      </c>
      <c r="CD18">
        <v>0</v>
      </c>
      <c r="CE18">
        <v>0</v>
      </c>
      <c r="CF18">
        <v>0</v>
      </c>
      <c r="CG18">
        <v>0</v>
      </c>
      <c r="CH18">
        <v>0</v>
      </c>
      <c r="CI18">
        <v>0</v>
      </c>
      <c r="CJ18">
        <v>0</v>
      </c>
      <c r="CK18">
        <v>0</v>
      </c>
      <c r="CL18">
        <v>0</v>
      </c>
      <c r="CM18">
        <v>0</v>
      </c>
      <c r="CN18" t="str">
        <f t="shared" si="12"/>
        <v>refOK</v>
      </c>
      <c r="CO18">
        <f t="shared" si="13"/>
        <v>1</v>
      </c>
      <c r="CP18">
        <f t="shared" si="14"/>
        <v>1</v>
      </c>
      <c r="CQ18">
        <f t="shared" si="15"/>
        <v>0</v>
      </c>
      <c r="CR18">
        <f t="shared" si="16"/>
        <v>45.1</v>
      </c>
      <c r="CS18">
        <f t="shared" si="17"/>
        <v>22.9</v>
      </c>
      <c r="CT18">
        <f t="shared" si="18"/>
        <v>-2.2200000000000004E-2</v>
      </c>
      <c r="CU18" t="str">
        <f t="shared" si="19"/>
        <v/>
      </c>
      <c r="CV18" s="2">
        <f t="shared" si="20"/>
        <v>-0.49223946784922401</v>
      </c>
      <c r="CW18" s="1" t="s">
        <v>1198</v>
      </c>
      <c r="CX18" s="311" t="str">
        <f t="shared" si="21"/>
        <v>reg</v>
      </c>
      <c r="CY18" t="s">
        <v>428</v>
      </c>
      <c r="CZ18" s="155"/>
      <c r="DA18" s="143"/>
      <c r="DB18" s="143">
        <v>0</v>
      </c>
      <c r="DC18" t="str">
        <f t="shared" si="22"/>
        <v>0</v>
      </c>
      <c r="DD18">
        <v>1</v>
      </c>
      <c r="DE18">
        <v>0</v>
      </c>
      <c r="DF18">
        <v>0</v>
      </c>
      <c r="DG18">
        <v>0</v>
      </c>
      <c r="DH18"/>
      <c r="DI18">
        <f t="shared" si="23"/>
        <v>1</v>
      </c>
      <c r="DJ18" t="str">
        <f t="shared" si="24"/>
        <v>UpstreamInput</v>
      </c>
      <c r="DK18" t="str">
        <f t="shared" si="25"/>
        <v>Upstream</v>
      </c>
      <c r="DL18">
        <f t="shared" si="26"/>
        <v>0</v>
      </c>
      <c r="DM18">
        <f t="shared" si="27"/>
        <v>0</v>
      </c>
      <c r="DN18">
        <f t="shared" si="28"/>
        <v>0</v>
      </c>
      <c r="DO18">
        <v>0</v>
      </c>
      <c r="DP18" s="143">
        <v>0</v>
      </c>
      <c r="DQ18" s="143">
        <v>0</v>
      </c>
      <c r="DR18" s="143">
        <v>0</v>
      </c>
      <c r="DS18" s="143">
        <v>0</v>
      </c>
      <c r="DT18">
        <f t="shared" si="29"/>
        <v>0</v>
      </c>
      <c r="DU18" s="143" t="str">
        <f t="shared" si="30"/>
        <v>explicit C balance</v>
      </c>
      <c r="DV18" s="143">
        <v>0</v>
      </c>
      <c r="DW18" s="143">
        <v>0</v>
      </c>
      <c r="DX18" s="143">
        <v>0</v>
      </c>
      <c r="DY18" s="143">
        <v>0</v>
      </c>
      <c r="DZ18">
        <v>0</v>
      </c>
      <c r="EA18" s="143">
        <v>0</v>
      </c>
      <c r="EB18" s="143">
        <v>1</v>
      </c>
      <c r="EC18" s="143">
        <v>1</v>
      </c>
      <c r="ED18" s="143">
        <v>0</v>
      </c>
      <c r="EE18" s="143">
        <v>0</v>
      </c>
      <c r="EF18">
        <v>0</v>
      </c>
      <c r="EG18" s="143">
        <v>0</v>
      </c>
      <c r="EH18">
        <v>0</v>
      </c>
      <c r="EI18" s="2">
        <v>0</v>
      </c>
      <c r="EJ18" s="1"/>
      <c r="EK18" t="str">
        <f t="shared" si="31"/>
        <v/>
      </c>
      <c r="EL18" t="str">
        <f t="shared" si="32"/>
        <v/>
      </c>
      <c r="EM18" s="2" t="str">
        <f t="shared" si="33"/>
        <v>Technology approach</v>
      </c>
      <c r="EN18" s="155"/>
      <c r="EO18" s="155"/>
      <c r="EP18" t="b">
        <f>IF(ISNUMBER(BU18),IF(ABS(BU18-[1]QC_indicators!$B$2)&gt;3*[1]QC_indicators!$C$2,"C ratio",IF(ISNUMBER(BY18),IF(ABS(BY18-[1]QC_indicators!$B$1)&gt;3*[1]QC_indicators!$C$1,"DF","no"))),IF(ISNUMBER(BY18),IF(ABS(BY18-[1]QC_indicators!$B$1)&gt;3*[1]QC_indicators!$C$1,"DF","no")))</f>
        <v>0</v>
      </c>
      <c r="EQ18" s="155"/>
      <c r="ER18" s="313" t="s">
        <v>349</v>
      </c>
      <c r="ES18" s="155"/>
      <c r="ET18"/>
      <c r="EU18"/>
    </row>
    <row r="19" spans="1:151" s="139" customFormat="1" ht="15" hidden="1" customHeight="1">
      <c r="A19" s="1" t="s">
        <v>587</v>
      </c>
      <c r="B19" t="s">
        <v>3423</v>
      </c>
      <c r="C19" t="s">
        <v>3424</v>
      </c>
      <c r="D19" t="s">
        <v>3425</v>
      </c>
      <c r="E19" t="s">
        <v>3426</v>
      </c>
      <c r="F19" t="s">
        <v>3427</v>
      </c>
      <c r="G19" t="s">
        <v>593</v>
      </c>
      <c r="I19">
        <v>2018</v>
      </c>
      <c r="K19" t="s">
        <v>3428</v>
      </c>
      <c r="M19" t="str">
        <f t="shared" si="0"/>
        <v>Abbas_2018</v>
      </c>
      <c r="N19" s="311" t="s">
        <v>4382</v>
      </c>
      <c r="O19" s="140" t="s">
        <v>223</v>
      </c>
      <c r="Q19" s="311" t="s">
        <v>224</v>
      </c>
      <c r="R19" s="312"/>
      <c r="S19" s="1" t="s">
        <v>523</v>
      </c>
      <c r="T19" t="s">
        <v>3443</v>
      </c>
      <c r="U19" s="143" t="s">
        <v>3444</v>
      </c>
      <c r="V19">
        <v>0</v>
      </c>
      <c r="W19">
        <v>0</v>
      </c>
      <c r="X19">
        <v>0</v>
      </c>
      <c r="Y19">
        <v>0</v>
      </c>
      <c r="Z19">
        <v>0</v>
      </c>
      <c r="AA19">
        <v>0</v>
      </c>
      <c r="AB19">
        <v>0</v>
      </c>
      <c r="AC19">
        <v>0</v>
      </c>
      <c r="AD19">
        <v>0</v>
      </c>
      <c r="AE19">
        <v>0</v>
      </c>
      <c r="AF19">
        <v>1</v>
      </c>
      <c r="AG19">
        <v>0</v>
      </c>
      <c r="AH19">
        <v>0</v>
      </c>
      <c r="AI19">
        <v>0</v>
      </c>
      <c r="AJ19">
        <v>0</v>
      </c>
      <c r="AK19">
        <v>0</v>
      </c>
      <c r="AL19">
        <v>0</v>
      </c>
      <c r="AM19">
        <v>0</v>
      </c>
      <c r="AN19">
        <v>0</v>
      </c>
      <c r="AO19">
        <v>0</v>
      </c>
      <c r="AP19">
        <v>0</v>
      </c>
      <c r="AQ19">
        <v>0</v>
      </c>
      <c r="AR19">
        <v>0</v>
      </c>
      <c r="AS19">
        <v>0</v>
      </c>
      <c r="AT19">
        <v>0</v>
      </c>
      <c r="AU19">
        <v>0</v>
      </c>
      <c r="AV19">
        <v>0</v>
      </c>
      <c r="AW19">
        <v>0</v>
      </c>
      <c r="AX19" s="141">
        <f t="shared" si="1"/>
        <v>1</v>
      </c>
      <c r="AY19" s="141">
        <f t="shared" si="2"/>
        <v>1</v>
      </c>
      <c r="AZ19">
        <f t="shared" si="3"/>
        <v>0</v>
      </c>
      <c r="BA19">
        <f t="shared" si="4"/>
        <v>1</v>
      </c>
      <c r="BB19">
        <f t="shared" si="5"/>
        <v>0</v>
      </c>
      <c r="BC19">
        <f t="shared" si="6"/>
        <v>0</v>
      </c>
      <c r="BD19">
        <f t="shared" si="7"/>
        <v>0</v>
      </c>
      <c r="BE19" t="str" cm="1">
        <f t="array" ref="BE19">IF(AY19=1,INDEX($V$7:$AL$7,MATCH(TRUE,INDEX($V19:$AW19&lt;&gt;0,),0)),IF(AY19=0,INDEX($AM$7:$AW$7,MATCH(1,$AM19:$AW19,0)),IF(BF19="Multiple strategies","mixed drivers",IF(BF19="Supply chain","multiple supply","multiple silviculture"))))</f>
        <v>supply chain organization</v>
      </c>
      <c r="BF19" s="2" t="str" cm="1">
        <f t="array" ref="BF19">IF(COUNTIF(AZ19:BB19,"&lt;&gt;0")=1,INDEX($V$4:$AW$4,MATCH(TRUE,INDEX($V19:$AW19&lt;&gt;0,),0)),IF(COUNTIF(AZ19:BB19,"&lt;&gt;0")=0,INDEX($AM$4:$AW$4,MATCH(1,$AM19:$AW19,0)),"Multiple strategies"))</f>
        <v>Supply chain</v>
      </c>
      <c r="BG19" s="142" t="s">
        <v>321</v>
      </c>
      <c r="BH19" t="s">
        <v>3432</v>
      </c>
      <c r="BI19"/>
      <c r="BJ19" s="143" t="s">
        <v>3433</v>
      </c>
      <c r="BK19">
        <v>1</v>
      </c>
      <c r="BL19" s="143">
        <v>1</v>
      </c>
      <c r="BM19" s="143"/>
      <c r="BN19">
        <f t="shared" si="8"/>
        <v>0</v>
      </c>
      <c r="BO19" s="143">
        <f t="shared" si="9"/>
        <v>0</v>
      </c>
      <c r="BP19" s="311" t="s">
        <v>232</v>
      </c>
      <c r="BQ19" s="311" t="s">
        <v>701</v>
      </c>
      <c r="BR19" t="s">
        <v>3435</v>
      </c>
      <c r="BS19">
        <v>47.8</v>
      </c>
      <c r="BT19">
        <v>25.6</v>
      </c>
      <c r="BU19" s="144">
        <v>0.53556485355648542</v>
      </c>
      <c r="BV19">
        <v>-22.199999999999996</v>
      </c>
      <c r="BW19"/>
      <c r="BX19">
        <f t="shared" si="10"/>
        <v>-2.2199999999999994E-2</v>
      </c>
      <c r="BY19" t="str">
        <f t="shared" si="11"/>
        <v/>
      </c>
      <c r="BZ19">
        <v>0</v>
      </c>
      <c r="CA19">
        <v>0</v>
      </c>
      <c r="CB19">
        <v>0</v>
      </c>
      <c r="CC19">
        <v>0</v>
      </c>
      <c r="CD19">
        <v>0</v>
      </c>
      <c r="CE19">
        <v>0</v>
      </c>
      <c r="CF19">
        <v>0</v>
      </c>
      <c r="CG19">
        <v>0</v>
      </c>
      <c r="CH19">
        <v>0</v>
      </c>
      <c r="CI19">
        <v>0</v>
      </c>
      <c r="CJ19">
        <v>0</v>
      </c>
      <c r="CK19">
        <v>0</v>
      </c>
      <c r="CL19">
        <v>0</v>
      </c>
      <c r="CM19">
        <v>0</v>
      </c>
      <c r="CN19" t="str">
        <f t="shared" si="12"/>
        <v>refOK</v>
      </c>
      <c r="CO19">
        <f t="shared" si="13"/>
        <v>1</v>
      </c>
      <c r="CP19">
        <f t="shared" si="14"/>
        <v>1</v>
      </c>
      <c r="CQ19">
        <f t="shared" si="15"/>
        <v>0</v>
      </c>
      <c r="CR19">
        <f t="shared" si="16"/>
        <v>47.8</v>
      </c>
      <c r="CS19">
        <f t="shared" si="17"/>
        <v>25.6</v>
      </c>
      <c r="CT19">
        <f t="shared" si="18"/>
        <v>-2.2199999999999994E-2</v>
      </c>
      <c r="CU19" t="str">
        <f t="shared" si="19"/>
        <v/>
      </c>
      <c r="CV19" s="2">
        <f t="shared" si="20"/>
        <v>-0.46443514644351458</v>
      </c>
      <c r="CW19" s="1" t="s">
        <v>1198</v>
      </c>
      <c r="CX19" s="311" t="str">
        <f t="shared" si="21"/>
        <v>reg</v>
      </c>
      <c r="CY19" t="s">
        <v>428</v>
      </c>
      <c r="DA19" s="143"/>
      <c r="DB19" s="143">
        <v>0</v>
      </c>
      <c r="DC19" t="str">
        <f t="shared" si="22"/>
        <v>0</v>
      </c>
      <c r="DD19">
        <v>1</v>
      </c>
      <c r="DE19">
        <v>0</v>
      </c>
      <c r="DF19">
        <v>0</v>
      </c>
      <c r="DG19">
        <v>0</v>
      </c>
      <c r="DH19"/>
      <c r="DI19">
        <f t="shared" si="23"/>
        <v>1</v>
      </c>
      <c r="DJ19" t="str">
        <f t="shared" si="24"/>
        <v>UpstreamInput</v>
      </c>
      <c r="DK19" t="str">
        <f t="shared" si="25"/>
        <v>Upstream</v>
      </c>
      <c r="DL19">
        <f t="shared" si="26"/>
        <v>0</v>
      </c>
      <c r="DM19">
        <f t="shared" si="27"/>
        <v>0</v>
      </c>
      <c r="DN19">
        <f t="shared" si="28"/>
        <v>0</v>
      </c>
      <c r="DO19">
        <v>0</v>
      </c>
      <c r="DP19" s="143">
        <v>0</v>
      </c>
      <c r="DQ19" s="143">
        <v>0</v>
      </c>
      <c r="DR19" s="143">
        <v>0</v>
      </c>
      <c r="DS19" s="143">
        <v>0</v>
      </c>
      <c r="DT19">
        <f t="shared" si="29"/>
        <v>0</v>
      </c>
      <c r="DU19" s="143" t="str">
        <f t="shared" si="30"/>
        <v>explicit C balance</v>
      </c>
      <c r="DV19" s="143">
        <v>0</v>
      </c>
      <c r="DW19" s="143">
        <v>0</v>
      </c>
      <c r="DX19" s="143">
        <v>0</v>
      </c>
      <c r="DY19" s="143">
        <v>0</v>
      </c>
      <c r="DZ19">
        <v>0</v>
      </c>
      <c r="EA19" s="143">
        <v>0</v>
      </c>
      <c r="EB19" s="143">
        <v>1</v>
      </c>
      <c r="EC19" s="143">
        <v>1</v>
      </c>
      <c r="ED19" s="143">
        <v>0</v>
      </c>
      <c r="EE19" s="143">
        <v>0</v>
      </c>
      <c r="EF19">
        <v>0</v>
      </c>
      <c r="EG19" s="143">
        <v>0</v>
      </c>
      <c r="EH19">
        <v>0</v>
      </c>
      <c r="EI19" s="2">
        <v>0</v>
      </c>
      <c r="EJ19" s="1"/>
      <c r="EK19" t="str">
        <f t="shared" si="31"/>
        <v/>
      </c>
      <c r="EL19" t="str">
        <f t="shared" si="32"/>
        <v/>
      </c>
      <c r="EM19" s="2" t="str">
        <f t="shared" si="33"/>
        <v>Technology approach</v>
      </c>
      <c r="EP19" t="b">
        <f>IF(ISNUMBER(BU19),IF(ABS(BU19-[1]QC_indicators!$B$2)&gt;3*[1]QC_indicators!$C$2,"C ratio",IF(ISNUMBER(BY19),IF(ABS(BY19-[1]QC_indicators!$B$1)&gt;3*[1]QC_indicators!$C$1,"DF","no"))),IF(ISNUMBER(BY19),IF(ABS(BY19-[1]QC_indicators!$B$1)&gt;3*[1]QC_indicators!$C$1,"DF","no")))</f>
        <v>0</v>
      </c>
      <c r="ER19" s="313" t="s">
        <v>349</v>
      </c>
      <c r="ET19"/>
      <c r="EU19"/>
    </row>
    <row r="20" spans="1:151" s="139" customFormat="1" ht="15" hidden="1" customHeight="1">
      <c r="A20" s="1" t="s">
        <v>587</v>
      </c>
      <c r="B20" t="s">
        <v>3423</v>
      </c>
      <c r="C20" t="s">
        <v>3424</v>
      </c>
      <c r="D20" t="s">
        <v>3425</v>
      </c>
      <c r="E20" t="s">
        <v>3426</v>
      </c>
      <c r="F20" t="s">
        <v>3427</v>
      </c>
      <c r="G20" t="s">
        <v>593</v>
      </c>
      <c r="H20"/>
      <c r="I20">
        <v>2018</v>
      </c>
      <c r="J20"/>
      <c r="K20" t="s">
        <v>3428</v>
      </c>
      <c r="L20"/>
      <c r="M20" t="str">
        <f t="shared" si="0"/>
        <v>Abbas_2018</v>
      </c>
      <c r="N20" s="311" t="s">
        <v>4382</v>
      </c>
      <c r="O20" s="140" t="s">
        <v>223</v>
      </c>
      <c r="P20"/>
      <c r="Q20" s="311" t="s">
        <v>224</v>
      </c>
      <c r="R20" s="312"/>
      <c r="S20" s="1" t="s">
        <v>523</v>
      </c>
      <c r="T20" t="s">
        <v>3443</v>
      </c>
      <c r="U20" s="143" t="s">
        <v>3444</v>
      </c>
      <c r="V20">
        <v>0</v>
      </c>
      <c r="W20">
        <v>0</v>
      </c>
      <c r="X20">
        <v>0</v>
      </c>
      <c r="Y20">
        <v>0</v>
      </c>
      <c r="Z20">
        <v>0</v>
      </c>
      <c r="AA20">
        <v>0</v>
      </c>
      <c r="AB20">
        <v>0</v>
      </c>
      <c r="AC20">
        <v>0</v>
      </c>
      <c r="AD20">
        <v>0</v>
      </c>
      <c r="AE20">
        <v>0</v>
      </c>
      <c r="AF20">
        <v>1</v>
      </c>
      <c r="AG20">
        <v>0</v>
      </c>
      <c r="AH20">
        <v>0</v>
      </c>
      <c r="AI20">
        <v>0</v>
      </c>
      <c r="AJ20">
        <v>0</v>
      </c>
      <c r="AK20">
        <v>0</v>
      </c>
      <c r="AL20">
        <v>0</v>
      </c>
      <c r="AM20">
        <v>0</v>
      </c>
      <c r="AN20">
        <v>0</v>
      </c>
      <c r="AO20">
        <v>0</v>
      </c>
      <c r="AP20">
        <v>0</v>
      </c>
      <c r="AQ20">
        <v>0</v>
      </c>
      <c r="AR20">
        <v>0</v>
      </c>
      <c r="AS20">
        <v>0</v>
      </c>
      <c r="AT20">
        <v>0</v>
      </c>
      <c r="AU20">
        <v>0</v>
      </c>
      <c r="AV20">
        <v>0</v>
      </c>
      <c r="AW20">
        <v>0</v>
      </c>
      <c r="AX20" s="141">
        <f t="shared" si="1"/>
        <v>1</v>
      </c>
      <c r="AY20" s="141">
        <f t="shared" si="2"/>
        <v>1</v>
      </c>
      <c r="AZ20">
        <f t="shared" si="3"/>
        <v>0</v>
      </c>
      <c r="BA20">
        <f t="shared" si="4"/>
        <v>1</v>
      </c>
      <c r="BB20">
        <f t="shared" si="5"/>
        <v>0</v>
      </c>
      <c r="BC20">
        <f t="shared" si="6"/>
        <v>0</v>
      </c>
      <c r="BD20">
        <f t="shared" si="7"/>
        <v>0</v>
      </c>
      <c r="BE20" t="str" cm="1">
        <f t="array" ref="BE20">IF(AY20=1,INDEX($V$7:$AL$7,MATCH(TRUE,INDEX($V20:$AW20&lt;&gt;0,),0)),IF(AY20=0,INDEX($AM$7:$AW$7,MATCH(1,$AM20:$AW20,0)),IF(BF20="Multiple strategies","mixed drivers",IF(BF20="Supply chain","multiple supply","multiple silviculture"))))</f>
        <v>supply chain organization</v>
      </c>
      <c r="BF20" s="2" t="str" cm="1">
        <f t="array" ref="BF20">IF(COUNTIF(AZ20:BB20,"&lt;&gt;0")=1,INDEX($V$4:$AW$4,MATCH(TRUE,INDEX($V20:$AW20&lt;&gt;0,),0)),IF(COUNTIF(AZ20:BB20,"&lt;&gt;0")=0,INDEX($AM$4:$AW$4,MATCH(1,$AM20:$AW20,0)),"Multiple strategies"))</f>
        <v>Supply chain</v>
      </c>
      <c r="BG20" s="142" t="s">
        <v>321</v>
      </c>
      <c r="BH20" s="234" t="s">
        <v>3432</v>
      </c>
      <c r="BI20"/>
      <c r="BJ20" s="143" t="s">
        <v>3433</v>
      </c>
      <c r="BK20">
        <v>1</v>
      </c>
      <c r="BL20" s="143">
        <v>1</v>
      </c>
      <c r="BM20" s="143"/>
      <c r="BN20">
        <f t="shared" si="8"/>
        <v>0</v>
      </c>
      <c r="BO20" s="143">
        <f t="shared" si="9"/>
        <v>0</v>
      </c>
      <c r="BP20" s="311" t="s">
        <v>232</v>
      </c>
      <c r="BQ20" s="311" t="s">
        <v>701</v>
      </c>
      <c r="BR20" t="s">
        <v>3435</v>
      </c>
      <c r="BS20">
        <v>49</v>
      </c>
      <c r="BT20">
        <v>26.8</v>
      </c>
      <c r="BU20" s="144">
        <v>0.54693877551020409</v>
      </c>
      <c r="BV20">
        <v>-22.2</v>
      </c>
      <c r="BW20"/>
      <c r="BX20">
        <f t="shared" si="10"/>
        <v>-2.2200000000000001E-2</v>
      </c>
      <c r="BY20" t="str">
        <f t="shared" si="11"/>
        <v/>
      </c>
      <c r="BZ20">
        <v>0</v>
      </c>
      <c r="CA20">
        <v>0</v>
      </c>
      <c r="CB20">
        <v>0</v>
      </c>
      <c r="CC20">
        <v>0</v>
      </c>
      <c r="CD20">
        <v>0</v>
      </c>
      <c r="CE20">
        <v>0</v>
      </c>
      <c r="CF20">
        <v>0</v>
      </c>
      <c r="CG20">
        <v>0</v>
      </c>
      <c r="CH20">
        <v>0</v>
      </c>
      <c r="CI20">
        <v>0</v>
      </c>
      <c r="CJ20">
        <v>0</v>
      </c>
      <c r="CK20">
        <v>0</v>
      </c>
      <c r="CL20">
        <v>0</v>
      </c>
      <c r="CM20">
        <v>0</v>
      </c>
      <c r="CN20" t="str">
        <f t="shared" si="12"/>
        <v>refOK</v>
      </c>
      <c r="CO20">
        <f t="shared" si="13"/>
        <v>1</v>
      </c>
      <c r="CP20">
        <f t="shared" si="14"/>
        <v>1</v>
      </c>
      <c r="CQ20">
        <f t="shared" si="15"/>
        <v>0</v>
      </c>
      <c r="CR20">
        <f t="shared" si="16"/>
        <v>49</v>
      </c>
      <c r="CS20">
        <f t="shared" si="17"/>
        <v>26.8</v>
      </c>
      <c r="CT20">
        <f t="shared" si="18"/>
        <v>-2.2200000000000001E-2</v>
      </c>
      <c r="CU20" t="str">
        <f t="shared" si="19"/>
        <v/>
      </c>
      <c r="CV20" s="2">
        <f t="shared" si="20"/>
        <v>-0.45306122448979591</v>
      </c>
      <c r="CW20" s="1" t="s">
        <v>1198</v>
      </c>
      <c r="CX20" s="311" t="str">
        <f t="shared" si="21"/>
        <v>reg</v>
      </c>
      <c r="CY20" t="s">
        <v>428</v>
      </c>
      <c r="CZ20"/>
      <c r="DA20" s="143"/>
      <c r="DB20" s="143">
        <v>0</v>
      </c>
      <c r="DC20" t="str">
        <f t="shared" si="22"/>
        <v>0</v>
      </c>
      <c r="DD20">
        <v>1</v>
      </c>
      <c r="DE20">
        <v>0</v>
      </c>
      <c r="DF20">
        <v>0</v>
      </c>
      <c r="DG20">
        <v>0</v>
      </c>
      <c r="DH20"/>
      <c r="DI20">
        <f t="shared" si="23"/>
        <v>1</v>
      </c>
      <c r="DJ20" t="str">
        <f t="shared" si="24"/>
        <v>UpstreamInput</v>
      </c>
      <c r="DK20" t="str">
        <f t="shared" si="25"/>
        <v>Upstream</v>
      </c>
      <c r="DL20">
        <f t="shared" si="26"/>
        <v>0</v>
      </c>
      <c r="DM20">
        <f t="shared" si="27"/>
        <v>0</v>
      </c>
      <c r="DN20">
        <f t="shared" si="28"/>
        <v>0</v>
      </c>
      <c r="DO20">
        <v>0</v>
      </c>
      <c r="DP20" s="143">
        <v>0</v>
      </c>
      <c r="DQ20" s="143">
        <v>0</v>
      </c>
      <c r="DR20" s="143">
        <v>0</v>
      </c>
      <c r="DS20" s="143">
        <v>0</v>
      </c>
      <c r="DT20">
        <f t="shared" si="29"/>
        <v>0</v>
      </c>
      <c r="DU20" s="143" t="str">
        <f t="shared" si="30"/>
        <v>explicit C balance</v>
      </c>
      <c r="DV20" s="143">
        <v>0</v>
      </c>
      <c r="DW20" s="143">
        <v>0</v>
      </c>
      <c r="DX20" s="143">
        <v>0</v>
      </c>
      <c r="DY20" s="143">
        <v>0</v>
      </c>
      <c r="DZ20">
        <v>0</v>
      </c>
      <c r="EA20" s="143">
        <v>0</v>
      </c>
      <c r="EB20" s="143">
        <v>1</v>
      </c>
      <c r="EC20" s="143">
        <v>1</v>
      </c>
      <c r="ED20" s="143">
        <v>0</v>
      </c>
      <c r="EE20" s="143">
        <v>0</v>
      </c>
      <c r="EF20">
        <v>0</v>
      </c>
      <c r="EG20" s="143">
        <v>0</v>
      </c>
      <c r="EH20">
        <v>0</v>
      </c>
      <c r="EI20" s="2">
        <v>0</v>
      </c>
      <c r="EJ20" s="1"/>
      <c r="EK20" t="str">
        <f t="shared" si="31"/>
        <v/>
      </c>
      <c r="EL20" t="str">
        <f t="shared" si="32"/>
        <v/>
      </c>
      <c r="EM20" s="2" t="str">
        <f t="shared" si="33"/>
        <v>Technology approach</v>
      </c>
      <c r="EN20"/>
      <c r="EO20"/>
      <c r="EP20" t="b">
        <f>IF(ISNUMBER(BU20),IF(ABS(BU20-[1]QC_indicators!$B$2)&gt;3*[1]QC_indicators!$C$2,"C ratio",IF(ISNUMBER(BY20),IF(ABS(BY20-[1]QC_indicators!$B$1)&gt;3*[1]QC_indicators!$C$1,"DF","no"))),IF(ISNUMBER(BY20),IF(ABS(BY20-[1]QC_indicators!$B$1)&gt;3*[1]QC_indicators!$C$1,"DF","no")))</f>
        <v>0</v>
      </c>
      <c r="EQ20"/>
      <c r="ER20" s="313" t="s">
        <v>349</v>
      </c>
      <c r="ES20"/>
      <c r="ET20"/>
      <c r="EU20"/>
    </row>
    <row r="21" spans="1:151" s="139" customFormat="1" ht="15" hidden="1" customHeight="1">
      <c r="A21" s="1" t="s">
        <v>4733</v>
      </c>
      <c r="B21" t="s">
        <v>544</v>
      </c>
      <c r="C21" t="s">
        <v>4734</v>
      </c>
      <c r="D21" t="s">
        <v>4735</v>
      </c>
      <c r="E21" t="s">
        <v>4736</v>
      </c>
      <c r="F21" t="s">
        <v>4737</v>
      </c>
      <c r="G21" t="s">
        <v>4738</v>
      </c>
      <c r="H21"/>
      <c r="I21">
        <v>2018</v>
      </c>
      <c r="J21"/>
      <c r="K21" t="s">
        <v>4739</v>
      </c>
      <c r="L21"/>
      <c r="M21" t="str">
        <f t="shared" si="0"/>
        <v>Achenbach_2018</v>
      </c>
      <c r="N21" t="s">
        <v>1351</v>
      </c>
      <c r="O21" s="140" t="s">
        <v>223</v>
      </c>
      <c r="P21"/>
      <c r="Q21" s="311" t="s">
        <v>224</v>
      </c>
      <c r="R21" s="312"/>
      <c r="S21" s="1"/>
      <c r="T21"/>
      <c r="U21" s="143"/>
      <c r="V21"/>
      <c r="W21"/>
      <c r="X21"/>
      <c r="Y21"/>
      <c r="Z21"/>
      <c r="AA21"/>
      <c r="AB21"/>
      <c r="AC21"/>
      <c r="AD21"/>
      <c r="AE21"/>
      <c r="AF21"/>
      <c r="AG21"/>
      <c r="AH21"/>
      <c r="AI21"/>
      <c r="AJ21"/>
      <c r="AK21"/>
      <c r="AL21"/>
      <c r="AM21"/>
      <c r="AN21"/>
      <c r="AO21"/>
      <c r="AP21"/>
      <c r="AQ21"/>
      <c r="AR21"/>
      <c r="AS21"/>
      <c r="AT21"/>
      <c r="AU21"/>
      <c r="AV21"/>
      <c r="AW21"/>
      <c r="AX21" s="141"/>
      <c r="AY21" s="141"/>
      <c r="AZ21"/>
      <c r="BA21"/>
      <c r="BB21"/>
      <c r="BC21"/>
      <c r="BD21"/>
      <c r="BE21"/>
      <c r="BF21" s="2"/>
      <c r="BG21" s="142"/>
      <c r="BH21" s="234"/>
      <c r="BI21"/>
      <c r="BJ21" s="143"/>
      <c r="BK21"/>
      <c r="BL21" s="143"/>
      <c r="BM21" s="143"/>
      <c r="BN21" s="143"/>
      <c r="BO21" s="143"/>
      <c r="BP21" s="143"/>
      <c r="BQ21" s="143"/>
      <c r="BR21"/>
      <c r="BS21" s="143"/>
      <c r="BT21"/>
      <c r="BU21" s="144"/>
      <c r="BV21"/>
      <c r="BW21"/>
      <c r="BX21"/>
      <c r="BY21" t="str">
        <f t="shared" si="11"/>
        <v/>
      </c>
      <c r="BZ21"/>
      <c r="CA21"/>
      <c r="CB21"/>
      <c r="CC21"/>
      <c r="CD21"/>
      <c r="CE21"/>
      <c r="CF21"/>
      <c r="CG21"/>
      <c r="CH21"/>
      <c r="CI21"/>
      <c r="CJ21"/>
      <c r="CK21"/>
      <c r="CL21"/>
      <c r="CM21"/>
      <c r="CN21" t="str">
        <f t="shared" si="12"/>
        <v>refOK</v>
      </c>
      <c r="CO21"/>
      <c r="CP21"/>
      <c r="CQ21"/>
      <c r="CR21"/>
      <c r="CS21"/>
      <c r="CT21"/>
      <c r="CU21"/>
      <c r="CV21" s="2" t="str">
        <f t="shared" si="20"/>
        <v/>
      </c>
      <c r="CW21" s="1"/>
      <c r="CX21"/>
      <c r="CY21"/>
      <c r="CZ21"/>
      <c r="DA21" s="143"/>
      <c r="DB21" s="143"/>
      <c r="DC21"/>
      <c r="DD21"/>
      <c r="DE21"/>
      <c r="DF21"/>
      <c r="DG21"/>
      <c r="DH21"/>
      <c r="DI21"/>
      <c r="DJ21"/>
      <c r="DK21"/>
      <c r="DL21"/>
      <c r="DM21"/>
      <c r="DN21"/>
      <c r="DO21"/>
      <c r="DP21" s="143"/>
      <c r="DQ21" s="143"/>
      <c r="DR21"/>
      <c r="DS21" s="143"/>
      <c r="DT21"/>
      <c r="DU21" s="143"/>
      <c r="DV21" s="143"/>
      <c r="DW21" s="143"/>
      <c r="DX21"/>
      <c r="DY21"/>
      <c r="DZ21"/>
      <c r="EA21"/>
      <c r="EB21" s="143"/>
      <c r="EC21"/>
      <c r="ED21" s="143"/>
      <c r="EE21"/>
      <c r="EF21"/>
      <c r="EG21" s="143"/>
      <c r="EH21"/>
      <c r="EI21" s="2"/>
      <c r="EJ21" s="1"/>
      <c r="EK21" t="str">
        <f t="shared" si="31"/>
        <v/>
      </c>
      <c r="EL21" t="str">
        <f t="shared" si="32"/>
        <v/>
      </c>
      <c r="EM21" s="2" t="str">
        <f t="shared" si="33"/>
        <v/>
      </c>
      <c r="EN21"/>
      <c r="EO21" t="s">
        <v>450</v>
      </c>
      <c r="EP21" t="b">
        <f>IF(ISNUMBER(BU21),IF(ABS(BU21-[1]QC_indicators!$B$2)&gt;3*[1]QC_indicators!$C$2,"C ratio",IF(ISNUMBER(BY21),IF(ABS(BY21-[1]QC_indicators!$B$1)&gt;3*[1]QC_indicators!$C$1,"DF","no"))),IF(ISNUMBER(BY21),IF(ABS(BY21-[1]QC_indicators!$B$1)&gt;3*[1]QC_indicators!$C$1,"DF","no")))</f>
        <v>0</v>
      </c>
      <c r="EQ21"/>
      <c r="ER21"/>
      <c r="ES21"/>
      <c r="ET21"/>
      <c r="EU21"/>
    </row>
    <row r="22" spans="1:151" s="139" customFormat="1" ht="15" hidden="1" customHeight="1">
      <c r="A22" s="1" t="s">
        <v>4733</v>
      </c>
      <c r="B22" t="s">
        <v>544</v>
      </c>
      <c r="C22" t="s">
        <v>4734</v>
      </c>
      <c r="D22" t="s">
        <v>4735</v>
      </c>
      <c r="E22" t="s">
        <v>4736</v>
      </c>
      <c r="F22" t="s">
        <v>4737</v>
      </c>
      <c r="G22" t="s">
        <v>4738</v>
      </c>
      <c r="H22"/>
      <c r="I22">
        <v>2018</v>
      </c>
      <c r="J22"/>
      <c r="K22" t="s">
        <v>4739</v>
      </c>
      <c r="L22"/>
      <c r="M22" t="str">
        <f t="shared" si="0"/>
        <v>Achenbach_2018</v>
      </c>
      <c r="N22" t="s">
        <v>1351</v>
      </c>
      <c r="O22" s="140" t="s">
        <v>223</v>
      </c>
      <c r="P22"/>
      <c r="Q22" s="311" t="s">
        <v>224</v>
      </c>
      <c r="R22" s="312"/>
      <c r="S22" s="1"/>
      <c r="T22"/>
      <c r="U22" s="143"/>
      <c r="V22"/>
      <c r="W22"/>
      <c r="X22"/>
      <c r="Y22"/>
      <c r="Z22"/>
      <c r="AA22"/>
      <c r="AB22"/>
      <c r="AC22"/>
      <c r="AD22"/>
      <c r="AE22"/>
      <c r="AF22"/>
      <c r="AG22"/>
      <c r="AH22"/>
      <c r="AI22"/>
      <c r="AJ22"/>
      <c r="AK22"/>
      <c r="AL22"/>
      <c r="AM22"/>
      <c r="AN22"/>
      <c r="AO22"/>
      <c r="AP22"/>
      <c r="AQ22"/>
      <c r="AR22"/>
      <c r="AS22"/>
      <c r="AT22"/>
      <c r="AU22"/>
      <c r="AV22"/>
      <c r="AW22"/>
      <c r="AX22" s="141"/>
      <c r="AY22" s="141"/>
      <c r="AZ22"/>
      <c r="BA22"/>
      <c r="BB22"/>
      <c r="BC22"/>
      <c r="BD22"/>
      <c r="BE22"/>
      <c r="BF22" s="2"/>
      <c r="BG22" s="142"/>
      <c r="BH22" s="234"/>
      <c r="BI22"/>
      <c r="BJ22" s="143"/>
      <c r="BK22"/>
      <c r="BL22" s="143"/>
      <c r="BM22" s="143"/>
      <c r="BN22" s="143"/>
      <c r="BO22" s="143"/>
      <c r="BP22" s="143"/>
      <c r="BQ22" s="143"/>
      <c r="BR22"/>
      <c r="BS22" s="143"/>
      <c r="BT22"/>
      <c r="BU22"/>
      <c r="BV22"/>
      <c r="BW22"/>
      <c r="BX22"/>
      <c r="BY22" t="str">
        <f t="shared" si="11"/>
        <v/>
      </c>
      <c r="BZ22"/>
      <c r="CA22"/>
      <c r="CB22"/>
      <c r="CC22"/>
      <c r="CD22"/>
      <c r="CE22"/>
      <c r="CF22"/>
      <c r="CG22"/>
      <c r="CH22"/>
      <c r="CI22"/>
      <c r="CJ22"/>
      <c r="CK22"/>
      <c r="CL22"/>
      <c r="CM22"/>
      <c r="CN22" t="str">
        <f t="shared" si="12"/>
        <v>refOK</v>
      </c>
      <c r="CO22"/>
      <c r="CP22"/>
      <c r="CQ22"/>
      <c r="CR22"/>
      <c r="CS22"/>
      <c r="CT22"/>
      <c r="CU22"/>
      <c r="CV22" s="2" t="str">
        <f t="shared" si="20"/>
        <v/>
      </c>
      <c r="CW22" s="1"/>
      <c r="CX22"/>
      <c r="CY22"/>
      <c r="CZ22"/>
      <c r="DA22" s="143"/>
      <c r="DB22" s="143"/>
      <c r="DC22"/>
      <c r="DD22"/>
      <c r="DE22"/>
      <c r="DF22"/>
      <c r="DG22"/>
      <c r="DH22"/>
      <c r="DI22"/>
      <c r="DJ22"/>
      <c r="DK22"/>
      <c r="DL22"/>
      <c r="DM22"/>
      <c r="DN22"/>
      <c r="DO22"/>
      <c r="DP22" s="143"/>
      <c r="DQ22" s="143"/>
      <c r="DR22"/>
      <c r="DS22" s="143"/>
      <c r="DT22"/>
      <c r="DU22" s="143"/>
      <c r="DV22" s="143"/>
      <c r="DW22" s="143"/>
      <c r="DX22"/>
      <c r="DY22"/>
      <c r="DZ22"/>
      <c r="EA22"/>
      <c r="EB22" s="143"/>
      <c r="EC22"/>
      <c r="ED22" s="143"/>
      <c r="EE22"/>
      <c r="EF22"/>
      <c r="EG22" s="143"/>
      <c r="EH22"/>
      <c r="EI22" s="2"/>
      <c r="EJ22" s="1"/>
      <c r="EK22" t="str">
        <f t="shared" si="31"/>
        <v/>
      </c>
      <c r="EL22" t="str">
        <f t="shared" si="32"/>
        <v/>
      </c>
      <c r="EM22" s="2" t="str">
        <f t="shared" si="33"/>
        <v/>
      </c>
      <c r="EN22"/>
      <c r="EO22"/>
      <c r="EP22" t="b">
        <f>IF(ISNUMBER(BU22),IF(ABS(BU22-[1]QC_indicators!$B$2)&gt;3*[1]QC_indicators!$C$2,"C ratio",IF(ISNUMBER(BY22),IF(ABS(BY22-[1]QC_indicators!$B$1)&gt;3*[1]QC_indicators!$C$1,"DF","no"))),IF(ISNUMBER(BY22),IF(ABS(BY22-[1]QC_indicators!$B$1)&gt;3*[1]QC_indicators!$C$1,"DF","no")))</f>
        <v>0</v>
      </c>
      <c r="EQ22"/>
      <c r="ER22"/>
      <c r="ES22"/>
      <c r="ET22"/>
      <c r="EU22"/>
    </row>
    <row r="23" spans="1:151" s="139" customFormat="1" ht="15" hidden="1" customHeight="1">
      <c r="A23" s="1" t="s">
        <v>4740</v>
      </c>
      <c r="B23" t="s">
        <v>4741</v>
      </c>
      <c r="C23" t="s">
        <v>544</v>
      </c>
      <c r="D23" t="s">
        <v>4742</v>
      </c>
      <c r="E23" t="s">
        <v>4743</v>
      </c>
      <c r="F23" t="s">
        <v>4744</v>
      </c>
      <c r="G23" t="s">
        <v>4745</v>
      </c>
      <c r="H23"/>
      <c r="I23">
        <v>2014</v>
      </c>
      <c r="J23"/>
      <c r="K23" t="s">
        <v>4746</v>
      </c>
      <c r="L23"/>
      <c r="M23" t="str">
        <f t="shared" si="0"/>
        <v>Adams_2014</v>
      </c>
      <c r="N23" t="s">
        <v>1351</v>
      </c>
      <c r="O23" s="140" t="s">
        <v>223</v>
      </c>
      <c r="P23"/>
      <c r="Q23" s="311" t="s">
        <v>224</v>
      </c>
      <c r="R23" s="312"/>
      <c r="S23" s="1"/>
      <c r="T23"/>
      <c r="U23" s="143"/>
      <c r="V23"/>
      <c r="W23"/>
      <c r="X23"/>
      <c r="Y23"/>
      <c r="Z23"/>
      <c r="AA23"/>
      <c r="AB23"/>
      <c r="AC23"/>
      <c r="AD23"/>
      <c r="AE23"/>
      <c r="AF23"/>
      <c r="AG23"/>
      <c r="AH23"/>
      <c r="AI23"/>
      <c r="AJ23"/>
      <c r="AK23"/>
      <c r="AL23"/>
      <c r="AM23"/>
      <c r="AN23"/>
      <c r="AO23"/>
      <c r="AP23"/>
      <c r="AQ23"/>
      <c r="AR23"/>
      <c r="AS23"/>
      <c r="AT23"/>
      <c r="AU23"/>
      <c r="AV23"/>
      <c r="AW23"/>
      <c r="AX23" s="141"/>
      <c r="AY23" s="141"/>
      <c r="AZ23"/>
      <c r="BA23"/>
      <c r="BB23"/>
      <c r="BC23"/>
      <c r="BD23"/>
      <c r="BE23"/>
      <c r="BF23" s="2"/>
      <c r="BG23" s="142"/>
      <c r="BH23" s="234"/>
      <c r="BI23"/>
      <c r="BJ23" s="143"/>
      <c r="BK23"/>
      <c r="BL23" s="143"/>
      <c r="BM23" s="143"/>
      <c r="BN23" s="143"/>
      <c r="BO23" s="143"/>
      <c r="BP23" s="143"/>
      <c r="BQ23" s="143"/>
      <c r="BR23"/>
      <c r="BS23" s="143"/>
      <c r="BT23"/>
      <c r="BU23" s="144"/>
      <c r="BV23"/>
      <c r="BW23"/>
      <c r="BX23"/>
      <c r="BY23" t="str">
        <f t="shared" si="11"/>
        <v/>
      </c>
      <c r="BZ23"/>
      <c r="CA23"/>
      <c r="CB23"/>
      <c r="CC23"/>
      <c r="CD23"/>
      <c r="CE23"/>
      <c r="CF23"/>
      <c r="CG23"/>
      <c r="CH23"/>
      <c r="CI23"/>
      <c r="CJ23"/>
      <c r="CK23"/>
      <c r="CL23"/>
      <c r="CM23"/>
      <c r="CN23" t="str">
        <f t="shared" si="12"/>
        <v>refOK</v>
      </c>
      <c r="CO23"/>
      <c r="CP23"/>
      <c r="CQ23"/>
      <c r="CR23"/>
      <c r="CS23"/>
      <c r="CT23"/>
      <c r="CU23"/>
      <c r="CV23" s="2" t="str">
        <f t="shared" si="20"/>
        <v/>
      </c>
      <c r="CW23" s="1"/>
      <c r="CX23"/>
      <c r="CY23"/>
      <c r="CZ23"/>
      <c r="DA23" s="143"/>
      <c r="DB23" s="143"/>
      <c r="DC23"/>
      <c r="DD23"/>
      <c r="DE23"/>
      <c r="DF23"/>
      <c r="DG23"/>
      <c r="DH23"/>
      <c r="DI23"/>
      <c r="DJ23"/>
      <c r="DK23"/>
      <c r="DL23"/>
      <c r="DM23"/>
      <c r="DN23"/>
      <c r="DO23"/>
      <c r="DP23" s="143"/>
      <c r="DQ23" s="143"/>
      <c r="DR23"/>
      <c r="DS23" s="143"/>
      <c r="DT23"/>
      <c r="DU23" s="143"/>
      <c r="DV23" s="143"/>
      <c r="DW23" s="143"/>
      <c r="DX23"/>
      <c r="DY23"/>
      <c r="DZ23"/>
      <c r="EA23"/>
      <c r="EB23" s="143"/>
      <c r="EC23"/>
      <c r="ED23" s="143"/>
      <c r="EE23"/>
      <c r="EF23"/>
      <c r="EG23" s="143"/>
      <c r="EH23"/>
      <c r="EI23" s="2"/>
      <c r="EJ23" s="1"/>
      <c r="EK23" t="str">
        <f t="shared" si="31"/>
        <v/>
      </c>
      <c r="EL23" t="str">
        <f t="shared" si="32"/>
        <v/>
      </c>
      <c r="EM23" s="2" t="str">
        <f t="shared" si="33"/>
        <v/>
      </c>
      <c r="EN23"/>
      <c r="EO23" t="s">
        <v>450</v>
      </c>
      <c r="EP23" t="b">
        <f>IF(ISNUMBER(BU23),IF(ABS(BU23-[1]QC_indicators!$B$2)&gt;3*[1]QC_indicators!$C$2,"C ratio",IF(ISNUMBER(BY23),IF(ABS(BY23-[1]QC_indicators!$B$1)&gt;3*[1]QC_indicators!$C$1,"DF","no"))),IF(ISNUMBER(BY23),IF(ABS(BY23-[1]QC_indicators!$B$1)&gt;3*[1]QC_indicators!$C$1,"DF","no")))</f>
        <v>0</v>
      </c>
      <c r="EQ23"/>
      <c r="ER23"/>
      <c r="ES23"/>
      <c r="ET23"/>
      <c r="EU23"/>
    </row>
    <row r="24" spans="1:151" s="139" customFormat="1" ht="15" hidden="1" customHeight="1">
      <c r="A24" s="1" t="s">
        <v>4740</v>
      </c>
      <c r="B24" t="s">
        <v>4741</v>
      </c>
      <c r="C24" t="s">
        <v>544</v>
      </c>
      <c r="D24" t="s">
        <v>4742</v>
      </c>
      <c r="E24" t="s">
        <v>4743</v>
      </c>
      <c r="F24" t="s">
        <v>4744</v>
      </c>
      <c r="G24" t="s">
        <v>4745</v>
      </c>
      <c r="H24"/>
      <c r="I24">
        <v>2014</v>
      </c>
      <c r="J24"/>
      <c r="K24" t="s">
        <v>4746</v>
      </c>
      <c r="L24"/>
      <c r="M24" t="str">
        <f t="shared" si="0"/>
        <v>Adams_2014</v>
      </c>
      <c r="N24" t="s">
        <v>1351</v>
      </c>
      <c r="O24" s="140" t="s">
        <v>223</v>
      </c>
      <c r="P24"/>
      <c r="Q24" s="311" t="s">
        <v>224</v>
      </c>
      <c r="R24" s="312"/>
      <c r="S24" s="1"/>
      <c r="T24"/>
      <c r="U24" s="143"/>
      <c r="V24"/>
      <c r="W24"/>
      <c r="X24"/>
      <c r="Y24"/>
      <c r="Z24"/>
      <c r="AA24"/>
      <c r="AB24"/>
      <c r="AC24"/>
      <c r="AD24"/>
      <c r="AE24"/>
      <c r="AF24"/>
      <c r="AG24"/>
      <c r="AH24"/>
      <c r="AI24"/>
      <c r="AJ24"/>
      <c r="AK24"/>
      <c r="AL24"/>
      <c r="AM24"/>
      <c r="AN24"/>
      <c r="AO24"/>
      <c r="AP24"/>
      <c r="AQ24"/>
      <c r="AR24"/>
      <c r="AS24"/>
      <c r="AT24"/>
      <c r="AU24"/>
      <c r="AV24"/>
      <c r="AW24"/>
      <c r="AX24" s="141"/>
      <c r="AY24" s="141"/>
      <c r="AZ24"/>
      <c r="BA24"/>
      <c r="BB24"/>
      <c r="BC24"/>
      <c r="BD24"/>
      <c r="BE24"/>
      <c r="BF24" s="2"/>
      <c r="BG24" s="142"/>
      <c r="BH24"/>
      <c r="BI24"/>
      <c r="BJ24" s="143"/>
      <c r="BK24"/>
      <c r="BL24" s="143"/>
      <c r="BM24" s="143"/>
      <c r="BN24" s="143"/>
      <c r="BO24" s="143"/>
      <c r="BP24" s="143"/>
      <c r="BQ24" s="310"/>
      <c r="BR24"/>
      <c r="BS24" s="143"/>
      <c r="BT24"/>
      <c r="BU24"/>
      <c r="BV24"/>
      <c r="BW24"/>
      <c r="BX24"/>
      <c r="BY24" t="str">
        <f t="shared" si="11"/>
        <v/>
      </c>
      <c r="BZ24"/>
      <c r="CA24"/>
      <c r="CB24"/>
      <c r="CC24"/>
      <c r="CD24"/>
      <c r="CE24"/>
      <c r="CF24"/>
      <c r="CG24"/>
      <c r="CH24"/>
      <c r="CI24"/>
      <c r="CJ24"/>
      <c r="CK24"/>
      <c r="CL24"/>
      <c r="CM24"/>
      <c r="CN24" t="str">
        <f t="shared" si="12"/>
        <v>refOK</v>
      </c>
      <c r="CO24"/>
      <c r="CP24"/>
      <c r="CQ24"/>
      <c r="CR24"/>
      <c r="CS24"/>
      <c r="CT24"/>
      <c r="CU24"/>
      <c r="CV24" s="2" t="str">
        <f t="shared" si="20"/>
        <v/>
      </c>
      <c r="CW24" s="1"/>
      <c r="CX24"/>
      <c r="CY24"/>
      <c r="CZ24"/>
      <c r="DA24" s="143"/>
      <c r="DB24" s="143"/>
      <c r="DC24"/>
      <c r="DD24"/>
      <c r="DE24"/>
      <c r="DF24"/>
      <c r="DG24"/>
      <c r="DH24"/>
      <c r="DI24"/>
      <c r="DJ24"/>
      <c r="DK24"/>
      <c r="DL24"/>
      <c r="DM24"/>
      <c r="DN24"/>
      <c r="DO24"/>
      <c r="DP24" s="143"/>
      <c r="DQ24" s="143"/>
      <c r="DR24"/>
      <c r="DS24" s="143"/>
      <c r="DT24"/>
      <c r="DU24" s="143"/>
      <c r="DV24" s="143"/>
      <c r="DW24" s="143"/>
      <c r="DX24"/>
      <c r="DY24"/>
      <c r="DZ24"/>
      <c r="EA24"/>
      <c r="EB24" s="143"/>
      <c r="EC24"/>
      <c r="ED24" s="143"/>
      <c r="EE24"/>
      <c r="EF24"/>
      <c r="EG24" s="143"/>
      <c r="EH24"/>
      <c r="EI24" s="2"/>
      <c r="EJ24" s="1"/>
      <c r="EK24" t="str">
        <f t="shared" si="31"/>
        <v/>
      </c>
      <c r="EL24" t="str">
        <f t="shared" si="32"/>
        <v/>
      </c>
      <c r="EM24" s="2" t="str">
        <f t="shared" si="33"/>
        <v/>
      </c>
      <c r="EN24"/>
      <c r="EO24"/>
      <c r="EP24" t="b">
        <f>IF(ISNUMBER(BU24),IF(ABS(BU24-[1]QC_indicators!$B$2)&gt;3*[1]QC_indicators!$C$2,"C ratio",IF(ISNUMBER(BY24),IF(ABS(BY24-[1]QC_indicators!$B$1)&gt;3*[1]QC_indicators!$C$1,"DF","no"))),IF(ISNUMBER(BY24),IF(ABS(BY24-[1]QC_indicators!$B$1)&gt;3*[1]QC_indicators!$C$1,"DF","no")))</f>
        <v>0</v>
      </c>
      <c r="EQ24"/>
      <c r="ER24"/>
      <c r="ES24"/>
      <c r="ET24"/>
      <c r="EU24"/>
    </row>
    <row r="25" spans="1:151" s="139" customFormat="1" ht="15" hidden="1" customHeight="1">
      <c r="A25" s="1" t="s">
        <v>4345</v>
      </c>
      <c r="B25" t="s">
        <v>4747</v>
      </c>
      <c r="C25" t="s">
        <v>4748</v>
      </c>
      <c r="D25" t="s">
        <v>4749</v>
      </c>
      <c r="E25" s="311" t="s">
        <v>4750</v>
      </c>
      <c r="F25" t="s">
        <v>4751</v>
      </c>
      <c r="G25" t="s">
        <v>4351</v>
      </c>
      <c r="H25" t="s">
        <v>254</v>
      </c>
      <c r="I25">
        <v>2022</v>
      </c>
      <c r="J25">
        <v>1</v>
      </c>
      <c r="K25" t="s">
        <v>4752</v>
      </c>
      <c r="L25"/>
      <c r="M25" t="str">
        <f t="shared" si="0"/>
        <v>Ahmad_2022</v>
      </c>
      <c r="N25" t="s">
        <v>1351</v>
      </c>
      <c r="O25" s="157" t="s">
        <v>223</v>
      </c>
      <c r="P25"/>
      <c r="Q25"/>
      <c r="R25" s="2"/>
      <c r="S25" s="1"/>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s="2"/>
      <c r="BG25" s="1"/>
      <c r="BH25"/>
      <c r="BI25"/>
      <c r="BJ25"/>
      <c r="BK25"/>
      <c r="BL25"/>
      <c r="BM25"/>
      <c r="BN25"/>
      <c r="BO25"/>
      <c r="BP25"/>
      <c r="BQ25" s="234"/>
      <c r="BR25"/>
      <c r="BS25"/>
      <c r="BT25"/>
      <c r="BU25"/>
      <c r="BV25"/>
      <c r="BW25"/>
      <c r="BX25"/>
      <c r="BY25" t="str">
        <f t="shared" si="11"/>
        <v/>
      </c>
      <c r="BZ25"/>
      <c r="CA25"/>
      <c r="CB25"/>
      <c r="CC25"/>
      <c r="CD25"/>
      <c r="CE25"/>
      <c r="CF25"/>
      <c r="CG25"/>
      <c r="CH25"/>
      <c r="CI25"/>
      <c r="CJ25"/>
      <c r="CK25"/>
      <c r="CL25"/>
      <c r="CM25"/>
      <c r="CN25" t="str">
        <f t="shared" si="12"/>
        <v>refOK</v>
      </c>
      <c r="CO25"/>
      <c r="CP25"/>
      <c r="CQ25"/>
      <c r="CR25"/>
      <c r="CS25"/>
      <c r="CT25"/>
      <c r="CU25"/>
      <c r="CV25" s="2" t="str">
        <f t="shared" si="20"/>
        <v/>
      </c>
      <c r="CW25" s="1"/>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s="2"/>
      <c r="EJ25" s="1"/>
      <c r="EK25" t="str">
        <f t="shared" si="31"/>
        <v/>
      </c>
      <c r="EL25" t="str">
        <f t="shared" si="32"/>
        <v/>
      </c>
      <c r="EM25" s="2" t="str">
        <f t="shared" si="33"/>
        <v/>
      </c>
      <c r="EN25"/>
      <c r="EO25"/>
      <c r="EP25" t="b">
        <f>IF(ISNUMBER(BU25),IF(ABS(BU25-[1]QC_indicators!$B$2)&gt;3*[1]QC_indicators!$C$2,"C ratio",IF(ISNUMBER(BY25),IF(ABS(BY25-[1]QC_indicators!$B$1)&gt;3*[1]QC_indicators!$C$1,"DF","no"))),IF(ISNUMBER(BY25),IF(ABS(BY25-[1]QC_indicators!$B$1)&gt;3*[1]QC_indicators!$C$1,"DF","no")))</f>
        <v>0</v>
      </c>
      <c r="EQ25"/>
      <c r="ER25"/>
      <c r="ES25"/>
      <c r="ET25"/>
      <c r="EU25"/>
    </row>
    <row r="26" spans="1:151" s="139" customFormat="1" ht="15" hidden="1" customHeight="1">
      <c r="A26" s="256" t="s">
        <v>214</v>
      </c>
      <c r="B26" s="257" t="s">
        <v>215</v>
      </c>
      <c r="C26" s="257" t="s">
        <v>216</v>
      </c>
      <c r="D26" s="257" t="s">
        <v>217</v>
      </c>
      <c r="E26" s="257" t="s">
        <v>218</v>
      </c>
      <c r="F26" s="257" t="s">
        <v>219</v>
      </c>
      <c r="G26" s="257" t="s">
        <v>220</v>
      </c>
      <c r="H26" s="257"/>
      <c r="I26" s="257">
        <v>2012</v>
      </c>
      <c r="J26" s="257"/>
      <c r="K26" s="257" t="s">
        <v>221</v>
      </c>
      <c r="L26" s="257"/>
      <c r="M26" s="257" t="s">
        <v>3069</v>
      </c>
      <c r="N26" s="257" t="s">
        <v>222</v>
      </c>
      <c r="O26" s="275" t="s">
        <v>223</v>
      </c>
      <c r="P26" s="257"/>
      <c r="Q26" s="257" t="s">
        <v>224</v>
      </c>
      <c r="R26" s="258" t="s">
        <v>225</v>
      </c>
      <c r="S26" s="256" t="s">
        <v>241</v>
      </c>
      <c r="T26" s="257" t="s">
        <v>242</v>
      </c>
      <c r="U26" s="276" t="s">
        <v>243</v>
      </c>
      <c r="V26" s="257">
        <v>0</v>
      </c>
      <c r="W26" s="257">
        <v>0</v>
      </c>
      <c r="X26" s="257">
        <v>0</v>
      </c>
      <c r="Y26" s="257">
        <v>0</v>
      </c>
      <c r="Z26" s="257">
        <v>0</v>
      </c>
      <c r="AA26" s="257">
        <v>0</v>
      </c>
      <c r="AB26" s="257">
        <v>0</v>
      </c>
      <c r="AC26" s="257">
        <v>1</v>
      </c>
      <c r="AD26" s="257">
        <v>0</v>
      </c>
      <c r="AE26" s="257">
        <v>0</v>
      </c>
      <c r="AF26" s="257">
        <v>0</v>
      </c>
      <c r="AG26" s="257">
        <v>0</v>
      </c>
      <c r="AH26" s="257">
        <v>0</v>
      </c>
      <c r="AI26" s="257">
        <v>0</v>
      </c>
      <c r="AJ26" s="257">
        <v>0</v>
      </c>
      <c r="AK26" s="257">
        <v>0</v>
      </c>
      <c r="AL26" s="257">
        <v>0</v>
      </c>
      <c r="AM26" s="257">
        <v>0</v>
      </c>
      <c r="AN26" s="257">
        <v>0</v>
      </c>
      <c r="AO26" s="257">
        <v>0</v>
      </c>
      <c r="AP26" s="257">
        <v>0</v>
      </c>
      <c r="AQ26" s="257">
        <v>0</v>
      </c>
      <c r="AR26" s="257">
        <v>0</v>
      </c>
      <c r="AS26" s="257">
        <v>0</v>
      </c>
      <c r="AT26" s="257">
        <v>0</v>
      </c>
      <c r="AU26" s="257">
        <v>0</v>
      </c>
      <c r="AV26" s="257">
        <v>0</v>
      </c>
      <c r="AW26" s="257">
        <v>0</v>
      </c>
      <c r="AX26" s="277">
        <v>1</v>
      </c>
      <c r="AY26" s="277">
        <v>1</v>
      </c>
      <c r="AZ26" s="257">
        <v>1</v>
      </c>
      <c r="BA26" s="257">
        <v>0</v>
      </c>
      <c r="BB26" s="257">
        <v>0</v>
      </c>
      <c r="BC26" s="257">
        <v>0</v>
      </c>
      <c r="BD26" s="257">
        <v>0</v>
      </c>
      <c r="BE26" s="257" t="s">
        <v>95</v>
      </c>
      <c r="BF26" s="2" t="str" cm="1">
        <f t="array" ref="BF26">IF(COUNTIF(AZ26:BB26,"&lt;&gt;0")=1,INDEX($V$4:$AW$4,MATCH(TRUE,INDEX($V26:$AW26&lt;&gt;0,),0)),IF(COUNTIF(AZ26:BB26,"&lt;&gt;0")=0,INDEX($AM$4:$AW$4,MATCH(1,$AM26:$AW26,0)),"Multiple strategies"))</f>
        <v>Silviculture for productivity</v>
      </c>
      <c r="BG26" s="278" t="s">
        <v>229</v>
      </c>
      <c r="BH26" s="257" t="s">
        <v>230</v>
      </c>
      <c r="BI26" s="279" t="s">
        <v>3070</v>
      </c>
      <c r="BJ26" s="276" t="s">
        <v>231</v>
      </c>
      <c r="BK26" s="257">
        <v>124.699677125181</v>
      </c>
      <c r="BL26" s="257">
        <v>127.190336749634</v>
      </c>
      <c r="BM26" s="276">
        <v>1.0199732644211479</v>
      </c>
      <c r="BN26" s="257">
        <v>2.4906596244530022</v>
      </c>
      <c r="BO26" s="276">
        <v>5.0829788254142905</v>
      </c>
      <c r="BP26" s="276" t="s">
        <v>232</v>
      </c>
      <c r="BQ26" s="331" t="s">
        <v>2624</v>
      </c>
      <c r="BR26" s="276" t="s">
        <v>233</v>
      </c>
      <c r="BS26" s="257">
        <v>-7.9158553717989797</v>
      </c>
      <c r="BT26" s="257">
        <v>-11.589751098096601</v>
      </c>
      <c r="BU26" s="259">
        <v>1.4641186016846945</v>
      </c>
      <c r="BV26" s="257">
        <v>-3.6738957262976211</v>
      </c>
      <c r="BW26" s="257"/>
      <c r="BX26" s="257">
        <v>-3.6738957262976209E-3</v>
      </c>
      <c r="BY26" s="257">
        <v>-7.2278399192390462E-4</v>
      </c>
      <c r="BZ26" s="257">
        <v>0</v>
      </c>
      <c r="CA26" s="257">
        <v>0</v>
      </c>
      <c r="CB26" s="257">
        <v>0</v>
      </c>
      <c r="CC26" s="257">
        <v>0</v>
      </c>
      <c r="CD26" s="257">
        <v>0</v>
      </c>
      <c r="CE26" s="257">
        <v>0</v>
      </c>
      <c r="CF26" s="257">
        <v>0</v>
      </c>
      <c r="CG26" s="257">
        <v>0</v>
      </c>
      <c r="CH26" s="257">
        <v>0</v>
      </c>
      <c r="CI26" s="257">
        <v>0</v>
      </c>
      <c r="CJ26" s="257">
        <v>0</v>
      </c>
      <c r="CK26" s="257">
        <v>0</v>
      </c>
      <c r="CL26" s="257">
        <v>0</v>
      </c>
      <c r="CM26" s="257">
        <v>0</v>
      </c>
      <c r="CN26" s="257" t="s">
        <v>3071</v>
      </c>
      <c r="CO26" s="257">
        <v>124.699677125181</v>
      </c>
      <c r="CP26" s="257">
        <v>127.190336749634</v>
      </c>
      <c r="CQ26" s="257">
        <v>5.0829788254142905</v>
      </c>
      <c r="CR26" s="257">
        <v>-7.9158553717989797</v>
      </c>
      <c r="CS26" s="257">
        <v>-11.589751098096601</v>
      </c>
      <c r="CT26" s="257">
        <v>-3.6738957262976209E-3</v>
      </c>
      <c r="CU26" s="257">
        <v>-7.2278399192390462E-4</v>
      </c>
      <c r="CV26" s="258">
        <v>-0.46411860168469465</v>
      </c>
      <c r="CW26" s="256" t="s">
        <v>234</v>
      </c>
      <c r="CX26" s="257" t="s">
        <v>3072</v>
      </c>
      <c r="CY26" s="257" t="s">
        <v>235</v>
      </c>
      <c r="CZ26" s="257"/>
      <c r="DA26" s="276"/>
      <c r="DB26" s="276">
        <v>80</v>
      </c>
      <c r="DC26" s="257" t="s">
        <v>3073</v>
      </c>
      <c r="DD26" s="257">
        <v>0</v>
      </c>
      <c r="DE26" s="257">
        <v>1</v>
      </c>
      <c r="DF26" s="257">
        <v>0</v>
      </c>
      <c r="DG26" s="257">
        <v>0</v>
      </c>
      <c r="DH26" s="257"/>
      <c r="DI26" s="257">
        <v>1</v>
      </c>
      <c r="DJ26" s="257" t="s">
        <v>173</v>
      </c>
      <c r="DK26" s="257">
        <v>0</v>
      </c>
      <c r="DL26" s="257" t="s">
        <v>180</v>
      </c>
      <c r="DM26" s="257">
        <v>0</v>
      </c>
      <c r="DN26" s="257">
        <v>0</v>
      </c>
      <c r="DO26" s="257">
        <v>0</v>
      </c>
      <c r="DP26" s="276">
        <v>0</v>
      </c>
      <c r="DQ26" s="276">
        <v>0</v>
      </c>
      <c r="DR26" s="276">
        <v>0</v>
      </c>
      <c r="DS26" s="276">
        <v>0</v>
      </c>
      <c r="DT26" s="257">
        <v>0</v>
      </c>
      <c r="DU26" s="276" t="s">
        <v>961</v>
      </c>
      <c r="DV26" s="276">
        <v>1</v>
      </c>
      <c r="DW26" s="276">
        <v>1</v>
      </c>
      <c r="DX26" s="276">
        <v>1</v>
      </c>
      <c r="DY26" s="276">
        <v>0</v>
      </c>
      <c r="DZ26" s="257">
        <v>0</v>
      </c>
      <c r="EA26" s="276">
        <v>0</v>
      </c>
      <c r="EB26" s="276">
        <v>1</v>
      </c>
      <c r="EC26" s="276">
        <v>1</v>
      </c>
      <c r="ED26" s="276">
        <v>0</v>
      </c>
      <c r="EE26" s="276">
        <v>0</v>
      </c>
      <c r="EF26" s="257">
        <v>1</v>
      </c>
      <c r="EG26" s="276">
        <v>0</v>
      </c>
      <c r="EH26" s="257">
        <v>0</v>
      </c>
      <c r="EI26" s="258">
        <v>0</v>
      </c>
      <c r="EJ26" s="256"/>
      <c r="EK26" t="str">
        <f t="shared" ref="EK26:EK57" si="34">IF(AND(AND(AND(OR($DX26=1,$DW26=1),OR($EC26=1,$EA26=1)),SUM($DV26:$DZ26,$EF26)&gt;=4),SUM($EA26:$EE26)&gt;=2),"Whole sector","")</f>
        <v>Whole sector</v>
      </c>
      <c r="EL26" t="str">
        <f t="shared" ref="EL26:EL57" si="35">IF(AND(AND(OR($DX26=1,$DW26=1),AND($EC26=0,$EA26=0)),SUM($DV26:$DZ26,$EF26)&gt;=4),"Ecosystem approach","")</f>
        <v/>
      </c>
      <c r="EM26" s="258" t="s">
        <v>544</v>
      </c>
      <c r="EN26" s="257" t="s">
        <v>236</v>
      </c>
      <c r="EO26" s="257"/>
      <c r="EP26" t="str">
        <f>IF(ISNUMBER(BU26),IF(ABS(BU26-[2]QC_indicators!$B$2)&gt;3*[2]QC_indicators!$C$2,"C ratio",IF(ISNUMBER(BY26),IF(ABS(BY26-[2]QC_indicators!$B$1)&gt;3*[2]QC_indicators!$C$1,"DF","no"))),IF(ISNUMBER(BY26),IF(ABS(BY26-[2]QC_indicators!$B$1)&gt;3*[2]QC_indicators!$C$1,"DF","no")))</f>
        <v>no</v>
      </c>
      <c r="EQ26"/>
      <c r="ER26"/>
      <c r="ES26"/>
      <c r="ET26"/>
      <c r="EU26"/>
    </row>
    <row r="27" spans="1:151" s="139" customFormat="1" ht="15" hidden="1" customHeight="1">
      <c r="A27" s="256" t="s">
        <v>214</v>
      </c>
      <c r="B27" s="257" t="s">
        <v>215</v>
      </c>
      <c r="C27" s="257" t="s">
        <v>216</v>
      </c>
      <c r="D27" s="257" t="s">
        <v>217</v>
      </c>
      <c r="E27" s="257" t="s">
        <v>218</v>
      </c>
      <c r="F27" s="257" t="s">
        <v>219</v>
      </c>
      <c r="G27" s="257" t="s">
        <v>220</v>
      </c>
      <c r="H27" s="257"/>
      <c r="I27" s="257">
        <v>2012</v>
      </c>
      <c r="J27" s="257"/>
      <c r="K27" s="257" t="s">
        <v>221</v>
      </c>
      <c r="L27" s="257"/>
      <c r="M27" s="257" t="s">
        <v>3069</v>
      </c>
      <c r="N27" s="257" t="s">
        <v>222</v>
      </c>
      <c r="O27" s="275" t="s">
        <v>223</v>
      </c>
      <c r="P27" s="257"/>
      <c r="Q27" s="257" t="s">
        <v>224</v>
      </c>
      <c r="R27" s="258" t="s">
        <v>225</v>
      </c>
      <c r="S27" s="256" t="s">
        <v>241</v>
      </c>
      <c r="T27" s="257" t="s">
        <v>242</v>
      </c>
      <c r="U27" s="276" t="s">
        <v>243</v>
      </c>
      <c r="V27" s="257">
        <v>0</v>
      </c>
      <c r="W27" s="257">
        <v>0</v>
      </c>
      <c r="X27" s="257">
        <v>0</v>
      </c>
      <c r="Y27" s="257">
        <v>0</v>
      </c>
      <c r="Z27" s="257">
        <v>0</v>
      </c>
      <c r="AA27" s="257">
        <v>0</v>
      </c>
      <c r="AB27" s="257">
        <v>0</v>
      </c>
      <c r="AC27" s="257">
        <v>1</v>
      </c>
      <c r="AD27" s="257">
        <v>0</v>
      </c>
      <c r="AE27" s="257">
        <v>0</v>
      </c>
      <c r="AF27" s="257">
        <v>0</v>
      </c>
      <c r="AG27" s="257">
        <v>0</v>
      </c>
      <c r="AH27" s="257">
        <v>0</v>
      </c>
      <c r="AI27" s="257">
        <v>0</v>
      </c>
      <c r="AJ27" s="257">
        <v>0</v>
      </c>
      <c r="AK27" s="257">
        <v>0</v>
      </c>
      <c r="AL27" s="257">
        <v>0</v>
      </c>
      <c r="AM27" s="257">
        <v>0</v>
      </c>
      <c r="AN27" s="257">
        <v>0</v>
      </c>
      <c r="AO27" s="257">
        <v>0</v>
      </c>
      <c r="AP27" s="257">
        <v>0</v>
      </c>
      <c r="AQ27" s="257">
        <v>0</v>
      </c>
      <c r="AR27" s="257">
        <v>0</v>
      </c>
      <c r="AS27" s="257">
        <v>0</v>
      </c>
      <c r="AT27" s="257">
        <v>0</v>
      </c>
      <c r="AU27" s="257">
        <v>0</v>
      </c>
      <c r="AV27" s="257">
        <v>0</v>
      </c>
      <c r="AW27" s="257">
        <v>0</v>
      </c>
      <c r="AX27" s="277">
        <v>1</v>
      </c>
      <c r="AY27" s="277">
        <v>1</v>
      </c>
      <c r="AZ27" s="257">
        <v>1</v>
      </c>
      <c r="BA27" s="257">
        <v>0</v>
      </c>
      <c r="BB27" s="257">
        <v>0</v>
      </c>
      <c r="BC27" s="257">
        <v>0</v>
      </c>
      <c r="BD27" s="257">
        <v>0</v>
      </c>
      <c r="BE27" s="257" t="s">
        <v>95</v>
      </c>
      <c r="BF27" s="2" t="str" cm="1">
        <f t="array" ref="BF27">IF(COUNTIF(AZ27:BB27,"&lt;&gt;0")=1,INDEX($V$4:$AW$4,MATCH(TRUE,INDEX($V27:$AW27&lt;&gt;0,),0)),IF(COUNTIF(AZ27:BB27,"&lt;&gt;0")=0,INDEX($AM$4:$AW$4,MATCH(1,$AM27:$AW27,0)),"Multiple strategies"))</f>
        <v>Silviculture for productivity</v>
      </c>
      <c r="BG27" s="278" t="s">
        <v>229</v>
      </c>
      <c r="BH27" s="257" t="s">
        <v>230</v>
      </c>
      <c r="BI27" s="279" t="s">
        <v>3070</v>
      </c>
      <c r="BJ27" s="276" t="s">
        <v>231</v>
      </c>
      <c r="BK27" s="257">
        <v>98.063244029280497</v>
      </c>
      <c r="BL27" s="257">
        <v>100.590043923865</v>
      </c>
      <c r="BM27" s="276">
        <v>1.0257670437032456</v>
      </c>
      <c r="BN27" s="257">
        <v>2.5267998945844994</v>
      </c>
      <c r="BO27" s="276">
        <v>5.1567344787438767</v>
      </c>
      <c r="BP27" s="276" t="s">
        <v>232</v>
      </c>
      <c r="BQ27" s="331" t="s">
        <v>2624</v>
      </c>
      <c r="BR27" s="276" t="s">
        <v>233</v>
      </c>
      <c r="BS27" s="257">
        <v>-8.1244670100805898</v>
      </c>
      <c r="BT27" s="257">
        <v>-11.8040995607613</v>
      </c>
      <c r="BU27" s="259">
        <v>1.4529075625656593</v>
      </c>
      <c r="BV27" s="257">
        <v>-3.6796325506807097</v>
      </c>
      <c r="BW27" s="257"/>
      <c r="BX27" s="257">
        <v>-3.6796325506807098E-3</v>
      </c>
      <c r="BY27" s="257">
        <v>-7.1355866117369445E-4</v>
      </c>
      <c r="BZ27" s="257">
        <v>0</v>
      </c>
      <c r="CA27" s="257">
        <v>0</v>
      </c>
      <c r="CB27" s="257">
        <v>0</v>
      </c>
      <c r="CC27" s="257">
        <v>0</v>
      </c>
      <c r="CD27" s="257">
        <v>0</v>
      </c>
      <c r="CE27" s="257">
        <v>0</v>
      </c>
      <c r="CF27" s="257">
        <v>0</v>
      </c>
      <c r="CG27" s="257">
        <v>0</v>
      </c>
      <c r="CH27" s="257">
        <v>0</v>
      </c>
      <c r="CI27" s="257">
        <v>0</v>
      </c>
      <c r="CJ27" s="257">
        <v>0</v>
      </c>
      <c r="CK27" s="257">
        <v>0</v>
      </c>
      <c r="CL27" s="257">
        <v>0</v>
      </c>
      <c r="CM27" s="257">
        <v>0</v>
      </c>
      <c r="CN27" s="257" t="s">
        <v>3071</v>
      </c>
      <c r="CO27" s="257">
        <v>98.063244029280497</v>
      </c>
      <c r="CP27" s="257">
        <v>100.590043923865</v>
      </c>
      <c r="CQ27" s="257">
        <v>5.1567344787438767</v>
      </c>
      <c r="CR27" s="257">
        <v>-8.1244670100805898</v>
      </c>
      <c r="CS27" s="257">
        <v>-11.8040995607613</v>
      </c>
      <c r="CT27" s="257">
        <v>-3.6796325506807098E-3</v>
      </c>
      <c r="CU27" s="257">
        <v>-7.1355866117369445E-4</v>
      </c>
      <c r="CV27" s="258">
        <v>-0.45290756256565928</v>
      </c>
      <c r="CW27" s="256" t="s">
        <v>234</v>
      </c>
      <c r="CX27" s="257" t="s">
        <v>3072</v>
      </c>
      <c r="CY27" s="257" t="s">
        <v>235</v>
      </c>
      <c r="CZ27" s="257"/>
      <c r="DA27" s="276"/>
      <c r="DB27" s="276">
        <v>80</v>
      </c>
      <c r="DC27" s="257" t="s">
        <v>3073</v>
      </c>
      <c r="DD27" s="257">
        <v>0</v>
      </c>
      <c r="DE27" s="257">
        <v>1</v>
      </c>
      <c r="DF27" s="257">
        <v>0</v>
      </c>
      <c r="DG27" s="257">
        <v>0</v>
      </c>
      <c r="DH27" s="257"/>
      <c r="DI27" s="257">
        <v>1</v>
      </c>
      <c r="DJ27" s="257" t="s">
        <v>173</v>
      </c>
      <c r="DK27" s="257">
        <v>0</v>
      </c>
      <c r="DL27" s="257" t="s">
        <v>180</v>
      </c>
      <c r="DM27" s="257">
        <v>0</v>
      </c>
      <c r="DN27" s="257">
        <v>0</v>
      </c>
      <c r="DO27" s="257">
        <v>0</v>
      </c>
      <c r="DP27" s="276">
        <v>0</v>
      </c>
      <c r="DQ27" s="276">
        <v>0</v>
      </c>
      <c r="DR27" s="276">
        <v>0</v>
      </c>
      <c r="DS27" s="276">
        <v>0</v>
      </c>
      <c r="DT27" s="257">
        <v>0</v>
      </c>
      <c r="DU27" s="276" t="s">
        <v>961</v>
      </c>
      <c r="DV27" s="276">
        <v>1</v>
      </c>
      <c r="DW27" s="276">
        <v>1</v>
      </c>
      <c r="DX27" s="276">
        <v>1</v>
      </c>
      <c r="DY27" s="276">
        <v>0</v>
      </c>
      <c r="DZ27" s="257">
        <v>0</v>
      </c>
      <c r="EA27" s="276">
        <v>0</v>
      </c>
      <c r="EB27" s="276">
        <v>1</v>
      </c>
      <c r="EC27" s="276">
        <v>1</v>
      </c>
      <c r="ED27" s="276">
        <v>0</v>
      </c>
      <c r="EE27" s="276">
        <v>0</v>
      </c>
      <c r="EF27" s="257">
        <v>1</v>
      </c>
      <c r="EG27" s="276">
        <v>0</v>
      </c>
      <c r="EH27" s="257">
        <v>0</v>
      </c>
      <c r="EI27" s="258">
        <v>0</v>
      </c>
      <c r="EJ27" s="256"/>
      <c r="EK27" t="str">
        <f t="shared" si="34"/>
        <v>Whole sector</v>
      </c>
      <c r="EL27" t="str">
        <f t="shared" si="35"/>
        <v/>
      </c>
      <c r="EM27" s="258" t="s">
        <v>544</v>
      </c>
      <c r="EN27" s="257" t="s">
        <v>236</v>
      </c>
      <c r="EO27" s="257"/>
      <c r="EP27" t="str">
        <f>IF(ISNUMBER(BU27),IF(ABS(BU27-[2]QC_indicators!$B$2)&gt;3*[2]QC_indicators!$C$2,"C ratio",IF(ISNUMBER(BY27),IF(ABS(BY27-[2]QC_indicators!$B$1)&gt;3*[2]QC_indicators!$C$1,"DF","no"))),IF(ISNUMBER(BY27),IF(ABS(BY27-[2]QC_indicators!$B$1)&gt;3*[2]QC_indicators!$C$1,"DF","no")))</f>
        <v>no</v>
      </c>
      <c r="EQ27"/>
      <c r="ER27"/>
      <c r="ES27"/>
      <c r="ET27"/>
      <c r="EU27"/>
    </row>
    <row r="28" spans="1:151" s="139" customFormat="1" ht="15" hidden="1" customHeight="1">
      <c r="A28" s="256" t="s">
        <v>214</v>
      </c>
      <c r="B28" s="257" t="s">
        <v>215</v>
      </c>
      <c r="C28" s="257" t="s">
        <v>216</v>
      </c>
      <c r="D28" s="257" t="s">
        <v>217</v>
      </c>
      <c r="E28" s="257" t="s">
        <v>218</v>
      </c>
      <c r="F28" s="257" t="s">
        <v>219</v>
      </c>
      <c r="G28" s="257" t="s">
        <v>220</v>
      </c>
      <c r="H28" s="257"/>
      <c r="I28" s="257">
        <v>2012</v>
      </c>
      <c r="J28" s="257"/>
      <c r="K28" s="257" t="s">
        <v>221</v>
      </c>
      <c r="L28" s="257"/>
      <c r="M28" s="257" t="s">
        <v>3069</v>
      </c>
      <c r="N28" s="257" t="s">
        <v>222</v>
      </c>
      <c r="O28" s="275" t="s">
        <v>223</v>
      </c>
      <c r="P28" s="257"/>
      <c r="Q28" s="257" t="s">
        <v>224</v>
      </c>
      <c r="R28" s="258" t="s">
        <v>225</v>
      </c>
      <c r="S28" s="256" t="s">
        <v>240</v>
      </c>
      <c r="T28" s="257">
        <v>2000</v>
      </c>
      <c r="U28" s="257">
        <v>4000</v>
      </c>
      <c r="V28" s="257">
        <v>0</v>
      </c>
      <c r="W28" s="257">
        <v>0</v>
      </c>
      <c r="X28" s="257">
        <v>0</v>
      </c>
      <c r="Y28" s="257">
        <v>0</v>
      </c>
      <c r="Z28" s="257">
        <v>0</v>
      </c>
      <c r="AA28" s="257">
        <v>1</v>
      </c>
      <c r="AB28" s="257">
        <v>0</v>
      </c>
      <c r="AC28" s="257">
        <v>0</v>
      </c>
      <c r="AD28" s="257">
        <v>0</v>
      </c>
      <c r="AE28" s="257">
        <v>0</v>
      </c>
      <c r="AF28" s="257">
        <v>0</v>
      </c>
      <c r="AG28" s="257">
        <v>0</v>
      </c>
      <c r="AH28" s="257">
        <v>0</v>
      </c>
      <c r="AI28" s="257">
        <v>0</v>
      </c>
      <c r="AJ28" s="257">
        <v>0</v>
      </c>
      <c r="AK28" s="257">
        <v>0</v>
      </c>
      <c r="AL28" s="257">
        <v>0</v>
      </c>
      <c r="AM28" s="257">
        <v>0</v>
      </c>
      <c r="AN28" s="257">
        <v>0</v>
      </c>
      <c r="AO28" s="257">
        <v>0</v>
      </c>
      <c r="AP28" s="257">
        <v>0</v>
      </c>
      <c r="AQ28" s="257">
        <v>0</v>
      </c>
      <c r="AR28" s="257">
        <v>0</v>
      </c>
      <c r="AS28" s="257">
        <v>0</v>
      </c>
      <c r="AT28" s="257">
        <v>0</v>
      </c>
      <c r="AU28" s="257">
        <v>0</v>
      </c>
      <c r="AV28" s="257">
        <v>0</v>
      </c>
      <c r="AW28" s="257">
        <v>0</v>
      </c>
      <c r="AX28" s="277">
        <v>1</v>
      </c>
      <c r="AY28" s="277">
        <v>1</v>
      </c>
      <c r="AZ28" s="257">
        <v>1</v>
      </c>
      <c r="BA28" s="257">
        <v>0</v>
      </c>
      <c r="BB28" s="257">
        <v>0</v>
      </c>
      <c r="BC28" s="257">
        <v>0</v>
      </c>
      <c r="BD28" s="257">
        <v>0</v>
      </c>
      <c r="BE28" s="257" t="s">
        <v>93</v>
      </c>
      <c r="BF28" s="2" t="str" cm="1">
        <f t="array" ref="BF28">IF(COUNTIF(AZ28:BB28,"&lt;&gt;0")=1,INDEX($V$4:$AW$4,MATCH(TRUE,INDEX($V28:$AW28&lt;&gt;0,),0)),IF(COUNTIF(AZ28:BB28,"&lt;&gt;0")=0,INDEX($AM$4:$AW$4,MATCH(1,$AM28:$AW28,0)),"Multiple strategies"))</f>
        <v>Silviculture for productivity</v>
      </c>
      <c r="BG28" s="278" t="s">
        <v>229</v>
      </c>
      <c r="BH28" s="257" t="s">
        <v>230</v>
      </c>
      <c r="BI28" s="279" t="s">
        <v>3070</v>
      </c>
      <c r="BJ28" s="276" t="s">
        <v>231</v>
      </c>
      <c r="BK28" s="257">
        <v>95.977011489999995</v>
      </c>
      <c r="BL28" s="257">
        <v>100.5900439</v>
      </c>
      <c r="BM28" s="276">
        <v>1.0480639305015309</v>
      </c>
      <c r="BN28" s="257">
        <v>4.6130324100000024</v>
      </c>
      <c r="BO28" s="276">
        <v>9.4143518571428615</v>
      </c>
      <c r="BP28" s="276" t="s">
        <v>232</v>
      </c>
      <c r="BQ28" s="282" t="s">
        <v>2624</v>
      </c>
      <c r="BR28" s="276" t="s">
        <v>233</v>
      </c>
      <c r="BS28" s="257">
        <v>-8.1428571430000005</v>
      </c>
      <c r="BT28" s="257">
        <v>-11.804099559999999</v>
      </c>
      <c r="BU28" s="259">
        <v>1.4496262617289537</v>
      </c>
      <c r="BV28" s="257">
        <v>-3.6612424169999986</v>
      </c>
      <c r="BW28" s="257"/>
      <c r="BX28" s="257">
        <v>-3.6612424169999986E-3</v>
      </c>
      <c r="BY28" s="257">
        <v>-3.889001040705887E-4</v>
      </c>
      <c r="BZ28" s="257">
        <v>0</v>
      </c>
      <c r="CA28" s="257">
        <v>0</v>
      </c>
      <c r="CB28" s="257">
        <v>0</v>
      </c>
      <c r="CC28" s="257">
        <v>0</v>
      </c>
      <c r="CD28" s="257">
        <v>0</v>
      </c>
      <c r="CE28" s="257">
        <v>0</v>
      </c>
      <c r="CF28" s="257">
        <v>0</v>
      </c>
      <c r="CG28" s="257">
        <v>0</v>
      </c>
      <c r="CH28" s="257">
        <v>0</v>
      </c>
      <c r="CI28" s="257">
        <v>0</v>
      </c>
      <c r="CJ28" s="257">
        <v>0</v>
      </c>
      <c r="CK28" s="257">
        <v>0</v>
      </c>
      <c r="CL28" s="257">
        <v>0</v>
      </c>
      <c r="CM28" s="257">
        <v>0</v>
      </c>
      <c r="CN28" s="257" t="s">
        <v>3071</v>
      </c>
      <c r="CO28" s="257">
        <v>95.977011489999995</v>
      </c>
      <c r="CP28" s="257">
        <v>100.5900439</v>
      </c>
      <c r="CQ28" s="257">
        <v>9.4143518571428615</v>
      </c>
      <c r="CR28" s="257">
        <v>-8.1428571430000005</v>
      </c>
      <c r="CS28" s="257">
        <v>-11.804099559999999</v>
      </c>
      <c r="CT28" s="257">
        <v>-3.6612424169999986E-3</v>
      </c>
      <c r="CU28" s="257">
        <v>-3.889001040705887E-4</v>
      </c>
      <c r="CV28" s="258">
        <v>-0.4496262617289537</v>
      </c>
      <c r="CW28" s="256" t="s">
        <v>234</v>
      </c>
      <c r="CX28" s="257" t="s">
        <v>3072</v>
      </c>
      <c r="CY28" s="257" t="s">
        <v>235</v>
      </c>
      <c r="CZ28" s="257"/>
      <c r="DA28" s="276"/>
      <c r="DB28" s="276">
        <v>80</v>
      </c>
      <c r="DC28" s="257" t="s">
        <v>3073</v>
      </c>
      <c r="DD28" s="257">
        <v>0</v>
      </c>
      <c r="DE28" s="257">
        <v>1</v>
      </c>
      <c r="DF28" s="257">
        <v>0</v>
      </c>
      <c r="DG28" s="257">
        <v>0</v>
      </c>
      <c r="DH28" s="257"/>
      <c r="DI28" s="257">
        <v>1</v>
      </c>
      <c r="DJ28" s="257" t="s">
        <v>173</v>
      </c>
      <c r="DK28" s="257">
        <v>0</v>
      </c>
      <c r="DL28" s="257" t="s">
        <v>180</v>
      </c>
      <c r="DM28" s="257">
        <v>0</v>
      </c>
      <c r="DN28" s="257">
        <v>0</v>
      </c>
      <c r="DO28" s="257">
        <v>0</v>
      </c>
      <c r="DP28" s="276">
        <v>0</v>
      </c>
      <c r="DQ28" s="276">
        <v>0</v>
      </c>
      <c r="DR28" s="276">
        <v>0</v>
      </c>
      <c r="DS28" s="276">
        <v>0</v>
      </c>
      <c r="DT28" s="257">
        <v>0</v>
      </c>
      <c r="DU28" s="276" t="s">
        <v>961</v>
      </c>
      <c r="DV28" s="276">
        <v>1</v>
      </c>
      <c r="DW28" s="276">
        <v>1</v>
      </c>
      <c r="DX28" s="276">
        <v>1</v>
      </c>
      <c r="DY28" s="276">
        <v>0</v>
      </c>
      <c r="DZ28" s="257">
        <v>0</v>
      </c>
      <c r="EA28" s="276">
        <v>0</v>
      </c>
      <c r="EB28" s="276">
        <v>1</v>
      </c>
      <c r="EC28" s="276">
        <v>1</v>
      </c>
      <c r="ED28" s="276">
        <v>0</v>
      </c>
      <c r="EE28" s="276">
        <v>0</v>
      </c>
      <c r="EF28" s="257">
        <v>1</v>
      </c>
      <c r="EG28" s="276">
        <v>0</v>
      </c>
      <c r="EH28" s="257">
        <v>0</v>
      </c>
      <c r="EI28" s="258">
        <v>0</v>
      </c>
      <c r="EJ28" s="256"/>
      <c r="EK28" t="str">
        <f t="shared" si="34"/>
        <v>Whole sector</v>
      </c>
      <c r="EL28" t="str">
        <f t="shared" si="35"/>
        <v/>
      </c>
      <c r="EM28" s="258" t="s">
        <v>544</v>
      </c>
      <c r="EN28" s="257" t="s">
        <v>236</v>
      </c>
      <c r="EO28" s="257"/>
      <c r="EP28" t="str">
        <f>IF(ISNUMBER(BU28),IF(ABS(BU28-[2]QC_indicators!$B$2)&gt;3*[2]QC_indicators!$C$2,"C ratio",IF(ISNUMBER(BY28),IF(ABS(BY28-[2]QC_indicators!$B$1)&gt;3*[2]QC_indicators!$C$1,"DF","no"))),IF(ISNUMBER(BY28),IF(ABS(BY28-[2]QC_indicators!$B$1)&gt;3*[2]QC_indicators!$C$1,"DF","no")))</f>
        <v>no</v>
      </c>
      <c r="EQ28" s="280"/>
      <c r="ER28" s="280"/>
      <c r="ES28" s="280"/>
      <c r="ET28"/>
      <c r="EU28"/>
    </row>
    <row r="29" spans="1:151" s="139" customFormat="1" ht="15" hidden="1" customHeight="1">
      <c r="A29" s="256" t="s">
        <v>214</v>
      </c>
      <c r="B29" s="257" t="s">
        <v>215</v>
      </c>
      <c r="C29" s="257" t="s">
        <v>216</v>
      </c>
      <c r="D29" s="257" t="s">
        <v>217</v>
      </c>
      <c r="E29" s="257" t="s">
        <v>218</v>
      </c>
      <c r="F29" s="257" t="s">
        <v>219</v>
      </c>
      <c r="G29" s="257" t="s">
        <v>220</v>
      </c>
      <c r="H29" s="257"/>
      <c r="I29" s="257">
        <v>2012</v>
      </c>
      <c r="J29" s="257"/>
      <c r="K29" s="257" t="s">
        <v>221</v>
      </c>
      <c r="L29" s="257"/>
      <c r="M29" s="257" t="s">
        <v>3069</v>
      </c>
      <c r="N29" s="257" t="s">
        <v>222</v>
      </c>
      <c r="O29" s="275" t="s">
        <v>223</v>
      </c>
      <c r="P29" s="257"/>
      <c r="Q29" s="257" t="s">
        <v>224</v>
      </c>
      <c r="R29" s="258" t="s">
        <v>225</v>
      </c>
      <c r="S29" s="256" t="s">
        <v>240</v>
      </c>
      <c r="T29" s="257">
        <v>2000</v>
      </c>
      <c r="U29" s="257">
        <v>4000</v>
      </c>
      <c r="V29" s="257">
        <v>0</v>
      </c>
      <c r="W29" s="257">
        <v>0</v>
      </c>
      <c r="X29" s="257">
        <v>0</v>
      </c>
      <c r="Y29" s="257">
        <v>0</v>
      </c>
      <c r="Z29" s="257">
        <v>0</v>
      </c>
      <c r="AA29" s="257">
        <v>1</v>
      </c>
      <c r="AB29" s="257">
        <v>0</v>
      </c>
      <c r="AC29" s="257">
        <v>0</v>
      </c>
      <c r="AD29" s="257">
        <v>0</v>
      </c>
      <c r="AE29" s="257">
        <v>0</v>
      </c>
      <c r="AF29" s="257">
        <v>0</v>
      </c>
      <c r="AG29" s="257">
        <v>0</v>
      </c>
      <c r="AH29" s="257">
        <v>0</v>
      </c>
      <c r="AI29" s="257">
        <v>0</v>
      </c>
      <c r="AJ29" s="257">
        <v>0</v>
      </c>
      <c r="AK29" s="257">
        <v>0</v>
      </c>
      <c r="AL29" s="257">
        <v>0</v>
      </c>
      <c r="AM29" s="257">
        <v>0</v>
      </c>
      <c r="AN29" s="257">
        <v>0</v>
      </c>
      <c r="AO29" s="257">
        <v>0</v>
      </c>
      <c r="AP29" s="257">
        <v>0</v>
      </c>
      <c r="AQ29" s="257">
        <v>0</v>
      </c>
      <c r="AR29" s="257">
        <v>0</v>
      </c>
      <c r="AS29" s="257">
        <v>0</v>
      </c>
      <c r="AT29" s="257">
        <v>0</v>
      </c>
      <c r="AU29" s="257">
        <v>0</v>
      </c>
      <c r="AV29" s="257">
        <v>0</v>
      </c>
      <c r="AW29" s="257">
        <v>0</v>
      </c>
      <c r="AX29" s="277">
        <v>1</v>
      </c>
      <c r="AY29" s="277">
        <v>1</v>
      </c>
      <c r="AZ29" s="257">
        <v>1</v>
      </c>
      <c r="BA29" s="257">
        <v>0</v>
      </c>
      <c r="BB29" s="257">
        <v>0</v>
      </c>
      <c r="BC29" s="257">
        <v>0</v>
      </c>
      <c r="BD29" s="257">
        <v>0</v>
      </c>
      <c r="BE29" s="257" t="s">
        <v>93</v>
      </c>
      <c r="BF29" s="2" t="str" cm="1">
        <f t="array" ref="BF29">IF(COUNTIF(AZ29:BB29,"&lt;&gt;0")=1,INDEX($V$4:$AW$4,MATCH(TRUE,INDEX($V29:$AW29&lt;&gt;0,),0)),IF(COUNTIF(AZ29:BB29,"&lt;&gt;0")=0,INDEX($AM$4:$AW$4,MATCH(1,$AM29:$AW29,0)),"Multiple strategies"))</f>
        <v>Silviculture for productivity</v>
      </c>
      <c r="BG29" s="278" t="s">
        <v>229</v>
      </c>
      <c r="BH29" s="257" t="s">
        <v>230</v>
      </c>
      <c r="BI29" s="279" t="s">
        <v>3070</v>
      </c>
      <c r="BJ29" s="276" t="s">
        <v>231</v>
      </c>
      <c r="BK29" s="257">
        <v>77.011494249999998</v>
      </c>
      <c r="BL29" s="257">
        <v>82.922401170000001</v>
      </c>
      <c r="BM29" s="276">
        <v>1.0767535674715207</v>
      </c>
      <c r="BN29" s="257">
        <v>5.9109069200000022</v>
      </c>
      <c r="BO29" s="276">
        <v>12.063075346938779</v>
      </c>
      <c r="BP29" s="276" t="s">
        <v>232</v>
      </c>
      <c r="BQ29" s="282" t="s">
        <v>2624</v>
      </c>
      <c r="BR29" s="276" t="s">
        <v>233</v>
      </c>
      <c r="BS29" s="257">
        <v>-8</v>
      </c>
      <c r="BT29" s="257">
        <v>-12.051927770000001</v>
      </c>
      <c r="BU29" s="259">
        <v>1.5064909712500001</v>
      </c>
      <c r="BV29" s="257">
        <v>-4.0519277700000007</v>
      </c>
      <c r="BW29" s="257"/>
      <c r="BX29" s="257">
        <v>-4.0519277700000007E-3</v>
      </c>
      <c r="BY29" s="257">
        <v>-3.3589508922600317E-4</v>
      </c>
      <c r="BZ29" s="257">
        <v>0</v>
      </c>
      <c r="CA29" s="257">
        <v>0</v>
      </c>
      <c r="CB29" s="257">
        <v>0</v>
      </c>
      <c r="CC29" s="257">
        <v>0</v>
      </c>
      <c r="CD29" s="257">
        <v>0</v>
      </c>
      <c r="CE29" s="257">
        <v>0</v>
      </c>
      <c r="CF29" s="257">
        <v>0</v>
      </c>
      <c r="CG29" s="257">
        <v>0</v>
      </c>
      <c r="CH29" s="257">
        <v>0</v>
      </c>
      <c r="CI29" s="257">
        <v>0</v>
      </c>
      <c r="CJ29" s="257">
        <v>0</v>
      </c>
      <c r="CK29" s="257">
        <v>0</v>
      </c>
      <c r="CL29" s="257">
        <v>0</v>
      </c>
      <c r="CM29" s="257">
        <v>0</v>
      </c>
      <c r="CN29" s="257" t="s">
        <v>3071</v>
      </c>
      <c r="CO29" s="257">
        <v>77.011494249999998</v>
      </c>
      <c r="CP29" s="257">
        <v>82.922401170000001</v>
      </c>
      <c r="CQ29" s="257">
        <v>12.063075346938779</v>
      </c>
      <c r="CR29" s="257">
        <v>-8</v>
      </c>
      <c r="CS29" s="257">
        <v>-12.051927770000001</v>
      </c>
      <c r="CT29" s="257">
        <v>-4.0519277700000007E-3</v>
      </c>
      <c r="CU29" s="257">
        <v>-3.3589508922600317E-4</v>
      </c>
      <c r="CV29" s="258">
        <v>-0.50649097125000009</v>
      </c>
      <c r="CW29" s="256" t="s">
        <v>234</v>
      </c>
      <c r="CX29" s="257" t="s">
        <v>3072</v>
      </c>
      <c r="CY29" s="257" t="s">
        <v>235</v>
      </c>
      <c r="CZ29" s="257"/>
      <c r="DA29" s="276"/>
      <c r="DB29" s="276">
        <v>80</v>
      </c>
      <c r="DC29" s="257" t="s">
        <v>3073</v>
      </c>
      <c r="DD29" s="257">
        <v>0</v>
      </c>
      <c r="DE29" s="257">
        <v>1</v>
      </c>
      <c r="DF29" s="257">
        <v>0</v>
      </c>
      <c r="DG29" s="257">
        <v>0</v>
      </c>
      <c r="DH29" s="257"/>
      <c r="DI29" s="257">
        <v>1</v>
      </c>
      <c r="DJ29" s="257" t="s">
        <v>173</v>
      </c>
      <c r="DK29" s="257">
        <v>0</v>
      </c>
      <c r="DL29" s="257" t="s">
        <v>180</v>
      </c>
      <c r="DM29" s="257">
        <v>0</v>
      </c>
      <c r="DN29" s="257">
        <v>0</v>
      </c>
      <c r="DO29" s="257">
        <v>0</v>
      </c>
      <c r="DP29" s="276">
        <v>0</v>
      </c>
      <c r="DQ29" s="276">
        <v>0</v>
      </c>
      <c r="DR29" s="276">
        <v>0</v>
      </c>
      <c r="DS29" s="276">
        <v>0</v>
      </c>
      <c r="DT29" s="257">
        <v>0</v>
      </c>
      <c r="DU29" s="276" t="s">
        <v>961</v>
      </c>
      <c r="DV29" s="276">
        <v>1</v>
      </c>
      <c r="DW29" s="276">
        <v>1</v>
      </c>
      <c r="DX29" s="276">
        <v>1</v>
      </c>
      <c r="DY29" s="276">
        <v>0</v>
      </c>
      <c r="DZ29" s="257">
        <v>0</v>
      </c>
      <c r="EA29" s="276">
        <v>0</v>
      </c>
      <c r="EB29" s="276">
        <v>1</v>
      </c>
      <c r="EC29" s="276">
        <v>1</v>
      </c>
      <c r="ED29" s="276">
        <v>0</v>
      </c>
      <c r="EE29" s="276">
        <v>0</v>
      </c>
      <c r="EF29" s="257">
        <v>1</v>
      </c>
      <c r="EG29" s="276">
        <v>0</v>
      </c>
      <c r="EH29" s="257">
        <v>0</v>
      </c>
      <c r="EI29" s="258">
        <v>0</v>
      </c>
      <c r="EJ29" s="256"/>
      <c r="EK29" t="str">
        <f t="shared" si="34"/>
        <v>Whole sector</v>
      </c>
      <c r="EL29" t="str">
        <f t="shared" si="35"/>
        <v/>
      </c>
      <c r="EM29" s="258" t="s">
        <v>544</v>
      </c>
      <c r="EN29" s="257" t="s">
        <v>236</v>
      </c>
      <c r="EO29" s="257"/>
      <c r="EP29" t="str">
        <f>IF(ISNUMBER(BU29),IF(ABS(BU29-[2]QC_indicators!$B$2)&gt;3*[2]QC_indicators!$C$2,"C ratio",IF(ISNUMBER(BY29),IF(ABS(BY29-[2]QC_indicators!$B$1)&gt;3*[2]QC_indicators!$C$1,"DF","no"))),IF(ISNUMBER(BY29),IF(ABS(BY29-[2]QC_indicators!$B$1)&gt;3*[2]QC_indicators!$C$1,"DF","no")))</f>
        <v>no</v>
      </c>
      <c r="EQ29" s="280"/>
      <c r="ER29" s="280"/>
      <c r="ES29" s="280"/>
      <c r="ET29"/>
      <c r="EU29"/>
    </row>
    <row r="30" spans="1:151" s="139" customFormat="1" ht="15" hidden="1" customHeight="1">
      <c r="A30" s="256" t="s">
        <v>214</v>
      </c>
      <c r="B30" s="257" t="s">
        <v>215</v>
      </c>
      <c r="C30" s="257" t="s">
        <v>216</v>
      </c>
      <c r="D30" s="257" t="s">
        <v>217</v>
      </c>
      <c r="E30" s="257" t="s">
        <v>218</v>
      </c>
      <c r="F30" s="257" t="s">
        <v>219</v>
      </c>
      <c r="G30" s="257" t="s">
        <v>220</v>
      </c>
      <c r="H30" s="257"/>
      <c r="I30" s="257">
        <v>2012</v>
      </c>
      <c r="J30" s="257"/>
      <c r="K30" s="257" t="s">
        <v>221</v>
      </c>
      <c r="L30" s="257"/>
      <c r="M30" s="257" t="s">
        <v>3069</v>
      </c>
      <c r="N30" s="257" t="s">
        <v>222</v>
      </c>
      <c r="O30" s="275" t="s">
        <v>223</v>
      </c>
      <c r="P30" s="257"/>
      <c r="Q30" s="257" t="s">
        <v>224</v>
      </c>
      <c r="R30" s="258" t="s">
        <v>225</v>
      </c>
      <c r="S30" s="256" t="s">
        <v>240</v>
      </c>
      <c r="T30" s="257">
        <v>2000</v>
      </c>
      <c r="U30" s="257">
        <v>4000</v>
      </c>
      <c r="V30" s="257">
        <v>0</v>
      </c>
      <c r="W30" s="257">
        <v>0</v>
      </c>
      <c r="X30" s="257">
        <v>0</v>
      </c>
      <c r="Y30" s="257">
        <v>0</v>
      </c>
      <c r="Z30" s="257">
        <v>0</v>
      </c>
      <c r="AA30" s="257">
        <v>1</v>
      </c>
      <c r="AB30" s="257">
        <v>0</v>
      </c>
      <c r="AC30" s="257">
        <v>0</v>
      </c>
      <c r="AD30" s="257">
        <v>0</v>
      </c>
      <c r="AE30" s="257">
        <v>0</v>
      </c>
      <c r="AF30" s="257">
        <v>0</v>
      </c>
      <c r="AG30" s="257">
        <v>0</v>
      </c>
      <c r="AH30" s="257">
        <v>0</v>
      </c>
      <c r="AI30" s="257">
        <v>0</v>
      </c>
      <c r="AJ30" s="257">
        <v>0</v>
      </c>
      <c r="AK30" s="257">
        <v>0</v>
      </c>
      <c r="AL30" s="257">
        <v>0</v>
      </c>
      <c r="AM30" s="257">
        <v>0</v>
      </c>
      <c r="AN30" s="257">
        <v>0</v>
      </c>
      <c r="AO30" s="257">
        <v>0</v>
      </c>
      <c r="AP30" s="257">
        <v>0</v>
      </c>
      <c r="AQ30" s="257">
        <v>0</v>
      </c>
      <c r="AR30" s="257">
        <v>0</v>
      </c>
      <c r="AS30" s="257">
        <v>0</v>
      </c>
      <c r="AT30" s="257">
        <v>0</v>
      </c>
      <c r="AU30" s="257">
        <v>0</v>
      </c>
      <c r="AV30" s="257">
        <v>0</v>
      </c>
      <c r="AW30" s="257">
        <v>0</v>
      </c>
      <c r="AX30" s="277">
        <v>1</v>
      </c>
      <c r="AY30" s="277">
        <v>1</v>
      </c>
      <c r="AZ30" s="257">
        <v>1</v>
      </c>
      <c r="BA30" s="257">
        <v>0</v>
      </c>
      <c r="BB30" s="257">
        <v>0</v>
      </c>
      <c r="BC30" s="257">
        <v>0</v>
      </c>
      <c r="BD30" s="257">
        <v>0</v>
      </c>
      <c r="BE30" s="257" t="s">
        <v>93</v>
      </c>
      <c r="BF30" s="2" t="str" cm="1">
        <f t="array" ref="BF30">IF(COUNTIF(AZ30:BB30,"&lt;&gt;0")=1,INDEX($V$4:$AW$4,MATCH(TRUE,INDEX($V30:$AW30&lt;&gt;0,),0)),IF(COUNTIF(AZ30:BB30,"&lt;&gt;0")=0,INDEX($AM$4:$AW$4,MATCH(1,$AM30:$AW30,0)),"Multiple strategies"))</f>
        <v>Silviculture for productivity</v>
      </c>
      <c r="BG30" s="278" t="s">
        <v>229</v>
      </c>
      <c r="BH30" s="257" t="s">
        <v>230</v>
      </c>
      <c r="BI30" s="279" t="s">
        <v>3070</v>
      </c>
      <c r="BJ30" s="276" t="s">
        <v>231</v>
      </c>
      <c r="BK30" s="257">
        <v>95.114942529999993</v>
      </c>
      <c r="BL30" s="257">
        <v>102.3265007</v>
      </c>
      <c r="BM30" s="276">
        <v>1.0758194031156085</v>
      </c>
      <c r="BN30" s="257">
        <v>7.2115581700000035</v>
      </c>
      <c r="BO30" s="276">
        <v>14.717465653061232</v>
      </c>
      <c r="BP30" s="276" t="s">
        <v>232</v>
      </c>
      <c r="BQ30" s="282" t="s">
        <v>2624</v>
      </c>
      <c r="BR30" s="276" t="s">
        <v>233</v>
      </c>
      <c r="BS30" s="257">
        <v>-7.8979591840000003</v>
      </c>
      <c r="BT30" s="257">
        <v>-11.78438263</v>
      </c>
      <c r="BU30" s="259">
        <v>1.4920794543827562</v>
      </c>
      <c r="BV30" s="257">
        <v>-3.8864234459999993</v>
      </c>
      <c r="BW30" s="257"/>
      <c r="BX30" s="257">
        <v>-3.8864234459999995E-3</v>
      </c>
      <c r="BY30" s="257">
        <v>-2.6406879673550478E-4</v>
      </c>
      <c r="BZ30" s="257">
        <v>0</v>
      </c>
      <c r="CA30" s="257">
        <v>0</v>
      </c>
      <c r="CB30" s="257">
        <v>0</v>
      </c>
      <c r="CC30" s="257">
        <v>0</v>
      </c>
      <c r="CD30" s="257">
        <v>0</v>
      </c>
      <c r="CE30" s="257">
        <v>0</v>
      </c>
      <c r="CF30" s="257">
        <v>0</v>
      </c>
      <c r="CG30" s="257">
        <v>0</v>
      </c>
      <c r="CH30" s="257">
        <v>0</v>
      </c>
      <c r="CI30" s="257">
        <v>0</v>
      </c>
      <c r="CJ30" s="257">
        <v>0</v>
      </c>
      <c r="CK30" s="257">
        <v>0</v>
      </c>
      <c r="CL30" s="257">
        <v>0</v>
      </c>
      <c r="CM30" s="257">
        <v>0</v>
      </c>
      <c r="CN30" s="257" t="s">
        <v>3071</v>
      </c>
      <c r="CO30" s="257">
        <v>95.114942529999993</v>
      </c>
      <c r="CP30" s="257">
        <v>102.3265007</v>
      </c>
      <c r="CQ30" s="257">
        <v>14.717465653061232</v>
      </c>
      <c r="CR30" s="257">
        <v>-7.8979591840000003</v>
      </c>
      <c r="CS30" s="257">
        <v>-11.78438263</v>
      </c>
      <c r="CT30" s="257">
        <v>-3.8864234459999995E-3</v>
      </c>
      <c r="CU30" s="257">
        <v>-2.6406879673550478E-4</v>
      </c>
      <c r="CV30" s="258">
        <v>-0.4920794543827563</v>
      </c>
      <c r="CW30" s="256" t="s">
        <v>234</v>
      </c>
      <c r="CX30" s="257" t="s">
        <v>3072</v>
      </c>
      <c r="CY30" s="257" t="s">
        <v>235</v>
      </c>
      <c r="CZ30" s="257"/>
      <c r="DA30" s="276"/>
      <c r="DB30" s="276">
        <v>80</v>
      </c>
      <c r="DC30" s="257" t="s">
        <v>3073</v>
      </c>
      <c r="DD30" s="257">
        <v>0</v>
      </c>
      <c r="DE30" s="257">
        <v>1</v>
      </c>
      <c r="DF30" s="257">
        <v>0</v>
      </c>
      <c r="DG30" s="257">
        <v>0</v>
      </c>
      <c r="DH30" s="257"/>
      <c r="DI30" s="257">
        <v>1</v>
      </c>
      <c r="DJ30" s="257" t="s">
        <v>173</v>
      </c>
      <c r="DK30" s="257">
        <v>0</v>
      </c>
      <c r="DL30" s="257" t="s">
        <v>180</v>
      </c>
      <c r="DM30" s="257">
        <v>0</v>
      </c>
      <c r="DN30" s="257">
        <v>0</v>
      </c>
      <c r="DO30" s="257">
        <v>0</v>
      </c>
      <c r="DP30" s="276">
        <v>0</v>
      </c>
      <c r="DQ30" s="276">
        <v>0</v>
      </c>
      <c r="DR30" s="276">
        <v>0</v>
      </c>
      <c r="DS30" s="276">
        <v>0</v>
      </c>
      <c r="DT30" s="257">
        <v>0</v>
      </c>
      <c r="DU30" s="276" t="s">
        <v>961</v>
      </c>
      <c r="DV30" s="276">
        <v>1</v>
      </c>
      <c r="DW30" s="276">
        <v>1</v>
      </c>
      <c r="DX30" s="276">
        <v>1</v>
      </c>
      <c r="DY30" s="276">
        <v>0</v>
      </c>
      <c r="DZ30" s="257">
        <v>0</v>
      </c>
      <c r="EA30" s="276">
        <v>0</v>
      </c>
      <c r="EB30" s="276">
        <v>1</v>
      </c>
      <c r="EC30" s="276">
        <v>1</v>
      </c>
      <c r="ED30" s="276">
        <v>0</v>
      </c>
      <c r="EE30" s="276">
        <v>0</v>
      </c>
      <c r="EF30" s="257">
        <v>1</v>
      </c>
      <c r="EG30" s="276">
        <v>0</v>
      </c>
      <c r="EH30" s="257">
        <v>0</v>
      </c>
      <c r="EI30" s="258">
        <v>0</v>
      </c>
      <c r="EJ30" s="256"/>
      <c r="EK30" t="str">
        <f t="shared" si="34"/>
        <v>Whole sector</v>
      </c>
      <c r="EL30" t="str">
        <f t="shared" si="35"/>
        <v/>
      </c>
      <c r="EM30" s="258" t="s">
        <v>544</v>
      </c>
      <c r="EN30" s="257" t="s">
        <v>236</v>
      </c>
      <c r="EO30" s="257"/>
      <c r="EP30" t="str">
        <f>IF(ISNUMBER(BU30),IF(ABS(BU30-[2]QC_indicators!$B$2)&gt;3*[2]QC_indicators!$C$2,"C ratio",IF(ISNUMBER(BY30),IF(ABS(BY30-[2]QC_indicators!$B$1)&gt;3*[2]QC_indicators!$C$1,"DF","no"))),IF(ISNUMBER(BY30),IF(ABS(BY30-[2]QC_indicators!$B$1)&gt;3*[2]QC_indicators!$C$1,"DF","no")))</f>
        <v>no</v>
      </c>
      <c r="EQ30" s="280"/>
      <c r="ER30" s="280"/>
      <c r="ES30" s="280"/>
      <c r="ET30"/>
      <c r="EU30"/>
    </row>
    <row r="31" spans="1:151" s="139" customFormat="1" ht="15" hidden="1" customHeight="1">
      <c r="A31" s="256" t="s">
        <v>214</v>
      </c>
      <c r="B31" s="257" t="s">
        <v>215</v>
      </c>
      <c r="C31" s="257" t="s">
        <v>216</v>
      </c>
      <c r="D31" s="257" t="s">
        <v>217</v>
      </c>
      <c r="E31" s="257" t="s">
        <v>218</v>
      </c>
      <c r="F31" s="257" t="s">
        <v>219</v>
      </c>
      <c r="G31" s="257" t="s">
        <v>220</v>
      </c>
      <c r="H31" s="257"/>
      <c r="I31" s="257">
        <v>2012</v>
      </c>
      <c r="J31" s="257"/>
      <c r="K31" s="257" t="s">
        <v>221</v>
      </c>
      <c r="L31" s="257"/>
      <c r="M31" s="257" t="s">
        <v>3069</v>
      </c>
      <c r="N31" s="257" t="s">
        <v>222</v>
      </c>
      <c r="O31" s="275" t="s">
        <v>223</v>
      </c>
      <c r="P31" s="257"/>
      <c r="Q31" s="257" t="s">
        <v>224</v>
      </c>
      <c r="R31" s="258" t="s">
        <v>225</v>
      </c>
      <c r="S31" s="256" t="s">
        <v>241</v>
      </c>
      <c r="T31" s="257" t="s">
        <v>242</v>
      </c>
      <c r="U31" s="276" t="s">
        <v>243</v>
      </c>
      <c r="V31" s="257">
        <v>0</v>
      </c>
      <c r="W31" s="257">
        <v>0</v>
      </c>
      <c r="X31" s="257">
        <v>0</v>
      </c>
      <c r="Y31" s="257">
        <v>0</v>
      </c>
      <c r="Z31" s="257">
        <v>0</v>
      </c>
      <c r="AA31" s="257">
        <v>0</v>
      </c>
      <c r="AB31" s="257">
        <v>0</v>
      </c>
      <c r="AC31" s="257">
        <v>1</v>
      </c>
      <c r="AD31" s="257">
        <v>0</v>
      </c>
      <c r="AE31" s="257">
        <v>0</v>
      </c>
      <c r="AF31" s="257">
        <v>0</v>
      </c>
      <c r="AG31" s="257">
        <v>0</v>
      </c>
      <c r="AH31" s="257">
        <v>0</v>
      </c>
      <c r="AI31" s="257">
        <v>0</v>
      </c>
      <c r="AJ31" s="257">
        <v>0</v>
      </c>
      <c r="AK31" s="257">
        <v>0</v>
      </c>
      <c r="AL31" s="257">
        <v>0</v>
      </c>
      <c r="AM31" s="257">
        <v>0</v>
      </c>
      <c r="AN31" s="257">
        <v>0</v>
      </c>
      <c r="AO31" s="257">
        <v>0</v>
      </c>
      <c r="AP31" s="257">
        <v>0</v>
      </c>
      <c r="AQ31" s="257">
        <v>0</v>
      </c>
      <c r="AR31" s="257">
        <v>0</v>
      </c>
      <c r="AS31" s="257">
        <v>0</v>
      </c>
      <c r="AT31" s="257">
        <v>0</v>
      </c>
      <c r="AU31" s="257">
        <v>0</v>
      </c>
      <c r="AV31" s="257">
        <v>0</v>
      </c>
      <c r="AW31" s="257">
        <v>0</v>
      </c>
      <c r="AX31" s="277">
        <v>1</v>
      </c>
      <c r="AY31" s="277">
        <v>1</v>
      </c>
      <c r="AZ31" s="257">
        <v>1</v>
      </c>
      <c r="BA31" s="257">
        <v>0</v>
      </c>
      <c r="BB31" s="257">
        <v>0</v>
      </c>
      <c r="BC31" s="257">
        <v>0</v>
      </c>
      <c r="BD31" s="257">
        <v>0</v>
      </c>
      <c r="BE31" s="257" t="s">
        <v>95</v>
      </c>
      <c r="BF31" s="2" t="str" cm="1">
        <f t="array" ref="BF31">IF(COUNTIF(AZ31:BB31,"&lt;&gt;0")=1,INDEX($V$4:$AW$4,MATCH(TRUE,INDEX($V31:$AW31&lt;&gt;0,),0)),IF(COUNTIF(AZ31:BB31,"&lt;&gt;0")=0,INDEX($AM$4:$AW$4,MATCH(1,$AM31:$AW31,0)),"Multiple strategies"))</f>
        <v>Silviculture for productivity</v>
      </c>
      <c r="BG31" s="278" t="s">
        <v>229</v>
      </c>
      <c r="BH31" s="257" t="s">
        <v>230</v>
      </c>
      <c r="BI31" s="279" t="s">
        <v>3070</v>
      </c>
      <c r="BJ31" s="276" t="s">
        <v>231</v>
      </c>
      <c r="BK31" s="257">
        <v>74.931604761787398</v>
      </c>
      <c r="BL31" s="257">
        <v>81.736456808199094</v>
      </c>
      <c r="BM31" s="276">
        <v>1.0908141773827582</v>
      </c>
      <c r="BN31" s="257">
        <v>6.8048520464116962</v>
      </c>
      <c r="BO31" s="276">
        <v>13.887453155942238</v>
      </c>
      <c r="BP31" s="276" t="s">
        <v>232</v>
      </c>
      <c r="BQ31" s="279" t="s">
        <v>2624</v>
      </c>
      <c r="BR31" s="276" t="s">
        <v>233</v>
      </c>
      <c r="BS31" s="257">
        <v>-8.5161560643777907</v>
      </c>
      <c r="BT31" s="257">
        <v>-12.163201561737401</v>
      </c>
      <c r="BU31" s="259">
        <v>1.4282501952512152</v>
      </c>
      <c r="BV31" s="257">
        <v>-3.6470454973596098</v>
      </c>
      <c r="BW31" s="257"/>
      <c r="BX31" s="257">
        <v>-3.6470454973596099E-3</v>
      </c>
      <c r="BY31" s="257">
        <v>-2.626144229908054E-4</v>
      </c>
      <c r="BZ31" s="257">
        <v>0</v>
      </c>
      <c r="CA31" s="257">
        <v>0</v>
      </c>
      <c r="CB31" s="257">
        <v>0</v>
      </c>
      <c r="CC31" s="257">
        <v>0</v>
      </c>
      <c r="CD31" s="257">
        <v>0</v>
      </c>
      <c r="CE31" s="257">
        <v>0</v>
      </c>
      <c r="CF31" s="257">
        <v>0</v>
      </c>
      <c r="CG31" s="257">
        <v>0</v>
      </c>
      <c r="CH31" s="257">
        <v>0</v>
      </c>
      <c r="CI31" s="257">
        <v>0</v>
      </c>
      <c r="CJ31" s="257">
        <v>0</v>
      </c>
      <c r="CK31" s="257">
        <v>0</v>
      </c>
      <c r="CL31" s="257">
        <v>0</v>
      </c>
      <c r="CM31" s="257">
        <v>0</v>
      </c>
      <c r="CN31" s="257" t="s">
        <v>3071</v>
      </c>
      <c r="CO31" s="257">
        <v>74.931604761787398</v>
      </c>
      <c r="CP31" s="257">
        <v>81.736456808199094</v>
      </c>
      <c r="CQ31" s="257">
        <v>13.887453155942238</v>
      </c>
      <c r="CR31" s="257">
        <v>-8.5161560643777907</v>
      </c>
      <c r="CS31" s="257">
        <v>-12.163201561737401</v>
      </c>
      <c r="CT31" s="257">
        <v>-3.6470454973596099E-3</v>
      </c>
      <c r="CU31" s="257">
        <v>-2.626144229908054E-4</v>
      </c>
      <c r="CV31" s="258">
        <v>-0.42825019525121527</v>
      </c>
      <c r="CW31" s="256" t="s">
        <v>234</v>
      </c>
      <c r="CX31" s="257" t="s">
        <v>3072</v>
      </c>
      <c r="CY31" s="257" t="s">
        <v>235</v>
      </c>
      <c r="CZ31" s="257"/>
      <c r="DA31" s="276"/>
      <c r="DB31" s="276">
        <v>80</v>
      </c>
      <c r="DC31" s="257" t="s">
        <v>3073</v>
      </c>
      <c r="DD31" s="257">
        <v>0</v>
      </c>
      <c r="DE31" s="257">
        <v>1</v>
      </c>
      <c r="DF31" s="257">
        <v>0</v>
      </c>
      <c r="DG31" s="257">
        <v>0</v>
      </c>
      <c r="DH31" s="257"/>
      <c r="DI31" s="257">
        <v>1</v>
      </c>
      <c r="DJ31" s="257" t="s">
        <v>173</v>
      </c>
      <c r="DK31" s="257">
        <v>0</v>
      </c>
      <c r="DL31" s="257" t="s">
        <v>180</v>
      </c>
      <c r="DM31" s="257">
        <v>0</v>
      </c>
      <c r="DN31" s="257">
        <v>0</v>
      </c>
      <c r="DO31" s="257">
        <v>0</v>
      </c>
      <c r="DP31" s="276">
        <v>0</v>
      </c>
      <c r="DQ31" s="276">
        <v>0</v>
      </c>
      <c r="DR31" s="276">
        <v>0</v>
      </c>
      <c r="DS31" s="276">
        <v>0</v>
      </c>
      <c r="DT31" s="257">
        <v>0</v>
      </c>
      <c r="DU31" s="276" t="s">
        <v>961</v>
      </c>
      <c r="DV31" s="276">
        <v>1</v>
      </c>
      <c r="DW31" s="276">
        <v>1</v>
      </c>
      <c r="DX31" s="276">
        <v>1</v>
      </c>
      <c r="DY31" s="276">
        <v>0</v>
      </c>
      <c r="DZ31" s="257">
        <v>0</v>
      </c>
      <c r="EA31" s="276">
        <v>0</v>
      </c>
      <c r="EB31" s="276">
        <v>1</v>
      </c>
      <c r="EC31" s="276">
        <v>1</v>
      </c>
      <c r="ED31" s="276">
        <v>0</v>
      </c>
      <c r="EE31" s="276">
        <v>0</v>
      </c>
      <c r="EF31" s="257">
        <v>1</v>
      </c>
      <c r="EG31" s="276">
        <v>0</v>
      </c>
      <c r="EH31" s="257">
        <v>0</v>
      </c>
      <c r="EI31" s="258">
        <v>0</v>
      </c>
      <c r="EJ31" s="256"/>
      <c r="EK31" t="str">
        <f t="shared" si="34"/>
        <v>Whole sector</v>
      </c>
      <c r="EL31" t="str">
        <f t="shared" si="35"/>
        <v/>
      </c>
      <c r="EM31" s="258" t="s">
        <v>544</v>
      </c>
      <c r="EN31" s="257" t="s">
        <v>236</v>
      </c>
      <c r="EO31" s="257"/>
      <c r="EP31" t="str">
        <f>IF(ISNUMBER(BU31),IF(ABS(BU31-[2]QC_indicators!$B$2)&gt;3*[2]QC_indicators!$C$2,"C ratio",IF(ISNUMBER(BY31),IF(ABS(BY31-[2]QC_indicators!$B$1)&gt;3*[2]QC_indicators!$C$1,"DF","no"))),IF(ISNUMBER(BY31),IF(ABS(BY31-[2]QC_indicators!$B$1)&gt;3*[2]QC_indicators!$C$1,"DF","no")))</f>
        <v>no</v>
      </c>
      <c r="EQ31"/>
      <c r="ER31"/>
      <c r="ES31"/>
      <c r="ET31"/>
      <c r="EU31"/>
    </row>
    <row r="32" spans="1:151" s="139" customFormat="1" ht="15" hidden="1" customHeight="1">
      <c r="A32" s="256" t="s">
        <v>214</v>
      </c>
      <c r="B32" s="257" t="s">
        <v>215</v>
      </c>
      <c r="C32" s="257" t="s">
        <v>216</v>
      </c>
      <c r="D32" s="257" t="s">
        <v>217</v>
      </c>
      <c r="E32" s="257" t="s">
        <v>218</v>
      </c>
      <c r="F32" s="257" t="s">
        <v>219</v>
      </c>
      <c r="G32" s="257" t="s">
        <v>220</v>
      </c>
      <c r="H32" s="257"/>
      <c r="I32" s="257">
        <v>2012</v>
      </c>
      <c r="J32" s="257"/>
      <c r="K32" s="257" t="s">
        <v>221</v>
      </c>
      <c r="L32" s="257"/>
      <c r="M32" s="257" t="s">
        <v>3069</v>
      </c>
      <c r="N32" s="257" t="s">
        <v>222</v>
      </c>
      <c r="O32" s="275" t="s">
        <v>223</v>
      </c>
      <c r="P32" s="257"/>
      <c r="Q32" s="257" t="s">
        <v>224</v>
      </c>
      <c r="R32" s="258" t="s">
        <v>225</v>
      </c>
      <c r="S32" s="256" t="s">
        <v>241</v>
      </c>
      <c r="T32" s="257" t="s">
        <v>242</v>
      </c>
      <c r="U32" s="276" t="s">
        <v>243</v>
      </c>
      <c r="V32" s="257">
        <v>0</v>
      </c>
      <c r="W32" s="257">
        <v>0</v>
      </c>
      <c r="X32" s="257">
        <v>0</v>
      </c>
      <c r="Y32" s="257">
        <v>0</v>
      </c>
      <c r="Z32" s="257">
        <v>0</v>
      </c>
      <c r="AA32" s="257">
        <v>0</v>
      </c>
      <c r="AB32" s="257">
        <v>0</v>
      </c>
      <c r="AC32" s="257">
        <v>1</v>
      </c>
      <c r="AD32" s="257">
        <v>0</v>
      </c>
      <c r="AE32" s="257">
        <v>0</v>
      </c>
      <c r="AF32" s="257">
        <v>0</v>
      </c>
      <c r="AG32" s="257">
        <v>0</v>
      </c>
      <c r="AH32" s="257">
        <v>0</v>
      </c>
      <c r="AI32" s="257">
        <v>0</v>
      </c>
      <c r="AJ32" s="257">
        <v>0</v>
      </c>
      <c r="AK32" s="257">
        <v>0</v>
      </c>
      <c r="AL32" s="257">
        <v>0</v>
      </c>
      <c r="AM32" s="257">
        <v>0</v>
      </c>
      <c r="AN32" s="257">
        <v>0</v>
      </c>
      <c r="AO32" s="257">
        <v>0</v>
      </c>
      <c r="AP32" s="257">
        <v>0</v>
      </c>
      <c r="AQ32" s="257">
        <v>0</v>
      </c>
      <c r="AR32" s="257">
        <v>0</v>
      </c>
      <c r="AS32" s="257">
        <v>0</v>
      </c>
      <c r="AT32" s="257">
        <v>0</v>
      </c>
      <c r="AU32" s="257">
        <v>0</v>
      </c>
      <c r="AV32" s="257">
        <v>0</v>
      </c>
      <c r="AW32" s="257">
        <v>0</v>
      </c>
      <c r="AX32" s="277">
        <v>1</v>
      </c>
      <c r="AY32" s="277">
        <v>1</v>
      </c>
      <c r="AZ32" s="257">
        <v>1</v>
      </c>
      <c r="BA32" s="257">
        <v>0</v>
      </c>
      <c r="BB32" s="257">
        <v>0</v>
      </c>
      <c r="BC32" s="257">
        <v>0</v>
      </c>
      <c r="BD32" s="257">
        <v>0</v>
      </c>
      <c r="BE32" s="257" t="s">
        <v>95</v>
      </c>
      <c r="BF32" s="2" t="str" cm="1">
        <f t="array" ref="BF32">IF(COUNTIF(AZ32:BB32,"&lt;&gt;0")=1,INDEX($V$4:$AW$4,MATCH(TRUE,INDEX($V32:$AW32&lt;&gt;0,),0)),IF(COUNTIF(AZ32:BB32,"&lt;&gt;0")=0,INDEX($AM$4:$AW$4,MATCH(1,$AM32:$AW32,0)),"Multiple strategies"))</f>
        <v>Silviculture for productivity</v>
      </c>
      <c r="BG32" s="278" t="s">
        <v>229</v>
      </c>
      <c r="BH32" s="257" t="s">
        <v>230</v>
      </c>
      <c r="BI32" s="279" t="s">
        <v>3070</v>
      </c>
      <c r="BJ32" s="276" t="s">
        <v>231</v>
      </c>
      <c r="BK32" s="257">
        <v>75.212579794444494</v>
      </c>
      <c r="BL32" s="257">
        <v>82.922401171303093</v>
      </c>
      <c r="BM32" s="276">
        <v>1.1025070725925037</v>
      </c>
      <c r="BN32" s="257">
        <v>7.7098213768585993</v>
      </c>
      <c r="BO32" s="276">
        <v>15.734329340527754</v>
      </c>
      <c r="BP32" s="276" t="s">
        <v>232</v>
      </c>
      <c r="BQ32" s="282" t="s">
        <v>2624</v>
      </c>
      <c r="BR32" s="276" t="s">
        <v>233</v>
      </c>
      <c r="BS32" s="257">
        <v>-8.4548837897123708</v>
      </c>
      <c r="BT32" s="257">
        <v>-12.051927769643701</v>
      </c>
      <c r="BU32" s="259">
        <v>1.42543978952237</v>
      </c>
      <c r="BV32" s="257">
        <v>-3.5970439799313301</v>
      </c>
      <c r="BW32" s="257"/>
      <c r="BX32" s="257">
        <v>-3.5970439799313299E-3</v>
      </c>
      <c r="BY32" s="257">
        <v>-2.286112043343488E-4</v>
      </c>
      <c r="BZ32" s="257">
        <v>0</v>
      </c>
      <c r="CA32" s="257">
        <v>0</v>
      </c>
      <c r="CB32" s="257">
        <v>0</v>
      </c>
      <c r="CC32" s="257">
        <v>0</v>
      </c>
      <c r="CD32" s="257">
        <v>0</v>
      </c>
      <c r="CE32" s="257">
        <v>0</v>
      </c>
      <c r="CF32" s="257">
        <v>0</v>
      </c>
      <c r="CG32" s="257">
        <v>0</v>
      </c>
      <c r="CH32" s="257">
        <v>0</v>
      </c>
      <c r="CI32" s="257">
        <v>0</v>
      </c>
      <c r="CJ32" s="257">
        <v>0</v>
      </c>
      <c r="CK32" s="257">
        <v>0</v>
      </c>
      <c r="CL32" s="257">
        <v>0</v>
      </c>
      <c r="CM32" s="257">
        <v>0</v>
      </c>
      <c r="CN32" s="257" t="s">
        <v>3071</v>
      </c>
      <c r="CO32" s="257">
        <v>75.212579794444494</v>
      </c>
      <c r="CP32" s="257">
        <v>82.922401171303093</v>
      </c>
      <c r="CQ32" s="257">
        <v>15.734329340527754</v>
      </c>
      <c r="CR32" s="257">
        <v>-8.4548837897123708</v>
      </c>
      <c r="CS32" s="257">
        <v>-12.051927769643701</v>
      </c>
      <c r="CT32" s="257">
        <v>-3.5970439799313299E-3</v>
      </c>
      <c r="CU32" s="257">
        <v>-2.286112043343488E-4</v>
      </c>
      <c r="CV32" s="258">
        <v>-0.4254397895223701</v>
      </c>
      <c r="CW32" s="256" t="s">
        <v>234</v>
      </c>
      <c r="CX32" s="257" t="s">
        <v>3072</v>
      </c>
      <c r="CY32" s="257" t="s">
        <v>235</v>
      </c>
      <c r="CZ32" s="257"/>
      <c r="DA32" s="276"/>
      <c r="DB32" s="276">
        <v>80</v>
      </c>
      <c r="DC32" s="257" t="s">
        <v>3073</v>
      </c>
      <c r="DD32" s="257">
        <v>0</v>
      </c>
      <c r="DE32" s="257">
        <v>1</v>
      </c>
      <c r="DF32" s="257">
        <v>0</v>
      </c>
      <c r="DG32" s="257">
        <v>0</v>
      </c>
      <c r="DH32" s="257"/>
      <c r="DI32" s="257">
        <v>1</v>
      </c>
      <c r="DJ32" s="257" t="s">
        <v>173</v>
      </c>
      <c r="DK32" s="257">
        <v>0</v>
      </c>
      <c r="DL32" s="257" t="s">
        <v>180</v>
      </c>
      <c r="DM32" s="257">
        <v>0</v>
      </c>
      <c r="DN32" s="257">
        <v>0</v>
      </c>
      <c r="DO32" s="257">
        <v>0</v>
      </c>
      <c r="DP32" s="276">
        <v>0</v>
      </c>
      <c r="DQ32" s="276">
        <v>0</v>
      </c>
      <c r="DR32" s="276">
        <v>0</v>
      </c>
      <c r="DS32" s="276">
        <v>0</v>
      </c>
      <c r="DT32" s="257">
        <v>0</v>
      </c>
      <c r="DU32" s="276" t="s">
        <v>961</v>
      </c>
      <c r="DV32" s="276">
        <v>1</v>
      </c>
      <c r="DW32" s="276">
        <v>1</v>
      </c>
      <c r="DX32" s="276">
        <v>1</v>
      </c>
      <c r="DY32" s="276">
        <v>0</v>
      </c>
      <c r="DZ32" s="257">
        <v>0</v>
      </c>
      <c r="EA32" s="276">
        <v>0</v>
      </c>
      <c r="EB32" s="276">
        <v>1</v>
      </c>
      <c r="EC32" s="276">
        <v>1</v>
      </c>
      <c r="ED32" s="276">
        <v>0</v>
      </c>
      <c r="EE32" s="276">
        <v>0</v>
      </c>
      <c r="EF32" s="257">
        <v>1</v>
      </c>
      <c r="EG32" s="276">
        <v>0</v>
      </c>
      <c r="EH32" s="257">
        <v>0</v>
      </c>
      <c r="EI32" s="258">
        <v>0</v>
      </c>
      <c r="EJ32" s="256"/>
      <c r="EK32" t="str">
        <f t="shared" si="34"/>
        <v>Whole sector</v>
      </c>
      <c r="EL32" t="str">
        <f t="shared" si="35"/>
        <v/>
      </c>
      <c r="EM32" s="258" t="s">
        <v>544</v>
      </c>
      <c r="EN32" s="257" t="s">
        <v>236</v>
      </c>
      <c r="EO32" s="257"/>
      <c r="EP32" t="str">
        <f>IF(ISNUMBER(BU32),IF(ABS(BU32-[2]QC_indicators!$B$2)&gt;3*[2]QC_indicators!$C$2,"C ratio",IF(ISNUMBER(BY32),IF(ABS(BY32-[2]QC_indicators!$B$1)&gt;3*[2]QC_indicators!$C$1,"DF","no"))),IF(ISNUMBER(BY32),IF(ABS(BY32-[2]QC_indicators!$B$1)&gt;3*[2]QC_indicators!$C$1,"DF","no")))</f>
        <v>no</v>
      </c>
      <c r="EQ32"/>
      <c r="ER32"/>
      <c r="ES32"/>
      <c r="ET32"/>
      <c r="EU32"/>
    </row>
    <row r="33" spans="1:151" s="139" customFormat="1" ht="15" hidden="1" customHeight="1">
      <c r="A33" s="256" t="s">
        <v>214</v>
      </c>
      <c r="B33" s="257" t="s">
        <v>215</v>
      </c>
      <c r="C33" s="257" t="s">
        <v>216</v>
      </c>
      <c r="D33" s="257" t="s">
        <v>217</v>
      </c>
      <c r="E33" s="257" t="s">
        <v>218</v>
      </c>
      <c r="F33" s="257" t="s">
        <v>219</v>
      </c>
      <c r="G33" s="257" t="s">
        <v>220</v>
      </c>
      <c r="H33" s="257"/>
      <c r="I33" s="257">
        <v>2012</v>
      </c>
      <c r="J33" s="257"/>
      <c r="K33" s="257" t="s">
        <v>221</v>
      </c>
      <c r="L33" s="257"/>
      <c r="M33" s="257" t="s">
        <v>3069</v>
      </c>
      <c r="N33" s="257" t="s">
        <v>222</v>
      </c>
      <c r="O33" s="275" t="s">
        <v>223</v>
      </c>
      <c r="P33" s="257"/>
      <c r="Q33" s="257" t="s">
        <v>224</v>
      </c>
      <c r="R33" s="258" t="s">
        <v>225</v>
      </c>
      <c r="S33" s="256" t="s">
        <v>240</v>
      </c>
      <c r="T33" s="257">
        <v>2000</v>
      </c>
      <c r="U33" s="257">
        <v>4000</v>
      </c>
      <c r="V33" s="257">
        <v>0</v>
      </c>
      <c r="W33" s="257">
        <v>0</v>
      </c>
      <c r="X33" s="257">
        <v>0</v>
      </c>
      <c r="Y33" s="257">
        <v>0</v>
      </c>
      <c r="Z33" s="257">
        <v>0</v>
      </c>
      <c r="AA33" s="257">
        <v>1</v>
      </c>
      <c r="AB33" s="257">
        <v>0</v>
      </c>
      <c r="AC33" s="257">
        <v>0</v>
      </c>
      <c r="AD33" s="257">
        <v>0</v>
      </c>
      <c r="AE33" s="257">
        <v>0</v>
      </c>
      <c r="AF33" s="257">
        <v>0</v>
      </c>
      <c r="AG33" s="257">
        <v>0</v>
      </c>
      <c r="AH33" s="257">
        <v>0</v>
      </c>
      <c r="AI33" s="257">
        <v>0</v>
      </c>
      <c r="AJ33" s="257">
        <v>0</v>
      </c>
      <c r="AK33" s="257">
        <v>0</v>
      </c>
      <c r="AL33" s="257">
        <v>0</v>
      </c>
      <c r="AM33" s="257">
        <v>0</v>
      </c>
      <c r="AN33" s="257">
        <v>0</v>
      </c>
      <c r="AO33" s="257">
        <v>0</v>
      </c>
      <c r="AP33" s="257">
        <v>0</v>
      </c>
      <c r="AQ33" s="257">
        <v>0</v>
      </c>
      <c r="AR33" s="257">
        <v>0</v>
      </c>
      <c r="AS33" s="257">
        <v>0</v>
      </c>
      <c r="AT33" s="257">
        <v>0</v>
      </c>
      <c r="AU33" s="257">
        <v>0</v>
      </c>
      <c r="AV33" s="257">
        <v>0</v>
      </c>
      <c r="AW33" s="257">
        <v>0</v>
      </c>
      <c r="AX33" s="277">
        <v>1</v>
      </c>
      <c r="AY33" s="277">
        <v>1</v>
      </c>
      <c r="AZ33" s="257">
        <v>1</v>
      </c>
      <c r="BA33" s="257">
        <v>0</v>
      </c>
      <c r="BB33" s="257">
        <v>0</v>
      </c>
      <c r="BC33" s="257">
        <v>0</v>
      </c>
      <c r="BD33" s="257">
        <v>0</v>
      </c>
      <c r="BE33" s="257" t="s">
        <v>93</v>
      </c>
      <c r="BF33" s="2" t="str" cm="1">
        <f t="array" ref="BF33">IF(COUNTIF(AZ33:BB33,"&lt;&gt;0")=1,INDEX($V$4:$AW$4,MATCH(TRUE,INDEX($V33:$AW33&lt;&gt;0,),0)),IF(COUNTIF(AZ33:BB33,"&lt;&gt;0")=0,INDEX($AM$4:$AW$4,MATCH(1,$AM33:$AW33,0)),"Multiple strategies"))</f>
        <v>Silviculture for productivity</v>
      </c>
      <c r="BG33" s="278" t="s">
        <v>229</v>
      </c>
      <c r="BH33" s="257" t="s">
        <v>230</v>
      </c>
      <c r="BI33" s="279" t="s">
        <v>3070</v>
      </c>
      <c r="BJ33" s="276" t="s">
        <v>231</v>
      </c>
      <c r="BK33" s="257">
        <v>69.827586210000007</v>
      </c>
      <c r="BL33" s="257">
        <v>81.736456810000007</v>
      </c>
      <c r="BM33" s="276">
        <v>1.1705467888319263</v>
      </c>
      <c r="BN33" s="257">
        <v>11.9088706</v>
      </c>
      <c r="BO33" s="276">
        <v>24.303817551020408</v>
      </c>
      <c r="BP33" s="276" t="s">
        <v>232</v>
      </c>
      <c r="BQ33" s="282" t="s">
        <v>2624</v>
      </c>
      <c r="BR33" s="276" t="s">
        <v>233</v>
      </c>
      <c r="BS33" s="257">
        <v>-8.4285714289999998</v>
      </c>
      <c r="BT33" s="257">
        <v>-12.163201559999999</v>
      </c>
      <c r="BU33" s="259">
        <v>1.4430917104350969</v>
      </c>
      <c r="BV33" s="257">
        <v>-3.7346301309999994</v>
      </c>
      <c r="BW33" s="257"/>
      <c r="BX33" s="257">
        <v>-3.7346301309999995E-3</v>
      </c>
      <c r="BY33" s="257">
        <v>-1.536643419561549E-4</v>
      </c>
      <c r="BZ33" s="257">
        <v>0</v>
      </c>
      <c r="CA33" s="257">
        <v>0</v>
      </c>
      <c r="CB33" s="257">
        <v>0</v>
      </c>
      <c r="CC33" s="257">
        <v>0</v>
      </c>
      <c r="CD33" s="257">
        <v>0</v>
      </c>
      <c r="CE33" s="257">
        <v>0</v>
      </c>
      <c r="CF33" s="257">
        <v>0</v>
      </c>
      <c r="CG33" s="257">
        <v>0</v>
      </c>
      <c r="CH33" s="257">
        <v>0</v>
      </c>
      <c r="CI33" s="257">
        <v>0</v>
      </c>
      <c r="CJ33" s="257">
        <v>0</v>
      </c>
      <c r="CK33" s="257">
        <v>0</v>
      </c>
      <c r="CL33" s="257">
        <v>0</v>
      </c>
      <c r="CM33" s="257">
        <v>0</v>
      </c>
      <c r="CN33" s="257" t="s">
        <v>3071</v>
      </c>
      <c r="CO33" s="257">
        <v>69.827586210000007</v>
      </c>
      <c r="CP33" s="257">
        <v>81.736456810000007</v>
      </c>
      <c r="CQ33" s="257">
        <v>24.303817551020408</v>
      </c>
      <c r="CR33" s="257">
        <v>-8.4285714289999998</v>
      </c>
      <c r="CS33" s="257">
        <v>-12.163201559999999</v>
      </c>
      <c r="CT33" s="257">
        <v>-3.7346301309999995E-3</v>
      </c>
      <c r="CU33" s="257">
        <v>-1.536643419561549E-4</v>
      </c>
      <c r="CV33" s="258">
        <v>-0.44309171043509699</v>
      </c>
      <c r="CW33" s="256" t="s">
        <v>234</v>
      </c>
      <c r="CX33" s="257" t="s">
        <v>3072</v>
      </c>
      <c r="CY33" s="257" t="s">
        <v>235</v>
      </c>
      <c r="CZ33" s="257"/>
      <c r="DA33" s="276"/>
      <c r="DB33" s="276">
        <v>80</v>
      </c>
      <c r="DC33" s="257" t="s">
        <v>3073</v>
      </c>
      <c r="DD33" s="257">
        <v>0</v>
      </c>
      <c r="DE33" s="257">
        <v>1</v>
      </c>
      <c r="DF33" s="257">
        <v>0</v>
      </c>
      <c r="DG33" s="257">
        <v>0</v>
      </c>
      <c r="DH33" s="257"/>
      <c r="DI33" s="257">
        <v>1</v>
      </c>
      <c r="DJ33" s="257" t="s">
        <v>173</v>
      </c>
      <c r="DK33" s="257">
        <v>0</v>
      </c>
      <c r="DL33" s="257" t="s">
        <v>180</v>
      </c>
      <c r="DM33" s="257">
        <v>0</v>
      </c>
      <c r="DN33" s="257">
        <v>0</v>
      </c>
      <c r="DO33" s="257">
        <v>0</v>
      </c>
      <c r="DP33" s="276">
        <v>0</v>
      </c>
      <c r="DQ33" s="276">
        <v>0</v>
      </c>
      <c r="DR33" s="276">
        <v>0</v>
      </c>
      <c r="DS33" s="276">
        <v>0</v>
      </c>
      <c r="DT33" s="257">
        <v>0</v>
      </c>
      <c r="DU33" s="276" t="s">
        <v>961</v>
      </c>
      <c r="DV33" s="276">
        <v>1</v>
      </c>
      <c r="DW33" s="276">
        <v>1</v>
      </c>
      <c r="DX33" s="276">
        <v>1</v>
      </c>
      <c r="DY33" s="276">
        <v>0</v>
      </c>
      <c r="DZ33" s="257">
        <v>0</v>
      </c>
      <c r="EA33" s="276">
        <v>0</v>
      </c>
      <c r="EB33" s="276">
        <v>1</v>
      </c>
      <c r="EC33" s="276">
        <v>1</v>
      </c>
      <c r="ED33" s="276">
        <v>0</v>
      </c>
      <c r="EE33" s="276">
        <v>0</v>
      </c>
      <c r="EF33" s="257">
        <v>1</v>
      </c>
      <c r="EG33" s="276">
        <v>0</v>
      </c>
      <c r="EH33" s="257">
        <v>0</v>
      </c>
      <c r="EI33" s="258">
        <v>0</v>
      </c>
      <c r="EJ33" s="256"/>
      <c r="EK33" t="str">
        <f t="shared" si="34"/>
        <v>Whole sector</v>
      </c>
      <c r="EL33" t="str">
        <f t="shared" si="35"/>
        <v/>
      </c>
      <c r="EM33" s="258" t="s">
        <v>544</v>
      </c>
      <c r="EN33" s="257" t="s">
        <v>236</v>
      </c>
      <c r="EO33" s="257"/>
      <c r="EP33" t="str">
        <f>IF(ISNUMBER(BU33),IF(ABS(BU33-[2]QC_indicators!$B$2)&gt;3*[2]QC_indicators!$C$2,"C ratio",IF(ISNUMBER(BY33),IF(ABS(BY33-[2]QC_indicators!$B$1)&gt;3*[2]QC_indicators!$C$1,"DF","no"))),IF(ISNUMBER(BY33),IF(ABS(BY33-[2]QC_indicators!$B$1)&gt;3*[2]QC_indicators!$C$1,"DF","no")))</f>
        <v>no</v>
      </c>
      <c r="EQ33" s="280"/>
      <c r="ER33" s="280"/>
      <c r="ES33" s="280"/>
      <c r="ET33"/>
      <c r="EU33"/>
    </row>
    <row r="34" spans="1:151" s="139" customFormat="1" ht="15" hidden="1" customHeight="1">
      <c r="A34" s="256" t="s">
        <v>214</v>
      </c>
      <c r="B34" s="257" t="s">
        <v>215</v>
      </c>
      <c r="C34" s="257" t="s">
        <v>216</v>
      </c>
      <c r="D34" s="257" t="s">
        <v>217</v>
      </c>
      <c r="E34" s="257" t="s">
        <v>218</v>
      </c>
      <c r="F34" s="257" t="s">
        <v>219</v>
      </c>
      <c r="G34" s="257" t="s">
        <v>220</v>
      </c>
      <c r="H34" s="257"/>
      <c r="I34" s="257">
        <v>2012</v>
      </c>
      <c r="J34" s="257"/>
      <c r="K34" s="257" t="s">
        <v>221</v>
      </c>
      <c r="L34" s="257"/>
      <c r="M34" s="257" t="s">
        <v>3069</v>
      </c>
      <c r="N34" s="257" t="s">
        <v>222</v>
      </c>
      <c r="O34" s="275" t="s">
        <v>223</v>
      </c>
      <c r="P34" s="257"/>
      <c r="Q34" s="257" t="s">
        <v>224</v>
      </c>
      <c r="R34" s="258" t="s">
        <v>225</v>
      </c>
      <c r="S34" s="256" t="s">
        <v>241</v>
      </c>
      <c r="T34" s="257" t="s">
        <v>242</v>
      </c>
      <c r="U34" s="276" t="s">
        <v>243</v>
      </c>
      <c r="V34" s="257">
        <v>0</v>
      </c>
      <c r="W34" s="257">
        <v>0</v>
      </c>
      <c r="X34" s="257">
        <v>0</v>
      </c>
      <c r="Y34" s="257">
        <v>0</v>
      </c>
      <c r="Z34" s="257">
        <v>0</v>
      </c>
      <c r="AA34" s="257">
        <v>0</v>
      </c>
      <c r="AB34" s="257">
        <v>0</v>
      </c>
      <c r="AC34" s="257">
        <v>1</v>
      </c>
      <c r="AD34" s="257">
        <v>0</v>
      </c>
      <c r="AE34" s="257">
        <v>0</v>
      </c>
      <c r="AF34" s="257">
        <v>0</v>
      </c>
      <c r="AG34" s="257">
        <v>0</v>
      </c>
      <c r="AH34" s="257">
        <v>0</v>
      </c>
      <c r="AI34" s="257">
        <v>0</v>
      </c>
      <c r="AJ34" s="257">
        <v>0</v>
      </c>
      <c r="AK34" s="257">
        <v>0</v>
      </c>
      <c r="AL34" s="257">
        <v>0</v>
      </c>
      <c r="AM34" s="257">
        <v>0</v>
      </c>
      <c r="AN34" s="257">
        <v>0</v>
      </c>
      <c r="AO34" s="257">
        <v>0</v>
      </c>
      <c r="AP34" s="257">
        <v>0</v>
      </c>
      <c r="AQ34" s="257">
        <v>0</v>
      </c>
      <c r="AR34" s="257">
        <v>0</v>
      </c>
      <c r="AS34" s="257">
        <v>0</v>
      </c>
      <c r="AT34" s="257">
        <v>0</v>
      </c>
      <c r="AU34" s="257">
        <v>0</v>
      </c>
      <c r="AV34" s="257">
        <v>0</v>
      </c>
      <c r="AW34" s="257">
        <v>0</v>
      </c>
      <c r="AX34" s="277">
        <v>1</v>
      </c>
      <c r="AY34" s="277">
        <v>1</v>
      </c>
      <c r="AZ34" s="257">
        <v>1</v>
      </c>
      <c r="BA34" s="257">
        <v>0</v>
      </c>
      <c r="BB34" s="257">
        <v>0</v>
      </c>
      <c r="BC34" s="257">
        <v>0</v>
      </c>
      <c r="BD34" s="257">
        <v>0</v>
      </c>
      <c r="BE34" s="257" t="s">
        <v>95</v>
      </c>
      <c r="BF34" s="2" t="str" cm="1">
        <f t="array" ref="BF34">IF(COUNTIF(AZ34:BB34,"&lt;&gt;0")=1,INDEX($V$4:$AW$4,MATCH(TRUE,INDEX($V34:$AW34&lt;&gt;0,),0)),IF(COUNTIF(AZ34:BB34,"&lt;&gt;0")=0,INDEX($AM$4:$AW$4,MATCH(1,$AM34:$AW34,0)),"Multiple strategies"))</f>
        <v>Silviculture for productivity</v>
      </c>
      <c r="BG34" s="278" t="s">
        <v>229</v>
      </c>
      <c r="BH34" s="257" t="s">
        <v>230</v>
      </c>
      <c r="BI34" s="279" t="s">
        <v>3070</v>
      </c>
      <c r="BJ34" s="276" t="s">
        <v>231</v>
      </c>
      <c r="BK34" s="257">
        <v>90.5390284179134</v>
      </c>
      <c r="BL34" s="257">
        <v>102.32650073206401</v>
      </c>
      <c r="BM34" s="276">
        <v>1.1301921670701121</v>
      </c>
      <c r="BN34" s="257">
        <v>11.787472314150605</v>
      </c>
      <c r="BO34" s="276">
        <v>24.056065947246132</v>
      </c>
      <c r="BP34" s="276" t="s">
        <v>232</v>
      </c>
      <c r="BQ34" s="282" t="s">
        <v>2624</v>
      </c>
      <c r="BR34" s="276" t="s">
        <v>233</v>
      </c>
      <c r="BS34" s="257">
        <v>-8.2073792916471504</v>
      </c>
      <c r="BT34" s="257">
        <v>-11.784382625671</v>
      </c>
      <c r="BU34" s="259">
        <v>1.4358277114918099</v>
      </c>
      <c r="BV34" s="257">
        <v>-3.5770033340238498</v>
      </c>
      <c r="BW34" s="257"/>
      <c r="BX34" s="257">
        <v>-3.5770033340238499E-3</v>
      </c>
      <c r="BY34" s="257">
        <v>-1.4869444330041566E-4</v>
      </c>
      <c r="BZ34" s="257">
        <v>0</v>
      </c>
      <c r="CA34" s="257">
        <v>0</v>
      </c>
      <c r="CB34" s="257">
        <v>0</v>
      </c>
      <c r="CC34" s="257">
        <v>0</v>
      </c>
      <c r="CD34" s="257">
        <v>0</v>
      </c>
      <c r="CE34" s="257">
        <v>0</v>
      </c>
      <c r="CF34" s="257">
        <v>0</v>
      </c>
      <c r="CG34" s="257">
        <v>0</v>
      </c>
      <c r="CH34" s="257">
        <v>0</v>
      </c>
      <c r="CI34" s="257">
        <v>0</v>
      </c>
      <c r="CJ34" s="257">
        <v>0</v>
      </c>
      <c r="CK34" s="257">
        <v>0</v>
      </c>
      <c r="CL34" s="257">
        <v>0</v>
      </c>
      <c r="CM34" s="257">
        <v>0</v>
      </c>
      <c r="CN34" s="257" t="s">
        <v>3071</v>
      </c>
      <c r="CO34" s="257">
        <v>90.5390284179134</v>
      </c>
      <c r="CP34" s="257">
        <v>102.32650073206401</v>
      </c>
      <c r="CQ34" s="257">
        <v>24.056065947246132</v>
      </c>
      <c r="CR34" s="257">
        <v>-8.2073792916471504</v>
      </c>
      <c r="CS34" s="257">
        <v>-11.784382625671</v>
      </c>
      <c r="CT34" s="257">
        <v>-3.5770033340238499E-3</v>
      </c>
      <c r="CU34" s="257">
        <v>-1.4869444330041566E-4</v>
      </c>
      <c r="CV34" s="258">
        <v>-0.43582771149180993</v>
      </c>
      <c r="CW34" s="256" t="s">
        <v>234</v>
      </c>
      <c r="CX34" s="257" t="s">
        <v>3072</v>
      </c>
      <c r="CY34" s="257" t="s">
        <v>235</v>
      </c>
      <c r="CZ34" s="257"/>
      <c r="DA34" s="276"/>
      <c r="DB34" s="276">
        <v>80</v>
      </c>
      <c r="DC34" s="257" t="s">
        <v>3073</v>
      </c>
      <c r="DD34" s="257">
        <v>0</v>
      </c>
      <c r="DE34" s="257">
        <v>1</v>
      </c>
      <c r="DF34" s="257">
        <v>0</v>
      </c>
      <c r="DG34" s="257">
        <v>0</v>
      </c>
      <c r="DH34" s="257"/>
      <c r="DI34" s="257">
        <v>1</v>
      </c>
      <c r="DJ34" s="257" t="s">
        <v>173</v>
      </c>
      <c r="DK34" s="257">
        <v>0</v>
      </c>
      <c r="DL34" s="257" t="s">
        <v>180</v>
      </c>
      <c r="DM34" s="257">
        <v>0</v>
      </c>
      <c r="DN34" s="257">
        <v>0</v>
      </c>
      <c r="DO34" s="257">
        <v>0</v>
      </c>
      <c r="DP34" s="276">
        <v>0</v>
      </c>
      <c r="DQ34" s="276">
        <v>0</v>
      </c>
      <c r="DR34" s="276">
        <v>0</v>
      </c>
      <c r="DS34" s="276">
        <v>0</v>
      </c>
      <c r="DT34" s="257">
        <v>0</v>
      </c>
      <c r="DU34" s="276" t="s">
        <v>961</v>
      </c>
      <c r="DV34" s="276">
        <v>1</v>
      </c>
      <c r="DW34" s="276">
        <v>1</v>
      </c>
      <c r="DX34" s="276">
        <v>1</v>
      </c>
      <c r="DY34" s="276">
        <v>0</v>
      </c>
      <c r="DZ34" s="257">
        <v>0</v>
      </c>
      <c r="EA34" s="276">
        <v>0</v>
      </c>
      <c r="EB34" s="276">
        <v>1</v>
      </c>
      <c r="EC34" s="276">
        <v>1</v>
      </c>
      <c r="ED34" s="276">
        <v>0</v>
      </c>
      <c r="EE34" s="276">
        <v>0</v>
      </c>
      <c r="EF34" s="257">
        <v>1</v>
      </c>
      <c r="EG34" s="276">
        <v>0</v>
      </c>
      <c r="EH34" s="257">
        <v>0</v>
      </c>
      <c r="EI34" s="258">
        <v>0</v>
      </c>
      <c r="EJ34" s="256"/>
      <c r="EK34" t="str">
        <f t="shared" si="34"/>
        <v>Whole sector</v>
      </c>
      <c r="EL34" t="str">
        <f t="shared" si="35"/>
        <v/>
      </c>
      <c r="EM34" s="258" t="s">
        <v>544</v>
      </c>
      <c r="EN34" s="257" t="s">
        <v>236</v>
      </c>
      <c r="EO34" s="257"/>
      <c r="EP34" t="str">
        <f>IF(ISNUMBER(BU34),IF(ABS(BU34-[2]QC_indicators!$B$2)&gt;3*[2]QC_indicators!$C$2,"C ratio",IF(ISNUMBER(BY34),IF(ABS(BY34-[2]QC_indicators!$B$1)&gt;3*[2]QC_indicators!$C$1,"DF","no"))),IF(ISNUMBER(BY34),IF(ABS(BY34-[2]QC_indicators!$B$1)&gt;3*[2]QC_indicators!$C$1,"DF","no")))</f>
        <v>no</v>
      </c>
      <c r="EQ34"/>
      <c r="ER34"/>
      <c r="ES34"/>
      <c r="ET34"/>
      <c r="EU34"/>
    </row>
    <row r="35" spans="1:151" s="139" customFormat="1" ht="15" hidden="1" customHeight="1">
      <c r="A35" s="256" t="s">
        <v>214</v>
      </c>
      <c r="B35" s="257" t="s">
        <v>215</v>
      </c>
      <c r="C35" s="257" t="s">
        <v>216</v>
      </c>
      <c r="D35" s="257" t="s">
        <v>217</v>
      </c>
      <c r="E35" s="257" t="s">
        <v>218</v>
      </c>
      <c r="F35" s="257" t="s">
        <v>219</v>
      </c>
      <c r="G35" s="257" t="s">
        <v>220</v>
      </c>
      <c r="H35" s="257"/>
      <c r="I35" s="257">
        <v>2012</v>
      </c>
      <c r="J35" s="257"/>
      <c r="K35" s="257" t="s">
        <v>221</v>
      </c>
      <c r="L35" s="257"/>
      <c r="M35" s="257" t="s">
        <v>3069</v>
      </c>
      <c r="N35" s="257" t="s">
        <v>222</v>
      </c>
      <c r="O35" s="275" t="s">
        <v>223</v>
      </c>
      <c r="P35" s="257"/>
      <c r="Q35" s="257" t="s">
        <v>224</v>
      </c>
      <c r="R35" s="258" t="s">
        <v>225</v>
      </c>
      <c r="S35" s="256" t="s">
        <v>240</v>
      </c>
      <c r="T35" s="257">
        <v>2000</v>
      </c>
      <c r="U35" s="257">
        <v>4000</v>
      </c>
      <c r="V35" s="257">
        <v>0</v>
      </c>
      <c r="W35" s="257">
        <v>0</v>
      </c>
      <c r="X35" s="257">
        <v>0</v>
      </c>
      <c r="Y35" s="257">
        <v>0</v>
      </c>
      <c r="Z35" s="257">
        <v>0</v>
      </c>
      <c r="AA35" s="257">
        <v>1</v>
      </c>
      <c r="AB35" s="257">
        <v>0</v>
      </c>
      <c r="AC35" s="257">
        <v>0</v>
      </c>
      <c r="AD35" s="257">
        <v>0</v>
      </c>
      <c r="AE35" s="257">
        <v>0</v>
      </c>
      <c r="AF35" s="257">
        <v>0</v>
      </c>
      <c r="AG35" s="257">
        <v>0</v>
      </c>
      <c r="AH35" s="257">
        <v>0</v>
      </c>
      <c r="AI35" s="257">
        <v>0</v>
      </c>
      <c r="AJ35" s="257">
        <v>0</v>
      </c>
      <c r="AK35" s="257">
        <v>0</v>
      </c>
      <c r="AL35" s="257">
        <v>0</v>
      </c>
      <c r="AM35" s="257">
        <v>0</v>
      </c>
      <c r="AN35" s="257">
        <v>0</v>
      </c>
      <c r="AO35" s="257">
        <v>0</v>
      </c>
      <c r="AP35" s="257">
        <v>0</v>
      </c>
      <c r="AQ35" s="257">
        <v>0</v>
      </c>
      <c r="AR35" s="257">
        <v>0</v>
      </c>
      <c r="AS35" s="257">
        <v>0</v>
      </c>
      <c r="AT35" s="257">
        <v>0</v>
      </c>
      <c r="AU35" s="257">
        <v>0</v>
      </c>
      <c r="AV35" s="257">
        <v>0</v>
      </c>
      <c r="AW35" s="257">
        <v>0</v>
      </c>
      <c r="AX35" s="277">
        <v>1</v>
      </c>
      <c r="AY35" s="277">
        <v>1</v>
      </c>
      <c r="AZ35" s="257">
        <v>1</v>
      </c>
      <c r="BA35" s="257">
        <v>0</v>
      </c>
      <c r="BB35" s="257">
        <v>0</v>
      </c>
      <c r="BC35" s="257">
        <v>0</v>
      </c>
      <c r="BD35" s="257">
        <v>0</v>
      </c>
      <c r="BE35" s="257" t="s">
        <v>93</v>
      </c>
      <c r="BF35" s="2" t="str" cm="1">
        <f t="array" ref="BF35">IF(COUNTIF(AZ35:BB35,"&lt;&gt;0")=1,INDEX($V$4:$AW$4,MATCH(TRUE,INDEX($V35:$AW35&lt;&gt;0,),0)),IF(COUNTIF(AZ35:BB35,"&lt;&gt;0")=0,INDEX($AM$4:$AW$4,MATCH(1,$AM35:$AW35,0)),"Multiple strategies"))</f>
        <v>Silviculture for productivity</v>
      </c>
      <c r="BG35" s="278" t="s">
        <v>229</v>
      </c>
      <c r="BH35" s="257" t="s">
        <v>230</v>
      </c>
      <c r="BI35" s="279" t="s">
        <v>3070</v>
      </c>
      <c r="BJ35" s="276" t="s">
        <v>231</v>
      </c>
      <c r="BK35" s="257">
        <v>114.0804598</v>
      </c>
      <c r="BL35" s="257">
        <v>127.1903367</v>
      </c>
      <c r="BM35" s="276">
        <v>1.1149178125945807</v>
      </c>
      <c r="BN35" s="257">
        <v>13.109876900000003</v>
      </c>
      <c r="BO35" s="276">
        <v>26.754850816326538</v>
      </c>
      <c r="BP35" s="276" t="s">
        <v>232</v>
      </c>
      <c r="BQ35" s="282" t="s">
        <v>2624</v>
      </c>
      <c r="BR35" s="276" t="s">
        <v>233</v>
      </c>
      <c r="BS35" s="257">
        <v>-7.6632653060000004</v>
      </c>
      <c r="BT35" s="257">
        <v>-11.589751100000001</v>
      </c>
      <c r="BU35" s="259">
        <v>1.5123776402372151</v>
      </c>
      <c r="BV35" s="257">
        <v>-3.9264857940000004</v>
      </c>
      <c r="BW35" s="257"/>
      <c r="BX35" s="257">
        <v>-3.9264857940000007E-3</v>
      </c>
      <c r="BY35" s="257">
        <v>-1.4675790274277861E-4</v>
      </c>
      <c r="BZ35" s="257">
        <v>0</v>
      </c>
      <c r="CA35" s="257">
        <v>0</v>
      </c>
      <c r="CB35" s="257">
        <v>0</v>
      </c>
      <c r="CC35" s="257">
        <v>0</v>
      </c>
      <c r="CD35" s="257">
        <v>0</v>
      </c>
      <c r="CE35" s="257">
        <v>0</v>
      </c>
      <c r="CF35" s="257">
        <v>0</v>
      </c>
      <c r="CG35" s="257">
        <v>0</v>
      </c>
      <c r="CH35" s="257">
        <v>0</v>
      </c>
      <c r="CI35" s="257">
        <v>0</v>
      </c>
      <c r="CJ35" s="257">
        <v>0</v>
      </c>
      <c r="CK35" s="257">
        <v>0</v>
      </c>
      <c r="CL35" s="257">
        <v>0</v>
      </c>
      <c r="CM35" s="257">
        <v>0</v>
      </c>
      <c r="CN35" s="257" t="s">
        <v>3071</v>
      </c>
      <c r="CO35" s="257">
        <v>114.0804598</v>
      </c>
      <c r="CP35" s="257">
        <v>127.1903367</v>
      </c>
      <c r="CQ35" s="257">
        <v>26.754850816326538</v>
      </c>
      <c r="CR35" s="257">
        <v>-7.6632653060000004</v>
      </c>
      <c r="CS35" s="257">
        <v>-11.589751100000001</v>
      </c>
      <c r="CT35" s="257">
        <v>-3.9264857940000007E-3</v>
      </c>
      <c r="CU35" s="257">
        <v>-1.4675790274277861E-4</v>
      </c>
      <c r="CV35" s="258">
        <v>-0.5123776402372151</v>
      </c>
      <c r="CW35" s="256" t="s">
        <v>234</v>
      </c>
      <c r="CX35" s="257" t="s">
        <v>3072</v>
      </c>
      <c r="CY35" s="257" t="s">
        <v>235</v>
      </c>
      <c r="CZ35" s="257"/>
      <c r="DA35" s="276"/>
      <c r="DB35" s="276">
        <v>80</v>
      </c>
      <c r="DC35" s="257" t="s">
        <v>3073</v>
      </c>
      <c r="DD35" s="257">
        <v>0</v>
      </c>
      <c r="DE35" s="257">
        <v>1</v>
      </c>
      <c r="DF35" s="257">
        <v>0</v>
      </c>
      <c r="DG35" s="257">
        <v>0</v>
      </c>
      <c r="DH35" s="257"/>
      <c r="DI35" s="257">
        <v>1</v>
      </c>
      <c r="DJ35" s="257" t="s">
        <v>173</v>
      </c>
      <c r="DK35" s="257">
        <v>0</v>
      </c>
      <c r="DL35" s="257" t="s">
        <v>180</v>
      </c>
      <c r="DM35" s="257">
        <v>0</v>
      </c>
      <c r="DN35" s="257">
        <v>0</v>
      </c>
      <c r="DO35" s="257">
        <v>0</v>
      </c>
      <c r="DP35" s="276">
        <v>0</v>
      </c>
      <c r="DQ35" s="276">
        <v>0</v>
      </c>
      <c r="DR35" s="276">
        <v>0</v>
      </c>
      <c r="DS35" s="276">
        <v>0</v>
      </c>
      <c r="DT35" s="257">
        <v>0</v>
      </c>
      <c r="DU35" s="276" t="s">
        <v>961</v>
      </c>
      <c r="DV35" s="276">
        <v>1</v>
      </c>
      <c r="DW35" s="276">
        <v>1</v>
      </c>
      <c r="DX35" s="276">
        <v>1</v>
      </c>
      <c r="DY35" s="276">
        <v>0</v>
      </c>
      <c r="DZ35" s="257">
        <v>0</v>
      </c>
      <c r="EA35" s="276">
        <v>0</v>
      </c>
      <c r="EB35" s="276">
        <v>1</v>
      </c>
      <c r="EC35" s="276">
        <v>1</v>
      </c>
      <c r="ED35" s="276">
        <v>0</v>
      </c>
      <c r="EE35" s="276">
        <v>0</v>
      </c>
      <c r="EF35" s="257">
        <v>1</v>
      </c>
      <c r="EG35" s="276">
        <v>0</v>
      </c>
      <c r="EH35" s="257">
        <v>0</v>
      </c>
      <c r="EI35" s="258">
        <v>0</v>
      </c>
      <c r="EJ35" s="256"/>
      <c r="EK35" t="str">
        <f t="shared" si="34"/>
        <v>Whole sector</v>
      </c>
      <c r="EL35" t="str">
        <f t="shared" si="35"/>
        <v/>
      </c>
      <c r="EM35" s="258" t="s">
        <v>544</v>
      </c>
      <c r="EN35" s="257" t="s">
        <v>236</v>
      </c>
      <c r="EO35" s="257"/>
      <c r="EP35" t="str">
        <f>IF(ISNUMBER(BU35),IF(ABS(BU35-[2]QC_indicators!$B$2)&gt;3*[2]QC_indicators!$C$2,"C ratio",IF(ISNUMBER(BY35),IF(ABS(BY35-[2]QC_indicators!$B$1)&gt;3*[2]QC_indicators!$C$1,"DF","no"))),IF(ISNUMBER(BY35),IF(ABS(BY35-[2]QC_indicators!$B$1)&gt;3*[2]QC_indicators!$C$1,"DF","no")))</f>
        <v>no</v>
      </c>
      <c r="EQ35" s="280"/>
      <c r="ER35" s="280"/>
      <c r="ES35" s="280"/>
      <c r="ET35"/>
      <c r="EU35"/>
    </row>
    <row r="36" spans="1:151" s="139" customFormat="1" ht="15" hidden="1" customHeight="1">
      <c r="A36" s="256" t="s">
        <v>214</v>
      </c>
      <c r="B36" s="257" t="s">
        <v>215</v>
      </c>
      <c r="C36" s="257" t="s">
        <v>216</v>
      </c>
      <c r="D36" s="257" t="s">
        <v>217</v>
      </c>
      <c r="E36" s="257" t="s">
        <v>218</v>
      </c>
      <c r="F36" s="257" t="s">
        <v>219</v>
      </c>
      <c r="G36" s="257" t="s">
        <v>220</v>
      </c>
      <c r="H36" s="257"/>
      <c r="I36" s="257">
        <v>2012</v>
      </c>
      <c r="J36" s="257"/>
      <c r="K36" s="257" t="s">
        <v>221</v>
      </c>
      <c r="L36" s="257"/>
      <c r="M36" s="257" t="s">
        <v>3069</v>
      </c>
      <c r="N36" s="257" t="s">
        <v>222</v>
      </c>
      <c r="O36" s="275" t="s">
        <v>223</v>
      </c>
      <c r="P36" s="257"/>
      <c r="Q36" s="257" t="s">
        <v>224</v>
      </c>
      <c r="R36" s="258" t="s">
        <v>225</v>
      </c>
      <c r="S36" s="256" t="s">
        <v>226</v>
      </c>
      <c r="T36" s="257" t="s">
        <v>227</v>
      </c>
      <c r="U36" s="257" t="s">
        <v>228</v>
      </c>
      <c r="V36" s="257">
        <v>0</v>
      </c>
      <c r="W36" s="257">
        <v>0</v>
      </c>
      <c r="X36" s="257">
        <v>0</v>
      </c>
      <c r="Y36" s="257">
        <v>1</v>
      </c>
      <c r="Z36" s="257">
        <v>0</v>
      </c>
      <c r="AA36" s="257">
        <v>0</v>
      </c>
      <c r="AB36" s="257">
        <v>0</v>
      </c>
      <c r="AC36" s="257">
        <v>0</v>
      </c>
      <c r="AD36" s="257">
        <v>0</v>
      </c>
      <c r="AE36" s="257">
        <v>0</v>
      </c>
      <c r="AF36" s="257">
        <v>0</v>
      </c>
      <c r="AG36" s="257">
        <v>0</v>
      </c>
      <c r="AH36" s="257">
        <v>0</v>
      </c>
      <c r="AI36" s="257">
        <v>0</v>
      </c>
      <c r="AJ36" s="257">
        <v>0</v>
      </c>
      <c r="AK36" s="257">
        <v>0</v>
      </c>
      <c r="AL36" s="257">
        <v>0</v>
      </c>
      <c r="AM36" s="257">
        <v>0</v>
      </c>
      <c r="AN36" s="257">
        <v>0</v>
      </c>
      <c r="AO36" s="257">
        <v>0</v>
      </c>
      <c r="AP36" s="257">
        <v>0</v>
      </c>
      <c r="AQ36" s="257">
        <v>0</v>
      </c>
      <c r="AR36" s="257">
        <v>0</v>
      </c>
      <c r="AS36" s="257">
        <v>0</v>
      </c>
      <c r="AT36" s="257">
        <v>0</v>
      </c>
      <c r="AU36" s="257">
        <v>0</v>
      </c>
      <c r="AV36" s="257">
        <v>0</v>
      </c>
      <c r="AW36" s="257">
        <v>0</v>
      </c>
      <c r="AX36" s="277">
        <v>1</v>
      </c>
      <c r="AY36" s="277">
        <v>1</v>
      </c>
      <c r="AZ36" s="257">
        <v>1</v>
      </c>
      <c r="BA36" s="257">
        <v>0</v>
      </c>
      <c r="BB36" s="257">
        <v>0</v>
      </c>
      <c r="BC36" s="257">
        <v>0</v>
      </c>
      <c r="BD36" s="257">
        <v>0</v>
      </c>
      <c r="BE36" s="257" t="s">
        <v>91</v>
      </c>
      <c r="BF36" s="2" t="str" cm="1">
        <f t="array" ref="BF36">IF(COUNTIF(AZ36:BB36,"&lt;&gt;0")=1,INDEX($V$4:$AW$4,MATCH(TRUE,INDEX($V36:$AW36&lt;&gt;0,),0)),IF(COUNTIF(AZ36:BB36,"&lt;&gt;0")=0,INDEX($AM$4:$AW$4,MATCH(1,$AM36:$AW36,0)),"Multiple strategies"))</f>
        <v>Silviculture for removals</v>
      </c>
      <c r="BG36" s="278" t="s">
        <v>229</v>
      </c>
      <c r="BH36" s="257" t="s">
        <v>230</v>
      </c>
      <c r="BI36" s="279" t="s">
        <v>3070</v>
      </c>
      <c r="BJ36" s="276" t="s">
        <v>231</v>
      </c>
      <c r="BK36" s="257">
        <v>95.114942529999993</v>
      </c>
      <c r="BL36" s="257">
        <v>95.977011489999995</v>
      </c>
      <c r="BM36" s="257">
        <v>1.0090634440506348</v>
      </c>
      <c r="BN36" s="257">
        <v>0.86206896000000199</v>
      </c>
      <c r="BO36" s="276">
        <v>1.7593244081632695</v>
      </c>
      <c r="BP36" s="276" t="s">
        <v>232</v>
      </c>
      <c r="BQ36" s="279" t="s">
        <v>3070</v>
      </c>
      <c r="BR36" s="276" t="s">
        <v>233</v>
      </c>
      <c r="BS36" s="257">
        <v>-7.8979591840000003</v>
      </c>
      <c r="BT36" s="257">
        <v>-8.1428571430000005</v>
      </c>
      <c r="BU36" s="259">
        <v>1.0310077519134466</v>
      </c>
      <c r="BV36" s="257">
        <v>-0.24489795900000022</v>
      </c>
      <c r="BW36" s="257"/>
      <c r="BX36" s="257">
        <v>-2.4489795900000023E-4</v>
      </c>
      <c r="BY36" s="257">
        <v>-1.3920000078647979E-4</v>
      </c>
      <c r="BZ36" s="257">
        <v>0</v>
      </c>
      <c r="CA36" s="257">
        <v>0</v>
      </c>
      <c r="CB36" s="257">
        <v>0</v>
      </c>
      <c r="CC36" s="257">
        <v>0</v>
      </c>
      <c r="CD36" s="257">
        <v>0</v>
      </c>
      <c r="CE36" s="257">
        <v>0</v>
      </c>
      <c r="CF36" s="257">
        <v>0</v>
      </c>
      <c r="CG36" s="257">
        <v>0</v>
      </c>
      <c r="CH36" s="257">
        <v>0</v>
      </c>
      <c r="CI36" s="257">
        <v>0</v>
      </c>
      <c r="CJ36" s="257">
        <v>0</v>
      </c>
      <c r="CK36" s="257">
        <v>0</v>
      </c>
      <c r="CL36" s="257">
        <v>0</v>
      </c>
      <c r="CM36" s="257">
        <v>0</v>
      </c>
      <c r="CN36" s="257" t="s">
        <v>3071</v>
      </c>
      <c r="CO36" s="257">
        <v>95.114942529999993</v>
      </c>
      <c r="CP36" s="257">
        <v>95.977011489999995</v>
      </c>
      <c r="CQ36" s="257">
        <v>1.7593244081632695</v>
      </c>
      <c r="CR36" s="257">
        <v>-7.8979591840000003</v>
      </c>
      <c r="CS36" s="257">
        <v>-8.1428571430000005</v>
      </c>
      <c r="CT36" s="257">
        <v>-2.4489795900000023E-4</v>
      </c>
      <c r="CU36" s="257">
        <v>-1.3920000078647979E-4</v>
      </c>
      <c r="CV36" s="258">
        <v>-3.1007751913446735E-2</v>
      </c>
      <c r="CW36" s="256" t="s">
        <v>234</v>
      </c>
      <c r="CX36" s="257" t="s">
        <v>3072</v>
      </c>
      <c r="CY36" s="257" t="s">
        <v>235</v>
      </c>
      <c r="CZ36" s="257"/>
      <c r="DA36" s="276"/>
      <c r="DB36" s="276">
        <v>80</v>
      </c>
      <c r="DC36" s="257" t="s">
        <v>3073</v>
      </c>
      <c r="DD36" s="257">
        <v>0</v>
      </c>
      <c r="DE36" s="257">
        <v>1</v>
      </c>
      <c r="DF36" s="257">
        <v>0</v>
      </c>
      <c r="DG36" s="257">
        <v>0</v>
      </c>
      <c r="DH36" s="257"/>
      <c r="DI36" s="257">
        <v>1</v>
      </c>
      <c r="DJ36" s="257" t="s">
        <v>173</v>
      </c>
      <c r="DK36" s="257">
        <v>0</v>
      </c>
      <c r="DL36" s="257" t="s">
        <v>180</v>
      </c>
      <c r="DM36" s="257">
        <v>0</v>
      </c>
      <c r="DN36" s="257">
        <v>0</v>
      </c>
      <c r="DO36" s="257">
        <v>0</v>
      </c>
      <c r="DP36" s="276">
        <v>0</v>
      </c>
      <c r="DQ36" s="276">
        <v>0</v>
      </c>
      <c r="DR36" s="276">
        <v>0</v>
      </c>
      <c r="DS36" s="276">
        <v>0</v>
      </c>
      <c r="DT36" s="257">
        <v>0</v>
      </c>
      <c r="DU36" s="276" t="s">
        <v>961</v>
      </c>
      <c r="DV36" s="276">
        <v>1</v>
      </c>
      <c r="DW36" s="276">
        <v>1</v>
      </c>
      <c r="DX36" s="276">
        <v>1</v>
      </c>
      <c r="DY36" s="276">
        <v>0</v>
      </c>
      <c r="DZ36" s="257">
        <v>0</v>
      </c>
      <c r="EA36" s="276">
        <v>0</v>
      </c>
      <c r="EB36" s="276">
        <v>1</v>
      </c>
      <c r="EC36" s="276">
        <v>1</v>
      </c>
      <c r="ED36" s="276">
        <v>0</v>
      </c>
      <c r="EE36" s="276">
        <v>0</v>
      </c>
      <c r="EF36" s="257">
        <v>1</v>
      </c>
      <c r="EG36" s="276">
        <v>0</v>
      </c>
      <c r="EH36" s="257">
        <v>0</v>
      </c>
      <c r="EI36" s="258">
        <v>0</v>
      </c>
      <c r="EJ36" s="256"/>
      <c r="EK36" t="str">
        <f t="shared" si="34"/>
        <v>Whole sector</v>
      </c>
      <c r="EL36" t="str">
        <f t="shared" si="35"/>
        <v/>
      </c>
      <c r="EM36" s="258" t="s">
        <v>544</v>
      </c>
      <c r="EN36" s="257" t="s">
        <v>236</v>
      </c>
      <c r="EO36" s="257"/>
      <c r="EP36" t="str">
        <f>IF(ISNUMBER(BU36),IF(ABS(BU36-[2]QC_indicators!$B$2)&gt;3*[2]QC_indicators!$C$2,"C ratio",IF(ISNUMBER(BY36),IF(ABS(BY36-[2]QC_indicators!$B$1)&gt;3*[2]QC_indicators!$C$1,"DF","no"))),IF(ISNUMBER(BY36),IF(ABS(BY36-[2]QC_indicators!$B$1)&gt;3*[2]QC_indicators!$C$1,"DF","no")))</f>
        <v>no</v>
      </c>
      <c r="EQ36" s="257"/>
      <c r="ER36" s="257"/>
      <c r="ES36" s="257"/>
      <c r="ET36" s="281"/>
      <c r="EU36"/>
    </row>
    <row r="37" spans="1:151" s="139" customFormat="1" ht="15" hidden="1" customHeight="1">
      <c r="A37" s="256" t="s">
        <v>214</v>
      </c>
      <c r="B37" s="257" t="s">
        <v>215</v>
      </c>
      <c r="C37" s="257" t="s">
        <v>216</v>
      </c>
      <c r="D37" s="257" t="s">
        <v>217</v>
      </c>
      <c r="E37" s="257" t="s">
        <v>218</v>
      </c>
      <c r="F37" s="257" t="s">
        <v>219</v>
      </c>
      <c r="G37" s="257" t="s">
        <v>220</v>
      </c>
      <c r="H37" s="257"/>
      <c r="I37" s="257">
        <v>2012</v>
      </c>
      <c r="J37" s="257"/>
      <c r="K37" s="257" t="s">
        <v>221</v>
      </c>
      <c r="L37" s="257"/>
      <c r="M37" s="257" t="s">
        <v>3069</v>
      </c>
      <c r="N37" s="257" t="s">
        <v>222</v>
      </c>
      <c r="O37" s="275" t="s">
        <v>223</v>
      </c>
      <c r="P37" s="257"/>
      <c r="Q37" s="257" t="s">
        <v>224</v>
      </c>
      <c r="R37" s="258" t="s">
        <v>225</v>
      </c>
      <c r="S37" s="256" t="s">
        <v>240</v>
      </c>
      <c r="T37" s="257">
        <v>2000</v>
      </c>
      <c r="U37" s="257">
        <v>4000</v>
      </c>
      <c r="V37" s="257">
        <v>0</v>
      </c>
      <c r="W37" s="257">
        <v>0</v>
      </c>
      <c r="X37" s="257">
        <v>0</v>
      </c>
      <c r="Y37" s="257">
        <v>0</v>
      </c>
      <c r="Z37" s="257">
        <v>0</v>
      </c>
      <c r="AA37" s="257">
        <v>1</v>
      </c>
      <c r="AB37" s="257">
        <v>0</v>
      </c>
      <c r="AC37" s="257">
        <v>0</v>
      </c>
      <c r="AD37" s="257">
        <v>0</v>
      </c>
      <c r="AE37" s="257">
        <v>0</v>
      </c>
      <c r="AF37" s="257">
        <v>0</v>
      </c>
      <c r="AG37" s="257">
        <v>0</v>
      </c>
      <c r="AH37" s="257">
        <v>0</v>
      </c>
      <c r="AI37" s="257">
        <v>0</v>
      </c>
      <c r="AJ37" s="257">
        <v>0</v>
      </c>
      <c r="AK37" s="257">
        <v>0</v>
      </c>
      <c r="AL37" s="257">
        <v>0</v>
      </c>
      <c r="AM37" s="257">
        <v>0</v>
      </c>
      <c r="AN37" s="257">
        <v>0</v>
      </c>
      <c r="AO37" s="257">
        <v>0</v>
      </c>
      <c r="AP37" s="257">
        <v>0</v>
      </c>
      <c r="AQ37" s="257">
        <v>0</v>
      </c>
      <c r="AR37" s="257">
        <v>0</v>
      </c>
      <c r="AS37" s="257">
        <v>0</v>
      </c>
      <c r="AT37" s="257">
        <v>0</v>
      </c>
      <c r="AU37" s="257">
        <v>0</v>
      </c>
      <c r="AV37" s="257">
        <v>0</v>
      </c>
      <c r="AW37" s="257">
        <v>0</v>
      </c>
      <c r="AX37" s="277">
        <v>1</v>
      </c>
      <c r="AY37" s="277">
        <v>1</v>
      </c>
      <c r="AZ37" s="257">
        <v>1</v>
      </c>
      <c r="BA37" s="257">
        <v>0</v>
      </c>
      <c r="BB37" s="257">
        <v>0</v>
      </c>
      <c r="BC37" s="257">
        <v>0</v>
      </c>
      <c r="BD37" s="257">
        <v>0</v>
      </c>
      <c r="BE37" s="257" t="s">
        <v>93</v>
      </c>
      <c r="BF37" s="2" t="str" cm="1">
        <f t="array" ref="BF37">IF(COUNTIF(AZ37:BB37,"&lt;&gt;0")=1,INDEX($V$4:$AW$4,MATCH(TRUE,INDEX($V37:$AW37&lt;&gt;0,),0)),IF(COUNTIF(AZ37:BB37,"&lt;&gt;0")=0,INDEX($AM$4:$AW$4,MATCH(1,$AM37:$AW37,0)),"Multiple strategies"))</f>
        <v>Silviculture for productivity</v>
      </c>
      <c r="BG37" s="278" t="s">
        <v>229</v>
      </c>
      <c r="BH37" s="257" t="s">
        <v>230</v>
      </c>
      <c r="BI37" s="279" t="s">
        <v>3070</v>
      </c>
      <c r="BJ37" s="276" t="s">
        <v>231</v>
      </c>
      <c r="BK37" s="257">
        <v>54.766085619999998</v>
      </c>
      <c r="BL37" s="257">
        <v>56.739926740000001</v>
      </c>
      <c r="BM37" s="276">
        <v>1.0360413036216556</v>
      </c>
      <c r="BN37" s="257">
        <v>1.973841120000003</v>
      </c>
      <c r="BO37" s="276">
        <v>4.0282471836734759</v>
      </c>
      <c r="BP37" s="276" t="s">
        <v>232</v>
      </c>
      <c r="BQ37" s="279" t="s">
        <v>3070</v>
      </c>
      <c r="BR37" s="276" t="s">
        <v>233</v>
      </c>
      <c r="BS37" s="257">
        <v>-9.0261044179999992</v>
      </c>
      <c r="BT37" s="257">
        <v>-9.5324096189999992</v>
      </c>
      <c r="BU37" s="259">
        <v>1.0560934349474529</v>
      </c>
      <c r="BV37" s="257">
        <v>-0.50630520099999998</v>
      </c>
      <c r="BW37" s="257"/>
      <c r="BX37" s="257">
        <v>-5.0630520100000004E-4</v>
      </c>
      <c r="BY37" s="257">
        <v>-1.256887122150944E-4</v>
      </c>
      <c r="BZ37" s="257">
        <v>0</v>
      </c>
      <c r="CA37" s="257">
        <v>0</v>
      </c>
      <c r="CB37" s="257">
        <v>0</v>
      </c>
      <c r="CC37" s="257">
        <v>0</v>
      </c>
      <c r="CD37" s="257">
        <v>0</v>
      </c>
      <c r="CE37" s="257">
        <v>0</v>
      </c>
      <c r="CF37" s="257">
        <v>0</v>
      </c>
      <c r="CG37" s="257">
        <v>0</v>
      </c>
      <c r="CH37" s="257">
        <v>0</v>
      </c>
      <c r="CI37" s="257">
        <v>0</v>
      </c>
      <c r="CJ37" s="257">
        <v>0</v>
      </c>
      <c r="CK37" s="257">
        <v>0</v>
      </c>
      <c r="CL37" s="257">
        <v>0</v>
      </c>
      <c r="CM37" s="257">
        <v>0</v>
      </c>
      <c r="CN37" s="257" t="s">
        <v>3071</v>
      </c>
      <c r="CO37" s="257">
        <v>54.766085619999998</v>
      </c>
      <c r="CP37" s="257">
        <v>56.739926740000001</v>
      </c>
      <c r="CQ37" s="257">
        <v>4.0282471836734759</v>
      </c>
      <c r="CR37" s="257">
        <v>-9.0261044179999992</v>
      </c>
      <c r="CS37" s="257">
        <v>-9.5324096189999992</v>
      </c>
      <c r="CT37" s="257">
        <v>-5.0630520100000004E-4</v>
      </c>
      <c r="CU37" s="257">
        <v>-1.256887122150944E-4</v>
      </c>
      <c r="CV37" s="258">
        <v>-5.6093434947452878E-2</v>
      </c>
      <c r="CW37" s="256" t="s">
        <v>234</v>
      </c>
      <c r="CX37" s="257" t="s">
        <v>3072</v>
      </c>
      <c r="CY37" s="257" t="s">
        <v>235</v>
      </c>
      <c r="CZ37" s="257"/>
      <c r="DA37" s="276"/>
      <c r="DB37" s="276">
        <v>80</v>
      </c>
      <c r="DC37" s="257" t="s">
        <v>3073</v>
      </c>
      <c r="DD37" s="257">
        <v>0</v>
      </c>
      <c r="DE37" s="257">
        <v>1</v>
      </c>
      <c r="DF37" s="257">
        <v>0</v>
      </c>
      <c r="DG37" s="257">
        <v>0</v>
      </c>
      <c r="DH37" s="257"/>
      <c r="DI37" s="257">
        <v>1</v>
      </c>
      <c r="DJ37" s="257" t="s">
        <v>173</v>
      </c>
      <c r="DK37" s="257">
        <v>0</v>
      </c>
      <c r="DL37" s="257" t="s">
        <v>180</v>
      </c>
      <c r="DM37" s="257">
        <v>0</v>
      </c>
      <c r="DN37" s="257">
        <v>0</v>
      </c>
      <c r="DO37" s="257">
        <v>0</v>
      </c>
      <c r="DP37" s="276">
        <v>0</v>
      </c>
      <c r="DQ37" s="276">
        <v>0</v>
      </c>
      <c r="DR37" s="276">
        <v>0</v>
      </c>
      <c r="DS37" s="276">
        <v>0</v>
      </c>
      <c r="DT37" s="257">
        <v>0</v>
      </c>
      <c r="DU37" s="276" t="s">
        <v>961</v>
      </c>
      <c r="DV37" s="276">
        <v>1</v>
      </c>
      <c r="DW37" s="276">
        <v>1</v>
      </c>
      <c r="DX37" s="276">
        <v>1</v>
      </c>
      <c r="DY37" s="276">
        <v>0</v>
      </c>
      <c r="DZ37" s="257">
        <v>0</v>
      </c>
      <c r="EA37" s="276">
        <v>0</v>
      </c>
      <c r="EB37" s="276">
        <v>1</v>
      </c>
      <c r="EC37" s="276">
        <v>1</v>
      </c>
      <c r="ED37" s="276">
        <v>0</v>
      </c>
      <c r="EE37" s="276">
        <v>0</v>
      </c>
      <c r="EF37" s="257">
        <v>1</v>
      </c>
      <c r="EG37" s="276">
        <v>0</v>
      </c>
      <c r="EH37" s="257">
        <v>0</v>
      </c>
      <c r="EI37" s="258">
        <v>0</v>
      </c>
      <c r="EJ37" s="256"/>
      <c r="EK37" t="str">
        <f t="shared" si="34"/>
        <v>Whole sector</v>
      </c>
      <c r="EL37" t="str">
        <f t="shared" si="35"/>
        <v/>
      </c>
      <c r="EM37" s="258" t="s">
        <v>544</v>
      </c>
      <c r="EN37" s="257" t="s">
        <v>236</v>
      </c>
      <c r="EO37" s="257"/>
      <c r="EP37" t="str">
        <f>IF(ISNUMBER(BU37),IF(ABS(BU37-[2]QC_indicators!$B$2)&gt;3*[2]QC_indicators!$C$2,"C ratio",IF(ISNUMBER(BY37),IF(ABS(BY37-[2]QC_indicators!$B$1)&gt;3*[2]QC_indicators!$C$1,"DF","no"))),IF(ISNUMBER(BY37),IF(ABS(BY37-[2]QC_indicators!$B$1)&gt;3*[2]QC_indicators!$C$1,"DF","no")))</f>
        <v>no</v>
      </c>
      <c r="EQ37" s="280"/>
      <c r="ER37" s="280"/>
      <c r="ES37" s="280"/>
      <c r="ET37"/>
      <c r="EU37"/>
    </row>
    <row r="38" spans="1:151" s="139" customFormat="1" ht="15" hidden="1" customHeight="1">
      <c r="A38" s="256" t="s">
        <v>214</v>
      </c>
      <c r="B38" s="257" t="s">
        <v>215</v>
      </c>
      <c r="C38" s="257" t="s">
        <v>216</v>
      </c>
      <c r="D38" s="257" t="s">
        <v>217</v>
      </c>
      <c r="E38" s="257" t="s">
        <v>218</v>
      </c>
      <c r="F38" s="257" t="s">
        <v>219</v>
      </c>
      <c r="G38" s="257" t="s">
        <v>220</v>
      </c>
      <c r="H38" s="257"/>
      <c r="I38" s="257">
        <v>2012</v>
      </c>
      <c r="J38" s="257"/>
      <c r="K38" s="257" t="s">
        <v>221</v>
      </c>
      <c r="L38" s="257"/>
      <c r="M38" s="257" t="s">
        <v>3069</v>
      </c>
      <c r="N38" s="257" t="s">
        <v>222</v>
      </c>
      <c r="O38" s="275" t="s">
        <v>223</v>
      </c>
      <c r="P38" s="257"/>
      <c r="Q38" s="257" t="s">
        <v>224</v>
      </c>
      <c r="R38" s="258" t="s">
        <v>225</v>
      </c>
      <c r="S38" s="256" t="s">
        <v>226</v>
      </c>
      <c r="T38" s="257" t="s">
        <v>237</v>
      </c>
      <c r="U38" s="257" t="s">
        <v>228</v>
      </c>
      <c r="V38" s="257">
        <v>0</v>
      </c>
      <c r="W38" s="257">
        <v>0</v>
      </c>
      <c r="X38" s="257">
        <v>0</v>
      </c>
      <c r="Y38" s="257">
        <v>1</v>
      </c>
      <c r="Z38" s="257">
        <v>0</v>
      </c>
      <c r="AA38" s="257">
        <v>0</v>
      </c>
      <c r="AB38" s="257">
        <v>0</v>
      </c>
      <c r="AC38" s="257">
        <v>0</v>
      </c>
      <c r="AD38" s="257">
        <v>0</v>
      </c>
      <c r="AE38" s="257">
        <v>0</v>
      </c>
      <c r="AF38" s="257">
        <v>0</v>
      </c>
      <c r="AG38" s="257">
        <v>0</v>
      </c>
      <c r="AH38" s="257">
        <v>0</v>
      </c>
      <c r="AI38" s="257">
        <v>0</v>
      </c>
      <c r="AJ38" s="257">
        <v>0</v>
      </c>
      <c r="AK38" s="257">
        <v>0</v>
      </c>
      <c r="AL38" s="257">
        <v>0</v>
      </c>
      <c r="AM38" s="257">
        <v>0</v>
      </c>
      <c r="AN38" s="257">
        <v>0</v>
      </c>
      <c r="AO38" s="257">
        <v>0</v>
      </c>
      <c r="AP38" s="257">
        <v>0</v>
      </c>
      <c r="AQ38" s="257">
        <v>0</v>
      </c>
      <c r="AR38" s="257">
        <v>0</v>
      </c>
      <c r="AS38" s="257">
        <v>0</v>
      </c>
      <c r="AT38" s="257">
        <v>0</v>
      </c>
      <c r="AU38" s="257">
        <v>0</v>
      </c>
      <c r="AV38" s="257">
        <v>0</v>
      </c>
      <c r="AW38" s="257">
        <v>0</v>
      </c>
      <c r="AX38" s="277">
        <v>1</v>
      </c>
      <c r="AY38" s="277">
        <v>1</v>
      </c>
      <c r="AZ38" s="257">
        <v>1</v>
      </c>
      <c r="BA38" s="257">
        <v>0</v>
      </c>
      <c r="BB38" s="257">
        <v>0</v>
      </c>
      <c r="BC38" s="257">
        <v>0</v>
      </c>
      <c r="BD38" s="257">
        <v>0</v>
      </c>
      <c r="BE38" s="257" t="s">
        <v>91</v>
      </c>
      <c r="BF38" s="2" t="str" cm="1">
        <f t="array" ref="BF38">IF(COUNTIF(AZ38:BB38,"&lt;&gt;0")=1,INDEX($V$4:$AW$4,MATCH(TRUE,INDEX($V38:$AW38&lt;&gt;0,),0)),IF(COUNTIF(AZ38:BB38,"&lt;&gt;0")=0,INDEX($AM$4:$AW$4,MATCH(1,$AM38:$AW38,0)),"Multiple strategies"))</f>
        <v>Silviculture for removals</v>
      </c>
      <c r="BG38" s="278" t="s">
        <v>229</v>
      </c>
      <c r="BH38" s="257" t="s">
        <v>230</v>
      </c>
      <c r="BI38" s="279" t="s">
        <v>3070</v>
      </c>
      <c r="BJ38" s="276" t="s">
        <v>231</v>
      </c>
      <c r="BK38" s="257">
        <v>54.398789620000002</v>
      </c>
      <c r="BL38" s="257">
        <v>56.739926740000001</v>
      </c>
      <c r="BM38" s="257">
        <v>1.0430365663713088</v>
      </c>
      <c r="BN38" s="257">
        <v>2.3411371199999991</v>
      </c>
      <c r="BO38" s="276">
        <v>4.7778308571428552</v>
      </c>
      <c r="BP38" s="276" t="s">
        <v>232</v>
      </c>
      <c r="BQ38" s="279" t="s">
        <v>3070</v>
      </c>
      <c r="BR38" s="276" t="s">
        <v>233</v>
      </c>
      <c r="BS38" s="257">
        <v>-9.1923873230000002</v>
      </c>
      <c r="BT38" s="257">
        <v>-9.5324096189999992</v>
      </c>
      <c r="BU38" s="259">
        <v>1.0369895527736563</v>
      </c>
      <c r="BV38" s="257">
        <v>-0.340022295999999</v>
      </c>
      <c r="BW38" s="257"/>
      <c r="BX38" s="257">
        <v>-3.4002229599999903E-4</v>
      </c>
      <c r="BY38" s="257">
        <v>-7.1166666666666495E-5</v>
      </c>
      <c r="BZ38" s="257">
        <v>0</v>
      </c>
      <c r="CA38" s="257">
        <v>0</v>
      </c>
      <c r="CB38" s="257">
        <v>0</v>
      </c>
      <c r="CC38" s="257">
        <v>0</v>
      </c>
      <c r="CD38" s="257">
        <v>0</v>
      </c>
      <c r="CE38" s="257">
        <v>0</v>
      </c>
      <c r="CF38" s="257">
        <v>0</v>
      </c>
      <c r="CG38" s="257">
        <v>0</v>
      </c>
      <c r="CH38" s="257">
        <v>0</v>
      </c>
      <c r="CI38" s="257">
        <v>0</v>
      </c>
      <c r="CJ38" s="257">
        <v>0</v>
      </c>
      <c r="CK38" s="257">
        <v>0</v>
      </c>
      <c r="CL38" s="257">
        <v>0</v>
      </c>
      <c r="CM38" s="257">
        <v>0</v>
      </c>
      <c r="CN38" s="257" t="s">
        <v>3071</v>
      </c>
      <c r="CO38" s="257">
        <v>54.398789620000002</v>
      </c>
      <c r="CP38" s="257">
        <v>56.739926740000001</v>
      </c>
      <c r="CQ38" s="257">
        <v>4.7778308571428552</v>
      </c>
      <c r="CR38" s="257">
        <v>-9.1923873230000002</v>
      </c>
      <c r="CS38" s="257">
        <v>-9.5324096189999992</v>
      </c>
      <c r="CT38" s="257">
        <v>-3.4002229599999903E-4</v>
      </c>
      <c r="CU38" s="257">
        <v>-7.1166666666666495E-5</v>
      </c>
      <c r="CV38" s="258">
        <v>-3.6989552773656446E-2</v>
      </c>
      <c r="CW38" s="256" t="s">
        <v>234</v>
      </c>
      <c r="CX38" s="257" t="s">
        <v>3072</v>
      </c>
      <c r="CY38" s="257" t="s">
        <v>235</v>
      </c>
      <c r="CZ38" s="257"/>
      <c r="DA38" s="276"/>
      <c r="DB38" s="276">
        <v>80</v>
      </c>
      <c r="DC38" s="257" t="s">
        <v>3073</v>
      </c>
      <c r="DD38" s="257">
        <v>0</v>
      </c>
      <c r="DE38" s="257">
        <v>1</v>
      </c>
      <c r="DF38" s="257">
        <v>0</v>
      </c>
      <c r="DG38" s="257">
        <v>0</v>
      </c>
      <c r="DH38" s="257"/>
      <c r="DI38" s="257">
        <v>1</v>
      </c>
      <c r="DJ38" s="257" t="s">
        <v>173</v>
      </c>
      <c r="DK38" s="257">
        <v>0</v>
      </c>
      <c r="DL38" s="257" t="s">
        <v>180</v>
      </c>
      <c r="DM38" s="257">
        <v>0</v>
      </c>
      <c r="DN38" s="257">
        <v>0</v>
      </c>
      <c r="DO38" s="257">
        <v>0</v>
      </c>
      <c r="DP38" s="276">
        <v>0</v>
      </c>
      <c r="DQ38" s="276">
        <v>0</v>
      </c>
      <c r="DR38" s="276">
        <v>0</v>
      </c>
      <c r="DS38" s="276">
        <v>0</v>
      </c>
      <c r="DT38" s="257">
        <v>0</v>
      </c>
      <c r="DU38" s="276" t="s">
        <v>961</v>
      </c>
      <c r="DV38" s="276">
        <v>1</v>
      </c>
      <c r="DW38" s="276">
        <v>1</v>
      </c>
      <c r="DX38" s="276">
        <v>1</v>
      </c>
      <c r="DY38" s="276">
        <v>0</v>
      </c>
      <c r="DZ38" s="257">
        <v>0</v>
      </c>
      <c r="EA38" s="276">
        <v>0</v>
      </c>
      <c r="EB38" s="276">
        <v>1</v>
      </c>
      <c r="EC38" s="276">
        <v>1</v>
      </c>
      <c r="ED38" s="276">
        <v>0</v>
      </c>
      <c r="EE38" s="276">
        <v>0</v>
      </c>
      <c r="EF38" s="257">
        <v>1</v>
      </c>
      <c r="EG38" s="276">
        <v>0</v>
      </c>
      <c r="EH38" s="257">
        <v>0</v>
      </c>
      <c r="EI38" s="258">
        <v>0</v>
      </c>
      <c r="EJ38" s="256"/>
      <c r="EK38" t="str">
        <f t="shared" si="34"/>
        <v>Whole sector</v>
      </c>
      <c r="EL38" t="str">
        <f t="shared" si="35"/>
        <v/>
      </c>
      <c r="EM38" s="258" t="s">
        <v>544</v>
      </c>
      <c r="EN38" s="257" t="s">
        <v>236</v>
      </c>
      <c r="EO38" s="257"/>
      <c r="EP38" t="str">
        <f>IF(ISNUMBER(BU38),IF(ABS(BU38-[2]QC_indicators!$B$2)&gt;3*[2]QC_indicators!$C$2,"C ratio",IF(ISNUMBER(BY38),IF(ABS(BY38-[2]QC_indicators!$B$1)&gt;3*[2]QC_indicators!$C$1,"DF","no"))),IF(ISNUMBER(BY38),IF(ABS(BY38-[2]QC_indicators!$B$1)&gt;3*[2]QC_indicators!$C$1,"DF","no")))</f>
        <v>no</v>
      </c>
      <c r="EQ38" s="257"/>
      <c r="ER38" s="257"/>
      <c r="ES38" s="257"/>
      <c r="ET38" s="257"/>
      <c r="EU38"/>
    </row>
    <row r="39" spans="1:151" s="139" customFormat="1" ht="15" hidden="1" customHeight="1">
      <c r="A39" s="256" t="s">
        <v>214</v>
      </c>
      <c r="B39" s="257" t="s">
        <v>215</v>
      </c>
      <c r="C39" s="257" t="s">
        <v>216</v>
      </c>
      <c r="D39" s="257" t="s">
        <v>217</v>
      </c>
      <c r="E39" s="257" t="s">
        <v>218</v>
      </c>
      <c r="F39" s="257" t="s">
        <v>219</v>
      </c>
      <c r="G39" s="257" t="s">
        <v>220</v>
      </c>
      <c r="H39" s="257"/>
      <c r="I39" s="257">
        <v>2012</v>
      </c>
      <c r="J39" s="257"/>
      <c r="K39" s="257" t="s">
        <v>221</v>
      </c>
      <c r="L39" s="257"/>
      <c r="M39" s="257" t="s">
        <v>3069</v>
      </c>
      <c r="N39" s="257" t="s">
        <v>222</v>
      </c>
      <c r="O39" s="275" t="s">
        <v>223</v>
      </c>
      <c r="P39" s="257"/>
      <c r="Q39" s="257" t="s">
        <v>224</v>
      </c>
      <c r="R39" s="258" t="s">
        <v>225</v>
      </c>
      <c r="S39" s="256" t="s">
        <v>226</v>
      </c>
      <c r="T39" s="257" t="s">
        <v>227</v>
      </c>
      <c r="U39" s="257" t="s">
        <v>228</v>
      </c>
      <c r="V39" s="257">
        <v>0</v>
      </c>
      <c r="W39" s="257">
        <v>0</v>
      </c>
      <c r="X39" s="257">
        <v>0</v>
      </c>
      <c r="Y39" s="257">
        <v>1</v>
      </c>
      <c r="Z39" s="257">
        <v>0</v>
      </c>
      <c r="AA39" s="257">
        <v>0</v>
      </c>
      <c r="AB39" s="257">
        <v>0</v>
      </c>
      <c r="AC39" s="257">
        <v>0</v>
      </c>
      <c r="AD39" s="257">
        <v>0</v>
      </c>
      <c r="AE39" s="257">
        <v>0</v>
      </c>
      <c r="AF39" s="257">
        <v>0</v>
      </c>
      <c r="AG39" s="257">
        <v>0</v>
      </c>
      <c r="AH39" s="257">
        <v>0</v>
      </c>
      <c r="AI39" s="257">
        <v>0</v>
      </c>
      <c r="AJ39" s="257">
        <v>0</v>
      </c>
      <c r="AK39" s="257">
        <v>0</v>
      </c>
      <c r="AL39" s="257">
        <v>0</v>
      </c>
      <c r="AM39" s="257">
        <v>0</v>
      </c>
      <c r="AN39" s="257">
        <v>0</v>
      </c>
      <c r="AO39" s="257">
        <v>0</v>
      </c>
      <c r="AP39" s="257">
        <v>0</v>
      </c>
      <c r="AQ39" s="257">
        <v>0</v>
      </c>
      <c r="AR39" s="257">
        <v>0</v>
      </c>
      <c r="AS39" s="257">
        <v>0</v>
      </c>
      <c r="AT39" s="257">
        <v>0</v>
      </c>
      <c r="AU39" s="257">
        <v>0</v>
      </c>
      <c r="AV39" s="257">
        <v>0</v>
      </c>
      <c r="AW39" s="257">
        <v>0</v>
      </c>
      <c r="AX39" s="277">
        <v>1</v>
      </c>
      <c r="AY39" s="277">
        <v>1</v>
      </c>
      <c r="AZ39" s="257">
        <v>1</v>
      </c>
      <c r="BA39" s="257">
        <v>0</v>
      </c>
      <c r="BB39" s="257">
        <v>0</v>
      </c>
      <c r="BC39" s="257">
        <v>0</v>
      </c>
      <c r="BD39" s="257">
        <v>0</v>
      </c>
      <c r="BE39" s="257" t="s">
        <v>91</v>
      </c>
      <c r="BF39" s="2" t="str" cm="1">
        <f t="array" ref="BF39">IF(COUNTIF(AZ39:BB39,"&lt;&gt;0")=1,INDEX($V$4:$AW$4,MATCH(TRUE,INDEX($V39:$AW39&lt;&gt;0,),0)),IF(COUNTIF(AZ39:BB39,"&lt;&gt;0")=0,INDEX($AM$4:$AW$4,MATCH(1,$AM39:$AW39,0)),"Multiple strategies"))</f>
        <v>Silviculture for removals</v>
      </c>
      <c r="BG39" s="278" t="s">
        <v>229</v>
      </c>
      <c r="BH39" s="257" t="s">
        <v>230</v>
      </c>
      <c r="BI39" s="279" t="s">
        <v>3070</v>
      </c>
      <c r="BJ39" s="276" t="s">
        <v>231</v>
      </c>
      <c r="BK39" s="257">
        <v>53.012261809999998</v>
      </c>
      <c r="BL39" s="257">
        <v>54.766085619999998</v>
      </c>
      <c r="BM39" s="257">
        <v>1.0330833612850898</v>
      </c>
      <c r="BN39" s="257">
        <v>1.7538238100000001</v>
      </c>
      <c r="BO39" s="276">
        <v>3.5792322653061226</v>
      </c>
      <c r="BP39" s="276" t="s">
        <v>232</v>
      </c>
      <c r="BQ39" s="279" t="s">
        <v>3070</v>
      </c>
      <c r="BR39" s="276" t="s">
        <v>233</v>
      </c>
      <c r="BS39" s="257">
        <v>-8.8453815260000006</v>
      </c>
      <c r="BT39" s="257">
        <v>-9.0261044179999992</v>
      </c>
      <c r="BU39" s="259">
        <v>1.0204313280855986</v>
      </c>
      <c r="BV39" s="257">
        <v>-0.18072289199999858</v>
      </c>
      <c r="BW39" s="257"/>
      <c r="BX39" s="257">
        <v>-1.8072289199999857E-4</v>
      </c>
      <c r="BY39" s="257">
        <v>-5.049208282786359E-5</v>
      </c>
      <c r="BZ39" s="257">
        <v>0</v>
      </c>
      <c r="CA39" s="257">
        <v>0</v>
      </c>
      <c r="CB39" s="257">
        <v>0</v>
      </c>
      <c r="CC39" s="257">
        <v>0</v>
      </c>
      <c r="CD39" s="257">
        <v>0</v>
      </c>
      <c r="CE39" s="257">
        <v>0</v>
      </c>
      <c r="CF39" s="257">
        <v>0</v>
      </c>
      <c r="CG39" s="257">
        <v>0</v>
      </c>
      <c r="CH39" s="257">
        <v>0</v>
      </c>
      <c r="CI39" s="257">
        <v>0</v>
      </c>
      <c r="CJ39" s="257">
        <v>0</v>
      </c>
      <c r="CK39" s="257">
        <v>0</v>
      </c>
      <c r="CL39" s="257">
        <v>0</v>
      </c>
      <c r="CM39" s="257">
        <v>0</v>
      </c>
      <c r="CN39" s="257" t="s">
        <v>3071</v>
      </c>
      <c r="CO39" s="257">
        <v>53.012261809999998</v>
      </c>
      <c r="CP39" s="257">
        <v>54.766085619999998</v>
      </c>
      <c r="CQ39" s="257">
        <v>3.5792322653061226</v>
      </c>
      <c r="CR39" s="257">
        <v>-8.8453815260000006</v>
      </c>
      <c r="CS39" s="257">
        <v>-9.0261044179999992</v>
      </c>
      <c r="CT39" s="257">
        <v>-1.8072289199999857E-4</v>
      </c>
      <c r="CU39" s="257">
        <v>-5.049208282786359E-5</v>
      </c>
      <c r="CV39" s="258">
        <v>-2.0431328085598572E-2</v>
      </c>
      <c r="CW39" s="256" t="s">
        <v>234</v>
      </c>
      <c r="CX39" s="257" t="s">
        <v>3072</v>
      </c>
      <c r="CY39" s="257" t="s">
        <v>235</v>
      </c>
      <c r="CZ39" s="257"/>
      <c r="DA39" s="276"/>
      <c r="DB39" s="276">
        <v>80</v>
      </c>
      <c r="DC39" s="257" t="s">
        <v>3073</v>
      </c>
      <c r="DD39" s="257">
        <v>0</v>
      </c>
      <c r="DE39" s="257">
        <v>1</v>
      </c>
      <c r="DF39" s="257">
        <v>0</v>
      </c>
      <c r="DG39" s="257">
        <v>0</v>
      </c>
      <c r="DH39" s="257"/>
      <c r="DI39" s="257">
        <v>1</v>
      </c>
      <c r="DJ39" s="257" t="s">
        <v>173</v>
      </c>
      <c r="DK39" s="257">
        <v>0</v>
      </c>
      <c r="DL39" s="257" t="s">
        <v>180</v>
      </c>
      <c r="DM39" s="257">
        <v>0</v>
      </c>
      <c r="DN39" s="257">
        <v>0</v>
      </c>
      <c r="DO39" s="257">
        <v>0</v>
      </c>
      <c r="DP39" s="276">
        <v>0</v>
      </c>
      <c r="DQ39" s="276">
        <v>0</v>
      </c>
      <c r="DR39" s="276">
        <v>0</v>
      </c>
      <c r="DS39" s="276">
        <v>0</v>
      </c>
      <c r="DT39" s="257">
        <v>0</v>
      </c>
      <c r="DU39" s="276" t="s">
        <v>961</v>
      </c>
      <c r="DV39" s="276">
        <v>1</v>
      </c>
      <c r="DW39" s="276">
        <v>1</v>
      </c>
      <c r="DX39" s="276">
        <v>1</v>
      </c>
      <c r="DY39" s="276">
        <v>0</v>
      </c>
      <c r="DZ39" s="257">
        <v>0</v>
      </c>
      <c r="EA39" s="276">
        <v>0</v>
      </c>
      <c r="EB39" s="276">
        <v>1</v>
      </c>
      <c r="EC39" s="276">
        <v>1</v>
      </c>
      <c r="ED39" s="276">
        <v>0</v>
      </c>
      <c r="EE39" s="276">
        <v>0</v>
      </c>
      <c r="EF39" s="257">
        <v>1</v>
      </c>
      <c r="EG39" s="276">
        <v>0</v>
      </c>
      <c r="EH39" s="257">
        <v>0</v>
      </c>
      <c r="EI39" s="258">
        <v>0</v>
      </c>
      <c r="EJ39" s="256"/>
      <c r="EK39" t="str">
        <f t="shared" si="34"/>
        <v>Whole sector</v>
      </c>
      <c r="EL39" t="str">
        <f t="shared" si="35"/>
        <v/>
      </c>
      <c r="EM39" s="258" t="s">
        <v>544</v>
      </c>
      <c r="EN39" s="257" t="s">
        <v>236</v>
      </c>
      <c r="EO39" s="257"/>
      <c r="EP39" t="str">
        <f>IF(ISNUMBER(BU39),IF(ABS(BU39-[2]QC_indicators!$B$2)&gt;3*[2]QC_indicators!$C$2,"C ratio",IF(ISNUMBER(BY39),IF(ABS(BY39-[2]QC_indicators!$B$1)&gt;3*[2]QC_indicators!$C$1,"DF","no"))),IF(ISNUMBER(BY39),IF(ABS(BY39-[2]QC_indicators!$B$1)&gt;3*[2]QC_indicators!$C$1,"DF","no")))</f>
        <v>no</v>
      </c>
      <c r="EQ39" s="257"/>
      <c r="ER39" s="257"/>
      <c r="ES39" s="257"/>
      <c r="ET39" s="257"/>
      <c r="EU39"/>
    </row>
    <row r="40" spans="1:151" s="139" customFormat="1" ht="15" hidden="1" customHeight="1">
      <c r="A40" s="256" t="s">
        <v>214</v>
      </c>
      <c r="B40" s="257" t="s">
        <v>215</v>
      </c>
      <c r="C40" s="257" t="s">
        <v>216</v>
      </c>
      <c r="D40" s="257" t="s">
        <v>217</v>
      </c>
      <c r="E40" s="257" t="s">
        <v>218</v>
      </c>
      <c r="F40" s="257" t="s">
        <v>219</v>
      </c>
      <c r="G40" s="257" t="s">
        <v>220</v>
      </c>
      <c r="H40" s="257"/>
      <c r="I40" s="257">
        <v>2012</v>
      </c>
      <c r="J40" s="257"/>
      <c r="K40" s="257" t="s">
        <v>221</v>
      </c>
      <c r="L40" s="257"/>
      <c r="M40" s="257" t="s">
        <v>3069</v>
      </c>
      <c r="N40" s="257" t="s">
        <v>222</v>
      </c>
      <c r="O40" s="275" t="s">
        <v>223</v>
      </c>
      <c r="P40" s="257"/>
      <c r="Q40" s="257" t="s">
        <v>224</v>
      </c>
      <c r="R40" s="258" t="s">
        <v>225</v>
      </c>
      <c r="S40" s="256" t="s">
        <v>240</v>
      </c>
      <c r="T40" s="257">
        <v>2000</v>
      </c>
      <c r="U40" s="257">
        <v>4000</v>
      </c>
      <c r="V40" s="257">
        <v>0</v>
      </c>
      <c r="W40" s="257">
        <v>0</v>
      </c>
      <c r="X40" s="257">
        <v>0</v>
      </c>
      <c r="Y40" s="257">
        <v>0</v>
      </c>
      <c r="Z40" s="257">
        <v>0</v>
      </c>
      <c r="AA40" s="257">
        <v>1</v>
      </c>
      <c r="AB40" s="257">
        <v>0</v>
      </c>
      <c r="AC40" s="257">
        <v>0</v>
      </c>
      <c r="AD40" s="257">
        <v>0</v>
      </c>
      <c r="AE40" s="257">
        <v>0</v>
      </c>
      <c r="AF40" s="257">
        <v>0</v>
      </c>
      <c r="AG40" s="257">
        <v>0</v>
      </c>
      <c r="AH40" s="257">
        <v>0</v>
      </c>
      <c r="AI40" s="257">
        <v>0</v>
      </c>
      <c r="AJ40" s="257">
        <v>0</v>
      </c>
      <c r="AK40" s="257">
        <v>0</v>
      </c>
      <c r="AL40" s="257">
        <v>0</v>
      </c>
      <c r="AM40" s="257">
        <v>0</v>
      </c>
      <c r="AN40" s="257">
        <v>0</v>
      </c>
      <c r="AO40" s="257">
        <v>0</v>
      </c>
      <c r="AP40" s="257">
        <v>0</v>
      </c>
      <c r="AQ40" s="257">
        <v>0</v>
      </c>
      <c r="AR40" s="257">
        <v>0</v>
      </c>
      <c r="AS40" s="257">
        <v>0</v>
      </c>
      <c r="AT40" s="257">
        <v>0</v>
      </c>
      <c r="AU40" s="257">
        <v>0</v>
      </c>
      <c r="AV40" s="257">
        <v>0</v>
      </c>
      <c r="AW40" s="257">
        <v>0</v>
      </c>
      <c r="AX40" s="277">
        <v>1</v>
      </c>
      <c r="AY40" s="277">
        <v>1</v>
      </c>
      <c r="AZ40" s="257">
        <v>1</v>
      </c>
      <c r="BA40" s="257">
        <v>0</v>
      </c>
      <c r="BB40" s="257">
        <v>0</v>
      </c>
      <c r="BC40" s="257">
        <v>0</v>
      </c>
      <c r="BD40" s="257">
        <v>0</v>
      </c>
      <c r="BE40" s="257" t="s">
        <v>93</v>
      </c>
      <c r="BF40" s="2" t="str" cm="1">
        <f t="array" ref="BF40">IF(COUNTIF(AZ40:BB40,"&lt;&gt;0")=1,INDEX($V$4:$AW$4,MATCH(TRUE,INDEX($V40:$AW40&lt;&gt;0,),0)),IF(COUNTIF(AZ40:BB40,"&lt;&gt;0")=0,INDEX($AM$4:$AW$4,MATCH(1,$AM40:$AW40,0)),"Multiple strategies"))</f>
        <v>Silviculture for productivity</v>
      </c>
      <c r="BG40" s="278" t="s">
        <v>229</v>
      </c>
      <c r="BH40" s="257" t="s">
        <v>230</v>
      </c>
      <c r="BI40" s="279" t="s">
        <v>3070</v>
      </c>
      <c r="BJ40" s="276" t="s">
        <v>231</v>
      </c>
      <c r="BK40" s="257">
        <v>63.509174309999999</v>
      </c>
      <c r="BL40" s="257">
        <v>68.821883279999994</v>
      </c>
      <c r="BM40" s="276">
        <v>1.0836526222820608</v>
      </c>
      <c r="BN40" s="257">
        <v>5.3127089699999956</v>
      </c>
      <c r="BO40" s="276">
        <v>10.842263204081624</v>
      </c>
      <c r="BP40" s="276" t="s">
        <v>232</v>
      </c>
      <c r="BQ40" s="279" t="s">
        <v>3070</v>
      </c>
      <c r="BR40" s="276" t="s">
        <v>233</v>
      </c>
      <c r="BS40" s="257">
        <v>-8.7158725570000009</v>
      </c>
      <c r="BT40" s="257">
        <v>-8.9016064260000007</v>
      </c>
      <c r="BU40" s="259">
        <v>1.0213098422200806</v>
      </c>
      <c r="BV40" s="257">
        <v>-0.18573386899999988</v>
      </c>
      <c r="BW40" s="257"/>
      <c r="BX40" s="257">
        <v>-1.8573386899999988E-4</v>
      </c>
      <c r="BY40" s="257">
        <v>-1.7130544195798478E-5</v>
      </c>
      <c r="BZ40" s="257">
        <v>0</v>
      </c>
      <c r="CA40" s="257">
        <v>0</v>
      </c>
      <c r="CB40" s="257">
        <v>0</v>
      </c>
      <c r="CC40" s="257">
        <v>0</v>
      </c>
      <c r="CD40" s="257">
        <v>0</v>
      </c>
      <c r="CE40" s="257">
        <v>0</v>
      </c>
      <c r="CF40" s="257">
        <v>0</v>
      </c>
      <c r="CG40" s="257">
        <v>0</v>
      </c>
      <c r="CH40" s="257">
        <v>0</v>
      </c>
      <c r="CI40" s="257">
        <v>0</v>
      </c>
      <c r="CJ40" s="257">
        <v>0</v>
      </c>
      <c r="CK40" s="257">
        <v>0</v>
      </c>
      <c r="CL40" s="257">
        <v>0</v>
      </c>
      <c r="CM40" s="257">
        <v>0</v>
      </c>
      <c r="CN40" s="257" t="s">
        <v>3071</v>
      </c>
      <c r="CO40" s="257">
        <v>63.509174309999999</v>
      </c>
      <c r="CP40" s="257">
        <v>68.821883279999994</v>
      </c>
      <c r="CQ40" s="257">
        <v>10.842263204081624</v>
      </c>
      <c r="CR40" s="257">
        <v>-8.7158725570000009</v>
      </c>
      <c r="CS40" s="257">
        <v>-8.9016064260000007</v>
      </c>
      <c r="CT40" s="257">
        <v>-1.8573386899999988E-4</v>
      </c>
      <c r="CU40" s="257">
        <v>-1.7130544195798478E-5</v>
      </c>
      <c r="CV40" s="258">
        <v>-2.1309842220080533E-2</v>
      </c>
      <c r="CW40" s="256" t="s">
        <v>234</v>
      </c>
      <c r="CX40" s="257" t="s">
        <v>3072</v>
      </c>
      <c r="CY40" s="257" t="s">
        <v>235</v>
      </c>
      <c r="CZ40" s="257"/>
      <c r="DA40" s="276"/>
      <c r="DB40" s="276">
        <v>80</v>
      </c>
      <c r="DC40" s="257" t="s">
        <v>3073</v>
      </c>
      <c r="DD40" s="257">
        <v>0</v>
      </c>
      <c r="DE40" s="257">
        <v>1</v>
      </c>
      <c r="DF40" s="257">
        <v>0</v>
      </c>
      <c r="DG40" s="257">
        <v>0</v>
      </c>
      <c r="DH40" s="257"/>
      <c r="DI40" s="257">
        <v>1</v>
      </c>
      <c r="DJ40" s="257" t="s">
        <v>173</v>
      </c>
      <c r="DK40" s="257">
        <v>0</v>
      </c>
      <c r="DL40" s="257" t="s">
        <v>180</v>
      </c>
      <c r="DM40" s="257">
        <v>0</v>
      </c>
      <c r="DN40" s="257">
        <v>0</v>
      </c>
      <c r="DO40" s="257">
        <v>0</v>
      </c>
      <c r="DP40" s="276">
        <v>0</v>
      </c>
      <c r="DQ40" s="276">
        <v>0</v>
      </c>
      <c r="DR40" s="276">
        <v>0</v>
      </c>
      <c r="DS40" s="276">
        <v>0</v>
      </c>
      <c r="DT40" s="257">
        <v>0</v>
      </c>
      <c r="DU40" s="276" t="s">
        <v>961</v>
      </c>
      <c r="DV40" s="276">
        <v>1</v>
      </c>
      <c r="DW40" s="276">
        <v>1</v>
      </c>
      <c r="DX40" s="276">
        <v>1</v>
      </c>
      <c r="DY40" s="276">
        <v>0</v>
      </c>
      <c r="DZ40" s="257">
        <v>0</v>
      </c>
      <c r="EA40" s="276">
        <v>0</v>
      </c>
      <c r="EB40" s="276">
        <v>1</v>
      </c>
      <c r="EC40" s="276">
        <v>1</v>
      </c>
      <c r="ED40" s="276">
        <v>0</v>
      </c>
      <c r="EE40" s="276">
        <v>0</v>
      </c>
      <c r="EF40" s="257">
        <v>1</v>
      </c>
      <c r="EG40" s="276">
        <v>0</v>
      </c>
      <c r="EH40" s="257">
        <v>0</v>
      </c>
      <c r="EI40" s="258">
        <v>0</v>
      </c>
      <c r="EJ40" s="256"/>
      <c r="EK40" t="str">
        <f t="shared" si="34"/>
        <v>Whole sector</v>
      </c>
      <c r="EL40" t="str">
        <f t="shared" si="35"/>
        <v/>
      </c>
      <c r="EM40" s="258" t="s">
        <v>544</v>
      </c>
      <c r="EN40" s="257" t="s">
        <v>236</v>
      </c>
      <c r="EO40" s="257"/>
      <c r="EP40" t="str">
        <f>IF(ISNUMBER(BU40),IF(ABS(BU40-[2]QC_indicators!$B$2)&gt;3*[2]QC_indicators!$C$2,"C ratio",IF(ISNUMBER(BY40),IF(ABS(BY40-[2]QC_indicators!$B$1)&gt;3*[2]QC_indicators!$C$1,"DF","no"))),IF(ISNUMBER(BY40),IF(ABS(BY40-[2]QC_indicators!$B$1)&gt;3*[2]QC_indicators!$C$1,"DF","no")))</f>
        <v>no</v>
      </c>
      <c r="EQ40" s="280"/>
      <c r="ER40" s="280"/>
      <c r="ES40" s="280"/>
      <c r="ET40"/>
      <c r="EU40"/>
    </row>
    <row r="41" spans="1:151" s="139" customFormat="1" ht="15" hidden="1" customHeight="1">
      <c r="A41" s="256" t="s">
        <v>214</v>
      </c>
      <c r="B41" s="257" t="s">
        <v>215</v>
      </c>
      <c r="C41" s="257" t="s">
        <v>216</v>
      </c>
      <c r="D41" s="257" t="s">
        <v>217</v>
      </c>
      <c r="E41" s="257" t="s">
        <v>218</v>
      </c>
      <c r="F41" s="257" t="s">
        <v>219</v>
      </c>
      <c r="G41" s="257" t="s">
        <v>220</v>
      </c>
      <c r="H41" s="257"/>
      <c r="I41" s="257">
        <v>2012</v>
      </c>
      <c r="J41" s="257"/>
      <c r="K41" s="257" t="s">
        <v>221</v>
      </c>
      <c r="L41" s="257"/>
      <c r="M41" s="257" t="s">
        <v>3069</v>
      </c>
      <c r="N41" s="257" t="s">
        <v>222</v>
      </c>
      <c r="O41" s="275" t="s">
        <v>223</v>
      </c>
      <c r="P41" s="257"/>
      <c r="Q41" s="257" t="s">
        <v>224</v>
      </c>
      <c r="R41" s="258" t="s">
        <v>225</v>
      </c>
      <c r="S41" s="256" t="s">
        <v>240</v>
      </c>
      <c r="T41" s="257">
        <v>2000</v>
      </c>
      <c r="U41" s="257">
        <v>4000</v>
      </c>
      <c r="V41" s="257">
        <v>0</v>
      </c>
      <c r="W41" s="257">
        <v>0</v>
      </c>
      <c r="X41" s="257">
        <v>0</v>
      </c>
      <c r="Y41" s="257">
        <v>0</v>
      </c>
      <c r="Z41" s="257">
        <v>0</v>
      </c>
      <c r="AA41" s="257">
        <v>1</v>
      </c>
      <c r="AB41" s="257">
        <v>0</v>
      </c>
      <c r="AC41" s="257">
        <v>0</v>
      </c>
      <c r="AD41" s="257">
        <v>0</v>
      </c>
      <c r="AE41" s="257">
        <v>0</v>
      </c>
      <c r="AF41" s="257">
        <v>0</v>
      </c>
      <c r="AG41" s="257">
        <v>0</v>
      </c>
      <c r="AH41" s="257">
        <v>0</v>
      </c>
      <c r="AI41" s="257">
        <v>0</v>
      </c>
      <c r="AJ41" s="257">
        <v>0</v>
      </c>
      <c r="AK41" s="257">
        <v>0</v>
      </c>
      <c r="AL41" s="257">
        <v>0</v>
      </c>
      <c r="AM41" s="257">
        <v>0</v>
      </c>
      <c r="AN41" s="257">
        <v>0</v>
      </c>
      <c r="AO41" s="257">
        <v>0</v>
      </c>
      <c r="AP41" s="257">
        <v>0</v>
      </c>
      <c r="AQ41" s="257">
        <v>0</v>
      </c>
      <c r="AR41" s="257">
        <v>0</v>
      </c>
      <c r="AS41" s="257">
        <v>0</v>
      </c>
      <c r="AT41" s="257">
        <v>0</v>
      </c>
      <c r="AU41" s="257">
        <v>0</v>
      </c>
      <c r="AV41" s="257">
        <v>0</v>
      </c>
      <c r="AW41" s="257">
        <v>0</v>
      </c>
      <c r="AX41" s="277">
        <v>1</v>
      </c>
      <c r="AY41" s="277">
        <v>1</v>
      </c>
      <c r="AZ41" s="257">
        <v>1</v>
      </c>
      <c r="BA41" s="257">
        <v>0</v>
      </c>
      <c r="BB41" s="257">
        <v>0</v>
      </c>
      <c r="BC41" s="257">
        <v>0</v>
      </c>
      <c r="BD41" s="257">
        <v>0</v>
      </c>
      <c r="BE41" s="257" t="s">
        <v>93</v>
      </c>
      <c r="BF41" s="2" t="str" cm="1">
        <f t="array" ref="BF41">IF(COUNTIF(AZ41:BB41,"&lt;&gt;0")=1,INDEX($V$4:$AW$4,MATCH(TRUE,INDEX($V41:$AW41&lt;&gt;0,),0)),IF(COUNTIF(AZ41:BB41,"&lt;&gt;0")=0,INDEX($AM$4:$AW$4,MATCH(1,$AM41:$AW41,0)),"Multiple strategies"))</f>
        <v>Silviculture for productivity</v>
      </c>
      <c r="BG41" s="278" t="s">
        <v>229</v>
      </c>
      <c r="BH41" s="257" t="s">
        <v>230</v>
      </c>
      <c r="BI41" s="279" t="s">
        <v>3070</v>
      </c>
      <c r="BJ41" s="276" t="s">
        <v>231</v>
      </c>
      <c r="BK41" s="257">
        <v>58.199966019999998</v>
      </c>
      <c r="BL41" s="257">
        <v>66.639750489999997</v>
      </c>
      <c r="BM41" s="276">
        <v>1.145013563531974</v>
      </c>
      <c r="BN41" s="257">
        <v>8.4397844699999993</v>
      </c>
      <c r="BO41" s="276">
        <v>17.224049938775508</v>
      </c>
      <c r="BP41" s="276" t="s">
        <v>232</v>
      </c>
      <c r="BQ41" s="279" t="s">
        <v>3070</v>
      </c>
      <c r="BR41" s="276" t="s">
        <v>233</v>
      </c>
      <c r="BS41" s="257">
        <v>-9.137844007</v>
      </c>
      <c r="BT41" s="257">
        <v>-9.4136546180000007</v>
      </c>
      <c r="BU41" s="259">
        <v>1.0301833354551377</v>
      </c>
      <c r="BV41" s="257">
        <v>-0.2758106110000007</v>
      </c>
      <c r="BW41" s="257"/>
      <c r="BX41" s="257">
        <v>-2.7581061100000068E-4</v>
      </c>
      <c r="BY41" s="257">
        <v>-1.6013110271997307E-5</v>
      </c>
      <c r="BZ41" s="257">
        <v>0</v>
      </c>
      <c r="CA41" s="257">
        <v>0</v>
      </c>
      <c r="CB41" s="257">
        <v>0</v>
      </c>
      <c r="CC41" s="257">
        <v>0</v>
      </c>
      <c r="CD41" s="257">
        <v>0</v>
      </c>
      <c r="CE41" s="257">
        <v>0</v>
      </c>
      <c r="CF41" s="257">
        <v>0</v>
      </c>
      <c r="CG41" s="257">
        <v>0</v>
      </c>
      <c r="CH41" s="257">
        <v>0</v>
      </c>
      <c r="CI41" s="257">
        <v>0</v>
      </c>
      <c r="CJ41" s="257">
        <v>0</v>
      </c>
      <c r="CK41" s="257">
        <v>0</v>
      </c>
      <c r="CL41" s="257">
        <v>0</v>
      </c>
      <c r="CM41" s="257">
        <v>0</v>
      </c>
      <c r="CN41" s="257" t="s">
        <v>3071</v>
      </c>
      <c r="CO41" s="257">
        <v>58.199966019999998</v>
      </c>
      <c r="CP41" s="257">
        <v>66.639750489999997</v>
      </c>
      <c r="CQ41" s="257">
        <v>17.224049938775508</v>
      </c>
      <c r="CR41" s="257">
        <v>-9.137844007</v>
      </c>
      <c r="CS41" s="257">
        <v>-9.4136546180000007</v>
      </c>
      <c r="CT41" s="257">
        <v>-2.7581061100000068E-4</v>
      </c>
      <c r="CU41" s="257">
        <v>-1.6013110271997307E-5</v>
      </c>
      <c r="CV41" s="258">
        <v>-3.0183335455137707E-2</v>
      </c>
      <c r="CW41" s="256" t="s">
        <v>234</v>
      </c>
      <c r="CX41" s="257" t="s">
        <v>3072</v>
      </c>
      <c r="CY41" s="257" t="s">
        <v>235</v>
      </c>
      <c r="CZ41" s="257"/>
      <c r="DA41" s="276"/>
      <c r="DB41" s="276">
        <v>80</v>
      </c>
      <c r="DC41" s="257" t="s">
        <v>3073</v>
      </c>
      <c r="DD41" s="257">
        <v>0</v>
      </c>
      <c r="DE41" s="257">
        <v>1</v>
      </c>
      <c r="DF41" s="257">
        <v>0</v>
      </c>
      <c r="DG41" s="257">
        <v>0</v>
      </c>
      <c r="DH41" s="257"/>
      <c r="DI41" s="257">
        <v>1</v>
      </c>
      <c r="DJ41" s="257" t="s">
        <v>173</v>
      </c>
      <c r="DK41" s="257">
        <v>0</v>
      </c>
      <c r="DL41" s="257" t="s">
        <v>180</v>
      </c>
      <c r="DM41" s="257">
        <v>0</v>
      </c>
      <c r="DN41" s="257">
        <v>0</v>
      </c>
      <c r="DO41" s="257">
        <v>0</v>
      </c>
      <c r="DP41" s="276">
        <v>0</v>
      </c>
      <c r="DQ41" s="276">
        <v>0</v>
      </c>
      <c r="DR41" s="276">
        <v>0</v>
      </c>
      <c r="DS41" s="276">
        <v>0</v>
      </c>
      <c r="DT41" s="257">
        <v>0</v>
      </c>
      <c r="DU41" s="276" t="s">
        <v>961</v>
      </c>
      <c r="DV41" s="276">
        <v>1</v>
      </c>
      <c r="DW41" s="276">
        <v>1</v>
      </c>
      <c r="DX41" s="276">
        <v>1</v>
      </c>
      <c r="DY41" s="276">
        <v>0</v>
      </c>
      <c r="DZ41" s="257">
        <v>0</v>
      </c>
      <c r="EA41" s="276">
        <v>0</v>
      </c>
      <c r="EB41" s="276">
        <v>1</v>
      </c>
      <c r="EC41" s="276">
        <v>1</v>
      </c>
      <c r="ED41" s="276">
        <v>0</v>
      </c>
      <c r="EE41" s="276">
        <v>0</v>
      </c>
      <c r="EF41" s="257">
        <v>1</v>
      </c>
      <c r="EG41" s="276">
        <v>0</v>
      </c>
      <c r="EH41" s="257">
        <v>0</v>
      </c>
      <c r="EI41" s="258">
        <v>0</v>
      </c>
      <c r="EJ41" s="256"/>
      <c r="EK41" t="str">
        <f t="shared" si="34"/>
        <v>Whole sector</v>
      </c>
      <c r="EL41" t="str">
        <f t="shared" si="35"/>
        <v/>
      </c>
      <c r="EM41" s="258" t="s">
        <v>544</v>
      </c>
      <c r="EN41" s="257" t="s">
        <v>236</v>
      </c>
      <c r="EO41" s="257"/>
      <c r="EP41" t="str">
        <f>IF(ISNUMBER(BU41),IF(ABS(BU41-[2]QC_indicators!$B$2)&gt;3*[2]QC_indicators!$C$2,"C ratio",IF(ISNUMBER(BY41),IF(ABS(BY41-[2]QC_indicators!$B$1)&gt;3*[2]QC_indicators!$C$1,"DF","no"))),IF(ISNUMBER(BY41),IF(ABS(BY41-[2]QC_indicators!$B$1)&gt;3*[2]QC_indicators!$C$1,"DF","no")))</f>
        <v>no</v>
      </c>
      <c r="EQ41" s="280"/>
      <c r="ER41" s="280"/>
      <c r="ES41" s="280"/>
      <c r="ET41"/>
      <c r="EU41"/>
    </row>
    <row r="42" spans="1:151" s="139" customFormat="1" ht="15" hidden="1" customHeight="1">
      <c r="A42" s="256" t="s">
        <v>214</v>
      </c>
      <c r="B42" s="257" t="s">
        <v>215</v>
      </c>
      <c r="C42" s="257" t="s">
        <v>216</v>
      </c>
      <c r="D42" s="257" t="s">
        <v>217</v>
      </c>
      <c r="E42" s="257" t="s">
        <v>218</v>
      </c>
      <c r="F42" s="257" t="s">
        <v>219</v>
      </c>
      <c r="G42" s="257" t="s">
        <v>220</v>
      </c>
      <c r="H42" s="257"/>
      <c r="I42" s="257">
        <v>2012</v>
      </c>
      <c r="J42" s="257"/>
      <c r="K42" s="257" t="s">
        <v>221</v>
      </c>
      <c r="L42" s="257"/>
      <c r="M42" s="257" t="s">
        <v>3069</v>
      </c>
      <c r="N42" s="257" t="s">
        <v>222</v>
      </c>
      <c r="O42" s="275" t="s">
        <v>223</v>
      </c>
      <c r="P42" s="257"/>
      <c r="Q42" s="257" t="s">
        <v>224</v>
      </c>
      <c r="R42" s="258" t="s">
        <v>225</v>
      </c>
      <c r="S42" s="256" t="s">
        <v>241</v>
      </c>
      <c r="T42" s="257" t="s">
        <v>244</v>
      </c>
      <c r="U42" s="276" t="s">
        <v>242</v>
      </c>
      <c r="V42" s="257">
        <v>0</v>
      </c>
      <c r="W42" s="257">
        <v>0</v>
      </c>
      <c r="X42" s="257">
        <v>0</v>
      </c>
      <c r="Y42" s="257">
        <v>0</v>
      </c>
      <c r="Z42" s="257">
        <v>0</v>
      </c>
      <c r="AA42" s="257">
        <v>0</v>
      </c>
      <c r="AB42" s="257">
        <v>0</v>
      </c>
      <c r="AC42" s="257">
        <v>1</v>
      </c>
      <c r="AD42" s="257">
        <v>0</v>
      </c>
      <c r="AE42" s="257">
        <v>0</v>
      </c>
      <c r="AF42" s="257">
        <v>0</v>
      </c>
      <c r="AG42" s="257">
        <v>0</v>
      </c>
      <c r="AH42" s="257">
        <v>0</v>
      </c>
      <c r="AI42" s="257">
        <v>0</v>
      </c>
      <c r="AJ42" s="257">
        <v>0</v>
      </c>
      <c r="AK42" s="257">
        <v>0</v>
      </c>
      <c r="AL42" s="257">
        <v>0</v>
      </c>
      <c r="AM42" s="257">
        <v>0</v>
      </c>
      <c r="AN42" s="257">
        <v>0</v>
      </c>
      <c r="AO42" s="257">
        <v>0</v>
      </c>
      <c r="AP42" s="257">
        <v>0</v>
      </c>
      <c r="AQ42" s="257">
        <v>0</v>
      </c>
      <c r="AR42" s="257">
        <v>0</v>
      </c>
      <c r="AS42" s="257">
        <v>0</v>
      </c>
      <c r="AT42" s="257">
        <v>0</v>
      </c>
      <c r="AU42" s="257">
        <v>0</v>
      </c>
      <c r="AV42" s="257">
        <v>0</v>
      </c>
      <c r="AW42" s="257">
        <v>0</v>
      </c>
      <c r="AX42" s="277">
        <v>1</v>
      </c>
      <c r="AY42" s="277">
        <v>1</v>
      </c>
      <c r="AZ42" s="257">
        <v>1</v>
      </c>
      <c r="BA42" s="257">
        <v>0</v>
      </c>
      <c r="BB42" s="257">
        <v>0</v>
      </c>
      <c r="BC42" s="257">
        <v>0</v>
      </c>
      <c r="BD42" s="257">
        <v>0</v>
      </c>
      <c r="BE42" s="257" t="s">
        <v>95</v>
      </c>
      <c r="BF42" s="2" t="str" cm="1">
        <f t="array" ref="BF42">IF(COUNTIF(AZ42:BB42,"&lt;&gt;0")=1,INDEX($V$4:$AW$4,MATCH(TRUE,INDEX($V42:$AW42&lt;&gt;0,),0)),IF(COUNTIF(AZ42:BB42,"&lt;&gt;0")=0,INDEX($AM$4:$AW$4,MATCH(1,$AM42:$AW42,0)),"Multiple strategies"))</f>
        <v>Silviculture for productivity</v>
      </c>
      <c r="BG42" s="278" t="s">
        <v>229</v>
      </c>
      <c r="BH42" s="257" t="s">
        <v>230</v>
      </c>
      <c r="BI42" s="279" t="s">
        <v>3070</v>
      </c>
      <c r="BJ42" s="276" t="s">
        <v>231</v>
      </c>
      <c r="BK42" s="257">
        <v>54.766085619072001</v>
      </c>
      <c r="BL42" s="257">
        <v>58.199966021066899</v>
      </c>
      <c r="BM42" s="276">
        <v>1.0627008551584169</v>
      </c>
      <c r="BN42" s="257">
        <v>3.4338804019948981</v>
      </c>
      <c r="BO42" s="276">
        <v>7.0079191877446902</v>
      </c>
      <c r="BP42" s="276" t="s">
        <v>232</v>
      </c>
      <c r="BQ42" s="279" t="s">
        <v>3070</v>
      </c>
      <c r="BR42" s="276" t="s">
        <v>233</v>
      </c>
      <c r="BS42" s="257">
        <v>-9.0261044176706804</v>
      </c>
      <c r="BT42" s="257">
        <v>-9.1378440072016396</v>
      </c>
      <c r="BU42" s="259">
        <v>1.0123796030225622</v>
      </c>
      <c r="BV42" s="257">
        <v>-0.11173958953095919</v>
      </c>
      <c r="BW42" s="257"/>
      <c r="BX42" s="257">
        <v>-1.1173958953095919E-4</v>
      </c>
      <c r="BY42" s="257">
        <v>-1.5944759997570629E-5</v>
      </c>
      <c r="BZ42" s="257">
        <v>0</v>
      </c>
      <c r="CA42" s="257">
        <v>0</v>
      </c>
      <c r="CB42" s="257">
        <v>0</v>
      </c>
      <c r="CC42" s="257">
        <v>0</v>
      </c>
      <c r="CD42" s="257">
        <v>0</v>
      </c>
      <c r="CE42" s="257">
        <v>0</v>
      </c>
      <c r="CF42" s="257">
        <v>0</v>
      </c>
      <c r="CG42" s="257">
        <v>0</v>
      </c>
      <c r="CH42" s="257">
        <v>0</v>
      </c>
      <c r="CI42" s="257">
        <v>0</v>
      </c>
      <c r="CJ42" s="257">
        <v>0</v>
      </c>
      <c r="CK42" s="257">
        <v>0</v>
      </c>
      <c r="CL42" s="257">
        <v>0</v>
      </c>
      <c r="CM42" s="257">
        <v>0</v>
      </c>
      <c r="CN42" s="257" t="s">
        <v>3071</v>
      </c>
      <c r="CO42" s="257">
        <v>54.766085619072001</v>
      </c>
      <c r="CP42" s="257">
        <v>58.199966021066899</v>
      </c>
      <c r="CQ42" s="257">
        <v>7.0079191877446902</v>
      </c>
      <c r="CR42" s="257">
        <v>-9.0261044176706804</v>
      </c>
      <c r="CS42" s="257">
        <v>-9.1378440072016396</v>
      </c>
      <c r="CT42" s="257">
        <v>-1.1173958953095919E-4</v>
      </c>
      <c r="CU42" s="257">
        <v>-1.5944759997570629E-5</v>
      </c>
      <c r="CV42" s="258">
        <v>-1.2379603022562335E-2</v>
      </c>
      <c r="CW42" s="256" t="s">
        <v>234</v>
      </c>
      <c r="CX42" s="257" t="s">
        <v>3072</v>
      </c>
      <c r="CY42" s="257" t="s">
        <v>235</v>
      </c>
      <c r="CZ42" s="257"/>
      <c r="DA42" s="276"/>
      <c r="DB42" s="276">
        <v>80</v>
      </c>
      <c r="DC42" s="257" t="s">
        <v>3073</v>
      </c>
      <c r="DD42" s="257">
        <v>0</v>
      </c>
      <c r="DE42" s="257">
        <v>1</v>
      </c>
      <c r="DF42" s="257">
        <v>0</v>
      </c>
      <c r="DG42" s="257">
        <v>0</v>
      </c>
      <c r="DH42" s="257"/>
      <c r="DI42" s="257">
        <v>1</v>
      </c>
      <c r="DJ42" s="257" t="s">
        <v>173</v>
      </c>
      <c r="DK42" s="257">
        <v>0</v>
      </c>
      <c r="DL42" s="257" t="s">
        <v>180</v>
      </c>
      <c r="DM42" s="257">
        <v>0</v>
      </c>
      <c r="DN42" s="257">
        <v>0</v>
      </c>
      <c r="DO42" s="257">
        <v>0</v>
      </c>
      <c r="DP42" s="276">
        <v>0</v>
      </c>
      <c r="DQ42" s="276">
        <v>0</v>
      </c>
      <c r="DR42" s="276">
        <v>0</v>
      </c>
      <c r="DS42" s="276">
        <v>0</v>
      </c>
      <c r="DT42" s="257">
        <v>0</v>
      </c>
      <c r="DU42" s="276" t="s">
        <v>961</v>
      </c>
      <c r="DV42" s="276">
        <v>1</v>
      </c>
      <c r="DW42" s="276">
        <v>1</v>
      </c>
      <c r="DX42" s="276">
        <v>1</v>
      </c>
      <c r="DY42" s="276">
        <v>0</v>
      </c>
      <c r="DZ42" s="257">
        <v>0</v>
      </c>
      <c r="EA42" s="276">
        <v>0</v>
      </c>
      <c r="EB42" s="276">
        <v>1</v>
      </c>
      <c r="EC42" s="276">
        <v>1</v>
      </c>
      <c r="ED42" s="276">
        <v>0</v>
      </c>
      <c r="EE42" s="276">
        <v>0</v>
      </c>
      <c r="EF42" s="257">
        <v>1</v>
      </c>
      <c r="EG42" s="276">
        <v>0</v>
      </c>
      <c r="EH42" s="257">
        <v>0</v>
      </c>
      <c r="EI42" s="258">
        <v>0</v>
      </c>
      <c r="EJ42" s="256"/>
      <c r="EK42" t="str">
        <f t="shared" si="34"/>
        <v>Whole sector</v>
      </c>
      <c r="EL42" t="str">
        <f t="shared" si="35"/>
        <v/>
      </c>
      <c r="EM42" s="258" t="s">
        <v>544</v>
      </c>
      <c r="EN42" s="257" t="s">
        <v>236</v>
      </c>
      <c r="EO42" s="257"/>
      <c r="EP42" t="str">
        <f>IF(ISNUMBER(BU42),IF(ABS(BU42-[2]QC_indicators!$B$2)&gt;3*[2]QC_indicators!$C$2,"C ratio",IF(ISNUMBER(BY42),IF(ABS(BY42-[2]QC_indicators!$B$1)&gt;3*[2]QC_indicators!$C$1,"DF","no"))),IF(ISNUMBER(BY42),IF(ABS(BY42-[2]QC_indicators!$B$1)&gt;3*[2]QC_indicators!$C$1,"DF","no")))</f>
        <v>no</v>
      </c>
      <c r="EQ42"/>
      <c r="ER42"/>
      <c r="ES42"/>
      <c r="ET42"/>
      <c r="EU42"/>
    </row>
    <row r="43" spans="1:151" s="139" customFormat="1" ht="15" hidden="1" customHeight="1">
      <c r="A43" s="256" t="s">
        <v>214</v>
      </c>
      <c r="B43" s="257" t="s">
        <v>215</v>
      </c>
      <c r="C43" s="257" t="s">
        <v>216</v>
      </c>
      <c r="D43" s="257" t="s">
        <v>217</v>
      </c>
      <c r="E43" s="257" t="s">
        <v>218</v>
      </c>
      <c r="F43" s="257" t="s">
        <v>219</v>
      </c>
      <c r="G43" s="257" t="s">
        <v>220</v>
      </c>
      <c r="H43" s="257"/>
      <c r="I43" s="257">
        <v>2012</v>
      </c>
      <c r="J43" s="257"/>
      <c r="K43" s="257" t="s">
        <v>221</v>
      </c>
      <c r="L43" s="257"/>
      <c r="M43" s="257" t="s">
        <v>3069</v>
      </c>
      <c r="N43" s="257" t="s">
        <v>222</v>
      </c>
      <c r="O43" s="275" t="s">
        <v>223</v>
      </c>
      <c r="P43" s="257"/>
      <c r="Q43" s="257" t="s">
        <v>224</v>
      </c>
      <c r="R43" s="258" t="s">
        <v>225</v>
      </c>
      <c r="S43" s="256" t="s">
        <v>240</v>
      </c>
      <c r="T43" s="257">
        <v>2000</v>
      </c>
      <c r="U43" s="257">
        <v>4000</v>
      </c>
      <c r="V43" s="257">
        <v>0</v>
      </c>
      <c r="W43" s="257">
        <v>0</v>
      </c>
      <c r="X43" s="257">
        <v>0</v>
      </c>
      <c r="Y43" s="257">
        <v>0</v>
      </c>
      <c r="Z43" s="257">
        <v>0</v>
      </c>
      <c r="AA43" s="257">
        <v>1</v>
      </c>
      <c r="AB43" s="257">
        <v>0</v>
      </c>
      <c r="AC43" s="257">
        <v>0</v>
      </c>
      <c r="AD43" s="257">
        <v>0</v>
      </c>
      <c r="AE43" s="257">
        <v>0</v>
      </c>
      <c r="AF43" s="257">
        <v>0</v>
      </c>
      <c r="AG43" s="257">
        <v>0</v>
      </c>
      <c r="AH43" s="257">
        <v>0</v>
      </c>
      <c r="AI43" s="257">
        <v>0</v>
      </c>
      <c r="AJ43" s="257">
        <v>0</v>
      </c>
      <c r="AK43" s="257">
        <v>0</v>
      </c>
      <c r="AL43" s="257">
        <v>0</v>
      </c>
      <c r="AM43" s="257">
        <v>0</v>
      </c>
      <c r="AN43" s="257">
        <v>0</v>
      </c>
      <c r="AO43" s="257">
        <v>0</v>
      </c>
      <c r="AP43" s="257">
        <v>0</v>
      </c>
      <c r="AQ43" s="257">
        <v>0</v>
      </c>
      <c r="AR43" s="257">
        <v>0</v>
      </c>
      <c r="AS43" s="257">
        <v>0</v>
      </c>
      <c r="AT43" s="257">
        <v>0</v>
      </c>
      <c r="AU43" s="257">
        <v>0</v>
      </c>
      <c r="AV43" s="257">
        <v>0</v>
      </c>
      <c r="AW43" s="257">
        <v>0</v>
      </c>
      <c r="AX43" s="277">
        <v>1</v>
      </c>
      <c r="AY43" s="277">
        <v>1</v>
      </c>
      <c r="AZ43" s="257">
        <v>1</v>
      </c>
      <c r="BA43" s="257">
        <v>0</v>
      </c>
      <c r="BB43" s="257">
        <v>0</v>
      </c>
      <c r="BC43" s="257">
        <v>0</v>
      </c>
      <c r="BD43" s="257">
        <v>0</v>
      </c>
      <c r="BE43" s="257" t="s">
        <v>93</v>
      </c>
      <c r="BF43" s="2" t="str" cm="1">
        <f t="array" ref="BF43">IF(COUNTIF(AZ43:BB43,"&lt;&gt;0")=1,INDEX($V$4:$AW$4,MATCH(TRUE,INDEX($V43:$AW43&lt;&gt;0,),0)),IF(COUNTIF(AZ43:BB43,"&lt;&gt;0")=0,INDEX($AM$4:$AW$4,MATCH(1,$AM43:$AW43,0)),"Multiple strategies"))</f>
        <v>Silviculture for productivity</v>
      </c>
      <c r="BG43" s="278" t="s">
        <v>229</v>
      </c>
      <c r="BH43" s="257" t="s">
        <v>230</v>
      </c>
      <c r="BI43" s="279" t="s">
        <v>3070</v>
      </c>
      <c r="BJ43" s="276" t="s">
        <v>231</v>
      </c>
      <c r="BK43" s="257">
        <v>53.012261809999998</v>
      </c>
      <c r="BL43" s="257">
        <v>60.054679620000002</v>
      </c>
      <c r="BM43" s="276">
        <v>1.1328450733764306</v>
      </c>
      <c r="BN43" s="257">
        <v>7.0424178100000034</v>
      </c>
      <c r="BO43" s="276">
        <v>14.372281244897966</v>
      </c>
      <c r="BP43" s="276" t="s">
        <v>232</v>
      </c>
      <c r="BQ43" s="279" t="s">
        <v>3070</v>
      </c>
      <c r="BR43" s="276" t="s">
        <v>233</v>
      </c>
      <c r="BS43" s="257">
        <v>-8.8453815260000006</v>
      </c>
      <c r="BT43" s="257">
        <v>-9.0244200239999994</v>
      </c>
      <c r="BU43" s="259">
        <v>1.0202409017037575</v>
      </c>
      <c r="BV43" s="257">
        <v>-0.17903849799999882</v>
      </c>
      <c r="BW43" s="257"/>
      <c r="BX43" s="257">
        <v>-1.7903849799999881E-4</v>
      </c>
      <c r="BY43" s="257">
        <v>-1.2457208076383553E-5</v>
      </c>
      <c r="BZ43" s="257">
        <v>0</v>
      </c>
      <c r="CA43" s="257">
        <v>0</v>
      </c>
      <c r="CB43" s="257">
        <v>0</v>
      </c>
      <c r="CC43" s="257">
        <v>0</v>
      </c>
      <c r="CD43" s="257">
        <v>0</v>
      </c>
      <c r="CE43" s="257">
        <v>0</v>
      </c>
      <c r="CF43" s="257">
        <v>0</v>
      </c>
      <c r="CG43" s="257">
        <v>0</v>
      </c>
      <c r="CH43" s="257">
        <v>0</v>
      </c>
      <c r="CI43" s="257">
        <v>0</v>
      </c>
      <c r="CJ43" s="257">
        <v>0</v>
      </c>
      <c r="CK43" s="257">
        <v>0</v>
      </c>
      <c r="CL43" s="257">
        <v>0</v>
      </c>
      <c r="CM43" s="257">
        <v>0</v>
      </c>
      <c r="CN43" s="257" t="s">
        <v>3071</v>
      </c>
      <c r="CO43" s="257">
        <v>53.012261809999998</v>
      </c>
      <c r="CP43" s="257">
        <v>60.054679620000002</v>
      </c>
      <c r="CQ43" s="257">
        <v>14.372281244897966</v>
      </c>
      <c r="CR43" s="257">
        <v>-8.8453815260000006</v>
      </c>
      <c r="CS43" s="257">
        <v>-9.0244200239999994</v>
      </c>
      <c r="CT43" s="257">
        <v>-1.7903849799999881E-4</v>
      </c>
      <c r="CU43" s="257">
        <v>-1.2457208076383553E-5</v>
      </c>
      <c r="CV43" s="258">
        <v>-2.0240901703757534E-2</v>
      </c>
      <c r="CW43" s="256" t="s">
        <v>234</v>
      </c>
      <c r="CX43" s="257" t="s">
        <v>3072</v>
      </c>
      <c r="CY43" s="257" t="s">
        <v>235</v>
      </c>
      <c r="CZ43" s="257"/>
      <c r="DA43" s="276"/>
      <c r="DB43" s="276">
        <v>80</v>
      </c>
      <c r="DC43" s="257" t="s">
        <v>3073</v>
      </c>
      <c r="DD43" s="257">
        <v>0</v>
      </c>
      <c r="DE43" s="257">
        <v>1</v>
      </c>
      <c r="DF43" s="257">
        <v>0</v>
      </c>
      <c r="DG43" s="257">
        <v>0</v>
      </c>
      <c r="DH43" s="257"/>
      <c r="DI43" s="257">
        <v>1</v>
      </c>
      <c r="DJ43" s="257" t="s">
        <v>173</v>
      </c>
      <c r="DK43" s="257">
        <v>0</v>
      </c>
      <c r="DL43" s="257" t="s">
        <v>180</v>
      </c>
      <c r="DM43" s="257">
        <v>0</v>
      </c>
      <c r="DN43" s="257">
        <v>0</v>
      </c>
      <c r="DO43" s="257">
        <v>0</v>
      </c>
      <c r="DP43" s="276">
        <v>0</v>
      </c>
      <c r="DQ43" s="276">
        <v>0</v>
      </c>
      <c r="DR43" s="276">
        <v>0</v>
      </c>
      <c r="DS43" s="276">
        <v>0</v>
      </c>
      <c r="DT43" s="257">
        <v>0</v>
      </c>
      <c r="DU43" s="276" t="s">
        <v>961</v>
      </c>
      <c r="DV43" s="276">
        <v>1</v>
      </c>
      <c r="DW43" s="276">
        <v>1</v>
      </c>
      <c r="DX43" s="276">
        <v>1</v>
      </c>
      <c r="DY43" s="276">
        <v>0</v>
      </c>
      <c r="DZ43" s="257">
        <v>0</v>
      </c>
      <c r="EA43" s="276">
        <v>0</v>
      </c>
      <c r="EB43" s="276">
        <v>1</v>
      </c>
      <c r="EC43" s="276">
        <v>1</v>
      </c>
      <c r="ED43" s="276">
        <v>0</v>
      </c>
      <c r="EE43" s="276">
        <v>0</v>
      </c>
      <c r="EF43" s="257">
        <v>1</v>
      </c>
      <c r="EG43" s="276">
        <v>0</v>
      </c>
      <c r="EH43" s="257">
        <v>0</v>
      </c>
      <c r="EI43" s="258">
        <v>0</v>
      </c>
      <c r="EJ43" s="256"/>
      <c r="EK43" t="str">
        <f t="shared" si="34"/>
        <v>Whole sector</v>
      </c>
      <c r="EL43" t="str">
        <f t="shared" si="35"/>
        <v/>
      </c>
      <c r="EM43" s="258" t="s">
        <v>544</v>
      </c>
      <c r="EN43" s="257" t="s">
        <v>236</v>
      </c>
      <c r="EO43" s="257"/>
      <c r="EP43" t="str">
        <f>IF(ISNUMBER(BU43),IF(ABS(BU43-[2]QC_indicators!$B$2)&gt;3*[2]QC_indicators!$C$2,"C ratio",IF(ISNUMBER(BY43),IF(ABS(BY43-[2]QC_indicators!$B$1)&gt;3*[2]QC_indicators!$C$1,"DF","no"))),IF(ISNUMBER(BY43),IF(ABS(BY43-[2]QC_indicators!$B$1)&gt;3*[2]QC_indicators!$C$1,"DF","no")))</f>
        <v>no</v>
      </c>
      <c r="EQ43" s="280"/>
      <c r="ER43" s="280"/>
      <c r="ES43" s="280"/>
      <c r="ET43"/>
      <c r="EU43"/>
    </row>
    <row r="44" spans="1:151" s="139" customFormat="1" ht="15" hidden="1" customHeight="1">
      <c r="A44" s="256" t="s">
        <v>214</v>
      </c>
      <c r="B44" s="257" t="s">
        <v>215</v>
      </c>
      <c r="C44" s="257" t="s">
        <v>216</v>
      </c>
      <c r="D44" s="257" t="s">
        <v>217</v>
      </c>
      <c r="E44" s="257" t="s">
        <v>218</v>
      </c>
      <c r="F44" s="257" t="s">
        <v>219</v>
      </c>
      <c r="G44" s="257" t="s">
        <v>220</v>
      </c>
      <c r="H44" s="257"/>
      <c r="I44" s="257">
        <v>2012</v>
      </c>
      <c r="J44" s="257"/>
      <c r="K44" s="257" t="s">
        <v>221</v>
      </c>
      <c r="L44" s="257"/>
      <c r="M44" s="257" t="s">
        <v>3069</v>
      </c>
      <c r="N44" s="257" t="s">
        <v>222</v>
      </c>
      <c r="O44" s="275" t="s">
        <v>223</v>
      </c>
      <c r="P44" s="257"/>
      <c r="Q44" s="257" t="s">
        <v>224</v>
      </c>
      <c r="R44" s="258" t="s">
        <v>225</v>
      </c>
      <c r="S44" s="256" t="s">
        <v>240</v>
      </c>
      <c r="T44" s="257">
        <v>2000</v>
      </c>
      <c r="U44" s="257">
        <v>4000</v>
      </c>
      <c r="V44" s="257">
        <v>0</v>
      </c>
      <c r="W44" s="257">
        <v>0</v>
      </c>
      <c r="X44" s="257">
        <v>0</v>
      </c>
      <c r="Y44" s="257">
        <v>0</v>
      </c>
      <c r="Z44" s="257">
        <v>0</v>
      </c>
      <c r="AA44" s="257">
        <v>1</v>
      </c>
      <c r="AB44" s="257">
        <v>0</v>
      </c>
      <c r="AC44" s="257">
        <v>0</v>
      </c>
      <c r="AD44" s="257">
        <v>0</v>
      </c>
      <c r="AE44" s="257">
        <v>0</v>
      </c>
      <c r="AF44" s="257">
        <v>0</v>
      </c>
      <c r="AG44" s="257">
        <v>0</v>
      </c>
      <c r="AH44" s="257">
        <v>0</v>
      </c>
      <c r="AI44" s="257">
        <v>0</v>
      </c>
      <c r="AJ44" s="257">
        <v>0</v>
      </c>
      <c r="AK44" s="257">
        <v>0</v>
      </c>
      <c r="AL44" s="257">
        <v>0</v>
      </c>
      <c r="AM44" s="257">
        <v>0</v>
      </c>
      <c r="AN44" s="257">
        <v>0</v>
      </c>
      <c r="AO44" s="257">
        <v>0</v>
      </c>
      <c r="AP44" s="257">
        <v>0</v>
      </c>
      <c r="AQ44" s="257">
        <v>0</v>
      </c>
      <c r="AR44" s="257">
        <v>0</v>
      </c>
      <c r="AS44" s="257">
        <v>0</v>
      </c>
      <c r="AT44" s="257">
        <v>0</v>
      </c>
      <c r="AU44" s="257">
        <v>0</v>
      </c>
      <c r="AV44" s="257">
        <v>0</v>
      </c>
      <c r="AW44" s="257">
        <v>0</v>
      </c>
      <c r="AX44" s="277">
        <v>1</v>
      </c>
      <c r="AY44" s="277">
        <v>1</v>
      </c>
      <c r="AZ44" s="257">
        <v>1</v>
      </c>
      <c r="BA44" s="257">
        <v>0</v>
      </c>
      <c r="BB44" s="257">
        <v>0</v>
      </c>
      <c r="BC44" s="257">
        <v>0</v>
      </c>
      <c r="BD44" s="257">
        <v>0</v>
      </c>
      <c r="BE44" s="257" t="s">
        <v>93</v>
      </c>
      <c r="BF44" s="2" t="str" cm="1">
        <f t="array" ref="BF44">IF(COUNTIF(AZ44:BB44,"&lt;&gt;0")=1,INDEX($V$4:$AW$4,MATCH(TRUE,INDEX($V44:$AW44&lt;&gt;0,),0)),IF(COUNTIF(AZ44:BB44,"&lt;&gt;0")=0,INDEX($AM$4:$AW$4,MATCH(1,$AM44:$AW44,0)),"Multiple strategies"))</f>
        <v>Silviculture for productivity</v>
      </c>
      <c r="BG44" s="278" t="s">
        <v>229</v>
      </c>
      <c r="BH44" s="257" t="s">
        <v>230</v>
      </c>
      <c r="BI44" s="279" t="s">
        <v>3070</v>
      </c>
      <c r="BJ44" s="276" t="s">
        <v>231</v>
      </c>
      <c r="BK44" s="257">
        <v>62.093385429999998</v>
      </c>
      <c r="BL44" s="257">
        <v>68.641374010000007</v>
      </c>
      <c r="BM44" s="276">
        <v>1.1054538826423272</v>
      </c>
      <c r="BN44" s="257">
        <v>6.5479885800000091</v>
      </c>
      <c r="BO44" s="276">
        <v>13.363242000000019</v>
      </c>
      <c r="BP44" s="276" t="s">
        <v>232</v>
      </c>
      <c r="BQ44" s="279" t="s">
        <v>3070</v>
      </c>
      <c r="BR44" s="276" t="s">
        <v>233</v>
      </c>
      <c r="BS44" s="257">
        <v>-8.7761541919999999</v>
      </c>
      <c r="BT44" s="257">
        <v>-8.9317269079999999</v>
      </c>
      <c r="BU44" s="259">
        <v>1.0177267528118197</v>
      </c>
      <c r="BV44" s="257">
        <v>-0.155572716</v>
      </c>
      <c r="BW44" s="257"/>
      <c r="BX44" s="257">
        <v>-1.5557271599999999E-4</v>
      </c>
      <c r="BY44" s="257">
        <v>-1.1641839308155893E-5</v>
      </c>
      <c r="BZ44" s="257">
        <v>0</v>
      </c>
      <c r="CA44" s="257">
        <v>0</v>
      </c>
      <c r="CB44" s="257">
        <v>0</v>
      </c>
      <c r="CC44" s="257">
        <v>0</v>
      </c>
      <c r="CD44" s="257">
        <v>0</v>
      </c>
      <c r="CE44" s="257">
        <v>0</v>
      </c>
      <c r="CF44" s="257">
        <v>0</v>
      </c>
      <c r="CG44" s="257">
        <v>0</v>
      </c>
      <c r="CH44" s="257">
        <v>0</v>
      </c>
      <c r="CI44" s="257">
        <v>0</v>
      </c>
      <c r="CJ44" s="257">
        <v>0</v>
      </c>
      <c r="CK44" s="257">
        <v>0</v>
      </c>
      <c r="CL44" s="257">
        <v>0</v>
      </c>
      <c r="CM44" s="257">
        <v>0</v>
      </c>
      <c r="CN44" s="257" t="s">
        <v>3071</v>
      </c>
      <c r="CO44" s="257">
        <v>62.093385429999998</v>
      </c>
      <c r="CP44" s="257">
        <v>68.641374010000007</v>
      </c>
      <c r="CQ44" s="257">
        <v>13.363242000000019</v>
      </c>
      <c r="CR44" s="257">
        <v>-8.7761541919999999</v>
      </c>
      <c r="CS44" s="257">
        <v>-8.9317269079999999</v>
      </c>
      <c r="CT44" s="257">
        <v>-1.5557271599999999E-4</v>
      </c>
      <c r="CU44" s="257">
        <v>-1.1641839308155893E-5</v>
      </c>
      <c r="CV44" s="258">
        <v>-1.7726752811819787E-2</v>
      </c>
      <c r="CW44" s="256" t="s">
        <v>234</v>
      </c>
      <c r="CX44" s="257" t="s">
        <v>3072</v>
      </c>
      <c r="CY44" s="257" t="s">
        <v>235</v>
      </c>
      <c r="CZ44" s="257"/>
      <c r="DA44" s="276"/>
      <c r="DB44" s="276">
        <v>80</v>
      </c>
      <c r="DC44" s="257" t="s">
        <v>3073</v>
      </c>
      <c r="DD44" s="257">
        <v>0</v>
      </c>
      <c r="DE44" s="257">
        <v>1</v>
      </c>
      <c r="DF44" s="257">
        <v>0</v>
      </c>
      <c r="DG44" s="257">
        <v>0</v>
      </c>
      <c r="DH44" s="257"/>
      <c r="DI44" s="257">
        <v>1</v>
      </c>
      <c r="DJ44" s="257" t="s">
        <v>173</v>
      </c>
      <c r="DK44" s="257">
        <v>0</v>
      </c>
      <c r="DL44" s="257" t="s">
        <v>180</v>
      </c>
      <c r="DM44" s="257">
        <v>0</v>
      </c>
      <c r="DN44" s="257">
        <v>0</v>
      </c>
      <c r="DO44" s="257">
        <v>0</v>
      </c>
      <c r="DP44" s="276">
        <v>0</v>
      </c>
      <c r="DQ44" s="276">
        <v>0</v>
      </c>
      <c r="DR44" s="276">
        <v>0</v>
      </c>
      <c r="DS44" s="276">
        <v>0</v>
      </c>
      <c r="DT44" s="257">
        <v>0</v>
      </c>
      <c r="DU44" s="276" t="s">
        <v>961</v>
      </c>
      <c r="DV44" s="276">
        <v>1</v>
      </c>
      <c r="DW44" s="276">
        <v>1</v>
      </c>
      <c r="DX44" s="276">
        <v>1</v>
      </c>
      <c r="DY44" s="276">
        <v>0</v>
      </c>
      <c r="DZ44" s="257">
        <v>0</v>
      </c>
      <c r="EA44" s="276">
        <v>0</v>
      </c>
      <c r="EB44" s="276">
        <v>1</v>
      </c>
      <c r="EC44" s="276">
        <v>1</v>
      </c>
      <c r="ED44" s="276">
        <v>0</v>
      </c>
      <c r="EE44" s="276">
        <v>0</v>
      </c>
      <c r="EF44" s="257">
        <v>1</v>
      </c>
      <c r="EG44" s="276">
        <v>0</v>
      </c>
      <c r="EH44" s="257">
        <v>0</v>
      </c>
      <c r="EI44" s="258">
        <v>0</v>
      </c>
      <c r="EJ44" s="256"/>
      <c r="EK44" t="str">
        <f t="shared" si="34"/>
        <v>Whole sector</v>
      </c>
      <c r="EL44" t="str">
        <f t="shared" si="35"/>
        <v/>
      </c>
      <c r="EM44" s="258" t="s">
        <v>544</v>
      </c>
      <c r="EN44" s="257" t="s">
        <v>236</v>
      </c>
      <c r="EO44" s="257"/>
      <c r="EP44" t="str">
        <f>IF(ISNUMBER(BU44),IF(ABS(BU44-[2]QC_indicators!$B$2)&gt;3*[2]QC_indicators!$C$2,"C ratio",IF(ISNUMBER(BY44),IF(ABS(BY44-[2]QC_indicators!$B$1)&gt;3*[2]QC_indicators!$C$1,"DF","no"))),IF(ISNUMBER(BY44),IF(ABS(BY44-[2]QC_indicators!$B$1)&gt;3*[2]QC_indicators!$C$1,"DF","no")))</f>
        <v>no</v>
      </c>
      <c r="EQ44" s="280"/>
      <c r="ER44" s="280"/>
      <c r="ES44" s="280"/>
      <c r="ET44"/>
      <c r="EU44"/>
    </row>
    <row r="45" spans="1:151" s="139" customFormat="1" ht="15" hidden="1" customHeight="1">
      <c r="A45" s="256" t="s">
        <v>214</v>
      </c>
      <c r="B45" s="257" t="s">
        <v>215</v>
      </c>
      <c r="C45" s="257" t="s">
        <v>216</v>
      </c>
      <c r="D45" s="257" t="s">
        <v>217</v>
      </c>
      <c r="E45" s="257" t="s">
        <v>218</v>
      </c>
      <c r="F45" s="257" t="s">
        <v>219</v>
      </c>
      <c r="G45" s="257" t="s">
        <v>220</v>
      </c>
      <c r="H45" s="257"/>
      <c r="I45" s="257">
        <v>2012</v>
      </c>
      <c r="J45" s="257"/>
      <c r="K45" s="257" t="s">
        <v>221</v>
      </c>
      <c r="L45" s="257"/>
      <c r="M45" s="257" t="s">
        <v>3069</v>
      </c>
      <c r="N45" s="257" t="s">
        <v>222</v>
      </c>
      <c r="O45" s="275" t="s">
        <v>223</v>
      </c>
      <c r="P45" s="257"/>
      <c r="Q45" s="257" t="s">
        <v>224</v>
      </c>
      <c r="R45" s="258" t="s">
        <v>225</v>
      </c>
      <c r="S45" s="256" t="s">
        <v>240</v>
      </c>
      <c r="T45" s="257">
        <v>2000</v>
      </c>
      <c r="U45" s="257">
        <v>4000</v>
      </c>
      <c r="V45" s="257">
        <v>0</v>
      </c>
      <c r="W45" s="257">
        <v>0</v>
      </c>
      <c r="X45" s="257">
        <v>0</v>
      </c>
      <c r="Y45" s="257">
        <v>0</v>
      </c>
      <c r="Z45" s="257">
        <v>0</v>
      </c>
      <c r="AA45" s="257">
        <v>1</v>
      </c>
      <c r="AB45" s="257">
        <v>0</v>
      </c>
      <c r="AC45" s="257">
        <v>0</v>
      </c>
      <c r="AD45" s="257">
        <v>0</v>
      </c>
      <c r="AE45" s="257">
        <v>0</v>
      </c>
      <c r="AF45" s="257">
        <v>0</v>
      </c>
      <c r="AG45" s="257">
        <v>0</v>
      </c>
      <c r="AH45" s="257">
        <v>0</v>
      </c>
      <c r="AI45" s="257">
        <v>0</v>
      </c>
      <c r="AJ45" s="257">
        <v>0</v>
      </c>
      <c r="AK45" s="257">
        <v>0</v>
      </c>
      <c r="AL45" s="257">
        <v>0</v>
      </c>
      <c r="AM45" s="257">
        <v>0</v>
      </c>
      <c r="AN45" s="257">
        <v>0</v>
      </c>
      <c r="AO45" s="257">
        <v>0</v>
      </c>
      <c r="AP45" s="257">
        <v>0</v>
      </c>
      <c r="AQ45" s="257">
        <v>0</v>
      </c>
      <c r="AR45" s="257">
        <v>0</v>
      </c>
      <c r="AS45" s="257">
        <v>0</v>
      </c>
      <c r="AT45" s="257">
        <v>0</v>
      </c>
      <c r="AU45" s="257">
        <v>0</v>
      </c>
      <c r="AV45" s="257">
        <v>0</v>
      </c>
      <c r="AW45" s="257">
        <v>0</v>
      </c>
      <c r="AX45" s="277">
        <v>1</v>
      </c>
      <c r="AY45" s="277">
        <v>1</v>
      </c>
      <c r="AZ45" s="257">
        <v>1</v>
      </c>
      <c r="BA45" s="257">
        <v>0</v>
      </c>
      <c r="BB45" s="257">
        <v>0</v>
      </c>
      <c r="BC45" s="257">
        <v>0</v>
      </c>
      <c r="BD45" s="257">
        <v>0</v>
      </c>
      <c r="BE45" s="257" t="s">
        <v>93</v>
      </c>
      <c r="BF45" s="2" t="str" cm="1">
        <f t="array" ref="BF45">IF(COUNTIF(AZ45:BB45,"&lt;&gt;0")=1,INDEX($V$4:$AW$4,MATCH(TRUE,INDEX($V45:$AW45&lt;&gt;0,),0)),IF(COUNTIF(AZ45:BB45,"&lt;&gt;0")=0,INDEX($AM$4:$AW$4,MATCH(1,$AM45:$AW45,0)),"Multiple strategies"))</f>
        <v>Silviculture for productivity</v>
      </c>
      <c r="BG45" s="278" t="s">
        <v>229</v>
      </c>
      <c r="BH45" s="257" t="s">
        <v>230</v>
      </c>
      <c r="BI45" s="279" t="s">
        <v>3070</v>
      </c>
      <c r="BJ45" s="276" t="s">
        <v>231</v>
      </c>
      <c r="BK45" s="257">
        <v>47.845851490000001</v>
      </c>
      <c r="BL45" s="257">
        <v>54.398789620000002</v>
      </c>
      <c r="BM45" s="276">
        <v>1.1369593794640607</v>
      </c>
      <c r="BN45" s="257">
        <v>6.5529381300000011</v>
      </c>
      <c r="BO45" s="276">
        <v>13.373343122448983</v>
      </c>
      <c r="BP45" s="276" t="s">
        <v>232</v>
      </c>
      <c r="BQ45" s="279" t="s">
        <v>3070</v>
      </c>
      <c r="BR45" s="276" t="s">
        <v>233</v>
      </c>
      <c r="BS45" s="257">
        <v>-9.0763052210000001</v>
      </c>
      <c r="BT45" s="257">
        <v>-9.1923873230000002</v>
      </c>
      <c r="BU45" s="259">
        <v>1.0127895767246147</v>
      </c>
      <c r="BV45" s="257">
        <v>-0.11608210200000002</v>
      </c>
      <c r="BW45" s="257"/>
      <c r="BX45" s="257">
        <v>-1.1608210200000002E-4</v>
      </c>
      <c r="BY45" s="257">
        <v>-8.680110944371147E-6</v>
      </c>
      <c r="BZ45" s="257">
        <v>0</v>
      </c>
      <c r="CA45" s="257">
        <v>0</v>
      </c>
      <c r="CB45" s="257">
        <v>0</v>
      </c>
      <c r="CC45" s="257">
        <v>0</v>
      </c>
      <c r="CD45" s="257">
        <v>0</v>
      </c>
      <c r="CE45" s="257">
        <v>0</v>
      </c>
      <c r="CF45" s="257">
        <v>0</v>
      </c>
      <c r="CG45" s="257">
        <v>0</v>
      </c>
      <c r="CH45" s="257">
        <v>0</v>
      </c>
      <c r="CI45" s="257">
        <v>0</v>
      </c>
      <c r="CJ45" s="257">
        <v>0</v>
      </c>
      <c r="CK45" s="257">
        <v>0</v>
      </c>
      <c r="CL45" s="257">
        <v>0</v>
      </c>
      <c r="CM45" s="257">
        <v>0</v>
      </c>
      <c r="CN45" s="257" t="s">
        <v>3071</v>
      </c>
      <c r="CO45" s="257">
        <v>47.845851490000001</v>
      </c>
      <c r="CP45" s="257">
        <v>54.398789620000002</v>
      </c>
      <c r="CQ45" s="257">
        <v>13.373343122448983</v>
      </c>
      <c r="CR45" s="257">
        <v>-9.0763052210000001</v>
      </c>
      <c r="CS45" s="257">
        <v>-9.1923873230000002</v>
      </c>
      <c r="CT45" s="257">
        <v>-1.1608210200000002E-4</v>
      </c>
      <c r="CU45" s="257">
        <v>-8.680110944371147E-6</v>
      </c>
      <c r="CV45" s="258">
        <v>-1.2789576724614648E-2</v>
      </c>
      <c r="CW45" s="256" t="s">
        <v>234</v>
      </c>
      <c r="CX45" s="257" t="s">
        <v>3072</v>
      </c>
      <c r="CY45" s="257" t="s">
        <v>235</v>
      </c>
      <c r="CZ45" s="257"/>
      <c r="DA45" s="276"/>
      <c r="DB45" s="276">
        <v>80</v>
      </c>
      <c r="DC45" s="257" t="s">
        <v>3073</v>
      </c>
      <c r="DD45" s="257">
        <v>0</v>
      </c>
      <c r="DE45" s="257">
        <v>1</v>
      </c>
      <c r="DF45" s="257">
        <v>0</v>
      </c>
      <c r="DG45" s="257">
        <v>0</v>
      </c>
      <c r="DH45" s="257"/>
      <c r="DI45" s="257">
        <v>1</v>
      </c>
      <c r="DJ45" s="257" t="s">
        <v>173</v>
      </c>
      <c r="DK45" s="257">
        <v>0</v>
      </c>
      <c r="DL45" s="257" t="s">
        <v>180</v>
      </c>
      <c r="DM45" s="257">
        <v>0</v>
      </c>
      <c r="DN45" s="257">
        <v>0</v>
      </c>
      <c r="DO45" s="257">
        <v>0</v>
      </c>
      <c r="DP45" s="276">
        <v>0</v>
      </c>
      <c r="DQ45" s="276">
        <v>0</v>
      </c>
      <c r="DR45" s="276">
        <v>0</v>
      </c>
      <c r="DS45" s="276">
        <v>0</v>
      </c>
      <c r="DT45" s="257">
        <v>0</v>
      </c>
      <c r="DU45" s="276" t="s">
        <v>961</v>
      </c>
      <c r="DV45" s="276">
        <v>1</v>
      </c>
      <c r="DW45" s="276">
        <v>1</v>
      </c>
      <c r="DX45" s="276">
        <v>1</v>
      </c>
      <c r="DY45" s="276">
        <v>0</v>
      </c>
      <c r="DZ45" s="257">
        <v>0</v>
      </c>
      <c r="EA45" s="276">
        <v>0</v>
      </c>
      <c r="EB45" s="276">
        <v>1</v>
      </c>
      <c r="EC45" s="276">
        <v>1</v>
      </c>
      <c r="ED45" s="276">
        <v>0</v>
      </c>
      <c r="EE45" s="276">
        <v>0</v>
      </c>
      <c r="EF45" s="257">
        <v>1</v>
      </c>
      <c r="EG45" s="276">
        <v>0</v>
      </c>
      <c r="EH45" s="257">
        <v>0</v>
      </c>
      <c r="EI45" s="258">
        <v>0</v>
      </c>
      <c r="EJ45" s="256"/>
      <c r="EK45" t="str">
        <f t="shared" si="34"/>
        <v>Whole sector</v>
      </c>
      <c r="EL45" t="str">
        <f t="shared" si="35"/>
        <v/>
      </c>
      <c r="EM45" s="258" t="s">
        <v>544</v>
      </c>
      <c r="EN45" s="257" t="s">
        <v>236</v>
      </c>
      <c r="EO45" s="257"/>
      <c r="EP45" t="str">
        <f>IF(ISNUMBER(BU45),IF(ABS(BU45-[2]QC_indicators!$B$2)&gt;3*[2]QC_indicators!$C$2,"C ratio",IF(ISNUMBER(BY45),IF(ABS(BY45-[2]QC_indicators!$B$1)&gt;3*[2]QC_indicators!$C$1,"DF","no"))),IF(ISNUMBER(BY45),IF(ABS(BY45-[2]QC_indicators!$B$1)&gt;3*[2]QC_indicators!$C$1,"DF","no")))</f>
        <v>no</v>
      </c>
      <c r="EQ45" s="280"/>
      <c r="ER45" s="280"/>
      <c r="ES45" s="280"/>
      <c r="ET45"/>
      <c r="EU45"/>
    </row>
    <row r="46" spans="1:151" s="139" customFormat="1" ht="15" hidden="1" customHeight="1">
      <c r="A46" s="256" t="s">
        <v>214</v>
      </c>
      <c r="B46" s="257" t="s">
        <v>215</v>
      </c>
      <c r="C46" s="257" t="s">
        <v>216</v>
      </c>
      <c r="D46" s="257" t="s">
        <v>217</v>
      </c>
      <c r="E46" s="257" t="s">
        <v>218</v>
      </c>
      <c r="F46" s="257" t="s">
        <v>219</v>
      </c>
      <c r="G46" s="257" t="s">
        <v>220</v>
      </c>
      <c r="H46" s="257"/>
      <c r="I46" s="257">
        <v>2012</v>
      </c>
      <c r="J46" s="257"/>
      <c r="K46" s="257" t="s">
        <v>221</v>
      </c>
      <c r="L46" s="257"/>
      <c r="M46" s="257" t="s">
        <v>3069</v>
      </c>
      <c r="N46" s="257" t="s">
        <v>222</v>
      </c>
      <c r="O46" s="275" t="s">
        <v>223</v>
      </c>
      <c r="P46" s="257"/>
      <c r="Q46" s="257" t="s">
        <v>224</v>
      </c>
      <c r="R46" s="258" t="s">
        <v>225</v>
      </c>
      <c r="S46" s="256" t="s">
        <v>240</v>
      </c>
      <c r="T46" s="257">
        <v>2000</v>
      </c>
      <c r="U46" s="257">
        <v>4000</v>
      </c>
      <c r="V46" s="257">
        <v>0</v>
      </c>
      <c r="W46" s="257">
        <v>0</v>
      </c>
      <c r="X46" s="257">
        <v>0</v>
      </c>
      <c r="Y46" s="257">
        <v>0</v>
      </c>
      <c r="Z46" s="257">
        <v>0</v>
      </c>
      <c r="AA46" s="257">
        <v>1</v>
      </c>
      <c r="AB46" s="257">
        <v>0</v>
      </c>
      <c r="AC46" s="257">
        <v>0</v>
      </c>
      <c r="AD46" s="257">
        <v>0</v>
      </c>
      <c r="AE46" s="257">
        <v>0</v>
      </c>
      <c r="AF46" s="257">
        <v>0</v>
      </c>
      <c r="AG46" s="257">
        <v>0</v>
      </c>
      <c r="AH46" s="257">
        <v>0</v>
      </c>
      <c r="AI46" s="257">
        <v>0</v>
      </c>
      <c r="AJ46" s="257">
        <v>0</v>
      </c>
      <c r="AK46" s="257">
        <v>0</v>
      </c>
      <c r="AL46" s="257">
        <v>0</v>
      </c>
      <c r="AM46" s="257">
        <v>0</v>
      </c>
      <c r="AN46" s="257">
        <v>0</v>
      </c>
      <c r="AO46" s="257">
        <v>0</v>
      </c>
      <c r="AP46" s="257">
        <v>0</v>
      </c>
      <c r="AQ46" s="257">
        <v>0</v>
      </c>
      <c r="AR46" s="257">
        <v>0</v>
      </c>
      <c r="AS46" s="257">
        <v>0</v>
      </c>
      <c r="AT46" s="257">
        <v>0</v>
      </c>
      <c r="AU46" s="257">
        <v>0</v>
      </c>
      <c r="AV46" s="257">
        <v>0</v>
      </c>
      <c r="AW46" s="257">
        <v>0</v>
      </c>
      <c r="AX46" s="277">
        <v>1</v>
      </c>
      <c r="AY46" s="277">
        <v>1</v>
      </c>
      <c r="AZ46" s="257">
        <v>1</v>
      </c>
      <c r="BA46" s="257">
        <v>0</v>
      </c>
      <c r="BB46" s="257">
        <v>0</v>
      </c>
      <c r="BC46" s="257">
        <v>0</v>
      </c>
      <c r="BD46" s="257">
        <v>0</v>
      </c>
      <c r="BE46" s="257" t="s">
        <v>93</v>
      </c>
      <c r="BF46" s="2" t="str" cm="1">
        <f t="array" ref="BF46">IF(COUNTIF(AZ46:BB46,"&lt;&gt;0")=1,INDEX($V$4:$AW$4,MATCH(TRUE,INDEX($V46:$AW46&lt;&gt;0,),0)),IF(COUNTIF(AZ46:BB46,"&lt;&gt;0")=0,INDEX($AM$4:$AW$4,MATCH(1,$AM46:$AW46,0)),"Multiple strategies"))</f>
        <v>Silviculture for productivity</v>
      </c>
      <c r="BG46" s="278" t="s">
        <v>229</v>
      </c>
      <c r="BH46" s="257" t="s">
        <v>230</v>
      </c>
      <c r="BI46" s="279" t="s">
        <v>3070</v>
      </c>
      <c r="BJ46" s="276" t="s">
        <v>231</v>
      </c>
      <c r="BK46" s="257">
        <v>85.005979260000004</v>
      </c>
      <c r="BL46" s="257">
        <v>90.539028419999994</v>
      </c>
      <c r="BM46" s="276">
        <v>1.0650901172854743</v>
      </c>
      <c r="BN46" s="257">
        <v>5.5330491599999903</v>
      </c>
      <c r="BO46" s="276">
        <v>11.29193706122447</v>
      </c>
      <c r="BP46" s="276" t="s">
        <v>232</v>
      </c>
      <c r="BQ46" s="279" t="s">
        <v>3070</v>
      </c>
      <c r="BR46" s="276" t="s">
        <v>233</v>
      </c>
      <c r="BS46" s="257">
        <v>-8.1260280659999999</v>
      </c>
      <c r="BT46" s="257">
        <v>-8.2073792920000006</v>
      </c>
      <c r="BU46" s="259">
        <v>1.0100111918564965</v>
      </c>
      <c r="BV46" s="257">
        <v>-8.1351226000000665E-2</v>
      </c>
      <c r="BW46" s="257"/>
      <c r="BX46" s="257">
        <v>-8.135122600000067E-5</v>
      </c>
      <c r="BY46" s="257">
        <v>-7.2043641014749993E-6</v>
      </c>
      <c r="BZ46" s="257">
        <v>0</v>
      </c>
      <c r="CA46" s="257">
        <v>0</v>
      </c>
      <c r="CB46" s="257">
        <v>0</v>
      </c>
      <c r="CC46" s="257">
        <v>0</v>
      </c>
      <c r="CD46" s="257">
        <v>0</v>
      </c>
      <c r="CE46" s="257">
        <v>0</v>
      </c>
      <c r="CF46" s="257">
        <v>0</v>
      </c>
      <c r="CG46" s="257">
        <v>0</v>
      </c>
      <c r="CH46" s="257">
        <v>0</v>
      </c>
      <c r="CI46" s="257">
        <v>0</v>
      </c>
      <c r="CJ46" s="257">
        <v>0</v>
      </c>
      <c r="CK46" s="257">
        <v>0</v>
      </c>
      <c r="CL46" s="257">
        <v>0</v>
      </c>
      <c r="CM46" s="257">
        <v>0</v>
      </c>
      <c r="CN46" s="257" t="s">
        <v>3071</v>
      </c>
      <c r="CO46" s="257">
        <v>85.005979260000004</v>
      </c>
      <c r="CP46" s="257">
        <v>90.539028419999994</v>
      </c>
      <c r="CQ46" s="257">
        <v>11.29193706122447</v>
      </c>
      <c r="CR46" s="257">
        <v>-8.1260280659999999</v>
      </c>
      <c r="CS46" s="257">
        <v>-8.2073792920000006</v>
      </c>
      <c r="CT46" s="257">
        <v>-8.135122600000067E-5</v>
      </c>
      <c r="CU46" s="257">
        <v>-7.2043641014749993E-6</v>
      </c>
      <c r="CV46" s="258">
        <v>-1.0011191856496434E-2</v>
      </c>
      <c r="CW46" s="256" t="s">
        <v>234</v>
      </c>
      <c r="CX46" s="257" t="s">
        <v>3072</v>
      </c>
      <c r="CY46" s="257" t="s">
        <v>235</v>
      </c>
      <c r="CZ46" s="257"/>
      <c r="DA46" s="276"/>
      <c r="DB46" s="276">
        <v>80</v>
      </c>
      <c r="DC46" s="257" t="s">
        <v>3073</v>
      </c>
      <c r="DD46" s="257">
        <v>0</v>
      </c>
      <c r="DE46" s="257">
        <v>1</v>
      </c>
      <c r="DF46" s="257">
        <v>0</v>
      </c>
      <c r="DG46" s="257">
        <v>0</v>
      </c>
      <c r="DH46" s="257"/>
      <c r="DI46" s="257">
        <v>1</v>
      </c>
      <c r="DJ46" s="257" t="s">
        <v>173</v>
      </c>
      <c r="DK46" s="257">
        <v>0</v>
      </c>
      <c r="DL46" s="257" t="s">
        <v>180</v>
      </c>
      <c r="DM46" s="257">
        <v>0</v>
      </c>
      <c r="DN46" s="257">
        <v>0</v>
      </c>
      <c r="DO46" s="257">
        <v>0</v>
      </c>
      <c r="DP46" s="276">
        <v>0</v>
      </c>
      <c r="DQ46" s="276">
        <v>0</v>
      </c>
      <c r="DR46" s="276">
        <v>0</v>
      </c>
      <c r="DS46" s="276">
        <v>0</v>
      </c>
      <c r="DT46" s="257">
        <v>0</v>
      </c>
      <c r="DU46" s="276" t="s">
        <v>961</v>
      </c>
      <c r="DV46" s="276">
        <v>1</v>
      </c>
      <c r="DW46" s="276">
        <v>1</v>
      </c>
      <c r="DX46" s="276">
        <v>1</v>
      </c>
      <c r="DY46" s="276">
        <v>0</v>
      </c>
      <c r="DZ46" s="257">
        <v>0</v>
      </c>
      <c r="EA46" s="276">
        <v>0</v>
      </c>
      <c r="EB46" s="276">
        <v>1</v>
      </c>
      <c r="EC46" s="276">
        <v>1</v>
      </c>
      <c r="ED46" s="276">
        <v>0</v>
      </c>
      <c r="EE46" s="276">
        <v>0</v>
      </c>
      <c r="EF46" s="257">
        <v>1</v>
      </c>
      <c r="EG46" s="276">
        <v>0</v>
      </c>
      <c r="EH46" s="257">
        <v>0</v>
      </c>
      <c r="EI46" s="258">
        <v>0</v>
      </c>
      <c r="EJ46" s="256"/>
      <c r="EK46" t="str">
        <f t="shared" si="34"/>
        <v>Whole sector</v>
      </c>
      <c r="EL46" t="str">
        <f t="shared" si="35"/>
        <v/>
      </c>
      <c r="EM46" s="258" t="s">
        <v>544</v>
      </c>
      <c r="EN46" s="257" t="s">
        <v>236</v>
      </c>
      <c r="EO46" s="257"/>
      <c r="EP46" t="str">
        <f>IF(ISNUMBER(BU46),IF(ABS(BU46-[2]QC_indicators!$B$2)&gt;3*[2]QC_indicators!$C$2,"C ratio",IF(ISNUMBER(BY46),IF(ABS(BY46-[2]QC_indicators!$B$1)&gt;3*[2]QC_indicators!$C$1,"DF","no"))),IF(ISNUMBER(BY46),IF(ABS(BY46-[2]QC_indicators!$B$1)&gt;3*[2]QC_indicators!$C$1,"DF","no")))</f>
        <v>no</v>
      </c>
      <c r="EQ46" s="280"/>
      <c r="ER46" s="280"/>
      <c r="ES46" s="280"/>
      <c r="ET46"/>
      <c r="EU46"/>
    </row>
    <row r="47" spans="1:151" s="139" customFormat="1" ht="15" hidden="1" customHeight="1">
      <c r="A47" s="256" t="s">
        <v>214</v>
      </c>
      <c r="B47" s="257" t="s">
        <v>215</v>
      </c>
      <c r="C47" s="257" t="s">
        <v>216</v>
      </c>
      <c r="D47" s="257" t="s">
        <v>217</v>
      </c>
      <c r="E47" s="257" t="s">
        <v>218</v>
      </c>
      <c r="F47" s="257" t="s">
        <v>219</v>
      </c>
      <c r="G47" s="257" t="s">
        <v>220</v>
      </c>
      <c r="H47" s="257"/>
      <c r="I47" s="257">
        <v>2012</v>
      </c>
      <c r="J47" s="257"/>
      <c r="K47" s="257" t="s">
        <v>221</v>
      </c>
      <c r="L47" s="257"/>
      <c r="M47" s="257" t="s">
        <v>3069</v>
      </c>
      <c r="N47" s="257" t="s">
        <v>222</v>
      </c>
      <c r="O47" s="275" t="s">
        <v>223</v>
      </c>
      <c r="P47" s="257"/>
      <c r="Q47" s="257" t="s">
        <v>224</v>
      </c>
      <c r="R47" s="258" t="s">
        <v>225</v>
      </c>
      <c r="S47" s="256" t="s">
        <v>240</v>
      </c>
      <c r="T47" s="257">
        <v>2000</v>
      </c>
      <c r="U47" s="257">
        <v>4000</v>
      </c>
      <c r="V47" s="257">
        <v>0</v>
      </c>
      <c r="W47" s="257">
        <v>0</v>
      </c>
      <c r="X47" s="257">
        <v>0</v>
      </c>
      <c r="Y47" s="257">
        <v>0</v>
      </c>
      <c r="Z47" s="257">
        <v>0</v>
      </c>
      <c r="AA47" s="257">
        <v>1</v>
      </c>
      <c r="AB47" s="257">
        <v>0</v>
      </c>
      <c r="AC47" s="257">
        <v>0</v>
      </c>
      <c r="AD47" s="257">
        <v>0</v>
      </c>
      <c r="AE47" s="257">
        <v>0</v>
      </c>
      <c r="AF47" s="257">
        <v>0</v>
      </c>
      <c r="AG47" s="257">
        <v>0</v>
      </c>
      <c r="AH47" s="257">
        <v>0</v>
      </c>
      <c r="AI47" s="257">
        <v>0</v>
      </c>
      <c r="AJ47" s="257">
        <v>0</v>
      </c>
      <c r="AK47" s="257">
        <v>0</v>
      </c>
      <c r="AL47" s="257">
        <v>0</v>
      </c>
      <c r="AM47" s="257">
        <v>0</v>
      </c>
      <c r="AN47" s="257">
        <v>0</v>
      </c>
      <c r="AO47" s="257">
        <v>0</v>
      </c>
      <c r="AP47" s="257">
        <v>0</v>
      </c>
      <c r="AQ47" s="257">
        <v>0</v>
      </c>
      <c r="AR47" s="257">
        <v>0</v>
      </c>
      <c r="AS47" s="257">
        <v>0</v>
      </c>
      <c r="AT47" s="257">
        <v>0</v>
      </c>
      <c r="AU47" s="257">
        <v>0</v>
      </c>
      <c r="AV47" s="257">
        <v>0</v>
      </c>
      <c r="AW47" s="257">
        <v>0</v>
      </c>
      <c r="AX47" s="277">
        <v>1</v>
      </c>
      <c r="AY47" s="277">
        <v>1</v>
      </c>
      <c r="AZ47" s="257">
        <v>1</v>
      </c>
      <c r="BA47" s="257">
        <v>0</v>
      </c>
      <c r="BB47" s="257">
        <v>0</v>
      </c>
      <c r="BC47" s="257">
        <v>0</v>
      </c>
      <c r="BD47" s="257">
        <v>0</v>
      </c>
      <c r="BE47" s="257" t="s">
        <v>93</v>
      </c>
      <c r="BF47" s="2" t="str" cm="1">
        <f t="array" ref="BF47">IF(COUNTIF(AZ47:BB47,"&lt;&gt;0")=1,INDEX($V$4:$AW$4,MATCH(TRUE,INDEX($V47:$AW47&lt;&gt;0,),0)),IF(COUNTIF(AZ47:BB47,"&lt;&gt;0")=0,INDEX($AM$4:$AW$4,MATCH(1,$AM47:$AW47,0)),"Multiple strategies"))</f>
        <v>Silviculture for productivity</v>
      </c>
      <c r="BG47" s="278" t="s">
        <v>229</v>
      </c>
      <c r="BH47" s="257" t="s">
        <v>230</v>
      </c>
      <c r="BI47" s="279" t="s">
        <v>3070</v>
      </c>
      <c r="BJ47" s="276" t="s">
        <v>231</v>
      </c>
      <c r="BK47" s="257">
        <v>48.643391100000002</v>
      </c>
      <c r="BL47" s="257">
        <v>53.696488080000002</v>
      </c>
      <c r="BM47" s="276">
        <v>1.1038804422498414</v>
      </c>
      <c r="BN47" s="257">
        <v>5.0530969799999994</v>
      </c>
      <c r="BO47" s="276">
        <v>10.312442816326529</v>
      </c>
      <c r="BP47" s="276" t="s">
        <v>232</v>
      </c>
      <c r="BQ47" s="279" t="s">
        <v>3070</v>
      </c>
      <c r="BR47" s="276" t="s">
        <v>233</v>
      </c>
      <c r="BS47" s="257">
        <v>-9.3488297330000005</v>
      </c>
      <c r="BT47" s="257">
        <v>-9.4136546180000007</v>
      </c>
      <c r="BU47" s="259">
        <v>1.0069340106570963</v>
      </c>
      <c r="BV47" s="257">
        <v>-6.4824885000000165E-2</v>
      </c>
      <c r="BW47" s="257"/>
      <c r="BX47" s="257">
        <v>-6.4824885000000165E-5</v>
      </c>
      <c r="BY47" s="257">
        <v>-6.2860843114077907E-6</v>
      </c>
      <c r="BZ47" s="257">
        <v>0</v>
      </c>
      <c r="CA47" s="257">
        <v>0</v>
      </c>
      <c r="CB47" s="257">
        <v>0</v>
      </c>
      <c r="CC47" s="257">
        <v>0</v>
      </c>
      <c r="CD47" s="257">
        <v>0</v>
      </c>
      <c r="CE47" s="257">
        <v>0</v>
      </c>
      <c r="CF47" s="257">
        <v>0</v>
      </c>
      <c r="CG47" s="257">
        <v>0</v>
      </c>
      <c r="CH47" s="257">
        <v>0</v>
      </c>
      <c r="CI47" s="257">
        <v>0</v>
      </c>
      <c r="CJ47" s="257">
        <v>0</v>
      </c>
      <c r="CK47" s="257">
        <v>0</v>
      </c>
      <c r="CL47" s="257">
        <v>0</v>
      </c>
      <c r="CM47" s="257">
        <v>0</v>
      </c>
      <c r="CN47" s="257" t="s">
        <v>3071</v>
      </c>
      <c r="CO47" s="257">
        <v>48.643391100000002</v>
      </c>
      <c r="CP47" s="257">
        <v>53.696488080000002</v>
      </c>
      <c r="CQ47" s="257">
        <v>10.312442816326529</v>
      </c>
      <c r="CR47" s="257">
        <v>-9.3488297330000005</v>
      </c>
      <c r="CS47" s="257">
        <v>-9.4136546180000007</v>
      </c>
      <c r="CT47" s="257">
        <v>-6.4824885000000165E-5</v>
      </c>
      <c r="CU47" s="257">
        <v>-6.2860843114077907E-6</v>
      </c>
      <c r="CV47" s="258">
        <v>-6.9340106570962359E-3</v>
      </c>
      <c r="CW47" s="256" t="s">
        <v>234</v>
      </c>
      <c r="CX47" s="257" t="s">
        <v>3072</v>
      </c>
      <c r="CY47" s="257" t="s">
        <v>235</v>
      </c>
      <c r="CZ47" s="257"/>
      <c r="DA47" s="276"/>
      <c r="DB47" s="276">
        <v>80</v>
      </c>
      <c r="DC47" s="257" t="s">
        <v>3073</v>
      </c>
      <c r="DD47" s="257">
        <v>0</v>
      </c>
      <c r="DE47" s="257">
        <v>1</v>
      </c>
      <c r="DF47" s="257">
        <v>0</v>
      </c>
      <c r="DG47" s="257">
        <v>0</v>
      </c>
      <c r="DH47" s="257"/>
      <c r="DI47" s="257">
        <v>1</v>
      </c>
      <c r="DJ47" s="257" t="s">
        <v>173</v>
      </c>
      <c r="DK47" s="257">
        <v>0</v>
      </c>
      <c r="DL47" s="257" t="s">
        <v>180</v>
      </c>
      <c r="DM47" s="257">
        <v>0</v>
      </c>
      <c r="DN47" s="257">
        <v>0</v>
      </c>
      <c r="DO47" s="257">
        <v>0</v>
      </c>
      <c r="DP47" s="276">
        <v>0</v>
      </c>
      <c r="DQ47" s="276">
        <v>0</v>
      </c>
      <c r="DR47" s="276">
        <v>0</v>
      </c>
      <c r="DS47" s="276">
        <v>0</v>
      </c>
      <c r="DT47" s="257">
        <v>0</v>
      </c>
      <c r="DU47" s="276" t="s">
        <v>961</v>
      </c>
      <c r="DV47" s="276">
        <v>1</v>
      </c>
      <c r="DW47" s="276">
        <v>1</v>
      </c>
      <c r="DX47" s="276">
        <v>1</v>
      </c>
      <c r="DY47" s="276">
        <v>0</v>
      </c>
      <c r="DZ47" s="257">
        <v>0</v>
      </c>
      <c r="EA47" s="276">
        <v>0</v>
      </c>
      <c r="EB47" s="276">
        <v>1</v>
      </c>
      <c r="EC47" s="276">
        <v>1</v>
      </c>
      <c r="ED47" s="276">
        <v>0</v>
      </c>
      <c r="EE47" s="276">
        <v>0</v>
      </c>
      <c r="EF47" s="257">
        <v>1</v>
      </c>
      <c r="EG47" s="276">
        <v>0</v>
      </c>
      <c r="EH47" s="257">
        <v>0</v>
      </c>
      <c r="EI47" s="258">
        <v>0</v>
      </c>
      <c r="EJ47" s="256"/>
      <c r="EK47" t="str">
        <f t="shared" si="34"/>
        <v>Whole sector</v>
      </c>
      <c r="EL47" t="str">
        <f t="shared" si="35"/>
        <v/>
      </c>
      <c r="EM47" s="258" t="s">
        <v>544</v>
      </c>
      <c r="EN47" s="257" t="s">
        <v>236</v>
      </c>
      <c r="EO47" s="257"/>
      <c r="EP47" t="str">
        <f>IF(ISNUMBER(BU47),IF(ABS(BU47-[2]QC_indicators!$B$2)&gt;3*[2]QC_indicators!$C$2,"C ratio",IF(ISNUMBER(BY47),IF(ABS(BY47-[2]QC_indicators!$B$1)&gt;3*[2]QC_indicators!$C$1,"DF","no"))),IF(ISNUMBER(BY47),IF(ABS(BY47-[2]QC_indicators!$B$1)&gt;3*[2]QC_indicators!$C$1,"DF","no")))</f>
        <v>no</v>
      </c>
      <c r="EQ47" s="280"/>
      <c r="ER47" s="280"/>
      <c r="ES47" s="280"/>
      <c r="ET47"/>
      <c r="EU47"/>
    </row>
    <row r="48" spans="1:151" s="139" customFormat="1" ht="15" hidden="1" customHeight="1">
      <c r="A48" s="256" t="s">
        <v>214</v>
      </c>
      <c r="B48" s="257" t="s">
        <v>215</v>
      </c>
      <c r="C48" s="257" t="s">
        <v>216</v>
      </c>
      <c r="D48" s="257" t="s">
        <v>217</v>
      </c>
      <c r="E48" s="257" t="s">
        <v>218</v>
      </c>
      <c r="F48" s="257" t="s">
        <v>219</v>
      </c>
      <c r="G48" s="257" t="s">
        <v>220</v>
      </c>
      <c r="H48" s="257"/>
      <c r="I48" s="257">
        <v>2012</v>
      </c>
      <c r="J48" s="257"/>
      <c r="K48" s="257" t="s">
        <v>221</v>
      </c>
      <c r="L48" s="257"/>
      <c r="M48" s="257" t="s">
        <v>3069</v>
      </c>
      <c r="N48" s="257" t="s">
        <v>222</v>
      </c>
      <c r="O48" s="275" t="s">
        <v>223</v>
      </c>
      <c r="P48" s="257"/>
      <c r="Q48" s="257" t="s">
        <v>224</v>
      </c>
      <c r="R48" s="258" t="s">
        <v>225</v>
      </c>
      <c r="S48" s="256" t="s">
        <v>226</v>
      </c>
      <c r="T48" s="257" t="s">
        <v>238</v>
      </c>
      <c r="U48" s="257" t="s">
        <v>228</v>
      </c>
      <c r="V48" s="257">
        <v>0</v>
      </c>
      <c r="W48" s="257">
        <v>0</v>
      </c>
      <c r="X48" s="257">
        <v>0</v>
      </c>
      <c r="Y48" s="257">
        <v>1</v>
      </c>
      <c r="Z48" s="257">
        <v>0</v>
      </c>
      <c r="AA48" s="257">
        <v>0</v>
      </c>
      <c r="AB48" s="257">
        <v>0</v>
      </c>
      <c r="AC48" s="257">
        <v>0</v>
      </c>
      <c r="AD48" s="257">
        <v>0</v>
      </c>
      <c r="AE48" s="257">
        <v>0</v>
      </c>
      <c r="AF48" s="257">
        <v>0</v>
      </c>
      <c r="AG48" s="257">
        <v>0</v>
      </c>
      <c r="AH48" s="257">
        <v>0</v>
      </c>
      <c r="AI48" s="257">
        <v>0</v>
      </c>
      <c r="AJ48" s="257">
        <v>0</v>
      </c>
      <c r="AK48" s="257">
        <v>0</v>
      </c>
      <c r="AL48" s="257">
        <v>0</v>
      </c>
      <c r="AM48" s="257">
        <v>0</v>
      </c>
      <c r="AN48" s="257">
        <v>0</v>
      </c>
      <c r="AO48" s="257">
        <v>0</v>
      </c>
      <c r="AP48" s="257">
        <v>0</v>
      </c>
      <c r="AQ48" s="257">
        <v>0</v>
      </c>
      <c r="AR48" s="257">
        <v>0</v>
      </c>
      <c r="AS48" s="257">
        <v>0</v>
      </c>
      <c r="AT48" s="257">
        <v>0</v>
      </c>
      <c r="AU48" s="257">
        <v>0</v>
      </c>
      <c r="AV48" s="257">
        <v>0</v>
      </c>
      <c r="AW48" s="257">
        <v>0</v>
      </c>
      <c r="AX48" s="277">
        <v>1</v>
      </c>
      <c r="AY48" s="277">
        <v>1</v>
      </c>
      <c r="AZ48" s="257">
        <v>1</v>
      </c>
      <c r="BA48" s="257">
        <v>0</v>
      </c>
      <c r="BB48" s="257">
        <v>0</v>
      </c>
      <c r="BC48" s="257">
        <v>0</v>
      </c>
      <c r="BD48" s="257">
        <v>0</v>
      </c>
      <c r="BE48" s="257" t="s">
        <v>91</v>
      </c>
      <c r="BF48" s="2" t="str" cm="1">
        <f t="array" ref="BF48">IF(COUNTIF(AZ48:BB48,"&lt;&gt;0")=1,INDEX($V$4:$AW$4,MATCH(TRUE,INDEX($V48:$AW48&lt;&gt;0,),0)),IF(COUNTIF(AZ48:BB48,"&lt;&gt;0")=0,INDEX($AM$4:$AW$4,MATCH(1,$AM48:$AW48,0)),"Multiple strategies"))</f>
        <v>Silviculture for removals</v>
      </c>
      <c r="BG48" s="278" t="s">
        <v>229</v>
      </c>
      <c r="BH48" s="257" t="s">
        <v>230</v>
      </c>
      <c r="BI48" s="279" t="s">
        <v>3070</v>
      </c>
      <c r="BJ48" s="276" t="s">
        <v>231</v>
      </c>
      <c r="BK48" s="257">
        <v>77.011494249999998</v>
      </c>
      <c r="BL48" s="257">
        <v>95.977011489999995</v>
      </c>
      <c r="BM48" s="257">
        <v>1.2462686567076966</v>
      </c>
      <c r="BN48" s="257">
        <v>18.965517239999997</v>
      </c>
      <c r="BO48" s="276">
        <v>38.705137224489789</v>
      </c>
      <c r="BP48" s="276" t="s">
        <v>232</v>
      </c>
      <c r="BQ48" s="279" t="s">
        <v>3070</v>
      </c>
      <c r="BR48" s="276" t="s">
        <v>233</v>
      </c>
      <c r="BS48" s="257">
        <v>-8</v>
      </c>
      <c r="BT48" s="257">
        <v>-8.1428571430000005</v>
      </c>
      <c r="BU48" s="259">
        <v>1.0178571428750001</v>
      </c>
      <c r="BV48" s="257">
        <v>-0.14285714300000052</v>
      </c>
      <c r="BW48" s="257"/>
      <c r="BX48" s="257">
        <v>-1.4285714300000052E-4</v>
      </c>
      <c r="BY48" s="257">
        <v>-3.6909090948684437E-6</v>
      </c>
      <c r="BZ48" s="257">
        <v>0</v>
      </c>
      <c r="CA48" s="257">
        <v>0</v>
      </c>
      <c r="CB48" s="257">
        <v>0</v>
      </c>
      <c r="CC48" s="257">
        <v>0</v>
      </c>
      <c r="CD48" s="257">
        <v>0</v>
      </c>
      <c r="CE48" s="257">
        <v>0</v>
      </c>
      <c r="CF48" s="257">
        <v>0</v>
      </c>
      <c r="CG48" s="257">
        <v>0</v>
      </c>
      <c r="CH48" s="257">
        <v>0</v>
      </c>
      <c r="CI48" s="257">
        <v>0</v>
      </c>
      <c r="CJ48" s="257">
        <v>0</v>
      </c>
      <c r="CK48" s="257">
        <v>0</v>
      </c>
      <c r="CL48" s="257">
        <v>0</v>
      </c>
      <c r="CM48" s="257">
        <v>0</v>
      </c>
      <c r="CN48" s="257" t="s">
        <v>3071</v>
      </c>
      <c r="CO48" s="257">
        <v>77.011494249999998</v>
      </c>
      <c r="CP48" s="257">
        <v>95.977011489999995</v>
      </c>
      <c r="CQ48" s="257">
        <v>38.705137224489789</v>
      </c>
      <c r="CR48" s="257">
        <v>-8</v>
      </c>
      <c r="CS48" s="257">
        <v>-8.1428571430000005</v>
      </c>
      <c r="CT48" s="257">
        <v>-1.4285714300000052E-4</v>
      </c>
      <c r="CU48" s="257">
        <v>-3.6909090948684437E-6</v>
      </c>
      <c r="CV48" s="258">
        <v>-1.7857142875000065E-2</v>
      </c>
      <c r="CW48" s="256" t="s">
        <v>234</v>
      </c>
      <c r="CX48" s="257" t="s">
        <v>3072</v>
      </c>
      <c r="CY48" s="257" t="s">
        <v>235</v>
      </c>
      <c r="CZ48" s="257"/>
      <c r="DA48" s="276"/>
      <c r="DB48" s="276">
        <v>80</v>
      </c>
      <c r="DC48" s="257" t="s">
        <v>3073</v>
      </c>
      <c r="DD48" s="257">
        <v>0</v>
      </c>
      <c r="DE48" s="257">
        <v>1</v>
      </c>
      <c r="DF48" s="257">
        <v>0</v>
      </c>
      <c r="DG48" s="257">
        <v>0</v>
      </c>
      <c r="DH48" s="257"/>
      <c r="DI48" s="257">
        <v>1</v>
      </c>
      <c r="DJ48" s="257" t="s">
        <v>173</v>
      </c>
      <c r="DK48" s="257">
        <v>0</v>
      </c>
      <c r="DL48" s="257" t="s">
        <v>180</v>
      </c>
      <c r="DM48" s="257">
        <v>0</v>
      </c>
      <c r="DN48" s="257">
        <v>0</v>
      </c>
      <c r="DO48" s="257">
        <v>0</v>
      </c>
      <c r="DP48" s="276">
        <v>0</v>
      </c>
      <c r="DQ48" s="276">
        <v>0</v>
      </c>
      <c r="DR48" s="276">
        <v>0</v>
      </c>
      <c r="DS48" s="276">
        <v>0</v>
      </c>
      <c r="DT48" s="257">
        <v>0</v>
      </c>
      <c r="DU48" s="276" t="s">
        <v>961</v>
      </c>
      <c r="DV48" s="276">
        <v>1</v>
      </c>
      <c r="DW48" s="276">
        <v>1</v>
      </c>
      <c r="DX48" s="276">
        <v>1</v>
      </c>
      <c r="DY48" s="276">
        <v>0</v>
      </c>
      <c r="DZ48" s="257">
        <v>0</v>
      </c>
      <c r="EA48" s="276">
        <v>0</v>
      </c>
      <c r="EB48" s="276">
        <v>1</v>
      </c>
      <c r="EC48" s="276">
        <v>1</v>
      </c>
      <c r="ED48" s="276">
        <v>0</v>
      </c>
      <c r="EE48" s="276">
        <v>0</v>
      </c>
      <c r="EF48" s="257">
        <v>1</v>
      </c>
      <c r="EG48" s="276">
        <v>0</v>
      </c>
      <c r="EH48" s="257">
        <v>0</v>
      </c>
      <c r="EI48" s="258">
        <v>0</v>
      </c>
      <c r="EJ48" s="256"/>
      <c r="EK48" t="str">
        <f t="shared" si="34"/>
        <v>Whole sector</v>
      </c>
      <c r="EL48" t="str">
        <f t="shared" si="35"/>
        <v/>
      </c>
      <c r="EM48" s="258" t="s">
        <v>544</v>
      </c>
      <c r="EN48" s="257" t="s">
        <v>236</v>
      </c>
      <c r="EO48" s="257"/>
      <c r="EP48" t="str">
        <f>IF(ISNUMBER(BU48),IF(ABS(BU48-[2]QC_indicators!$B$2)&gt;3*[2]QC_indicators!$C$2,"C ratio",IF(ISNUMBER(BY48),IF(ABS(BY48-[2]QC_indicators!$B$1)&gt;3*[2]QC_indicators!$C$1,"DF","no"))),IF(ISNUMBER(BY48),IF(ABS(BY48-[2]QC_indicators!$B$1)&gt;3*[2]QC_indicators!$C$1,"DF","no")))</f>
        <v>no</v>
      </c>
      <c r="EQ48" s="257"/>
      <c r="ER48" s="257"/>
      <c r="ES48" s="257"/>
      <c r="ET48" s="257"/>
      <c r="EU48"/>
    </row>
    <row r="49" spans="1:151" s="139" customFormat="1" ht="15" hidden="1" customHeight="1">
      <c r="A49" s="256" t="s">
        <v>214</v>
      </c>
      <c r="B49" s="257" t="s">
        <v>215</v>
      </c>
      <c r="C49" s="257" t="s">
        <v>216</v>
      </c>
      <c r="D49" s="257" t="s">
        <v>217</v>
      </c>
      <c r="E49" s="257" t="s">
        <v>218</v>
      </c>
      <c r="F49" s="257" t="s">
        <v>219</v>
      </c>
      <c r="G49" s="257" t="s">
        <v>220</v>
      </c>
      <c r="H49" s="257"/>
      <c r="I49" s="257">
        <v>2012</v>
      </c>
      <c r="J49" s="257"/>
      <c r="K49" s="257" t="s">
        <v>221</v>
      </c>
      <c r="L49" s="257"/>
      <c r="M49" s="257" t="s">
        <v>3069</v>
      </c>
      <c r="N49" s="257" t="s">
        <v>222</v>
      </c>
      <c r="O49" s="275" t="s">
        <v>223</v>
      </c>
      <c r="P49" s="257"/>
      <c r="Q49" s="257" t="s">
        <v>224</v>
      </c>
      <c r="R49" s="258" t="s">
        <v>225</v>
      </c>
      <c r="S49" s="256" t="s">
        <v>241</v>
      </c>
      <c r="T49" s="257" t="s">
        <v>242</v>
      </c>
      <c r="U49" s="276" t="s">
        <v>243</v>
      </c>
      <c r="V49" s="257">
        <v>0</v>
      </c>
      <c r="W49" s="257">
        <v>0</v>
      </c>
      <c r="X49" s="257">
        <v>0</v>
      </c>
      <c r="Y49" s="257">
        <v>0</v>
      </c>
      <c r="Z49" s="257">
        <v>0</v>
      </c>
      <c r="AA49" s="257">
        <v>0</v>
      </c>
      <c r="AB49" s="257">
        <v>0</v>
      </c>
      <c r="AC49" s="257">
        <v>1</v>
      </c>
      <c r="AD49" s="257">
        <v>0</v>
      </c>
      <c r="AE49" s="257">
        <v>0</v>
      </c>
      <c r="AF49" s="257">
        <v>0</v>
      </c>
      <c r="AG49" s="257">
        <v>0</v>
      </c>
      <c r="AH49" s="257">
        <v>0</v>
      </c>
      <c r="AI49" s="257">
        <v>0</v>
      </c>
      <c r="AJ49" s="257">
        <v>0</v>
      </c>
      <c r="AK49" s="257">
        <v>0</v>
      </c>
      <c r="AL49" s="257">
        <v>0</v>
      </c>
      <c r="AM49" s="257">
        <v>0</v>
      </c>
      <c r="AN49" s="257">
        <v>0</v>
      </c>
      <c r="AO49" s="257">
        <v>0</v>
      </c>
      <c r="AP49" s="257">
        <v>0</v>
      </c>
      <c r="AQ49" s="257">
        <v>0</v>
      </c>
      <c r="AR49" s="257">
        <v>0</v>
      </c>
      <c r="AS49" s="257">
        <v>0</v>
      </c>
      <c r="AT49" s="257">
        <v>0</v>
      </c>
      <c r="AU49" s="257">
        <v>0</v>
      </c>
      <c r="AV49" s="257">
        <v>0</v>
      </c>
      <c r="AW49" s="257">
        <v>0</v>
      </c>
      <c r="AX49" s="277">
        <v>1</v>
      </c>
      <c r="AY49" s="277">
        <v>1</v>
      </c>
      <c r="AZ49" s="257">
        <v>1</v>
      </c>
      <c r="BA49" s="257">
        <v>0</v>
      </c>
      <c r="BB49" s="257">
        <v>0</v>
      </c>
      <c r="BC49" s="257">
        <v>0</v>
      </c>
      <c r="BD49" s="257">
        <v>0</v>
      </c>
      <c r="BE49" s="257" t="s">
        <v>95</v>
      </c>
      <c r="BF49" s="2" t="str" cm="1">
        <f t="array" ref="BF49">IF(COUNTIF(AZ49:BB49,"&lt;&gt;0")=1,INDEX($V$4:$AW$4,MATCH(TRUE,INDEX($V49:$AW49&lt;&gt;0,),0)),IF(COUNTIF(AZ49:BB49,"&lt;&gt;0")=0,INDEX($AM$4:$AW$4,MATCH(1,$AM49:$AW49,0)),"Multiple strategies"))</f>
        <v>Silviculture for productivity</v>
      </c>
      <c r="BG49" s="278" t="s">
        <v>229</v>
      </c>
      <c r="BH49" s="257" t="s">
        <v>230</v>
      </c>
      <c r="BI49" s="279" t="s">
        <v>3070</v>
      </c>
      <c r="BJ49" s="276" t="s">
        <v>231</v>
      </c>
      <c r="BK49" s="257">
        <v>89.047467968273295</v>
      </c>
      <c r="BL49" s="257">
        <v>95.977011494252807</v>
      </c>
      <c r="BM49" s="276">
        <v>1.0778185352608616</v>
      </c>
      <c r="BN49" s="257">
        <v>6.9295435259795113</v>
      </c>
      <c r="BO49" s="276">
        <v>14.141925563223493</v>
      </c>
      <c r="BP49" s="276" t="s">
        <v>232</v>
      </c>
      <c r="BQ49" s="279" t="s">
        <v>3070</v>
      </c>
      <c r="BR49" s="276" t="s">
        <v>233</v>
      </c>
      <c r="BS49" s="257">
        <v>-8.1050396583282396</v>
      </c>
      <c r="BT49" s="257">
        <v>-8.1428571428571406</v>
      </c>
      <c r="BU49" s="259">
        <v>1.0046659222068139</v>
      </c>
      <c r="BV49" s="257">
        <v>-3.7817484528900991E-2</v>
      </c>
      <c r="BW49" s="257"/>
      <c r="BX49" s="257">
        <v>-3.781748452890099E-5</v>
      </c>
      <c r="BY49" s="257">
        <v>-2.6741396961702658E-6</v>
      </c>
      <c r="BZ49" s="257">
        <v>0</v>
      </c>
      <c r="CA49" s="257">
        <v>0</v>
      </c>
      <c r="CB49" s="257">
        <v>0</v>
      </c>
      <c r="CC49" s="257">
        <v>0</v>
      </c>
      <c r="CD49" s="257">
        <v>0</v>
      </c>
      <c r="CE49" s="257">
        <v>0</v>
      </c>
      <c r="CF49" s="257">
        <v>0</v>
      </c>
      <c r="CG49" s="257">
        <v>0</v>
      </c>
      <c r="CH49" s="257">
        <v>0</v>
      </c>
      <c r="CI49" s="257">
        <v>0</v>
      </c>
      <c r="CJ49" s="257">
        <v>0</v>
      </c>
      <c r="CK49" s="257">
        <v>0</v>
      </c>
      <c r="CL49" s="257">
        <v>0</v>
      </c>
      <c r="CM49" s="257">
        <v>0</v>
      </c>
      <c r="CN49" s="257" t="s">
        <v>3071</v>
      </c>
      <c r="CO49" s="257">
        <v>89.047467968273295</v>
      </c>
      <c r="CP49" s="257">
        <v>95.977011494252807</v>
      </c>
      <c r="CQ49" s="257">
        <v>14.141925563223493</v>
      </c>
      <c r="CR49" s="257">
        <v>-8.1050396583282396</v>
      </c>
      <c r="CS49" s="257">
        <v>-8.1428571428571406</v>
      </c>
      <c r="CT49" s="257">
        <v>-3.781748452890099E-5</v>
      </c>
      <c r="CU49" s="257">
        <v>-2.6741396961702658E-6</v>
      </c>
      <c r="CV49" s="258">
        <v>-4.6659222068138892E-3</v>
      </c>
      <c r="CW49" s="256" t="s">
        <v>234</v>
      </c>
      <c r="CX49" s="257" t="s">
        <v>3072</v>
      </c>
      <c r="CY49" s="257" t="s">
        <v>235</v>
      </c>
      <c r="CZ49" s="257"/>
      <c r="DA49" s="276"/>
      <c r="DB49" s="276">
        <v>80</v>
      </c>
      <c r="DC49" s="257" t="s">
        <v>3073</v>
      </c>
      <c r="DD49" s="257">
        <v>0</v>
      </c>
      <c r="DE49" s="257">
        <v>1</v>
      </c>
      <c r="DF49" s="257">
        <v>0</v>
      </c>
      <c r="DG49" s="257">
        <v>0</v>
      </c>
      <c r="DH49" s="257"/>
      <c r="DI49" s="257">
        <v>1</v>
      </c>
      <c r="DJ49" s="257" t="s">
        <v>173</v>
      </c>
      <c r="DK49" s="257">
        <v>0</v>
      </c>
      <c r="DL49" s="257" t="s">
        <v>180</v>
      </c>
      <c r="DM49" s="257">
        <v>0</v>
      </c>
      <c r="DN49" s="257">
        <v>0</v>
      </c>
      <c r="DO49" s="257">
        <v>0</v>
      </c>
      <c r="DP49" s="276">
        <v>0</v>
      </c>
      <c r="DQ49" s="276">
        <v>0</v>
      </c>
      <c r="DR49" s="276">
        <v>0</v>
      </c>
      <c r="DS49" s="276">
        <v>0</v>
      </c>
      <c r="DT49" s="257">
        <v>0</v>
      </c>
      <c r="DU49" s="276" t="s">
        <v>961</v>
      </c>
      <c r="DV49" s="276">
        <v>1</v>
      </c>
      <c r="DW49" s="276">
        <v>1</v>
      </c>
      <c r="DX49" s="276">
        <v>1</v>
      </c>
      <c r="DY49" s="276">
        <v>0</v>
      </c>
      <c r="DZ49" s="257">
        <v>0</v>
      </c>
      <c r="EA49" s="276">
        <v>0</v>
      </c>
      <c r="EB49" s="276">
        <v>1</v>
      </c>
      <c r="EC49" s="276">
        <v>1</v>
      </c>
      <c r="ED49" s="276">
        <v>0</v>
      </c>
      <c r="EE49" s="276">
        <v>0</v>
      </c>
      <c r="EF49" s="257">
        <v>1</v>
      </c>
      <c r="EG49" s="276">
        <v>0</v>
      </c>
      <c r="EH49" s="257">
        <v>0</v>
      </c>
      <c r="EI49" s="258">
        <v>0</v>
      </c>
      <c r="EJ49" s="256"/>
      <c r="EK49" t="str">
        <f t="shared" si="34"/>
        <v>Whole sector</v>
      </c>
      <c r="EL49" t="str">
        <f t="shared" si="35"/>
        <v/>
      </c>
      <c r="EM49" s="258" t="s">
        <v>544</v>
      </c>
      <c r="EN49" s="257" t="s">
        <v>236</v>
      </c>
      <c r="EO49" s="257"/>
      <c r="EP49" t="str">
        <f>IF(ISNUMBER(BU49),IF(ABS(BU49-[2]QC_indicators!$B$2)&gt;3*[2]QC_indicators!$C$2,"C ratio",IF(ISNUMBER(BY49),IF(ABS(BY49-[2]QC_indicators!$B$1)&gt;3*[2]QC_indicators!$C$1,"DF","no"))),IF(ISNUMBER(BY49),IF(ABS(BY49-[2]QC_indicators!$B$1)&gt;3*[2]QC_indicators!$C$1,"DF","no")))</f>
        <v>no</v>
      </c>
      <c r="EQ49"/>
      <c r="ER49"/>
      <c r="ES49"/>
      <c r="ET49"/>
      <c r="EU49"/>
    </row>
    <row r="50" spans="1:151" s="139" customFormat="1" ht="15" hidden="1" customHeight="1">
      <c r="A50" s="256" t="s">
        <v>214</v>
      </c>
      <c r="B50" s="257" t="s">
        <v>215</v>
      </c>
      <c r="C50" s="257" t="s">
        <v>216</v>
      </c>
      <c r="D50" s="257" t="s">
        <v>217</v>
      </c>
      <c r="E50" s="257" t="s">
        <v>218</v>
      </c>
      <c r="F50" s="257" t="s">
        <v>219</v>
      </c>
      <c r="G50" s="257" t="s">
        <v>220</v>
      </c>
      <c r="H50" s="257"/>
      <c r="I50" s="257">
        <v>2012</v>
      </c>
      <c r="J50" s="257"/>
      <c r="K50" s="257" t="s">
        <v>221</v>
      </c>
      <c r="L50" s="257"/>
      <c r="M50" s="257" t="s">
        <v>3069</v>
      </c>
      <c r="N50" s="257" t="s">
        <v>222</v>
      </c>
      <c r="O50" s="275" t="s">
        <v>223</v>
      </c>
      <c r="P50" s="257"/>
      <c r="Q50" s="257" t="s">
        <v>224</v>
      </c>
      <c r="R50" s="258" t="s">
        <v>225</v>
      </c>
      <c r="S50" s="256" t="s">
        <v>240</v>
      </c>
      <c r="T50" s="257">
        <v>2000</v>
      </c>
      <c r="U50" s="257">
        <v>4000</v>
      </c>
      <c r="V50" s="257">
        <v>0</v>
      </c>
      <c r="W50" s="257">
        <v>0</v>
      </c>
      <c r="X50" s="257">
        <v>0</v>
      </c>
      <c r="Y50" s="257">
        <v>0</v>
      </c>
      <c r="Z50" s="257">
        <v>0</v>
      </c>
      <c r="AA50" s="257">
        <v>1</v>
      </c>
      <c r="AB50" s="257">
        <v>0</v>
      </c>
      <c r="AC50" s="257">
        <v>0</v>
      </c>
      <c r="AD50" s="257">
        <v>0</v>
      </c>
      <c r="AE50" s="257">
        <v>0</v>
      </c>
      <c r="AF50" s="257">
        <v>0</v>
      </c>
      <c r="AG50" s="257">
        <v>0</v>
      </c>
      <c r="AH50" s="257">
        <v>0</v>
      </c>
      <c r="AI50" s="257">
        <v>0</v>
      </c>
      <c r="AJ50" s="257">
        <v>0</v>
      </c>
      <c r="AK50" s="257">
        <v>0</v>
      </c>
      <c r="AL50" s="257">
        <v>0</v>
      </c>
      <c r="AM50" s="257">
        <v>0</v>
      </c>
      <c r="AN50" s="257">
        <v>0</v>
      </c>
      <c r="AO50" s="257">
        <v>0</v>
      </c>
      <c r="AP50" s="257">
        <v>0</v>
      </c>
      <c r="AQ50" s="257">
        <v>0</v>
      </c>
      <c r="AR50" s="257">
        <v>0</v>
      </c>
      <c r="AS50" s="257">
        <v>0</v>
      </c>
      <c r="AT50" s="257">
        <v>0</v>
      </c>
      <c r="AU50" s="257">
        <v>0</v>
      </c>
      <c r="AV50" s="257">
        <v>0</v>
      </c>
      <c r="AW50" s="257">
        <v>0</v>
      </c>
      <c r="AX50" s="277">
        <v>1</v>
      </c>
      <c r="AY50" s="277">
        <v>1</v>
      </c>
      <c r="AZ50" s="257">
        <v>1</v>
      </c>
      <c r="BA50" s="257">
        <v>0</v>
      </c>
      <c r="BB50" s="257">
        <v>0</v>
      </c>
      <c r="BC50" s="257">
        <v>0</v>
      </c>
      <c r="BD50" s="257">
        <v>0</v>
      </c>
      <c r="BE50" s="257" t="s">
        <v>93</v>
      </c>
      <c r="BF50" s="2" t="str" cm="1">
        <f t="array" ref="BF50">IF(COUNTIF(AZ50:BB50,"&lt;&gt;0")=1,INDEX($V$4:$AW$4,MATCH(TRUE,INDEX($V50:$AW50&lt;&gt;0,),0)),IF(COUNTIF(AZ50:BB50,"&lt;&gt;0")=0,INDEX($AM$4:$AW$4,MATCH(1,$AM50:$AW50,0)),"Multiple strategies"))</f>
        <v>Silviculture for productivity</v>
      </c>
      <c r="BG50" s="278" t="s">
        <v>229</v>
      </c>
      <c r="BH50" s="257" t="s">
        <v>230</v>
      </c>
      <c r="BI50" s="279" t="s">
        <v>3070</v>
      </c>
      <c r="BJ50" s="276" t="s">
        <v>231</v>
      </c>
      <c r="BK50" s="257">
        <v>89.04746797</v>
      </c>
      <c r="BL50" s="257">
        <v>98.063244030000007</v>
      </c>
      <c r="BM50" s="276">
        <v>1.1012468548015022</v>
      </c>
      <c r="BN50" s="257">
        <v>9.0157760600000074</v>
      </c>
      <c r="BO50" s="276">
        <v>18.399542979591853</v>
      </c>
      <c r="BP50" s="276" t="s">
        <v>232</v>
      </c>
      <c r="BQ50" s="279" t="s">
        <v>3070</v>
      </c>
      <c r="BR50" s="276" t="s">
        <v>233</v>
      </c>
      <c r="BS50" s="257">
        <v>-8.1050396580000008</v>
      </c>
      <c r="BT50" s="257">
        <v>-8.12446701</v>
      </c>
      <c r="BU50" s="259">
        <v>1.0023969471859182</v>
      </c>
      <c r="BV50" s="257">
        <v>-1.9427351999999232E-2</v>
      </c>
      <c r="BW50" s="257"/>
      <c r="BX50" s="257">
        <v>-1.9427351999999233E-5</v>
      </c>
      <c r="BY50" s="257">
        <v>-1.0558605733602943E-6</v>
      </c>
      <c r="BZ50" s="257">
        <v>0</v>
      </c>
      <c r="CA50" s="257">
        <v>0</v>
      </c>
      <c r="CB50" s="257">
        <v>0</v>
      </c>
      <c r="CC50" s="257">
        <v>0</v>
      </c>
      <c r="CD50" s="257">
        <v>0</v>
      </c>
      <c r="CE50" s="257">
        <v>0</v>
      </c>
      <c r="CF50" s="257">
        <v>0</v>
      </c>
      <c r="CG50" s="257">
        <v>0</v>
      </c>
      <c r="CH50" s="257">
        <v>0</v>
      </c>
      <c r="CI50" s="257">
        <v>0</v>
      </c>
      <c r="CJ50" s="257">
        <v>0</v>
      </c>
      <c r="CK50" s="257">
        <v>0</v>
      </c>
      <c r="CL50" s="257">
        <v>0</v>
      </c>
      <c r="CM50" s="257">
        <v>0</v>
      </c>
      <c r="CN50" s="257" t="s">
        <v>3071</v>
      </c>
      <c r="CO50" s="257">
        <v>89.04746797</v>
      </c>
      <c r="CP50" s="257">
        <v>98.063244030000007</v>
      </c>
      <c r="CQ50" s="257">
        <v>18.399542979591853</v>
      </c>
      <c r="CR50" s="257">
        <v>-8.1050396580000008</v>
      </c>
      <c r="CS50" s="257">
        <v>-8.12446701</v>
      </c>
      <c r="CT50" s="257">
        <v>-1.9427351999999233E-5</v>
      </c>
      <c r="CU50" s="257">
        <v>-1.0558605733602943E-6</v>
      </c>
      <c r="CV50" s="258">
        <v>-2.396947185918289E-3</v>
      </c>
      <c r="CW50" s="256" t="s">
        <v>234</v>
      </c>
      <c r="CX50" s="257" t="s">
        <v>3072</v>
      </c>
      <c r="CY50" s="257" t="s">
        <v>235</v>
      </c>
      <c r="CZ50" s="257"/>
      <c r="DA50" s="276"/>
      <c r="DB50" s="276">
        <v>80</v>
      </c>
      <c r="DC50" s="257" t="s">
        <v>3073</v>
      </c>
      <c r="DD50" s="257">
        <v>0</v>
      </c>
      <c r="DE50" s="257">
        <v>1</v>
      </c>
      <c r="DF50" s="257">
        <v>0</v>
      </c>
      <c r="DG50" s="257">
        <v>0</v>
      </c>
      <c r="DH50" s="257"/>
      <c r="DI50" s="257">
        <v>1</v>
      </c>
      <c r="DJ50" s="257" t="s">
        <v>173</v>
      </c>
      <c r="DK50" s="257">
        <v>0</v>
      </c>
      <c r="DL50" s="257" t="s">
        <v>180</v>
      </c>
      <c r="DM50" s="257">
        <v>0</v>
      </c>
      <c r="DN50" s="257">
        <v>0</v>
      </c>
      <c r="DO50" s="257">
        <v>0</v>
      </c>
      <c r="DP50" s="276">
        <v>0</v>
      </c>
      <c r="DQ50" s="276">
        <v>0</v>
      </c>
      <c r="DR50" s="276">
        <v>0</v>
      </c>
      <c r="DS50" s="276">
        <v>0</v>
      </c>
      <c r="DT50" s="257">
        <v>0</v>
      </c>
      <c r="DU50" s="276" t="s">
        <v>961</v>
      </c>
      <c r="DV50" s="276">
        <v>1</v>
      </c>
      <c r="DW50" s="276">
        <v>1</v>
      </c>
      <c r="DX50" s="276">
        <v>1</v>
      </c>
      <c r="DY50" s="276">
        <v>0</v>
      </c>
      <c r="DZ50" s="257">
        <v>0</v>
      </c>
      <c r="EA50" s="276">
        <v>0</v>
      </c>
      <c r="EB50" s="276">
        <v>1</v>
      </c>
      <c r="EC50" s="276">
        <v>1</v>
      </c>
      <c r="ED50" s="276">
        <v>0</v>
      </c>
      <c r="EE50" s="276">
        <v>0</v>
      </c>
      <c r="EF50" s="257">
        <v>1</v>
      </c>
      <c r="EG50" s="276">
        <v>0</v>
      </c>
      <c r="EH50" s="257">
        <v>0</v>
      </c>
      <c r="EI50" s="258">
        <v>0</v>
      </c>
      <c r="EJ50" s="256"/>
      <c r="EK50" t="str">
        <f t="shared" si="34"/>
        <v>Whole sector</v>
      </c>
      <c r="EL50" t="str">
        <f t="shared" si="35"/>
        <v/>
      </c>
      <c r="EM50" s="258" t="s">
        <v>544</v>
      </c>
      <c r="EN50" s="257" t="s">
        <v>236</v>
      </c>
      <c r="EO50" s="257"/>
      <c r="EP50" t="str">
        <f>IF(ISNUMBER(BU50),IF(ABS(BU50-[2]QC_indicators!$B$2)&gt;3*[2]QC_indicators!$C$2,"C ratio",IF(ISNUMBER(BY50),IF(ABS(BY50-[2]QC_indicators!$B$1)&gt;3*[2]QC_indicators!$C$1,"DF","no"))),IF(ISNUMBER(BY50),IF(ABS(BY50-[2]QC_indicators!$B$1)&gt;3*[2]QC_indicators!$C$1,"DF","no")))</f>
        <v>no</v>
      </c>
      <c r="EQ50" s="280"/>
      <c r="ER50" s="280"/>
      <c r="ES50" s="280"/>
      <c r="ET50"/>
      <c r="EU50"/>
    </row>
    <row r="51" spans="1:151" s="139" customFormat="1" ht="15" hidden="1" customHeight="1">
      <c r="A51" s="256" t="s">
        <v>214</v>
      </c>
      <c r="B51" s="257" t="s">
        <v>215</v>
      </c>
      <c r="C51" s="257" t="s">
        <v>216</v>
      </c>
      <c r="D51" s="257" t="s">
        <v>217</v>
      </c>
      <c r="E51" s="257" t="s">
        <v>218</v>
      </c>
      <c r="F51" s="257" t="s">
        <v>219</v>
      </c>
      <c r="G51" s="257" t="s">
        <v>220</v>
      </c>
      <c r="H51" s="257"/>
      <c r="I51" s="257">
        <v>2012</v>
      </c>
      <c r="J51" s="257"/>
      <c r="K51" s="257" t="s">
        <v>221</v>
      </c>
      <c r="L51" s="257"/>
      <c r="M51" s="257" t="s">
        <v>3069</v>
      </c>
      <c r="N51" s="257" t="s">
        <v>222</v>
      </c>
      <c r="O51" s="275" t="s">
        <v>223</v>
      </c>
      <c r="P51" s="257"/>
      <c r="Q51" s="257" t="s">
        <v>224</v>
      </c>
      <c r="R51" s="258" t="s">
        <v>225</v>
      </c>
      <c r="S51" s="256" t="s">
        <v>240</v>
      </c>
      <c r="T51" s="257">
        <v>2000</v>
      </c>
      <c r="U51" s="257">
        <v>4000</v>
      </c>
      <c r="V51" s="257">
        <v>0</v>
      </c>
      <c r="W51" s="257">
        <v>0</v>
      </c>
      <c r="X51" s="257">
        <v>0</v>
      </c>
      <c r="Y51" s="257">
        <v>0</v>
      </c>
      <c r="Z51" s="257">
        <v>0</v>
      </c>
      <c r="AA51" s="257">
        <v>1</v>
      </c>
      <c r="AB51" s="257">
        <v>0</v>
      </c>
      <c r="AC51" s="257">
        <v>0</v>
      </c>
      <c r="AD51" s="257">
        <v>0</v>
      </c>
      <c r="AE51" s="257">
        <v>0</v>
      </c>
      <c r="AF51" s="257">
        <v>0</v>
      </c>
      <c r="AG51" s="257">
        <v>0</v>
      </c>
      <c r="AH51" s="257">
        <v>0</v>
      </c>
      <c r="AI51" s="257">
        <v>0</v>
      </c>
      <c r="AJ51" s="257">
        <v>0</v>
      </c>
      <c r="AK51" s="257">
        <v>0</v>
      </c>
      <c r="AL51" s="257">
        <v>0</v>
      </c>
      <c r="AM51" s="257">
        <v>0</v>
      </c>
      <c r="AN51" s="257">
        <v>0</v>
      </c>
      <c r="AO51" s="257">
        <v>0</v>
      </c>
      <c r="AP51" s="257">
        <v>0</v>
      </c>
      <c r="AQ51" s="257">
        <v>0</v>
      </c>
      <c r="AR51" s="257">
        <v>0</v>
      </c>
      <c r="AS51" s="257">
        <v>0</v>
      </c>
      <c r="AT51" s="257">
        <v>0</v>
      </c>
      <c r="AU51" s="257">
        <v>0</v>
      </c>
      <c r="AV51" s="257">
        <v>0</v>
      </c>
      <c r="AW51" s="257">
        <v>0</v>
      </c>
      <c r="AX51" s="277">
        <v>1</v>
      </c>
      <c r="AY51" s="277">
        <v>1</v>
      </c>
      <c r="AZ51" s="257">
        <v>1</v>
      </c>
      <c r="BA51" s="257">
        <v>0</v>
      </c>
      <c r="BB51" s="257">
        <v>0</v>
      </c>
      <c r="BC51" s="257">
        <v>0</v>
      </c>
      <c r="BD51" s="257">
        <v>0</v>
      </c>
      <c r="BE51" s="257" t="s">
        <v>93</v>
      </c>
      <c r="BF51" s="2" t="str" cm="1">
        <f t="array" ref="BF51">IF(COUNTIF(AZ51:BB51,"&lt;&gt;0")=1,INDEX($V$4:$AW$4,MATCH(TRUE,INDEX($V51:$AW51&lt;&gt;0,),0)),IF(COUNTIF(AZ51:BB51,"&lt;&gt;0")=0,INDEX($AM$4:$AW$4,MATCH(1,$AM51:$AW51,0)),"Multiple strategies"))</f>
        <v>Silviculture for productivity</v>
      </c>
      <c r="BG51" s="278" t="s">
        <v>229</v>
      </c>
      <c r="BH51" s="257" t="s">
        <v>230</v>
      </c>
      <c r="BI51" s="279" t="s">
        <v>3070</v>
      </c>
      <c r="BJ51" s="276" t="s">
        <v>231</v>
      </c>
      <c r="BK51" s="257">
        <v>110.7133618</v>
      </c>
      <c r="BL51" s="257">
        <v>124.6996771</v>
      </c>
      <c r="BM51" s="276">
        <v>1.1263290633813994</v>
      </c>
      <c r="BN51" s="257">
        <v>13.986315300000001</v>
      </c>
      <c r="BO51" s="276">
        <v>28.543500612244902</v>
      </c>
      <c r="BP51" s="276" t="s">
        <v>232</v>
      </c>
      <c r="BQ51" s="279" t="s">
        <v>3070</v>
      </c>
      <c r="BR51" s="276" t="s">
        <v>233</v>
      </c>
      <c r="BS51" s="257">
        <v>-7.8881757170000002</v>
      </c>
      <c r="BT51" s="257">
        <v>-7.9158553720000002</v>
      </c>
      <c r="BU51" s="259">
        <v>1.0035090058833689</v>
      </c>
      <c r="BV51" s="257">
        <v>-2.7679655000000025E-2</v>
      </c>
      <c r="BW51" s="257"/>
      <c r="BX51" s="257">
        <v>-2.7679655000000026E-5</v>
      </c>
      <c r="BY51" s="257">
        <v>-9.6973582098496033E-7</v>
      </c>
      <c r="BZ51" s="257">
        <v>0</v>
      </c>
      <c r="CA51" s="257">
        <v>0</v>
      </c>
      <c r="CB51" s="257">
        <v>0</v>
      </c>
      <c r="CC51" s="257">
        <v>0</v>
      </c>
      <c r="CD51" s="257">
        <v>0</v>
      </c>
      <c r="CE51" s="257">
        <v>0</v>
      </c>
      <c r="CF51" s="257">
        <v>0</v>
      </c>
      <c r="CG51" s="257">
        <v>0</v>
      </c>
      <c r="CH51" s="257">
        <v>0</v>
      </c>
      <c r="CI51" s="257">
        <v>0</v>
      </c>
      <c r="CJ51" s="257">
        <v>0</v>
      </c>
      <c r="CK51" s="257">
        <v>0</v>
      </c>
      <c r="CL51" s="257">
        <v>0</v>
      </c>
      <c r="CM51" s="257">
        <v>0</v>
      </c>
      <c r="CN51" s="257" t="s">
        <v>3071</v>
      </c>
      <c r="CO51" s="257">
        <v>110.7133618</v>
      </c>
      <c r="CP51" s="257">
        <v>124.6996771</v>
      </c>
      <c r="CQ51" s="257">
        <v>28.543500612244902</v>
      </c>
      <c r="CR51" s="257">
        <v>-7.8881757170000002</v>
      </c>
      <c r="CS51" s="257">
        <v>-7.9158553720000002</v>
      </c>
      <c r="CT51" s="257">
        <v>-2.7679655000000026E-5</v>
      </c>
      <c r="CU51" s="257">
        <v>-9.6973582098496033E-7</v>
      </c>
      <c r="CV51" s="258">
        <v>-3.5090058833688155E-3</v>
      </c>
      <c r="CW51" s="256" t="s">
        <v>234</v>
      </c>
      <c r="CX51" s="257" t="s">
        <v>3072</v>
      </c>
      <c r="CY51" s="257" t="s">
        <v>235</v>
      </c>
      <c r="CZ51" s="257"/>
      <c r="DA51" s="276"/>
      <c r="DB51" s="276">
        <v>80</v>
      </c>
      <c r="DC51" s="257" t="s">
        <v>3073</v>
      </c>
      <c r="DD51" s="257">
        <v>0</v>
      </c>
      <c r="DE51" s="257">
        <v>1</v>
      </c>
      <c r="DF51" s="257">
        <v>0</v>
      </c>
      <c r="DG51" s="257">
        <v>0</v>
      </c>
      <c r="DH51" s="257"/>
      <c r="DI51" s="257">
        <v>1</v>
      </c>
      <c r="DJ51" s="257" t="s">
        <v>173</v>
      </c>
      <c r="DK51" s="257">
        <v>0</v>
      </c>
      <c r="DL51" s="257" t="s">
        <v>180</v>
      </c>
      <c r="DM51" s="257">
        <v>0</v>
      </c>
      <c r="DN51" s="257">
        <v>0</v>
      </c>
      <c r="DO51" s="257">
        <v>0</v>
      </c>
      <c r="DP51" s="276">
        <v>0</v>
      </c>
      <c r="DQ51" s="276">
        <v>0</v>
      </c>
      <c r="DR51" s="276">
        <v>0</v>
      </c>
      <c r="DS51" s="276">
        <v>0</v>
      </c>
      <c r="DT51" s="257">
        <v>0</v>
      </c>
      <c r="DU51" s="276" t="s">
        <v>961</v>
      </c>
      <c r="DV51" s="276">
        <v>1</v>
      </c>
      <c r="DW51" s="276">
        <v>1</v>
      </c>
      <c r="DX51" s="276">
        <v>1</v>
      </c>
      <c r="DY51" s="276">
        <v>0</v>
      </c>
      <c r="DZ51" s="257">
        <v>0</v>
      </c>
      <c r="EA51" s="276">
        <v>0</v>
      </c>
      <c r="EB51" s="276">
        <v>1</v>
      </c>
      <c r="EC51" s="276">
        <v>1</v>
      </c>
      <c r="ED51" s="276">
        <v>0</v>
      </c>
      <c r="EE51" s="276">
        <v>0</v>
      </c>
      <c r="EF51" s="257">
        <v>1</v>
      </c>
      <c r="EG51" s="276">
        <v>0</v>
      </c>
      <c r="EH51" s="257">
        <v>0</v>
      </c>
      <c r="EI51" s="258">
        <v>0</v>
      </c>
      <c r="EJ51" s="256"/>
      <c r="EK51" t="str">
        <f t="shared" si="34"/>
        <v>Whole sector</v>
      </c>
      <c r="EL51" t="str">
        <f t="shared" si="35"/>
        <v/>
      </c>
      <c r="EM51" s="258" t="s">
        <v>544</v>
      </c>
      <c r="EN51" s="257" t="s">
        <v>236</v>
      </c>
      <c r="EO51" s="257"/>
      <c r="EP51" t="str">
        <f>IF(ISNUMBER(BU51),IF(ABS(BU51-[2]QC_indicators!$B$2)&gt;3*[2]QC_indicators!$C$2,"C ratio",IF(ISNUMBER(BY51),IF(ABS(BY51-[2]QC_indicators!$B$1)&gt;3*[2]QC_indicators!$C$1,"DF","no"))),IF(ISNUMBER(BY51),IF(ABS(BY51-[2]QC_indicators!$B$1)&gt;3*[2]QC_indicators!$C$1,"DF","no")))</f>
        <v>no</v>
      </c>
      <c r="EQ51" s="280"/>
      <c r="ER51" s="280"/>
      <c r="ES51" s="280"/>
      <c r="ET51"/>
      <c r="EU51"/>
    </row>
    <row r="52" spans="1:151" s="139" customFormat="1" ht="15" hidden="1" customHeight="1">
      <c r="A52" s="256" t="s">
        <v>214</v>
      </c>
      <c r="B52" s="257" t="s">
        <v>215</v>
      </c>
      <c r="C52" s="257" t="s">
        <v>216</v>
      </c>
      <c r="D52" s="257" t="s">
        <v>217</v>
      </c>
      <c r="E52" s="257" t="s">
        <v>218</v>
      </c>
      <c r="F52" s="257" t="s">
        <v>219</v>
      </c>
      <c r="G52" s="257" t="s">
        <v>220</v>
      </c>
      <c r="H52" s="257"/>
      <c r="I52" s="257">
        <v>2012</v>
      </c>
      <c r="J52" s="257"/>
      <c r="K52" s="257" t="s">
        <v>221</v>
      </c>
      <c r="L52" s="257"/>
      <c r="M52" s="257" t="s">
        <v>3069</v>
      </c>
      <c r="N52" s="257" t="s">
        <v>222</v>
      </c>
      <c r="O52" s="275" t="s">
        <v>223</v>
      </c>
      <c r="P52" s="257"/>
      <c r="Q52" s="257" t="s">
        <v>224</v>
      </c>
      <c r="R52" s="258" t="s">
        <v>225</v>
      </c>
      <c r="S52" s="256" t="s">
        <v>226</v>
      </c>
      <c r="T52" s="257" t="s">
        <v>228</v>
      </c>
      <c r="U52" s="257" t="s">
        <v>238</v>
      </c>
      <c r="V52" s="257">
        <v>0</v>
      </c>
      <c r="W52" s="257">
        <v>0</v>
      </c>
      <c r="X52" s="257">
        <v>0</v>
      </c>
      <c r="Y52" s="257">
        <v>1</v>
      </c>
      <c r="Z52" s="257">
        <v>0</v>
      </c>
      <c r="AA52" s="257">
        <v>0</v>
      </c>
      <c r="AB52" s="257">
        <v>0</v>
      </c>
      <c r="AC52" s="257">
        <v>0</v>
      </c>
      <c r="AD52" s="257">
        <v>0</v>
      </c>
      <c r="AE52" s="257">
        <v>0</v>
      </c>
      <c r="AF52" s="257">
        <v>0</v>
      </c>
      <c r="AG52" s="257">
        <v>0</v>
      </c>
      <c r="AH52" s="257">
        <v>0</v>
      </c>
      <c r="AI52" s="257">
        <v>0</v>
      </c>
      <c r="AJ52" s="257">
        <v>0</v>
      </c>
      <c r="AK52" s="257">
        <v>0</v>
      </c>
      <c r="AL52" s="257">
        <v>0</v>
      </c>
      <c r="AM52" s="257">
        <v>0</v>
      </c>
      <c r="AN52" s="257">
        <v>0</v>
      </c>
      <c r="AO52" s="257">
        <v>0</v>
      </c>
      <c r="AP52" s="257">
        <v>0</v>
      </c>
      <c r="AQ52" s="257">
        <v>0</v>
      </c>
      <c r="AR52" s="257">
        <v>0</v>
      </c>
      <c r="AS52" s="257">
        <v>0</v>
      </c>
      <c r="AT52" s="257">
        <v>0</v>
      </c>
      <c r="AU52" s="257">
        <v>0</v>
      </c>
      <c r="AV52" s="257">
        <v>0</v>
      </c>
      <c r="AW52" s="257">
        <v>0</v>
      </c>
      <c r="AX52" s="277">
        <v>1</v>
      </c>
      <c r="AY52" s="277">
        <v>1</v>
      </c>
      <c r="AZ52" s="257">
        <v>1</v>
      </c>
      <c r="BA52" s="257">
        <v>0</v>
      </c>
      <c r="BB52" s="257">
        <v>0</v>
      </c>
      <c r="BC52" s="257">
        <v>0</v>
      </c>
      <c r="BD52" s="257">
        <v>0</v>
      </c>
      <c r="BE52" s="257" t="s">
        <v>91</v>
      </c>
      <c r="BF52" s="2" t="str" cm="1">
        <f t="array" ref="BF52">IF(COUNTIF(AZ52:BB52,"&lt;&gt;0")=1,INDEX($V$4:$AW$4,MATCH(TRUE,INDEX($V52:$AW52&lt;&gt;0,),0)),IF(COUNTIF(AZ52:BB52,"&lt;&gt;0")=0,INDEX($AM$4:$AW$4,MATCH(1,$AM52:$AW52,0)),"Multiple strategies"))</f>
        <v>Silviculture for removals</v>
      </c>
      <c r="BG52" s="278" t="s">
        <v>229</v>
      </c>
      <c r="BH52" s="257" t="s">
        <v>230</v>
      </c>
      <c r="BI52" s="279" t="s">
        <v>3070</v>
      </c>
      <c r="BJ52" s="276" t="s">
        <v>231</v>
      </c>
      <c r="BK52" s="257">
        <v>53.696488080000002</v>
      </c>
      <c r="BL52" s="257">
        <v>66.639750489999997</v>
      </c>
      <c r="BM52" s="276">
        <v>0.80577264598338694</v>
      </c>
      <c r="BN52" s="257">
        <v>12.943262409999996</v>
      </c>
      <c r="BO52" s="276">
        <v>26.414821244897951</v>
      </c>
      <c r="BP52" s="276" t="s">
        <v>232</v>
      </c>
      <c r="BQ52" s="279" t="s">
        <v>3070</v>
      </c>
      <c r="BR52" s="276" t="s">
        <v>233</v>
      </c>
      <c r="BS52" s="257">
        <v>-9.4136546180000007</v>
      </c>
      <c r="BT52" s="257">
        <v>-9.4136546180000007</v>
      </c>
      <c r="BU52" s="259">
        <v>1</v>
      </c>
      <c r="BV52" s="257">
        <v>0</v>
      </c>
      <c r="BW52" s="257"/>
      <c r="BX52" s="257">
        <v>0</v>
      </c>
      <c r="BY52" s="257">
        <v>0</v>
      </c>
      <c r="BZ52" s="257">
        <v>0</v>
      </c>
      <c r="CA52" s="257">
        <v>0</v>
      </c>
      <c r="CB52" s="257">
        <v>0</v>
      </c>
      <c r="CC52" s="257">
        <v>0</v>
      </c>
      <c r="CD52" s="257">
        <v>0</v>
      </c>
      <c r="CE52" s="257">
        <v>0</v>
      </c>
      <c r="CF52" s="257">
        <v>0</v>
      </c>
      <c r="CG52" s="257">
        <v>0</v>
      </c>
      <c r="CH52" s="257">
        <v>0</v>
      </c>
      <c r="CI52" s="257">
        <v>0</v>
      </c>
      <c r="CJ52" s="257">
        <v>0</v>
      </c>
      <c r="CK52" s="257">
        <v>0</v>
      </c>
      <c r="CL52" s="257">
        <v>0</v>
      </c>
      <c r="CM52" s="257">
        <v>0</v>
      </c>
      <c r="CN52" s="257" t="s">
        <v>3071</v>
      </c>
      <c r="CO52" s="257">
        <v>53.696488080000002</v>
      </c>
      <c r="CP52" s="257">
        <v>66.639750489999997</v>
      </c>
      <c r="CQ52" s="257">
        <v>26.414821244897951</v>
      </c>
      <c r="CR52" s="257">
        <v>-9.4136546180000007</v>
      </c>
      <c r="CS52" s="257">
        <v>-9.4136546180000007</v>
      </c>
      <c r="CT52" s="257">
        <v>0</v>
      </c>
      <c r="CU52" s="257">
        <v>0</v>
      </c>
      <c r="CV52" s="258">
        <v>0</v>
      </c>
      <c r="CW52" s="256" t="s">
        <v>234</v>
      </c>
      <c r="CX52" s="257" t="s">
        <v>3072</v>
      </c>
      <c r="CY52" s="257" t="s">
        <v>235</v>
      </c>
      <c r="CZ52" s="257"/>
      <c r="DA52" s="276"/>
      <c r="DB52" s="276">
        <v>80</v>
      </c>
      <c r="DC52" s="257" t="s">
        <v>3073</v>
      </c>
      <c r="DD52" s="257">
        <v>0</v>
      </c>
      <c r="DE52" s="257">
        <v>1</v>
      </c>
      <c r="DF52" s="257">
        <v>0</v>
      </c>
      <c r="DG52" s="257">
        <v>0</v>
      </c>
      <c r="DH52" s="257"/>
      <c r="DI52" s="257">
        <v>1</v>
      </c>
      <c r="DJ52" s="257" t="s">
        <v>173</v>
      </c>
      <c r="DK52" s="257">
        <v>0</v>
      </c>
      <c r="DL52" s="257" t="s">
        <v>180</v>
      </c>
      <c r="DM52" s="257">
        <v>0</v>
      </c>
      <c r="DN52" s="257">
        <v>0</v>
      </c>
      <c r="DO52" s="257">
        <v>0</v>
      </c>
      <c r="DP52" s="276">
        <v>0</v>
      </c>
      <c r="DQ52" s="276">
        <v>0</v>
      </c>
      <c r="DR52" s="276">
        <v>0</v>
      </c>
      <c r="DS52" s="276">
        <v>0</v>
      </c>
      <c r="DT52" s="257">
        <v>0</v>
      </c>
      <c r="DU52" s="276" t="s">
        <v>961</v>
      </c>
      <c r="DV52" s="276">
        <v>1</v>
      </c>
      <c r="DW52" s="276">
        <v>1</v>
      </c>
      <c r="DX52" s="276">
        <v>1</v>
      </c>
      <c r="DY52" s="276">
        <v>0</v>
      </c>
      <c r="DZ52" s="257">
        <v>0</v>
      </c>
      <c r="EA52" s="276">
        <v>0</v>
      </c>
      <c r="EB52" s="276">
        <v>1</v>
      </c>
      <c r="EC52" s="276">
        <v>1</v>
      </c>
      <c r="ED52" s="276">
        <v>0</v>
      </c>
      <c r="EE52" s="276">
        <v>0</v>
      </c>
      <c r="EF52" s="257">
        <v>1</v>
      </c>
      <c r="EG52" s="276">
        <v>0</v>
      </c>
      <c r="EH52" s="257">
        <v>0</v>
      </c>
      <c r="EI52" s="258">
        <v>0</v>
      </c>
      <c r="EJ52" s="256"/>
      <c r="EK52" t="str">
        <f t="shared" si="34"/>
        <v>Whole sector</v>
      </c>
      <c r="EL52" t="str">
        <f t="shared" si="35"/>
        <v/>
      </c>
      <c r="EM52" s="258" t="s">
        <v>544</v>
      </c>
      <c r="EN52" s="257" t="s">
        <v>236</v>
      </c>
      <c r="EO52" s="257"/>
      <c r="EP52" t="str">
        <f>IF(ISNUMBER(BU52),IF(ABS(BU52-[2]QC_indicators!$B$2)&gt;3*[2]QC_indicators!$C$2,"C ratio",IF(ISNUMBER(BY52),IF(ABS(BY52-[2]QC_indicators!$B$1)&gt;3*[2]QC_indicators!$C$1,"DF","no"))),IF(ISNUMBER(BY52),IF(ABS(BY52-[2]QC_indicators!$B$1)&gt;3*[2]QC_indicators!$C$1,"DF","no")))</f>
        <v>no</v>
      </c>
      <c r="EQ52" s="257"/>
      <c r="ER52" s="257"/>
      <c r="ES52" s="257"/>
      <c r="ET52" s="257"/>
      <c r="EU52"/>
    </row>
    <row r="53" spans="1:151" s="139" customFormat="1" ht="15" hidden="1" customHeight="1">
      <c r="A53" s="256" t="s">
        <v>214</v>
      </c>
      <c r="B53" s="257" t="s">
        <v>215</v>
      </c>
      <c r="C53" s="257" t="s">
        <v>216</v>
      </c>
      <c r="D53" s="257" t="s">
        <v>217</v>
      </c>
      <c r="E53" s="257" t="s">
        <v>218</v>
      </c>
      <c r="F53" s="257" t="s">
        <v>219</v>
      </c>
      <c r="G53" s="257" t="s">
        <v>220</v>
      </c>
      <c r="H53" s="257"/>
      <c r="I53" s="257">
        <v>2012</v>
      </c>
      <c r="J53" s="257"/>
      <c r="K53" s="257" t="s">
        <v>221</v>
      </c>
      <c r="L53" s="257"/>
      <c r="M53" s="257" t="s">
        <v>3069</v>
      </c>
      <c r="N53" s="257" t="s">
        <v>222</v>
      </c>
      <c r="O53" s="275" t="s">
        <v>223</v>
      </c>
      <c r="P53" s="257"/>
      <c r="Q53" s="257" t="s">
        <v>224</v>
      </c>
      <c r="R53" s="258" t="s">
        <v>225</v>
      </c>
      <c r="S53" s="256" t="s">
        <v>226</v>
      </c>
      <c r="T53" s="257" t="s">
        <v>228</v>
      </c>
      <c r="U53" s="257" t="s">
        <v>238</v>
      </c>
      <c r="V53" s="257">
        <v>0</v>
      </c>
      <c r="W53" s="257">
        <v>0</v>
      </c>
      <c r="X53" s="257">
        <v>0</v>
      </c>
      <c r="Y53" s="257">
        <v>1</v>
      </c>
      <c r="Z53" s="257">
        <v>0</v>
      </c>
      <c r="AA53" s="257">
        <v>0</v>
      </c>
      <c r="AB53" s="257">
        <v>0</v>
      </c>
      <c r="AC53" s="257">
        <v>0</v>
      </c>
      <c r="AD53" s="257">
        <v>0</v>
      </c>
      <c r="AE53" s="257">
        <v>0</v>
      </c>
      <c r="AF53" s="257">
        <v>0</v>
      </c>
      <c r="AG53" s="257">
        <v>0</v>
      </c>
      <c r="AH53" s="257">
        <v>0</v>
      </c>
      <c r="AI53" s="257">
        <v>0</v>
      </c>
      <c r="AJ53" s="257">
        <v>0</v>
      </c>
      <c r="AK53" s="257">
        <v>0</v>
      </c>
      <c r="AL53" s="257">
        <v>0</v>
      </c>
      <c r="AM53" s="257">
        <v>0</v>
      </c>
      <c r="AN53" s="257">
        <v>0</v>
      </c>
      <c r="AO53" s="257">
        <v>0</v>
      </c>
      <c r="AP53" s="257">
        <v>0</v>
      </c>
      <c r="AQ53" s="257">
        <v>0</v>
      </c>
      <c r="AR53" s="257">
        <v>0</v>
      </c>
      <c r="AS53" s="257">
        <v>0</v>
      </c>
      <c r="AT53" s="257">
        <v>0</v>
      </c>
      <c r="AU53" s="257">
        <v>0</v>
      </c>
      <c r="AV53" s="257">
        <v>0</v>
      </c>
      <c r="AW53" s="257">
        <v>0</v>
      </c>
      <c r="AX53" s="277">
        <v>1</v>
      </c>
      <c r="AY53" s="277">
        <v>1</v>
      </c>
      <c r="AZ53" s="257">
        <v>1</v>
      </c>
      <c r="BA53" s="257">
        <v>0</v>
      </c>
      <c r="BB53" s="257">
        <v>0</v>
      </c>
      <c r="BC53" s="257">
        <v>0</v>
      </c>
      <c r="BD53" s="257">
        <v>0</v>
      </c>
      <c r="BE53" s="257" t="s">
        <v>91</v>
      </c>
      <c r="BF53" s="2" t="str" cm="1">
        <f t="array" ref="BF53">IF(COUNTIF(AZ53:BB53,"&lt;&gt;0")=1,INDEX($V$4:$AW$4,MATCH(TRUE,INDEX($V53:$AW53&lt;&gt;0,),0)),IF(COUNTIF(AZ53:BB53,"&lt;&gt;0")=0,INDEX($AM$4:$AW$4,MATCH(1,$AM53:$AW53,0)),"Multiple strategies"))</f>
        <v>Silviculture for removals</v>
      </c>
      <c r="BG53" s="278" t="s">
        <v>229</v>
      </c>
      <c r="BH53" s="257" t="s">
        <v>230</v>
      </c>
      <c r="BI53" s="279" t="s">
        <v>3070</v>
      </c>
      <c r="BJ53" s="276" t="s">
        <v>231</v>
      </c>
      <c r="BK53" s="257">
        <v>46.459096459999998</v>
      </c>
      <c r="BL53" s="257">
        <v>56.739926740000001</v>
      </c>
      <c r="BM53" s="276">
        <v>0.81880783302541138</v>
      </c>
      <c r="BN53" s="257">
        <v>10.280830280000004</v>
      </c>
      <c r="BO53" s="276">
        <v>20.981286285714294</v>
      </c>
      <c r="BP53" s="276" t="s">
        <v>232</v>
      </c>
      <c r="BQ53" s="279" t="s">
        <v>3070</v>
      </c>
      <c r="BR53" s="276" t="s">
        <v>233</v>
      </c>
      <c r="BS53" s="257">
        <v>-9.5592716459999991</v>
      </c>
      <c r="BT53" s="257">
        <v>-9.5324096189999992</v>
      </c>
      <c r="BU53" s="259">
        <v>0.99718995044865788</v>
      </c>
      <c r="BV53" s="257">
        <v>2.6862026999999955E-2</v>
      </c>
      <c r="BW53" s="257"/>
      <c r="BX53" s="257">
        <v>2.6862026999999954E-5</v>
      </c>
      <c r="BY53" s="257">
        <v>1.2802850423088564E-6</v>
      </c>
      <c r="BZ53" s="257">
        <v>0</v>
      </c>
      <c r="CA53" s="257">
        <v>0</v>
      </c>
      <c r="CB53" s="257">
        <v>0</v>
      </c>
      <c r="CC53" s="257">
        <v>0</v>
      </c>
      <c r="CD53" s="257">
        <v>0</v>
      </c>
      <c r="CE53" s="257">
        <v>0</v>
      </c>
      <c r="CF53" s="257">
        <v>0</v>
      </c>
      <c r="CG53" s="257">
        <v>0</v>
      </c>
      <c r="CH53" s="257">
        <v>0</v>
      </c>
      <c r="CI53" s="257">
        <v>0</v>
      </c>
      <c r="CJ53" s="257">
        <v>0</v>
      </c>
      <c r="CK53" s="257">
        <v>0</v>
      </c>
      <c r="CL53" s="257">
        <v>0</v>
      </c>
      <c r="CM53" s="257">
        <v>0</v>
      </c>
      <c r="CN53" s="257" t="s">
        <v>3071</v>
      </c>
      <c r="CO53" s="257">
        <v>46.459096459999998</v>
      </c>
      <c r="CP53" s="257">
        <v>56.739926740000001</v>
      </c>
      <c r="CQ53" s="257">
        <v>20.981286285714294</v>
      </c>
      <c r="CR53" s="257">
        <v>-9.5592716459999991</v>
      </c>
      <c r="CS53" s="257">
        <v>-9.5324096189999992</v>
      </c>
      <c r="CT53" s="257">
        <v>2.6862026999999954E-5</v>
      </c>
      <c r="CU53" s="257">
        <v>1.2802850423088564E-6</v>
      </c>
      <c r="CV53" s="258">
        <v>2.8100495513421419E-3</v>
      </c>
      <c r="CW53" s="256" t="s">
        <v>234</v>
      </c>
      <c r="CX53" s="257" t="s">
        <v>3072</v>
      </c>
      <c r="CY53" s="257" t="s">
        <v>235</v>
      </c>
      <c r="CZ53" s="257"/>
      <c r="DA53" s="276"/>
      <c r="DB53" s="276">
        <v>80</v>
      </c>
      <c r="DC53" s="257" t="s">
        <v>3073</v>
      </c>
      <c r="DD53" s="257">
        <v>0</v>
      </c>
      <c r="DE53" s="257">
        <v>1</v>
      </c>
      <c r="DF53" s="257">
        <v>0</v>
      </c>
      <c r="DG53" s="257">
        <v>0</v>
      </c>
      <c r="DH53" s="257"/>
      <c r="DI53" s="257">
        <v>1</v>
      </c>
      <c r="DJ53" s="257" t="s">
        <v>173</v>
      </c>
      <c r="DK53" s="257">
        <v>0</v>
      </c>
      <c r="DL53" s="257" t="s">
        <v>180</v>
      </c>
      <c r="DM53" s="257">
        <v>0</v>
      </c>
      <c r="DN53" s="257">
        <v>0</v>
      </c>
      <c r="DO53" s="257">
        <v>0</v>
      </c>
      <c r="DP53" s="276">
        <v>0</v>
      </c>
      <c r="DQ53" s="276">
        <v>0</v>
      </c>
      <c r="DR53" s="276">
        <v>0</v>
      </c>
      <c r="DS53" s="276">
        <v>0</v>
      </c>
      <c r="DT53" s="257">
        <v>0</v>
      </c>
      <c r="DU53" s="276" t="s">
        <v>961</v>
      </c>
      <c r="DV53" s="276">
        <v>1</v>
      </c>
      <c r="DW53" s="276">
        <v>1</v>
      </c>
      <c r="DX53" s="276">
        <v>1</v>
      </c>
      <c r="DY53" s="276">
        <v>0</v>
      </c>
      <c r="DZ53" s="257">
        <v>0</v>
      </c>
      <c r="EA53" s="276">
        <v>0</v>
      </c>
      <c r="EB53" s="276">
        <v>1</v>
      </c>
      <c r="EC53" s="276">
        <v>1</v>
      </c>
      <c r="ED53" s="276">
        <v>0</v>
      </c>
      <c r="EE53" s="276">
        <v>0</v>
      </c>
      <c r="EF53" s="257">
        <v>1</v>
      </c>
      <c r="EG53" s="276">
        <v>0</v>
      </c>
      <c r="EH53" s="257">
        <v>0</v>
      </c>
      <c r="EI53" s="258">
        <v>0</v>
      </c>
      <c r="EJ53" s="256"/>
      <c r="EK53" t="str">
        <f t="shared" si="34"/>
        <v>Whole sector</v>
      </c>
      <c r="EL53" t="str">
        <f t="shared" si="35"/>
        <v/>
      </c>
      <c r="EM53" s="258" t="s">
        <v>544</v>
      </c>
      <c r="EN53" s="257" t="s">
        <v>236</v>
      </c>
      <c r="EO53" s="257"/>
      <c r="EP53" t="str">
        <f>IF(ISNUMBER(BU53),IF(ABS(BU53-[2]QC_indicators!$B$2)&gt;3*[2]QC_indicators!$C$2,"C ratio",IF(ISNUMBER(BY53),IF(ABS(BY53-[2]QC_indicators!$B$1)&gt;3*[2]QC_indicators!$C$1,"DF","no"))),IF(ISNUMBER(BY53),IF(ABS(BY53-[2]QC_indicators!$B$1)&gt;3*[2]QC_indicators!$C$1,"DF","no")))</f>
        <v>no</v>
      </c>
      <c r="EQ53" s="257"/>
      <c r="ER53" s="257"/>
      <c r="ES53" s="257"/>
      <c r="ET53" s="257"/>
      <c r="EU53"/>
    </row>
    <row r="54" spans="1:151" s="139" customFormat="1" ht="15" hidden="1" customHeight="1">
      <c r="A54" s="256" t="s">
        <v>214</v>
      </c>
      <c r="B54" s="257" t="s">
        <v>215</v>
      </c>
      <c r="C54" s="257" t="s">
        <v>216</v>
      </c>
      <c r="D54" s="257" t="s">
        <v>217</v>
      </c>
      <c r="E54" s="257" t="s">
        <v>218</v>
      </c>
      <c r="F54" s="257" t="s">
        <v>219</v>
      </c>
      <c r="G54" s="257" t="s">
        <v>220</v>
      </c>
      <c r="H54" s="257"/>
      <c r="I54" s="257">
        <v>2012</v>
      </c>
      <c r="J54" s="257"/>
      <c r="K54" s="257" t="s">
        <v>221</v>
      </c>
      <c r="L54" s="257"/>
      <c r="M54" s="257" t="s">
        <v>3069</v>
      </c>
      <c r="N54" s="257" t="s">
        <v>222</v>
      </c>
      <c r="O54" s="275" t="s">
        <v>223</v>
      </c>
      <c r="P54" s="257"/>
      <c r="Q54" s="257" t="s">
        <v>224</v>
      </c>
      <c r="R54" s="258" t="s">
        <v>225</v>
      </c>
      <c r="S54" s="256" t="s">
        <v>240</v>
      </c>
      <c r="T54" s="257">
        <v>2000</v>
      </c>
      <c r="U54" s="257">
        <v>4000</v>
      </c>
      <c r="V54" s="257">
        <v>0</v>
      </c>
      <c r="W54" s="257">
        <v>0</v>
      </c>
      <c r="X54" s="257">
        <v>0</v>
      </c>
      <c r="Y54" s="257">
        <v>0</v>
      </c>
      <c r="Z54" s="257">
        <v>0</v>
      </c>
      <c r="AA54" s="257">
        <v>1</v>
      </c>
      <c r="AB54" s="257">
        <v>0</v>
      </c>
      <c r="AC54" s="257">
        <v>0</v>
      </c>
      <c r="AD54" s="257">
        <v>0</v>
      </c>
      <c r="AE54" s="257">
        <v>0</v>
      </c>
      <c r="AF54" s="257">
        <v>0</v>
      </c>
      <c r="AG54" s="257">
        <v>0</v>
      </c>
      <c r="AH54" s="257">
        <v>0</v>
      </c>
      <c r="AI54" s="257">
        <v>0</v>
      </c>
      <c r="AJ54" s="257">
        <v>0</v>
      </c>
      <c r="AK54" s="257">
        <v>0</v>
      </c>
      <c r="AL54" s="257">
        <v>0</v>
      </c>
      <c r="AM54" s="257">
        <v>0</v>
      </c>
      <c r="AN54" s="257">
        <v>0</v>
      </c>
      <c r="AO54" s="257">
        <v>0</v>
      </c>
      <c r="AP54" s="257">
        <v>0</v>
      </c>
      <c r="AQ54" s="257">
        <v>0</v>
      </c>
      <c r="AR54" s="257">
        <v>0</v>
      </c>
      <c r="AS54" s="257">
        <v>0</v>
      </c>
      <c r="AT54" s="257">
        <v>0</v>
      </c>
      <c r="AU54" s="257">
        <v>0</v>
      </c>
      <c r="AV54" s="257">
        <v>0</v>
      </c>
      <c r="AW54" s="257">
        <v>0</v>
      </c>
      <c r="AX54" s="277">
        <v>1</v>
      </c>
      <c r="AY54" s="277">
        <v>1</v>
      </c>
      <c r="AZ54" s="257">
        <v>1</v>
      </c>
      <c r="BA54" s="257">
        <v>0</v>
      </c>
      <c r="BB54" s="257">
        <v>0</v>
      </c>
      <c r="BC54" s="257">
        <v>0</v>
      </c>
      <c r="BD54" s="257">
        <v>0</v>
      </c>
      <c r="BE54" s="257" t="s">
        <v>93</v>
      </c>
      <c r="BF54" s="2" t="str" cm="1">
        <f t="array" ref="BF54">IF(COUNTIF(AZ54:BB54,"&lt;&gt;0")=1,INDEX($V$4:$AW$4,MATCH(TRUE,INDEX($V54:$AW54&lt;&gt;0,),0)),IF(COUNTIF(AZ54:BB54,"&lt;&gt;0")=0,INDEX($AM$4:$AW$4,MATCH(1,$AM54:$AW54,0)),"Multiple strategies"))</f>
        <v>Silviculture for productivity</v>
      </c>
      <c r="BG54" s="278" t="s">
        <v>229</v>
      </c>
      <c r="BH54" s="257" t="s">
        <v>230</v>
      </c>
      <c r="BI54" s="279" t="s">
        <v>3070</v>
      </c>
      <c r="BJ54" s="276" t="s">
        <v>231</v>
      </c>
      <c r="BK54" s="257">
        <v>64.183526540000003</v>
      </c>
      <c r="BL54" s="257">
        <v>75.212579790000007</v>
      </c>
      <c r="BM54" s="276">
        <v>1.1718361991706168</v>
      </c>
      <c r="BN54" s="257">
        <v>11.029053250000004</v>
      </c>
      <c r="BO54" s="276">
        <v>22.508271938775518</v>
      </c>
      <c r="BP54" s="276" t="s">
        <v>232</v>
      </c>
      <c r="BQ54" s="279" t="s">
        <v>3070</v>
      </c>
      <c r="BR54" s="276" t="s">
        <v>233</v>
      </c>
      <c r="BS54" s="257">
        <v>-8.4950335569999993</v>
      </c>
      <c r="BT54" s="257">
        <v>-8.4548837900000002</v>
      </c>
      <c r="BU54" s="259">
        <v>0.99527373650373452</v>
      </c>
      <c r="BV54" s="257">
        <v>4.0149766999999059E-2</v>
      </c>
      <c r="BW54" s="257"/>
      <c r="BX54" s="257">
        <v>4.0149766999999061E-5</v>
      </c>
      <c r="BY54" s="257">
        <v>1.783778297561446E-6</v>
      </c>
      <c r="BZ54" s="257">
        <v>0</v>
      </c>
      <c r="CA54" s="257">
        <v>0</v>
      </c>
      <c r="CB54" s="257">
        <v>0</v>
      </c>
      <c r="CC54" s="257">
        <v>0</v>
      </c>
      <c r="CD54" s="257">
        <v>0</v>
      </c>
      <c r="CE54" s="257">
        <v>0</v>
      </c>
      <c r="CF54" s="257">
        <v>0</v>
      </c>
      <c r="CG54" s="257">
        <v>0</v>
      </c>
      <c r="CH54" s="257">
        <v>0</v>
      </c>
      <c r="CI54" s="257">
        <v>0</v>
      </c>
      <c r="CJ54" s="257">
        <v>0</v>
      </c>
      <c r="CK54" s="257">
        <v>0</v>
      </c>
      <c r="CL54" s="257">
        <v>0</v>
      </c>
      <c r="CM54" s="257">
        <v>0</v>
      </c>
      <c r="CN54" s="257" t="s">
        <v>3071</v>
      </c>
      <c r="CO54" s="257">
        <v>64.183526540000003</v>
      </c>
      <c r="CP54" s="257">
        <v>75.212579790000007</v>
      </c>
      <c r="CQ54" s="257">
        <v>22.508271938775518</v>
      </c>
      <c r="CR54" s="257">
        <v>-8.4950335569999993</v>
      </c>
      <c r="CS54" s="257">
        <v>-8.4548837900000002</v>
      </c>
      <c r="CT54" s="257">
        <v>4.0149766999999061E-5</v>
      </c>
      <c r="CU54" s="257">
        <v>1.783778297561446E-6</v>
      </c>
      <c r="CV54" s="258">
        <v>4.7262634962654407E-3</v>
      </c>
      <c r="CW54" s="256" t="s">
        <v>234</v>
      </c>
      <c r="CX54" s="257" t="s">
        <v>3072</v>
      </c>
      <c r="CY54" s="257" t="s">
        <v>235</v>
      </c>
      <c r="CZ54" s="257"/>
      <c r="DA54" s="276"/>
      <c r="DB54" s="276">
        <v>80</v>
      </c>
      <c r="DC54" s="257" t="s">
        <v>3073</v>
      </c>
      <c r="DD54" s="257">
        <v>0</v>
      </c>
      <c r="DE54" s="257">
        <v>1</v>
      </c>
      <c r="DF54" s="257">
        <v>0</v>
      </c>
      <c r="DG54" s="257">
        <v>0</v>
      </c>
      <c r="DH54" s="257"/>
      <c r="DI54" s="257">
        <v>1</v>
      </c>
      <c r="DJ54" s="257" t="s">
        <v>173</v>
      </c>
      <c r="DK54" s="257">
        <v>0</v>
      </c>
      <c r="DL54" s="257" t="s">
        <v>180</v>
      </c>
      <c r="DM54" s="257">
        <v>0</v>
      </c>
      <c r="DN54" s="257">
        <v>0</v>
      </c>
      <c r="DO54" s="257">
        <v>0</v>
      </c>
      <c r="DP54" s="276">
        <v>0</v>
      </c>
      <c r="DQ54" s="276">
        <v>0</v>
      </c>
      <c r="DR54" s="276">
        <v>0</v>
      </c>
      <c r="DS54" s="276">
        <v>0</v>
      </c>
      <c r="DT54" s="257">
        <v>0</v>
      </c>
      <c r="DU54" s="276" t="s">
        <v>961</v>
      </c>
      <c r="DV54" s="276">
        <v>1</v>
      </c>
      <c r="DW54" s="276">
        <v>1</v>
      </c>
      <c r="DX54" s="276">
        <v>1</v>
      </c>
      <c r="DY54" s="276">
        <v>0</v>
      </c>
      <c r="DZ54" s="257">
        <v>0</v>
      </c>
      <c r="EA54" s="276">
        <v>0</v>
      </c>
      <c r="EB54" s="276">
        <v>1</v>
      </c>
      <c r="EC54" s="276">
        <v>1</v>
      </c>
      <c r="ED54" s="276">
        <v>0</v>
      </c>
      <c r="EE54" s="276">
        <v>0</v>
      </c>
      <c r="EF54" s="257">
        <v>1</v>
      </c>
      <c r="EG54" s="276">
        <v>0</v>
      </c>
      <c r="EH54" s="257">
        <v>0</v>
      </c>
      <c r="EI54" s="258">
        <v>0</v>
      </c>
      <c r="EJ54" s="256"/>
      <c r="EK54" t="str">
        <f t="shared" si="34"/>
        <v>Whole sector</v>
      </c>
      <c r="EL54" t="str">
        <f t="shared" si="35"/>
        <v/>
      </c>
      <c r="EM54" s="258" t="s">
        <v>544</v>
      </c>
      <c r="EN54" s="257" t="s">
        <v>236</v>
      </c>
      <c r="EO54" s="257"/>
      <c r="EP54" t="str">
        <f>IF(ISNUMBER(BU54),IF(ABS(BU54-[2]QC_indicators!$B$2)&gt;3*[2]QC_indicators!$C$2,"C ratio",IF(ISNUMBER(BY54),IF(ABS(BY54-[2]QC_indicators!$B$1)&gt;3*[2]QC_indicators!$C$1,"DF","no"))),IF(ISNUMBER(BY54),IF(ABS(BY54-[2]QC_indicators!$B$1)&gt;3*[2]QC_indicators!$C$1,"DF","no")))</f>
        <v>no</v>
      </c>
      <c r="EQ54" s="280"/>
      <c r="ER54" s="280"/>
      <c r="ES54" s="280"/>
      <c r="ET54"/>
      <c r="EU54"/>
    </row>
    <row r="55" spans="1:151" s="139" customFormat="1" ht="15" hidden="1" customHeight="1">
      <c r="A55" s="256" t="s">
        <v>214</v>
      </c>
      <c r="B55" s="257" t="s">
        <v>215</v>
      </c>
      <c r="C55" s="257" t="s">
        <v>216</v>
      </c>
      <c r="D55" s="257" t="s">
        <v>217</v>
      </c>
      <c r="E55" s="257" t="s">
        <v>218</v>
      </c>
      <c r="F55" s="257" t="s">
        <v>219</v>
      </c>
      <c r="G55" s="257" t="s">
        <v>220</v>
      </c>
      <c r="H55" s="257"/>
      <c r="I55" s="257">
        <v>2012</v>
      </c>
      <c r="J55" s="257"/>
      <c r="K55" s="257" t="s">
        <v>221</v>
      </c>
      <c r="L55" s="257"/>
      <c r="M55" s="257" t="s">
        <v>3069</v>
      </c>
      <c r="N55" s="257" t="s">
        <v>222</v>
      </c>
      <c r="O55" s="275" t="s">
        <v>223</v>
      </c>
      <c r="P55" s="257"/>
      <c r="Q55" s="257" t="s">
        <v>224</v>
      </c>
      <c r="R55" s="258" t="s">
        <v>225</v>
      </c>
      <c r="S55" s="256" t="s">
        <v>226</v>
      </c>
      <c r="T55" s="257" t="s">
        <v>228</v>
      </c>
      <c r="U55" s="257" t="s">
        <v>227</v>
      </c>
      <c r="V55" s="257">
        <v>0</v>
      </c>
      <c r="W55" s="257">
        <v>0</v>
      </c>
      <c r="X55" s="257">
        <v>0</v>
      </c>
      <c r="Y55" s="257">
        <v>1</v>
      </c>
      <c r="Z55" s="257">
        <v>0</v>
      </c>
      <c r="AA55" s="257">
        <v>0</v>
      </c>
      <c r="AB55" s="257">
        <v>0</v>
      </c>
      <c r="AC55" s="257">
        <v>0</v>
      </c>
      <c r="AD55" s="257">
        <v>0</v>
      </c>
      <c r="AE55" s="257">
        <v>0</v>
      </c>
      <c r="AF55" s="257">
        <v>0</v>
      </c>
      <c r="AG55" s="257">
        <v>0</v>
      </c>
      <c r="AH55" s="257">
        <v>0</v>
      </c>
      <c r="AI55" s="257">
        <v>0</v>
      </c>
      <c r="AJ55" s="257">
        <v>0</v>
      </c>
      <c r="AK55" s="257">
        <v>0</v>
      </c>
      <c r="AL55" s="257">
        <v>0</v>
      </c>
      <c r="AM55" s="257">
        <v>0</v>
      </c>
      <c r="AN55" s="257">
        <v>0</v>
      </c>
      <c r="AO55" s="257">
        <v>0</v>
      </c>
      <c r="AP55" s="257">
        <v>0</v>
      </c>
      <c r="AQ55" s="257">
        <v>0</v>
      </c>
      <c r="AR55" s="257">
        <v>0</v>
      </c>
      <c r="AS55" s="257">
        <v>0</v>
      </c>
      <c r="AT55" s="257">
        <v>0</v>
      </c>
      <c r="AU55" s="257">
        <v>0</v>
      </c>
      <c r="AV55" s="257">
        <v>0</v>
      </c>
      <c r="AW55" s="257">
        <v>0</v>
      </c>
      <c r="AX55" s="277">
        <v>1</v>
      </c>
      <c r="AY55" s="277">
        <v>1</v>
      </c>
      <c r="AZ55" s="257">
        <v>1</v>
      </c>
      <c r="BA55" s="257">
        <v>0</v>
      </c>
      <c r="BB55" s="257">
        <v>0</v>
      </c>
      <c r="BC55" s="257">
        <v>0</v>
      </c>
      <c r="BD55" s="257">
        <v>0</v>
      </c>
      <c r="BE55" s="257" t="s">
        <v>91</v>
      </c>
      <c r="BF55" s="2" t="str" cm="1">
        <f t="array" ref="BF55">IF(COUNTIF(AZ55:BB55,"&lt;&gt;0")=1,INDEX($V$4:$AW$4,MATCH(TRUE,INDEX($V55:$AW55&lt;&gt;0,),0)),IF(COUNTIF(AZ55:BB55,"&lt;&gt;0")=0,INDEX($AM$4:$AW$4,MATCH(1,$AM55:$AW55,0)),"Multiple strategies"))</f>
        <v>Silviculture for removals</v>
      </c>
      <c r="BG55" s="278" t="s">
        <v>229</v>
      </c>
      <c r="BH55" s="257" t="s">
        <v>230</v>
      </c>
      <c r="BI55" s="279" t="s">
        <v>3070</v>
      </c>
      <c r="BJ55" s="276" t="s">
        <v>231</v>
      </c>
      <c r="BK55" s="257">
        <v>85.005979260000004</v>
      </c>
      <c r="BL55" s="257">
        <v>89.04746797</v>
      </c>
      <c r="BM55" s="276">
        <v>0.9546142209078694</v>
      </c>
      <c r="BN55" s="257">
        <v>4.0414887099999959</v>
      </c>
      <c r="BO55" s="276">
        <v>8.2479361428571352</v>
      </c>
      <c r="BP55" s="276" t="s">
        <v>232</v>
      </c>
      <c r="BQ55" s="279" t="s">
        <v>3070</v>
      </c>
      <c r="BR55" s="276" t="s">
        <v>233</v>
      </c>
      <c r="BS55" s="257">
        <v>-8.1260280659999999</v>
      </c>
      <c r="BT55" s="257">
        <v>-8.1050396580000008</v>
      </c>
      <c r="BU55" s="259">
        <v>0.99741713813568811</v>
      </c>
      <c r="BV55" s="257">
        <v>2.0988407999999126E-2</v>
      </c>
      <c r="BW55" s="257"/>
      <c r="BX55" s="257">
        <v>2.0988407999999125E-5</v>
      </c>
      <c r="BY55" s="257">
        <v>2.5446860446628788E-6</v>
      </c>
      <c r="BZ55" s="257">
        <v>0</v>
      </c>
      <c r="CA55" s="257">
        <v>0</v>
      </c>
      <c r="CB55" s="257">
        <v>0</v>
      </c>
      <c r="CC55" s="257">
        <v>0</v>
      </c>
      <c r="CD55" s="257">
        <v>0</v>
      </c>
      <c r="CE55" s="257">
        <v>0</v>
      </c>
      <c r="CF55" s="257">
        <v>0</v>
      </c>
      <c r="CG55" s="257">
        <v>0</v>
      </c>
      <c r="CH55" s="257">
        <v>0</v>
      </c>
      <c r="CI55" s="257">
        <v>0</v>
      </c>
      <c r="CJ55" s="257">
        <v>0</v>
      </c>
      <c r="CK55" s="257">
        <v>0</v>
      </c>
      <c r="CL55" s="257">
        <v>0</v>
      </c>
      <c r="CM55" s="257">
        <v>0</v>
      </c>
      <c r="CN55" s="257" t="s">
        <v>3071</v>
      </c>
      <c r="CO55" s="257">
        <v>85.005979260000004</v>
      </c>
      <c r="CP55" s="257">
        <v>89.04746797</v>
      </c>
      <c r="CQ55" s="257">
        <v>8.2479361428571352</v>
      </c>
      <c r="CR55" s="257">
        <v>-8.1260280659999999</v>
      </c>
      <c r="CS55" s="257">
        <v>-8.1050396580000008</v>
      </c>
      <c r="CT55" s="257">
        <v>2.0988407999999125E-5</v>
      </c>
      <c r="CU55" s="257">
        <v>2.5446860446628788E-6</v>
      </c>
      <c r="CV55" s="258">
        <v>2.5828618643118435E-3</v>
      </c>
      <c r="CW55" s="256" t="s">
        <v>234</v>
      </c>
      <c r="CX55" s="257" t="s">
        <v>3072</v>
      </c>
      <c r="CY55" s="257" t="s">
        <v>235</v>
      </c>
      <c r="CZ55" s="257"/>
      <c r="DA55" s="276"/>
      <c r="DB55" s="276">
        <v>80</v>
      </c>
      <c r="DC55" s="257" t="s">
        <v>3073</v>
      </c>
      <c r="DD55" s="257">
        <v>0</v>
      </c>
      <c r="DE55" s="257">
        <v>1</v>
      </c>
      <c r="DF55" s="257">
        <v>0</v>
      </c>
      <c r="DG55" s="257">
        <v>0</v>
      </c>
      <c r="DH55" s="257"/>
      <c r="DI55" s="257">
        <v>1</v>
      </c>
      <c r="DJ55" s="257" t="s">
        <v>173</v>
      </c>
      <c r="DK55" s="257">
        <v>0</v>
      </c>
      <c r="DL55" s="257" t="s">
        <v>180</v>
      </c>
      <c r="DM55" s="257">
        <v>0</v>
      </c>
      <c r="DN55" s="257">
        <v>0</v>
      </c>
      <c r="DO55" s="257">
        <v>0</v>
      </c>
      <c r="DP55" s="276">
        <v>0</v>
      </c>
      <c r="DQ55" s="276">
        <v>0</v>
      </c>
      <c r="DR55" s="276">
        <v>0</v>
      </c>
      <c r="DS55" s="276">
        <v>0</v>
      </c>
      <c r="DT55" s="257">
        <v>0</v>
      </c>
      <c r="DU55" s="276" t="s">
        <v>961</v>
      </c>
      <c r="DV55" s="276">
        <v>1</v>
      </c>
      <c r="DW55" s="276">
        <v>1</v>
      </c>
      <c r="DX55" s="276">
        <v>1</v>
      </c>
      <c r="DY55" s="276">
        <v>0</v>
      </c>
      <c r="DZ55" s="257">
        <v>0</v>
      </c>
      <c r="EA55" s="276">
        <v>0</v>
      </c>
      <c r="EB55" s="276">
        <v>1</v>
      </c>
      <c r="EC55" s="276">
        <v>1</v>
      </c>
      <c r="ED55" s="276">
        <v>0</v>
      </c>
      <c r="EE55" s="276">
        <v>0</v>
      </c>
      <c r="EF55" s="257">
        <v>1</v>
      </c>
      <c r="EG55" s="276">
        <v>0</v>
      </c>
      <c r="EH55" s="257">
        <v>0</v>
      </c>
      <c r="EI55" s="258">
        <v>0</v>
      </c>
      <c r="EJ55" s="256"/>
      <c r="EK55" t="str">
        <f t="shared" si="34"/>
        <v>Whole sector</v>
      </c>
      <c r="EL55" t="str">
        <f t="shared" si="35"/>
        <v/>
      </c>
      <c r="EM55" s="258" t="s">
        <v>544</v>
      </c>
      <c r="EN55" s="257" t="s">
        <v>236</v>
      </c>
      <c r="EO55" s="257"/>
      <c r="EP55" t="str">
        <f>IF(ISNUMBER(BU55),IF(ABS(BU55-[2]QC_indicators!$B$2)&gt;3*[2]QC_indicators!$C$2,"C ratio",IF(ISNUMBER(BY55),IF(ABS(BY55-[2]QC_indicators!$B$1)&gt;3*[2]QC_indicators!$C$1,"DF","no"))),IF(ISNUMBER(BY55),IF(ABS(BY55-[2]QC_indicators!$B$1)&gt;3*[2]QC_indicators!$C$1,"DF","no")))</f>
        <v>no</v>
      </c>
      <c r="EQ55" s="257"/>
      <c r="ER55" s="257"/>
      <c r="ES55" s="257"/>
      <c r="ET55" s="257"/>
      <c r="EU55"/>
    </row>
    <row r="56" spans="1:151" s="139" customFormat="1" ht="15" hidden="1" customHeight="1">
      <c r="A56" s="256" t="s">
        <v>214</v>
      </c>
      <c r="B56" s="257" t="s">
        <v>215</v>
      </c>
      <c r="C56" s="257" t="s">
        <v>216</v>
      </c>
      <c r="D56" s="257" t="s">
        <v>217</v>
      </c>
      <c r="E56" s="257" t="s">
        <v>218</v>
      </c>
      <c r="F56" s="257" t="s">
        <v>219</v>
      </c>
      <c r="G56" s="257" t="s">
        <v>220</v>
      </c>
      <c r="H56" s="257"/>
      <c r="I56" s="257">
        <v>2012</v>
      </c>
      <c r="J56" s="257"/>
      <c r="K56" s="257" t="s">
        <v>221</v>
      </c>
      <c r="L56" s="257"/>
      <c r="M56" s="257" t="s">
        <v>3069</v>
      </c>
      <c r="N56" s="257" t="s">
        <v>222</v>
      </c>
      <c r="O56" s="275" t="s">
        <v>223</v>
      </c>
      <c r="P56" s="257"/>
      <c r="Q56" s="257" t="s">
        <v>224</v>
      </c>
      <c r="R56" s="258" t="s">
        <v>225</v>
      </c>
      <c r="S56" s="256" t="s">
        <v>226</v>
      </c>
      <c r="T56" s="257" t="s">
        <v>228</v>
      </c>
      <c r="U56" s="257" t="s">
        <v>237</v>
      </c>
      <c r="V56" s="257">
        <v>0</v>
      </c>
      <c r="W56" s="257">
        <v>0</v>
      </c>
      <c r="X56" s="257">
        <v>0</v>
      </c>
      <c r="Y56" s="257">
        <v>1</v>
      </c>
      <c r="Z56" s="257">
        <v>0</v>
      </c>
      <c r="AA56" s="257">
        <v>0</v>
      </c>
      <c r="AB56" s="257">
        <v>0</v>
      </c>
      <c r="AC56" s="257">
        <v>0</v>
      </c>
      <c r="AD56" s="257">
        <v>0</v>
      </c>
      <c r="AE56" s="257">
        <v>0</v>
      </c>
      <c r="AF56" s="257">
        <v>0</v>
      </c>
      <c r="AG56" s="257">
        <v>0</v>
      </c>
      <c r="AH56" s="257">
        <v>0</v>
      </c>
      <c r="AI56" s="257">
        <v>0</v>
      </c>
      <c r="AJ56" s="257">
        <v>0</v>
      </c>
      <c r="AK56" s="257">
        <v>0</v>
      </c>
      <c r="AL56" s="257">
        <v>0</v>
      </c>
      <c r="AM56" s="257">
        <v>0</v>
      </c>
      <c r="AN56" s="257">
        <v>0</v>
      </c>
      <c r="AO56" s="257">
        <v>0</v>
      </c>
      <c r="AP56" s="257">
        <v>0</v>
      </c>
      <c r="AQ56" s="257">
        <v>0</v>
      </c>
      <c r="AR56" s="257">
        <v>0</v>
      </c>
      <c r="AS56" s="257">
        <v>0</v>
      </c>
      <c r="AT56" s="257">
        <v>0</v>
      </c>
      <c r="AU56" s="257">
        <v>0</v>
      </c>
      <c r="AV56" s="257">
        <v>0</v>
      </c>
      <c r="AW56" s="257">
        <v>0</v>
      </c>
      <c r="AX56" s="277">
        <v>1</v>
      </c>
      <c r="AY56" s="277">
        <v>1</v>
      </c>
      <c r="AZ56" s="257">
        <v>1</v>
      </c>
      <c r="BA56" s="257">
        <v>0</v>
      </c>
      <c r="BB56" s="257">
        <v>0</v>
      </c>
      <c r="BC56" s="257">
        <v>0</v>
      </c>
      <c r="BD56" s="257">
        <v>0</v>
      </c>
      <c r="BE56" s="257" t="s">
        <v>91</v>
      </c>
      <c r="BF56" s="2" t="str" cm="1">
        <f t="array" ref="BF56">IF(COUNTIF(AZ56:BB56,"&lt;&gt;0")=1,INDEX($V$4:$AW$4,MATCH(TRUE,INDEX($V56:$AW56&lt;&gt;0,),0)),IF(COUNTIF(AZ56:BB56,"&lt;&gt;0")=0,INDEX($AM$4:$AW$4,MATCH(1,$AM56:$AW56,0)),"Multiple strategies"))</f>
        <v>Silviculture for removals</v>
      </c>
      <c r="BG56" s="278" t="s">
        <v>229</v>
      </c>
      <c r="BH56" s="257" t="s">
        <v>230</v>
      </c>
      <c r="BI56" s="279" t="s">
        <v>3070</v>
      </c>
      <c r="BJ56" s="276" t="s">
        <v>231</v>
      </c>
      <c r="BK56" s="257">
        <v>47.845851490000001</v>
      </c>
      <c r="BL56" s="257">
        <v>54.766085619999998</v>
      </c>
      <c r="BM56" s="276">
        <v>0.87364015427327157</v>
      </c>
      <c r="BN56" s="257">
        <v>6.9202341299999972</v>
      </c>
      <c r="BO56" s="276">
        <v>14.122926795918362</v>
      </c>
      <c r="BP56" s="276" t="s">
        <v>232</v>
      </c>
      <c r="BQ56" s="279" t="s">
        <v>3070</v>
      </c>
      <c r="BR56" s="276" t="s">
        <v>233</v>
      </c>
      <c r="BS56" s="257">
        <v>-9.0763052210000001</v>
      </c>
      <c r="BT56" s="257">
        <v>-9.0261044179999992</v>
      </c>
      <c r="BU56" s="259">
        <v>0.99446902657219471</v>
      </c>
      <c r="BV56" s="257">
        <v>5.020080300000096E-2</v>
      </c>
      <c r="BW56" s="257"/>
      <c r="BX56" s="257">
        <v>5.0200803000000959E-5</v>
      </c>
      <c r="BY56" s="257">
        <v>3.5545608729282225E-6</v>
      </c>
      <c r="BZ56" s="257">
        <v>0</v>
      </c>
      <c r="CA56" s="257">
        <v>0</v>
      </c>
      <c r="CB56" s="257">
        <v>0</v>
      </c>
      <c r="CC56" s="257">
        <v>0</v>
      </c>
      <c r="CD56" s="257">
        <v>0</v>
      </c>
      <c r="CE56" s="257">
        <v>0</v>
      </c>
      <c r="CF56" s="257">
        <v>0</v>
      </c>
      <c r="CG56" s="257">
        <v>0</v>
      </c>
      <c r="CH56" s="257">
        <v>0</v>
      </c>
      <c r="CI56" s="257">
        <v>0</v>
      </c>
      <c r="CJ56" s="257">
        <v>0</v>
      </c>
      <c r="CK56" s="257">
        <v>0</v>
      </c>
      <c r="CL56" s="257">
        <v>0</v>
      </c>
      <c r="CM56" s="257">
        <v>0</v>
      </c>
      <c r="CN56" s="257" t="s">
        <v>3071</v>
      </c>
      <c r="CO56" s="257">
        <v>47.845851490000001</v>
      </c>
      <c r="CP56" s="257">
        <v>54.766085619999998</v>
      </c>
      <c r="CQ56" s="257">
        <v>14.122926795918362</v>
      </c>
      <c r="CR56" s="257">
        <v>-9.0763052210000001</v>
      </c>
      <c r="CS56" s="257">
        <v>-9.0261044179999992</v>
      </c>
      <c r="CT56" s="257">
        <v>5.0200803000000959E-5</v>
      </c>
      <c r="CU56" s="257">
        <v>3.5545608729282225E-6</v>
      </c>
      <c r="CV56" s="258">
        <v>5.5309734278052389E-3</v>
      </c>
      <c r="CW56" s="256" t="s">
        <v>234</v>
      </c>
      <c r="CX56" s="257" t="s">
        <v>3072</v>
      </c>
      <c r="CY56" s="257" t="s">
        <v>235</v>
      </c>
      <c r="CZ56" s="257"/>
      <c r="DA56" s="276"/>
      <c r="DB56" s="276">
        <v>80</v>
      </c>
      <c r="DC56" s="257" t="s">
        <v>3073</v>
      </c>
      <c r="DD56" s="257">
        <v>0</v>
      </c>
      <c r="DE56" s="257">
        <v>1</v>
      </c>
      <c r="DF56" s="257">
        <v>0</v>
      </c>
      <c r="DG56" s="257">
        <v>0</v>
      </c>
      <c r="DH56" s="257"/>
      <c r="DI56" s="257">
        <v>1</v>
      </c>
      <c r="DJ56" s="257" t="s">
        <v>173</v>
      </c>
      <c r="DK56" s="257">
        <v>0</v>
      </c>
      <c r="DL56" s="257" t="s">
        <v>180</v>
      </c>
      <c r="DM56" s="257">
        <v>0</v>
      </c>
      <c r="DN56" s="257">
        <v>0</v>
      </c>
      <c r="DO56" s="257">
        <v>0</v>
      </c>
      <c r="DP56" s="276">
        <v>0</v>
      </c>
      <c r="DQ56" s="276">
        <v>0</v>
      </c>
      <c r="DR56" s="276">
        <v>0</v>
      </c>
      <c r="DS56" s="276">
        <v>0</v>
      </c>
      <c r="DT56" s="257">
        <v>0</v>
      </c>
      <c r="DU56" s="276" t="s">
        <v>961</v>
      </c>
      <c r="DV56" s="276">
        <v>1</v>
      </c>
      <c r="DW56" s="276">
        <v>1</v>
      </c>
      <c r="DX56" s="276">
        <v>1</v>
      </c>
      <c r="DY56" s="276">
        <v>0</v>
      </c>
      <c r="DZ56" s="257">
        <v>0</v>
      </c>
      <c r="EA56" s="276">
        <v>0</v>
      </c>
      <c r="EB56" s="276">
        <v>1</v>
      </c>
      <c r="EC56" s="276">
        <v>1</v>
      </c>
      <c r="ED56" s="276">
        <v>0</v>
      </c>
      <c r="EE56" s="276">
        <v>0</v>
      </c>
      <c r="EF56" s="257">
        <v>1</v>
      </c>
      <c r="EG56" s="276">
        <v>0</v>
      </c>
      <c r="EH56" s="257">
        <v>0</v>
      </c>
      <c r="EI56" s="258">
        <v>0</v>
      </c>
      <c r="EJ56" s="256"/>
      <c r="EK56" t="str">
        <f t="shared" si="34"/>
        <v>Whole sector</v>
      </c>
      <c r="EL56" t="str">
        <f t="shared" si="35"/>
        <v/>
      </c>
      <c r="EM56" s="258" t="s">
        <v>544</v>
      </c>
      <c r="EN56" s="257" t="s">
        <v>236</v>
      </c>
      <c r="EO56" s="257"/>
      <c r="EP56" t="str">
        <f>IF(ISNUMBER(BU56),IF(ABS(BU56-[2]QC_indicators!$B$2)&gt;3*[2]QC_indicators!$C$2,"C ratio",IF(ISNUMBER(BY56),IF(ABS(BY56-[2]QC_indicators!$B$1)&gt;3*[2]QC_indicators!$C$1,"DF","no"))),IF(ISNUMBER(BY56),IF(ABS(BY56-[2]QC_indicators!$B$1)&gt;3*[2]QC_indicators!$C$1,"DF","no")))</f>
        <v>no</v>
      </c>
      <c r="EQ56" s="257"/>
      <c r="ER56" s="257"/>
      <c r="ES56" s="257"/>
      <c r="ET56" s="257"/>
      <c r="EU56"/>
    </row>
    <row r="57" spans="1:151" s="139" customFormat="1" ht="15" hidden="1" customHeight="1">
      <c r="A57" s="256" t="s">
        <v>214</v>
      </c>
      <c r="B57" s="257" t="s">
        <v>215</v>
      </c>
      <c r="C57" s="257" t="s">
        <v>216</v>
      </c>
      <c r="D57" s="257" t="s">
        <v>217</v>
      </c>
      <c r="E57" s="257" t="s">
        <v>218</v>
      </c>
      <c r="F57" s="257" t="s">
        <v>219</v>
      </c>
      <c r="G57" s="257" t="s">
        <v>220</v>
      </c>
      <c r="H57" s="257"/>
      <c r="I57" s="257">
        <v>2012</v>
      </c>
      <c r="J57" s="257"/>
      <c r="K57" s="257" t="s">
        <v>221</v>
      </c>
      <c r="L57" s="257"/>
      <c r="M57" s="257" t="s">
        <v>3069</v>
      </c>
      <c r="N57" s="257" t="s">
        <v>222</v>
      </c>
      <c r="O57" s="275" t="s">
        <v>223</v>
      </c>
      <c r="P57" s="257"/>
      <c r="Q57" s="257" t="s">
        <v>224</v>
      </c>
      <c r="R57" s="258" t="s">
        <v>225</v>
      </c>
      <c r="S57" s="256" t="s">
        <v>226</v>
      </c>
      <c r="T57" s="257" t="s">
        <v>228</v>
      </c>
      <c r="U57" s="257" t="s">
        <v>237</v>
      </c>
      <c r="V57" s="257">
        <v>0</v>
      </c>
      <c r="W57" s="257">
        <v>0</v>
      </c>
      <c r="X57" s="257">
        <v>0</v>
      </c>
      <c r="Y57" s="257">
        <v>1</v>
      </c>
      <c r="Z57" s="257">
        <v>0</v>
      </c>
      <c r="AA57" s="257">
        <v>0</v>
      </c>
      <c r="AB57" s="257">
        <v>0</v>
      </c>
      <c r="AC57" s="257">
        <v>0</v>
      </c>
      <c r="AD57" s="257">
        <v>0</v>
      </c>
      <c r="AE57" s="257">
        <v>0</v>
      </c>
      <c r="AF57" s="257">
        <v>0</v>
      </c>
      <c r="AG57" s="257">
        <v>0</v>
      </c>
      <c r="AH57" s="257">
        <v>0</v>
      </c>
      <c r="AI57" s="257">
        <v>0</v>
      </c>
      <c r="AJ57" s="257">
        <v>0</v>
      </c>
      <c r="AK57" s="257">
        <v>0</v>
      </c>
      <c r="AL57" s="257">
        <v>0</v>
      </c>
      <c r="AM57" s="257">
        <v>0</v>
      </c>
      <c r="AN57" s="257">
        <v>0</v>
      </c>
      <c r="AO57" s="257">
        <v>0</v>
      </c>
      <c r="AP57" s="257">
        <v>0</v>
      </c>
      <c r="AQ57" s="257">
        <v>0</v>
      </c>
      <c r="AR57" s="257">
        <v>0</v>
      </c>
      <c r="AS57" s="257">
        <v>0</v>
      </c>
      <c r="AT57" s="257">
        <v>0</v>
      </c>
      <c r="AU57" s="257">
        <v>0</v>
      </c>
      <c r="AV57" s="257">
        <v>0</v>
      </c>
      <c r="AW57" s="257">
        <v>0</v>
      </c>
      <c r="AX57" s="277">
        <v>1</v>
      </c>
      <c r="AY57" s="277">
        <v>1</v>
      </c>
      <c r="AZ57" s="257">
        <v>1</v>
      </c>
      <c r="BA57" s="257">
        <v>0</v>
      </c>
      <c r="BB57" s="257">
        <v>0</v>
      </c>
      <c r="BC57" s="257">
        <v>0</v>
      </c>
      <c r="BD57" s="257">
        <v>0</v>
      </c>
      <c r="BE57" s="257" t="s">
        <v>91</v>
      </c>
      <c r="BF57" s="2" t="str" cm="1">
        <f t="array" ref="BF57">IF(COUNTIF(AZ57:BB57,"&lt;&gt;0")=1,INDEX($V$4:$AW$4,MATCH(TRUE,INDEX($V57:$AW57&lt;&gt;0,),0)),IF(COUNTIF(AZ57:BB57,"&lt;&gt;0")=0,INDEX($AM$4:$AW$4,MATCH(1,$AM57:$AW57,0)),"Multiple strategies"))</f>
        <v>Silviculture for removals</v>
      </c>
      <c r="BG57" s="278" t="s">
        <v>229</v>
      </c>
      <c r="BH57" s="257" t="s">
        <v>230</v>
      </c>
      <c r="BI57" s="279" t="s">
        <v>3070</v>
      </c>
      <c r="BJ57" s="276" t="s">
        <v>231</v>
      </c>
      <c r="BK57" s="257">
        <v>98.063244030000007</v>
      </c>
      <c r="BL57" s="257">
        <v>124.6996771</v>
      </c>
      <c r="BM57" s="276">
        <v>1.2716250449745599</v>
      </c>
      <c r="BN57" s="257">
        <v>26.636433069999995</v>
      </c>
      <c r="BO57" s="276">
        <v>54.36006748979591</v>
      </c>
      <c r="BP57" s="276" t="s">
        <v>232</v>
      </c>
      <c r="BQ57" s="279" t="s">
        <v>3070</v>
      </c>
      <c r="BR57" s="276" t="s">
        <v>233</v>
      </c>
      <c r="BS57" s="257">
        <v>-8.12446701</v>
      </c>
      <c r="BT57" s="257">
        <v>-7.9158553720000002</v>
      </c>
      <c r="BU57" s="259">
        <v>0.9743230370997592</v>
      </c>
      <c r="BV57" s="257">
        <v>0.20861163799999982</v>
      </c>
      <c r="BW57" s="257"/>
      <c r="BX57" s="257">
        <v>2.0861163799999982E-4</v>
      </c>
      <c r="BY57" s="257">
        <v>3.83758975352926E-6</v>
      </c>
      <c r="BZ57" s="257">
        <v>0</v>
      </c>
      <c r="CA57" s="257">
        <v>0</v>
      </c>
      <c r="CB57" s="257">
        <v>0</v>
      </c>
      <c r="CC57" s="257">
        <v>0</v>
      </c>
      <c r="CD57" s="257">
        <v>0</v>
      </c>
      <c r="CE57" s="257">
        <v>0</v>
      </c>
      <c r="CF57" s="257">
        <v>0</v>
      </c>
      <c r="CG57" s="257">
        <v>0</v>
      </c>
      <c r="CH57" s="257">
        <v>0</v>
      </c>
      <c r="CI57" s="257">
        <v>0</v>
      </c>
      <c r="CJ57" s="257">
        <v>0</v>
      </c>
      <c r="CK57" s="257">
        <v>0</v>
      </c>
      <c r="CL57" s="257">
        <v>0</v>
      </c>
      <c r="CM57" s="257">
        <v>0</v>
      </c>
      <c r="CN57" s="257" t="s">
        <v>3071</v>
      </c>
      <c r="CO57" s="257">
        <v>98.063244030000007</v>
      </c>
      <c r="CP57" s="257">
        <v>124.6996771</v>
      </c>
      <c r="CQ57" s="257">
        <v>54.36006748979591</v>
      </c>
      <c r="CR57" s="257">
        <v>-8.12446701</v>
      </c>
      <c r="CS57" s="257">
        <v>-7.9158553720000002</v>
      </c>
      <c r="CT57" s="257">
        <v>2.0861163799999982E-4</v>
      </c>
      <c r="CU57" s="257">
        <v>3.83758975352926E-6</v>
      </c>
      <c r="CV57" s="258">
        <v>2.5676962900240741E-2</v>
      </c>
      <c r="CW57" s="256" t="s">
        <v>234</v>
      </c>
      <c r="CX57" s="257" t="s">
        <v>3072</v>
      </c>
      <c r="CY57" s="257" t="s">
        <v>235</v>
      </c>
      <c r="CZ57" s="257"/>
      <c r="DA57" s="276"/>
      <c r="DB57" s="276">
        <v>80</v>
      </c>
      <c r="DC57" s="257" t="s">
        <v>3073</v>
      </c>
      <c r="DD57" s="257">
        <v>0</v>
      </c>
      <c r="DE57" s="257">
        <v>1</v>
      </c>
      <c r="DF57" s="257">
        <v>0</v>
      </c>
      <c r="DG57" s="257">
        <v>0</v>
      </c>
      <c r="DH57" s="257"/>
      <c r="DI57" s="257">
        <v>1</v>
      </c>
      <c r="DJ57" s="257" t="s">
        <v>173</v>
      </c>
      <c r="DK57" s="257">
        <v>0</v>
      </c>
      <c r="DL57" s="257" t="s">
        <v>180</v>
      </c>
      <c r="DM57" s="257">
        <v>0</v>
      </c>
      <c r="DN57" s="257">
        <v>0</v>
      </c>
      <c r="DO57" s="257">
        <v>0</v>
      </c>
      <c r="DP57" s="276">
        <v>0</v>
      </c>
      <c r="DQ57" s="276">
        <v>0</v>
      </c>
      <c r="DR57" s="276">
        <v>0</v>
      </c>
      <c r="DS57" s="276">
        <v>0</v>
      </c>
      <c r="DT57" s="257">
        <v>0</v>
      </c>
      <c r="DU57" s="276" t="s">
        <v>961</v>
      </c>
      <c r="DV57" s="276">
        <v>1</v>
      </c>
      <c r="DW57" s="276">
        <v>1</v>
      </c>
      <c r="DX57" s="276">
        <v>1</v>
      </c>
      <c r="DY57" s="276">
        <v>0</v>
      </c>
      <c r="DZ57" s="257">
        <v>0</v>
      </c>
      <c r="EA57" s="276">
        <v>0</v>
      </c>
      <c r="EB57" s="276">
        <v>1</v>
      </c>
      <c r="EC57" s="276">
        <v>1</v>
      </c>
      <c r="ED57" s="276">
        <v>0</v>
      </c>
      <c r="EE57" s="276">
        <v>0</v>
      </c>
      <c r="EF57" s="257">
        <v>1</v>
      </c>
      <c r="EG57" s="276">
        <v>0</v>
      </c>
      <c r="EH57" s="257">
        <v>0</v>
      </c>
      <c r="EI57" s="258">
        <v>0</v>
      </c>
      <c r="EJ57" s="256"/>
      <c r="EK57" t="str">
        <f t="shared" si="34"/>
        <v>Whole sector</v>
      </c>
      <c r="EL57" t="str">
        <f t="shared" si="35"/>
        <v/>
      </c>
      <c r="EM57" s="258" t="s">
        <v>544</v>
      </c>
      <c r="EN57" s="257" t="s">
        <v>236</v>
      </c>
      <c r="EO57" s="257"/>
      <c r="EP57" t="str">
        <f>IF(ISNUMBER(BU57),IF(ABS(BU57-[2]QC_indicators!$B$2)&gt;3*[2]QC_indicators!$C$2,"C ratio",IF(ISNUMBER(BY57),IF(ABS(BY57-[2]QC_indicators!$B$1)&gt;3*[2]QC_indicators!$C$1,"DF","no"))),IF(ISNUMBER(BY57),IF(ABS(BY57-[2]QC_indicators!$B$1)&gt;3*[2]QC_indicators!$C$1,"DF","no")))</f>
        <v>no</v>
      </c>
      <c r="EQ57" s="257"/>
      <c r="ER57" s="257"/>
      <c r="ES57" s="257"/>
      <c r="ET57" s="257"/>
      <c r="EU57"/>
    </row>
    <row r="58" spans="1:151" s="139" customFormat="1" ht="15" hidden="1" customHeight="1">
      <c r="A58" s="256" t="s">
        <v>214</v>
      </c>
      <c r="B58" s="257" t="s">
        <v>215</v>
      </c>
      <c r="C58" s="257" t="s">
        <v>216</v>
      </c>
      <c r="D58" s="257" t="s">
        <v>217</v>
      </c>
      <c r="E58" s="257" t="s">
        <v>218</v>
      </c>
      <c r="F58" s="257" t="s">
        <v>219</v>
      </c>
      <c r="G58" s="257" t="s">
        <v>220</v>
      </c>
      <c r="H58" s="257"/>
      <c r="I58" s="257">
        <v>2012</v>
      </c>
      <c r="J58" s="257"/>
      <c r="K58" s="257" t="s">
        <v>221</v>
      </c>
      <c r="L58" s="257"/>
      <c r="M58" s="257" t="s">
        <v>3069</v>
      </c>
      <c r="N58" s="257" t="s">
        <v>222</v>
      </c>
      <c r="O58" s="275" t="s">
        <v>223</v>
      </c>
      <c r="P58" s="257"/>
      <c r="Q58" s="257" t="s">
        <v>224</v>
      </c>
      <c r="R58" s="258" t="s">
        <v>225</v>
      </c>
      <c r="S58" s="256" t="s">
        <v>226</v>
      </c>
      <c r="T58" s="257" t="s">
        <v>228</v>
      </c>
      <c r="U58" s="257" t="s">
        <v>237</v>
      </c>
      <c r="V58" s="257">
        <v>0</v>
      </c>
      <c r="W58" s="257">
        <v>0</v>
      </c>
      <c r="X58" s="257">
        <v>0</v>
      </c>
      <c r="Y58" s="257">
        <v>1</v>
      </c>
      <c r="Z58" s="257">
        <v>0</v>
      </c>
      <c r="AA58" s="257">
        <v>0</v>
      </c>
      <c r="AB58" s="257">
        <v>0</v>
      </c>
      <c r="AC58" s="257">
        <v>0</v>
      </c>
      <c r="AD58" s="257">
        <v>0</v>
      </c>
      <c r="AE58" s="257">
        <v>0</v>
      </c>
      <c r="AF58" s="257">
        <v>0</v>
      </c>
      <c r="AG58" s="257">
        <v>0</v>
      </c>
      <c r="AH58" s="257">
        <v>0</v>
      </c>
      <c r="AI58" s="257">
        <v>0</v>
      </c>
      <c r="AJ58" s="257">
        <v>0</v>
      </c>
      <c r="AK58" s="257">
        <v>0</v>
      </c>
      <c r="AL58" s="257">
        <v>0</v>
      </c>
      <c r="AM58" s="257">
        <v>0</v>
      </c>
      <c r="AN58" s="257">
        <v>0</v>
      </c>
      <c r="AO58" s="257">
        <v>0</v>
      </c>
      <c r="AP58" s="257">
        <v>0</v>
      </c>
      <c r="AQ58" s="257">
        <v>0</v>
      </c>
      <c r="AR58" s="257">
        <v>0</v>
      </c>
      <c r="AS58" s="257">
        <v>0</v>
      </c>
      <c r="AT58" s="257">
        <v>0</v>
      </c>
      <c r="AU58" s="257">
        <v>0</v>
      </c>
      <c r="AV58" s="257">
        <v>0</v>
      </c>
      <c r="AW58" s="257">
        <v>0</v>
      </c>
      <c r="AX58" s="277">
        <v>1</v>
      </c>
      <c r="AY58" s="277">
        <v>1</v>
      </c>
      <c r="AZ58" s="257">
        <v>1</v>
      </c>
      <c r="BA58" s="257">
        <v>0</v>
      </c>
      <c r="BB58" s="257">
        <v>0</v>
      </c>
      <c r="BC58" s="257">
        <v>0</v>
      </c>
      <c r="BD58" s="257">
        <v>0</v>
      </c>
      <c r="BE58" s="257" t="s">
        <v>91</v>
      </c>
      <c r="BF58" s="2" t="str" cm="1">
        <f t="array" ref="BF58">IF(COUNTIF(AZ58:BB58,"&lt;&gt;0")=1,INDEX($V$4:$AW$4,MATCH(TRUE,INDEX($V58:$AW58&lt;&gt;0,),0)),IF(COUNTIF(AZ58:BB58,"&lt;&gt;0")=0,INDEX($AM$4:$AW$4,MATCH(1,$AM58:$AW58,0)),"Multiple strategies"))</f>
        <v>Silviculture for removals</v>
      </c>
      <c r="BG58" s="278" t="s">
        <v>229</v>
      </c>
      <c r="BH58" s="257" t="s">
        <v>230</v>
      </c>
      <c r="BI58" s="279" t="s">
        <v>3070</v>
      </c>
      <c r="BJ58" s="276" t="s">
        <v>231</v>
      </c>
      <c r="BK58" s="257">
        <v>100.5900439</v>
      </c>
      <c r="BL58" s="257">
        <v>127.1903367</v>
      </c>
      <c r="BM58" s="276">
        <v>1.2644426005663569</v>
      </c>
      <c r="BN58" s="257">
        <v>26.600292800000005</v>
      </c>
      <c r="BO58" s="276">
        <v>54.286311836734704</v>
      </c>
      <c r="BP58" s="276" t="s">
        <v>232</v>
      </c>
      <c r="BQ58" s="282" t="s">
        <v>2624</v>
      </c>
      <c r="BR58" s="276" t="s">
        <v>233</v>
      </c>
      <c r="BS58" s="257">
        <v>-11.804099559999999</v>
      </c>
      <c r="BT58" s="257">
        <v>-11.589751100000001</v>
      </c>
      <c r="BU58" s="259">
        <v>0.9818411850128449</v>
      </c>
      <c r="BV58" s="257">
        <v>0.2143484599999983</v>
      </c>
      <c r="BW58" s="257"/>
      <c r="BX58" s="257">
        <v>2.143484599999983E-4</v>
      </c>
      <c r="BY58" s="257">
        <v>3.9484808001812348E-6</v>
      </c>
      <c r="BZ58" s="257">
        <v>0</v>
      </c>
      <c r="CA58" s="257">
        <v>0</v>
      </c>
      <c r="CB58" s="257">
        <v>0</v>
      </c>
      <c r="CC58" s="257">
        <v>0</v>
      </c>
      <c r="CD58" s="257">
        <v>0</v>
      </c>
      <c r="CE58" s="257">
        <v>0</v>
      </c>
      <c r="CF58" s="257">
        <v>0</v>
      </c>
      <c r="CG58" s="257">
        <v>0</v>
      </c>
      <c r="CH58" s="257">
        <v>0</v>
      </c>
      <c r="CI58" s="257">
        <v>0</v>
      </c>
      <c r="CJ58" s="257">
        <v>0</v>
      </c>
      <c r="CK58" s="257">
        <v>0</v>
      </c>
      <c r="CL58" s="257">
        <v>0</v>
      </c>
      <c r="CM58" s="257">
        <v>0</v>
      </c>
      <c r="CN58" s="257" t="s">
        <v>3071</v>
      </c>
      <c r="CO58" s="257">
        <v>100.5900439</v>
      </c>
      <c r="CP58" s="257">
        <v>127.1903367</v>
      </c>
      <c r="CQ58" s="257">
        <v>54.286311836734704</v>
      </c>
      <c r="CR58" s="257">
        <v>-11.804099559999999</v>
      </c>
      <c r="CS58" s="257">
        <v>-11.589751100000001</v>
      </c>
      <c r="CT58" s="257">
        <v>2.143484599999983E-4</v>
      </c>
      <c r="CU58" s="257">
        <v>3.9484808001812348E-6</v>
      </c>
      <c r="CV58" s="258">
        <v>1.8158814987155047E-2</v>
      </c>
      <c r="CW58" s="256" t="s">
        <v>234</v>
      </c>
      <c r="CX58" s="257" t="s">
        <v>3072</v>
      </c>
      <c r="CY58" s="257" t="s">
        <v>235</v>
      </c>
      <c r="CZ58" s="257"/>
      <c r="DA58" s="276"/>
      <c r="DB58" s="276">
        <v>80</v>
      </c>
      <c r="DC58" s="257" t="s">
        <v>3073</v>
      </c>
      <c r="DD58" s="257">
        <v>0</v>
      </c>
      <c r="DE58" s="257">
        <v>1</v>
      </c>
      <c r="DF58" s="257">
        <v>0</v>
      </c>
      <c r="DG58" s="257">
        <v>0</v>
      </c>
      <c r="DH58" s="257"/>
      <c r="DI58" s="257">
        <v>1</v>
      </c>
      <c r="DJ58" s="257" t="s">
        <v>173</v>
      </c>
      <c r="DK58" s="257">
        <v>0</v>
      </c>
      <c r="DL58" s="257" t="s">
        <v>180</v>
      </c>
      <c r="DM58" s="257">
        <v>0</v>
      </c>
      <c r="DN58" s="257">
        <v>0</v>
      </c>
      <c r="DO58" s="257">
        <v>0</v>
      </c>
      <c r="DP58" s="276">
        <v>0</v>
      </c>
      <c r="DQ58" s="276">
        <v>0</v>
      </c>
      <c r="DR58" s="276">
        <v>0</v>
      </c>
      <c r="DS58" s="276">
        <v>0</v>
      </c>
      <c r="DT58" s="257">
        <v>0</v>
      </c>
      <c r="DU58" s="276" t="s">
        <v>961</v>
      </c>
      <c r="DV58" s="276">
        <v>1</v>
      </c>
      <c r="DW58" s="276">
        <v>1</v>
      </c>
      <c r="DX58" s="276">
        <v>1</v>
      </c>
      <c r="DY58" s="276">
        <v>0</v>
      </c>
      <c r="DZ58" s="257">
        <v>0</v>
      </c>
      <c r="EA58" s="276">
        <v>0</v>
      </c>
      <c r="EB58" s="276">
        <v>1</v>
      </c>
      <c r="EC58" s="276">
        <v>1</v>
      </c>
      <c r="ED58" s="276">
        <v>0</v>
      </c>
      <c r="EE58" s="276">
        <v>0</v>
      </c>
      <c r="EF58" s="257">
        <v>1</v>
      </c>
      <c r="EG58" s="276">
        <v>0</v>
      </c>
      <c r="EH58" s="257">
        <v>0</v>
      </c>
      <c r="EI58" s="258">
        <v>0</v>
      </c>
      <c r="EJ58" s="256"/>
      <c r="EK58" t="str">
        <f t="shared" ref="EK58:EK89" si="36">IF(AND(AND(AND(OR($DX58=1,$DW58=1),OR($EC58=1,$EA58=1)),SUM($DV58:$DZ58,$EF58)&gt;=4),SUM($EA58:$EE58)&gt;=2),"Whole sector","")</f>
        <v>Whole sector</v>
      </c>
      <c r="EL58" t="str">
        <f t="shared" ref="EL58:EL89" si="37">IF(AND(AND(OR($DX58=1,$DW58=1),AND($EC58=0,$EA58=0)),SUM($DV58:$DZ58,$EF58)&gt;=4),"Ecosystem approach","")</f>
        <v/>
      </c>
      <c r="EM58" s="258" t="s">
        <v>544</v>
      </c>
      <c r="EN58" s="257" t="s">
        <v>236</v>
      </c>
      <c r="EO58" s="257"/>
      <c r="EP58" t="str">
        <f>IF(ISNUMBER(BU58),IF(ABS(BU58-[2]QC_indicators!$B$2)&gt;3*[2]QC_indicators!$C$2,"C ratio",IF(ISNUMBER(BY58),IF(ABS(BY58-[2]QC_indicators!$B$1)&gt;3*[2]QC_indicators!$C$1,"DF","no"))),IF(ISNUMBER(BY58),IF(ABS(BY58-[2]QC_indicators!$B$1)&gt;3*[2]QC_indicators!$C$1,"DF","no")))</f>
        <v>no</v>
      </c>
      <c r="EQ58" s="280"/>
      <c r="ER58" s="280"/>
      <c r="ES58" s="280"/>
      <c r="ET58"/>
      <c r="EU58"/>
    </row>
    <row r="59" spans="1:151" s="139" customFormat="1" ht="15" hidden="1" customHeight="1">
      <c r="A59" s="256" t="s">
        <v>214</v>
      </c>
      <c r="B59" s="257" t="s">
        <v>215</v>
      </c>
      <c r="C59" s="257" t="s">
        <v>216</v>
      </c>
      <c r="D59" s="257" t="s">
        <v>217</v>
      </c>
      <c r="E59" s="257" t="s">
        <v>218</v>
      </c>
      <c r="F59" s="257" t="s">
        <v>219</v>
      </c>
      <c r="G59" s="257" t="s">
        <v>220</v>
      </c>
      <c r="H59" s="257"/>
      <c r="I59" s="257">
        <v>2012</v>
      </c>
      <c r="J59" s="257"/>
      <c r="K59" s="257" t="s">
        <v>221</v>
      </c>
      <c r="L59" s="257"/>
      <c r="M59" s="257" t="s">
        <v>3069</v>
      </c>
      <c r="N59" s="257" t="s">
        <v>222</v>
      </c>
      <c r="O59" s="275" t="s">
        <v>223</v>
      </c>
      <c r="P59" s="257"/>
      <c r="Q59" s="257" t="s">
        <v>224</v>
      </c>
      <c r="R59" s="258" t="s">
        <v>225</v>
      </c>
      <c r="S59" s="256" t="s">
        <v>226</v>
      </c>
      <c r="T59" s="257" t="s">
        <v>228</v>
      </c>
      <c r="U59" s="257" t="s">
        <v>237</v>
      </c>
      <c r="V59" s="257">
        <v>0</v>
      </c>
      <c r="W59" s="257">
        <v>0</v>
      </c>
      <c r="X59" s="257">
        <v>0</v>
      </c>
      <c r="Y59" s="257">
        <v>1</v>
      </c>
      <c r="Z59" s="257">
        <v>0</v>
      </c>
      <c r="AA59" s="257">
        <v>0</v>
      </c>
      <c r="AB59" s="257">
        <v>0</v>
      </c>
      <c r="AC59" s="257">
        <v>0</v>
      </c>
      <c r="AD59" s="257">
        <v>0</v>
      </c>
      <c r="AE59" s="257">
        <v>0</v>
      </c>
      <c r="AF59" s="257">
        <v>0</v>
      </c>
      <c r="AG59" s="257">
        <v>0</v>
      </c>
      <c r="AH59" s="257">
        <v>0</v>
      </c>
      <c r="AI59" s="257">
        <v>0</v>
      </c>
      <c r="AJ59" s="257">
        <v>0</v>
      </c>
      <c r="AK59" s="257">
        <v>0</v>
      </c>
      <c r="AL59" s="257">
        <v>0</v>
      </c>
      <c r="AM59" s="257">
        <v>0</v>
      </c>
      <c r="AN59" s="257">
        <v>0</v>
      </c>
      <c r="AO59" s="257">
        <v>0</v>
      </c>
      <c r="AP59" s="257">
        <v>0</v>
      </c>
      <c r="AQ59" s="257">
        <v>0</v>
      </c>
      <c r="AR59" s="257">
        <v>0</v>
      </c>
      <c r="AS59" s="257">
        <v>0</v>
      </c>
      <c r="AT59" s="257">
        <v>0</v>
      </c>
      <c r="AU59" s="257">
        <v>0</v>
      </c>
      <c r="AV59" s="257">
        <v>0</v>
      </c>
      <c r="AW59" s="257">
        <v>0</v>
      </c>
      <c r="AX59" s="277">
        <v>1</v>
      </c>
      <c r="AY59" s="277">
        <v>1</v>
      </c>
      <c r="AZ59" s="257">
        <v>1</v>
      </c>
      <c r="BA59" s="257">
        <v>0</v>
      </c>
      <c r="BB59" s="257">
        <v>0</v>
      </c>
      <c r="BC59" s="257">
        <v>0</v>
      </c>
      <c r="BD59" s="257">
        <v>0</v>
      </c>
      <c r="BE59" s="257" t="s">
        <v>91</v>
      </c>
      <c r="BF59" s="2" t="str" cm="1">
        <f t="array" ref="BF59">IF(COUNTIF(AZ59:BB59,"&lt;&gt;0")=1,INDEX($V$4:$AW$4,MATCH(TRUE,INDEX($V59:$AW59&lt;&gt;0,),0)),IF(COUNTIF(AZ59:BB59,"&lt;&gt;0")=0,INDEX($AM$4:$AW$4,MATCH(1,$AM59:$AW59,0)),"Multiple strategies"))</f>
        <v>Silviculture for removals</v>
      </c>
      <c r="BG59" s="278" t="s">
        <v>229</v>
      </c>
      <c r="BH59" s="257" t="s">
        <v>230</v>
      </c>
      <c r="BI59" s="279" t="s">
        <v>3070</v>
      </c>
      <c r="BJ59" s="276" t="s">
        <v>231</v>
      </c>
      <c r="BK59" s="257">
        <v>89.04746797</v>
      </c>
      <c r="BL59" s="257">
        <v>110.7133618</v>
      </c>
      <c r="BM59" s="276">
        <v>1.2433072419004572</v>
      </c>
      <c r="BN59" s="257">
        <v>21.665893830000002</v>
      </c>
      <c r="BO59" s="276">
        <v>44.216109857142861</v>
      </c>
      <c r="BP59" s="276" t="s">
        <v>232</v>
      </c>
      <c r="BQ59" s="279" t="s">
        <v>3070</v>
      </c>
      <c r="BR59" s="276" t="s">
        <v>233</v>
      </c>
      <c r="BS59" s="257">
        <v>-8.1050396580000008</v>
      </c>
      <c r="BT59" s="257">
        <v>-7.8881757170000002</v>
      </c>
      <c r="BU59" s="259">
        <v>0.97324332142089554</v>
      </c>
      <c r="BV59" s="257">
        <v>0.21686394100000062</v>
      </c>
      <c r="BW59" s="257"/>
      <c r="BX59" s="257">
        <v>2.168639410000006E-4</v>
      </c>
      <c r="BY59" s="257">
        <v>4.9046363802845369E-6</v>
      </c>
      <c r="BZ59" s="257">
        <v>0</v>
      </c>
      <c r="CA59" s="257">
        <v>0</v>
      </c>
      <c r="CB59" s="257">
        <v>0</v>
      </c>
      <c r="CC59" s="257">
        <v>0</v>
      </c>
      <c r="CD59" s="257">
        <v>0</v>
      </c>
      <c r="CE59" s="257">
        <v>0</v>
      </c>
      <c r="CF59" s="257">
        <v>0</v>
      </c>
      <c r="CG59" s="257">
        <v>0</v>
      </c>
      <c r="CH59" s="257">
        <v>0</v>
      </c>
      <c r="CI59" s="257">
        <v>0</v>
      </c>
      <c r="CJ59" s="257">
        <v>0</v>
      </c>
      <c r="CK59" s="257">
        <v>0</v>
      </c>
      <c r="CL59" s="257">
        <v>0</v>
      </c>
      <c r="CM59" s="257">
        <v>0</v>
      </c>
      <c r="CN59" s="257" t="s">
        <v>3071</v>
      </c>
      <c r="CO59" s="257">
        <v>89.04746797</v>
      </c>
      <c r="CP59" s="257">
        <v>110.7133618</v>
      </c>
      <c r="CQ59" s="257">
        <v>44.216109857142861</v>
      </c>
      <c r="CR59" s="257">
        <v>-8.1050396580000008</v>
      </c>
      <c r="CS59" s="257">
        <v>-7.8881757170000002</v>
      </c>
      <c r="CT59" s="257">
        <v>2.168639410000006E-4</v>
      </c>
      <c r="CU59" s="257">
        <v>4.9046363802845369E-6</v>
      </c>
      <c r="CV59" s="258">
        <v>2.6756678579104441E-2</v>
      </c>
      <c r="CW59" s="256" t="s">
        <v>234</v>
      </c>
      <c r="CX59" s="257" t="s">
        <v>3072</v>
      </c>
      <c r="CY59" s="257" t="s">
        <v>235</v>
      </c>
      <c r="CZ59" s="257"/>
      <c r="DA59" s="276"/>
      <c r="DB59" s="276">
        <v>80</v>
      </c>
      <c r="DC59" s="257" t="s">
        <v>3073</v>
      </c>
      <c r="DD59" s="257">
        <v>0</v>
      </c>
      <c r="DE59" s="257">
        <v>1</v>
      </c>
      <c r="DF59" s="257">
        <v>0</v>
      </c>
      <c r="DG59" s="257">
        <v>0</v>
      </c>
      <c r="DH59" s="257"/>
      <c r="DI59" s="257">
        <v>1</v>
      </c>
      <c r="DJ59" s="257" t="s">
        <v>173</v>
      </c>
      <c r="DK59" s="257">
        <v>0</v>
      </c>
      <c r="DL59" s="257" t="s">
        <v>180</v>
      </c>
      <c r="DM59" s="257">
        <v>0</v>
      </c>
      <c r="DN59" s="257">
        <v>0</v>
      </c>
      <c r="DO59" s="257">
        <v>0</v>
      </c>
      <c r="DP59" s="276">
        <v>0</v>
      </c>
      <c r="DQ59" s="276">
        <v>0</v>
      </c>
      <c r="DR59" s="276">
        <v>0</v>
      </c>
      <c r="DS59" s="276">
        <v>0</v>
      </c>
      <c r="DT59" s="257">
        <v>0</v>
      </c>
      <c r="DU59" s="276" t="s">
        <v>961</v>
      </c>
      <c r="DV59" s="276">
        <v>1</v>
      </c>
      <c r="DW59" s="276">
        <v>1</v>
      </c>
      <c r="DX59" s="276">
        <v>1</v>
      </c>
      <c r="DY59" s="276">
        <v>0</v>
      </c>
      <c r="DZ59" s="257">
        <v>0</v>
      </c>
      <c r="EA59" s="276">
        <v>0</v>
      </c>
      <c r="EB59" s="276">
        <v>1</v>
      </c>
      <c r="EC59" s="276">
        <v>1</v>
      </c>
      <c r="ED59" s="276">
        <v>0</v>
      </c>
      <c r="EE59" s="276">
        <v>0</v>
      </c>
      <c r="EF59" s="257">
        <v>1</v>
      </c>
      <c r="EG59" s="276">
        <v>0</v>
      </c>
      <c r="EH59" s="257">
        <v>0</v>
      </c>
      <c r="EI59" s="258">
        <v>0</v>
      </c>
      <c r="EJ59" s="256"/>
      <c r="EK59" t="str">
        <f t="shared" si="36"/>
        <v>Whole sector</v>
      </c>
      <c r="EL59" t="str">
        <f t="shared" si="37"/>
        <v/>
      </c>
      <c r="EM59" s="258" t="s">
        <v>544</v>
      </c>
      <c r="EN59" s="257" t="s">
        <v>236</v>
      </c>
      <c r="EO59" s="257"/>
      <c r="EP59" t="str">
        <f>IF(ISNUMBER(BU59),IF(ABS(BU59-[2]QC_indicators!$B$2)&gt;3*[2]QC_indicators!$C$2,"C ratio",IF(ISNUMBER(BY59),IF(ABS(BY59-[2]QC_indicators!$B$1)&gt;3*[2]QC_indicators!$C$1,"DF","no"))),IF(ISNUMBER(BY59),IF(ABS(BY59-[2]QC_indicators!$B$1)&gt;3*[2]QC_indicators!$C$1,"DF","no")))</f>
        <v>no</v>
      </c>
      <c r="EQ59" s="280"/>
      <c r="ER59" s="280"/>
      <c r="ES59" s="280"/>
      <c r="ET59"/>
      <c r="EU59"/>
    </row>
    <row r="60" spans="1:151" s="139" customFormat="1" ht="15" hidden="1" customHeight="1">
      <c r="A60" s="256" t="s">
        <v>214</v>
      </c>
      <c r="B60" s="257" t="s">
        <v>215</v>
      </c>
      <c r="C60" s="257" t="s">
        <v>216</v>
      </c>
      <c r="D60" s="257" t="s">
        <v>217</v>
      </c>
      <c r="E60" s="257" t="s">
        <v>218</v>
      </c>
      <c r="F60" s="257" t="s">
        <v>219</v>
      </c>
      <c r="G60" s="257" t="s">
        <v>220</v>
      </c>
      <c r="H60" s="257"/>
      <c r="I60" s="257">
        <v>2012</v>
      </c>
      <c r="J60" s="257"/>
      <c r="K60" s="257" t="s">
        <v>221</v>
      </c>
      <c r="L60" s="257"/>
      <c r="M60" s="257" t="s">
        <v>3069</v>
      </c>
      <c r="N60" s="257" t="s">
        <v>222</v>
      </c>
      <c r="O60" s="275" t="s">
        <v>223</v>
      </c>
      <c r="P60" s="257"/>
      <c r="Q60" s="257" t="s">
        <v>224</v>
      </c>
      <c r="R60" s="258" t="s">
        <v>225</v>
      </c>
      <c r="S60" s="256" t="s">
        <v>226</v>
      </c>
      <c r="T60" s="257" t="s">
        <v>228</v>
      </c>
      <c r="U60" s="257" t="s">
        <v>239</v>
      </c>
      <c r="V60" s="257">
        <v>0</v>
      </c>
      <c r="W60" s="257">
        <v>0</v>
      </c>
      <c r="X60" s="257">
        <v>0</v>
      </c>
      <c r="Y60" s="257">
        <v>1</v>
      </c>
      <c r="Z60" s="257">
        <v>0</v>
      </c>
      <c r="AA60" s="257">
        <v>0</v>
      </c>
      <c r="AB60" s="257">
        <v>0</v>
      </c>
      <c r="AC60" s="257">
        <v>0</v>
      </c>
      <c r="AD60" s="257">
        <v>0</v>
      </c>
      <c r="AE60" s="257">
        <v>0</v>
      </c>
      <c r="AF60" s="257">
        <v>0</v>
      </c>
      <c r="AG60" s="257">
        <v>0</v>
      </c>
      <c r="AH60" s="257">
        <v>0</v>
      </c>
      <c r="AI60" s="257">
        <v>0</v>
      </c>
      <c r="AJ60" s="257">
        <v>0</v>
      </c>
      <c r="AK60" s="257">
        <v>0</v>
      </c>
      <c r="AL60" s="257">
        <v>0</v>
      </c>
      <c r="AM60" s="257">
        <v>0</v>
      </c>
      <c r="AN60" s="257">
        <v>0</v>
      </c>
      <c r="AO60" s="257">
        <v>0</v>
      </c>
      <c r="AP60" s="257">
        <v>0</v>
      </c>
      <c r="AQ60" s="257">
        <v>0</v>
      </c>
      <c r="AR60" s="257">
        <v>0</v>
      </c>
      <c r="AS60" s="257">
        <v>0</v>
      </c>
      <c r="AT60" s="257">
        <v>0</v>
      </c>
      <c r="AU60" s="257">
        <v>0</v>
      </c>
      <c r="AV60" s="257">
        <v>0</v>
      </c>
      <c r="AW60" s="257">
        <v>0</v>
      </c>
      <c r="AX60" s="277">
        <v>1</v>
      </c>
      <c r="AY60" s="277">
        <v>1</v>
      </c>
      <c r="AZ60" s="257">
        <v>1</v>
      </c>
      <c r="BA60" s="257">
        <v>0</v>
      </c>
      <c r="BB60" s="257">
        <v>0</v>
      </c>
      <c r="BC60" s="257">
        <v>0</v>
      </c>
      <c r="BD60" s="257">
        <v>0</v>
      </c>
      <c r="BE60" s="257" t="s">
        <v>91</v>
      </c>
      <c r="BF60" s="2" t="str" cm="1">
        <f t="array" ref="BF60">IF(COUNTIF(AZ60:BB60,"&lt;&gt;0")=1,INDEX($V$4:$AW$4,MATCH(TRUE,INDEX($V60:$AW60&lt;&gt;0,),0)),IF(COUNTIF(AZ60:BB60,"&lt;&gt;0")=0,INDEX($AM$4:$AW$4,MATCH(1,$AM60:$AW60,0)),"Multiple strategies"))</f>
        <v>Silviculture for removals</v>
      </c>
      <c r="BG60" s="278" t="s">
        <v>229</v>
      </c>
      <c r="BH60" s="257" t="s">
        <v>230</v>
      </c>
      <c r="BI60" s="279" t="s">
        <v>3070</v>
      </c>
      <c r="BJ60" s="276" t="s">
        <v>231</v>
      </c>
      <c r="BK60" s="257">
        <v>69.827586210000007</v>
      </c>
      <c r="BL60" s="257">
        <v>95.977011489999995</v>
      </c>
      <c r="BM60" s="276">
        <v>0.72754491024421464</v>
      </c>
      <c r="BN60" s="257">
        <v>26.149425279999988</v>
      </c>
      <c r="BO60" s="276">
        <v>53.366174040816304</v>
      </c>
      <c r="BP60" s="276" t="s">
        <v>232</v>
      </c>
      <c r="BQ60" s="279" t="s">
        <v>3070</v>
      </c>
      <c r="BR60" s="276" t="s">
        <v>233</v>
      </c>
      <c r="BS60" s="257">
        <v>-8.4285714289999998</v>
      </c>
      <c r="BT60" s="257">
        <v>-8.1428571430000005</v>
      </c>
      <c r="BU60" s="259">
        <v>0.96610169488307962</v>
      </c>
      <c r="BV60" s="257">
        <v>0.28571428599999926</v>
      </c>
      <c r="BW60" s="257"/>
      <c r="BX60" s="257">
        <v>2.8571428599999925E-4</v>
      </c>
      <c r="BY60" s="257">
        <v>5.3538461607061248E-6</v>
      </c>
      <c r="BZ60" s="257">
        <v>0</v>
      </c>
      <c r="CA60" s="257">
        <v>0</v>
      </c>
      <c r="CB60" s="257">
        <v>0</v>
      </c>
      <c r="CC60" s="257">
        <v>0</v>
      </c>
      <c r="CD60" s="257">
        <v>0</v>
      </c>
      <c r="CE60" s="257">
        <v>0</v>
      </c>
      <c r="CF60" s="257">
        <v>0</v>
      </c>
      <c r="CG60" s="257">
        <v>0</v>
      </c>
      <c r="CH60" s="257">
        <v>0</v>
      </c>
      <c r="CI60" s="257">
        <v>0</v>
      </c>
      <c r="CJ60" s="257">
        <v>0</v>
      </c>
      <c r="CK60" s="257">
        <v>0</v>
      </c>
      <c r="CL60" s="257">
        <v>0</v>
      </c>
      <c r="CM60" s="257">
        <v>0</v>
      </c>
      <c r="CN60" s="257" t="s">
        <v>3071</v>
      </c>
      <c r="CO60" s="257">
        <v>69.827586210000007</v>
      </c>
      <c r="CP60" s="257">
        <v>95.977011489999995</v>
      </c>
      <c r="CQ60" s="257">
        <v>53.366174040816304</v>
      </c>
      <c r="CR60" s="257">
        <v>-8.4285714289999998</v>
      </c>
      <c r="CS60" s="257">
        <v>-8.1428571430000005</v>
      </c>
      <c r="CT60" s="257">
        <v>2.8571428599999925E-4</v>
      </c>
      <c r="CU60" s="257">
        <v>5.3538461607061248E-6</v>
      </c>
      <c r="CV60" s="258">
        <v>3.3898305116920338E-2</v>
      </c>
      <c r="CW60" s="256" t="s">
        <v>234</v>
      </c>
      <c r="CX60" s="257" t="s">
        <v>3072</v>
      </c>
      <c r="CY60" s="257" t="s">
        <v>235</v>
      </c>
      <c r="CZ60" s="257"/>
      <c r="DA60" s="276"/>
      <c r="DB60" s="276">
        <v>80</v>
      </c>
      <c r="DC60" s="257" t="s">
        <v>3073</v>
      </c>
      <c r="DD60" s="257">
        <v>0</v>
      </c>
      <c r="DE60" s="257">
        <v>1</v>
      </c>
      <c r="DF60" s="257">
        <v>0</v>
      </c>
      <c r="DG60" s="257">
        <v>0</v>
      </c>
      <c r="DH60" s="257"/>
      <c r="DI60" s="257">
        <v>1</v>
      </c>
      <c r="DJ60" s="257" t="s">
        <v>173</v>
      </c>
      <c r="DK60" s="257">
        <v>0</v>
      </c>
      <c r="DL60" s="257" t="s">
        <v>180</v>
      </c>
      <c r="DM60" s="257">
        <v>0</v>
      </c>
      <c r="DN60" s="257">
        <v>0</v>
      </c>
      <c r="DO60" s="257">
        <v>0</v>
      </c>
      <c r="DP60" s="276">
        <v>0</v>
      </c>
      <c r="DQ60" s="276">
        <v>0</v>
      </c>
      <c r="DR60" s="276">
        <v>0</v>
      </c>
      <c r="DS60" s="276">
        <v>0</v>
      </c>
      <c r="DT60" s="257">
        <v>0</v>
      </c>
      <c r="DU60" s="276" t="s">
        <v>961</v>
      </c>
      <c r="DV60" s="276">
        <v>1</v>
      </c>
      <c r="DW60" s="276">
        <v>1</v>
      </c>
      <c r="DX60" s="276">
        <v>1</v>
      </c>
      <c r="DY60" s="276">
        <v>0</v>
      </c>
      <c r="DZ60" s="257">
        <v>0</v>
      </c>
      <c r="EA60" s="276">
        <v>0</v>
      </c>
      <c r="EB60" s="276">
        <v>1</v>
      </c>
      <c r="EC60" s="276">
        <v>1</v>
      </c>
      <c r="ED60" s="276">
        <v>0</v>
      </c>
      <c r="EE60" s="276">
        <v>0</v>
      </c>
      <c r="EF60" s="257">
        <v>1</v>
      </c>
      <c r="EG60" s="276">
        <v>0</v>
      </c>
      <c r="EH60" s="257">
        <v>0</v>
      </c>
      <c r="EI60" s="258">
        <v>0</v>
      </c>
      <c r="EJ60" s="256"/>
      <c r="EK60" t="str">
        <f t="shared" si="36"/>
        <v>Whole sector</v>
      </c>
      <c r="EL60" t="str">
        <f t="shared" si="37"/>
        <v/>
      </c>
      <c r="EM60" s="258" t="s">
        <v>544</v>
      </c>
      <c r="EN60" s="257" t="s">
        <v>236</v>
      </c>
      <c r="EO60" s="257"/>
      <c r="EP60" t="str">
        <f>IF(ISNUMBER(BU60),IF(ABS(BU60-[2]QC_indicators!$B$2)&gt;3*[2]QC_indicators!$C$2,"C ratio",IF(ISNUMBER(BY60),IF(ABS(BY60-[2]QC_indicators!$B$1)&gt;3*[2]QC_indicators!$C$1,"DF","no"))),IF(ISNUMBER(BY60),IF(ABS(BY60-[2]QC_indicators!$B$1)&gt;3*[2]QC_indicators!$C$1,"DF","no")))</f>
        <v>no</v>
      </c>
      <c r="EQ60" s="280"/>
      <c r="ER60" s="280"/>
      <c r="ES60" s="280"/>
      <c r="ET60"/>
      <c r="EU60"/>
    </row>
    <row r="61" spans="1:151" s="139" customFormat="1" ht="15" hidden="1" customHeight="1">
      <c r="A61" s="256" t="s">
        <v>214</v>
      </c>
      <c r="B61" s="257" t="s">
        <v>215</v>
      </c>
      <c r="C61" s="257" t="s">
        <v>216</v>
      </c>
      <c r="D61" s="257" t="s">
        <v>217</v>
      </c>
      <c r="E61" s="257" t="s">
        <v>218</v>
      </c>
      <c r="F61" s="257" t="s">
        <v>219</v>
      </c>
      <c r="G61" s="257" t="s">
        <v>220</v>
      </c>
      <c r="H61" s="257"/>
      <c r="I61" s="257">
        <v>2012</v>
      </c>
      <c r="J61" s="257"/>
      <c r="K61" s="257" t="s">
        <v>221</v>
      </c>
      <c r="L61" s="257"/>
      <c r="M61" s="257" t="s">
        <v>3069</v>
      </c>
      <c r="N61" s="257" t="s">
        <v>222</v>
      </c>
      <c r="O61" s="275" t="s">
        <v>223</v>
      </c>
      <c r="P61" s="257"/>
      <c r="Q61" s="257" t="s">
        <v>224</v>
      </c>
      <c r="R61" s="258" t="s">
        <v>225</v>
      </c>
      <c r="S61" s="256" t="s">
        <v>226</v>
      </c>
      <c r="T61" s="257" t="s">
        <v>228</v>
      </c>
      <c r="U61" s="257" t="s">
        <v>227</v>
      </c>
      <c r="V61" s="257">
        <v>0</v>
      </c>
      <c r="W61" s="257">
        <v>0</v>
      </c>
      <c r="X61" s="257">
        <v>0</v>
      </c>
      <c r="Y61" s="257">
        <v>1</v>
      </c>
      <c r="Z61" s="257">
        <v>0</v>
      </c>
      <c r="AA61" s="257">
        <v>0</v>
      </c>
      <c r="AB61" s="257">
        <v>0</v>
      </c>
      <c r="AC61" s="257">
        <v>0</v>
      </c>
      <c r="AD61" s="257">
        <v>0</v>
      </c>
      <c r="AE61" s="257">
        <v>0</v>
      </c>
      <c r="AF61" s="257">
        <v>0</v>
      </c>
      <c r="AG61" s="257">
        <v>0</v>
      </c>
      <c r="AH61" s="257">
        <v>0</v>
      </c>
      <c r="AI61" s="257">
        <v>0</v>
      </c>
      <c r="AJ61" s="257">
        <v>0</v>
      </c>
      <c r="AK61" s="257">
        <v>0</v>
      </c>
      <c r="AL61" s="257">
        <v>0</v>
      </c>
      <c r="AM61" s="257">
        <v>0</v>
      </c>
      <c r="AN61" s="257">
        <v>0</v>
      </c>
      <c r="AO61" s="257">
        <v>0</v>
      </c>
      <c r="AP61" s="257">
        <v>0</v>
      </c>
      <c r="AQ61" s="257">
        <v>0</v>
      </c>
      <c r="AR61" s="257">
        <v>0</v>
      </c>
      <c r="AS61" s="257">
        <v>0</v>
      </c>
      <c r="AT61" s="257">
        <v>0</v>
      </c>
      <c r="AU61" s="257">
        <v>0</v>
      </c>
      <c r="AV61" s="257">
        <v>0</v>
      </c>
      <c r="AW61" s="257">
        <v>0</v>
      </c>
      <c r="AX61" s="277">
        <v>1</v>
      </c>
      <c r="AY61" s="277">
        <v>1</v>
      </c>
      <c r="AZ61" s="257">
        <v>1</v>
      </c>
      <c r="BA61" s="257">
        <v>0</v>
      </c>
      <c r="BB61" s="257">
        <v>0</v>
      </c>
      <c r="BC61" s="257">
        <v>0</v>
      </c>
      <c r="BD61" s="257">
        <v>0</v>
      </c>
      <c r="BE61" s="257" t="s">
        <v>91</v>
      </c>
      <c r="BF61" s="2" t="str" cm="1">
        <f t="array" ref="BF61">IF(COUNTIF(AZ61:BB61,"&lt;&gt;0")=1,INDEX($V$4:$AW$4,MATCH(TRUE,INDEX($V61:$AW61&lt;&gt;0,),0)),IF(COUNTIF(AZ61:BB61,"&lt;&gt;0")=0,INDEX($AM$4:$AW$4,MATCH(1,$AM61:$AW61,0)),"Multiple strategies"))</f>
        <v>Silviculture for removals</v>
      </c>
      <c r="BG61" s="278" t="s">
        <v>229</v>
      </c>
      <c r="BH61" s="257" t="s">
        <v>230</v>
      </c>
      <c r="BI61" s="279" t="s">
        <v>3070</v>
      </c>
      <c r="BJ61" s="276" t="s">
        <v>231</v>
      </c>
      <c r="BK61" s="257">
        <v>90.539028419999994</v>
      </c>
      <c r="BL61" s="257">
        <v>98.063244030000007</v>
      </c>
      <c r="BM61" s="276">
        <v>0.92327180602246683</v>
      </c>
      <c r="BN61" s="257">
        <v>7.524215610000013</v>
      </c>
      <c r="BO61" s="276">
        <v>15.355542061224517</v>
      </c>
      <c r="BP61" s="276" t="s">
        <v>232</v>
      </c>
      <c r="BQ61" s="279" t="s">
        <v>3070</v>
      </c>
      <c r="BR61" s="276" t="s">
        <v>233</v>
      </c>
      <c r="BS61" s="257">
        <v>-8.2073792920000006</v>
      </c>
      <c r="BT61" s="257">
        <v>-8.12446701</v>
      </c>
      <c r="BU61" s="259">
        <v>0.98989783717187074</v>
      </c>
      <c r="BV61" s="257">
        <v>8.2912282000000559E-2</v>
      </c>
      <c r="BW61" s="257"/>
      <c r="BX61" s="257">
        <v>8.2912282000000562E-5</v>
      </c>
      <c r="BY61" s="257">
        <v>5.3995021256441911E-6</v>
      </c>
      <c r="BZ61" s="257">
        <v>0</v>
      </c>
      <c r="CA61" s="257">
        <v>0</v>
      </c>
      <c r="CB61" s="257">
        <v>0</v>
      </c>
      <c r="CC61" s="257">
        <v>0</v>
      </c>
      <c r="CD61" s="257">
        <v>0</v>
      </c>
      <c r="CE61" s="257">
        <v>0</v>
      </c>
      <c r="CF61" s="257">
        <v>0</v>
      </c>
      <c r="CG61" s="257">
        <v>0</v>
      </c>
      <c r="CH61" s="257">
        <v>0</v>
      </c>
      <c r="CI61" s="257">
        <v>0</v>
      </c>
      <c r="CJ61" s="257">
        <v>0</v>
      </c>
      <c r="CK61" s="257">
        <v>0</v>
      </c>
      <c r="CL61" s="257">
        <v>0</v>
      </c>
      <c r="CM61" s="257">
        <v>0</v>
      </c>
      <c r="CN61" s="257" t="s">
        <v>3071</v>
      </c>
      <c r="CO61" s="257">
        <v>90.539028419999994</v>
      </c>
      <c r="CP61" s="257">
        <v>98.063244030000007</v>
      </c>
      <c r="CQ61" s="257">
        <v>15.355542061224517</v>
      </c>
      <c r="CR61" s="257">
        <v>-8.2073792920000006</v>
      </c>
      <c r="CS61" s="257">
        <v>-8.12446701</v>
      </c>
      <c r="CT61" s="257">
        <v>8.2912282000000562E-5</v>
      </c>
      <c r="CU61" s="257">
        <v>5.3995021256441911E-6</v>
      </c>
      <c r="CV61" s="258">
        <v>1.0102162828129297E-2</v>
      </c>
      <c r="CW61" s="256" t="s">
        <v>234</v>
      </c>
      <c r="CX61" s="257" t="s">
        <v>3072</v>
      </c>
      <c r="CY61" s="257" t="s">
        <v>235</v>
      </c>
      <c r="CZ61" s="257"/>
      <c r="DA61" s="276"/>
      <c r="DB61" s="276">
        <v>80</v>
      </c>
      <c r="DC61" s="257" t="s">
        <v>3073</v>
      </c>
      <c r="DD61" s="257">
        <v>0</v>
      </c>
      <c r="DE61" s="257">
        <v>1</v>
      </c>
      <c r="DF61" s="257">
        <v>0</v>
      </c>
      <c r="DG61" s="257">
        <v>0</v>
      </c>
      <c r="DH61" s="257"/>
      <c r="DI61" s="257">
        <v>1</v>
      </c>
      <c r="DJ61" s="257" t="s">
        <v>173</v>
      </c>
      <c r="DK61" s="257">
        <v>0</v>
      </c>
      <c r="DL61" s="257" t="s">
        <v>180</v>
      </c>
      <c r="DM61" s="257">
        <v>0</v>
      </c>
      <c r="DN61" s="257">
        <v>0</v>
      </c>
      <c r="DO61" s="257">
        <v>0</v>
      </c>
      <c r="DP61" s="276">
        <v>0</v>
      </c>
      <c r="DQ61" s="276">
        <v>0</v>
      </c>
      <c r="DR61" s="276">
        <v>0</v>
      </c>
      <c r="DS61" s="276">
        <v>0</v>
      </c>
      <c r="DT61" s="257">
        <v>0</v>
      </c>
      <c r="DU61" s="276" t="s">
        <v>961</v>
      </c>
      <c r="DV61" s="276">
        <v>1</v>
      </c>
      <c r="DW61" s="276">
        <v>1</v>
      </c>
      <c r="DX61" s="276">
        <v>1</v>
      </c>
      <c r="DY61" s="276">
        <v>0</v>
      </c>
      <c r="DZ61" s="257">
        <v>0</v>
      </c>
      <c r="EA61" s="276">
        <v>0</v>
      </c>
      <c r="EB61" s="276">
        <v>1</v>
      </c>
      <c r="EC61" s="276">
        <v>1</v>
      </c>
      <c r="ED61" s="276">
        <v>0</v>
      </c>
      <c r="EE61" s="276">
        <v>0</v>
      </c>
      <c r="EF61" s="257">
        <v>1</v>
      </c>
      <c r="EG61" s="276">
        <v>0</v>
      </c>
      <c r="EH61" s="257">
        <v>0</v>
      </c>
      <c r="EI61" s="258">
        <v>0</v>
      </c>
      <c r="EJ61" s="256"/>
      <c r="EK61" t="str">
        <f t="shared" si="36"/>
        <v>Whole sector</v>
      </c>
      <c r="EL61" t="str">
        <f t="shared" si="37"/>
        <v/>
      </c>
      <c r="EM61" s="258" t="s">
        <v>544</v>
      </c>
      <c r="EN61" s="257" t="s">
        <v>236</v>
      </c>
      <c r="EO61" s="257"/>
      <c r="EP61" t="str">
        <f>IF(ISNUMBER(BU61),IF(ABS(BU61-[2]QC_indicators!$B$2)&gt;3*[2]QC_indicators!$C$2,"C ratio",IF(ISNUMBER(BY61),IF(ABS(BY61-[2]QC_indicators!$B$1)&gt;3*[2]QC_indicators!$C$1,"DF","no"))),IF(ISNUMBER(BY61),IF(ABS(BY61-[2]QC_indicators!$B$1)&gt;3*[2]QC_indicators!$C$1,"DF","no")))</f>
        <v>no</v>
      </c>
      <c r="EQ61" s="280"/>
      <c r="ER61" s="280"/>
      <c r="ES61" s="280"/>
      <c r="ET61"/>
      <c r="EU61"/>
    </row>
    <row r="62" spans="1:151" s="139" customFormat="1" ht="15" hidden="1" customHeight="1">
      <c r="A62" s="256" t="s">
        <v>214</v>
      </c>
      <c r="B62" s="257" t="s">
        <v>215</v>
      </c>
      <c r="C62" s="257" t="s">
        <v>216</v>
      </c>
      <c r="D62" s="257" t="s">
        <v>217</v>
      </c>
      <c r="E62" s="257" t="s">
        <v>218</v>
      </c>
      <c r="F62" s="257" t="s">
        <v>219</v>
      </c>
      <c r="G62" s="257" t="s">
        <v>220</v>
      </c>
      <c r="H62" s="257"/>
      <c r="I62" s="257">
        <v>2012</v>
      </c>
      <c r="J62" s="257"/>
      <c r="K62" s="257" t="s">
        <v>221</v>
      </c>
      <c r="L62" s="257"/>
      <c r="M62" s="257" t="s">
        <v>3069</v>
      </c>
      <c r="N62" s="257" t="s">
        <v>222</v>
      </c>
      <c r="O62" s="275" t="s">
        <v>223</v>
      </c>
      <c r="P62" s="257"/>
      <c r="Q62" s="257" t="s">
        <v>224</v>
      </c>
      <c r="R62" s="258" t="s">
        <v>225</v>
      </c>
      <c r="S62" s="256" t="s">
        <v>226</v>
      </c>
      <c r="T62" s="257" t="s">
        <v>228</v>
      </c>
      <c r="U62" s="257" t="s">
        <v>227</v>
      </c>
      <c r="V62" s="257">
        <v>0</v>
      </c>
      <c r="W62" s="257">
        <v>0</v>
      </c>
      <c r="X62" s="257">
        <v>0</v>
      </c>
      <c r="Y62" s="257">
        <v>1</v>
      </c>
      <c r="Z62" s="257">
        <v>0</v>
      </c>
      <c r="AA62" s="257">
        <v>0</v>
      </c>
      <c r="AB62" s="257">
        <v>0</v>
      </c>
      <c r="AC62" s="257">
        <v>0</v>
      </c>
      <c r="AD62" s="257">
        <v>0</v>
      </c>
      <c r="AE62" s="257">
        <v>0</v>
      </c>
      <c r="AF62" s="257">
        <v>0</v>
      </c>
      <c r="AG62" s="257">
        <v>0</v>
      </c>
      <c r="AH62" s="257">
        <v>0</v>
      </c>
      <c r="AI62" s="257">
        <v>0</v>
      </c>
      <c r="AJ62" s="257">
        <v>0</v>
      </c>
      <c r="AK62" s="257">
        <v>0</v>
      </c>
      <c r="AL62" s="257">
        <v>0</v>
      </c>
      <c r="AM62" s="257">
        <v>0</v>
      </c>
      <c r="AN62" s="257">
        <v>0</v>
      </c>
      <c r="AO62" s="257">
        <v>0</v>
      </c>
      <c r="AP62" s="257">
        <v>0</v>
      </c>
      <c r="AQ62" s="257">
        <v>0</v>
      </c>
      <c r="AR62" s="257">
        <v>0</v>
      </c>
      <c r="AS62" s="257">
        <v>0</v>
      </c>
      <c r="AT62" s="257">
        <v>0</v>
      </c>
      <c r="AU62" s="257">
        <v>0</v>
      </c>
      <c r="AV62" s="257">
        <v>0</v>
      </c>
      <c r="AW62" s="257">
        <v>0</v>
      </c>
      <c r="AX62" s="277">
        <v>1</v>
      </c>
      <c r="AY62" s="277">
        <v>1</v>
      </c>
      <c r="AZ62" s="257">
        <v>1</v>
      </c>
      <c r="BA62" s="257">
        <v>0</v>
      </c>
      <c r="BB62" s="257">
        <v>0</v>
      </c>
      <c r="BC62" s="257">
        <v>0</v>
      </c>
      <c r="BD62" s="257">
        <v>0</v>
      </c>
      <c r="BE62" s="257" t="s">
        <v>91</v>
      </c>
      <c r="BF62" s="2" t="str" cm="1">
        <f t="array" ref="BF62">IF(COUNTIF(AZ62:BB62,"&lt;&gt;0")=1,INDEX($V$4:$AW$4,MATCH(TRUE,INDEX($V62:$AW62&lt;&gt;0,),0)),IF(COUNTIF(AZ62:BB62,"&lt;&gt;0")=0,INDEX($AM$4:$AW$4,MATCH(1,$AM62:$AW62,0)),"Multiple strategies"))</f>
        <v>Silviculture for removals</v>
      </c>
      <c r="BG62" s="278" t="s">
        <v>229</v>
      </c>
      <c r="BH62" s="257" t="s">
        <v>230</v>
      </c>
      <c r="BI62" s="279" t="s">
        <v>3070</v>
      </c>
      <c r="BJ62" s="276" t="s">
        <v>231</v>
      </c>
      <c r="BK62" s="257">
        <v>100.5900439</v>
      </c>
      <c r="BL62" s="257">
        <v>102.3265007</v>
      </c>
      <c r="BM62" s="276">
        <v>1.0172627104301324</v>
      </c>
      <c r="BN62" s="257">
        <v>1.7364567999999991</v>
      </c>
      <c r="BO62" s="276">
        <v>3.5437893877551003</v>
      </c>
      <c r="BP62" s="276" t="s">
        <v>232</v>
      </c>
      <c r="BQ62" s="282" t="s">
        <v>2624</v>
      </c>
      <c r="BR62" s="276" t="s">
        <v>233</v>
      </c>
      <c r="BS62" s="257">
        <v>-11.804099559999999</v>
      </c>
      <c r="BT62" s="257">
        <v>-11.78438263</v>
      </c>
      <c r="BU62" s="259">
        <v>0.99832965404097296</v>
      </c>
      <c r="BV62" s="257">
        <v>1.9716929999999522E-2</v>
      </c>
      <c r="BW62" s="257"/>
      <c r="BX62" s="257">
        <v>1.9716929999999522E-5</v>
      </c>
      <c r="BY62" s="257">
        <v>5.5637984774511927E-6</v>
      </c>
      <c r="BZ62" s="257">
        <v>0</v>
      </c>
      <c r="CA62" s="257">
        <v>0</v>
      </c>
      <c r="CB62" s="257">
        <v>0</v>
      </c>
      <c r="CC62" s="257">
        <v>0</v>
      </c>
      <c r="CD62" s="257">
        <v>0</v>
      </c>
      <c r="CE62" s="257">
        <v>0</v>
      </c>
      <c r="CF62" s="257">
        <v>0</v>
      </c>
      <c r="CG62" s="257">
        <v>0</v>
      </c>
      <c r="CH62" s="257">
        <v>0</v>
      </c>
      <c r="CI62" s="257">
        <v>0</v>
      </c>
      <c r="CJ62" s="257">
        <v>0</v>
      </c>
      <c r="CK62" s="257">
        <v>0</v>
      </c>
      <c r="CL62" s="257">
        <v>0</v>
      </c>
      <c r="CM62" s="257">
        <v>0</v>
      </c>
      <c r="CN62" s="257" t="s">
        <v>3071</v>
      </c>
      <c r="CO62" s="257">
        <v>100.5900439</v>
      </c>
      <c r="CP62" s="257">
        <v>102.3265007</v>
      </c>
      <c r="CQ62" s="257">
        <v>3.5437893877551003</v>
      </c>
      <c r="CR62" s="257">
        <v>-11.804099559999999</v>
      </c>
      <c r="CS62" s="257">
        <v>-11.78438263</v>
      </c>
      <c r="CT62" s="257">
        <v>1.9716929999999522E-5</v>
      </c>
      <c r="CU62" s="257">
        <v>5.5637984774511927E-6</v>
      </c>
      <c r="CV62" s="258">
        <v>1.6703459590270962E-3</v>
      </c>
      <c r="CW62" s="256" t="s">
        <v>234</v>
      </c>
      <c r="CX62" s="257" t="s">
        <v>3072</v>
      </c>
      <c r="CY62" s="257" t="s">
        <v>235</v>
      </c>
      <c r="CZ62" s="257"/>
      <c r="DA62" s="276"/>
      <c r="DB62" s="276">
        <v>80</v>
      </c>
      <c r="DC62" s="257" t="s">
        <v>3073</v>
      </c>
      <c r="DD62" s="257">
        <v>0</v>
      </c>
      <c r="DE62" s="257">
        <v>1</v>
      </c>
      <c r="DF62" s="257">
        <v>0</v>
      </c>
      <c r="DG62" s="257">
        <v>0</v>
      </c>
      <c r="DH62" s="257"/>
      <c r="DI62" s="257">
        <v>1</v>
      </c>
      <c r="DJ62" s="257" t="s">
        <v>173</v>
      </c>
      <c r="DK62" s="257">
        <v>0</v>
      </c>
      <c r="DL62" s="257" t="s">
        <v>180</v>
      </c>
      <c r="DM62" s="257">
        <v>0</v>
      </c>
      <c r="DN62" s="257">
        <v>0</v>
      </c>
      <c r="DO62" s="257">
        <v>0</v>
      </c>
      <c r="DP62" s="276">
        <v>0</v>
      </c>
      <c r="DQ62" s="276">
        <v>0</v>
      </c>
      <c r="DR62" s="276">
        <v>0</v>
      </c>
      <c r="DS62" s="276">
        <v>0</v>
      </c>
      <c r="DT62" s="257">
        <v>0</v>
      </c>
      <c r="DU62" s="276" t="s">
        <v>961</v>
      </c>
      <c r="DV62" s="276">
        <v>1</v>
      </c>
      <c r="DW62" s="276">
        <v>1</v>
      </c>
      <c r="DX62" s="276">
        <v>1</v>
      </c>
      <c r="DY62" s="276">
        <v>0</v>
      </c>
      <c r="DZ62" s="257">
        <v>0</v>
      </c>
      <c r="EA62" s="276">
        <v>0</v>
      </c>
      <c r="EB62" s="276">
        <v>1</v>
      </c>
      <c r="EC62" s="276">
        <v>1</v>
      </c>
      <c r="ED62" s="276">
        <v>0</v>
      </c>
      <c r="EE62" s="276">
        <v>0</v>
      </c>
      <c r="EF62" s="257">
        <v>1</v>
      </c>
      <c r="EG62" s="276">
        <v>0</v>
      </c>
      <c r="EH62" s="257">
        <v>0</v>
      </c>
      <c r="EI62" s="258">
        <v>0</v>
      </c>
      <c r="EJ62" s="256"/>
      <c r="EK62" t="str">
        <f t="shared" si="36"/>
        <v>Whole sector</v>
      </c>
      <c r="EL62" t="str">
        <f t="shared" si="37"/>
        <v/>
      </c>
      <c r="EM62" s="258" t="s">
        <v>544</v>
      </c>
      <c r="EN62" s="257" t="s">
        <v>236</v>
      </c>
      <c r="EO62" s="257"/>
      <c r="EP62" t="str">
        <f>IF(ISNUMBER(BU62),IF(ABS(BU62-[2]QC_indicators!$B$2)&gt;3*[2]QC_indicators!$C$2,"C ratio",IF(ISNUMBER(BY62),IF(ABS(BY62-[2]QC_indicators!$B$1)&gt;3*[2]QC_indicators!$C$1,"DF","no"))),IF(ISNUMBER(BY62),IF(ABS(BY62-[2]QC_indicators!$B$1)&gt;3*[2]QC_indicators!$C$1,"DF","no")))</f>
        <v>no</v>
      </c>
      <c r="EQ62" s="280"/>
      <c r="ER62" s="280"/>
      <c r="ES62" s="280"/>
      <c r="ET62"/>
      <c r="EU62"/>
    </row>
    <row r="63" spans="1:151" s="139" customFormat="1" ht="15" hidden="1" customHeight="1">
      <c r="A63" s="256" t="s">
        <v>214</v>
      </c>
      <c r="B63" s="257" t="s">
        <v>215</v>
      </c>
      <c r="C63" s="257" t="s">
        <v>216</v>
      </c>
      <c r="D63" s="257" t="s">
        <v>217</v>
      </c>
      <c r="E63" s="257" t="s">
        <v>218</v>
      </c>
      <c r="F63" s="257" t="s">
        <v>219</v>
      </c>
      <c r="G63" s="257" t="s">
        <v>220</v>
      </c>
      <c r="H63" s="257"/>
      <c r="I63" s="257">
        <v>2012</v>
      </c>
      <c r="J63" s="257"/>
      <c r="K63" s="257" t="s">
        <v>221</v>
      </c>
      <c r="L63" s="257"/>
      <c r="M63" s="257" t="s">
        <v>3069</v>
      </c>
      <c r="N63" s="257" t="s">
        <v>222</v>
      </c>
      <c r="O63" s="275" t="s">
        <v>223</v>
      </c>
      <c r="P63" s="257"/>
      <c r="Q63" s="257" t="s">
        <v>224</v>
      </c>
      <c r="R63" s="258" t="s">
        <v>225</v>
      </c>
      <c r="S63" s="256" t="s">
        <v>241</v>
      </c>
      <c r="T63" s="257" t="s">
        <v>244</v>
      </c>
      <c r="U63" s="276" t="s">
        <v>242</v>
      </c>
      <c r="V63" s="257">
        <v>0</v>
      </c>
      <c r="W63" s="257">
        <v>0</v>
      </c>
      <c r="X63" s="257">
        <v>0</v>
      </c>
      <c r="Y63" s="257">
        <v>0</v>
      </c>
      <c r="Z63" s="257">
        <v>0</v>
      </c>
      <c r="AA63" s="257">
        <v>0</v>
      </c>
      <c r="AB63" s="257">
        <v>0</v>
      </c>
      <c r="AC63" s="257">
        <v>1</v>
      </c>
      <c r="AD63" s="257">
        <v>0</v>
      </c>
      <c r="AE63" s="257">
        <v>0</v>
      </c>
      <c r="AF63" s="257">
        <v>0</v>
      </c>
      <c r="AG63" s="257">
        <v>0</v>
      </c>
      <c r="AH63" s="257">
        <v>0</v>
      </c>
      <c r="AI63" s="257">
        <v>0</v>
      </c>
      <c r="AJ63" s="257">
        <v>0</v>
      </c>
      <c r="AK63" s="257">
        <v>0</v>
      </c>
      <c r="AL63" s="257">
        <v>0</v>
      </c>
      <c r="AM63" s="257">
        <v>0</v>
      </c>
      <c r="AN63" s="257">
        <v>0</v>
      </c>
      <c r="AO63" s="257">
        <v>0</v>
      </c>
      <c r="AP63" s="257">
        <v>0</v>
      </c>
      <c r="AQ63" s="257">
        <v>0</v>
      </c>
      <c r="AR63" s="257">
        <v>0</v>
      </c>
      <c r="AS63" s="257">
        <v>0</v>
      </c>
      <c r="AT63" s="257">
        <v>0</v>
      </c>
      <c r="AU63" s="257">
        <v>0</v>
      </c>
      <c r="AV63" s="257">
        <v>0</v>
      </c>
      <c r="AW63" s="257">
        <v>0</v>
      </c>
      <c r="AX63" s="277">
        <v>1</v>
      </c>
      <c r="AY63" s="277">
        <v>1</v>
      </c>
      <c r="AZ63" s="257">
        <v>1</v>
      </c>
      <c r="BA63" s="257">
        <v>0</v>
      </c>
      <c r="BB63" s="257">
        <v>0</v>
      </c>
      <c r="BC63" s="257">
        <v>0</v>
      </c>
      <c r="BD63" s="257">
        <v>0</v>
      </c>
      <c r="BE63" s="257" t="s">
        <v>95</v>
      </c>
      <c r="BF63" s="2" t="str" cm="1">
        <f t="array" ref="BF63">IF(COUNTIF(AZ63:BB63,"&lt;&gt;0")=1,INDEX($V$4:$AW$4,MATCH(TRUE,INDEX($V63:$AW63&lt;&gt;0,),0)),IF(COUNTIF(AZ63:BB63,"&lt;&gt;0")=0,INDEX($AM$4:$AW$4,MATCH(1,$AM63:$AW63,0)),"Multiple strategies"))</f>
        <v>Silviculture for productivity</v>
      </c>
      <c r="BG63" s="278" t="s">
        <v>229</v>
      </c>
      <c r="BH63" s="257" t="s">
        <v>230</v>
      </c>
      <c r="BI63" s="279" t="s">
        <v>3070</v>
      </c>
      <c r="BJ63" s="276" t="s">
        <v>231</v>
      </c>
      <c r="BK63" s="257">
        <v>56.739926739926702</v>
      </c>
      <c r="BL63" s="257">
        <v>66.639750491326893</v>
      </c>
      <c r="BM63" s="276">
        <v>1.1744772036237736</v>
      </c>
      <c r="BN63" s="257">
        <v>9.8998237514001914</v>
      </c>
      <c r="BO63" s="276">
        <v>20.203721941633045</v>
      </c>
      <c r="BP63" s="276" t="s">
        <v>232</v>
      </c>
      <c r="BQ63" s="279" t="s">
        <v>3070</v>
      </c>
      <c r="BR63" s="276" t="s">
        <v>233</v>
      </c>
      <c r="BS63" s="257">
        <v>-9.5324096193661401</v>
      </c>
      <c r="BT63" s="257">
        <v>-9.4136546184738901</v>
      </c>
      <c r="BU63" s="259">
        <v>0.98754197462822135</v>
      </c>
      <c r="BV63" s="257">
        <v>0.11875500089225</v>
      </c>
      <c r="BW63" s="257"/>
      <c r="BX63" s="257">
        <v>1.1875500089224999E-4</v>
      </c>
      <c r="BY63" s="257">
        <v>5.8778774146329967E-6</v>
      </c>
      <c r="BZ63" s="257">
        <v>0</v>
      </c>
      <c r="CA63" s="257">
        <v>0</v>
      </c>
      <c r="CB63" s="257">
        <v>0</v>
      </c>
      <c r="CC63" s="257">
        <v>0</v>
      </c>
      <c r="CD63" s="257">
        <v>0</v>
      </c>
      <c r="CE63" s="257">
        <v>0</v>
      </c>
      <c r="CF63" s="257">
        <v>0</v>
      </c>
      <c r="CG63" s="257">
        <v>0</v>
      </c>
      <c r="CH63" s="257">
        <v>0</v>
      </c>
      <c r="CI63" s="257">
        <v>0</v>
      </c>
      <c r="CJ63" s="257">
        <v>0</v>
      </c>
      <c r="CK63" s="257">
        <v>0</v>
      </c>
      <c r="CL63" s="257">
        <v>0</v>
      </c>
      <c r="CM63" s="257">
        <v>0</v>
      </c>
      <c r="CN63" s="257" t="s">
        <v>3071</v>
      </c>
      <c r="CO63" s="257">
        <v>56.739926739926702</v>
      </c>
      <c r="CP63" s="257">
        <v>66.639750491326893</v>
      </c>
      <c r="CQ63" s="257">
        <v>20.203721941633045</v>
      </c>
      <c r="CR63" s="257">
        <v>-9.5324096193661401</v>
      </c>
      <c r="CS63" s="257">
        <v>-9.4136546184738901</v>
      </c>
      <c r="CT63" s="257">
        <v>1.1875500089224999E-4</v>
      </c>
      <c r="CU63" s="257">
        <v>5.8778774146329967E-6</v>
      </c>
      <c r="CV63" s="258">
        <v>1.2458025371778625E-2</v>
      </c>
      <c r="CW63" s="256" t="s">
        <v>234</v>
      </c>
      <c r="CX63" s="257" t="s">
        <v>3072</v>
      </c>
      <c r="CY63" s="257" t="s">
        <v>235</v>
      </c>
      <c r="CZ63" s="257"/>
      <c r="DA63" s="276"/>
      <c r="DB63" s="276">
        <v>80</v>
      </c>
      <c r="DC63" s="257" t="s">
        <v>3073</v>
      </c>
      <c r="DD63" s="257">
        <v>0</v>
      </c>
      <c r="DE63" s="257">
        <v>1</v>
      </c>
      <c r="DF63" s="257">
        <v>0</v>
      </c>
      <c r="DG63" s="257">
        <v>0</v>
      </c>
      <c r="DH63" s="257"/>
      <c r="DI63" s="257">
        <v>1</v>
      </c>
      <c r="DJ63" s="257" t="s">
        <v>173</v>
      </c>
      <c r="DK63" s="257">
        <v>0</v>
      </c>
      <c r="DL63" s="257" t="s">
        <v>180</v>
      </c>
      <c r="DM63" s="257">
        <v>0</v>
      </c>
      <c r="DN63" s="257">
        <v>0</v>
      </c>
      <c r="DO63" s="257">
        <v>0</v>
      </c>
      <c r="DP63" s="276">
        <v>0</v>
      </c>
      <c r="DQ63" s="276">
        <v>0</v>
      </c>
      <c r="DR63" s="276">
        <v>0</v>
      </c>
      <c r="DS63" s="276">
        <v>0</v>
      </c>
      <c r="DT63" s="257">
        <v>0</v>
      </c>
      <c r="DU63" s="276" t="s">
        <v>961</v>
      </c>
      <c r="DV63" s="276">
        <v>1</v>
      </c>
      <c r="DW63" s="276">
        <v>1</v>
      </c>
      <c r="DX63" s="276">
        <v>1</v>
      </c>
      <c r="DY63" s="276">
        <v>0</v>
      </c>
      <c r="DZ63" s="257">
        <v>0</v>
      </c>
      <c r="EA63" s="276">
        <v>0</v>
      </c>
      <c r="EB63" s="276">
        <v>1</v>
      </c>
      <c r="EC63" s="276">
        <v>1</v>
      </c>
      <c r="ED63" s="276">
        <v>0</v>
      </c>
      <c r="EE63" s="276">
        <v>0</v>
      </c>
      <c r="EF63" s="257">
        <v>1</v>
      </c>
      <c r="EG63" s="276">
        <v>0</v>
      </c>
      <c r="EH63" s="257">
        <v>0</v>
      </c>
      <c r="EI63" s="258">
        <v>0</v>
      </c>
      <c r="EJ63" s="256"/>
      <c r="EK63" t="str">
        <f t="shared" si="36"/>
        <v>Whole sector</v>
      </c>
      <c r="EL63" t="str">
        <f t="shared" si="37"/>
        <v/>
      </c>
      <c r="EM63" s="258" t="s">
        <v>544</v>
      </c>
      <c r="EN63" s="257" t="s">
        <v>236</v>
      </c>
      <c r="EO63" s="257"/>
      <c r="EP63" t="str">
        <f>IF(ISNUMBER(BU63),IF(ABS(BU63-[2]QC_indicators!$B$2)&gt;3*[2]QC_indicators!$C$2,"C ratio",IF(ISNUMBER(BY63),IF(ABS(BY63-[2]QC_indicators!$B$1)&gt;3*[2]QC_indicators!$C$1,"DF","no"))),IF(ISNUMBER(BY63),IF(ABS(BY63-[2]QC_indicators!$B$1)&gt;3*[2]QC_indicators!$C$1,"DF","no")))</f>
        <v>no</v>
      </c>
      <c r="EQ63"/>
      <c r="ER63"/>
      <c r="ES63"/>
      <c r="ET63"/>
      <c r="EU63"/>
    </row>
    <row r="64" spans="1:151" s="139" customFormat="1" ht="15" hidden="1" customHeight="1">
      <c r="A64" s="256" t="s">
        <v>214</v>
      </c>
      <c r="B64" s="257" t="s">
        <v>215</v>
      </c>
      <c r="C64" s="257" t="s">
        <v>216</v>
      </c>
      <c r="D64" s="257" t="s">
        <v>217</v>
      </c>
      <c r="E64" s="257" t="s">
        <v>218</v>
      </c>
      <c r="F64" s="257" t="s">
        <v>219</v>
      </c>
      <c r="G64" s="257" t="s">
        <v>220</v>
      </c>
      <c r="H64" s="257"/>
      <c r="I64" s="257">
        <v>2012</v>
      </c>
      <c r="J64" s="257"/>
      <c r="K64" s="257" t="s">
        <v>221</v>
      </c>
      <c r="L64" s="257"/>
      <c r="M64" s="257" t="s">
        <v>3069</v>
      </c>
      <c r="N64" s="257" t="s">
        <v>222</v>
      </c>
      <c r="O64" s="275" t="s">
        <v>223</v>
      </c>
      <c r="P64" s="257"/>
      <c r="Q64" s="257" t="s">
        <v>224</v>
      </c>
      <c r="R64" s="258" t="s">
        <v>225</v>
      </c>
      <c r="S64" s="256" t="s">
        <v>241</v>
      </c>
      <c r="T64" s="257" t="s">
        <v>244</v>
      </c>
      <c r="U64" s="276" t="s">
        <v>242</v>
      </c>
      <c r="V64" s="257">
        <v>0</v>
      </c>
      <c r="W64" s="257">
        <v>0</v>
      </c>
      <c r="X64" s="257">
        <v>0</v>
      </c>
      <c r="Y64" s="257">
        <v>0</v>
      </c>
      <c r="Z64" s="257">
        <v>0</v>
      </c>
      <c r="AA64" s="257">
        <v>0</v>
      </c>
      <c r="AB64" s="257">
        <v>0</v>
      </c>
      <c r="AC64" s="257">
        <v>1</v>
      </c>
      <c r="AD64" s="257">
        <v>0</v>
      </c>
      <c r="AE64" s="257">
        <v>0</v>
      </c>
      <c r="AF64" s="257">
        <v>0</v>
      </c>
      <c r="AG64" s="257">
        <v>0</v>
      </c>
      <c r="AH64" s="257">
        <v>0</v>
      </c>
      <c r="AI64" s="257">
        <v>0</v>
      </c>
      <c r="AJ64" s="257">
        <v>0</v>
      </c>
      <c r="AK64" s="257">
        <v>0</v>
      </c>
      <c r="AL64" s="257">
        <v>0</v>
      </c>
      <c r="AM64" s="257">
        <v>0</v>
      </c>
      <c r="AN64" s="257">
        <v>0</v>
      </c>
      <c r="AO64" s="257">
        <v>0</v>
      </c>
      <c r="AP64" s="257">
        <v>0</v>
      </c>
      <c r="AQ64" s="257">
        <v>0</v>
      </c>
      <c r="AR64" s="257">
        <v>0</v>
      </c>
      <c r="AS64" s="257">
        <v>0</v>
      </c>
      <c r="AT64" s="257">
        <v>0</v>
      </c>
      <c r="AU64" s="257">
        <v>0</v>
      </c>
      <c r="AV64" s="257">
        <v>0</v>
      </c>
      <c r="AW64" s="257">
        <v>0</v>
      </c>
      <c r="AX64" s="277">
        <v>1</v>
      </c>
      <c r="AY64" s="277">
        <v>1</v>
      </c>
      <c r="AZ64" s="257">
        <v>1</v>
      </c>
      <c r="BA64" s="257">
        <v>0</v>
      </c>
      <c r="BB64" s="257">
        <v>0</v>
      </c>
      <c r="BC64" s="257">
        <v>0</v>
      </c>
      <c r="BD64" s="257">
        <v>0</v>
      </c>
      <c r="BE64" s="257" t="s">
        <v>95</v>
      </c>
      <c r="BF64" s="2" t="str" cm="1">
        <f t="array" ref="BF64">IF(COUNTIF(AZ64:BB64,"&lt;&gt;0")=1,INDEX($V$4:$AW$4,MATCH(TRUE,INDEX($V64:$AW64&lt;&gt;0,),0)),IF(COUNTIF(AZ64:BB64,"&lt;&gt;0")=0,INDEX($AM$4:$AW$4,MATCH(1,$AM64:$AW64,0)),"Multiple strategies"))</f>
        <v>Silviculture for productivity</v>
      </c>
      <c r="BG64" s="278" t="s">
        <v>229</v>
      </c>
      <c r="BH64" s="257" t="s">
        <v>230</v>
      </c>
      <c r="BI64" s="279" t="s">
        <v>3070</v>
      </c>
      <c r="BJ64" s="276" t="s">
        <v>231</v>
      </c>
      <c r="BK64" s="257">
        <v>53.012261813210301</v>
      </c>
      <c r="BL64" s="257">
        <v>63.5091743119266</v>
      </c>
      <c r="BM64" s="276">
        <v>1.1980091424075126</v>
      </c>
      <c r="BN64" s="257">
        <v>10.496912498716299</v>
      </c>
      <c r="BO64" s="276">
        <v>21.422270405543468</v>
      </c>
      <c r="BP64" s="276" t="s">
        <v>232</v>
      </c>
      <c r="BQ64" s="279" t="s">
        <v>3070</v>
      </c>
      <c r="BR64" s="276" t="s">
        <v>233</v>
      </c>
      <c r="BS64" s="257">
        <v>-8.8453815261044095</v>
      </c>
      <c r="BT64" s="257">
        <v>-8.71587255658436</v>
      </c>
      <c r="BU64" s="259">
        <v>0.98535857733916354</v>
      </c>
      <c r="BV64" s="257">
        <v>0.12950896952004953</v>
      </c>
      <c r="BW64" s="257"/>
      <c r="BX64" s="257">
        <v>1.2950896952004952E-4</v>
      </c>
      <c r="BY64" s="257">
        <v>6.0455295852551797E-6</v>
      </c>
      <c r="BZ64" s="257">
        <v>0</v>
      </c>
      <c r="CA64" s="257">
        <v>0</v>
      </c>
      <c r="CB64" s="257">
        <v>0</v>
      </c>
      <c r="CC64" s="257">
        <v>0</v>
      </c>
      <c r="CD64" s="257">
        <v>0</v>
      </c>
      <c r="CE64" s="257">
        <v>0</v>
      </c>
      <c r="CF64" s="257">
        <v>0</v>
      </c>
      <c r="CG64" s="257">
        <v>0</v>
      </c>
      <c r="CH64" s="257">
        <v>0</v>
      </c>
      <c r="CI64" s="257">
        <v>0</v>
      </c>
      <c r="CJ64" s="257">
        <v>0</v>
      </c>
      <c r="CK64" s="257">
        <v>0</v>
      </c>
      <c r="CL64" s="257">
        <v>0</v>
      </c>
      <c r="CM64" s="257">
        <v>0</v>
      </c>
      <c r="CN64" s="257" t="s">
        <v>3071</v>
      </c>
      <c r="CO64" s="257">
        <v>53.012261813210301</v>
      </c>
      <c r="CP64" s="257">
        <v>63.5091743119266</v>
      </c>
      <c r="CQ64" s="257">
        <v>21.422270405543468</v>
      </c>
      <c r="CR64" s="257">
        <v>-8.8453815261044095</v>
      </c>
      <c r="CS64" s="257">
        <v>-8.71587255658436</v>
      </c>
      <c r="CT64" s="257">
        <v>1.2950896952004952E-4</v>
      </c>
      <c r="CU64" s="257">
        <v>6.0455295852551797E-6</v>
      </c>
      <c r="CV64" s="258">
        <v>1.4641422660836487E-2</v>
      </c>
      <c r="CW64" s="256" t="s">
        <v>234</v>
      </c>
      <c r="CX64" s="257" t="s">
        <v>3072</v>
      </c>
      <c r="CY64" s="257" t="s">
        <v>235</v>
      </c>
      <c r="CZ64" s="257"/>
      <c r="DA64" s="276"/>
      <c r="DB64" s="276">
        <v>80</v>
      </c>
      <c r="DC64" s="257" t="s">
        <v>3073</v>
      </c>
      <c r="DD64" s="257">
        <v>0</v>
      </c>
      <c r="DE64" s="257">
        <v>1</v>
      </c>
      <c r="DF64" s="257">
        <v>0</v>
      </c>
      <c r="DG64" s="257">
        <v>0</v>
      </c>
      <c r="DH64" s="257"/>
      <c r="DI64" s="257">
        <v>1</v>
      </c>
      <c r="DJ64" s="257" t="s">
        <v>173</v>
      </c>
      <c r="DK64" s="257">
        <v>0</v>
      </c>
      <c r="DL64" s="257" t="s">
        <v>180</v>
      </c>
      <c r="DM64" s="257">
        <v>0</v>
      </c>
      <c r="DN64" s="257">
        <v>0</v>
      </c>
      <c r="DO64" s="257">
        <v>0</v>
      </c>
      <c r="DP64" s="276">
        <v>0</v>
      </c>
      <c r="DQ64" s="276">
        <v>0</v>
      </c>
      <c r="DR64" s="276">
        <v>0</v>
      </c>
      <c r="DS64" s="276">
        <v>0</v>
      </c>
      <c r="DT64" s="257">
        <v>0</v>
      </c>
      <c r="DU64" s="276" t="s">
        <v>961</v>
      </c>
      <c r="DV64" s="276">
        <v>1</v>
      </c>
      <c r="DW64" s="276">
        <v>1</v>
      </c>
      <c r="DX64" s="276">
        <v>1</v>
      </c>
      <c r="DY64" s="276">
        <v>0</v>
      </c>
      <c r="DZ64" s="257">
        <v>0</v>
      </c>
      <c r="EA64" s="276">
        <v>0</v>
      </c>
      <c r="EB64" s="276">
        <v>1</v>
      </c>
      <c r="EC64" s="276">
        <v>1</v>
      </c>
      <c r="ED64" s="276">
        <v>0</v>
      </c>
      <c r="EE64" s="276">
        <v>0</v>
      </c>
      <c r="EF64" s="257">
        <v>1</v>
      </c>
      <c r="EG64" s="276">
        <v>0</v>
      </c>
      <c r="EH64" s="257">
        <v>0</v>
      </c>
      <c r="EI64" s="258">
        <v>0</v>
      </c>
      <c r="EJ64" s="256"/>
      <c r="EK64" t="str">
        <f t="shared" si="36"/>
        <v>Whole sector</v>
      </c>
      <c r="EL64" t="str">
        <f t="shared" si="37"/>
        <v/>
      </c>
      <c r="EM64" s="258" t="s">
        <v>544</v>
      </c>
      <c r="EN64" s="257" t="s">
        <v>236</v>
      </c>
      <c r="EO64" s="257"/>
      <c r="EP64" t="str">
        <f>IF(ISNUMBER(BU64),IF(ABS(BU64-[2]QC_indicators!$B$2)&gt;3*[2]QC_indicators!$C$2,"C ratio",IF(ISNUMBER(BY64),IF(ABS(BY64-[2]QC_indicators!$B$1)&gt;3*[2]QC_indicators!$C$1,"DF","no"))),IF(ISNUMBER(BY64),IF(ABS(BY64-[2]QC_indicators!$B$1)&gt;3*[2]QC_indicators!$C$1,"DF","no")))</f>
        <v>no</v>
      </c>
      <c r="EQ64"/>
      <c r="ER64"/>
      <c r="ES64"/>
      <c r="ET64"/>
      <c r="EU64"/>
    </row>
    <row r="65" spans="1:151" s="139" customFormat="1" ht="15" hidden="1" customHeight="1">
      <c r="A65" s="256" t="s">
        <v>214</v>
      </c>
      <c r="B65" s="257" t="s">
        <v>215</v>
      </c>
      <c r="C65" s="257" t="s">
        <v>216</v>
      </c>
      <c r="D65" s="257" t="s">
        <v>217</v>
      </c>
      <c r="E65" s="257" t="s">
        <v>218</v>
      </c>
      <c r="F65" s="257" t="s">
        <v>219</v>
      </c>
      <c r="G65" s="257" t="s">
        <v>220</v>
      </c>
      <c r="H65" s="257"/>
      <c r="I65" s="257">
        <v>2012</v>
      </c>
      <c r="J65" s="257"/>
      <c r="K65" s="257" t="s">
        <v>221</v>
      </c>
      <c r="L65" s="257"/>
      <c r="M65" s="257" t="s">
        <v>3069</v>
      </c>
      <c r="N65" s="257" t="s">
        <v>222</v>
      </c>
      <c r="O65" s="275" t="s">
        <v>223</v>
      </c>
      <c r="P65" s="257"/>
      <c r="Q65" s="257" t="s">
        <v>224</v>
      </c>
      <c r="R65" s="258" t="s">
        <v>225</v>
      </c>
      <c r="S65" s="256" t="s">
        <v>241</v>
      </c>
      <c r="T65" s="257" t="s">
        <v>244</v>
      </c>
      <c r="U65" s="276" t="s">
        <v>242</v>
      </c>
      <c r="V65" s="257">
        <v>0</v>
      </c>
      <c r="W65" s="257">
        <v>0</v>
      </c>
      <c r="X65" s="257">
        <v>0</v>
      </c>
      <c r="Y65" s="257">
        <v>0</v>
      </c>
      <c r="Z65" s="257">
        <v>0</v>
      </c>
      <c r="AA65" s="257">
        <v>0</v>
      </c>
      <c r="AB65" s="257">
        <v>0</v>
      </c>
      <c r="AC65" s="257">
        <v>1</v>
      </c>
      <c r="AD65" s="257">
        <v>0</v>
      </c>
      <c r="AE65" s="257">
        <v>0</v>
      </c>
      <c r="AF65" s="257">
        <v>0</v>
      </c>
      <c r="AG65" s="257">
        <v>0</v>
      </c>
      <c r="AH65" s="257">
        <v>0</v>
      </c>
      <c r="AI65" s="257">
        <v>0</v>
      </c>
      <c r="AJ65" s="257">
        <v>0</v>
      </c>
      <c r="AK65" s="257">
        <v>0</v>
      </c>
      <c r="AL65" s="257">
        <v>0</v>
      </c>
      <c r="AM65" s="257">
        <v>0</v>
      </c>
      <c r="AN65" s="257">
        <v>0</v>
      </c>
      <c r="AO65" s="257">
        <v>0</v>
      </c>
      <c r="AP65" s="257">
        <v>0</v>
      </c>
      <c r="AQ65" s="257">
        <v>0</v>
      </c>
      <c r="AR65" s="257">
        <v>0</v>
      </c>
      <c r="AS65" s="257">
        <v>0</v>
      </c>
      <c r="AT65" s="257">
        <v>0</v>
      </c>
      <c r="AU65" s="257">
        <v>0</v>
      </c>
      <c r="AV65" s="257">
        <v>0</v>
      </c>
      <c r="AW65" s="257">
        <v>0</v>
      </c>
      <c r="AX65" s="277">
        <v>1</v>
      </c>
      <c r="AY65" s="277">
        <v>1</v>
      </c>
      <c r="AZ65" s="257">
        <v>1</v>
      </c>
      <c r="BA65" s="257">
        <v>0</v>
      </c>
      <c r="BB65" s="257">
        <v>0</v>
      </c>
      <c r="BC65" s="257">
        <v>0</v>
      </c>
      <c r="BD65" s="257">
        <v>0</v>
      </c>
      <c r="BE65" s="257" t="s">
        <v>95</v>
      </c>
      <c r="BF65" s="2" t="str" cm="1">
        <f t="array" ref="BF65">IF(COUNTIF(AZ65:BB65,"&lt;&gt;0")=1,INDEX($V$4:$AW$4,MATCH(TRUE,INDEX($V65:$AW65&lt;&gt;0,),0)),IF(COUNTIF(AZ65:BB65,"&lt;&gt;0")=0,INDEX($AM$4:$AW$4,MATCH(1,$AM65:$AW65,0)),"Multiple strategies"))</f>
        <v>Silviculture for productivity</v>
      </c>
      <c r="BG65" s="278" t="s">
        <v>229</v>
      </c>
      <c r="BH65" s="257" t="s">
        <v>230</v>
      </c>
      <c r="BI65" s="279" t="s">
        <v>3070</v>
      </c>
      <c r="BJ65" s="276" t="s">
        <v>231</v>
      </c>
      <c r="BK65" s="257">
        <v>60.054679619897001</v>
      </c>
      <c r="BL65" s="257">
        <v>68.821883277791997</v>
      </c>
      <c r="BM65" s="276">
        <v>1.1459870190530546</v>
      </c>
      <c r="BN65" s="257">
        <v>8.7672036578949957</v>
      </c>
      <c r="BO65" s="276">
        <v>17.892252363051011</v>
      </c>
      <c r="BP65" s="276" t="s">
        <v>232</v>
      </c>
      <c r="BQ65" s="279" t="s">
        <v>3070</v>
      </c>
      <c r="BR65" s="276" t="s">
        <v>233</v>
      </c>
      <c r="BS65" s="257">
        <v>-9.0244200244200208</v>
      </c>
      <c r="BT65" s="257">
        <v>-8.9016064257028091</v>
      </c>
      <c r="BU65" s="259">
        <v>0.98639097045739466</v>
      </c>
      <c r="BV65" s="257">
        <v>0.12281359871721165</v>
      </c>
      <c r="BW65" s="257"/>
      <c r="BX65" s="257">
        <v>1.2281359871721165E-4</v>
      </c>
      <c r="BY65" s="257">
        <v>6.8640658663429066E-6</v>
      </c>
      <c r="BZ65" s="257">
        <v>0</v>
      </c>
      <c r="CA65" s="257">
        <v>0</v>
      </c>
      <c r="CB65" s="257">
        <v>0</v>
      </c>
      <c r="CC65" s="257">
        <v>0</v>
      </c>
      <c r="CD65" s="257">
        <v>0</v>
      </c>
      <c r="CE65" s="257">
        <v>0</v>
      </c>
      <c r="CF65" s="257">
        <v>0</v>
      </c>
      <c r="CG65" s="257">
        <v>0</v>
      </c>
      <c r="CH65" s="257">
        <v>0</v>
      </c>
      <c r="CI65" s="257">
        <v>0</v>
      </c>
      <c r="CJ65" s="257">
        <v>0</v>
      </c>
      <c r="CK65" s="257">
        <v>0</v>
      </c>
      <c r="CL65" s="257">
        <v>0</v>
      </c>
      <c r="CM65" s="257">
        <v>0</v>
      </c>
      <c r="CN65" s="257" t="s">
        <v>3071</v>
      </c>
      <c r="CO65" s="257">
        <v>60.054679619897001</v>
      </c>
      <c r="CP65" s="257">
        <v>68.821883277791997</v>
      </c>
      <c r="CQ65" s="257">
        <v>17.892252363051011</v>
      </c>
      <c r="CR65" s="257">
        <v>-9.0244200244200208</v>
      </c>
      <c r="CS65" s="257">
        <v>-8.9016064257028091</v>
      </c>
      <c r="CT65" s="257">
        <v>1.2281359871721165E-4</v>
      </c>
      <c r="CU65" s="257">
        <v>6.8640658663429066E-6</v>
      </c>
      <c r="CV65" s="258">
        <v>1.3609029542605382E-2</v>
      </c>
      <c r="CW65" s="256" t="s">
        <v>234</v>
      </c>
      <c r="CX65" s="257" t="s">
        <v>3072</v>
      </c>
      <c r="CY65" s="257" t="s">
        <v>235</v>
      </c>
      <c r="CZ65" s="257"/>
      <c r="DA65" s="276"/>
      <c r="DB65" s="276">
        <v>80</v>
      </c>
      <c r="DC65" s="257" t="s">
        <v>3073</v>
      </c>
      <c r="DD65" s="257">
        <v>0</v>
      </c>
      <c r="DE65" s="257">
        <v>1</v>
      </c>
      <c r="DF65" s="257">
        <v>0</v>
      </c>
      <c r="DG65" s="257">
        <v>0</v>
      </c>
      <c r="DH65" s="257"/>
      <c r="DI65" s="257">
        <v>1</v>
      </c>
      <c r="DJ65" s="257" t="s">
        <v>173</v>
      </c>
      <c r="DK65" s="257">
        <v>0</v>
      </c>
      <c r="DL65" s="257" t="s">
        <v>180</v>
      </c>
      <c r="DM65" s="257">
        <v>0</v>
      </c>
      <c r="DN65" s="257">
        <v>0</v>
      </c>
      <c r="DO65" s="257">
        <v>0</v>
      </c>
      <c r="DP65" s="276">
        <v>0</v>
      </c>
      <c r="DQ65" s="276">
        <v>0</v>
      </c>
      <c r="DR65" s="276">
        <v>0</v>
      </c>
      <c r="DS65" s="276">
        <v>0</v>
      </c>
      <c r="DT65" s="257">
        <v>0</v>
      </c>
      <c r="DU65" s="276" t="s">
        <v>961</v>
      </c>
      <c r="DV65" s="276">
        <v>1</v>
      </c>
      <c r="DW65" s="276">
        <v>1</v>
      </c>
      <c r="DX65" s="276">
        <v>1</v>
      </c>
      <c r="DY65" s="276">
        <v>0</v>
      </c>
      <c r="DZ65" s="257">
        <v>0</v>
      </c>
      <c r="EA65" s="276">
        <v>0</v>
      </c>
      <c r="EB65" s="276">
        <v>1</v>
      </c>
      <c r="EC65" s="276">
        <v>1</v>
      </c>
      <c r="ED65" s="276">
        <v>0</v>
      </c>
      <c r="EE65" s="276">
        <v>0</v>
      </c>
      <c r="EF65" s="257">
        <v>1</v>
      </c>
      <c r="EG65" s="276">
        <v>0</v>
      </c>
      <c r="EH65" s="257">
        <v>0</v>
      </c>
      <c r="EI65" s="258">
        <v>0</v>
      </c>
      <c r="EJ65" s="256"/>
      <c r="EK65" t="str">
        <f t="shared" si="36"/>
        <v>Whole sector</v>
      </c>
      <c r="EL65" t="str">
        <f t="shared" si="37"/>
        <v/>
      </c>
      <c r="EM65" s="258" t="s">
        <v>544</v>
      </c>
      <c r="EN65" s="257" t="s">
        <v>236</v>
      </c>
      <c r="EO65" s="257"/>
      <c r="EP65" t="str">
        <f>IF(ISNUMBER(BU65),IF(ABS(BU65-[2]QC_indicators!$B$2)&gt;3*[2]QC_indicators!$C$2,"C ratio",IF(ISNUMBER(BY65),IF(ABS(BY65-[2]QC_indicators!$B$1)&gt;3*[2]QC_indicators!$C$1,"DF","no"))),IF(ISNUMBER(BY65),IF(ABS(BY65-[2]QC_indicators!$B$1)&gt;3*[2]QC_indicators!$C$1,"DF","no")))</f>
        <v>no</v>
      </c>
      <c r="EQ65"/>
      <c r="ER65"/>
      <c r="ES65"/>
      <c r="ET65"/>
      <c r="EU65"/>
    </row>
    <row r="66" spans="1:151" s="139" customFormat="1" ht="15" hidden="1" customHeight="1">
      <c r="A66" s="256" t="s">
        <v>214</v>
      </c>
      <c r="B66" s="257" t="s">
        <v>215</v>
      </c>
      <c r="C66" s="257" t="s">
        <v>216</v>
      </c>
      <c r="D66" s="257" t="s">
        <v>217</v>
      </c>
      <c r="E66" s="257" t="s">
        <v>218</v>
      </c>
      <c r="F66" s="257" t="s">
        <v>219</v>
      </c>
      <c r="G66" s="257" t="s">
        <v>220</v>
      </c>
      <c r="H66" s="257"/>
      <c r="I66" s="257">
        <v>2012</v>
      </c>
      <c r="J66" s="257"/>
      <c r="K66" s="257" t="s">
        <v>221</v>
      </c>
      <c r="L66" s="257"/>
      <c r="M66" s="257" t="s">
        <v>3069</v>
      </c>
      <c r="N66" s="257" t="s">
        <v>222</v>
      </c>
      <c r="O66" s="275" t="s">
        <v>223</v>
      </c>
      <c r="P66" s="257"/>
      <c r="Q66" s="257" t="s">
        <v>224</v>
      </c>
      <c r="R66" s="258" t="s">
        <v>225</v>
      </c>
      <c r="S66" s="256" t="s">
        <v>226</v>
      </c>
      <c r="T66" s="257" t="s">
        <v>228</v>
      </c>
      <c r="U66" s="257" t="s">
        <v>238</v>
      </c>
      <c r="V66" s="257">
        <v>0</v>
      </c>
      <c r="W66" s="257">
        <v>0</v>
      </c>
      <c r="X66" s="257">
        <v>0</v>
      </c>
      <c r="Y66" s="257">
        <v>1</v>
      </c>
      <c r="Z66" s="257">
        <v>0</v>
      </c>
      <c r="AA66" s="257">
        <v>0</v>
      </c>
      <c r="AB66" s="257">
        <v>0</v>
      </c>
      <c r="AC66" s="257">
        <v>0</v>
      </c>
      <c r="AD66" s="257">
        <v>0</v>
      </c>
      <c r="AE66" s="257">
        <v>0</v>
      </c>
      <c r="AF66" s="257">
        <v>0</v>
      </c>
      <c r="AG66" s="257">
        <v>0</v>
      </c>
      <c r="AH66" s="257">
        <v>0</v>
      </c>
      <c r="AI66" s="257">
        <v>0</v>
      </c>
      <c r="AJ66" s="257">
        <v>0</v>
      </c>
      <c r="AK66" s="257">
        <v>0</v>
      </c>
      <c r="AL66" s="257">
        <v>0</v>
      </c>
      <c r="AM66" s="257">
        <v>0</v>
      </c>
      <c r="AN66" s="257">
        <v>0</v>
      </c>
      <c r="AO66" s="257">
        <v>0</v>
      </c>
      <c r="AP66" s="257">
        <v>0</v>
      </c>
      <c r="AQ66" s="257">
        <v>0</v>
      </c>
      <c r="AR66" s="257">
        <v>0</v>
      </c>
      <c r="AS66" s="257">
        <v>0</v>
      </c>
      <c r="AT66" s="257">
        <v>0</v>
      </c>
      <c r="AU66" s="257">
        <v>0</v>
      </c>
      <c r="AV66" s="257">
        <v>0</v>
      </c>
      <c r="AW66" s="257">
        <v>0</v>
      </c>
      <c r="AX66" s="277">
        <v>1</v>
      </c>
      <c r="AY66" s="277">
        <v>1</v>
      </c>
      <c r="AZ66" s="257">
        <v>1</v>
      </c>
      <c r="BA66" s="257">
        <v>0</v>
      </c>
      <c r="BB66" s="257">
        <v>0</v>
      </c>
      <c r="BC66" s="257">
        <v>0</v>
      </c>
      <c r="BD66" s="257">
        <v>0</v>
      </c>
      <c r="BE66" s="257" t="s">
        <v>91</v>
      </c>
      <c r="BF66" s="2" t="str" cm="1">
        <f t="array" ref="BF66">IF(COUNTIF(AZ66:BB66,"&lt;&gt;0")=1,INDEX($V$4:$AW$4,MATCH(TRUE,INDEX($V66:$AW66&lt;&gt;0,),0)),IF(COUNTIF(AZ66:BB66,"&lt;&gt;0")=0,INDEX($AM$4:$AW$4,MATCH(1,$AM66:$AW66,0)),"Multiple strategies"))</f>
        <v>Silviculture for removals</v>
      </c>
      <c r="BG66" s="278" t="s">
        <v>229</v>
      </c>
      <c r="BH66" s="257" t="s">
        <v>230</v>
      </c>
      <c r="BI66" s="279" t="s">
        <v>3070</v>
      </c>
      <c r="BJ66" s="276" t="s">
        <v>231</v>
      </c>
      <c r="BK66" s="257">
        <v>82.922401170000001</v>
      </c>
      <c r="BL66" s="257">
        <v>100.5900439</v>
      </c>
      <c r="BM66" s="276">
        <v>0.82435992624116949</v>
      </c>
      <c r="BN66" s="257">
        <v>17.667642729999997</v>
      </c>
      <c r="BO66" s="276">
        <v>36.056413734693869</v>
      </c>
      <c r="BP66" s="276" t="s">
        <v>232</v>
      </c>
      <c r="BQ66" s="282" t="s">
        <v>2624</v>
      </c>
      <c r="BR66" s="276" t="s">
        <v>233</v>
      </c>
      <c r="BS66" s="257">
        <v>-12.051927770000001</v>
      </c>
      <c r="BT66" s="257">
        <v>-11.804099559999999</v>
      </c>
      <c r="BU66" s="259">
        <v>0.97943663331463848</v>
      </c>
      <c r="BV66" s="257">
        <v>0.24782821000000155</v>
      </c>
      <c r="BW66" s="257"/>
      <c r="BX66" s="257">
        <v>2.4782821000000156E-4</v>
      </c>
      <c r="BY66" s="257">
        <v>6.8733460799385768E-6</v>
      </c>
      <c r="BZ66" s="257">
        <v>0</v>
      </c>
      <c r="CA66" s="257">
        <v>0</v>
      </c>
      <c r="CB66" s="257">
        <v>0</v>
      </c>
      <c r="CC66" s="257">
        <v>0</v>
      </c>
      <c r="CD66" s="257">
        <v>0</v>
      </c>
      <c r="CE66" s="257">
        <v>0</v>
      </c>
      <c r="CF66" s="257">
        <v>0</v>
      </c>
      <c r="CG66" s="257">
        <v>0</v>
      </c>
      <c r="CH66" s="257">
        <v>0</v>
      </c>
      <c r="CI66" s="257">
        <v>0</v>
      </c>
      <c r="CJ66" s="257">
        <v>0</v>
      </c>
      <c r="CK66" s="257">
        <v>0</v>
      </c>
      <c r="CL66" s="257">
        <v>0</v>
      </c>
      <c r="CM66" s="257">
        <v>0</v>
      </c>
      <c r="CN66" s="257" t="s">
        <v>3071</v>
      </c>
      <c r="CO66" s="257">
        <v>82.922401170000001</v>
      </c>
      <c r="CP66" s="257">
        <v>100.5900439</v>
      </c>
      <c r="CQ66" s="257">
        <v>36.056413734693869</v>
      </c>
      <c r="CR66" s="257">
        <v>-12.051927770000001</v>
      </c>
      <c r="CS66" s="257">
        <v>-11.804099559999999</v>
      </c>
      <c r="CT66" s="257">
        <v>2.4782821000000156E-4</v>
      </c>
      <c r="CU66" s="257">
        <v>6.8733460799385768E-6</v>
      </c>
      <c r="CV66" s="258">
        <v>2.0563366685361534E-2</v>
      </c>
      <c r="CW66" s="256" t="s">
        <v>234</v>
      </c>
      <c r="CX66" s="257" t="s">
        <v>3072</v>
      </c>
      <c r="CY66" s="257" t="s">
        <v>235</v>
      </c>
      <c r="CZ66" s="257"/>
      <c r="DA66" s="276"/>
      <c r="DB66" s="276">
        <v>80</v>
      </c>
      <c r="DC66" s="257" t="s">
        <v>3073</v>
      </c>
      <c r="DD66" s="257">
        <v>0</v>
      </c>
      <c r="DE66" s="257">
        <v>1</v>
      </c>
      <c r="DF66" s="257">
        <v>0</v>
      </c>
      <c r="DG66" s="257">
        <v>0</v>
      </c>
      <c r="DH66" s="257"/>
      <c r="DI66" s="257">
        <v>1</v>
      </c>
      <c r="DJ66" s="257" t="s">
        <v>173</v>
      </c>
      <c r="DK66" s="257">
        <v>0</v>
      </c>
      <c r="DL66" s="257" t="s">
        <v>180</v>
      </c>
      <c r="DM66" s="257">
        <v>0</v>
      </c>
      <c r="DN66" s="257">
        <v>0</v>
      </c>
      <c r="DO66" s="257">
        <v>0</v>
      </c>
      <c r="DP66" s="276">
        <v>0</v>
      </c>
      <c r="DQ66" s="276">
        <v>0</v>
      </c>
      <c r="DR66" s="276">
        <v>0</v>
      </c>
      <c r="DS66" s="276">
        <v>0</v>
      </c>
      <c r="DT66" s="257">
        <v>0</v>
      </c>
      <c r="DU66" s="276" t="s">
        <v>961</v>
      </c>
      <c r="DV66" s="276">
        <v>1</v>
      </c>
      <c r="DW66" s="276">
        <v>1</v>
      </c>
      <c r="DX66" s="276">
        <v>1</v>
      </c>
      <c r="DY66" s="276">
        <v>0</v>
      </c>
      <c r="DZ66" s="257">
        <v>0</v>
      </c>
      <c r="EA66" s="276">
        <v>0</v>
      </c>
      <c r="EB66" s="276">
        <v>1</v>
      </c>
      <c r="EC66" s="276">
        <v>1</v>
      </c>
      <c r="ED66" s="276">
        <v>0</v>
      </c>
      <c r="EE66" s="276">
        <v>0</v>
      </c>
      <c r="EF66" s="257">
        <v>1</v>
      </c>
      <c r="EG66" s="276">
        <v>0</v>
      </c>
      <c r="EH66" s="257">
        <v>0</v>
      </c>
      <c r="EI66" s="258">
        <v>0</v>
      </c>
      <c r="EJ66" s="256"/>
      <c r="EK66" t="str">
        <f t="shared" si="36"/>
        <v>Whole sector</v>
      </c>
      <c r="EL66" t="str">
        <f t="shared" si="37"/>
        <v/>
      </c>
      <c r="EM66" s="258" t="s">
        <v>544</v>
      </c>
      <c r="EN66" s="257" t="s">
        <v>236</v>
      </c>
      <c r="EO66" s="257"/>
      <c r="EP66" t="str">
        <f>IF(ISNUMBER(BU66),IF(ABS(BU66-[2]QC_indicators!$B$2)&gt;3*[2]QC_indicators!$C$2,"C ratio",IF(ISNUMBER(BY66),IF(ABS(BY66-[2]QC_indicators!$B$1)&gt;3*[2]QC_indicators!$C$1,"DF","no"))),IF(ISNUMBER(BY66),IF(ABS(BY66-[2]QC_indicators!$B$1)&gt;3*[2]QC_indicators!$C$1,"DF","no")))</f>
        <v>no</v>
      </c>
      <c r="EQ66" s="280"/>
      <c r="ER66" s="280"/>
      <c r="ES66" s="280"/>
      <c r="ET66"/>
      <c r="EU66"/>
    </row>
    <row r="67" spans="1:151" s="139" customFormat="1" ht="15" hidden="1" customHeight="1">
      <c r="A67" s="256" t="s">
        <v>214</v>
      </c>
      <c r="B67" s="257" t="s">
        <v>215</v>
      </c>
      <c r="C67" s="257" t="s">
        <v>216</v>
      </c>
      <c r="D67" s="257" t="s">
        <v>217</v>
      </c>
      <c r="E67" s="257" t="s">
        <v>218</v>
      </c>
      <c r="F67" s="257" t="s">
        <v>219</v>
      </c>
      <c r="G67" s="257" t="s">
        <v>220</v>
      </c>
      <c r="H67" s="257"/>
      <c r="I67" s="257">
        <v>2012</v>
      </c>
      <c r="J67" s="257"/>
      <c r="K67" s="257" t="s">
        <v>221</v>
      </c>
      <c r="L67" s="257"/>
      <c r="M67" s="257" t="s">
        <v>3069</v>
      </c>
      <c r="N67" s="257" t="s">
        <v>222</v>
      </c>
      <c r="O67" s="275" t="s">
        <v>223</v>
      </c>
      <c r="P67" s="257"/>
      <c r="Q67" s="257" t="s">
        <v>224</v>
      </c>
      <c r="R67" s="258" t="s">
        <v>225</v>
      </c>
      <c r="S67" s="256" t="s">
        <v>226</v>
      </c>
      <c r="T67" s="257" t="s">
        <v>228</v>
      </c>
      <c r="U67" s="257" t="s">
        <v>238</v>
      </c>
      <c r="V67" s="257">
        <v>0</v>
      </c>
      <c r="W67" s="257">
        <v>0</v>
      </c>
      <c r="X67" s="257">
        <v>0</v>
      </c>
      <c r="Y67" s="257">
        <v>1</v>
      </c>
      <c r="Z67" s="257">
        <v>0</v>
      </c>
      <c r="AA67" s="257">
        <v>0</v>
      </c>
      <c r="AB67" s="257">
        <v>0</v>
      </c>
      <c r="AC67" s="257">
        <v>0</v>
      </c>
      <c r="AD67" s="257">
        <v>0</v>
      </c>
      <c r="AE67" s="257">
        <v>0</v>
      </c>
      <c r="AF67" s="257">
        <v>0</v>
      </c>
      <c r="AG67" s="257">
        <v>0</v>
      </c>
      <c r="AH67" s="257">
        <v>0</v>
      </c>
      <c r="AI67" s="257">
        <v>0</v>
      </c>
      <c r="AJ67" s="257">
        <v>0</v>
      </c>
      <c r="AK67" s="257">
        <v>0</v>
      </c>
      <c r="AL67" s="257">
        <v>0</v>
      </c>
      <c r="AM67" s="257">
        <v>0</v>
      </c>
      <c r="AN67" s="257">
        <v>0</v>
      </c>
      <c r="AO67" s="257">
        <v>0</v>
      </c>
      <c r="AP67" s="257">
        <v>0</v>
      </c>
      <c r="AQ67" s="257">
        <v>0</v>
      </c>
      <c r="AR67" s="257">
        <v>0</v>
      </c>
      <c r="AS67" s="257">
        <v>0</v>
      </c>
      <c r="AT67" s="257">
        <v>0</v>
      </c>
      <c r="AU67" s="257">
        <v>0</v>
      </c>
      <c r="AV67" s="257">
        <v>0</v>
      </c>
      <c r="AW67" s="257">
        <v>0</v>
      </c>
      <c r="AX67" s="277">
        <v>1</v>
      </c>
      <c r="AY67" s="277">
        <v>1</v>
      </c>
      <c r="AZ67" s="257">
        <v>1</v>
      </c>
      <c r="BA67" s="257">
        <v>0</v>
      </c>
      <c r="BB67" s="257">
        <v>0</v>
      </c>
      <c r="BC67" s="257">
        <v>0</v>
      </c>
      <c r="BD67" s="257">
        <v>0</v>
      </c>
      <c r="BE67" s="257" t="s">
        <v>91</v>
      </c>
      <c r="BF67" s="2" t="str" cm="1">
        <f t="array" ref="BF67">IF(COUNTIF(AZ67:BB67,"&lt;&gt;0")=1,INDEX($V$4:$AW$4,MATCH(TRUE,INDEX($V67:$AW67&lt;&gt;0,),0)),IF(COUNTIF(AZ67:BB67,"&lt;&gt;0")=0,INDEX($AM$4:$AW$4,MATCH(1,$AM67:$AW67,0)),"Multiple strategies"))</f>
        <v>Silviculture for removals</v>
      </c>
      <c r="BG67" s="278" t="s">
        <v>229</v>
      </c>
      <c r="BH67" s="257" t="s">
        <v>230</v>
      </c>
      <c r="BI67" s="279" t="s">
        <v>3070</v>
      </c>
      <c r="BJ67" s="276" t="s">
        <v>231</v>
      </c>
      <c r="BK67" s="257">
        <v>75.212579790000007</v>
      </c>
      <c r="BL67" s="257">
        <v>98.063244030000007</v>
      </c>
      <c r="BM67" s="276">
        <v>0.76698033533329357</v>
      </c>
      <c r="BN67" s="257">
        <v>22.85066424</v>
      </c>
      <c r="BO67" s="276">
        <v>46.63400865306123</v>
      </c>
      <c r="BP67" s="276" t="s">
        <v>232</v>
      </c>
      <c r="BQ67" s="279" t="s">
        <v>3070</v>
      </c>
      <c r="BR67" s="276" t="s">
        <v>233</v>
      </c>
      <c r="BS67" s="257">
        <v>-8.4548837900000002</v>
      </c>
      <c r="BT67" s="257">
        <v>-8.12446701</v>
      </c>
      <c r="BU67" s="259">
        <v>0.96092000928613586</v>
      </c>
      <c r="BV67" s="257">
        <v>0.33041678000000019</v>
      </c>
      <c r="BW67" s="257"/>
      <c r="BX67" s="257">
        <v>3.3041678000000018E-4</v>
      </c>
      <c r="BY67" s="257">
        <v>7.0853179802356617E-6</v>
      </c>
      <c r="BZ67" s="257">
        <v>0</v>
      </c>
      <c r="CA67" s="257">
        <v>0</v>
      </c>
      <c r="CB67" s="257">
        <v>0</v>
      </c>
      <c r="CC67" s="257">
        <v>0</v>
      </c>
      <c r="CD67" s="257">
        <v>0</v>
      </c>
      <c r="CE67" s="257">
        <v>0</v>
      </c>
      <c r="CF67" s="257">
        <v>0</v>
      </c>
      <c r="CG67" s="257">
        <v>0</v>
      </c>
      <c r="CH67" s="257">
        <v>0</v>
      </c>
      <c r="CI67" s="257">
        <v>0</v>
      </c>
      <c r="CJ67" s="257">
        <v>0</v>
      </c>
      <c r="CK67" s="257">
        <v>0</v>
      </c>
      <c r="CL67" s="257">
        <v>0</v>
      </c>
      <c r="CM67" s="257">
        <v>0</v>
      </c>
      <c r="CN67" s="257" t="s">
        <v>3071</v>
      </c>
      <c r="CO67" s="257">
        <v>75.212579790000007</v>
      </c>
      <c r="CP67" s="257">
        <v>98.063244030000007</v>
      </c>
      <c r="CQ67" s="257">
        <v>46.63400865306123</v>
      </c>
      <c r="CR67" s="257">
        <v>-8.4548837900000002</v>
      </c>
      <c r="CS67" s="257">
        <v>-8.12446701</v>
      </c>
      <c r="CT67" s="257">
        <v>3.3041678000000018E-4</v>
      </c>
      <c r="CU67" s="257">
        <v>7.0853179802356617E-6</v>
      </c>
      <c r="CV67" s="258">
        <v>3.9079990713864109E-2</v>
      </c>
      <c r="CW67" s="256" t="s">
        <v>234</v>
      </c>
      <c r="CX67" s="257" t="s">
        <v>3072</v>
      </c>
      <c r="CY67" s="257" t="s">
        <v>235</v>
      </c>
      <c r="CZ67" s="257"/>
      <c r="DA67" s="276"/>
      <c r="DB67" s="276">
        <v>80</v>
      </c>
      <c r="DC67" s="257" t="s">
        <v>3073</v>
      </c>
      <c r="DD67" s="257">
        <v>0</v>
      </c>
      <c r="DE67" s="257">
        <v>1</v>
      </c>
      <c r="DF67" s="257">
        <v>0</v>
      </c>
      <c r="DG67" s="257">
        <v>0</v>
      </c>
      <c r="DH67" s="257"/>
      <c r="DI67" s="257">
        <v>1</v>
      </c>
      <c r="DJ67" s="257" t="s">
        <v>173</v>
      </c>
      <c r="DK67" s="257">
        <v>0</v>
      </c>
      <c r="DL67" s="257" t="s">
        <v>180</v>
      </c>
      <c r="DM67" s="257">
        <v>0</v>
      </c>
      <c r="DN67" s="257">
        <v>0</v>
      </c>
      <c r="DO67" s="257">
        <v>0</v>
      </c>
      <c r="DP67" s="276">
        <v>0</v>
      </c>
      <c r="DQ67" s="276">
        <v>0</v>
      </c>
      <c r="DR67" s="276">
        <v>0</v>
      </c>
      <c r="DS67" s="276">
        <v>0</v>
      </c>
      <c r="DT67" s="257">
        <v>0</v>
      </c>
      <c r="DU67" s="276" t="s">
        <v>961</v>
      </c>
      <c r="DV67" s="276">
        <v>1</v>
      </c>
      <c r="DW67" s="276">
        <v>1</v>
      </c>
      <c r="DX67" s="276">
        <v>1</v>
      </c>
      <c r="DY67" s="276">
        <v>0</v>
      </c>
      <c r="DZ67" s="257">
        <v>0</v>
      </c>
      <c r="EA67" s="276">
        <v>0</v>
      </c>
      <c r="EB67" s="276">
        <v>1</v>
      </c>
      <c r="EC67" s="276">
        <v>1</v>
      </c>
      <c r="ED67" s="276">
        <v>0</v>
      </c>
      <c r="EE67" s="276">
        <v>0</v>
      </c>
      <c r="EF67" s="257">
        <v>1</v>
      </c>
      <c r="EG67" s="276">
        <v>0</v>
      </c>
      <c r="EH67" s="257">
        <v>0</v>
      </c>
      <c r="EI67" s="258">
        <v>0</v>
      </c>
      <c r="EJ67" s="256"/>
      <c r="EK67" t="str">
        <f t="shared" si="36"/>
        <v>Whole sector</v>
      </c>
      <c r="EL67" t="str">
        <f t="shared" si="37"/>
        <v/>
      </c>
      <c r="EM67" s="258" t="s">
        <v>544</v>
      </c>
      <c r="EN67" s="257" t="s">
        <v>236</v>
      </c>
      <c r="EO67" s="257"/>
      <c r="EP67" t="str">
        <f>IF(ISNUMBER(BU67),IF(ABS(BU67-[2]QC_indicators!$B$2)&gt;3*[2]QC_indicators!$C$2,"C ratio",IF(ISNUMBER(BY67),IF(ABS(BY67-[2]QC_indicators!$B$1)&gt;3*[2]QC_indicators!$C$1,"DF","no"))),IF(ISNUMBER(BY67),IF(ABS(BY67-[2]QC_indicators!$B$1)&gt;3*[2]QC_indicators!$C$1,"DF","no")))</f>
        <v>no</v>
      </c>
      <c r="EQ67" s="280"/>
      <c r="ER67" s="280"/>
      <c r="ES67" s="280"/>
      <c r="ET67"/>
      <c r="EU67"/>
    </row>
    <row r="68" spans="1:151" s="139" customFormat="1" ht="15" hidden="1" customHeight="1">
      <c r="A68" s="256" t="s">
        <v>214</v>
      </c>
      <c r="B68" s="257" t="s">
        <v>215</v>
      </c>
      <c r="C68" s="257" t="s">
        <v>216</v>
      </c>
      <c r="D68" s="257" t="s">
        <v>217</v>
      </c>
      <c r="E68" s="257" t="s">
        <v>218</v>
      </c>
      <c r="F68" s="257" t="s">
        <v>219</v>
      </c>
      <c r="G68" s="257" t="s">
        <v>220</v>
      </c>
      <c r="H68" s="257"/>
      <c r="I68" s="257">
        <v>2012</v>
      </c>
      <c r="J68" s="257"/>
      <c r="K68" s="257" t="s">
        <v>221</v>
      </c>
      <c r="L68" s="257"/>
      <c r="M68" s="257" t="s">
        <v>3069</v>
      </c>
      <c r="N68" s="257" t="s">
        <v>222</v>
      </c>
      <c r="O68" s="275" t="s">
        <v>223</v>
      </c>
      <c r="P68" s="257"/>
      <c r="Q68" s="257" t="s">
        <v>224</v>
      </c>
      <c r="R68" s="258" t="s">
        <v>225</v>
      </c>
      <c r="S68" s="256" t="s">
        <v>226</v>
      </c>
      <c r="T68" s="257" t="s">
        <v>228</v>
      </c>
      <c r="U68" s="257" t="s">
        <v>238</v>
      </c>
      <c r="V68" s="257">
        <v>0</v>
      </c>
      <c r="W68" s="257">
        <v>0</v>
      </c>
      <c r="X68" s="257">
        <v>0</v>
      </c>
      <c r="Y68" s="257">
        <v>1</v>
      </c>
      <c r="Z68" s="257">
        <v>0</v>
      </c>
      <c r="AA68" s="257">
        <v>0</v>
      </c>
      <c r="AB68" s="257">
        <v>0</v>
      </c>
      <c r="AC68" s="257">
        <v>0</v>
      </c>
      <c r="AD68" s="257">
        <v>0</v>
      </c>
      <c r="AE68" s="257">
        <v>0</v>
      </c>
      <c r="AF68" s="257">
        <v>0</v>
      </c>
      <c r="AG68" s="257">
        <v>0</v>
      </c>
      <c r="AH68" s="257">
        <v>0</v>
      </c>
      <c r="AI68" s="257">
        <v>0</v>
      </c>
      <c r="AJ68" s="257">
        <v>0</v>
      </c>
      <c r="AK68" s="257">
        <v>0</v>
      </c>
      <c r="AL68" s="257">
        <v>0</v>
      </c>
      <c r="AM68" s="257">
        <v>0</v>
      </c>
      <c r="AN68" s="257">
        <v>0</v>
      </c>
      <c r="AO68" s="257">
        <v>0</v>
      </c>
      <c r="AP68" s="257">
        <v>0</v>
      </c>
      <c r="AQ68" s="257">
        <v>0</v>
      </c>
      <c r="AR68" s="257">
        <v>0</v>
      </c>
      <c r="AS68" s="257">
        <v>0</v>
      </c>
      <c r="AT68" s="257">
        <v>0</v>
      </c>
      <c r="AU68" s="257">
        <v>0</v>
      </c>
      <c r="AV68" s="257">
        <v>0</v>
      </c>
      <c r="AW68" s="257">
        <v>0</v>
      </c>
      <c r="AX68" s="277">
        <v>1</v>
      </c>
      <c r="AY68" s="277">
        <v>1</v>
      </c>
      <c r="AZ68" s="257">
        <v>1</v>
      </c>
      <c r="BA68" s="257">
        <v>0</v>
      </c>
      <c r="BB68" s="257">
        <v>0</v>
      </c>
      <c r="BC68" s="257">
        <v>0</v>
      </c>
      <c r="BD68" s="257">
        <v>0</v>
      </c>
      <c r="BE68" s="257" t="s">
        <v>91</v>
      </c>
      <c r="BF68" s="2" t="str" cm="1">
        <f t="array" ref="BF68">IF(COUNTIF(AZ68:BB68,"&lt;&gt;0")=1,INDEX($V$4:$AW$4,MATCH(TRUE,INDEX($V68:$AW68&lt;&gt;0,),0)),IF(COUNTIF(AZ68:BB68,"&lt;&gt;0")=0,INDEX($AM$4:$AW$4,MATCH(1,$AM68:$AW68,0)),"Multiple strategies"))</f>
        <v>Silviculture for removals</v>
      </c>
      <c r="BG68" s="278" t="s">
        <v>229</v>
      </c>
      <c r="BH68" s="257" t="s">
        <v>230</v>
      </c>
      <c r="BI68" s="279" t="s">
        <v>3070</v>
      </c>
      <c r="BJ68" s="276" t="s">
        <v>231</v>
      </c>
      <c r="BK68" s="257">
        <v>64.183526540000003</v>
      </c>
      <c r="BL68" s="257">
        <v>89.04746797</v>
      </c>
      <c r="BM68" s="276">
        <v>0.72077879363872943</v>
      </c>
      <c r="BN68" s="257">
        <v>24.863941429999997</v>
      </c>
      <c r="BO68" s="276">
        <v>50.742737612244895</v>
      </c>
      <c r="BP68" s="276" t="s">
        <v>232</v>
      </c>
      <c r="BQ68" s="279" t="s">
        <v>3070</v>
      </c>
      <c r="BR68" s="276" t="s">
        <v>233</v>
      </c>
      <c r="BS68" s="257">
        <v>-8.4950335569999993</v>
      </c>
      <c r="BT68" s="257">
        <v>-8.1050396580000008</v>
      </c>
      <c r="BU68" s="259">
        <v>0.95409154108889427</v>
      </c>
      <c r="BV68" s="257">
        <v>0.38999389899999848</v>
      </c>
      <c r="BW68" s="257"/>
      <c r="BX68" s="257">
        <v>3.8999389899999846E-4</v>
      </c>
      <c r="BY68" s="257">
        <v>7.6857086817067545E-6</v>
      </c>
      <c r="BZ68" s="257">
        <v>0</v>
      </c>
      <c r="CA68" s="257">
        <v>0</v>
      </c>
      <c r="CB68" s="257">
        <v>0</v>
      </c>
      <c r="CC68" s="257">
        <v>0</v>
      </c>
      <c r="CD68" s="257">
        <v>0</v>
      </c>
      <c r="CE68" s="257">
        <v>0</v>
      </c>
      <c r="CF68" s="257">
        <v>0</v>
      </c>
      <c r="CG68" s="257">
        <v>0</v>
      </c>
      <c r="CH68" s="257">
        <v>0</v>
      </c>
      <c r="CI68" s="257">
        <v>0</v>
      </c>
      <c r="CJ68" s="257">
        <v>0</v>
      </c>
      <c r="CK68" s="257">
        <v>0</v>
      </c>
      <c r="CL68" s="257">
        <v>0</v>
      </c>
      <c r="CM68" s="257">
        <v>0</v>
      </c>
      <c r="CN68" s="257" t="s">
        <v>3071</v>
      </c>
      <c r="CO68" s="257">
        <v>64.183526540000003</v>
      </c>
      <c r="CP68" s="257">
        <v>89.04746797</v>
      </c>
      <c r="CQ68" s="257">
        <v>50.742737612244895</v>
      </c>
      <c r="CR68" s="257">
        <v>-8.4950335569999993</v>
      </c>
      <c r="CS68" s="257">
        <v>-8.1050396580000008</v>
      </c>
      <c r="CT68" s="257">
        <v>3.8999389899999846E-4</v>
      </c>
      <c r="CU68" s="257">
        <v>7.6857086817067545E-6</v>
      </c>
      <c r="CV68" s="258">
        <v>4.590845891110569E-2</v>
      </c>
      <c r="CW68" s="256" t="s">
        <v>234</v>
      </c>
      <c r="CX68" s="257" t="s">
        <v>3072</v>
      </c>
      <c r="CY68" s="257" t="s">
        <v>235</v>
      </c>
      <c r="CZ68" s="257"/>
      <c r="DA68" s="276"/>
      <c r="DB68" s="276">
        <v>80</v>
      </c>
      <c r="DC68" s="257" t="s">
        <v>3073</v>
      </c>
      <c r="DD68" s="257">
        <v>0</v>
      </c>
      <c r="DE68" s="257">
        <v>1</v>
      </c>
      <c r="DF68" s="257">
        <v>0</v>
      </c>
      <c r="DG68" s="257">
        <v>0</v>
      </c>
      <c r="DH68" s="257"/>
      <c r="DI68" s="257">
        <v>1</v>
      </c>
      <c r="DJ68" s="257" t="s">
        <v>173</v>
      </c>
      <c r="DK68" s="257">
        <v>0</v>
      </c>
      <c r="DL68" s="257" t="s">
        <v>180</v>
      </c>
      <c r="DM68" s="257">
        <v>0</v>
      </c>
      <c r="DN68" s="257">
        <v>0</v>
      </c>
      <c r="DO68" s="257">
        <v>0</v>
      </c>
      <c r="DP68" s="276">
        <v>0</v>
      </c>
      <c r="DQ68" s="276">
        <v>0</v>
      </c>
      <c r="DR68" s="276">
        <v>0</v>
      </c>
      <c r="DS68" s="276">
        <v>0</v>
      </c>
      <c r="DT68" s="257">
        <v>0</v>
      </c>
      <c r="DU68" s="276" t="s">
        <v>961</v>
      </c>
      <c r="DV68" s="276">
        <v>1</v>
      </c>
      <c r="DW68" s="276">
        <v>1</v>
      </c>
      <c r="DX68" s="276">
        <v>1</v>
      </c>
      <c r="DY68" s="276">
        <v>0</v>
      </c>
      <c r="DZ68" s="257">
        <v>0</v>
      </c>
      <c r="EA68" s="276">
        <v>0</v>
      </c>
      <c r="EB68" s="276">
        <v>1</v>
      </c>
      <c r="EC68" s="276">
        <v>1</v>
      </c>
      <c r="ED68" s="276">
        <v>0</v>
      </c>
      <c r="EE68" s="276">
        <v>0</v>
      </c>
      <c r="EF68" s="257">
        <v>1</v>
      </c>
      <c r="EG68" s="276">
        <v>0</v>
      </c>
      <c r="EH68" s="257">
        <v>0</v>
      </c>
      <c r="EI68" s="258">
        <v>0</v>
      </c>
      <c r="EJ68" s="256"/>
      <c r="EK68" t="str">
        <f t="shared" si="36"/>
        <v>Whole sector</v>
      </c>
      <c r="EL68" t="str">
        <f t="shared" si="37"/>
        <v/>
      </c>
      <c r="EM68" s="258" t="s">
        <v>544</v>
      </c>
      <c r="EN68" s="257" t="s">
        <v>236</v>
      </c>
      <c r="EO68" s="257"/>
      <c r="EP68" t="str">
        <f>IF(ISNUMBER(BU68),IF(ABS(BU68-[2]QC_indicators!$B$2)&gt;3*[2]QC_indicators!$C$2,"C ratio",IF(ISNUMBER(BY68),IF(ABS(BY68-[2]QC_indicators!$B$1)&gt;3*[2]QC_indicators!$C$1,"DF","no"))),IF(ISNUMBER(BY68),IF(ABS(BY68-[2]QC_indicators!$B$1)&gt;3*[2]QC_indicators!$C$1,"DF","no")))</f>
        <v>no</v>
      </c>
      <c r="EQ68" s="280"/>
      <c r="ER68" s="280"/>
      <c r="ES68" s="280"/>
      <c r="ET68"/>
      <c r="EU68"/>
    </row>
    <row r="69" spans="1:151" s="139" customFormat="1" ht="15" hidden="1" customHeight="1">
      <c r="A69" s="256" t="s">
        <v>214</v>
      </c>
      <c r="B69" s="257" t="s">
        <v>215</v>
      </c>
      <c r="C69" s="257" t="s">
        <v>216</v>
      </c>
      <c r="D69" s="257" t="s">
        <v>217</v>
      </c>
      <c r="E69" s="257" t="s">
        <v>218</v>
      </c>
      <c r="F69" s="257" t="s">
        <v>219</v>
      </c>
      <c r="G69" s="257" t="s">
        <v>220</v>
      </c>
      <c r="H69" s="257"/>
      <c r="I69" s="257">
        <v>2012</v>
      </c>
      <c r="J69" s="257"/>
      <c r="K69" s="257" t="s">
        <v>221</v>
      </c>
      <c r="L69" s="257"/>
      <c r="M69" s="257" t="s">
        <v>3069</v>
      </c>
      <c r="N69" s="257" t="s">
        <v>222</v>
      </c>
      <c r="O69" s="275" t="s">
        <v>223</v>
      </c>
      <c r="P69" s="257"/>
      <c r="Q69" s="257" t="s">
        <v>224</v>
      </c>
      <c r="R69" s="258" t="s">
        <v>225</v>
      </c>
      <c r="S69" s="256" t="s">
        <v>241</v>
      </c>
      <c r="T69" s="257" t="s">
        <v>244</v>
      </c>
      <c r="U69" s="276" t="s">
        <v>242</v>
      </c>
      <c r="V69" s="257">
        <v>0</v>
      </c>
      <c r="W69" s="257">
        <v>0</v>
      </c>
      <c r="X69" s="257">
        <v>0</v>
      </c>
      <c r="Y69" s="257">
        <v>0</v>
      </c>
      <c r="Z69" s="257">
        <v>0</v>
      </c>
      <c r="AA69" s="257">
        <v>0</v>
      </c>
      <c r="AB69" s="257">
        <v>0</v>
      </c>
      <c r="AC69" s="257">
        <v>1</v>
      </c>
      <c r="AD69" s="257">
        <v>0</v>
      </c>
      <c r="AE69" s="257">
        <v>0</v>
      </c>
      <c r="AF69" s="257">
        <v>0</v>
      </c>
      <c r="AG69" s="257">
        <v>0</v>
      </c>
      <c r="AH69" s="257">
        <v>0</v>
      </c>
      <c r="AI69" s="257">
        <v>0</v>
      </c>
      <c r="AJ69" s="257">
        <v>0</v>
      </c>
      <c r="AK69" s="257">
        <v>0</v>
      </c>
      <c r="AL69" s="257">
        <v>0</v>
      </c>
      <c r="AM69" s="257">
        <v>0</v>
      </c>
      <c r="AN69" s="257">
        <v>0</v>
      </c>
      <c r="AO69" s="257">
        <v>0</v>
      </c>
      <c r="AP69" s="257">
        <v>0</v>
      </c>
      <c r="AQ69" s="257">
        <v>0</v>
      </c>
      <c r="AR69" s="257">
        <v>0</v>
      </c>
      <c r="AS69" s="257">
        <v>0</v>
      </c>
      <c r="AT69" s="257">
        <v>0</v>
      </c>
      <c r="AU69" s="257">
        <v>0</v>
      </c>
      <c r="AV69" s="257">
        <v>0</v>
      </c>
      <c r="AW69" s="257">
        <v>0</v>
      </c>
      <c r="AX69" s="277">
        <v>1</v>
      </c>
      <c r="AY69" s="277">
        <v>1</v>
      </c>
      <c r="AZ69" s="257">
        <v>1</v>
      </c>
      <c r="BA69" s="257">
        <v>0</v>
      </c>
      <c r="BB69" s="257">
        <v>0</v>
      </c>
      <c r="BC69" s="257">
        <v>0</v>
      </c>
      <c r="BD69" s="257">
        <v>0</v>
      </c>
      <c r="BE69" s="257" t="s">
        <v>95</v>
      </c>
      <c r="BF69" s="2" t="str" cm="1">
        <f t="array" ref="BF69">IF(COUNTIF(AZ69:BB69,"&lt;&gt;0")=1,INDEX($V$4:$AW$4,MATCH(TRUE,INDEX($V69:$AW69&lt;&gt;0,),0)),IF(COUNTIF(AZ69:BB69,"&lt;&gt;0")=0,INDEX($AM$4:$AW$4,MATCH(1,$AM69:$AW69,0)),"Multiple strategies"))</f>
        <v>Silviculture for productivity</v>
      </c>
      <c r="BG69" s="278" t="s">
        <v>229</v>
      </c>
      <c r="BH69" s="257" t="s">
        <v>230</v>
      </c>
      <c r="BI69" s="279" t="s">
        <v>3070</v>
      </c>
      <c r="BJ69" s="276" t="s">
        <v>231</v>
      </c>
      <c r="BK69" s="257">
        <v>43.2961724266072</v>
      </c>
      <c r="BL69" s="257">
        <v>49.052379731692703</v>
      </c>
      <c r="BM69" s="276">
        <v>1.1329495653419028</v>
      </c>
      <c r="BN69" s="257">
        <v>5.7562073050855034</v>
      </c>
      <c r="BO69" s="276">
        <v>11.747361847113272</v>
      </c>
      <c r="BP69" s="276" t="s">
        <v>232</v>
      </c>
      <c r="BQ69" s="279" t="s">
        <v>3070</v>
      </c>
      <c r="BR69" s="276" t="s">
        <v>233</v>
      </c>
      <c r="BS69" s="257">
        <v>-9.82778574082921</v>
      </c>
      <c r="BT69" s="257">
        <v>-9.7349397590361395</v>
      </c>
      <c r="BU69" s="259">
        <v>0.99055270594602562</v>
      </c>
      <c r="BV69" s="257">
        <v>9.2845981793070465E-2</v>
      </c>
      <c r="BW69" s="257"/>
      <c r="BX69" s="257">
        <v>9.2845981793070463E-5</v>
      </c>
      <c r="BY69" s="257">
        <v>7.9035602207048637E-6</v>
      </c>
      <c r="BZ69" s="257">
        <v>0</v>
      </c>
      <c r="CA69" s="257">
        <v>0</v>
      </c>
      <c r="CB69" s="257">
        <v>0</v>
      </c>
      <c r="CC69" s="257">
        <v>0</v>
      </c>
      <c r="CD69" s="257">
        <v>0</v>
      </c>
      <c r="CE69" s="257">
        <v>0</v>
      </c>
      <c r="CF69" s="257">
        <v>0</v>
      </c>
      <c r="CG69" s="257">
        <v>0</v>
      </c>
      <c r="CH69" s="257">
        <v>0</v>
      </c>
      <c r="CI69" s="257">
        <v>0</v>
      </c>
      <c r="CJ69" s="257">
        <v>0</v>
      </c>
      <c r="CK69" s="257">
        <v>0</v>
      </c>
      <c r="CL69" s="257">
        <v>0</v>
      </c>
      <c r="CM69" s="257">
        <v>0</v>
      </c>
      <c r="CN69" s="257" t="s">
        <v>3071</v>
      </c>
      <c r="CO69" s="257">
        <v>43.2961724266072</v>
      </c>
      <c r="CP69" s="257">
        <v>49.052379731692703</v>
      </c>
      <c r="CQ69" s="257">
        <v>11.747361847113272</v>
      </c>
      <c r="CR69" s="257">
        <v>-9.82778574082921</v>
      </c>
      <c r="CS69" s="257">
        <v>-9.7349397590361395</v>
      </c>
      <c r="CT69" s="257">
        <v>9.2845981793070463E-5</v>
      </c>
      <c r="CU69" s="257">
        <v>7.9035602207048637E-6</v>
      </c>
      <c r="CV69" s="258">
        <v>9.4472940539744275E-3</v>
      </c>
      <c r="CW69" s="256" t="s">
        <v>234</v>
      </c>
      <c r="CX69" s="257" t="s">
        <v>3072</v>
      </c>
      <c r="CY69" s="257" t="s">
        <v>235</v>
      </c>
      <c r="CZ69" s="257"/>
      <c r="DA69" s="276"/>
      <c r="DB69" s="276">
        <v>80</v>
      </c>
      <c r="DC69" s="257" t="s">
        <v>3073</v>
      </c>
      <c r="DD69" s="257">
        <v>0</v>
      </c>
      <c r="DE69" s="257">
        <v>1</v>
      </c>
      <c r="DF69" s="257">
        <v>0</v>
      </c>
      <c r="DG69" s="257">
        <v>0</v>
      </c>
      <c r="DH69" s="257"/>
      <c r="DI69" s="257">
        <v>1</v>
      </c>
      <c r="DJ69" s="257" t="s">
        <v>173</v>
      </c>
      <c r="DK69" s="257">
        <v>0</v>
      </c>
      <c r="DL69" s="257" t="s">
        <v>180</v>
      </c>
      <c r="DM69" s="257">
        <v>0</v>
      </c>
      <c r="DN69" s="257">
        <v>0</v>
      </c>
      <c r="DO69" s="257">
        <v>0</v>
      </c>
      <c r="DP69" s="276">
        <v>0</v>
      </c>
      <c r="DQ69" s="276">
        <v>0</v>
      </c>
      <c r="DR69" s="276">
        <v>0</v>
      </c>
      <c r="DS69" s="276">
        <v>0</v>
      </c>
      <c r="DT69" s="257">
        <v>0</v>
      </c>
      <c r="DU69" s="276" t="s">
        <v>961</v>
      </c>
      <c r="DV69" s="276">
        <v>1</v>
      </c>
      <c r="DW69" s="276">
        <v>1</v>
      </c>
      <c r="DX69" s="276">
        <v>1</v>
      </c>
      <c r="DY69" s="276">
        <v>0</v>
      </c>
      <c r="DZ69" s="257">
        <v>0</v>
      </c>
      <c r="EA69" s="276">
        <v>0</v>
      </c>
      <c r="EB69" s="276">
        <v>1</v>
      </c>
      <c r="EC69" s="276">
        <v>1</v>
      </c>
      <c r="ED69" s="276">
        <v>0</v>
      </c>
      <c r="EE69" s="276">
        <v>0</v>
      </c>
      <c r="EF69" s="257">
        <v>1</v>
      </c>
      <c r="EG69" s="276">
        <v>0</v>
      </c>
      <c r="EH69" s="257">
        <v>0</v>
      </c>
      <c r="EI69" s="258">
        <v>0</v>
      </c>
      <c r="EJ69" s="256"/>
      <c r="EK69" t="str">
        <f t="shared" si="36"/>
        <v>Whole sector</v>
      </c>
      <c r="EL69" t="str">
        <f t="shared" si="37"/>
        <v/>
      </c>
      <c r="EM69" s="258" t="s">
        <v>544</v>
      </c>
      <c r="EN69" s="257" t="s">
        <v>236</v>
      </c>
      <c r="EO69" s="257"/>
      <c r="EP69" t="str">
        <f>IF(ISNUMBER(BU69),IF(ABS(BU69-[2]QC_indicators!$B$2)&gt;3*[2]QC_indicators!$C$2,"C ratio",IF(ISNUMBER(BY69),IF(ABS(BY69-[2]QC_indicators!$B$1)&gt;3*[2]QC_indicators!$C$1,"DF","no"))),IF(ISNUMBER(BY69),IF(ABS(BY69-[2]QC_indicators!$B$1)&gt;3*[2]QC_indicators!$C$1,"DF","no")))</f>
        <v>no</v>
      </c>
      <c r="EQ69"/>
      <c r="ER69"/>
      <c r="ES69"/>
      <c r="ET69"/>
      <c r="EU69"/>
    </row>
    <row r="70" spans="1:151" s="139" customFormat="1" ht="15" hidden="1" customHeight="1">
      <c r="A70" s="256" t="s">
        <v>214</v>
      </c>
      <c r="B70" s="257" t="s">
        <v>215</v>
      </c>
      <c r="C70" s="257" t="s">
        <v>216</v>
      </c>
      <c r="D70" s="257" t="s">
        <v>217</v>
      </c>
      <c r="E70" s="257" t="s">
        <v>218</v>
      </c>
      <c r="F70" s="257" t="s">
        <v>219</v>
      </c>
      <c r="G70" s="257" t="s">
        <v>220</v>
      </c>
      <c r="H70" s="257"/>
      <c r="I70" s="257">
        <v>2012</v>
      </c>
      <c r="J70" s="257"/>
      <c r="K70" s="257" t="s">
        <v>221</v>
      </c>
      <c r="L70" s="257"/>
      <c r="M70" s="257" t="s">
        <v>3069</v>
      </c>
      <c r="N70" s="257" t="s">
        <v>222</v>
      </c>
      <c r="O70" s="275" t="s">
        <v>223</v>
      </c>
      <c r="P70" s="257"/>
      <c r="Q70" s="257" t="s">
        <v>224</v>
      </c>
      <c r="R70" s="258" t="s">
        <v>225</v>
      </c>
      <c r="S70" s="256" t="s">
        <v>226</v>
      </c>
      <c r="T70" s="257" t="s">
        <v>228</v>
      </c>
      <c r="U70" s="257" t="s">
        <v>239</v>
      </c>
      <c r="V70" s="257">
        <v>0</v>
      </c>
      <c r="W70" s="257">
        <v>0</v>
      </c>
      <c r="X70" s="257">
        <v>0</v>
      </c>
      <c r="Y70" s="257">
        <v>1</v>
      </c>
      <c r="Z70" s="257">
        <v>0</v>
      </c>
      <c r="AA70" s="257">
        <v>0</v>
      </c>
      <c r="AB70" s="257">
        <v>0</v>
      </c>
      <c r="AC70" s="257">
        <v>0</v>
      </c>
      <c r="AD70" s="257">
        <v>0</v>
      </c>
      <c r="AE70" s="257">
        <v>0</v>
      </c>
      <c r="AF70" s="257">
        <v>0</v>
      </c>
      <c r="AG70" s="257">
        <v>0</v>
      </c>
      <c r="AH70" s="257">
        <v>0</v>
      </c>
      <c r="AI70" s="257">
        <v>0</v>
      </c>
      <c r="AJ70" s="257">
        <v>0</v>
      </c>
      <c r="AK70" s="257">
        <v>0</v>
      </c>
      <c r="AL70" s="257">
        <v>0</v>
      </c>
      <c r="AM70" s="257">
        <v>0</v>
      </c>
      <c r="AN70" s="257">
        <v>0</v>
      </c>
      <c r="AO70" s="257">
        <v>0</v>
      </c>
      <c r="AP70" s="257">
        <v>0</v>
      </c>
      <c r="AQ70" s="257">
        <v>0</v>
      </c>
      <c r="AR70" s="257">
        <v>0</v>
      </c>
      <c r="AS70" s="257">
        <v>0</v>
      </c>
      <c r="AT70" s="257">
        <v>0</v>
      </c>
      <c r="AU70" s="257">
        <v>0</v>
      </c>
      <c r="AV70" s="257">
        <v>0</v>
      </c>
      <c r="AW70" s="257">
        <v>0</v>
      </c>
      <c r="AX70" s="277">
        <v>1</v>
      </c>
      <c r="AY70" s="277">
        <v>1</v>
      </c>
      <c r="AZ70" s="257">
        <v>1</v>
      </c>
      <c r="BA70" s="257">
        <v>0</v>
      </c>
      <c r="BB70" s="257">
        <v>0</v>
      </c>
      <c r="BC70" s="257">
        <v>0</v>
      </c>
      <c r="BD70" s="257">
        <v>0</v>
      </c>
      <c r="BE70" s="257" t="s">
        <v>91</v>
      </c>
      <c r="BF70" s="2" t="str" cm="1">
        <f t="array" ref="BF70">IF(COUNTIF(AZ70:BB70,"&lt;&gt;0")=1,INDEX($V$4:$AW$4,MATCH(TRUE,INDEX($V70:$AW70&lt;&gt;0,),0)),IF(COUNTIF(AZ70:BB70,"&lt;&gt;0")=0,INDEX($AM$4:$AW$4,MATCH(1,$AM70:$AW70,0)),"Multiple strategies"))</f>
        <v>Silviculture for removals</v>
      </c>
      <c r="BG70" s="278" t="s">
        <v>229</v>
      </c>
      <c r="BH70" s="257" t="s">
        <v>230</v>
      </c>
      <c r="BI70" s="279" t="s">
        <v>3070</v>
      </c>
      <c r="BJ70" s="276" t="s">
        <v>231</v>
      </c>
      <c r="BK70" s="257">
        <v>74.931604759999999</v>
      </c>
      <c r="BL70" s="257">
        <v>98.063244030000007</v>
      </c>
      <c r="BM70" s="276">
        <v>0.76411509226715502</v>
      </c>
      <c r="BN70" s="257">
        <v>23.131639270000008</v>
      </c>
      <c r="BO70" s="276">
        <v>47.207427081632673</v>
      </c>
      <c r="BP70" s="276" t="s">
        <v>232</v>
      </c>
      <c r="BQ70" s="279" t="s">
        <v>3070</v>
      </c>
      <c r="BR70" s="276" t="s">
        <v>233</v>
      </c>
      <c r="BS70" s="257">
        <v>-8.5161560640000005</v>
      </c>
      <c r="BT70" s="257">
        <v>-8.12446701</v>
      </c>
      <c r="BU70" s="259">
        <v>0.95400635556037172</v>
      </c>
      <c r="BV70" s="257">
        <v>0.39168905400000043</v>
      </c>
      <c r="BW70" s="257"/>
      <c r="BX70" s="257">
        <v>3.916890540000004E-4</v>
      </c>
      <c r="BY70" s="257">
        <v>8.2971913153131285E-6</v>
      </c>
      <c r="BZ70" s="257">
        <v>0</v>
      </c>
      <c r="CA70" s="257">
        <v>0</v>
      </c>
      <c r="CB70" s="257">
        <v>0</v>
      </c>
      <c r="CC70" s="257">
        <v>0</v>
      </c>
      <c r="CD70" s="257">
        <v>0</v>
      </c>
      <c r="CE70" s="257">
        <v>0</v>
      </c>
      <c r="CF70" s="257">
        <v>0</v>
      </c>
      <c r="CG70" s="257">
        <v>0</v>
      </c>
      <c r="CH70" s="257">
        <v>0</v>
      </c>
      <c r="CI70" s="257">
        <v>0</v>
      </c>
      <c r="CJ70" s="257">
        <v>0</v>
      </c>
      <c r="CK70" s="257">
        <v>0</v>
      </c>
      <c r="CL70" s="257">
        <v>0</v>
      </c>
      <c r="CM70" s="257">
        <v>0</v>
      </c>
      <c r="CN70" s="257" t="s">
        <v>3071</v>
      </c>
      <c r="CO70" s="257">
        <v>74.931604759999999</v>
      </c>
      <c r="CP70" s="257">
        <v>98.063244030000007</v>
      </c>
      <c r="CQ70" s="257">
        <v>47.207427081632673</v>
      </c>
      <c r="CR70" s="257">
        <v>-8.5161560640000005</v>
      </c>
      <c r="CS70" s="257">
        <v>-8.12446701</v>
      </c>
      <c r="CT70" s="257">
        <v>3.916890540000004E-4</v>
      </c>
      <c r="CU70" s="257">
        <v>8.2971913153131285E-6</v>
      </c>
      <c r="CV70" s="258">
        <v>4.5993644439628299E-2</v>
      </c>
      <c r="CW70" s="256" t="s">
        <v>234</v>
      </c>
      <c r="CX70" s="257" t="s">
        <v>3072</v>
      </c>
      <c r="CY70" s="257" t="s">
        <v>235</v>
      </c>
      <c r="CZ70" s="257"/>
      <c r="DA70" s="276"/>
      <c r="DB70" s="276">
        <v>80</v>
      </c>
      <c r="DC70" s="257" t="s">
        <v>3073</v>
      </c>
      <c r="DD70" s="257">
        <v>0</v>
      </c>
      <c r="DE70" s="257">
        <v>1</v>
      </c>
      <c r="DF70" s="257">
        <v>0</v>
      </c>
      <c r="DG70" s="257">
        <v>0</v>
      </c>
      <c r="DH70" s="257"/>
      <c r="DI70" s="257">
        <v>1</v>
      </c>
      <c r="DJ70" s="257" t="s">
        <v>173</v>
      </c>
      <c r="DK70" s="257">
        <v>0</v>
      </c>
      <c r="DL70" s="257" t="s">
        <v>180</v>
      </c>
      <c r="DM70" s="257">
        <v>0</v>
      </c>
      <c r="DN70" s="257">
        <v>0</v>
      </c>
      <c r="DO70" s="257">
        <v>0</v>
      </c>
      <c r="DP70" s="276">
        <v>0</v>
      </c>
      <c r="DQ70" s="276">
        <v>0</v>
      </c>
      <c r="DR70" s="276">
        <v>0</v>
      </c>
      <c r="DS70" s="276">
        <v>0</v>
      </c>
      <c r="DT70" s="257">
        <v>0</v>
      </c>
      <c r="DU70" s="276" t="s">
        <v>961</v>
      </c>
      <c r="DV70" s="276">
        <v>1</v>
      </c>
      <c r="DW70" s="276">
        <v>1</v>
      </c>
      <c r="DX70" s="276">
        <v>1</v>
      </c>
      <c r="DY70" s="276">
        <v>0</v>
      </c>
      <c r="DZ70" s="257">
        <v>0</v>
      </c>
      <c r="EA70" s="276">
        <v>0</v>
      </c>
      <c r="EB70" s="276">
        <v>1</v>
      </c>
      <c r="EC70" s="276">
        <v>1</v>
      </c>
      <c r="ED70" s="276">
        <v>0</v>
      </c>
      <c r="EE70" s="276">
        <v>0</v>
      </c>
      <c r="EF70" s="257">
        <v>1</v>
      </c>
      <c r="EG70" s="276">
        <v>0</v>
      </c>
      <c r="EH70" s="257">
        <v>0</v>
      </c>
      <c r="EI70" s="258">
        <v>0</v>
      </c>
      <c r="EJ70" s="256"/>
      <c r="EK70" t="str">
        <f t="shared" si="36"/>
        <v>Whole sector</v>
      </c>
      <c r="EL70" t="str">
        <f t="shared" si="37"/>
        <v/>
      </c>
      <c r="EM70" s="258" t="s">
        <v>544</v>
      </c>
      <c r="EN70" s="257" t="s">
        <v>236</v>
      </c>
      <c r="EO70" s="257"/>
      <c r="EP70" t="str">
        <f>IF(ISNUMBER(BU70),IF(ABS(BU70-[2]QC_indicators!$B$2)&gt;3*[2]QC_indicators!$C$2,"C ratio",IF(ISNUMBER(BY70),IF(ABS(BY70-[2]QC_indicators!$B$1)&gt;3*[2]QC_indicators!$C$1,"DF","no"))),IF(ISNUMBER(BY70),IF(ABS(BY70-[2]QC_indicators!$B$1)&gt;3*[2]QC_indicators!$C$1,"DF","no")))</f>
        <v>no</v>
      </c>
      <c r="EQ70" s="280"/>
      <c r="ER70" s="280"/>
      <c r="ES70" s="280"/>
      <c r="ET70"/>
      <c r="EU70"/>
    </row>
    <row r="71" spans="1:151" s="139" customFormat="1" ht="15" hidden="1" customHeight="1">
      <c r="A71" s="256" t="s">
        <v>214</v>
      </c>
      <c r="B71" s="257" t="s">
        <v>215</v>
      </c>
      <c r="C71" s="257" t="s">
        <v>216</v>
      </c>
      <c r="D71" s="257" t="s">
        <v>217</v>
      </c>
      <c r="E71" s="257" t="s">
        <v>218</v>
      </c>
      <c r="F71" s="257" t="s">
        <v>219</v>
      </c>
      <c r="G71" s="257" t="s">
        <v>220</v>
      </c>
      <c r="H71" s="257"/>
      <c r="I71" s="257">
        <v>2012</v>
      </c>
      <c r="J71" s="257"/>
      <c r="K71" s="257" t="s">
        <v>221</v>
      </c>
      <c r="L71" s="257"/>
      <c r="M71" s="257" t="s">
        <v>3069</v>
      </c>
      <c r="N71" s="257" t="s">
        <v>222</v>
      </c>
      <c r="O71" s="275" t="s">
        <v>223</v>
      </c>
      <c r="P71" s="257"/>
      <c r="Q71" s="257" t="s">
        <v>224</v>
      </c>
      <c r="R71" s="258" t="s">
        <v>225</v>
      </c>
      <c r="S71" s="256" t="s">
        <v>92</v>
      </c>
      <c r="T71" s="257" t="s">
        <v>245</v>
      </c>
      <c r="U71" s="276" t="s">
        <v>246</v>
      </c>
      <c r="V71" s="257">
        <v>0</v>
      </c>
      <c r="W71" s="257">
        <v>0</v>
      </c>
      <c r="X71" s="257">
        <v>0</v>
      </c>
      <c r="Y71" s="257">
        <v>0</v>
      </c>
      <c r="Z71" s="257">
        <v>1</v>
      </c>
      <c r="AA71" s="257">
        <v>0</v>
      </c>
      <c r="AB71" s="257">
        <v>0</v>
      </c>
      <c r="AC71" s="257">
        <v>0</v>
      </c>
      <c r="AD71" s="257">
        <v>0</v>
      </c>
      <c r="AE71" s="257">
        <v>0</v>
      </c>
      <c r="AF71" s="257">
        <v>0</v>
      </c>
      <c r="AG71" s="257">
        <v>0</v>
      </c>
      <c r="AH71" s="257">
        <v>0</v>
      </c>
      <c r="AI71" s="257">
        <v>0</v>
      </c>
      <c r="AJ71" s="257">
        <v>0</v>
      </c>
      <c r="AK71" s="257">
        <v>0</v>
      </c>
      <c r="AL71" s="257">
        <v>0</v>
      </c>
      <c r="AM71" s="257">
        <v>0</v>
      </c>
      <c r="AN71" s="257">
        <v>0</v>
      </c>
      <c r="AO71" s="257">
        <v>0</v>
      </c>
      <c r="AP71" s="257">
        <v>0</v>
      </c>
      <c r="AQ71" s="257">
        <v>0</v>
      </c>
      <c r="AR71" s="257">
        <v>0</v>
      </c>
      <c r="AS71" s="257">
        <v>0</v>
      </c>
      <c r="AT71" s="257">
        <v>0</v>
      </c>
      <c r="AU71" s="257">
        <v>0</v>
      </c>
      <c r="AV71" s="257">
        <v>0</v>
      </c>
      <c r="AW71" s="257">
        <v>0</v>
      </c>
      <c r="AX71" s="277">
        <v>1</v>
      </c>
      <c r="AY71" s="277">
        <v>1</v>
      </c>
      <c r="AZ71" s="257">
        <v>1</v>
      </c>
      <c r="BA71" s="257">
        <v>0</v>
      </c>
      <c r="BB71" s="257">
        <v>0</v>
      </c>
      <c r="BC71" s="257">
        <v>0</v>
      </c>
      <c r="BD71" s="257">
        <v>0</v>
      </c>
      <c r="BE71" s="257" t="s">
        <v>92</v>
      </c>
      <c r="BF71" s="2" t="str" cm="1">
        <f t="array" ref="BF71">IF(COUNTIF(AZ71:BB71,"&lt;&gt;0")=1,INDEX($V$4:$AW$4,MATCH(TRUE,INDEX($V71:$AW71&lt;&gt;0,),0)),IF(COUNTIF(AZ71:BB71,"&lt;&gt;0")=0,INDEX($AM$4:$AW$4,MATCH(1,$AM71:$AW71,0)),"Multiple strategies"))</f>
        <v>Silviculture for productivity</v>
      </c>
      <c r="BG71" s="278" t="s">
        <v>229</v>
      </c>
      <c r="BH71" s="257" t="s">
        <v>230</v>
      </c>
      <c r="BI71" s="279" t="s">
        <v>3070</v>
      </c>
      <c r="BJ71" s="276" t="s">
        <v>231</v>
      </c>
      <c r="BK71" s="257">
        <v>68.641374006664904</v>
      </c>
      <c r="BL71" s="257">
        <v>124.699677125181</v>
      </c>
      <c r="BM71" s="276">
        <v>1.8166838722236676</v>
      </c>
      <c r="BN71" s="257">
        <v>56.058303118516093</v>
      </c>
      <c r="BO71" s="276">
        <v>114.40470024186958</v>
      </c>
      <c r="BP71" s="276" t="s">
        <v>232</v>
      </c>
      <c r="BQ71" s="279" t="s">
        <v>3070</v>
      </c>
      <c r="BR71" s="276" t="s">
        <v>233</v>
      </c>
      <c r="BS71" s="257">
        <v>-8.9317269076305195</v>
      </c>
      <c r="BT71" s="257">
        <v>-7.9158553717989797</v>
      </c>
      <c r="BU71" s="259">
        <v>0.88626258434260186</v>
      </c>
      <c r="BV71" s="257">
        <v>1.0158715358315398</v>
      </c>
      <c r="BW71" s="257"/>
      <c r="BX71" s="257">
        <v>1.0158715358315397E-3</v>
      </c>
      <c r="BY71" s="257">
        <v>8.8796311137901422E-6</v>
      </c>
      <c r="BZ71" s="257">
        <v>0</v>
      </c>
      <c r="CA71" s="257">
        <v>0</v>
      </c>
      <c r="CB71" s="257">
        <v>0</v>
      </c>
      <c r="CC71" s="257">
        <v>0</v>
      </c>
      <c r="CD71" s="257">
        <v>0</v>
      </c>
      <c r="CE71" s="257">
        <v>0</v>
      </c>
      <c r="CF71" s="257">
        <v>0</v>
      </c>
      <c r="CG71" s="257">
        <v>0</v>
      </c>
      <c r="CH71" s="257">
        <v>0</v>
      </c>
      <c r="CI71" s="257">
        <v>0</v>
      </c>
      <c r="CJ71" s="257">
        <v>0</v>
      </c>
      <c r="CK71" s="257">
        <v>0</v>
      </c>
      <c r="CL71" s="257">
        <v>0</v>
      </c>
      <c r="CM71" s="257">
        <v>0</v>
      </c>
      <c r="CN71" s="257" t="s">
        <v>3071</v>
      </c>
      <c r="CO71" s="257">
        <v>68.641374006664904</v>
      </c>
      <c r="CP71" s="257">
        <v>124.699677125181</v>
      </c>
      <c r="CQ71" s="257">
        <v>114.40470024186958</v>
      </c>
      <c r="CR71" s="257">
        <v>-8.9317269076305195</v>
      </c>
      <c r="CS71" s="257">
        <v>-7.9158553717989797</v>
      </c>
      <c r="CT71" s="257">
        <v>1.0158715358315397E-3</v>
      </c>
      <c r="CU71" s="257">
        <v>8.8796311137901422E-6</v>
      </c>
      <c r="CV71" s="258">
        <v>0.11373741565739814</v>
      </c>
      <c r="CW71" s="256" t="s">
        <v>234</v>
      </c>
      <c r="CX71" s="257" t="s">
        <v>3072</v>
      </c>
      <c r="CY71" s="257" t="s">
        <v>235</v>
      </c>
      <c r="CZ71" s="257"/>
      <c r="DA71" s="276"/>
      <c r="DB71" s="276">
        <v>80</v>
      </c>
      <c r="DC71" s="257" t="s">
        <v>3073</v>
      </c>
      <c r="DD71" s="257">
        <v>0</v>
      </c>
      <c r="DE71" s="257">
        <v>1</v>
      </c>
      <c r="DF71" s="257">
        <v>0</v>
      </c>
      <c r="DG71" s="257">
        <v>0</v>
      </c>
      <c r="DH71" s="257"/>
      <c r="DI71" s="257">
        <v>1</v>
      </c>
      <c r="DJ71" s="257" t="s">
        <v>173</v>
      </c>
      <c r="DK71" s="257">
        <v>0</v>
      </c>
      <c r="DL71" s="257" t="s">
        <v>180</v>
      </c>
      <c r="DM71" s="257">
        <v>0</v>
      </c>
      <c r="DN71" s="257">
        <v>0</v>
      </c>
      <c r="DO71" s="257">
        <v>0</v>
      </c>
      <c r="DP71" s="276">
        <v>0</v>
      </c>
      <c r="DQ71" s="276">
        <v>0</v>
      </c>
      <c r="DR71" s="276">
        <v>0</v>
      </c>
      <c r="DS71" s="276">
        <v>0</v>
      </c>
      <c r="DT71" s="257">
        <v>0</v>
      </c>
      <c r="DU71" s="276" t="s">
        <v>961</v>
      </c>
      <c r="DV71" s="276">
        <v>1</v>
      </c>
      <c r="DW71" s="276">
        <v>1</v>
      </c>
      <c r="DX71" s="276">
        <v>1</v>
      </c>
      <c r="DY71" s="276">
        <v>0</v>
      </c>
      <c r="DZ71" s="257">
        <v>0</v>
      </c>
      <c r="EA71" s="276">
        <v>0</v>
      </c>
      <c r="EB71" s="276">
        <v>1</v>
      </c>
      <c r="EC71" s="276">
        <v>1</v>
      </c>
      <c r="ED71" s="276">
        <v>0</v>
      </c>
      <c r="EE71" s="276">
        <v>0</v>
      </c>
      <c r="EF71" s="257">
        <v>1</v>
      </c>
      <c r="EG71" s="276">
        <v>0</v>
      </c>
      <c r="EH71" s="257">
        <v>0</v>
      </c>
      <c r="EI71" s="258">
        <v>0</v>
      </c>
      <c r="EJ71" s="256"/>
      <c r="EK71" t="str">
        <f t="shared" si="36"/>
        <v>Whole sector</v>
      </c>
      <c r="EL71" t="str">
        <f t="shared" si="37"/>
        <v/>
      </c>
      <c r="EM71" s="258" t="s">
        <v>544</v>
      </c>
      <c r="EN71" s="257" t="s">
        <v>236</v>
      </c>
      <c r="EO71" s="257"/>
      <c r="EP71" t="str">
        <f>IF(ISNUMBER(BU71),IF(ABS(BU71-[2]QC_indicators!$B$2)&gt;3*[2]QC_indicators!$C$2,"C ratio",IF(ISNUMBER(BY71),IF(ABS(BY71-[2]QC_indicators!$B$1)&gt;3*[2]QC_indicators!$C$1,"DF","no"))),IF(ISNUMBER(BY71),IF(ABS(BY71-[2]QC_indicators!$B$1)&gt;3*[2]QC_indicators!$C$1,"DF","no")))</f>
        <v>no</v>
      </c>
      <c r="EQ71"/>
      <c r="ER71"/>
      <c r="ES71"/>
      <c r="ET71"/>
      <c r="EU71"/>
    </row>
    <row r="72" spans="1:151" s="139" customFormat="1" ht="15" hidden="1" customHeight="1">
      <c r="A72" s="256" t="s">
        <v>214</v>
      </c>
      <c r="B72" s="257" t="s">
        <v>215</v>
      </c>
      <c r="C72" s="257" t="s">
        <v>216</v>
      </c>
      <c r="D72" s="257" t="s">
        <v>217</v>
      </c>
      <c r="E72" s="257" t="s">
        <v>218</v>
      </c>
      <c r="F72" s="257" t="s">
        <v>219</v>
      </c>
      <c r="G72" s="257" t="s">
        <v>220</v>
      </c>
      <c r="H72" s="257"/>
      <c r="I72" s="257">
        <v>2012</v>
      </c>
      <c r="J72" s="257"/>
      <c r="K72" s="257" t="s">
        <v>221</v>
      </c>
      <c r="L72" s="257"/>
      <c r="M72" s="257" t="s">
        <v>3069</v>
      </c>
      <c r="N72" s="257" t="s">
        <v>222</v>
      </c>
      <c r="O72" s="275" t="s">
        <v>223</v>
      </c>
      <c r="P72" s="257"/>
      <c r="Q72" s="257" t="s">
        <v>224</v>
      </c>
      <c r="R72" s="258" t="s">
        <v>225</v>
      </c>
      <c r="S72" s="256" t="s">
        <v>92</v>
      </c>
      <c r="T72" s="257" t="s">
        <v>245</v>
      </c>
      <c r="U72" s="276" t="s">
        <v>246</v>
      </c>
      <c r="V72" s="257">
        <v>0</v>
      </c>
      <c r="W72" s="257">
        <v>0</v>
      </c>
      <c r="X72" s="257">
        <v>0</v>
      </c>
      <c r="Y72" s="257">
        <v>0</v>
      </c>
      <c r="Z72" s="257">
        <v>1</v>
      </c>
      <c r="AA72" s="257">
        <v>0</v>
      </c>
      <c r="AB72" s="257">
        <v>0</v>
      </c>
      <c r="AC72" s="257">
        <v>0</v>
      </c>
      <c r="AD72" s="257">
        <v>0</v>
      </c>
      <c r="AE72" s="257">
        <v>0</v>
      </c>
      <c r="AF72" s="257">
        <v>0</v>
      </c>
      <c r="AG72" s="257">
        <v>0</v>
      </c>
      <c r="AH72" s="257">
        <v>0</v>
      </c>
      <c r="AI72" s="257">
        <v>0</v>
      </c>
      <c r="AJ72" s="257">
        <v>0</v>
      </c>
      <c r="AK72" s="257">
        <v>0</v>
      </c>
      <c r="AL72" s="257">
        <v>0</v>
      </c>
      <c r="AM72" s="257">
        <v>0</v>
      </c>
      <c r="AN72" s="257">
        <v>0</v>
      </c>
      <c r="AO72" s="257">
        <v>0</v>
      </c>
      <c r="AP72" s="257">
        <v>0</v>
      </c>
      <c r="AQ72" s="257">
        <v>0</v>
      </c>
      <c r="AR72" s="257">
        <v>0</v>
      </c>
      <c r="AS72" s="257">
        <v>0</v>
      </c>
      <c r="AT72" s="257">
        <v>0</v>
      </c>
      <c r="AU72" s="257">
        <v>0</v>
      </c>
      <c r="AV72" s="257">
        <v>0</v>
      </c>
      <c r="AW72" s="257">
        <v>0</v>
      </c>
      <c r="AX72" s="277">
        <v>1</v>
      </c>
      <c r="AY72" s="277">
        <v>1</v>
      </c>
      <c r="AZ72" s="257">
        <v>1</v>
      </c>
      <c r="BA72" s="257">
        <v>0</v>
      </c>
      <c r="BB72" s="257">
        <v>0</v>
      </c>
      <c r="BC72" s="257">
        <v>0</v>
      </c>
      <c r="BD72" s="257">
        <v>0</v>
      </c>
      <c r="BE72" s="257" t="s">
        <v>92</v>
      </c>
      <c r="BF72" s="2" t="str" cm="1">
        <f t="array" ref="BF72">IF(COUNTIF(AZ72:BB72,"&lt;&gt;0")=1,INDEX($V$4:$AW$4,MATCH(TRUE,INDEX($V72:$AW72&lt;&gt;0,),0)),IF(COUNTIF(AZ72:BB72,"&lt;&gt;0")=0,INDEX($AM$4:$AW$4,MATCH(1,$AM72:$AW72,0)),"Multiple strategies"))</f>
        <v>Silviculture for productivity</v>
      </c>
      <c r="BG72" s="278" t="s">
        <v>229</v>
      </c>
      <c r="BH72" s="257" t="s">
        <v>230</v>
      </c>
      <c r="BI72" s="279" t="s">
        <v>3070</v>
      </c>
      <c r="BJ72" s="276" t="s">
        <v>231</v>
      </c>
      <c r="BK72" s="257">
        <v>62.093385434364002</v>
      </c>
      <c r="BL72" s="257">
        <v>110.71336180597901</v>
      </c>
      <c r="BM72" s="276">
        <v>1.783013778867137</v>
      </c>
      <c r="BN72" s="257">
        <v>48.619976371615003</v>
      </c>
      <c r="BO72" s="276">
        <v>99.224441574724494</v>
      </c>
      <c r="BP72" s="276" t="s">
        <v>232</v>
      </c>
      <c r="BQ72" s="279" t="s">
        <v>3070</v>
      </c>
      <c r="BR72" s="276" t="s">
        <v>233</v>
      </c>
      <c r="BS72" s="257">
        <v>-8.77615419238683</v>
      </c>
      <c r="BT72" s="257">
        <v>-7.88817571690055</v>
      </c>
      <c r="BU72" s="259">
        <v>0.89881918024451002</v>
      </c>
      <c r="BV72" s="257">
        <v>0.88797847548628006</v>
      </c>
      <c r="BW72" s="257"/>
      <c r="BX72" s="257">
        <v>8.8797847548628011E-4</v>
      </c>
      <c r="BY72" s="257">
        <v>8.9491909593419723E-6</v>
      </c>
      <c r="BZ72" s="257">
        <v>0</v>
      </c>
      <c r="CA72" s="257">
        <v>0</v>
      </c>
      <c r="CB72" s="257">
        <v>0</v>
      </c>
      <c r="CC72" s="257">
        <v>0</v>
      </c>
      <c r="CD72" s="257">
        <v>0</v>
      </c>
      <c r="CE72" s="257">
        <v>0</v>
      </c>
      <c r="CF72" s="257">
        <v>0</v>
      </c>
      <c r="CG72" s="257">
        <v>0</v>
      </c>
      <c r="CH72" s="257">
        <v>0</v>
      </c>
      <c r="CI72" s="257">
        <v>0</v>
      </c>
      <c r="CJ72" s="257">
        <v>0</v>
      </c>
      <c r="CK72" s="257">
        <v>0</v>
      </c>
      <c r="CL72" s="257">
        <v>0</v>
      </c>
      <c r="CM72" s="257">
        <v>0</v>
      </c>
      <c r="CN72" s="257" t="s">
        <v>3071</v>
      </c>
      <c r="CO72" s="257">
        <v>62.093385434364002</v>
      </c>
      <c r="CP72" s="257">
        <v>110.71336180597901</v>
      </c>
      <c r="CQ72" s="257">
        <v>99.224441574724494</v>
      </c>
      <c r="CR72" s="257">
        <v>-8.77615419238683</v>
      </c>
      <c r="CS72" s="257">
        <v>-7.88817571690055</v>
      </c>
      <c r="CT72" s="257">
        <v>8.8797847548628011E-4</v>
      </c>
      <c r="CU72" s="257">
        <v>8.9491909593419723E-6</v>
      </c>
      <c r="CV72" s="258">
        <v>0.10118081975549004</v>
      </c>
      <c r="CW72" s="256" t="s">
        <v>234</v>
      </c>
      <c r="CX72" s="257" t="s">
        <v>3072</v>
      </c>
      <c r="CY72" s="257" t="s">
        <v>235</v>
      </c>
      <c r="CZ72" s="257"/>
      <c r="DA72" s="276"/>
      <c r="DB72" s="276">
        <v>80</v>
      </c>
      <c r="DC72" s="257" t="s">
        <v>3073</v>
      </c>
      <c r="DD72" s="257">
        <v>0</v>
      </c>
      <c r="DE72" s="257">
        <v>1</v>
      </c>
      <c r="DF72" s="257">
        <v>0</v>
      </c>
      <c r="DG72" s="257">
        <v>0</v>
      </c>
      <c r="DH72" s="257"/>
      <c r="DI72" s="257">
        <v>1</v>
      </c>
      <c r="DJ72" s="257" t="s">
        <v>173</v>
      </c>
      <c r="DK72" s="257">
        <v>0</v>
      </c>
      <c r="DL72" s="257" t="s">
        <v>180</v>
      </c>
      <c r="DM72" s="257">
        <v>0</v>
      </c>
      <c r="DN72" s="257">
        <v>0</v>
      </c>
      <c r="DO72" s="257">
        <v>0</v>
      </c>
      <c r="DP72" s="276">
        <v>0</v>
      </c>
      <c r="DQ72" s="276">
        <v>0</v>
      </c>
      <c r="DR72" s="276">
        <v>0</v>
      </c>
      <c r="DS72" s="276">
        <v>0</v>
      </c>
      <c r="DT72" s="257">
        <v>0</v>
      </c>
      <c r="DU72" s="276" t="s">
        <v>961</v>
      </c>
      <c r="DV72" s="276">
        <v>1</v>
      </c>
      <c r="DW72" s="276">
        <v>1</v>
      </c>
      <c r="DX72" s="276">
        <v>1</v>
      </c>
      <c r="DY72" s="276">
        <v>0</v>
      </c>
      <c r="DZ72" s="257">
        <v>0</v>
      </c>
      <c r="EA72" s="276">
        <v>0</v>
      </c>
      <c r="EB72" s="276">
        <v>1</v>
      </c>
      <c r="EC72" s="276">
        <v>1</v>
      </c>
      <c r="ED72" s="276">
        <v>0</v>
      </c>
      <c r="EE72" s="276">
        <v>0</v>
      </c>
      <c r="EF72" s="257">
        <v>1</v>
      </c>
      <c r="EG72" s="276">
        <v>0</v>
      </c>
      <c r="EH72" s="257">
        <v>0</v>
      </c>
      <c r="EI72" s="258">
        <v>0</v>
      </c>
      <c r="EJ72" s="256"/>
      <c r="EK72" t="str">
        <f t="shared" si="36"/>
        <v>Whole sector</v>
      </c>
      <c r="EL72" t="str">
        <f t="shared" si="37"/>
        <v/>
      </c>
      <c r="EM72" s="258" t="s">
        <v>544</v>
      </c>
      <c r="EN72" s="257" t="s">
        <v>236</v>
      </c>
      <c r="EO72" s="257"/>
      <c r="EP72" t="str">
        <f>IF(ISNUMBER(BU72),IF(ABS(BU72-[2]QC_indicators!$B$2)&gt;3*[2]QC_indicators!$C$2,"C ratio",IF(ISNUMBER(BY72),IF(ABS(BY72-[2]QC_indicators!$B$1)&gt;3*[2]QC_indicators!$C$1,"DF","no"))),IF(ISNUMBER(BY72),IF(ABS(BY72-[2]QC_indicators!$B$1)&gt;3*[2]QC_indicators!$C$1,"DF","no")))</f>
        <v>no</v>
      </c>
      <c r="EQ72" s="257"/>
      <c r="ER72" s="257"/>
      <c r="ES72"/>
      <c r="ET72"/>
      <c r="EU72"/>
    </row>
    <row r="73" spans="1:151" s="139" customFormat="1" ht="15" hidden="1" customHeight="1">
      <c r="A73" s="256" t="s">
        <v>214</v>
      </c>
      <c r="B73" s="257" t="s">
        <v>215</v>
      </c>
      <c r="C73" s="257" t="s">
        <v>216</v>
      </c>
      <c r="D73" s="257" t="s">
        <v>217</v>
      </c>
      <c r="E73" s="257" t="s">
        <v>218</v>
      </c>
      <c r="F73" s="257" t="s">
        <v>219</v>
      </c>
      <c r="G73" s="257" t="s">
        <v>220</v>
      </c>
      <c r="H73" s="257"/>
      <c r="I73" s="257">
        <v>2012</v>
      </c>
      <c r="J73" s="257"/>
      <c r="K73" s="257" t="s">
        <v>221</v>
      </c>
      <c r="L73" s="257"/>
      <c r="M73" s="257" t="s">
        <v>3069</v>
      </c>
      <c r="N73" s="257" t="s">
        <v>222</v>
      </c>
      <c r="O73" s="275" t="s">
        <v>223</v>
      </c>
      <c r="P73" s="257"/>
      <c r="Q73" s="257" t="s">
        <v>224</v>
      </c>
      <c r="R73" s="258" t="s">
        <v>225</v>
      </c>
      <c r="S73" s="256" t="s">
        <v>226</v>
      </c>
      <c r="T73" s="257" t="s">
        <v>228</v>
      </c>
      <c r="U73" s="257" t="s">
        <v>239</v>
      </c>
      <c r="V73" s="257">
        <v>0</v>
      </c>
      <c r="W73" s="257">
        <v>0</v>
      </c>
      <c r="X73" s="257">
        <v>0</v>
      </c>
      <c r="Y73" s="257">
        <v>1</v>
      </c>
      <c r="Z73" s="257">
        <v>0</v>
      </c>
      <c r="AA73" s="257">
        <v>0</v>
      </c>
      <c r="AB73" s="257">
        <v>0</v>
      </c>
      <c r="AC73" s="257">
        <v>0</v>
      </c>
      <c r="AD73" s="257">
        <v>0</v>
      </c>
      <c r="AE73" s="257">
        <v>0</v>
      </c>
      <c r="AF73" s="257">
        <v>0</v>
      </c>
      <c r="AG73" s="257">
        <v>0</v>
      </c>
      <c r="AH73" s="257">
        <v>0</v>
      </c>
      <c r="AI73" s="257">
        <v>0</v>
      </c>
      <c r="AJ73" s="257">
        <v>0</v>
      </c>
      <c r="AK73" s="257">
        <v>0</v>
      </c>
      <c r="AL73" s="257">
        <v>0</v>
      </c>
      <c r="AM73" s="257">
        <v>0</v>
      </c>
      <c r="AN73" s="257">
        <v>0</v>
      </c>
      <c r="AO73" s="257">
        <v>0</v>
      </c>
      <c r="AP73" s="257">
        <v>0</v>
      </c>
      <c r="AQ73" s="257">
        <v>0</v>
      </c>
      <c r="AR73" s="257">
        <v>0</v>
      </c>
      <c r="AS73" s="257">
        <v>0</v>
      </c>
      <c r="AT73" s="257">
        <v>0</v>
      </c>
      <c r="AU73" s="257">
        <v>0</v>
      </c>
      <c r="AV73" s="257">
        <v>0</v>
      </c>
      <c r="AW73" s="257">
        <v>0</v>
      </c>
      <c r="AX73" s="277">
        <v>1</v>
      </c>
      <c r="AY73" s="277">
        <v>1</v>
      </c>
      <c r="AZ73" s="257">
        <v>1</v>
      </c>
      <c r="BA73" s="257">
        <v>0</v>
      </c>
      <c r="BB73" s="257">
        <v>0</v>
      </c>
      <c r="BC73" s="257">
        <v>0</v>
      </c>
      <c r="BD73" s="257">
        <v>0</v>
      </c>
      <c r="BE73" s="257" t="s">
        <v>91</v>
      </c>
      <c r="BF73" s="2" t="str" cm="1">
        <f t="array" ref="BF73">IF(COUNTIF(AZ73:BB73,"&lt;&gt;0")=1,INDEX($V$4:$AW$4,MATCH(TRUE,INDEX($V73:$AW73&lt;&gt;0,),0)),IF(COUNTIF(AZ73:BB73,"&lt;&gt;0")=0,INDEX($AM$4:$AW$4,MATCH(1,$AM73:$AW73,0)),"Multiple strategies"))</f>
        <v>Silviculture for removals</v>
      </c>
      <c r="BG73" s="278" t="s">
        <v>229</v>
      </c>
      <c r="BH73" s="257" t="s">
        <v>230</v>
      </c>
      <c r="BI73" s="279" t="s">
        <v>3070</v>
      </c>
      <c r="BJ73" s="276" t="s">
        <v>231</v>
      </c>
      <c r="BK73" s="257">
        <v>49.052379729999998</v>
      </c>
      <c r="BL73" s="257">
        <v>66.639750489999997</v>
      </c>
      <c r="BM73" s="276">
        <v>0.73608288400420752</v>
      </c>
      <c r="BN73" s="257">
        <v>17.587370759999999</v>
      </c>
      <c r="BO73" s="276">
        <v>35.892593387755099</v>
      </c>
      <c r="BP73" s="276" t="s">
        <v>232</v>
      </c>
      <c r="BQ73" s="279" t="s">
        <v>3070</v>
      </c>
      <c r="BR73" s="276" t="s">
        <v>233</v>
      </c>
      <c r="BS73" s="257">
        <v>-9.7349397589999995</v>
      </c>
      <c r="BT73" s="257">
        <v>-9.4136546180000007</v>
      </c>
      <c r="BU73" s="259">
        <v>0.96699669962487755</v>
      </c>
      <c r="BV73" s="257">
        <v>0.32128514099999883</v>
      </c>
      <c r="BW73" s="257"/>
      <c r="BX73" s="257">
        <v>3.2128514099999882E-4</v>
      </c>
      <c r="BY73" s="257">
        <v>8.9512935866486184E-6</v>
      </c>
      <c r="BZ73" s="257">
        <v>0</v>
      </c>
      <c r="CA73" s="257">
        <v>0</v>
      </c>
      <c r="CB73" s="257">
        <v>0</v>
      </c>
      <c r="CC73" s="257">
        <v>0</v>
      </c>
      <c r="CD73" s="257">
        <v>0</v>
      </c>
      <c r="CE73" s="257">
        <v>0</v>
      </c>
      <c r="CF73" s="257">
        <v>0</v>
      </c>
      <c r="CG73" s="257">
        <v>0</v>
      </c>
      <c r="CH73" s="257">
        <v>0</v>
      </c>
      <c r="CI73" s="257">
        <v>0</v>
      </c>
      <c r="CJ73" s="257">
        <v>0</v>
      </c>
      <c r="CK73" s="257">
        <v>0</v>
      </c>
      <c r="CL73" s="257">
        <v>0</v>
      </c>
      <c r="CM73" s="257">
        <v>0</v>
      </c>
      <c r="CN73" s="257" t="s">
        <v>3071</v>
      </c>
      <c r="CO73" s="257">
        <v>49.052379729999998</v>
      </c>
      <c r="CP73" s="257">
        <v>66.639750489999997</v>
      </c>
      <c r="CQ73" s="257">
        <v>35.892593387755099</v>
      </c>
      <c r="CR73" s="257">
        <v>-9.7349397589999995</v>
      </c>
      <c r="CS73" s="257">
        <v>-9.4136546180000007</v>
      </c>
      <c r="CT73" s="257">
        <v>3.2128514099999882E-4</v>
      </c>
      <c r="CU73" s="257">
        <v>8.9512935866486184E-6</v>
      </c>
      <c r="CV73" s="258">
        <v>3.3003300375122419E-2</v>
      </c>
      <c r="CW73" s="256" t="s">
        <v>234</v>
      </c>
      <c r="CX73" s="257" t="s">
        <v>3072</v>
      </c>
      <c r="CY73" s="257" t="s">
        <v>235</v>
      </c>
      <c r="CZ73" s="257"/>
      <c r="DA73" s="276"/>
      <c r="DB73" s="276">
        <v>80</v>
      </c>
      <c r="DC73" s="257" t="s">
        <v>3073</v>
      </c>
      <c r="DD73" s="257">
        <v>0</v>
      </c>
      <c r="DE73" s="257">
        <v>1</v>
      </c>
      <c r="DF73" s="257">
        <v>0</v>
      </c>
      <c r="DG73" s="257">
        <v>0</v>
      </c>
      <c r="DH73" s="257"/>
      <c r="DI73" s="257">
        <v>1</v>
      </c>
      <c r="DJ73" s="257" t="s">
        <v>173</v>
      </c>
      <c r="DK73" s="257">
        <v>0</v>
      </c>
      <c r="DL73" s="257" t="s">
        <v>180</v>
      </c>
      <c r="DM73" s="257">
        <v>0</v>
      </c>
      <c r="DN73" s="257">
        <v>0</v>
      </c>
      <c r="DO73" s="257">
        <v>0</v>
      </c>
      <c r="DP73" s="276">
        <v>0</v>
      </c>
      <c r="DQ73" s="276">
        <v>0</v>
      </c>
      <c r="DR73" s="276">
        <v>0</v>
      </c>
      <c r="DS73" s="276">
        <v>0</v>
      </c>
      <c r="DT73" s="257">
        <v>0</v>
      </c>
      <c r="DU73" s="276" t="s">
        <v>961</v>
      </c>
      <c r="DV73" s="276">
        <v>1</v>
      </c>
      <c r="DW73" s="276">
        <v>1</v>
      </c>
      <c r="DX73" s="276">
        <v>1</v>
      </c>
      <c r="DY73" s="276">
        <v>0</v>
      </c>
      <c r="DZ73" s="257">
        <v>0</v>
      </c>
      <c r="EA73" s="276">
        <v>0</v>
      </c>
      <c r="EB73" s="276">
        <v>1</v>
      </c>
      <c r="EC73" s="276">
        <v>1</v>
      </c>
      <c r="ED73" s="276">
        <v>0</v>
      </c>
      <c r="EE73" s="276">
        <v>0</v>
      </c>
      <c r="EF73" s="257">
        <v>1</v>
      </c>
      <c r="EG73" s="276">
        <v>0</v>
      </c>
      <c r="EH73" s="257">
        <v>0</v>
      </c>
      <c r="EI73" s="258">
        <v>0</v>
      </c>
      <c r="EJ73" s="256"/>
      <c r="EK73" t="str">
        <f t="shared" si="36"/>
        <v>Whole sector</v>
      </c>
      <c r="EL73" t="str">
        <f t="shared" si="37"/>
        <v/>
      </c>
      <c r="EM73" s="258" t="s">
        <v>544</v>
      </c>
      <c r="EN73" s="257" t="s">
        <v>236</v>
      </c>
      <c r="EO73" s="257"/>
      <c r="EP73" t="str">
        <f>IF(ISNUMBER(BU73),IF(ABS(BU73-[2]QC_indicators!$B$2)&gt;3*[2]QC_indicators!$C$2,"C ratio",IF(ISNUMBER(BY73),IF(ABS(BY73-[2]QC_indicators!$B$1)&gt;3*[2]QC_indicators!$C$1,"DF","no"))),IF(ISNUMBER(BY73),IF(ABS(BY73-[2]QC_indicators!$B$1)&gt;3*[2]QC_indicators!$C$1,"DF","no")))</f>
        <v>no</v>
      </c>
      <c r="EQ73" s="280"/>
      <c r="ER73" s="280"/>
      <c r="ES73" s="280"/>
      <c r="ET73"/>
      <c r="EU73"/>
    </row>
    <row r="74" spans="1:151" s="139" customFormat="1" ht="15" hidden="1" customHeight="1">
      <c r="A74" s="256" t="s">
        <v>214</v>
      </c>
      <c r="B74" s="257" t="s">
        <v>215</v>
      </c>
      <c r="C74" s="257" t="s">
        <v>216</v>
      </c>
      <c r="D74" s="257" t="s">
        <v>217</v>
      </c>
      <c r="E74" s="257" t="s">
        <v>218</v>
      </c>
      <c r="F74" s="257" t="s">
        <v>219</v>
      </c>
      <c r="G74" s="257" t="s">
        <v>220</v>
      </c>
      <c r="H74" s="257"/>
      <c r="I74" s="257">
        <v>2012</v>
      </c>
      <c r="J74" s="257"/>
      <c r="K74" s="257" t="s">
        <v>221</v>
      </c>
      <c r="L74" s="257"/>
      <c r="M74" s="257" t="s">
        <v>3069</v>
      </c>
      <c r="N74" s="257" t="s">
        <v>222</v>
      </c>
      <c r="O74" s="275" t="s">
        <v>223</v>
      </c>
      <c r="P74" s="257"/>
      <c r="Q74" s="257" t="s">
        <v>224</v>
      </c>
      <c r="R74" s="258" t="s">
        <v>225</v>
      </c>
      <c r="S74" s="256" t="s">
        <v>241</v>
      </c>
      <c r="T74" s="257" t="s">
        <v>244</v>
      </c>
      <c r="U74" s="276" t="s">
        <v>242</v>
      </c>
      <c r="V74" s="257">
        <v>0</v>
      </c>
      <c r="W74" s="257">
        <v>0</v>
      </c>
      <c r="X74" s="257">
        <v>0</v>
      </c>
      <c r="Y74" s="257">
        <v>0</v>
      </c>
      <c r="Z74" s="257">
        <v>0</v>
      </c>
      <c r="AA74" s="257">
        <v>0</v>
      </c>
      <c r="AB74" s="257">
        <v>0</v>
      </c>
      <c r="AC74" s="257">
        <v>1</v>
      </c>
      <c r="AD74" s="257">
        <v>0</v>
      </c>
      <c r="AE74" s="257">
        <v>0</v>
      </c>
      <c r="AF74" s="257">
        <v>0</v>
      </c>
      <c r="AG74" s="257">
        <v>0</v>
      </c>
      <c r="AH74" s="257">
        <v>0</v>
      </c>
      <c r="AI74" s="257">
        <v>0</v>
      </c>
      <c r="AJ74" s="257">
        <v>0</v>
      </c>
      <c r="AK74" s="257">
        <v>0</v>
      </c>
      <c r="AL74" s="257">
        <v>0</v>
      </c>
      <c r="AM74" s="257">
        <v>0</v>
      </c>
      <c r="AN74" s="257">
        <v>0</v>
      </c>
      <c r="AO74" s="257">
        <v>0</v>
      </c>
      <c r="AP74" s="257">
        <v>0</v>
      </c>
      <c r="AQ74" s="257">
        <v>0</v>
      </c>
      <c r="AR74" s="257">
        <v>0</v>
      </c>
      <c r="AS74" s="257">
        <v>0</v>
      </c>
      <c r="AT74" s="257">
        <v>0</v>
      </c>
      <c r="AU74" s="257">
        <v>0</v>
      </c>
      <c r="AV74" s="257">
        <v>0</v>
      </c>
      <c r="AW74" s="257">
        <v>0</v>
      </c>
      <c r="AX74" s="277">
        <v>1</v>
      </c>
      <c r="AY74" s="277">
        <v>1</v>
      </c>
      <c r="AZ74" s="257">
        <v>1</v>
      </c>
      <c r="BA74" s="257">
        <v>0</v>
      </c>
      <c r="BB74" s="257">
        <v>0</v>
      </c>
      <c r="BC74" s="257">
        <v>0</v>
      </c>
      <c r="BD74" s="257">
        <v>0</v>
      </c>
      <c r="BE74" s="257" t="s">
        <v>95</v>
      </c>
      <c r="BF74" s="2" t="str" cm="1">
        <f t="array" ref="BF74">IF(COUNTIF(AZ74:BB74,"&lt;&gt;0")=1,INDEX($V$4:$AW$4,MATCH(TRUE,INDEX($V74:$AW74&lt;&gt;0,),0)),IF(COUNTIF(AZ74:BB74,"&lt;&gt;0")=0,INDEX($AM$4:$AW$4,MATCH(1,$AM74:$AW74,0)),"Multiple strategies"))</f>
        <v>Silviculture for productivity</v>
      </c>
      <c r="BG74" s="278" t="s">
        <v>229</v>
      </c>
      <c r="BH74" s="257" t="s">
        <v>230</v>
      </c>
      <c r="BI74" s="279" t="s">
        <v>3070</v>
      </c>
      <c r="BJ74" s="276" t="s">
        <v>231</v>
      </c>
      <c r="BK74" s="257">
        <v>54.398789616180899</v>
      </c>
      <c r="BL74" s="257">
        <v>68.641374006664904</v>
      </c>
      <c r="BM74" s="276">
        <v>1.2618180384338469</v>
      </c>
      <c r="BN74" s="257">
        <v>14.242584390484005</v>
      </c>
      <c r="BO74" s="276">
        <v>29.066498756089807</v>
      </c>
      <c r="BP74" s="276" t="s">
        <v>232</v>
      </c>
      <c r="BQ74" s="279" t="s">
        <v>3070</v>
      </c>
      <c r="BR74" s="276" t="s">
        <v>233</v>
      </c>
      <c r="BS74" s="257">
        <v>-9.1923873228220998</v>
      </c>
      <c r="BT74" s="257">
        <v>-8.9317269076305195</v>
      </c>
      <c r="BU74" s="259">
        <v>0.97164388248258049</v>
      </c>
      <c r="BV74" s="257">
        <v>0.26066041519158034</v>
      </c>
      <c r="BW74" s="257"/>
      <c r="BX74" s="257">
        <v>2.6066041519158035E-4</v>
      </c>
      <c r="BY74" s="257">
        <v>8.9677266387981676E-6</v>
      </c>
      <c r="BZ74" s="257">
        <v>0</v>
      </c>
      <c r="CA74" s="257">
        <v>0</v>
      </c>
      <c r="CB74" s="257">
        <v>0</v>
      </c>
      <c r="CC74" s="257">
        <v>0</v>
      </c>
      <c r="CD74" s="257">
        <v>0</v>
      </c>
      <c r="CE74" s="257">
        <v>0</v>
      </c>
      <c r="CF74" s="257">
        <v>0</v>
      </c>
      <c r="CG74" s="257">
        <v>0</v>
      </c>
      <c r="CH74" s="257">
        <v>0</v>
      </c>
      <c r="CI74" s="257">
        <v>0</v>
      </c>
      <c r="CJ74" s="257">
        <v>0</v>
      </c>
      <c r="CK74" s="257">
        <v>0</v>
      </c>
      <c r="CL74" s="257">
        <v>0</v>
      </c>
      <c r="CM74" s="257">
        <v>0</v>
      </c>
      <c r="CN74" s="257" t="s">
        <v>3071</v>
      </c>
      <c r="CO74" s="257">
        <v>54.398789616180899</v>
      </c>
      <c r="CP74" s="257">
        <v>68.641374006664904</v>
      </c>
      <c r="CQ74" s="257">
        <v>29.066498756089807</v>
      </c>
      <c r="CR74" s="257">
        <v>-9.1923873228220998</v>
      </c>
      <c r="CS74" s="257">
        <v>-8.9317269076305195</v>
      </c>
      <c r="CT74" s="257">
        <v>2.6066041519158035E-4</v>
      </c>
      <c r="CU74" s="257">
        <v>8.9677266387981676E-6</v>
      </c>
      <c r="CV74" s="258">
        <v>2.8356117517419462E-2</v>
      </c>
      <c r="CW74" s="256" t="s">
        <v>234</v>
      </c>
      <c r="CX74" s="257" t="s">
        <v>3072</v>
      </c>
      <c r="CY74" s="257" t="s">
        <v>235</v>
      </c>
      <c r="CZ74" s="257"/>
      <c r="DA74" s="276"/>
      <c r="DB74" s="276">
        <v>80</v>
      </c>
      <c r="DC74" s="257" t="s">
        <v>3073</v>
      </c>
      <c r="DD74" s="257">
        <v>0</v>
      </c>
      <c r="DE74" s="257">
        <v>1</v>
      </c>
      <c r="DF74" s="257">
        <v>0</v>
      </c>
      <c r="DG74" s="257">
        <v>0</v>
      </c>
      <c r="DH74" s="257"/>
      <c r="DI74" s="257">
        <v>1</v>
      </c>
      <c r="DJ74" s="257" t="s">
        <v>173</v>
      </c>
      <c r="DK74" s="257">
        <v>0</v>
      </c>
      <c r="DL74" s="257" t="s">
        <v>180</v>
      </c>
      <c r="DM74" s="257">
        <v>0</v>
      </c>
      <c r="DN74" s="257">
        <v>0</v>
      </c>
      <c r="DO74" s="257">
        <v>0</v>
      </c>
      <c r="DP74" s="276">
        <v>0</v>
      </c>
      <c r="DQ74" s="276">
        <v>0</v>
      </c>
      <c r="DR74" s="276">
        <v>0</v>
      </c>
      <c r="DS74" s="276">
        <v>0</v>
      </c>
      <c r="DT74" s="257">
        <v>0</v>
      </c>
      <c r="DU74" s="276" t="s">
        <v>961</v>
      </c>
      <c r="DV74" s="276">
        <v>1</v>
      </c>
      <c r="DW74" s="276">
        <v>1</v>
      </c>
      <c r="DX74" s="276">
        <v>1</v>
      </c>
      <c r="DY74" s="276">
        <v>0</v>
      </c>
      <c r="DZ74" s="257">
        <v>0</v>
      </c>
      <c r="EA74" s="276">
        <v>0</v>
      </c>
      <c r="EB74" s="276">
        <v>1</v>
      </c>
      <c r="EC74" s="276">
        <v>1</v>
      </c>
      <c r="ED74" s="276">
        <v>0</v>
      </c>
      <c r="EE74" s="276">
        <v>0</v>
      </c>
      <c r="EF74" s="257">
        <v>1</v>
      </c>
      <c r="EG74" s="276">
        <v>0</v>
      </c>
      <c r="EH74" s="257">
        <v>0</v>
      </c>
      <c r="EI74" s="258">
        <v>0</v>
      </c>
      <c r="EJ74" s="256"/>
      <c r="EK74" t="str">
        <f t="shared" si="36"/>
        <v>Whole sector</v>
      </c>
      <c r="EL74" t="str">
        <f t="shared" si="37"/>
        <v/>
      </c>
      <c r="EM74" s="258" t="s">
        <v>544</v>
      </c>
      <c r="EN74" s="257" t="s">
        <v>236</v>
      </c>
      <c r="EO74" s="257"/>
      <c r="EP74" t="str">
        <f>IF(ISNUMBER(BU74),IF(ABS(BU74-[2]QC_indicators!$B$2)&gt;3*[2]QC_indicators!$C$2,"C ratio",IF(ISNUMBER(BY74),IF(ABS(BY74-[2]QC_indicators!$B$1)&gt;3*[2]QC_indicators!$C$1,"DF","no"))),IF(ISNUMBER(BY74),IF(ABS(BY74-[2]QC_indicators!$B$1)&gt;3*[2]QC_indicators!$C$1,"DF","no")))</f>
        <v>no</v>
      </c>
      <c r="EQ74"/>
      <c r="ER74"/>
      <c r="ES74"/>
      <c r="ET74"/>
      <c r="EU74"/>
    </row>
    <row r="75" spans="1:151" s="139" customFormat="1" ht="15" hidden="1" customHeight="1">
      <c r="A75" s="256" t="s">
        <v>214</v>
      </c>
      <c r="B75" s="257" t="s">
        <v>215</v>
      </c>
      <c r="C75" s="257" t="s">
        <v>216</v>
      </c>
      <c r="D75" s="257" t="s">
        <v>217</v>
      </c>
      <c r="E75" s="257" t="s">
        <v>218</v>
      </c>
      <c r="F75" s="257" t="s">
        <v>219</v>
      </c>
      <c r="G75" s="257" t="s">
        <v>220</v>
      </c>
      <c r="H75" s="257"/>
      <c r="I75" s="257">
        <v>2012</v>
      </c>
      <c r="J75" s="257"/>
      <c r="K75" s="257" t="s">
        <v>221</v>
      </c>
      <c r="L75" s="257"/>
      <c r="M75" s="257" t="s">
        <v>3069</v>
      </c>
      <c r="N75" s="257" t="s">
        <v>222</v>
      </c>
      <c r="O75" s="275" t="s">
        <v>223</v>
      </c>
      <c r="P75" s="257"/>
      <c r="Q75" s="257" t="s">
        <v>224</v>
      </c>
      <c r="R75" s="258" t="s">
        <v>225</v>
      </c>
      <c r="S75" s="256" t="s">
        <v>226</v>
      </c>
      <c r="T75" s="257" t="s">
        <v>228</v>
      </c>
      <c r="U75" s="257" t="s">
        <v>239</v>
      </c>
      <c r="V75" s="257">
        <v>0</v>
      </c>
      <c r="W75" s="257">
        <v>0</v>
      </c>
      <c r="X75" s="257">
        <v>0</v>
      </c>
      <c r="Y75" s="257">
        <v>1</v>
      </c>
      <c r="Z75" s="257">
        <v>0</v>
      </c>
      <c r="AA75" s="257">
        <v>0</v>
      </c>
      <c r="AB75" s="257">
        <v>0</v>
      </c>
      <c r="AC75" s="257">
        <v>0</v>
      </c>
      <c r="AD75" s="257">
        <v>0</v>
      </c>
      <c r="AE75" s="257">
        <v>0</v>
      </c>
      <c r="AF75" s="257">
        <v>0</v>
      </c>
      <c r="AG75" s="257">
        <v>0</v>
      </c>
      <c r="AH75" s="257">
        <v>0</v>
      </c>
      <c r="AI75" s="257">
        <v>0</v>
      </c>
      <c r="AJ75" s="257">
        <v>0</v>
      </c>
      <c r="AK75" s="257">
        <v>0</v>
      </c>
      <c r="AL75" s="257">
        <v>0</v>
      </c>
      <c r="AM75" s="257">
        <v>0</v>
      </c>
      <c r="AN75" s="257">
        <v>0</v>
      </c>
      <c r="AO75" s="257">
        <v>0</v>
      </c>
      <c r="AP75" s="257">
        <v>0</v>
      </c>
      <c r="AQ75" s="257">
        <v>0</v>
      </c>
      <c r="AR75" s="257">
        <v>0</v>
      </c>
      <c r="AS75" s="257">
        <v>0</v>
      </c>
      <c r="AT75" s="257">
        <v>0</v>
      </c>
      <c r="AU75" s="257">
        <v>0</v>
      </c>
      <c r="AV75" s="257">
        <v>0</v>
      </c>
      <c r="AW75" s="257">
        <v>0</v>
      </c>
      <c r="AX75" s="277">
        <v>1</v>
      </c>
      <c r="AY75" s="277">
        <v>1</v>
      </c>
      <c r="AZ75" s="257">
        <v>1</v>
      </c>
      <c r="BA75" s="257">
        <v>0</v>
      </c>
      <c r="BB75" s="257">
        <v>0</v>
      </c>
      <c r="BC75" s="257">
        <v>0</v>
      </c>
      <c r="BD75" s="257">
        <v>0</v>
      </c>
      <c r="BE75" s="257" t="s">
        <v>91</v>
      </c>
      <c r="BF75" s="2" t="str" cm="1">
        <f t="array" ref="BF75">IF(COUNTIF(AZ75:BB75,"&lt;&gt;0")=1,INDEX($V$4:$AW$4,MATCH(TRUE,INDEX($V75:$AW75&lt;&gt;0,),0)),IF(COUNTIF(AZ75:BB75,"&lt;&gt;0")=0,INDEX($AM$4:$AW$4,MATCH(1,$AM75:$AW75,0)),"Multiple strategies"))</f>
        <v>Silviculture for removals</v>
      </c>
      <c r="BG75" s="278" t="s">
        <v>229</v>
      </c>
      <c r="BH75" s="257" t="s">
        <v>230</v>
      </c>
      <c r="BI75" s="279" t="s">
        <v>3070</v>
      </c>
      <c r="BJ75" s="276" t="s">
        <v>231</v>
      </c>
      <c r="BK75" s="257">
        <v>81.736456810000007</v>
      </c>
      <c r="BL75" s="257">
        <v>100.5900439</v>
      </c>
      <c r="BM75" s="276">
        <v>0.81257004809797095</v>
      </c>
      <c r="BN75" s="257">
        <v>18.853587089999991</v>
      </c>
      <c r="BO75" s="276">
        <v>38.476708346938757</v>
      </c>
      <c r="BP75" s="276" t="s">
        <v>232</v>
      </c>
      <c r="BQ75" s="282" t="s">
        <v>2624</v>
      </c>
      <c r="BR75" s="276" t="s">
        <v>233</v>
      </c>
      <c r="BS75" s="257">
        <v>-12.163201559999999</v>
      </c>
      <c r="BT75" s="257">
        <v>-11.804099559999999</v>
      </c>
      <c r="BU75" s="259">
        <v>0.9704763586931795</v>
      </c>
      <c r="BV75" s="257">
        <v>0.35910200000000003</v>
      </c>
      <c r="BW75" s="257"/>
      <c r="BX75" s="257">
        <v>3.5910200000000003E-4</v>
      </c>
      <c r="BY75" s="257">
        <v>9.3329709174192014E-6</v>
      </c>
      <c r="BZ75" s="257">
        <v>0</v>
      </c>
      <c r="CA75" s="257">
        <v>0</v>
      </c>
      <c r="CB75" s="257">
        <v>0</v>
      </c>
      <c r="CC75" s="257">
        <v>0</v>
      </c>
      <c r="CD75" s="257">
        <v>0</v>
      </c>
      <c r="CE75" s="257">
        <v>0</v>
      </c>
      <c r="CF75" s="257">
        <v>0</v>
      </c>
      <c r="CG75" s="257">
        <v>0</v>
      </c>
      <c r="CH75" s="257">
        <v>0</v>
      </c>
      <c r="CI75" s="257">
        <v>0</v>
      </c>
      <c r="CJ75" s="257">
        <v>0</v>
      </c>
      <c r="CK75" s="257">
        <v>0</v>
      </c>
      <c r="CL75" s="257">
        <v>0</v>
      </c>
      <c r="CM75" s="257">
        <v>0</v>
      </c>
      <c r="CN75" s="257" t="s">
        <v>3071</v>
      </c>
      <c r="CO75" s="257">
        <v>81.736456810000007</v>
      </c>
      <c r="CP75" s="257">
        <v>100.5900439</v>
      </c>
      <c r="CQ75" s="257">
        <v>38.476708346938757</v>
      </c>
      <c r="CR75" s="257">
        <v>-12.163201559999999</v>
      </c>
      <c r="CS75" s="257">
        <v>-11.804099559999999</v>
      </c>
      <c r="CT75" s="257">
        <v>3.5910200000000003E-4</v>
      </c>
      <c r="CU75" s="257">
        <v>9.3329709174192014E-6</v>
      </c>
      <c r="CV75" s="258">
        <v>2.9523641306820541E-2</v>
      </c>
      <c r="CW75" s="256" t="s">
        <v>234</v>
      </c>
      <c r="CX75" s="257" t="s">
        <v>3072</v>
      </c>
      <c r="CY75" s="257" t="s">
        <v>235</v>
      </c>
      <c r="CZ75" s="257"/>
      <c r="DA75" s="276"/>
      <c r="DB75" s="276">
        <v>80</v>
      </c>
      <c r="DC75" s="257" t="s">
        <v>3073</v>
      </c>
      <c r="DD75" s="257">
        <v>0</v>
      </c>
      <c r="DE75" s="257">
        <v>1</v>
      </c>
      <c r="DF75" s="257">
        <v>0</v>
      </c>
      <c r="DG75" s="257">
        <v>0</v>
      </c>
      <c r="DH75" s="257"/>
      <c r="DI75" s="257">
        <v>1</v>
      </c>
      <c r="DJ75" s="257" t="s">
        <v>173</v>
      </c>
      <c r="DK75" s="257">
        <v>0</v>
      </c>
      <c r="DL75" s="257" t="s">
        <v>180</v>
      </c>
      <c r="DM75" s="257">
        <v>0</v>
      </c>
      <c r="DN75" s="257">
        <v>0</v>
      </c>
      <c r="DO75" s="257">
        <v>0</v>
      </c>
      <c r="DP75" s="276">
        <v>0</v>
      </c>
      <c r="DQ75" s="276">
        <v>0</v>
      </c>
      <c r="DR75" s="276">
        <v>0</v>
      </c>
      <c r="DS75" s="276">
        <v>0</v>
      </c>
      <c r="DT75" s="257">
        <v>0</v>
      </c>
      <c r="DU75" s="276" t="s">
        <v>961</v>
      </c>
      <c r="DV75" s="276">
        <v>1</v>
      </c>
      <c r="DW75" s="276">
        <v>1</v>
      </c>
      <c r="DX75" s="276">
        <v>1</v>
      </c>
      <c r="DY75" s="276">
        <v>0</v>
      </c>
      <c r="DZ75" s="257">
        <v>0</v>
      </c>
      <c r="EA75" s="276">
        <v>0</v>
      </c>
      <c r="EB75" s="276">
        <v>1</v>
      </c>
      <c r="EC75" s="276">
        <v>1</v>
      </c>
      <c r="ED75" s="276">
        <v>0</v>
      </c>
      <c r="EE75" s="276">
        <v>0</v>
      </c>
      <c r="EF75" s="257">
        <v>1</v>
      </c>
      <c r="EG75" s="276">
        <v>0</v>
      </c>
      <c r="EH75" s="257">
        <v>0</v>
      </c>
      <c r="EI75" s="258">
        <v>0</v>
      </c>
      <c r="EJ75" s="256"/>
      <c r="EK75" t="str">
        <f t="shared" si="36"/>
        <v>Whole sector</v>
      </c>
      <c r="EL75" t="str">
        <f t="shared" si="37"/>
        <v/>
      </c>
      <c r="EM75" s="258" t="s">
        <v>544</v>
      </c>
      <c r="EN75" s="257" t="s">
        <v>236</v>
      </c>
      <c r="EO75" s="257"/>
      <c r="EP75" t="str">
        <f>IF(ISNUMBER(BU75),IF(ABS(BU75-[2]QC_indicators!$B$2)&gt;3*[2]QC_indicators!$C$2,"C ratio",IF(ISNUMBER(BY75),IF(ABS(BY75-[2]QC_indicators!$B$1)&gt;3*[2]QC_indicators!$C$1,"DF","no"))),IF(ISNUMBER(BY75),IF(ABS(BY75-[2]QC_indicators!$B$1)&gt;3*[2]QC_indicators!$C$1,"DF","no")))</f>
        <v>no</v>
      </c>
      <c r="EQ75" s="280"/>
      <c r="ER75" s="280"/>
      <c r="ES75" s="280"/>
      <c r="ET75"/>
      <c r="EU75"/>
    </row>
    <row r="76" spans="1:151" s="139" customFormat="1" ht="15" hidden="1" customHeight="1">
      <c r="A76" s="256" t="s">
        <v>214</v>
      </c>
      <c r="B76" s="257" t="s">
        <v>215</v>
      </c>
      <c r="C76" s="257" t="s">
        <v>216</v>
      </c>
      <c r="D76" s="257" t="s">
        <v>217</v>
      </c>
      <c r="E76" s="257" t="s">
        <v>218</v>
      </c>
      <c r="F76" s="257" t="s">
        <v>219</v>
      </c>
      <c r="G76" s="257" t="s">
        <v>220</v>
      </c>
      <c r="H76" s="257"/>
      <c r="I76" s="257">
        <v>2012</v>
      </c>
      <c r="J76" s="257"/>
      <c r="K76" s="257" t="s">
        <v>221</v>
      </c>
      <c r="L76" s="257"/>
      <c r="M76" s="257" t="s">
        <v>3069</v>
      </c>
      <c r="N76" s="257" t="s">
        <v>222</v>
      </c>
      <c r="O76" s="275" t="s">
        <v>223</v>
      </c>
      <c r="P76" s="257"/>
      <c r="Q76" s="257" t="s">
        <v>224</v>
      </c>
      <c r="R76" s="258" t="s">
        <v>225</v>
      </c>
      <c r="S76" s="256" t="s">
        <v>241</v>
      </c>
      <c r="T76" s="257" t="s">
        <v>244</v>
      </c>
      <c r="U76" s="276" t="s">
        <v>242</v>
      </c>
      <c r="V76" s="257">
        <v>0</v>
      </c>
      <c r="W76" s="257">
        <v>0</v>
      </c>
      <c r="X76" s="257">
        <v>0</v>
      </c>
      <c r="Y76" s="257">
        <v>0</v>
      </c>
      <c r="Z76" s="257">
        <v>0</v>
      </c>
      <c r="AA76" s="257">
        <v>0</v>
      </c>
      <c r="AB76" s="257">
        <v>0</v>
      </c>
      <c r="AC76" s="257">
        <v>1</v>
      </c>
      <c r="AD76" s="257">
        <v>0</v>
      </c>
      <c r="AE76" s="257">
        <v>0</v>
      </c>
      <c r="AF76" s="257">
        <v>0</v>
      </c>
      <c r="AG76" s="257">
        <v>0</v>
      </c>
      <c r="AH76" s="257">
        <v>0</v>
      </c>
      <c r="AI76" s="257">
        <v>0</v>
      </c>
      <c r="AJ76" s="257">
        <v>0</v>
      </c>
      <c r="AK76" s="257">
        <v>0</v>
      </c>
      <c r="AL76" s="257">
        <v>0</v>
      </c>
      <c r="AM76" s="257">
        <v>0</v>
      </c>
      <c r="AN76" s="257">
        <v>0</v>
      </c>
      <c r="AO76" s="257">
        <v>0</v>
      </c>
      <c r="AP76" s="257">
        <v>0</v>
      </c>
      <c r="AQ76" s="257">
        <v>0</v>
      </c>
      <c r="AR76" s="257">
        <v>0</v>
      </c>
      <c r="AS76" s="257">
        <v>0</v>
      </c>
      <c r="AT76" s="257">
        <v>0</v>
      </c>
      <c r="AU76" s="257">
        <v>0</v>
      </c>
      <c r="AV76" s="257">
        <v>0</v>
      </c>
      <c r="AW76" s="257">
        <v>0</v>
      </c>
      <c r="AX76" s="277">
        <v>1</v>
      </c>
      <c r="AY76" s="277">
        <v>1</v>
      </c>
      <c r="AZ76" s="257">
        <v>1</v>
      </c>
      <c r="BA76" s="257">
        <v>0</v>
      </c>
      <c r="BB76" s="257">
        <v>0</v>
      </c>
      <c r="BC76" s="257">
        <v>0</v>
      </c>
      <c r="BD76" s="257">
        <v>0</v>
      </c>
      <c r="BE76" s="257" t="s">
        <v>95</v>
      </c>
      <c r="BF76" s="2" t="str" cm="1">
        <f t="array" ref="BF76">IF(COUNTIF(AZ76:BB76,"&lt;&gt;0")=1,INDEX($V$4:$AW$4,MATCH(TRUE,INDEX($V76:$AW76&lt;&gt;0,),0)),IF(COUNTIF(AZ76:BB76,"&lt;&gt;0")=0,INDEX($AM$4:$AW$4,MATCH(1,$AM76:$AW76,0)),"Multiple strategies"))</f>
        <v>Silviculture for productivity</v>
      </c>
      <c r="BG76" s="278" t="s">
        <v>229</v>
      </c>
      <c r="BH76" s="257" t="s">
        <v>230</v>
      </c>
      <c r="BI76" s="279" t="s">
        <v>3070</v>
      </c>
      <c r="BJ76" s="276" t="s">
        <v>231</v>
      </c>
      <c r="BK76" s="257">
        <v>46.459096459096401</v>
      </c>
      <c r="BL76" s="257">
        <v>53.696488079979403</v>
      </c>
      <c r="BM76" s="276">
        <v>1.1557798616952217</v>
      </c>
      <c r="BN76" s="257">
        <v>7.2373916208830025</v>
      </c>
      <c r="BO76" s="276">
        <v>14.770186981393882</v>
      </c>
      <c r="BP76" s="276" t="s">
        <v>232</v>
      </c>
      <c r="BQ76" s="279" t="s">
        <v>3070</v>
      </c>
      <c r="BR76" s="276" t="s">
        <v>233</v>
      </c>
      <c r="BS76" s="257">
        <v>-9.5592716462281597</v>
      </c>
      <c r="BT76" s="257">
        <v>-9.4136546184738901</v>
      </c>
      <c r="BU76" s="259">
        <v>0.98476693275980642</v>
      </c>
      <c r="BV76" s="257">
        <v>0.14561702775426966</v>
      </c>
      <c r="BW76" s="257"/>
      <c r="BX76" s="257">
        <v>1.4561702775426965E-4</v>
      </c>
      <c r="BY76" s="257">
        <v>9.8588479575583257E-6</v>
      </c>
      <c r="BZ76" s="257">
        <v>0</v>
      </c>
      <c r="CA76" s="257">
        <v>0</v>
      </c>
      <c r="CB76" s="257">
        <v>0</v>
      </c>
      <c r="CC76" s="257">
        <v>0</v>
      </c>
      <c r="CD76" s="257">
        <v>0</v>
      </c>
      <c r="CE76" s="257">
        <v>0</v>
      </c>
      <c r="CF76" s="257">
        <v>0</v>
      </c>
      <c r="CG76" s="257">
        <v>0</v>
      </c>
      <c r="CH76" s="257">
        <v>0</v>
      </c>
      <c r="CI76" s="257">
        <v>0</v>
      </c>
      <c r="CJ76" s="257">
        <v>0</v>
      </c>
      <c r="CK76" s="257">
        <v>0</v>
      </c>
      <c r="CL76" s="257">
        <v>0</v>
      </c>
      <c r="CM76" s="257">
        <v>0</v>
      </c>
      <c r="CN76" s="257" t="s">
        <v>3071</v>
      </c>
      <c r="CO76" s="257">
        <v>46.459096459096401</v>
      </c>
      <c r="CP76" s="257">
        <v>53.696488079979403</v>
      </c>
      <c r="CQ76" s="257">
        <v>14.770186981393882</v>
      </c>
      <c r="CR76" s="257">
        <v>-9.5592716462281597</v>
      </c>
      <c r="CS76" s="257">
        <v>-9.4136546184738901</v>
      </c>
      <c r="CT76" s="257">
        <v>1.4561702775426965E-4</v>
      </c>
      <c r="CU76" s="257">
        <v>9.8588479575583257E-6</v>
      </c>
      <c r="CV76" s="258">
        <v>1.5233067240193594E-2</v>
      </c>
      <c r="CW76" s="256" t="s">
        <v>234</v>
      </c>
      <c r="CX76" s="257" t="s">
        <v>3072</v>
      </c>
      <c r="CY76" s="257" t="s">
        <v>235</v>
      </c>
      <c r="CZ76" s="257"/>
      <c r="DA76" s="276"/>
      <c r="DB76" s="276">
        <v>80</v>
      </c>
      <c r="DC76" s="257" t="s">
        <v>3073</v>
      </c>
      <c r="DD76" s="257">
        <v>0</v>
      </c>
      <c r="DE76" s="257">
        <v>1</v>
      </c>
      <c r="DF76" s="257">
        <v>0</v>
      </c>
      <c r="DG76" s="257">
        <v>0</v>
      </c>
      <c r="DH76" s="257"/>
      <c r="DI76" s="257">
        <v>1</v>
      </c>
      <c r="DJ76" s="257" t="s">
        <v>173</v>
      </c>
      <c r="DK76" s="257">
        <v>0</v>
      </c>
      <c r="DL76" s="257" t="s">
        <v>180</v>
      </c>
      <c r="DM76" s="257">
        <v>0</v>
      </c>
      <c r="DN76" s="257">
        <v>0</v>
      </c>
      <c r="DO76" s="257">
        <v>0</v>
      </c>
      <c r="DP76" s="276">
        <v>0</v>
      </c>
      <c r="DQ76" s="276">
        <v>0</v>
      </c>
      <c r="DR76" s="276">
        <v>0</v>
      </c>
      <c r="DS76" s="276">
        <v>0</v>
      </c>
      <c r="DT76" s="257">
        <v>0</v>
      </c>
      <c r="DU76" s="276" t="s">
        <v>961</v>
      </c>
      <c r="DV76" s="276">
        <v>1</v>
      </c>
      <c r="DW76" s="276">
        <v>1</v>
      </c>
      <c r="DX76" s="276">
        <v>1</v>
      </c>
      <c r="DY76" s="276">
        <v>0</v>
      </c>
      <c r="DZ76" s="257">
        <v>0</v>
      </c>
      <c r="EA76" s="276">
        <v>0</v>
      </c>
      <c r="EB76" s="276">
        <v>1</v>
      </c>
      <c r="EC76" s="276">
        <v>1</v>
      </c>
      <c r="ED76" s="276">
        <v>0</v>
      </c>
      <c r="EE76" s="276">
        <v>0</v>
      </c>
      <c r="EF76" s="257">
        <v>1</v>
      </c>
      <c r="EG76" s="276">
        <v>0</v>
      </c>
      <c r="EH76" s="257">
        <v>0</v>
      </c>
      <c r="EI76" s="258">
        <v>0</v>
      </c>
      <c r="EJ76" s="256"/>
      <c r="EK76" t="str">
        <f t="shared" si="36"/>
        <v>Whole sector</v>
      </c>
      <c r="EL76" t="str">
        <f t="shared" si="37"/>
        <v/>
      </c>
      <c r="EM76" s="258" t="s">
        <v>544</v>
      </c>
      <c r="EN76" s="257" t="s">
        <v>236</v>
      </c>
      <c r="EO76" s="257"/>
      <c r="EP76" t="str">
        <f>IF(ISNUMBER(BU76),IF(ABS(BU76-[2]QC_indicators!$B$2)&gt;3*[2]QC_indicators!$C$2,"C ratio",IF(ISNUMBER(BY76),IF(ABS(BY76-[2]QC_indicators!$B$1)&gt;3*[2]QC_indicators!$C$1,"DF","no"))),IF(ISNUMBER(BY76),IF(ABS(BY76-[2]QC_indicators!$B$1)&gt;3*[2]QC_indicators!$C$1,"DF","no")))</f>
        <v>no</v>
      </c>
      <c r="EQ76"/>
      <c r="ER76"/>
      <c r="ES76"/>
      <c r="ET76"/>
      <c r="EU76"/>
    </row>
    <row r="77" spans="1:151" s="139" customFormat="1" ht="15" hidden="1" customHeight="1">
      <c r="A77" s="256" t="s">
        <v>214</v>
      </c>
      <c r="B77" s="257" t="s">
        <v>215</v>
      </c>
      <c r="C77" s="257" t="s">
        <v>216</v>
      </c>
      <c r="D77" s="257" t="s">
        <v>217</v>
      </c>
      <c r="E77" s="257" t="s">
        <v>218</v>
      </c>
      <c r="F77" s="257" t="s">
        <v>219</v>
      </c>
      <c r="G77" s="257" t="s">
        <v>220</v>
      </c>
      <c r="H77" s="257"/>
      <c r="I77" s="257">
        <v>2012</v>
      </c>
      <c r="J77" s="257"/>
      <c r="K77" s="257" t="s">
        <v>221</v>
      </c>
      <c r="L77" s="257"/>
      <c r="M77" s="257" t="s">
        <v>3069</v>
      </c>
      <c r="N77" s="257" t="s">
        <v>222</v>
      </c>
      <c r="O77" s="275" t="s">
        <v>223</v>
      </c>
      <c r="P77" s="257"/>
      <c r="Q77" s="257" t="s">
        <v>224</v>
      </c>
      <c r="R77" s="258" t="s">
        <v>225</v>
      </c>
      <c r="S77" s="256" t="s">
        <v>241</v>
      </c>
      <c r="T77" s="257" t="s">
        <v>244</v>
      </c>
      <c r="U77" s="276" t="s">
        <v>242</v>
      </c>
      <c r="V77" s="257">
        <v>0</v>
      </c>
      <c r="W77" s="257">
        <v>0</v>
      </c>
      <c r="X77" s="257">
        <v>0</v>
      </c>
      <c r="Y77" s="257">
        <v>0</v>
      </c>
      <c r="Z77" s="257">
        <v>0</v>
      </c>
      <c r="AA77" s="257">
        <v>0</v>
      </c>
      <c r="AB77" s="257">
        <v>0</v>
      </c>
      <c r="AC77" s="257">
        <v>1</v>
      </c>
      <c r="AD77" s="257">
        <v>0</v>
      </c>
      <c r="AE77" s="257">
        <v>0</v>
      </c>
      <c r="AF77" s="257">
        <v>0</v>
      </c>
      <c r="AG77" s="257">
        <v>0</v>
      </c>
      <c r="AH77" s="257">
        <v>0</v>
      </c>
      <c r="AI77" s="257">
        <v>0</v>
      </c>
      <c r="AJ77" s="257">
        <v>0</v>
      </c>
      <c r="AK77" s="257">
        <v>0</v>
      </c>
      <c r="AL77" s="257">
        <v>0</v>
      </c>
      <c r="AM77" s="257">
        <v>0</v>
      </c>
      <c r="AN77" s="257">
        <v>0</v>
      </c>
      <c r="AO77" s="257">
        <v>0</v>
      </c>
      <c r="AP77" s="257">
        <v>0</v>
      </c>
      <c r="AQ77" s="257">
        <v>0</v>
      </c>
      <c r="AR77" s="257">
        <v>0</v>
      </c>
      <c r="AS77" s="257">
        <v>0</v>
      </c>
      <c r="AT77" s="257">
        <v>0</v>
      </c>
      <c r="AU77" s="257">
        <v>0</v>
      </c>
      <c r="AV77" s="257">
        <v>0</v>
      </c>
      <c r="AW77" s="257">
        <v>0</v>
      </c>
      <c r="AX77" s="277">
        <v>1</v>
      </c>
      <c r="AY77" s="277">
        <v>1</v>
      </c>
      <c r="AZ77" s="257">
        <v>1</v>
      </c>
      <c r="BA77" s="257">
        <v>0</v>
      </c>
      <c r="BB77" s="257">
        <v>0</v>
      </c>
      <c r="BC77" s="257">
        <v>0</v>
      </c>
      <c r="BD77" s="257">
        <v>0</v>
      </c>
      <c r="BE77" s="257" t="s">
        <v>95</v>
      </c>
      <c r="BF77" s="2" t="str" cm="1">
        <f t="array" ref="BF77">IF(COUNTIF(AZ77:BB77,"&lt;&gt;0")=1,INDEX($V$4:$AW$4,MATCH(TRUE,INDEX($V77:$AW77&lt;&gt;0,),0)),IF(COUNTIF(AZ77:BB77,"&lt;&gt;0")=0,INDEX($AM$4:$AW$4,MATCH(1,$AM77:$AW77,0)),"Multiple strategies"))</f>
        <v>Silviculture for productivity</v>
      </c>
      <c r="BG77" s="278" t="s">
        <v>229</v>
      </c>
      <c r="BH77" s="257" t="s">
        <v>230</v>
      </c>
      <c r="BI77" s="279" t="s">
        <v>3070</v>
      </c>
      <c r="BJ77" s="276" t="s">
        <v>231</v>
      </c>
      <c r="BK77" s="257">
        <v>47.845851491070597</v>
      </c>
      <c r="BL77" s="257">
        <v>62.093385434364002</v>
      </c>
      <c r="BM77" s="276">
        <v>1.2977799223816175</v>
      </c>
      <c r="BN77" s="257">
        <v>14.247533943293405</v>
      </c>
      <c r="BO77" s="276">
        <v>29.076599884272255</v>
      </c>
      <c r="BP77" s="276" t="s">
        <v>232</v>
      </c>
      <c r="BQ77" s="279" t="s">
        <v>3070</v>
      </c>
      <c r="BR77" s="276" t="s">
        <v>233</v>
      </c>
      <c r="BS77" s="257">
        <v>-9.0763052208835298</v>
      </c>
      <c r="BT77" s="257">
        <v>-8.77615419238683</v>
      </c>
      <c r="BU77" s="259">
        <v>0.96693026278952288</v>
      </c>
      <c r="BV77" s="257">
        <v>0.30015102849669972</v>
      </c>
      <c r="BW77" s="257"/>
      <c r="BX77" s="257">
        <v>3.001510284966997E-4</v>
      </c>
      <c r="BY77" s="257">
        <v>1.0322769157718938E-5</v>
      </c>
      <c r="BZ77" s="257">
        <v>0</v>
      </c>
      <c r="CA77" s="257">
        <v>0</v>
      </c>
      <c r="CB77" s="257">
        <v>0</v>
      </c>
      <c r="CC77" s="257">
        <v>0</v>
      </c>
      <c r="CD77" s="257">
        <v>0</v>
      </c>
      <c r="CE77" s="257">
        <v>0</v>
      </c>
      <c r="CF77" s="257">
        <v>0</v>
      </c>
      <c r="CG77" s="257">
        <v>0</v>
      </c>
      <c r="CH77" s="257">
        <v>0</v>
      </c>
      <c r="CI77" s="257">
        <v>0</v>
      </c>
      <c r="CJ77" s="257">
        <v>0</v>
      </c>
      <c r="CK77" s="257">
        <v>0</v>
      </c>
      <c r="CL77" s="257">
        <v>0</v>
      </c>
      <c r="CM77" s="257">
        <v>0</v>
      </c>
      <c r="CN77" s="257" t="s">
        <v>3071</v>
      </c>
      <c r="CO77" s="257">
        <v>47.845851491070597</v>
      </c>
      <c r="CP77" s="257">
        <v>62.093385434364002</v>
      </c>
      <c r="CQ77" s="257">
        <v>29.076599884272255</v>
      </c>
      <c r="CR77" s="257">
        <v>-9.0763052208835298</v>
      </c>
      <c r="CS77" s="257">
        <v>-8.77615419238683</v>
      </c>
      <c r="CT77" s="257">
        <v>3.001510284966997E-4</v>
      </c>
      <c r="CU77" s="257">
        <v>1.0322769157718938E-5</v>
      </c>
      <c r="CV77" s="258">
        <v>3.306973721047711E-2</v>
      </c>
      <c r="CW77" s="256" t="s">
        <v>234</v>
      </c>
      <c r="CX77" s="257" t="s">
        <v>3072</v>
      </c>
      <c r="CY77" s="257" t="s">
        <v>235</v>
      </c>
      <c r="CZ77" s="257"/>
      <c r="DA77" s="276"/>
      <c r="DB77" s="276">
        <v>80</v>
      </c>
      <c r="DC77" s="257" t="s">
        <v>3073</v>
      </c>
      <c r="DD77" s="257">
        <v>0</v>
      </c>
      <c r="DE77" s="257">
        <v>1</v>
      </c>
      <c r="DF77" s="257">
        <v>0</v>
      </c>
      <c r="DG77" s="257">
        <v>0</v>
      </c>
      <c r="DH77" s="257"/>
      <c r="DI77" s="257">
        <v>1</v>
      </c>
      <c r="DJ77" s="257" t="s">
        <v>173</v>
      </c>
      <c r="DK77" s="257">
        <v>0</v>
      </c>
      <c r="DL77" s="257" t="s">
        <v>180</v>
      </c>
      <c r="DM77" s="257">
        <v>0</v>
      </c>
      <c r="DN77" s="257">
        <v>0</v>
      </c>
      <c r="DO77" s="257">
        <v>0</v>
      </c>
      <c r="DP77" s="276">
        <v>0</v>
      </c>
      <c r="DQ77" s="276">
        <v>0</v>
      </c>
      <c r="DR77" s="276">
        <v>0</v>
      </c>
      <c r="DS77" s="276">
        <v>0</v>
      </c>
      <c r="DT77" s="257">
        <v>0</v>
      </c>
      <c r="DU77" s="276" t="s">
        <v>961</v>
      </c>
      <c r="DV77" s="276">
        <v>1</v>
      </c>
      <c r="DW77" s="276">
        <v>1</v>
      </c>
      <c r="DX77" s="276">
        <v>1</v>
      </c>
      <c r="DY77" s="276">
        <v>0</v>
      </c>
      <c r="DZ77" s="257">
        <v>0</v>
      </c>
      <c r="EA77" s="276">
        <v>0</v>
      </c>
      <c r="EB77" s="276">
        <v>1</v>
      </c>
      <c r="EC77" s="276">
        <v>1</v>
      </c>
      <c r="ED77" s="276">
        <v>0</v>
      </c>
      <c r="EE77" s="276">
        <v>0</v>
      </c>
      <c r="EF77" s="257">
        <v>1</v>
      </c>
      <c r="EG77" s="276">
        <v>0</v>
      </c>
      <c r="EH77" s="257">
        <v>0</v>
      </c>
      <c r="EI77" s="258">
        <v>0</v>
      </c>
      <c r="EJ77" s="256"/>
      <c r="EK77" t="str">
        <f t="shared" si="36"/>
        <v>Whole sector</v>
      </c>
      <c r="EL77" t="str">
        <f t="shared" si="37"/>
        <v/>
      </c>
      <c r="EM77" s="258" t="s">
        <v>544</v>
      </c>
      <c r="EN77" s="257" t="s">
        <v>236</v>
      </c>
      <c r="EO77" s="257"/>
      <c r="EP77" t="str">
        <f>IF(ISNUMBER(BU77),IF(ABS(BU77-[2]QC_indicators!$B$2)&gt;3*[2]QC_indicators!$C$2,"C ratio",IF(ISNUMBER(BY77),IF(ABS(BY77-[2]QC_indicators!$B$1)&gt;3*[2]QC_indicators!$C$1,"DF","no"))),IF(ISNUMBER(BY77),IF(ABS(BY77-[2]QC_indicators!$B$1)&gt;3*[2]QC_indicators!$C$1,"DF","no")))</f>
        <v>no</v>
      </c>
      <c r="EQ77"/>
      <c r="ER77"/>
      <c r="ES77"/>
      <c r="ET77"/>
      <c r="EU77"/>
    </row>
    <row r="78" spans="1:151" s="139" customFormat="1" ht="15" hidden="1" customHeight="1">
      <c r="A78" s="256" t="s">
        <v>214</v>
      </c>
      <c r="B78" s="257" t="s">
        <v>215</v>
      </c>
      <c r="C78" s="257" t="s">
        <v>216</v>
      </c>
      <c r="D78" s="257" t="s">
        <v>217</v>
      </c>
      <c r="E78" s="257" t="s">
        <v>218</v>
      </c>
      <c r="F78" s="257" t="s">
        <v>219</v>
      </c>
      <c r="G78" s="257" t="s">
        <v>220</v>
      </c>
      <c r="H78" s="257"/>
      <c r="I78" s="257">
        <v>2012</v>
      </c>
      <c r="J78" s="257"/>
      <c r="K78" s="257" t="s">
        <v>221</v>
      </c>
      <c r="L78" s="257"/>
      <c r="M78" s="257" t="s">
        <v>3069</v>
      </c>
      <c r="N78" s="257" t="s">
        <v>222</v>
      </c>
      <c r="O78" s="275" t="s">
        <v>223</v>
      </c>
      <c r="P78" s="257"/>
      <c r="Q78" s="257" t="s">
        <v>224</v>
      </c>
      <c r="R78" s="258" t="s">
        <v>225</v>
      </c>
      <c r="S78" s="256" t="s">
        <v>226</v>
      </c>
      <c r="T78" s="257" t="s">
        <v>228</v>
      </c>
      <c r="U78" s="257" t="s">
        <v>239</v>
      </c>
      <c r="V78" s="257">
        <v>0</v>
      </c>
      <c r="W78" s="257">
        <v>0</v>
      </c>
      <c r="X78" s="257">
        <v>0</v>
      </c>
      <c r="Y78" s="257">
        <v>1</v>
      </c>
      <c r="Z78" s="257">
        <v>0</v>
      </c>
      <c r="AA78" s="257">
        <v>0</v>
      </c>
      <c r="AB78" s="257">
        <v>0</v>
      </c>
      <c r="AC78" s="257">
        <v>0</v>
      </c>
      <c r="AD78" s="257">
        <v>0</v>
      </c>
      <c r="AE78" s="257">
        <v>0</v>
      </c>
      <c r="AF78" s="257">
        <v>0</v>
      </c>
      <c r="AG78" s="257">
        <v>0</v>
      </c>
      <c r="AH78" s="257">
        <v>0</v>
      </c>
      <c r="AI78" s="257">
        <v>0</v>
      </c>
      <c r="AJ78" s="257">
        <v>0</v>
      </c>
      <c r="AK78" s="257">
        <v>0</v>
      </c>
      <c r="AL78" s="257">
        <v>0</v>
      </c>
      <c r="AM78" s="257">
        <v>0</v>
      </c>
      <c r="AN78" s="257">
        <v>0</v>
      </c>
      <c r="AO78" s="257">
        <v>0</v>
      </c>
      <c r="AP78" s="257">
        <v>0</v>
      </c>
      <c r="AQ78" s="257">
        <v>0</v>
      </c>
      <c r="AR78" s="257">
        <v>0</v>
      </c>
      <c r="AS78" s="257">
        <v>0</v>
      </c>
      <c r="AT78" s="257">
        <v>0</v>
      </c>
      <c r="AU78" s="257">
        <v>0</v>
      </c>
      <c r="AV78" s="257">
        <v>0</v>
      </c>
      <c r="AW78" s="257">
        <v>0</v>
      </c>
      <c r="AX78" s="277">
        <v>1</v>
      </c>
      <c r="AY78" s="277">
        <v>1</v>
      </c>
      <c r="AZ78" s="257">
        <v>1</v>
      </c>
      <c r="BA78" s="257">
        <v>0</v>
      </c>
      <c r="BB78" s="257">
        <v>0</v>
      </c>
      <c r="BC78" s="257">
        <v>0</v>
      </c>
      <c r="BD78" s="257">
        <v>0</v>
      </c>
      <c r="BE78" s="257" t="s">
        <v>91</v>
      </c>
      <c r="BF78" s="2" t="str" cm="1">
        <f t="array" ref="BF78">IF(COUNTIF(AZ78:BB78,"&lt;&gt;0")=1,INDEX($V$4:$AW$4,MATCH(TRUE,INDEX($V78:$AW78&lt;&gt;0,),0)),IF(COUNTIF(AZ78:BB78,"&lt;&gt;0")=0,INDEX($AM$4:$AW$4,MATCH(1,$AM78:$AW78,0)),"Multiple strategies"))</f>
        <v>Silviculture for removals</v>
      </c>
      <c r="BG78" s="278" t="s">
        <v>229</v>
      </c>
      <c r="BH78" s="257" t="s">
        <v>230</v>
      </c>
      <c r="BI78" s="279" t="s">
        <v>3070</v>
      </c>
      <c r="BJ78" s="276" t="s">
        <v>231</v>
      </c>
      <c r="BK78" s="257">
        <v>43.296172429999999</v>
      </c>
      <c r="BL78" s="257">
        <v>56.739926740000001</v>
      </c>
      <c r="BM78" s="276">
        <v>0.76306359414943437</v>
      </c>
      <c r="BN78" s="257">
        <v>13.443754310000003</v>
      </c>
      <c r="BO78" s="276">
        <v>27.436233285714291</v>
      </c>
      <c r="BP78" s="276" t="s">
        <v>232</v>
      </c>
      <c r="BQ78" s="279" t="s">
        <v>3070</v>
      </c>
      <c r="BR78" s="276" t="s">
        <v>233</v>
      </c>
      <c r="BS78" s="257">
        <v>-9.8277857409999996</v>
      </c>
      <c r="BT78" s="257">
        <v>-9.5324096189999992</v>
      </c>
      <c r="BU78" s="259">
        <v>0.9699447943021654</v>
      </c>
      <c r="BV78" s="257">
        <v>0.29537612200000041</v>
      </c>
      <c r="BW78" s="257"/>
      <c r="BX78" s="257">
        <v>2.9537612200000041E-4</v>
      </c>
      <c r="BY78" s="257">
        <v>1.0765913779928351E-5</v>
      </c>
      <c r="BZ78" s="257">
        <v>0</v>
      </c>
      <c r="CA78" s="257">
        <v>0</v>
      </c>
      <c r="CB78" s="257">
        <v>0</v>
      </c>
      <c r="CC78" s="257">
        <v>0</v>
      </c>
      <c r="CD78" s="257">
        <v>0</v>
      </c>
      <c r="CE78" s="257">
        <v>0</v>
      </c>
      <c r="CF78" s="257">
        <v>0</v>
      </c>
      <c r="CG78" s="257">
        <v>0</v>
      </c>
      <c r="CH78" s="257">
        <v>0</v>
      </c>
      <c r="CI78" s="257">
        <v>0</v>
      </c>
      <c r="CJ78" s="257">
        <v>0</v>
      </c>
      <c r="CK78" s="257">
        <v>0</v>
      </c>
      <c r="CL78" s="257">
        <v>0</v>
      </c>
      <c r="CM78" s="257">
        <v>0</v>
      </c>
      <c r="CN78" s="257" t="s">
        <v>3071</v>
      </c>
      <c r="CO78" s="257">
        <v>43.296172429999999</v>
      </c>
      <c r="CP78" s="257">
        <v>56.739926740000001</v>
      </c>
      <c r="CQ78" s="257">
        <v>27.436233285714291</v>
      </c>
      <c r="CR78" s="257">
        <v>-9.8277857409999996</v>
      </c>
      <c r="CS78" s="257">
        <v>-9.5324096189999992</v>
      </c>
      <c r="CT78" s="257">
        <v>2.9537612200000041E-4</v>
      </c>
      <c r="CU78" s="257">
        <v>1.0765913779928351E-5</v>
      </c>
      <c r="CV78" s="258">
        <v>3.0055205697834559E-2</v>
      </c>
      <c r="CW78" s="256" t="s">
        <v>234</v>
      </c>
      <c r="CX78" s="257" t="s">
        <v>3072</v>
      </c>
      <c r="CY78" s="257" t="s">
        <v>235</v>
      </c>
      <c r="CZ78" s="257"/>
      <c r="DA78" s="276"/>
      <c r="DB78" s="276">
        <v>80</v>
      </c>
      <c r="DC78" s="257" t="s">
        <v>3073</v>
      </c>
      <c r="DD78" s="257">
        <v>0</v>
      </c>
      <c r="DE78" s="257">
        <v>1</v>
      </c>
      <c r="DF78" s="257">
        <v>0</v>
      </c>
      <c r="DG78" s="257">
        <v>0</v>
      </c>
      <c r="DH78" s="257"/>
      <c r="DI78" s="257">
        <v>1</v>
      </c>
      <c r="DJ78" s="257" t="s">
        <v>173</v>
      </c>
      <c r="DK78" s="257">
        <v>0</v>
      </c>
      <c r="DL78" s="257" t="s">
        <v>180</v>
      </c>
      <c r="DM78" s="257">
        <v>0</v>
      </c>
      <c r="DN78" s="257">
        <v>0</v>
      </c>
      <c r="DO78" s="257">
        <v>0</v>
      </c>
      <c r="DP78" s="276">
        <v>0</v>
      </c>
      <c r="DQ78" s="276">
        <v>0</v>
      </c>
      <c r="DR78" s="276">
        <v>0</v>
      </c>
      <c r="DS78" s="276">
        <v>0</v>
      </c>
      <c r="DT78" s="257">
        <v>0</v>
      </c>
      <c r="DU78" s="276" t="s">
        <v>961</v>
      </c>
      <c r="DV78" s="276">
        <v>1</v>
      </c>
      <c r="DW78" s="276">
        <v>1</v>
      </c>
      <c r="DX78" s="276">
        <v>1</v>
      </c>
      <c r="DY78" s="276">
        <v>0</v>
      </c>
      <c r="DZ78" s="257">
        <v>0</v>
      </c>
      <c r="EA78" s="276">
        <v>0</v>
      </c>
      <c r="EB78" s="276">
        <v>1</v>
      </c>
      <c r="EC78" s="276">
        <v>1</v>
      </c>
      <c r="ED78" s="276">
        <v>0</v>
      </c>
      <c r="EE78" s="276">
        <v>0</v>
      </c>
      <c r="EF78" s="257">
        <v>1</v>
      </c>
      <c r="EG78" s="276">
        <v>0</v>
      </c>
      <c r="EH78" s="257">
        <v>0</v>
      </c>
      <c r="EI78" s="258">
        <v>0</v>
      </c>
      <c r="EJ78" s="256"/>
      <c r="EK78" t="str">
        <f t="shared" si="36"/>
        <v>Whole sector</v>
      </c>
      <c r="EL78" t="str">
        <f t="shared" si="37"/>
        <v/>
      </c>
      <c r="EM78" s="258" t="s">
        <v>544</v>
      </c>
      <c r="EN78" s="257" t="s">
        <v>236</v>
      </c>
      <c r="EO78" s="257"/>
      <c r="EP78" t="str">
        <f>IF(ISNUMBER(BU78),IF(ABS(BU78-[2]QC_indicators!$B$2)&gt;3*[2]QC_indicators!$C$2,"C ratio",IF(ISNUMBER(BY78),IF(ABS(BY78-[2]QC_indicators!$B$1)&gt;3*[2]QC_indicators!$C$1,"DF","no"))),IF(ISNUMBER(BY78),IF(ABS(BY78-[2]QC_indicators!$B$1)&gt;3*[2]QC_indicators!$C$1,"DF","no")))</f>
        <v>no</v>
      </c>
      <c r="EQ78" s="280"/>
      <c r="ER78" s="280"/>
      <c r="ES78" s="280"/>
      <c r="ET78"/>
      <c r="EU78"/>
    </row>
    <row r="79" spans="1:151" s="139" customFormat="1" ht="15" hidden="1" customHeight="1">
      <c r="A79" s="256" t="s">
        <v>214</v>
      </c>
      <c r="B79" s="257" t="s">
        <v>215</v>
      </c>
      <c r="C79" s="257" t="s">
        <v>216</v>
      </c>
      <c r="D79" s="257" t="s">
        <v>217</v>
      </c>
      <c r="E79" s="257" t="s">
        <v>218</v>
      </c>
      <c r="F79" s="257" t="s">
        <v>219</v>
      </c>
      <c r="G79" s="257" t="s">
        <v>220</v>
      </c>
      <c r="H79" s="257"/>
      <c r="I79" s="257">
        <v>2012</v>
      </c>
      <c r="J79" s="257"/>
      <c r="K79" s="257" t="s">
        <v>221</v>
      </c>
      <c r="L79" s="257"/>
      <c r="M79" s="257" t="s">
        <v>3069</v>
      </c>
      <c r="N79" s="257" t="s">
        <v>222</v>
      </c>
      <c r="O79" s="275" t="s">
        <v>223</v>
      </c>
      <c r="P79" s="257"/>
      <c r="Q79" s="257" t="s">
        <v>224</v>
      </c>
      <c r="R79" s="258" t="s">
        <v>225</v>
      </c>
      <c r="S79" s="256" t="s">
        <v>226</v>
      </c>
      <c r="T79" s="257" t="s">
        <v>228</v>
      </c>
      <c r="U79" s="257" t="s">
        <v>238</v>
      </c>
      <c r="V79" s="257">
        <v>0</v>
      </c>
      <c r="W79" s="257">
        <v>0</v>
      </c>
      <c r="X79" s="257">
        <v>0</v>
      </c>
      <c r="Y79" s="257">
        <v>1</v>
      </c>
      <c r="Z79" s="257">
        <v>0</v>
      </c>
      <c r="AA79" s="257">
        <v>0</v>
      </c>
      <c r="AB79" s="257">
        <v>0</v>
      </c>
      <c r="AC79" s="257">
        <v>0</v>
      </c>
      <c r="AD79" s="257">
        <v>0</v>
      </c>
      <c r="AE79" s="257">
        <v>0</v>
      </c>
      <c r="AF79" s="257">
        <v>0</v>
      </c>
      <c r="AG79" s="257">
        <v>0</v>
      </c>
      <c r="AH79" s="257">
        <v>0</v>
      </c>
      <c r="AI79" s="257">
        <v>0</v>
      </c>
      <c r="AJ79" s="257">
        <v>0</v>
      </c>
      <c r="AK79" s="257">
        <v>0</v>
      </c>
      <c r="AL79" s="257">
        <v>0</v>
      </c>
      <c r="AM79" s="257">
        <v>0</v>
      </c>
      <c r="AN79" s="257">
        <v>0</v>
      </c>
      <c r="AO79" s="257">
        <v>0</v>
      </c>
      <c r="AP79" s="257">
        <v>0</v>
      </c>
      <c r="AQ79" s="257">
        <v>0</v>
      </c>
      <c r="AR79" s="257">
        <v>0</v>
      </c>
      <c r="AS79" s="257">
        <v>0</v>
      </c>
      <c r="AT79" s="257">
        <v>0</v>
      </c>
      <c r="AU79" s="257">
        <v>0</v>
      </c>
      <c r="AV79" s="257">
        <v>0</v>
      </c>
      <c r="AW79" s="257">
        <v>0</v>
      </c>
      <c r="AX79" s="277">
        <v>1</v>
      </c>
      <c r="AY79" s="277">
        <v>1</v>
      </c>
      <c r="AZ79" s="257">
        <v>1</v>
      </c>
      <c r="BA79" s="257">
        <v>0</v>
      </c>
      <c r="BB79" s="257">
        <v>0</v>
      </c>
      <c r="BC79" s="257">
        <v>0</v>
      </c>
      <c r="BD79" s="257">
        <v>0</v>
      </c>
      <c r="BE79" s="257" t="s">
        <v>91</v>
      </c>
      <c r="BF79" s="2" t="str" cm="1">
        <f t="array" ref="BF79">IF(COUNTIF(AZ79:BB79,"&lt;&gt;0")=1,INDEX($V$4:$AW$4,MATCH(TRUE,INDEX($V79:$AW79&lt;&gt;0,),0)),IF(COUNTIF(AZ79:BB79,"&lt;&gt;0")=0,INDEX($AM$4:$AW$4,MATCH(1,$AM79:$AW79,0)),"Multiple strategies"))</f>
        <v>Silviculture for removals</v>
      </c>
      <c r="BG79" s="278" t="s">
        <v>229</v>
      </c>
      <c r="BH79" s="257" t="s">
        <v>230</v>
      </c>
      <c r="BI79" s="279" t="s">
        <v>3070</v>
      </c>
      <c r="BJ79" s="276" t="s">
        <v>231</v>
      </c>
      <c r="BK79" s="257">
        <v>48.643391100000002</v>
      </c>
      <c r="BL79" s="257">
        <v>58.199966019999998</v>
      </c>
      <c r="BM79" s="276">
        <v>0.8357975859175597</v>
      </c>
      <c r="BN79" s="257">
        <v>9.5565749199999956</v>
      </c>
      <c r="BO79" s="276">
        <v>19.50321412244897</v>
      </c>
      <c r="BP79" s="276" t="s">
        <v>232</v>
      </c>
      <c r="BQ79" s="279" t="s">
        <v>3070</v>
      </c>
      <c r="BR79" s="276" t="s">
        <v>233</v>
      </c>
      <c r="BS79" s="257">
        <v>-9.3488297330000005</v>
      </c>
      <c r="BT79" s="257">
        <v>-9.137844007</v>
      </c>
      <c r="BU79" s="259">
        <v>0.97743185703176816</v>
      </c>
      <c r="BV79" s="257">
        <v>0.21098572600000054</v>
      </c>
      <c r="BW79" s="257"/>
      <c r="BX79" s="257">
        <v>2.1098572600000053E-4</v>
      </c>
      <c r="BY79" s="257">
        <v>1.0817997724649274E-5</v>
      </c>
      <c r="BZ79" s="257">
        <v>0</v>
      </c>
      <c r="CA79" s="257">
        <v>0</v>
      </c>
      <c r="CB79" s="257">
        <v>0</v>
      </c>
      <c r="CC79" s="257">
        <v>0</v>
      </c>
      <c r="CD79" s="257">
        <v>0</v>
      </c>
      <c r="CE79" s="257">
        <v>0</v>
      </c>
      <c r="CF79" s="257">
        <v>0</v>
      </c>
      <c r="CG79" s="257">
        <v>0</v>
      </c>
      <c r="CH79" s="257">
        <v>0</v>
      </c>
      <c r="CI79" s="257">
        <v>0</v>
      </c>
      <c r="CJ79" s="257">
        <v>0</v>
      </c>
      <c r="CK79" s="257">
        <v>0</v>
      </c>
      <c r="CL79" s="257">
        <v>0</v>
      </c>
      <c r="CM79" s="257">
        <v>0</v>
      </c>
      <c r="CN79" s="257" t="s">
        <v>3071</v>
      </c>
      <c r="CO79" s="257">
        <v>48.643391100000002</v>
      </c>
      <c r="CP79" s="257">
        <v>58.199966019999998</v>
      </c>
      <c r="CQ79" s="257">
        <v>19.50321412244897</v>
      </c>
      <c r="CR79" s="257">
        <v>-9.3488297330000005</v>
      </c>
      <c r="CS79" s="257">
        <v>-9.137844007</v>
      </c>
      <c r="CT79" s="257">
        <v>2.1098572600000053E-4</v>
      </c>
      <c r="CU79" s="257">
        <v>1.0817997724649274E-5</v>
      </c>
      <c r="CV79" s="258">
        <v>2.256814296823182E-2</v>
      </c>
      <c r="CW79" s="256" t="s">
        <v>234</v>
      </c>
      <c r="CX79" s="257" t="s">
        <v>3072</v>
      </c>
      <c r="CY79" s="257" t="s">
        <v>235</v>
      </c>
      <c r="CZ79" s="257"/>
      <c r="DA79" s="276"/>
      <c r="DB79" s="276">
        <v>80</v>
      </c>
      <c r="DC79" s="257" t="s">
        <v>3073</v>
      </c>
      <c r="DD79" s="257">
        <v>0</v>
      </c>
      <c r="DE79" s="257">
        <v>1</v>
      </c>
      <c r="DF79" s="257">
        <v>0</v>
      </c>
      <c r="DG79" s="257">
        <v>0</v>
      </c>
      <c r="DH79" s="257"/>
      <c r="DI79" s="257">
        <v>1</v>
      </c>
      <c r="DJ79" s="257" t="s">
        <v>173</v>
      </c>
      <c r="DK79" s="257">
        <v>0</v>
      </c>
      <c r="DL79" s="257" t="s">
        <v>180</v>
      </c>
      <c r="DM79" s="257">
        <v>0</v>
      </c>
      <c r="DN79" s="257">
        <v>0</v>
      </c>
      <c r="DO79" s="257">
        <v>0</v>
      </c>
      <c r="DP79" s="276">
        <v>0</v>
      </c>
      <c r="DQ79" s="276">
        <v>0</v>
      </c>
      <c r="DR79" s="276">
        <v>0</v>
      </c>
      <c r="DS79" s="276">
        <v>0</v>
      </c>
      <c r="DT79" s="257">
        <v>0</v>
      </c>
      <c r="DU79" s="276" t="s">
        <v>961</v>
      </c>
      <c r="DV79" s="276">
        <v>1</v>
      </c>
      <c r="DW79" s="276">
        <v>1</v>
      </c>
      <c r="DX79" s="276">
        <v>1</v>
      </c>
      <c r="DY79" s="276">
        <v>0</v>
      </c>
      <c r="DZ79" s="257">
        <v>0</v>
      </c>
      <c r="EA79" s="276">
        <v>0</v>
      </c>
      <c r="EB79" s="276">
        <v>1</v>
      </c>
      <c r="EC79" s="276">
        <v>1</v>
      </c>
      <c r="ED79" s="276">
        <v>0</v>
      </c>
      <c r="EE79" s="276">
        <v>0</v>
      </c>
      <c r="EF79" s="257">
        <v>1</v>
      </c>
      <c r="EG79" s="276">
        <v>0</v>
      </c>
      <c r="EH79" s="257">
        <v>0</v>
      </c>
      <c r="EI79" s="258">
        <v>0</v>
      </c>
      <c r="EJ79" s="256"/>
      <c r="EK79" t="str">
        <f t="shared" si="36"/>
        <v>Whole sector</v>
      </c>
      <c r="EL79" t="str">
        <f t="shared" si="37"/>
        <v/>
      </c>
      <c r="EM79" s="258" t="s">
        <v>544</v>
      </c>
      <c r="EN79" s="257" t="s">
        <v>236</v>
      </c>
      <c r="EO79" s="257"/>
      <c r="EP79" t="str">
        <f>IF(ISNUMBER(BU79),IF(ABS(BU79-[2]QC_indicators!$B$2)&gt;3*[2]QC_indicators!$C$2,"C ratio",IF(ISNUMBER(BY79),IF(ABS(BY79-[2]QC_indicators!$B$1)&gt;3*[2]QC_indicators!$C$1,"DF","no"))),IF(ISNUMBER(BY79),IF(ABS(BY79-[2]QC_indicators!$B$1)&gt;3*[2]QC_indicators!$C$1,"DF","no")))</f>
        <v>no</v>
      </c>
      <c r="EQ79" s="280"/>
      <c r="ER79" s="280"/>
      <c r="ES79" s="280"/>
      <c r="ET79"/>
      <c r="EU79"/>
    </row>
    <row r="80" spans="1:151" s="139" customFormat="1" ht="15" hidden="1" customHeight="1">
      <c r="A80" s="256" t="s">
        <v>214</v>
      </c>
      <c r="B80" s="257" t="s">
        <v>215</v>
      </c>
      <c r="C80" s="257" t="s">
        <v>216</v>
      </c>
      <c r="D80" s="257" t="s">
        <v>217</v>
      </c>
      <c r="E80" s="257" t="s">
        <v>218</v>
      </c>
      <c r="F80" s="257" t="s">
        <v>219</v>
      </c>
      <c r="G80" s="257" t="s">
        <v>220</v>
      </c>
      <c r="H80" s="257"/>
      <c r="I80" s="257">
        <v>2012</v>
      </c>
      <c r="J80" s="257"/>
      <c r="K80" s="257" t="s">
        <v>221</v>
      </c>
      <c r="L80" s="257"/>
      <c r="M80" s="257" t="s">
        <v>3069</v>
      </c>
      <c r="N80" s="257" t="s">
        <v>222</v>
      </c>
      <c r="O80" s="275" t="s">
        <v>223</v>
      </c>
      <c r="P80" s="257"/>
      <c r="Q80" s="257" t="s">
        <v>224</v>
      </c>
      <c r="R80" s="258" t="s">
        <v>225</v>
      </c>
      <c r="S80" s="256" t="s">
        <v>241</v>
      </c>
      <c r="T80" s="257" t="s">
        <v>242</v>
      </c>
      <c r="U80" s="276" t="s">
        <v>243</v>
      </c>
      <c r="V80" s="257">
        <v>0</v>
      </c>
      <c r="W80" s="257">
        <v>0</v>
      </c>
      <c r="X80" s="257">
        <v>0</v>
      </c>
      <c r="Y80" s="257">
        <v>0</v>
      </c>
      <c r="Z80" s="257">
        <v>0</v>
      </c>
      <c r="AA80" s="257">
        <v>0</v>
      </c>
      <c r="AB80" s="257">
        <v>0</v>
      </c>
      <c r="AC80" s="257">
        <v>1</v>
      </c>
      <c r="AD80" s="257">
        <v>0</v>
      </c>
      <c r="AE80" s="257">
        <v>0</v>
      </c>
      <c r="AF80" s="257">
        <v>0</v>
      </c>
      <c r="AG80" s="257">
        <v>0</v>
      </c>
      <c r="AH80" s="257">
        <v>0</v>
      </c>
      <c r="AI80" s="257">
        <v>0</v>
      </c>
      <c r="AJ80" s="257">
        <v>0</v>
      </c>
      <c r="AK80" s="257">
        <v>0</v>
      </c>
      <c r="AL80" s="257">
        <v>0</v>
      </c>
      <c r="AM80" s="257">
        <v>0</v>
      </c>
      <c r="AN80" s="257">
        <v>0</v>
      </c>
      <c r="AO80" s="257">
        <v>0</v>
      </c>
      <c r="AP80" s="257">
        <v>0</v>
      </c>
      <c r="AQ80" s="257">
        <v>0</v>
      </c>
      <c r="AR80" s="257">
        <v>0</v>
      </c>
      <c r="AS80" s="257">
        <v>0</v>
      </c>
      <c r="AT80" s="257">
        <v>0</v>
      </c>
      <c r="AU80" s="257">
        <v>0</v>
      </c>
      <c r="AV80" s="257">
        <v>0</v>
      </c>
      <c r="AW80" s="257">
        <v>0</v>
      </c>
      <c r="AX80" s="277">
        <v>1</v>
      </c>
      <c r="AY80" s="277">
        <v>1</v>
      </c>
      <c r="AZ80" s="257">
        <v>1</v>
      </c>
      <c r="BA80" s="257">
        <v>0</v>
      </c>
      <c r="BB80" s="257">
        <v>0</v>
      </c>
      <c r="BC80" s="257">
        <v>0</v>
      </c>
      <c r="BD80" s="257">
        <v>0</v>
      </c>
      <c r="BE80" s="257" t="s">
        <v>95</v>
      </c>
      <c r="BF80" s="2" t="str" cm="1">
        <f t="array" ref="BF80">IF(COUNTIF(AZ80:BB80,"&lt;&gt;0")=1,INDEX($V$4:$AW$4,MATCH(TRUE,INDEX($V80:$AW80&lt;&gt;0,),0)),IF(COUNTIF(AZ80:BB80,"&lt;&gt;0")=0,INDEX($AM$4:$AW$4,MATCH(1,$AM80:$AW80,0)),"Multiple strategies"))</f>
        <v>Silviculture for productivity</v>
      </c>
      <c r="BG80" s="278" t="s">
        <v>229</v>
      </c>
      <c r="BH80" s="257" t="s">
        <v>230</v>
      </c>
      <c r="BI80" s="279" t="s">
        <v>3070</v>
      </c>
      <c r="BJ80" s="276" t="s">
        <v>231</v>
      </c>
      <c r="BK80" s="257">
        <v>85.005979255643595</v>
      </c>
      <c r="BL80" s="257">
        <v>95.114942528735597</v>
      </c>
      <c r="BM80" s="276">
        <v>1.1189206143098558</v>
      </c>
      <c r="BN80" s="257">
        <v>10.108963273092002</v>
      </c>
      <c r="BO80" s="276">
        <v>20.630537292024492</v>
      </c>
      <c r="BP80" s="276" t="s">
        <v>232</v>
      </c>
      <c r="BQ80" s="279" t="s">
        <v>3070</v>
      </c>
      <c r="BR80" s="276" t="s">
        <v>233</v>
      </c>
      <c r="BS80" s="257">
        <v>-8.1260280658938306</v>
      </c>
      <c r="BT80" s="257">
        <v>-7.8979591836734597</v>
      </c>
      <c r="BU80" s="259">
        <v>0.9719335350098518</v>
      </c>
      <c r="BV80" s="257">
        <v>0.22806888222037092</v>
      </c>
      <c r="BW80" s="257"/>
      <c r="BX80" s="257">
        <v>2.2806888222037092E-4</v>
      </c>
      <c r="BY80" s="257">
        <v>1.1054917232259361E-5</v>
      </c>
      <c r="BZ80" s="257">
        <v>0</v>
      </c>
      <c r="CA80" s="257">
        <v>0</v>
      </c>
      <c r="CB80" s="257">
        <v>0</v>
      </c>
      <c r="CC80" s="257">
        <v>0</v>
      </c>
      <c r="CD80" s="257">
        <v>0</v>
      </c>
      <c r="CE80" s="257">
        <v>0</v>
      </c>
      <c r="CF80" s="257">
        <v>0</v>
      </c>
      <c r="CG80" s="257">
        <v>0</v>
      </c>
      <c r="CH80" s="257">
        <v>0</v>
      </c>
      <c r="CI80" s="257">
        <v>0</v>
      </c>
      <c r="CJ80" s="257">
        <v>0</v>
      </c>
      <c r="CK80" s="257">
        <v>0</v>
      </c>
      <c r="CL80" s="257">
        <v>0</v>
      </c>
      <c r="CM80" s="257">
        <v>0</v>
      </c>
      <c r="CN80" s="257" t="s">
        <v>3071</v>
      </c>
      <c r="CO80" s="257">
        <v>85.005979255643595</v>
      </c>
      <c r="CP80" s="257">
        <v>95.114942528735597</v>
      </c>
      <c r="CQ80" s="257">
        <v>20.630537292024492</v>
      </c>
      <c r="CR80" s="257">
        <v>-8.1260280658938306</v>
      </c>
      <c r="CS80" s="257">
        <v>-7.8979591836734597</v>
      </c>
      <c r="CT80" s="257">
        <v>2.2806888222037092E-4</v>
      </c>
      <c r="CU80" s="257">
        <v>1.1054917232259361E-5</v>
      </c>
      <c r="CV80" s="258">
        <v>2.8066464990148202E-2</v>
      </c>
      <c r="CW80" s="256" t="s">
        <v>234</v>
      </c>
      <c r="CX80" s="257" t="s">
        <v>3072</v>
      </c>
      <c r="CY80" s="257" t="s">
        <v>235</v>
      </c>
      <c r="CZ80" s="257"/>
      <c r="DA80" s="276"/>
      <c r="DB80" s="276">
        <v>80</v>
      </c>
      <c r="DC80" s="257" t="s">
        <v>3073</v>
      </c>
      <c r="DD80" s="257">
        <v>0</v>
      </c>
      <c r="DE80" s="257">
        <v>1</v>
      </c>
      <c r="DF80" s="257">
        <v>0</v>
      </c>
      <c r="DG80" s="257">
        <v>0</v>
      </c>
      <c r="DH80" s="257"/>
      <c r="DI80" s="257">
        <v>1</v>
      </c>
      <c r="DJ80" s="257" t="s">
        <v>173</v>
      </c>
      <c r="DK80" s="257">
        <v>0</v>
      </c>
      <c r="DL80" s="257" t="s">
        <v>180</v>
      </c>
      <c r="DM80" s="257">
        <v>0</v>
      </c>
      <c r="DN80" s="257">
        <v>0</v>
      </c>
      <c r="DO80" s="257">
        <v>0</v>
      </c>
      <c r="DP80" s="276">
        <v>0</v>
      </c>
      <c r="DQ80" s="276">
        <v>0</v>
      </c>
      <c r="DR80" s="276">
        <v>0</v>
      </c>
      <c r="DS80" s="276">
        <v>0</v>
      </c>
      <c r="DT80" s="257">
        <v>0</v>
      </c>
      <c r="DU80" s="276" t="s">
        <v>961</v>
      </c>
      <c r="DV80" s="276">
        <v>1</v>
      </c>
      <c r="DW80" s="276">
        <v>1</v>
      </c>
      <c r="DX80" s="276">
        <v>1</v>
      </c>
      <c r="DY80" s="276">
        <v>0</v>
      </c>
      <c r="DZ80" s="257">
        <v>0</v>
      </c>
      <c r="EA80" s="276">
        <v>0</v>
      </c>
      <c r="EB80" s="276">
        <v>1</v>
      </c>
      <c r="EC80" s="276">
        <v>1</v>
      </c>
      <c r="ED80" s="276">
        <v>0</v>
      </c>
      <c r="EE80" s="276">
        <v>0</v>
      </c>
      <c r="EF80" s="257">
        <v>1</v>
      </c>
      <c r="EG80" s="276">
        <v>0</v>
      </c>
      <c r="EH80" s="257">
        <v>0</v>
      </c>
      <c r="EI80" s="258">
        <v>0</v>
      </c>
      <c r="EJ80" s="256"/>
      <c r="EK80" t="str">
        <f t="shared" si="36"/>
        <v>Whole sector</v>
      </c>
      <c r="EL80" t="str">
        <f t="shared" si="37"/>
        <v/>
      </c>
      <c r="EM80" s="258" t="s">
        <v>544</v>
      </c>
      <c r="EN80" s="257" t="s">
        <v>236</v>
      </c>
      <c r="EO80" s="257"/>
      <c r="EP80" t="str">
        <f>IF(ISNUMBER(BU80),IF(ABS(BU80-[2]QC_indicators!$B$2)&gt;3*[2]QC_indicators!$C$2,"C ratio",IF(ISNUMBER(BY80),IF(ABS(BY80-[2]QC_indicators!$B$1)&gt;3*[2]QC_indicators!$C$1,"DF","no"))),IF(ISNUMBER(BY80),IF(ABS(BY80-[2]QC_indicators!$B$1)&gt;3*[2]QC_indicators!$C$1,"DF","no")))</f>
        <v>no</v>
      </c>
      <c r="EQ80"/>
      <c r="ER80"/>
      <c r="ES80"/>
      <c r="ET80"/>
      <c r="EU80"/>
    </row>
    <row r="81" spans="1:151" s="139" customFormat="1" ht="15" hidden="1" customHeight="1">
      <c r="A81" s="256" t="s">
        <v>214</v>
      </c>
      <c r="B81" s="257" t="s">
        <v>215</v>
      </c>
      <c r="C81" s="257" t="s">
        <v>216</v>
      </c>
      <c r="D81" s="257" t="s">
        <v>217</v>
      </c>
      <c r="E81" s="257" t="s">
        <v>218</v>
      </c>
      <c r="F81" s="257" t="s">
        <v>219</v>
      </c>
      <c r="G81" s="257" t="s">
        <v>220</v>
      </c>
      <c r="H81" s="257"/>
      <c r="I81" s="257">
        <v>2012</v>
      </c>
      <c r="J81" s="257"/>
      <c r="K81" s="257" t="s">
        <v>221</v>
      </c>
      <c r="L81" s="257"/>
      <c r="M81" s="257" t="s">
        <v>3069</v>
      </c>
      <c r="N81" s="257" t="s">
        <v>222</v>
      </c>
      <c r="O81" s="275" t="s">
        <v>223</v>
      </c>
      <c r="P81" s="257"/>
      <c r="Q81" s="257" t="s">
        <v>224</v>
      </c>
      <c r="R81" s="258" t="s">
        <v>225</v>
      </c>
      <c r="S81" s="256" t="s">
        <v>240</v>
      </c>
      <c r="T81" s="257">
        <v>2000</v>
      </c>
      <c r="U81" s="257">
        <v>4000</v>
      </c>
      <c r="V81" s="257">
        <v>0</v>
      </c>
      <c r="W81" s="257">
        <v>0</v>
      </c>
      <c r="X81" s="257">
        <v>0</v>
      </c>
      <c r="Y81" s="257">
        <v>0</v>
      </c>
      <c r="Z81" s="257">
        <v>0</v>
      </c>
      <c r="AA81" s="257">
        <v>1</v>
      </c>
      <c r="AB81" s="257">
        <v>0</v>
      </c>
      <c r="AC81" s="257">
        <v>0</v>
      </c>
      <c r="AD81" s="257">
        <v>0</v>
      </c>
      <c r="AE81" s="257">
        <v>0</v>
      </c>
      <c r="AF81" s="257">
        <v>0</v>
      </c>
      <c r="AG81" s="257">
        <v>0</v>
      </c>
      <c r="AH81" s="257">
        <v>0</v>
      </c>
      <c r="AI81" s="257">
        <v>0</v>
      </c>
      <c r="AJ81" s="257">
        <v>0</v>
      </c>
      <c r="AK81" s="257">
        <v>0</v>
      </c>
      <c r="AL81" s="257">
        <v>0</v>
      </c>
      <c r="AM81" s="257">
        <v>0</v>
      </c>
      <c r="AN81" s="257">
        <v>0</v>
      </c>
      <c r="AO81" s="257">
        <v>0</v>
      </c>
      <c r="AP81" s="257">
        <v>0</v>
      </c>
      <c r="AQ81" s="257">
        <v>0</v>
      </c>
      <c r="AR81" s="257">
        <v>0</v>
      </c>
      <c r="AS81" s="257">
        <v>0</v>
      </c>
      <c r="AT81" s="257">
        <v>0</v>
      </c>
      <c r="AU81" s="257">
        <v>0</v>
      </c>
      <c r="AV81" s="257">
        <v>0</v>
      </c>
      <c r="AW81" s="257">
        <v>0</v>
      </c>
      <c r="AX81" s="277">
        <v>1</v>
      </c>
      <c r="AY81" s="277">
        <v>1</v>
      </c>
      <c r="AZ81" s="257">
        <v>1</v>
      </c>
      <c r="BA81" s="257">
        <v>0</v>
      </c>
      <c r="BB81" s="257">
        <v>0</v>
      </c>
      <c r="BC81" s="257">
        <v>0</v>
      </c>
      <c r="BD81" s="257">
        <v>0</v>
      </c>
      <c r="BE81" s="257" t="s">
        <v>93</v>
      </c>
      <c r="BF81" s="2" t="str" cm="1">
        <f t="array" ref="BF81">IF(COUNTIF(AZ81:BB81,"&lt;&gt;0")=1,INDEX($V$4:$AW$4,MATCH(TRUE,INDEX($V81:$AW81&lt;&gt;0,),0)),IF(COUNTIF(AZ81:BB81,"&lt;&gt;0")=0,INDEX($AM$4:$AW$4,MATCH(1,$AM81:$AW81,0)),"Multiple strategies"))</f>
        <v>Silviculture for productivity</v>
      </c>
      <c r="BG81" s="278" t="s">
        <v>229</v>
      </c>
      <c r="BH81" s="257" t="s">
        <v>230</v>
      </c>
      <c r="BI81" s="279" t="s">
        <v>3070</v>
      </c>
      <c r="BJ81" s="276" t="s">
        <v>231</v>
      </c>
      <c r="BK81" s="257">
        <v>55.163392309999999</v>
      </c>
      <c r="BL81" s="257">
        <v>74.931604759999999</v>
      </c>
      <c r="BM81" s="276">
        <v>1.3583574472525037</v>
      </c>
      <c r="BN81" s="257">
        <v>19.76821245</v>
      </c>
      <c r="BO81" s="276">
        <v>40.343290714285715</v>
      </c>
      <c r="BP81" s="276" t="s">
        <v>232</v>
      </c>
      <c r="BQ81" s="279" t="s">
        <v>3070</v>
      </c>
      <c r="BR81" s="276" t="s">
        <v>233</v>
      </c>
      <c r="BS81" s="257">
        <v>-9.0346308719999993</v>
      </c>
      <c r="BT81" s="257">
        <v>-8.5161560640000005</v>
      </c>
      <c r="BU81" s="259">
        <v>0.94261250787712325</v>
      </c>
      <c r="BV81" s="257">
        <v>0.51847480799999879</v>
      </c>
      <c r="BW81" s="257"/>
      <c r="BX81" s="257">
        <v>5.1847480799999883E-4</v>
      </c>
      <c r="BY81" s="257">
        <v>1.2851574544869859E-5</v>
      </c>
      <c r="BZ81" s="257">
        <v>0</v>
      </c>
      <c r="CA81" s="257">
        <v>0</v>
      </c>
      <c r="CB81" s="257">
        <v>0</v>
      </c>
      <c r="CC81" s="257">
        <v>0</v>
      </c>
      <c r="CD81" s="257">
        <v>0</v>
      </c>
      <c r="CE81" s="257">
        <v>0</v>
      </c>
      <c r="CF81" s="257">
        <v>0</v>
      </c>
      <c r="CG81" s="257">
        <v>0</v>
      </c>
      <c r="CH81" s="257">
        <v>0</v>
      </c>
      <c r="CI81" s="257">
        <v>0</v>
      </c>
      <c r="CJ81" s="257">
        <v>0</v>
      </c>
      <c r="CK81" s="257">
        <v>0</v>
      </c>
      <c r="CL81" s="257">
        <v>0</v>
      </c>
      <c r="CM81" s="257">
        <v>0</v>
      </c>
      <c r="CN81" s="257" t="s">
        <v>3071</v>
      </c>
      <c r="CO81" s="257">
        <v>55.163392309999999</v>
      </c>
      <c r="CP81" s="257">
        <v>74.931604759999999</v>
      </c>
      <c r="CQ81" s="257">
        <v>40.343290714285715</v>
      </c>
      <c r="CR81" s="257">
        <v>-9.0346308719999993</v>
      </c>
      <c r="CS81" s="257">
        <v>-8.5161560640000005</v>
      </c>
      <c r="CT81" s="257">
        <v>5.1847480799999883E-4</v>
      </c>
      <c r="CU81" s="257">
        <v>1.2851574544869859E-5</v>
      </c>
      <c r="CV81" s="258">
        <v>5.7387492122876721E-2</v>
      </c>
      <c r="CW81" s="256" t="s">
        <v>234</v>
      </c>
      <c r="CX81" s="257" t="s">
        <v>3072</v>
      </c>
      <c r="CY81" s="257" t="s">
        <v>235</v>
      </c>
      <c r="CZ81" s="257"/>
      <c r="DA81" s="276"/>
      <c r="DB81" s="276">
        <v>80</v>
      </c>
      <c r="DC81" s="257" t="s">
        <v>3073</v>
      </c>
      <c r="DD81" s="257">
        <v>0</v>
      </c>
      <c r="DE81" s="257">
        <v>1</v>
      </c>
      <c r="DF81" s="257">
        <v>0</v>
      </c>
      <c r="DG81" s="257">
        <v>0</v>
      </c>
      <c r="DH81" s="257"/>
      <c r="DI81" s="257">
        <v>1</v>
      </c>
      <c r="DJ81" s="257" t="s">
        <v>173</v>
      </c>
      <c r="DK81" s="257">
        <v>0</v>
      </c>
      <c r="DL81" s="257" t="s">
        <v>180</v>
      </c>
      <c r="DM81" s="257">
        <v>0</v>
      </c>
      <c r="DN81" s="257">
        <v>0</v>
      </c>
      <c r="DO81" s="257">
        <v>0</v>
      </c>
      <c r="DP81" s="276">
        <v>0</v>
      </c>
      <c r="DQ81" s="276">
        <v>0</v>
      </c>
      <c r="DR81" s="276">
        <v>0</v>
      </c>
      <c r="DS81" s="276">
        <v>0</v>
      </c>
      <c r="DT81" s="257">
        <v>0</v>
      </c>
      <c r="DU81" s="276" t="s">
        <v>961</v>
      </c>
      <c r="DV81" s="276">
        <v>1</v>
      </c>
      <c r="DW81" s="276">
        <v>1</v>
      </c>
      <c r="DX81" s="276">
        <v>1</v>
      </c>
      <c r="DY81" s="276">
        <v>0</v>
      </c>
      <c r="DZ81" s="257">
        <v>0</v>
      </c>
      <c r="EA81" s="276">
        <v>0</v>
      </c>
      <c r="EB81" s="276">
        <v>1</v>
      </c>
      <c r="EC81" s="276">
        <v>1</v>
      </c>
      <c r="ED81" s="276">
        <v>0</v>
      </c>
      <c r="EE81" s="276">
        <v>0</v>
      </c>
      <c r="EF81" s="257">
        <v>1</v>
      </c>
      <c r="EG81" s="276">
        <v>0</v>
      </c>
      <c r="EH81" s="257">
        <v>0</v>
      </c>
      <c r="EI81" s="258">
        <v>0</v>
      </c>
      <c r="EJ81" s="256"/>
      <c r="EK81" t="str">
        <f t="shared" si="36"/>
        <v>Whole sector</v>
      </c>
      <c r="EL81" t="str">
        <f t="shared" si="37"/>
        <v/>
      </c>
      <c r="EM81" s="258" t="s">
        <v>544</v>
      </c>
      <c r="EN81" s="257" t="s">
        <v>236</v>
      </c>
      <c r="EO81" s="257"/>
      <c r="EP81" t="str">
        <f>IF(ISNUMBER(BU81),IF(ABS(BU81-[2]QC_indicators!$B$2)&gt;3*[2]QC_indicators!$C$2,"C ratio",IF(ISNUMBER(BY81),IF(ABS(BY81-[2]QC_indicators!$B$1)&gt;3*[2]QC_indicators!$C$1,"DF","no"))),IF(ISNUMBER(BY81),IF(ABS(BY81-[2]QC_indicators!$B$1)&gt;3*[2]QC_indicators!$C$1,"DF","no")))</f>
        <v>no</v>
      </c>
      <c r="EQ81" s="280"/>
      <c r="ER81" s="280"/>
      <c r="ES81" s="280"/>
      <c r="ET81"/>
      <c r="EU81"/>
    </row>
    <row r="82" spans="1:151" s="139" customFormat="1" ht="15" hidden="1" customHeight="1">
      <c r="A82" s="256" t="s">
        <v>214</v>
      </c>
      <c r="B82" s="257" t="s">
        <v>215</v>
      </c>
      <c r="C82" s="257" t="s">
        <v>216</v>
      </c>
      <c r="D82" s="257" t="s">
        <v>217</v>
      </c>
      <c r="E82" s="257" t="s">
        <v>218</v>
      </c>
      <c r="F82" s="257" t="s">
        <v>219</v>
      </c>
      <c r="G82" s="257" t="s">
        <v>220</v>
      </c>
      <c r="H82" s="257"/>
      <c r="I82" s="257">
        <v>2012</v>
      </c>
      <c r="J82" s="257"/>
      <c r="K82" s="257" t="s">
        <v>221</v>
      </c>
      <c r="L82" s="257"/>
      <c r="M82" s="257" t="s">
        <v>3069</v>
      </c>
      <c r="N82" s="257" t="s">
        <v>222</v>
      </c>
      <c r="O82" s="275" t="s">
        <v>223</v>
      </c>
      <c r="P82" s="257"/>
      <c r="Q82" s="257" t="s">
        <v>224</v>
      </c>
      <c r="R82" s="258" t="s">
        <v>225</v>
      </c>
      <c r="S82" s="256" t="s">
        <v>226</v>
      </c>
      <c r="T82" s="257" t="s">
        <v>228</v>
      </c>
      <c r="U82" s="257" t="s">
        <v>237</v>
      </c>
      <c r="V82" s="257">
        <v>0</v>
      </c>
      <c r="W82" s="257">
        <v>0</v>
      </c>
      <c r="X82" s="257">
        <v>0</v>
      </c>
      <c r="Y82" s="257">
        <v>1</v>
      </c>
      <c r="Z82" s="257">
        <v>0</v>
      </c>
      <c r="AA82" s="257">
        <v>0</v>
      </c>
      <c r="AB82" s="257">
        <v>0</v>
      </c>
      <c r="AC82" s="257">
        <v>0</v>
      </c>
      <c r="AD82" s="257">
        <v>0</v>
      </c>
      <c r="AE82" s="257">
        <v>0</v>
      </c>
      <c r="AF82" s="257">
        <v>0</v>
      </c>
      <c r="AG82" s="257">
        <v>0</v>
      </c>
      <c r="AH82" s="257">
        <v>0</v>
      </c>
      <c r="AI82" s="257">
        <v>0</v>
      </c>
      <c r="AJ82" s="257">
        <v>0</v>
      </c>
      <c r="AK82" s="257">
        <v>0</v>
      </c>
      <c r="AL82" s="257">
        <v>0</v>
      </c>
      <c r="AM82" s="257">
        <v>0</v>
      </c>
      <c r="AN82" s="257">
        <v>0</v>
      </c>
      <c r="AO82" s="257">
        <v>0</v>
      </c>
      <c r="AP82" s="257">
        <v>0</v>
      </c>
      <c r="AQ82" s="257">
        <v>0</v>
      </c>
      <c r="AR82" s="257">
        <v>0</v>
      </c>
      <c r="AS82" s="257">
        <v>0</v>
      </c>
      <c r="AT82" s="257">
        <v>0</v>
      </c>
      <c r="AU82" s="257">
        <v>0</v>
      </c>
      <c r="AV82" s="257">
        <v>0</v>
      </c>
      <c r="AW82" s="257">
        <v>0</v>
      </c>
      <c r="AX82" s="277">
        <v>1</v>
      </c>
      <c r="AY82" s="277">
        <v>1</v>
      </c>
      <c r="AZ82" s="257">
        <v>1</v>
      </c>
      <c r="BA82" s="257">
        <v>0</v>
      </c>
      <c r="BB82" s="257">
        <v>0</v>
      </c>
      <c r="BC82" s="257">
        <v>0</v>
      </c>
      <c r="BD82" s="257">
        <v>0</v>
      </c>
      <c r="BE82" s="257" t="s">
        <v>91</v>
      </c>
      <c r="BF82" s="2" t="str" cm="1">
        <f t="array" ref="BF82">IF(COUNTIF(AZ82:BB82,"&lt;&gt;0")=1,INDEX($V$4:$AW$4,MATCH(TRUE,INDEX($V82:$AW82&lt;&gt;0,),0)),IF(COUNTIF(AZ82:BB82,"&lt;&gt;0")=0,INDEX($AM$4:$AW$4,MATCH(1,$AM82:$AW82,0)),"Multiple strategies"))</f>
        <v>Silviculture for removals</v>
      </c>
      <c r="BG82" s="278" t="s">
        <v>229</v>
      </c>
      <c r="BH82" s="257" t="s">
        <v>230</v>
      </c>
      <c r="BI82" s="279" t="s">
        <v>3070</v>
      </c>
      <c r="BJ82" s="276" t="s">
        <v>231</v>
      </c>
      <c r="BK82" s="257">
        <v>95.977011489999995</v>
      </c>
      <c r="BL82" s="257">
        <v>114.0804598</v>
      </c>
      <c r="BM82" s="276">
        <v>1.1886227548550647</v>
      </c>
      <c r="BN82" s="257">
        <v>18.103448310000005</v>
      </c>
      <c r="BO82" s="276">
        <v>36.945812877551027</v>
      </c>
      <c r="BP82" s="276" t="s">
        <v>232</v>
      </c>
      <c r="BQ82" s="279" t="s">
        <v>3070</v>
      </c>
      <c r="BR82" s="276" t="s">
        <v>233</v>
      </c>
      <c r="BS82" s="257">
        <v>-8.1428571430000005</v>
      </c>
      <c r="BT82" s="257">
        <v>-7.6632653060000004</v>
      </c>
      <c r="BU82" s="259">
        <v>0.94110275686068245</v>
      </c>
      <c r="BV82" s="257">
        <v>0.47959183700000008</v>
      </c>
      <c r="BW82" s="257"/>
      <c r="BX82" s="257">
        <v>4.7959183700000009E-4</v>
      </c>
      <c r="BY82" s="257">
        <v>1.2980952363654967E-5</v>
      </c>
      <c r="BZ82" s="257">
        <v>0</v>
      </c>
      <c r="CA82" s="257">
        <v>0</v>
      </c>
      <c r="CB82" s="257">
        <v>0</v>
      </c>
      <c r="CC82" s="257">
        <v>0</v>
      </c>
      <c r="CD82" s="257">
        <v>0</v>
      </c>
      <c r="CE82" s="257">
        <v>0</v>
      </c>
      <c r="CF82" s="257">
        <v>0</v>
      </c>
      <c r="CG82" s="257">
        <v>0</v>
      </c>
      <c r="CH82" s="257">
        <v>0</v>
      </c>
      <c r="CI82" s="257">
        <v>0</v>
      </c>
      <c r="CJ82" s="257">
        <v>0</v>
      </c>
      <c r="CK82" s="257">
        <v>0</v>
      </c>
      <c r="CL82" s="257">
        <v>0</v>
      </c>
      <c r="CM82" s="257">
        <v>0</v>
      </c>
      <c r="CN82" s="257" t="s">
        <v>3071</v>
      </c>
      <c r="CO82" s="257">
        <v>95.977011489999995</v>
      </c>
      <c r="CP82" s="257">
        <v>114.0804598</v>
      </c>
      <c r="CQ82" s="257">
        <v>36.945812877551027</v>
      </c>
      <c r="CR82" s="257">
        <v>-8.1428571430000005</v>
      </c>
      <c r="CS82" s="257">
        <v>-7.6632653060000004</v>
      </c>
      <c r="CT82" s="257">
        <v>4.7959183700000009E-4</v>
      </c>
      <c r="CU82" s="257">
        <v>1.2980952363654967E-5</v>
      </c>
      <c r="CV82" s="258">
        <v>5.8897243139317601E-2</v>
      </c>
      <c r="CW82" s="256" t="s">
        <v>234</v>
      </c>
      <c r="CX82" s="257" t="s">
        <v>3072</v>
      </c>
      <c r="CY82" s="257" t="s">
        <v>235</v>
      </c>
      <c r="CZ82" s="257"/>
      <c r="DA82" s="276"/>
      <c r="DB82" s="276">
        <v>80</v>
      </c>
      <c r="DC82" s="257" t="s">
        <v>3073</v>
      </c>
      <c r="DD82" s="257">
        <v>0</v>
      </c>
      <c r="DE82" s="257">
        <v>1</v>
      </c>
      <c r="DF82" s="257">
        <v>0</v>
      </c>
      <c r="DG82" s="257">
        <v>0</v>
      </c>
      <c r="DH82" s="257"/>
      <c r="DI82" s="257">
        <v>1</v>
      </c>
      <c r="DJ82" s="257" t="s">
        <v>173</v>
      </c>
      <c r="DK82" s="257">
        <v>0</v>
      </c>
      <c r="DL82" s="257" t="s">
        <v>180</v>
      </c>
      <c r="DM82" s="257">
        <v>0</v>
      </c>
      <c r="DN82" s="257">
        <v>0</v>
      </c>
      <c r="DO82" s="257">
        <v>0</v>
      </c>
      <c r="DP82" s="276">
        <v>0</v>
      </c>
      <c r="DQ82" s="276">
        <v>0</v>
      </c>
      <c r="DR82" s="276">
        <v>0</v>
      </c>
      <c r="DS82" s="276">
        <v>0</v>
      </c>
      <c r="DT82" s="257">
        <v>0</v>
      </c>
      <c r="DU82" s="276" t="s">
        <v>961</v>
      </c>
      <c r="DV82" s="276">
        <v>1</v>
      </c>
      <c r="DW82" s="276">
        <v>1</v>
      </c>
      <c r="DX82" s="276">
        <v>1</v>
      </c>
      <c r="DY82" s="276">
        <v>0</v>
      </c>
      <c r="DZ82" s="257">
        <v>0</v>
      </c>
      <c r="EA82" s="276">
        <v>0</v>
      </c>
      <c r="EB82" s="276">
        <v>1</v>
      </c>
      <c r="EC82" s="276">
        <v>1</v>
      </c>
      <c r="ED82" s="276">
        <v>0</v>
      </c>
      <c r="EE82" s="276">
        <v>0</v>
      </c>
      <c r="EF82" s="257">
        <v>1</v>
      </c>
      <c r="EG82" s="276">
        <v>0</v>
      </c>
      <c r="EH82" s="257">
        <v>0</v>
      </c>
      <c r="EI82" s="258">
        <v>0</v>
      </c>
      <c r="EJ82" s="256"/>
      <c r="EK82" t="str">
        <f t="shared" si="36"/>
        <v>Whole sector</v>
      </c>
      <c r="EL82" t="str">
        <f t="shared" si="37"/>
        <v/>
      </c>
      <c r="EM82" s="258" t="s">
        <v>544</v>
      </c>
      <c r="EN82" s="257" t="s">
        <v>236</v>
      </c>
      <c r="EO82" s="257"/>
      <c r="EP82" t="str">
        <f>IF(ISNUMBER(BU82),IF(ABS(BU82-[2]QC_indicators!$B$2)&gt;3*[2]QC_indicators!$C$2,"C ratio",IF(ISNUMBER(BY82),IF(ABS(BY82-[2]QC_indicators!$B$1)&gt;3*[2]QC_indicators!$C$1,"DF","no"))),IF(ISNUMBER(BY82),IF(ABS(BY82-[2]QC_indicators!$B$1)&gt;3*[2]QC_indicators!$C$1,"DF","no")))</f>
        <v>no</v>
      </c>
      <c r="EQ82" s="280"/>
      <c r="ER82" s="280"/>
      <c r="ES82" s="280"/>
      <c r="ET82"/>
      <c r="EU82"/>
    </row>
    <row r="83" spans="1:151" s="139" customFormat="1" ht="15" hidden="1" customHeight="1">
      <c r="A83" s="256" t="s">
        <v>214</v>
      </c>
      <c r="B83" s="257" t="s">
        <v>215</v>
      </c>
      <c r="C83" s="257" t="s">
        <v>216</v>
      </c>
      <c r="D83" s="257" t="s">
        <v>217</v>
      </c>
      <c r="E83" s="257" t="s">
        <v>218</v>
      </c>
      <c r="F83" s="257" t="s">
        <v>219</v>
      </c>
      <c r="G83" s="257" t="s">
        <v>220</v>
      </c>
      <c r="H83" s="257"/>
      <c r="I83" s="257">
        <v>2012</v>
      </c>
      <c r="J83" s="257"/>
      <c r="K83" s="257" t="s">
        <v>221</v>
      </c>
      <c r="L83" s="257"/>
      <c r="M83" s="257" t="s">
        <v>3069</v>
      </c>
      <c r="N83" s="257" t="s">
        <v>222</v>
      </c>
      <c r="O83" s="275" t="s">
        <v>223</v>
      </c>
      <c r="P83" s="257"/>
      <c r="Q83" s="257" t="s">
        <v>224</v>
      </c>
      <c r="R83" s="258" t="s">
        <v>225</v>
      </c>
      <c r="S83" s="256" t="s">
        <v>226</v>
      </c>
      <c r="T83" s="257" t="s">
        <v>228</v>
      </c>
      <c r="U83" s="257" t="s">
        <v>239</v>
      </c>
      <c r="V83" s="257">
        <v>0</v>
      </c>
      <c r="W83" s="257">
        <v>0</v>
      </c>
      <c r="X83" s="257">
        <v>0</v>
      </c>
      <c r="Y83" s="257">
        <v>1</v>
      </c>
      <c r="Z83" s="257">
        <v>0</v>
      </c>
      <c r="AA83" s="257">
        <v>0</v>
      </c>
      <c r="AB83" s="257">
        <v>0</v>
      </c>
      <c r="AC83" s="257">
        <v>0</v>
      </c>
      <c r="AD83" s="257">
        <v>0</v>
      </c>
      <c r="AE83" s="257">
        <v>0</v>
      </c>
      <c r="AF83" s="257">
        <v>0</v>
      </c>
      <c r="AG83" s="257">
        <v>0</v>
      </c>
      <c r="AH83" s="257">
        <v>0</v>
      </c>
      <c r="AI83" s="257">
        <v>0</v>
      </c>
      <c r="AJ83" s="257">
        <v>0</v>
      </c>
      <c r="AK83" s="257">
        <v>0</v>
      </c>
      <c r="AL83" s="257">
        <v>0</v>
      </c>
      <c r="AM83" s="257">
        <v>0</v>
      </c>
      <c r="AN83" s="257">
        <v>0</v>
      </c>
      <c r="AO83" s="257">
        <v>0</v>
      </c>
      <c r="AP83" s="257">
        <v>0</v>
      </c>
      <c r="AQ83" s="257">
        <v>0</v>
      </c>
      <c r="AR83" s="257">
        <v>0</v>
      </c>
      <c r="AS83" s="257">
        <v>0</v>
      </c>
      <c r="AT83" s="257">
        <v>0</v>
      </c>
      <c r="AU83" s="257">
        <v>0</v>
      </c>
      <c r="AV83" s="257">
        <v>0</v>
      </c>
      <c r="AW83" s="257">
        <v>0</v>
      </c>
      <c r="AX83" s="277">
        <v>1</v>
      </c>
      <c r="AY83" s="277">
        <v>1</v>
      </c>
      <c r="AZ83" s="257">
        <v>1</v>
      </c>
      <c r="BA83" s="257">
        <v>0</v>
      </c>
      <c r="BB83" s="257">
        <v>0</v>
      </c>
      <c r="BC83" s="257">
        <v>0</v>
      </c>
      <c r="BD83" s="257">
        <v>0</v>
      </c>
      <c r="BE83" s="257" t="s">
        <v>91</v>
      </c>
      <c r="BF83" s="2" t="str" cm="1">
        <f t="array" ref="BF83">IF(COUNTIF(AZ83:BB83,"&lt;&gt;0")=1,INDEX($V$4:$AW$4,MATCH(TRUE,INDEX($V83:$AW83&lt;&gt;0,),0)),IF(COUNTIF(AZ83:BB83,"&lt;&gt;0")=0,INDEX($AM$4:$AW$4,MATCH(1,$AM83:$AW83,0)),"Multiple strategies"))</f>
        <v>Silviculture for removals</v>
      </c>
      <c r="BG83" s="278" t="s">
        <v>229</v>
      </c>
      <c r="BH83" s="257" t="s">
        <v>230</v>
      </c>
      <c r="BI83" s="279" t="s">
        <v>3070</v>
      </c>
      <c r="BJ83" s="276" t="s">
        <v>231</v>
      </c>
      <c r="BK83" s="257">
        <v>55.163392309999999</v>
      </c>
      <c r="BL83" s="257">
        <v>89.04746797</v>
      </c>
      <c r="BM83" s="276">
        <v>0.61948299673814966</v>
      </c>
      <c r="BN83" s="257">
        <v>33.884075660000001</v>
      </c>
      <c r="BO83" s="276">
        <v>69.151174816326531</v>
      </c>
      <c r="BP83" s="276" t="s">
        <v>232</v>
      </c>
      <c r="BQ83" s="279" t="s">
        <v>3070</v>
      </c>
      <c r="BR83" s="276" t="s">
        <v>233</v>
      </c>
      <c r="BS83" s="257">
        <v>-9.0346308719999993</v>
      </c>
      <c r="BT83" s="257">
        <v>-8.1050396580000008</v>
      </c>
      <c r="BU83" s="259">
        <v>0.89710800284259817</v>
      </c>
      <c r="BV83" s="257">
        <v>0.92959121399999844</v>
      </c>
      <c r="BW83" s="257"/>
      <c r="BX83" s="257">
        <v>9.295912139999984E-4</v>
      </c>
      <c r="BY83" s="257">
        <v>1.3442883891258529E-5</v>
      </c>
      <c r="BZ83" s="257">
        <v>0</v>
      </c>
      <c r="CA83" s="257">
        <v>0</v>
      </c>
      <c r="CB83" s="257">
        <v>0</v>
      </c>
      <c r="CC83" s="257">
        <v>0</v>
      </c>
      <c r="CD83" s="257">
        <v>0</v>
      </c>
      <c r="CE83" s="257">
        <v>0</v>
      </c>
      <c r="CF83" s="257">
        <v>0</v>
      </c>
      <c r="CG83" s="257">
        <v>0</v>
      </c>
      <c r="CH83" s="257">
        <v>0</v>
      </c>
      <c r="CI83" s="257">
        <v>0</v>
      </c>
      <c r="CJ83" s="257">
        <v>0</v>
      </c>
      <c r="CK83" s="257">
        <v>0</v>
      </c>
      <c r="CL83" s="257">
        <v>0</v>
      </c>
      <c r="CM83" s="257">
        <v>0</v>
      </c>
      <c r="CN83" s="257" t="s">
        <v>3071</v>
      </c>
      <c r="CO83" s="257">
        <v>55.163392309999999</v>
      </c>
      <c r="CP83" s="257">
        <v>89.04746797</v>
      </c>
      <c r="CQ83" s="257">
        <v>69.151174816326531</v>
      </c>
      <c r="CR83" s="257">
        <v>-9.0346308719999993</v>
      </c>
      <c r="CS83" s="257">
        <v>-8.1050396580000008</v>
      </c>
      <c r="CT83" s="257">
        <v>9.295912139999984E-4</v>
      </c>
      <c r="CU83" s="257">
        <v>1.3442883891258529E-5</v>
      </c>
      <c r="CV83" s="258">
        <v>0.1028919971574018</v>
      </c>
      <c r="CW83" s="256" t="s">
        <v>234</v>
      </c>
      <c r="CX83" s="257" t="s">
        <v>3072</v>
      </c>
      <c r="CY83" s="257" t="s">
        <v>235</v>
      </c>
      <c r="CZ83" s="257"/>
      <c r="DA83" s="276"/>
      <c r="DB83" s="276">
        <v>80</v>
      </c>
      <c r="DC83" s="257" t="s">
        <v>3073</v>
      </c>
      <c r="DD83" s="257">
        <v>0</v>
      </c>
      <c r="DE83" s="257">
        <v>1</v>
      </c>
      <c r="DF83" s="257">
        <v>0</v>
      </c>
      <c r="DG83" s="257">
        <v>0</v>
      </c>
      <c r="DH83" s="257"/>
      <c r="DI83" s="257">
        <v>1</v>
      </c>
      <c r="DJ83" s="257" t="s">
        <v>173</v>
      </c>
      <c r="DK83" s="257">
        <v>0</v>
      </c>
      <c r="DL83" s="257" t="s">
        <v>180</v>
      </c>
      <c r="DM83" s="257">
        <v>0</v>
      </c>
      <c r="DN83" s="257">
        <v>0</v>
      </c>
      <c r="DO83" s="257">
        <v>0</v>
      </c>
      <c r="DP83" s="276">
        <v>0</v>
      </c>
      <c r="DQ83" s="276">
        <v>0</v>
      </c>
      <c r="DR83" s="276">
        <v>0</v>
      </c>
      <c r="DS83" s="276">
        <v>0</v>
      </c>
      <c r="DT83" s="257">
        <v>0</v>
      </c>
      <c r="DU83" s="276" t="s">
        <v>961</v>
      </c>
      <c r="DV83" s="276">
        <v>1</v>
      </c>
      <c r="DW83" s="276">
        <v>1</v>
      </c>
      <c r="DX83" s="276">
        <v>1</v>
      </c>
      <c r="DY83" s="276">
        <v>0</v>
      </c>
      <c r="DZ83" s="257">
        <v>0</v>
      </c>
      <c r="EA83" s="276">
        <v>0</v>
      </c>
      <c r="EB83" s="276">
        <v>1</v>
      </c>
      <c r="EC83" s="276">
        <v>1</v>
      </c>
      <c r="ED83" s="276">
        <v>0</v>
      </c>
      <c r="EE83" s="276">
        <v>0</v>
      </c>
      <c r="EF83" s="257">
        <v>1</v>
      </c>
      <c r="EG83" s="276">
        <v>0</v>
      </c>
      <c r="EH83" s="257">
        <v>0</v>
      </c>
      <c r="EI83" s="258">
        <v>0</v>
      </c>
      <c r="EJ83" s="256"/>
      <c r="EK83" t="str">
        <f t="shared" si="36"/>
        <v>Whole sector</v>
      </c>
      <c r="EL83" t="str">
        <f t="shared" si="37"/>
        <v/>
      </c>
      <c r="EM83" s="258" t="s">
        <v>544</v>
      </c>
      <c r="EN83" s="257" t="s">
        <v>236</v>
      </c>
      <c r="EO83" s="257"/>
      <c r="EP83" t="str">
        <f>IF(ISNUMBER(BU83),IF(ABS(BU83-[2]QC_indicators!$B$2)&gt;3*[2]QC_indicators!$C$2,"C ratio",IF(ISNUMBER(BY83),IF(ABS(BY83-[2]QC_indicators!$B$1)&gt;3*[2]QC_indicators!$C$1,"DF","no"))),IF(ISNUMBER(BY83),IF(ABS(BY83-[2]QC_indicators!$B$1)&gt;3*[2]QC_indicators!$C$1,"DF","no")))</f>
        <v>no</v>
      </c>
      <c r="EQ83" s="280"/>
      <c r="ER83" s="280"/>
      <c r="ES83" s="280"/>
      <c r="ET83"/>
      <c r="EU83"/>
    </row>
    <row r="84" spans="1:151" s="139" customFormat="1" ht="15" hidden="1" customHeight="1">
      <c r="A84" s="256" t="s">
        <v>214</v>
      </c>
      <c r="B84" s="257" t="s">
        <v>215</v>
      </c>
      <c r="C84" s="257" t="s">
        <v>216</v>
      </c>
      <c r="D84" s="257" t="s">
        <v>217</v>
      </c>
      <c r="E84" s="257" t="s">
        <v>218</v>
      </c>
      <c r="F84" s="257" t="s">
        <v>219</v>
      </c>
      <c r="G84" s="257" t="s">
        <v>220</v>
      </c>
      <c r="H84" s="257"/>
      <c r="I84" s="257">
        <v>2012</v>
      </c>
      <c r="J84" s="257"/>
      <c r="K84" s="257" t="s">
        <v>221</v>
      </c>
      <c r="L84" s="257"/>
      <c r="M84" s="257" t="s">
        <v>3069</v>
      </c>
      <c r="N84" s="257" t="s">
        <v>222</v>
      </c>
      <c r="O84" s="275" t="s">
        <v>223</v>
      </c>
      <c r="P84" s="257"/>
      <c r="Q84" s="257" t="s">
        <v>224</v>
      </c>
      <c r="R84" s="258" t="s">
        <v>225</v>
      </c>
      <c r="S84" s="256" t="s">
        <v>92</v>
      </c>
      <c r="T84" s="257" t="s">
        <v>245</v>
      </c>
      <c r="U84" s="276" t="s">
        <v>246</v>
      </c>
      <c r="V84" s="257">
        <v>0</v>
      </c>
      <c r="W84" s="257">
        <v>0</v>
      </c>
      <c r="X84" s="257">
        <v>0</v>
      </c>
      <c r="Y84" s="257">
        <v>0</v>
      </c>
      <c r="Z84" s="257">
        <v>1</v>
      </c>
      <c r="AA84" s="257">
        <v>0</v>
      </c>
      <c r="AB84" s="257">
        <v>0</v>
      </c>
      <c r="AC84" s="257">
        <v>0</v>
      </c>
      <c r="AD84" s="257">
        <v>0</v>
      </c>
      <c r="AE84" s="257">
        <v>0</v>
      </c>
      <c r="AF84" s="257">
        <v>0</v>
      </c>
      <c r="AG84" s="257">
        <v>0</v>
      </c>
      <c r="AH84" s="257">
        <v>0</v>
      </c>
      <c r="AI84" s="257">
        <v>0</v>
      </c>
      <c r="AJ84" s="257">
        <v>0</v>
      </c>
      <c r="AK84" s="257">
        <v>0</v>
      </c>
      <c r="AL84" s="257">
        <v>0</v>
      </c>
      <c r="AM84" s="257">
        <v>0</v>
      </c>
      <c r="AN84" s="257">
        <v>0</v>
      </c>
      <c r="AO84" s="257">
        <v>0</v>
      </c>
      <c r="AP84" s="257">
        <v>0</v>
      </c>
      <c r="AQ84" s="257">
        <v>0</v>
      </c>
      <c r="AR84" s="257">
        <v>0</v>
      </c>
      <c r="AS84" s="257">
        <v>0</v>
      </c>
      <c r="AT84" s="257">
        <v>0</v>
      </c>
      <c r="AU84" s="257">
        <v>0</v>
      </c>
      <c r="AV84" s="257">
        <v>0</v>
      </c>
      <c r="AW84" s="257">
        <v>0</v>
      </c>
      <c r="AX84" s="277">
        <v>1</v>
      </c>
      <c r="AY84" s="277">
        <v>1</v>
      </c>
      <c r="AZ84" s="257">
        <v>1</v>
      </c>
      <c r="BA84" s="257">
        <v>0</v>
      </c>
      <c r="BB84" s="257">
        <v>0</v>
      </c>
      <c r="BC84" s="257">
        <v>0</v>
      </c>
      <c r="BD84" s="257">
        <v>0</v>
      </c>
      <c r="BE84" s="257" t="s">
        <v>92</v>
      </c>
      <c r="BF84" s="2" t="str" cm="1">
        <f t="array" ref="BF84">IF(COUNTIF(AZ84:BB84,"&lt;&gt;0")=1,INDEX($V$4:$AW$4,MATCH(TRUE,INDEX($V84:$AW84&lt;&gt;0,),0)),IF(COUNTIF(AZ84:BB84,"&lt;&gt;0")=0,INDEX($AM$4:$AW$4,MATCH(1,$AM84:$AW84,0)),"Multiple strategies"))</f>
        <v>Silviculture for productivity</v>
      </c>
      <c r="BG84" s="278" t="s">
        <v>229</v>
      </c>
      <c r="BH84" s="257" t="s">
        <v>230</v>
      </c>
      <c r="BI84" s="279" t="s">
        <v>3070</v>
      </c>
      <c r="BJ84" s="276" t="s">
        <v>231</v>
      </c>
      <c r="BK84" s="257">
        <v>63.5091743119266</v>
      </c>
      <c r="BL84" s="257">
        <v>85.005979255643595</v>
      </c>
      <c r="BM84" s="276">
        <v>1.3384834581242546</v>
      </c>
      <c r="BN84" s="257">
        <v>21.496804943716995</v>
      </c>
      <c r="BO84" s="276">
        <v>43.871030497381625</v>
      </c>
      <c r="BP84" s="276" t="s">
        <v>232</v>
      </c>
      <c r="BQ84" s="279" t="s">
        <v>3070</v>
      </c>
      <c r="BR84" s="276" t="s">
        <v>233</v>
      </c>
      <c r="BS84" s="257">
        <v>-8.71587255658436</v>
      </c>
      <c r="BT84" s="257">
        <v>-8.1260280658938306</v>
      </c>
      <c r="BU84" s="259">
        <v>0.93232525064344429</v>
      </c>
      <c r="BV84" s="257">
        <v>0.58984449069052935</v>
      </c>
      <c r="BW84" s="257"/>
      <c r="BX84" s="257">
        <v>5.898444906905294E-4</v>
      </c>
      <c r="BY84" s="257">
        <v>1.3444965481851021E-5</v>
      </c>
      <c r="BZ84" s="257">
        <v>0</v>
      </c>
      <c r="CA84" s="257">
        <v>0</v>
      </c>
      <c r="CB84" s="257">
        <v>0</v>
      </c>
      <c r="CC84" s="257">
        <v>0</v>
      </c>
      <c r="CD84" s="257">
        <v>0</v>
      </c>
      <c r="CE84" s="257">
        <v>0</v>
      </c>
      <c r="CF84" s="257">
        <v>0</v>
      </c>
      <c r="CG84" s="257">
        <v>0</v>
      </c>
      <c r="CH84" s="257">
        <v>0</v>
      </c>
      <c r="CI84" s="257">
        <v>0</v>
      </c>
      <c r="CJ84" s="257">
        <v>0</v>
      </c>
      <c r="CK84" s="257">
        <v>0</v>
      </c>
      <c r="CL84" s="257">
        <v>0</v>
      </c>
      <c r="CM84" s="257">
        <v>0</v>
      </c>
      <c r="CN84" s="257" t="s">
        <v>3071</v>
      </c>
      <c r="CO84" s="257">
        <v>63.5091743119266</v>
      </c>
      <c r="CP84" s="257">
        <v>85.005979255643595</v>
      </c>
      <c r="CQ84" s="257">
        <v>43.871030497381625</v>
      </c>
      <c r="CR84" s="257">
        <v>-8.71587255658436</v>
      </c>
      <c r="CS84" s="257">
        <v>-8.1260280658938306</v>
      </c>
      <c r="CT84" s="257">
        <v>5.898444906905294E-4</v>
      </c>
      <c r="CU84" s="257">
        <v>1.3444965481851021E-5</v>
      </c>
      <c r="CV84" s="258">
        <v>6.767474935655575E-2</v>
      </c>
      <c r="CW84" s="256" t="s">
        <v>234</v>
      </c>
      <c r="CX84" s="257" t="s">
        <v>3072</v>
      </c>
      <c r="CY84" s="257" t="s">
        <v>235</v>
      </c>
      <c r="CZ84" s="257"/>
      <c r="DA84" s="276"/>
      <c r="DB84" s="276">
        <v>80</v>
      </c>
      <c r="DC84" s="257" t="s">
        <v>3073</v>
      </c>
      <c r="DD84" s="257">
        <v>0</v>
      </c>
      <c r="DE84" s="257">
        <v>1</v>
      </c>
      <c r="DF84" s="257">
        <v>0</v>
      </c>
      <c r="DG84" s="257">
        <v>0</v>
      </c>
      <c r="DH84" s="257"/>
      <c r="DI84" s="257">
        <v>1</v>
      </c>
      <c r="DJ84" s="257" t="s">
        <v>173</v>
      </c>
      <c r="DK84" s="257">
        <v>0</v>
      </c>
      <c r="DL84" s="257" t="s">
        <v>180</v>
      </c>
      <c r="DM84" s="257">
        <v>0</v>
      </c>
      <c r="DN84" s="257">
        <v>0</v>
      </c>
      <c r="DO84" s="257">
        <v>0</v>
      </c>
      <c r="DP84" s="276">
        <v>0</v>
      </c>
      <c r="DQ84" s="276">
        <v>0</v>
      </c>
      <c r="DR84" s="276">
        <v>0</v>
      </c>
      <c r="DS84" s="276">
        <v>0</v>
      </c>
      <c r="DT84" s="257">
        <v>0</v>
      </c>
      <c r="DU84" s="276" t="s">
        <v>961</v>
      </c>
      <c r="DV84" s="276">
        <v>1</v>
      </c>
      <c r="DW84" s="276">
        <v>1</v>
      </c>
      <c r="DX84" s="276">
        <v>1</v>
      </c>
      <c r="DY84" s="276">
        <v>0</v>
      </c>
      <c r="DZ84" s="257">
        <v>0</v>
      </c>
      <c r="EA84" s="276">
        <v>0</v>
      </c>
      <c r="EB84" s="276">
        <v>1</v>
      </c>
      <c r="EC84" s="276">
        <v>1</v>
      </c>
      <c r="ED84" s="276">
        <v>0</v>
      </c>
      <c r="EE84" s="276">
        <v>0</v>
      </c>
      <c r="EF84" s="257">
        <v>1</v>
      </c>
      <c r="EG84" s="276">
        <v>0</v>
      </c>
      <c r="EH84" s="257">
        <v>0</v>
      </c>
      <c r="EI84" s="258">
        <v>0</v>
      </c>
      <c r="EJ84" s="256"/>
      <c r="EK84" t="str">
        <f t="shared" si="36"/>
        <v>Whole sector</v>
      </c>
      <c r="EL84" t="str">
        <f t="shared" si="37"/>
        <v/>
      </c>
      <c r="EM84" s="258" t="s">
        <v>544</v>
      </c>
      <c r="EN84" s="257" t="s">
        <v>236</v>
      </c>
      <c r="EO84" s="257"/>
      <c r="EP84" t="str">
        <f>IF(ISNUMBER(BU84),IF(ABS(BU84-[2]QC_indicators!$B$2)&gt;3*[2]QC_indicators!$C$2,"C ratio",IF(ISNUMBER(BY84),IF(ABS(BY84-[2]QC_indicators!$B$1)&gt;3*[2]QC_indicators!$C$1,"DF","no"))),IF(ISNUMBER(BY84),IF(ABS(BY84-[2]QC_indicators!$B$1)&gt;3*[2]QC_indicators!$C$1,"DF","no")))</f>
        <v>no</v>
      </c>
      <c r="EQ84" s="257"/>
      <c r="ER84" s="257"/>
      <c r="ES84"/>
      <c r="ET84"/>
      <c r="EU84"/>
    </row>
    <row r="85" spans="1:151" s="139" customFormat="1" hidden="1">
      <c r="A85" s="256" t="s">
        <v>214</v>
      </c>
      <c r="B85" s="257" t="s">
        <v>215</v>
      </c>
      <c r="C85" s="257" t="s">
        <v>216</v>
      </c>
      <c r="D85" s="257" t="s">
        <v>217</v>
      </c>
      <c r="E85" s="257" t="s">
        <v>218</v>
      </c>
      <c r="F85" s="257" t="s">
        <v>219</v>
      </c>
      <c r="G85" s="257" t="s">
        <v>220</v>
      </c>
      <c r="H85" s="257"/>
      <c r="I85" s="257">
        <v>2012</v>
      </c>
      <c r="J85" s="257"/>
      <c r="K85" s="257" t="s">
        <v>221</v>
      </c>
      <c r="L85" s="257"/>
      <c r="M85" s="257" t="s">
        <v>3069</v>
      </c>
      <c r="N85" s="257" t="s">
        <v>222</v>
      </c>
      <c r="O85" s="275" t="s">
        <v>223</v>
      </c>
      <c r="P85" s="257"/>
      <c r="Q85" s="257" t="s">
        <v>224</v>
      </c>
      <c r="R85" s="258" t="s">
        <v>225</v>
      </c>
      <c r="S85" s="256" t="s">
        <v>240</v>
      </c>
      <c r="T85" s="257">
        <v>2000</v>
      </c>
      <c r="U85" s="257">
        <v>4000</v>
      </c>
      <c r="V85" s="257">
        <v>0</v>
      </c>
      <c r="W85" s="257">
        <v>0</v>
      </c>
      <c r="X85" s="257">
        <v>0</v>
      </c>
      <c r="Y85" s="257">
        <v>0</v>
      </c>
      <c r="Z85" s="257">
        <v>0</v>
      </c>
      <c r="AA85" s="257">
        <v>1</v>
      </c>
      <c r="AB85" s="257">
        <v>0</v>
      </c>
      <c r="AC85" s="257">
        <v>0</v>
      </c>
      <c r="AD85" s="257">
        <v>0</v>
      </c>
      <c r="AE85" s="257">
        <v>0</v>
      </c>
      <c r="AF85" s="257">
        <v>0</v>
      </c>
      <c r="AG85" s="257">
        <v>0</v>
      </c>
      <c r="AH85" s="257">
        <v>0</v>
      </c>
      <c r="AI85" s="257">
        <v>0</v>
      </c>
      <c r="AJ85" s="257">
        <v>0</v>
      </c>
      <c r="AK85" s="257">
        <v>0</v>
      </c>
      <c r="AL85" s="257">
        <v>0</v>
      </c>
      <c r="AM85" s="257">
        <v>0</v>
      </c>
      <c r="AN85" s="257">
        <v>0</v>
      </c>
      <c r="AO85" s="257">
        <v>0</v>
      </c>
      <c r="AP85" s="257">
        <v>0</v>
      </c>
      <c r="AQ85" s="257">
        <v>0</v>
      </c>
      <c r="AR85" s="257">
        <v>0</v>
      </c>
      <c r="AS85" s="257">
        <v>0</v>
      </c>
      <c r="AT85" s="257">
        <v>0</v>
      </c>
      <c r="AU85" s="257">
        <v>0</v>
      </c>
      <c r="AV85" s="257">
        <v>0</v>
      </c>
      <c r="AW85" s="257">
        <v>0</v>
      </c>
      <c r="AX85" s="277">
        <v>1</v>
      </c>
      <c r="AY85" s="277">
        <v>1</v>
      </c>
      <c r="AZ85" s="257">
        <v>1</v>
      </c>
      <c r="BA85" s="257">
        <v>0</v>
      </c>
      <c r="BB85" s="257">
        <v>0</v>
      </c>
      <c r="BC85" s="257">
        <v>0</v>
      </c>
      <c r="BD85" s="257">
        <v>0</v>
      </c>
      <c r="BE85" s="257" t="s">
        <v>93</v>
      </c>
      <c r="BF85" s="2" t="str" cm="1">
        <f t="array" ref="BF85">IF(COUNTIF(AZ85:BB85,"&lt;&gt;0")=1,INDEX($V$4:$AW$4,MATCH(TRUE,INDEX($V85:$AW85&lt;&gt;0,),0)),IF(COUNTIF(AZ85:BB85,"&lt;&gt;0")=0,INDEX($AM$4:$AW$4,MATCH(1,$AM85:$AW85,0)),"Multiple strategies"))</f>
        <v>Silviculture for productivity</v>
      </c>
      <c r="BG85" s="278" t="s">
        <v>229</v>
      </c>
      <c r="BH85" s="257" t="s">
        <v>230</v>
      </c>
      <c r="BI85" s="279" t="s">
        <v>3070</v>
      </c>
      <c r="BJ85" s="276" t="s">
        <v>231</v>
      </c>
      <c r="BK85" s="257">
        <v>37.305819020000001</v>
      </c>
      <c r="BL85" s="257">
        <v>46.459096459999998</v>
      </c>
      <c r="BM85" s="276">
        <v>1.2453579007364197</v>
      </c>
      <c r="BN85" s="257">
        <v>9.1532774399999965</v>
      </c>
      <c r="BO85" s="276">
        <v>18.68015804081632</v>
      </c>
      <c r="BP85" s="276" t="s">
        <v>232</v>
      </c>
      <c r="BQ85" s="279" t="s">
        <v>3070</v>
      </c>
      <c r="BR85" s="276" t="s">
        <v>233</v>
      </c>
      <c r="BS85" s="257">
        <v>-9.8192771079999996</v>
      </c>
      <c r="BT85" s="257">
        <v>-9.5592716459999991</v>
      </c>
      <c r="BU85" s="259">
        <v>0.97352091613870761</v>
      </c>
      <c r="BV85" s="257">
        <v>0.26000546200000052</v>
      </c>
      <c r="BW85" s="257"/>
      <c r="BX85" s="257">
        <v>2.6000546200000054E-4</v>
      </c>
      <c r="BY85" s="257">
        <v>1.3918804189551619E-5</v>
      </c>
      <c r="BZ85" s="257">
        <v>0</v>
      </c>
      <c r="CA85" s="257">
        <v>0</v>
      </c>
      <c r="CB85" s="257">
        <v>0</v>
      </c>
      <c r="CC85" s="257">
        <v>0</v>
      </c>
      <c r="CD85" s="257">
        <v>0</v>
      </c>
      <c r="CE85" s="257">
        <v>0</v>
      </c>
      <c r="CF85" s="257">
        <v>0</v>
      </c>
      <c r="CG85" s="257">
        <v>0</v>
      </c>
      <c r="CH85" s="257">
        <v>0</v>
      </c>
      <c r="CI85" s="257">
        <v>0</v>
      </c>
      <c r="CJ85" s="257">
        <v>0</v>
      </c>
      <c r="CK85" s="257">
        <v>0</v>
      </c>
      <c r="CL85" s="257">
        <v>0</v>
      </c>
      <c r="CM85" s="257">
        <v>0</v>
      </c>
      <c r="CN85" s="257" t="s">
        <v>3071</v>
      </c>
      <c r="CO85" s="257">
        <v>37.305819020000001</v>
      </c>
      <c r="CP85" s="257">
        <v>46.459096459999998</v>
      </c>
      <c r="CQ85" s="257">
        <v>18.68015804081632</v>
      </c>
      <c r="CR85" s="257">
        <v>-9.8192771079999996</v>
      </c>
      <c r="CS85" s="257">
        <v>-9.5592716459999991</v>
      </c>
      <c r="CT85" s="257">
        <v>2.6000546200000054E-4</v>
      </c>
      <c r="CU85" s="257">
        <v>1.3918804189551619E-5</v>
      </c>
      <c r="CV85" s="258">
        <v>2.6479083861292382E-2</v>
      </c>
      <c r="CW85" s="256" t="s">
        <v>234</v>
      </c>
      <c r="CX85" s="257" t="s">
        <v>3072</v>
      </c>
      <c r="CY85" s="257" t="s">
        <v>235</v>
      </c>
      <c r="CZ85" s="257"/>
      <c r="DA85" s="276"/>
      <c r="DB85" s="276">
        <v>80</v>
      </c>
      <c r="DC85" s="257" t="s">
        <v>3073</v>
      </c>
      <c r="DD85" s="257">
        <v>0</v>
      </c>
      <c r="DE85" s="257">
        <v>1</v>
      </c>
      <c r="DF85" s="257">
        <v>0</v>
      </c>
      <c r="DG85" s="257">
        <v>0</v>
      </c>
      <c r="DH85" s="257"/>
      <c r="DI85" s="257">
        <v>1</v>
      </c>
      <c r="DJ85" s="257" t="s">
        <v>173</v>
      </c>
      <c r="DK85" s="257">
        <v>0</v>
      </c>
      <c r="DL85" s="257" t="s">
        <v>180</v>
      </c>
      <c r="DM85" s="257">
        <v>0</v>
      </c>
      <c r="DN85" s="257">
        <v>0</v>
      </c>
      <c r="DO85" s="257">
        <v>0</v>
      </c>
      <c r="DP85" s="276">
        <v>0</v>
      </c>
      <c r="DQ85" s="276">
        <v>0</v>
      </c>
      <c r="DR85" s="276">
        <v>0</v>
      </c>
      <c r="DS85" s="276">
        <v>0</v>
      </c>
      <c r="DT85" s="257">
        <v>0</v>
      </c>
      <c r="DU85" s="276" t="s">
        <v>961</v>
      </c>
      <c r="DV85" s="276">
        <v>1</v>
      </c>
      <c r="DW85" s="276">
        <v>1</v>
      </c>
      <c r="DX85" s="276">
        <v>1</v>
      </c>
      <c r="DY85" s="276">
        <v>0</v>
      </c>
      <c r="DZ85" s="257">
        <v>0</v>
      </c>
      <c r="EA85" s="276">
        <v>0</v>
      </c>
      <c r="EB85" s="276">
        <v>1</v>
      </c>
      <c r="EC85" s="276">
        <v>1</v>
      </c>
      <c r="ED85" s="276">
        <v>0</v>
      </c>
      <c r="EE85" s="276">
        <v>0</v>
      </c>
      <c r="EF85" s="257">
        <v>1</v>
      </c>
      <c r="EG85" s="276">
        <v>0</v>
      </c>
      <c r="EH85" s="257">
        <v>0</v>
      </c>
      <c r="EI85" s="258">
        <v>0</v>
      </c>
      <c r="EJ85" s="256"/>
      <c r="EK85" t="str">
        <f t="shared" si="36"/>
        <v>Whole sector</v>
      </c>
      <c r="EL85" t="str">
        <f t="shared" si="37"/>
        <v/>
      </c>
      <c r="EM85" s="258" t="s">
        <v>544</v>
      </c>
      <c r="EN85" s="257" t="s">
        <v>236</v>
      </c>
      <c r="EO85" s="257"/>
      <c r="EP85" t="str">
        <f>IF(ISNUMBER(BU85),IF(ABS(BU85-[2]QC_indicators!$B$2)&gt;3*[2]QC_indicators!$C$2,"C ratio",IF(ISNUMBER(BY85),IF(ABS(BY85-[2]QC_indicators!$B$1)&gt;3*[2]QC_indicators!$C$1,"DF","no"))),IF(ISNUMBER(BY85),IF(ABS(BY85-[2]QC_indicators!$B$1)&gt;3*[2]QC_indicators!$C$1,"DF","no")))</f>
        <v>no</v>
      </c>
      <c r="EQ85" s="280"/>
      <c r="ER85" s="280"/>
      <c r="ES85" s="280"/>
      <c r="ET85"/>
      <c r="EU85"/>
    </row>
    <row r="86" spans="1:151" s="139" customFormat="1" ht="15" hidden="1" customHeight="1">
      <c r="A86" s="256" t="s">
        <v>214</v>
      </c>
      <c r="B86" s="257" t="s">
        <v>215</v>
      </c>
      <c r="C86" s="257" t="s">
        <v>216</v>
      </c>
      <c r="D86" s="257" t="s">
        <v>217</v>
      </c>
      <c r="E86" s="257" t="s">
        <v>218</v>
      </c>
      <c r="F86" s="257" t="s">
        <v>219</v>
      </c>
      <c r="G86" s="257" t="s">
        <v>220</v>
      </c>
      <c r="H86" s="257"/>
      <c r="I86" s="257">
        <v>2012</v>
      </c>
      <c r="J86" s="257"/>
      <c r="K86" s="257" t="s">
        <v>221</v>
      </c>
      <c r="L86" s="257"/>
      <c r="M86" s="257" t="s">
        <v>3069</v>
      </c>
      <c r="N86" s="257" t="s">
        <v>222</v>
      </c>
      <c r="O86" s="275" t="s">
        <v>223</v>
      </c>
      <c r="P86" s="257"/>
      <c r="Q86" s="257" t="s">
        <v>224</v>
      </c>
      <c r="R86" s="258" t="s">
        <v>225</v>
      </c>
      <c r="S86" s="256" t="s">
        <v>92</v>
      </c>
      <c r="T86" s="257" t="s">
        <v>245</v>
      </c>
      <c r="U86" s="276" t="s">
        <v>246</v>
      </c>
      <c r="V86" s="257">
        <v>0</v>
      </c>
      <c r="W86" s="257">
        <v>0</v>
      </c>
      <c r="X86" s="257">
        <v>0</v>
      </c>
      <c r="Y86" s="257">
        <v>0</v>
      </c>
      <c r="Z86" s="257">
        <v>1</v>
      </c>
      <c r="AA86" s="257">
        <v>0</v>
      </c>
      <c r="AB86" s="257">
        <v>0</v>
      </c>
      <c r="AC86" s="257">
        <v>0</v>
      </c>
      <c r="AD86" s="257">
        <v>0</v>
      </c>
      <c r="AE86" s="257">
        <v>0</v>
      </c>
      <c r="AF86" s="257">
        <v>0</v>
      </c>
      <c r="AG86" s="257">
        <v>0</v>
      </c>
      <c r="AH86" s="257">
        <v>0</v>
      </c>
      <c r="AI86" s="257">
        <v>0</v>
      </c>
      <c r="AJ86" s="257">
        <v>0</v>
      </c>
      <c r="AK86" s="257">
        <v>0</v>
      </c>
      <c r="AL86" s="257">
        <v>0</v>
      </c>
      <c r="AM86" s="257">
        <v>0</v>
      </c>
      <c r="AN86" s="257">
        <v>0</v>
      </c>
      <c r="AO86" s="257">
        <v>0</v>
      </c>
      <c r="AP86" s="257">
        <v>0</v>
      </c>
      <c r="AQ86" s="257">
        <v>0</v>
      </c>
      <c r="AR86" s="257">
        <v>0</v>
      </c>
      <c r="AS86" s="257">
        <v>0</v>
      </c>
      <c r="AT86" s="257">
        <v>0</v>
      </c>
      <c r="AU86" s="257">
        <v>0</v>
      </c>
      <c r="AV86" s="257">
        <v>0</v>
      </c>
      <c r="AW86" s="257">
        <v>0</v>
      </c>
      <c r="AX86" s="277">
        <v>1</v>
      </c>
      <c r="AY86" s="277">
        <v>1</v>
      </c>
      <c r="AZ86" s="257">
        <v>1</v>
      </c>
      <c r="BA86" s="257">
        <v>0</v>
      </c>
      <c r="BB86" s="257">
        <v>0</v>
      </c>
      <c r="BC86" s="257">
        <v>0</v>
      </c>
      <c r="BD86" s="257">
        <v>0</v>
      </c>
      <c r="BE86" s="257" t="s">
        <v>92</v>
      </c>
      <c r="BF86" s="2" t="str" cm="1">
        <f t="array" ref="BF86">IF(COUNTIF(AZ86:BB86,"&lt;&gt;0")=1,INDEX($V$4:$AW$4,MATCH(TRUE,INDEX($V86:$AW86&lt;&gt;0,),0)),IF(COUNTIF(AZ86:BB86,"&lt;&gt;0")=0,INDEX($AM$4:$AW$4,MATCH(1,$AM86:$AW86,0)),"Multiple strategies"))</f>
        <v>Silviculture for productivity</v>
      </c>
      <c r="BG86" s="278" t="s">
        <v>229</v>
      </c>
      <c r="BH86" s="257" t="s">
        <v>230</v>
      </c>
      <c r="BI86" s="279" t="s">
        <v>3070</v>
      </c>
      <c r="BJ86" s="276" t="s">
        <v>231</v>
      </c>
      <c r="BK86" s="257">
        <v>68.821883277791997</v>
      </c>
      <c r="BL86" s="257">
        <v>90.5390284179134</v>
      </c>
      <c r="BM86" s="276">
        <v>1.3155558102422529</v>
      </c>
      <c r="BN86" s="257">
        <v>21.717145140121403</v>
      </c>
      <c r="BO86" s="276">
        <v>44.320704367594701</v>
      </c>
      <c r="BP86" s="276" t="s">
        <v>232</v>
      </c>
      <c r="BQ86" s="279" t="s">
        <v>3070</v>
      </c>
      <c r="BR86" s="276" t="s">
        <v>233</v>
      </c>
      <c r="BS86" s="257">
        <v>-8.9016064257028091</v>
      </c>
      <c r="BT86" s="257">
        <v>-8.2073792916471504</v>
      </c>
      <c r="BU86" s="259">
        <v>0.92201102802623092</v>
      </c>
      <c r="BV86" s="257">
        <v>0.69422713405565872</v>
      </c>
      <c r="BW86" s="257"/>
      <c r="BX86" s="257">
        <v>6.9422713405565867E-4</v>
      </c>
      <c r="BY86" s="257">
        <v>1.5663720691299443E-5</v>
      </c>
      <c r="BZ86" s="257">
        <v>0</v>
      </c>
      <c r="CA86" s="257">
        <v>0</v>
      </c>
      <c r="CB86" s="257">
        <v>0</v>
      </c>
      <c r="CC86" s="257">
        <v>0</v>
      </c>
      <c r="CD86" s="257">
        <v>0</v>
      </c>
      <c r="CE86" s="257">
        <v>0</v>
      </c>
      <c r="CF86" s="257">
        <v>0</v>
      </c>
      <c r="CG86" s="257">
        <v>0</v>
      </c>
      <c r="CH86" s="257">
        <v>0</v>
      </c>
      <c r="CI86" s="257">
        <v>0</v>
      </c>
      <c r="CJ86" s="257">
        <v>0</v>
      </c>
      <c r="CK86" s="257">
        <v>0</v>
      </c>
      <c r="CL86" s="257">
        <v>0</v>
      </c>
      <c r="CM86" s="257">
        <v>0</v>
      </c>
      <c r="CN86" s="257" t="s">
        <v>3071</v>
      </c>
      <c r="CO86" s="257">
        <v>68.821883277791997</v>
      </c>
      <c r="CP86" s="257">
        <v>90.5390284179134</v>
      </c>
      <c r="CQ86" s="257">
        <v>44.320704367594701</v>
      </c>
      <c r="CR86" s="257">
        <v>-8.9016064257028091</v>
      </c>
      <c r="CS86" s="257">
        <v>-8.2073792916471504</v>
      </c>
      <c r="CT86" s="257">
        <v>6.9422713405565867E-4</v>
      </c>
      <c r="CU86" s="257">
        <v>1.5663720691299443E-5</v>
      </c>
      <c r="CV86" s="258">
        <v>7.7988971973769028E-2</v>
      </c>
      <c r="CW86" s="256" t="s">
        <v>234</v>
      </c>
      <c r="CX86" s="257" t="s">
        <v>3072</v>
      </c>
      <c r="CY86" s="257" t="s">
        <v>235</v>
      </c>
      <c r="CZ86" s="257"/>
      <c r="DA86" s="276"/>
      <c r="DB86" s="276">
        <v>80</v>
      </c>
      <c r="DC86" s="257" t="s">
        <v>3073</v>
      </c>
      <c r="DD86" s="257">
        <v>0</v>
      </c>
      <c r="DE86" s="257">
        <v>1</v>
      </c>
      <c r="DF86" s="257">
        <v>0</v>
      </c>
      <c r="DG86" s="257">
        <v>0</v>
      </c>
      <c r="DH86" s="257"/>
      <c r="DI86" s="257">
        <v>1</v>
      </c>
      <c r="DJ86" s="257" t="s">
        <v>173</v>
      </c>
      <c r="DK86" s="257">
        <v>0</v>
      </c>
      <c r="DL86" s="257" t="s">
        <v>180</v>
      </c>
      <c r="DM86" s="257">
        <v>0</v>
      </c>
      <c r="DN86" s="257">
        <v>0</v>
      </c>
      <c r="DO86" s="257">
        <v>0</v>
      </c>
      <c r="DP86" s="276">
        <v>0</v>
      </c>
      <c r="DQ86" s="276">
        <v>0</v>
      </c>
      <c r="DR86" s="276">
        <v>0</v>
      </c>
      <c r="DS86" s="276">
        <v>0</v>
      </c>
      <c r="DT86" s="257">
        <v>0</v>
      </c>
      <c r="DU86" s="276" t="s">
        <v>961</v>
      </c>
      <c r="DV86" s="276">
        <v>1</v>
      </c>
      <c r="DW86" s="276">
        <v>1</v>
      </c>
      <c r="DX86" s="276">
        <v>1</v>
      </c>
      <c r="DY86" s="276">
        <v>0</v>
      </c>
      <c r="DZ86" s="257">
        <v>0</v>
      </c>
      <c r="EA86" s="276">
        <v>0</v>
      </c>
      <c r="EB86" s="276">
        <v>1</v>
      </c>
      <c r="EC86" s="276">
        <v>1</v>
      </c>
      <c r="ED86" s="276">
        <v>0</v>
      </c>
      <c r="EE86" s="276">
        <v>0</v>
      </c>
      <c r="EF86" s="257">
        <v>1</v>
      </c>
      <c r="EG86" s="276">
        <v>0</v>
      </c>
      <c r="EH86" s="257">
        <v>0</v>
      </c>
      <c r="EI86" s="258">
        <v>0</v>
      </c>
      <c r="EJ86" s="256"/>
      <c r="EK86" t="str">
        <f t="shared" si="36"/>
        <v>Whole sector</v>
      </c>
      <c r="EL86" t="str">
        <f t="shared" si="37"/>
        <v/>
      </c>
      <c r="EM86" s="258" t="s">
        <v>544</v>
      </c>
      <c r="EN86" s="257" t="s">
        <v>236</v>
      </c>
      <c r="EO86" s="257"/>
      <c r="EP86" t="str">
        <f>IF(ISNUMBER(BU86),IF(ABS(BU86-[2]QC_indicators!$B$2)&gt;3*[2]QC_indicators!$C$2,"C ratio",IF(ISNUMBER(BY86),IF(ABS(BY86-[2]QC_indicators!$B$1)&gt;3*[2]QC_indicators!$C$1,"DF","no"))),IF(ISNUMBER(BY86),IF(ABS(BY86-[2]QC_indicators!$B$1)&gt;3*[2]QC_indicators!$C$1,"DF","no")))</f>
        <v>no</v>
      </c>
      <c r="EQ86" s="257"/>
      <c r="ER86" s="257"/>
      <c r="ES86"/>
      <c r="ET86"/>
      <c r="EU86"/>
    </row>
    <row r="87" spans="1:151" s="139" customFormat="1" ht="15" hidden="1" customHeight="1">
      <c r="A87" s="256" t="s">
        <v>214</v>
      </c>
      <c r="B87" s="257" t="s">
        <v>215</v>
      </c>
      <c r="C87" s="257" t="s">
        <v>216</v>
      </c>
      <c r="D87" s="257" t="s">
        <v>217</v>
      </c>
      <c r="E87" s="257" t="s">
        <v>218</v>
      </c>
      <c r="F87" s="257" t="s">
        <v>219</v>
      </c>
      <c r="G87" s="257" t="s">
        <v>220</v>
      </c>
      <c r="H87" s="257"/>
      <c r="I87" s="257">
        <v>2012</v>
      </c>
      <c r="J87" s="257"/>
      <c r="K87" s="257" t="s">
        <v>221</v>
      </c>
      <c r="L87" s="257"/>
      <c r="M87" s="257" t="s">
        <v>3069</v>
      </c>
      <c r="N87" s="257" t="s">
        <v>222</v>
      </c>
      <c r="O87" s="275" t="s">
        <v>223</v>
      </c>
      <c r="P87" s="257"/>
      <c r="Q87" s="257" t="s">
        <v>224</v>
      </c>
      <c r="R87" s="258" t="s">
        <v>225</v>
      </c>
      <c r="S87" s="256" t="s">
        <v>92</v>
      </c>
      <c r="T87" s="257" t="s">
        <v>245</v>
      </c>
      <c r="U87" s="276" t="s">
        <v>246</v>
      </c>
      <c r="V87" s="257">
        <v>0</v>
      </c>
      <c r="W87" s="257">
        <v>0</v>
      </c>
      <c r="X87" s="257">
        <v>0</v>
      </c>
      <c r="Y87" s="257">
        <v>0</v>
      </c>
      <c r="Z87" s="257">
        <v>1</v>
      </c>
      <c r="AA87" s="257">
        <v>0</v>
      </c>
      <c r="AB87" s="257">
        <v>0</v>
      </c>
      <c r="AC87" s="257">
        <v>0</v>
      </c>
      <c r="AD87" s="257">
        <v>0</v>
      </c>
      <c r="AE87" s="257">
        <v>0</v>
      </c>
      <c r="AF87" s="257">
        <v>0</v>
      </c>
      <c r="AG87" s="257">
        <v>0</v>
      </c>
      <c r="AH87" s="257">
        <v>0</v>
      </c>
      <c r="AI87" s="257">
        <v>0</v>
      </c>
      <c r="AJ87" s="257">
        <v>0</v>
      </c>
      <c r="AK87" s="257">
        <v>0</v>
      </c>
      <c r="AL87" s="257">
        <v>0</v>
      </c>
      <c r="AM87" s="257">
        <v>0</v>
      </c>
      <c r="AN87" s="257">
        <v>0</v>
      </c>
      <c r="AO87" s="257">
        <v>0</v>
      </c>
      <c r="AP87" s="257">
        <v>0</v>
      </c>
      <c r="AQ87" s="257">
        <v>0</v>
      </c>
      <c r="AR87" s="257">
        <v>0</v>
      </c>
      <c r="AS87" s="257">
        <v>0</v>
      </c>
      <c r="AT87" s="257">
        <v>0</v>
      </c>
      <c r="AU87" s="257">
        <v>0</v>
      </c>
      <c r="AV87" s="257">
        <v>0</v>
      </c>
      <c r="AW87" s="257">
        <v>0</v>
      </c>
      <c r="AX87" s="277">
        <v>1</v>
      </c>
      <c r="AY87" s="277">
        <v>1</v>
      </c>
      <c r="AZ87" s="257">
        <v>1</v>
      </c>
      <c r="BA87" s="257">
        <v>0</v>
      </c>
      <c r="BB87" s="257">
        <v>0</v>
      </c>
      <c r="BC87" s="257">
        <v>0</v>
      </c>
      <c r="BD87" s="257">
        <v>0</v>
      </c>
      <c r="BE87" s="257" t="s">
        <v>92</v>
      </c>
      <c r="BF87" s="2" t="str" cm="1">
        <f t="array" ref="BF87">IF(COUNTIF(AZ87:BB87,"&lt;&gt;0")=1,INDEX($V$4:$AW$4,MATCH(TRUE,INDEX($V87:$AW87&lt;&gt;0,),0)),IF(COUNTIF(AZ87:BB87,"&lt;&gt;0")=0,INDEX($AM$4:$AW$4,MATCH(1,$AM87:$AW87,0)),"Multiple strategies"))</f>
        <v>Silviculture for productivity</v>
      </c>
      <c r="BG87" s="278" t="s">
        <v>229</v>
      </c>
      <c r="BH87" s="257" t="s">
        <v>230</v>
      </c>
      <c r="BI87" s="279" t="s">
        <v>3070</v>
      </c>
      <c r="BJ87" s="276" t="s">
        <v>231</v>
      </c>
      <c r="BK87" s="257">
        <v>58.199966021066899</v>
      </c>
      <c r="BL87" s="257">
        <v>89.047467968273295</v>
      </c>
      <c r="BM87" s="276">
        <v>1.530026116098425</v>
      </c>
      <c r="BN87" s="257">
        <v>30.847501947206396</v>
      </c>
      <c r="BO87" s="276">
        <v>62.954085606543664</v>
      </c>
      <c r="BP87" s="276" t="s">
        <v>232</v>
      </c>
      <c r="BQ87" s="279" t="s">
        <v>3070</v>
      </c>
      <c r="BR87" s="276" t="s">
        <v>233</v>
      </c>
      <c r="BS87" s="257">
        <v>-9.1378440072016396</v>
      </c>
      <c r="BT87" s="257">
        <v>-8.1050396583282396</v>
      </c>
      <c r="BU87" s="259">
        <v>0.88697505143889133</v>
      </c>
      <c r="BV87" s="257">
        <v>1.0328043488734</v>
      </c>
      <c r="BW87" s="257"/>
      <c r="BX87" s="257">
        <v>1.0328043488734E-3</v>
      </c>
      <c r="BY87" s="257">
        <v>1.6405676278555095E-5</v>
      </c>
      <c r="BZ87" s="257">
        <v>0</v>
      </c>
      <c r="CA87" s="257">
        <v>0</v>
      </c>
      <c r="CB87" s="257">
        <v>0</v>
      </c>
      <c r="CC87" s="257">
        <v>0</v>
      </c>
      <c r="CD87" s="257">
        <v>0</v>
      </c>
      <c r="CE87" s="257">
        <v>0</v>
      </c>
      <c r="CF87" s="257">
        <v>0</v>
      </c>
      <c r="CG87" s="257">
        <v>0</v>
      </c>
      <c r="CH87" s="257">
        <v>0</v>
      </c>
      <c r="CI87" s="257">
        <v>0</v>
      </c>
      <c r="CJ87" s="257">
        <v>0</v>
      </c>
      <c r="CK87" s="257">
        <v>0</v>
      </c>
      <c r="CL87" s="257">
        <v>0</v>
      </c>
      <c r="CM87" s="257">
        <v>0</v>
      </c>
      <c r="CN87" s="257" t="s">
        <v>3071</v>
      </c>
      <c r="CO87" s="257">
        <v>58.199966021066899</v>
      </c>
      <c r="CP87" s="257">
        <v>89.047467968273295</v>
      </c>
      <c r="CQ87" s="257">
        <v>62.954085606543664</v>
      </c>
      <c r="CR87" s="257">
        <v>-9.1378440072016396</v>
      </c>
      <c r="CS87" s="257">
        <v>-8.1050396583282396</v>
      </c>
      <c r="CT87" s="257">
        <v>1.0328043488734E-3</v>
      </c>
      <c r="CU87" s="257">
        <v>1.6405676278555095E-5</v>
      </c>
      <c r="CV87" s="258">
        <v>0.11302494856110862</v>
      </c>
      <c r="CW87" s="256" t="s">
        <v>234</v>
      </c>
      <c r="CX87" s="257" t="s">
        <v>3072</v>
      </c>
      <c r="CY87" s="257" t="s">
        <v>235</v>
      </c>
      <c r="CZ87" s="257"/>
      <c r="DA87" s="276"/>
      <c r="DB87" s="276">
        <v>80</v>
      </c>
      <c r="DC87" s="257" t="s">
        <v>3073</v>
      </c>
      <c r="DD87" s="257">
        <v>0</v>
      </c>
      <c r="DE87" s="257">
        <v>1</v>
      </c>
      <c r="DF87" s="257">
        <v>0</v>
      </c>
      <c r="DG87" s="257">
        <v>0</v>
      </c>
      <c r="DH87" s="257"/>
      <c r="DI87" s="257">
        <v>1</v>
      </c>
      <c r="DJ87" s="257" t="s">
        <v>173</v>
      </c>
      <c r="DK87" s="257">
        <v>0</v>
      </c>
      <c r="DL87" s="257" t="s">
        <v>180</v>
      </c>
      <c r="DM87" s="257">
        <v>0</v>
      </c>
      <c r="DN87" s="257">
        <v>0</v>
      </c>
      <c r="DO87" s="257">
        <v>0</v>
      </c>
      <c r="DP87" s="276">
        <v>0</v>
      </c>
      <c r="DQ87" s="276">
        <v>0</v>
      </c>
      <c r="DR87" s="276">
        <v>0</v>
      </c>
      <c r="DS87" s="276">
        <v>0</v>
      </c>
      <c r="DT87" s="257">
        <v>0</v>
      </c>
      <c r="DU87" s="276" t="s">
        <v>961</v>
      </c>
      <c r="DV87" s="276">
        <v>1</v>
      </c>
      <c r="DW87" s="276">
        <v>1</v>
      </c>
      <c r="DX87" s="276">
        <v>1</v>
      </c>
      <c r="DY87" s="276">
        <v>0</v>
      </c>
      <c r="DZ87" s="257">
        <v>0</v>
      </c>
      <c r="EA87" s="276">
        <v>0</v>
      </c>
      <c r="EB87" s="276">
        <v>1</v>
      </c>
      <c r="EC87" s="276">
        <v>1</v>
      </c>
      <c r="ED87" s="276">
        <v>0</v>
      </c>
      <c r="EE87" s="276">
        <v>0</v>
      </c>
      <c r="EF87" s="257">
        <v>1</v>
      </c>
      <c r="EG87" s="276">
        <v>0</v>
      </c>
      <c r="EH87" s="257">
        <v>0</v>
      </c>
      <c r="EI87" s="258">
        <v>0</v>
      </c>
      <c r="EJ87" s="256"/>
      <c r="EK87" t="str">
        <f t="shared" si="36"/>
        <v>Whole sector</v>
      </c>
      <c r="EL87" t="str">
        <f t="shared" si="37"/>
        <v/>
      </c>
      <c r="EM87" s="258" t="s">
        <v>544</v>
      </c>
      <c r="EN87" s="257" t="s">
        <v>236</v>
      </c>
      <c r="EO87" s="257"/>
      <c r="EP87" t="str">
        <f>IF(ISNUMBER(BU87),IF(ABS(BU87-[2]QC_indicators!$B$2)&gt;3*[2]QC_indicators!$C$2,"C ratio",IF(ISNUMBER(BY87),IF(ABS(BY87-[2]QC_indicators!$B$1)&gt;3*[2]QC_indicators!$C$1,"DF","no"))),IF(ISNUMBER(BY87),IF(ABS(BY87-[2]QC_indicators!$B$1)&gt;3*[2]QC_indicators!$C$1,"DF","no")))</f>
        <v>no</v>
      </c>
      <c r="EQ87" s="257"/>
      <c r="ER87" s="257"/>
      <c r="ES87"/>
      <c r="ET87"/>
      <c r="EU87"/>
    </row>
    <row r="88" spans="1:151" s="139" customFormat="1" ht="15" hidden="1" customHeight="1">
      <c r="A88" s="256" t="s">
        <v>214</v>
      </c>
      <c r="B88" s="257" t="s">
        <v>215</v>
      </c>
      <c r="C88" s="257" t="s">
        <v>216</v>
      </c>
      <c r="D88" s="257" t="s">
        <v>217</v>
      </c>
      <c r="E88" s="257" t="s">
        <v>218</v>
      </c>
      <c r="F88" s="257" t="s">
        <v>219</v>
      </c>
      <c r="G88" s="257" t="s">
        <v>220</v>
      </c>
      <c r="H88" s="257"/>
      <c r="I88" s="257">
        <v>2012</v>
      </c>
      <c r="J88" s="257"/>
      <c r="K88" s="257" t="s">
        <v>221</v>
      </c>
      <c r="L88" s="257"/>
      <c r="M88" s="257" t="s">
        <v>3069</v>
      </c>
      <c r="N88" s="257" t="s">
        <v>222</v>
      </c>
      <c r="O88" s="275" t="s">
        <v>223</v>
      </c>
      <c r="P88" s="257"/>
      <c r="Q88" s="257" t="s">
        <v>224</v>
      </c>
      <c r="R88" s="258" t="s">
        <v>225</v>
      </c>
      <c r="S88" s="256" t="s">
        <v>241</v>
      </c>
      <c r="T88" s="257" t="s">
        <v>242</v>
      </c>
      <c r="U88" s="276" t="s">
        <v>243</v>
      </c>
      <c r="V88" s="257">
        <v>0</v>
      </c>
      <c r="W88" s="257">
        <v>0</v>
      </c>
      <c r="X88" s="257">
        <v>0</v>
      </c>
      <c r="Y88" s="257">
        <v>0</v>
      </c>
      <c r="Z88" s="257">
        <v>0</v>
      </c>
      <c r="AA88" s="257">
        <v>0</v>
      </c>
      <c r="AB88" s="257">
        <v>0</v>
      </c>
      <c r="AC88" s="257">
        <v>1</v>
      </c>
      <c r="AD88" s="257">
        <v>0</v>
      </c>
      <c r="AE88" s="257">
        <v>0</v>
      </c>
      <c r="AF88" s="257">
        <v>0</v>
      </c>
      <c r="AG88" s="257">
        <v>0</v>
      </c>
      <c r="AH88" s="257">
        <v>0</v>
      </c>
      <c r="AI88" s="257">
        <v>0</v>
      </c>
      <c r="AJ88" s="257">
        <v>0</v>
      </c>
      <c r="AK88" s="257">
        <v>0</v>
      </c>
      <c r="AL88" s="257">
        <v>0</v>
      </c>
      <c r="AM88" s="257">
        <v>0</v>
      </c>
      <c r="AN88" s="257">
        <v>0</v>
      </c>
      <c r="AO88" s="257">
        <v>0</v>
      </c>
      <c r="AP88" s="257">
        <v>0</v>
      </c>
      <c r="AQ88" s="257">
        <v>0</v>
      </c>
      <c r="AR88" s="257">
        <v>0</v>
      </c>
      <c r="AS88" s="257">
        <v>0</v>
      </c>
      <c r="AT88" s="257">
        <v>0</v>
      </c>
      <c r="AU88" s="257">
        <v>0</v>
      </c>
      <c r="AV88" s="257">
        <v>0</v>
      </c>
      <c r="AW88" s="257">
        <v>0</v>
      </c>
      <c r="AX88" s="277">
        <v>1</v>
      </c>
      <c r="AY88" s="277">
        <v>1</v>
      </c>
      <c r="AZ88" s="257">
        <v>1</v>
      </c>
      <c r="BA88" s="257">
        <v>0</v>
      </c>
      <c r="BB88" s="257">
        <v>0</v>
      </c>
      <c r="BC88" s="257">
        <v>0</v>
      </c>
      <c r="BD88" s="257">
        <v>0</v>
      </c>
      <c r="BE88" s="257" t="s">
        <v>95</v>
      </c>
      <c r="BF88" s="2" t="str" cm="1">
        <f t="array" ref="BF88">IF(COUNTIF(AZ88:BB88,"&lt;&gt;0")=1,INDEX($V$4:$AW$4,MATCH(TRUE,INDEX($V88:$AW88&lt;&gt;0,),0)),IF(COUNTIF(AZ88:BB88,"&lt;&gt;0")=0,INDEX($AM$4:$AW$4,MATCH(1,$AM88:$AW88,0)),"Multiple strategies"))</f>
        <v>Silviculture for productivity</v>
      </c>
      <c r="BG88" s="278" t="s">
        <v>229</v>
      </c>
      <c r="BH88" s="257" t="s">
        <v>230</v>
      </c>
      <c r="BI88" s="279" t="s">
        <v>3070</v>
      </c>
      <c r="BJ88" s="276" t="s">
        <v>231</v>
      </c>
      <c r="BK88" s="257">
        <v>64.183526540573496</v>
      </c>
      <c r="BL88" s="257">
        <v>77.011494252873504</v>
      </c>
      <c r="BM88" s="276">
        <v>1.1998638654451439</v>
      </c>
      <c r="BN88" s="257">
        <v>12.827967712300008</v>
      </c>
      <c r="BO88" s="276">
        <v>26.179525943469404</v>
      </c>
      <c r="BP88" s="276" t="s">
        <v>232</v>
      </c>
      <c r="BQ88" s="279" t="s">
        <v>3070</v>
      </c>
      <c r="BR88" s="276" t="s">
        <v>233</v>
      </c>
      <c r="BS88" s="257">
        <v>-8.4950335570469804</v>
      </c>
      <c r="BT88" s="257">
        <v>-8</v>
      </c>
      <c r="BU88" s="259">
        <v>0.94172670964479832</v>
      </c>
      <c r="BV88" s="257">
        <v>0.49503355704698038</v>
      </c>
      <c r="BW88" s="257"/>
      <c r="BX88" s="257">
        <v>4.9503355704698035E-4</v>
      </c>
      <c r="BY88" s="257">
        <v>1.8909187206671654E-5</v>
      </c>
      <c r="BZ88" s="257">
        <v>0</v>
      </c>
      <c r="CA88" s="257">
        <v>0</v>
      </c>
      <c r="CB88" s="257">
        <v>0</v>
      </c>
      <c r="CC88" s="257">
        <v>0</v>
      </c>
      <c r="CD88" s="257">
        <v>0</v>
      </c>
      <c r="CE88" s="257">
        <v>0</v>
      </c>
      <c r="CF88" s="257">
        <v>0</v>
      </c>
      <c r="CG88" s="257">
        <v>0</v>
      </c>
      <c r="CH88" s="257">
        <v>0</v>
      </c>
      <c r="CI88" s="257">
        <v>0</v>
      </c>
      <c r="CJ88" s="257">
        <v>0</v>
      </c>
      <c r="CK88" s="257">
        <v>0</v>
      </c>
      <c r="CL88" s="257">
        <v>0</v>
      </c>
      <c r="CM88" s="257">
        <v>0</v>
      </c>
      <c r="CN88" s="257" t="s">
        <v>3071</v>
      </c>
      <c r="CO88" s="257">
        <v>64.183526540573496</v>
      </c>
      <c r="CP88" s="257">
        <v>77.011494252873504</v>
      </c>
      <c r="CQ88" s="257">
        <v>26.179525943469404</v>
      </c>
      <c r="CR88" s="257">
        <v>-8.4950335570469804</v>
      </c>
      <c r="CS88" s="257">
        <v>-8</v>
      </c>
      <c r="CT88" s="257">
        <v>4.9503355704698035E-4</v>
      </c>
      <c r="CU88" s="257">
        <v>1.8909187206671654E-5</v>
      </c>
      <c r="CV88" s="258">
        <v>5.8273290355201672E-2</v>
      </c>
      <c r="CW88" s="256" t="s">
        <v>234</v>
      </c>
      <c r="CX88" s="257" t="s">
        <v>3072</v>
      </c>
      <c r="CY88" s="257" t="s">
        <v>235</v>
      </c>
      <c r="CZ88" s="257"/>
      <c r="DA88" s="276"/>
      <c r="DB88" s="276">
        <v>80</v>
      </c>
      <c r="DC88" s="257" t="s">
        <v>3073</v>
      </c>
      <c r="DD88" s="257">
        <v>0</v>
      </c>
      <c r="DE88" s="257">
        <v>1</v>
      </c>
      <c r="DF88" s="257">
        <v>0</v>
      </c>
      <c r="DG88" s="257">
        <v>0</v>
      </c>
      <c r="DH88" s="257"/>
      <c r="DI88" s="257">
        <v>1</v>
      </c>
      <c r="DJ88" s="257" t="s">
        <v>173</v>
      </c>
      <c r="DK88" s="257">
        <v>0</v>
      </c>
      <c r="DL88" s="257" t="s">
        <v>180</v>
      </c>
      <c r="DM88" s="257">
        <v>0</v>
      </c>
      <c r="DN88" s="257">
        <v>0</v>
      </c>
      <c r="DO88" s="257">
        <v>0</v>
      </c>
      <c r="DP88" s="276">
        <v>0</v>
      </c>
      <c r="DQ88" s="276">
        <v>0</v>
      </c>
      <c r="DR88" s="276">
        <v>0</v>
      </c>
      <c r="DS88" s="276">
        <v>0</v>
      </c>
      <c r="DT88" s="257">
        <v>0</v>
      </c>
      <c r="DU88" s="276" t="s">
        <v>961</v>
      </c>
      <c r="DV88" s="276">
        <v>1</v>
      </c>
      <c r="DW88" s="276">
        <v>1</v>
      </c>
      <c r="DX88" s="276">
        <v>1</v>
      </c>
      <c r="DY88" s="276">
        <v>0</v>
      </c>
      <c r="DZ88" s="257">
        <v>0</v>
      </c>
      <c r="EA88" s="276">
        <v>0</v>
      </c>
      <c r="EB88" s="276">
        <v>1</v>
      </c>
      <c r="EC88" s="276">
        <v>1</v>
      </c>
      <c r="ED88" s="276">
        <v>0</v>
      </c>
      <c r="EE88" s="276">
        <v>0</v>
      </c>
      <c r="EF88" s="257">
        <v>1</v>
      </c>
      <c r="EG88" s="276">
        <v>0</v>
      </c>
      <c r="EH88" s="257">
        <v>0</v>
      </c>
      <c r="EI88" s="258">
        <v>0</v>
      </c>
      <c r="EJ88" s="256"/>
      <c r="EK88" t="str">
        <f t="shared" si="36"/>
        <v>Whole sector</v>
      </c>
      <c r="EL88" t="str">
        <f t="shared" si="37"/>
        <v/>
      </c>
      <c r="EM88" s="258" t="s">
        <v>544</v>
      </c>
      <c r="EN88" s="257" t="s">
        <v>236</v>
      </c>
      <c r="EO88" s="257"/>
      <c r="EP88" t="str">
        <f>IF(ISNUMBER(BU88),IF(ABS(BU88-[2]QC_indicators!$B$2)&gt;3*[2]QC_indicators!$C$2,"C ratio",IF(ISNUMBER(BY88),IF(ABS(BY88-[2]QC_indicators!$B$1)&gt;3*[2]QC_indicators!$C$1,"DF","no"))),IF(ISNUMBER(BY88),IF(ABS(BY88-[2]QC_indicators!$B$1)&gt;3*[2]QC_indicators!$C$1,"DF","no")))</f>
        <v>no</v>
      </c>
      <c r="EQ88"/>
      <c r="ER88"/>
      <c r="ES88"/>
      <c r="ET88"/>
      <c r="EU88"/>
    </row>
    <row r="89" spans="1:151" s="139" customFormat="1" ht="15" hidden="1" customHeight="1">
      <c r="A89" s="256" t="s">
        <v>214</v>
      </c>
      <c r="B89" s="257" t="s">
        <v>215</v>
      </c>
      <c r="C89" s="257" t="s">
        <v>216</v>
      </c>
      <c r="D89" s="257" t="s">
        <v>217</v>
      </c>
      <c r="E89" s="257" t="s">
        <v>218</v>
      </c>
      <c r="F89" s="257" t="s">
        <v>219</v>
      </c>
      <c r="G89" s="257" t="s">
        <v>220</v>
      </c>
      <c r="H89" s="257"/>
      <c r="I89" s="257">
        <v>2012</v>
      </c>
      <c r="J89" s="257"/>
      <c r="K89" s="257" t="s">
        <v>221</v>
      </c>
      <c r="L89" s="257"/>
      <c r="M89" s="257" t="s">
        <v>3069</v>
      </c>
      <c r="N89" s="257" t="s">
        <v>222</v>
      </c>
      <c r="O89" s="275" t="s">
        <v>223</v>
      </c>
      <c r="P89" s="257"/>
      <c r="Q89" s="257" t="s">
        <v>224</v>
      </c>
      <c r="R89" s="258" t="s">
        <v>225</v>
      </c>
      <c r="S89" s="256" t="s">
        <v>92</v>
      </c>
      <c r="T89" s="257" t="s">
        <v>245</v>
      </c>
      <c r="U89" s="276" t="s">
        <v>246</v>
      </c>
      <c r="V89" s="257">
        <v>0</v>
      </c>
      <c r="W89" s="257">
        <v>0</v>
      </c>
      <c r="X89" s="257">
        <v>0</v>
      </c>
      <c r="Y89" s="257">
        <v>0</v>
      </c>
      <c r="Z89" s="257">
        <v>1</v>
      </c>
      <c r="AA89" s="257">
        <v>0</v>
      </c>
      <c r="AB89" s="257">
        <v>0</v>
      </c>
      <c r="AC89" s="257">
        <v>0</v>
      </c>
      <c r="AD89" s="257">
        <v>0</v>
      </c>
      <c r="AE89" s="257">
        <v>0</v>
      </c>
      <c r="AF89" s="257">
        <v>0</v>
      </c>
      <c r="AG89" s="257">
        <v>0</v>
      </c>
      <c r="AH89" s="257">
        <v>0</v>
      </c>
      <c r="AI89" s="257">
        <v>0</v>
      </c>
      <c r="AJ89" s="257">
        <v>0</v>
      </c>
      <c r="AK89" s="257">
        <v>0</v>
      </c>
      <c r="AL89" s="257">
        <v>0</v>
      </c>
      <c r="AM89" s="257">
        <v>0</v>
      </c>
      <c r="AN89" s="257">
        <v>0</v>
      </c>
      <c r="AO89" s="257">
        <v>0</v>
      </c>
      <c r="AP89" s="257">
        <v>0</v>
      </c>
      <c r="AQ89" s="257">
        <v>0</v>
      </c>
      <c r="AR89" s="257">
        <v>0</v>
      </c>
      <c r="AS89" s="257">
        <v>0</v>
      </c>
      <c r="AT89" s="257">
        <v>0</v>
      </c>
      <c r="AU89" s="257">
        <v>0</v>
      </c>
      <c r="AV89" s="257">
        <v>0</v>
      </c>
      <c r="AW89" s="257">
        <v>0</v>
      </c>
      <c r="AX89" s="277">
        <v>1</v>
      </c>
      <c r="AY89" s="277">
        <v>1</v>
      </c>
      <c r="AZ89" s="257">
        <v>1</v>
      </c>
      <c r="BA89" s="257">
        <v>0</v>
      </c>
      <c r="BB89" s="257">
        <v>0</v>
      </c>
      <c r="BC89" s="257">
        <v>0</v>
      </c>
      <c r="BD89" s="257">
        <v>0</v>
      </c>
      <c r="BE89" s="257" t="s">
        <v>92</v>
      </c>
      <c r="BF89" s="2" t="str" cm="1">
        <f t="array" ref="BF89">IF(COUNTIF(AZ89:BB89,"&lt;&gt;0")=1,INDEX($V$4:$AW$4,MATCH(TRUE,INDEX($V89:$AW89&lt;&gt;0,),0)),IF(COUNTIF(AZ89:BB89,"&lt;&gt;0")=0,INDEX($AM$4:$AW$4,MATCH(1,$AM89:$AW89,0)),"Multiple strategies"))</f>
        <v>Silviculture for productivity</v>
      </c>
      <c r="BG89" s="278" t="s">
        <v>229</v>
      </c>
      <c r="BH89" s="257" t="s">
        <v>230</v>
      </c>
      <c r="BI89" s="279" t="s">
        <v>3070</v>
      </c>
      <c r="BJ89" s="276" t="s">
        <v>231</v>
      </c>
      <c r="BK89" s="257">
        <v>66.639750491326893</v>
      </c>
      <c r="BL89" s="257">
        <v>98.063244029280497</v>
      </c>
      <c r="BM89" s="276">
        <v>1.4715427849935203</v>
      </c>
      <c r="BN89" s="257">
        <v>31.423493537953604</v>
      </c>
      <c r="BO89" s="276">
        <v>64.129578648884902</v>
      </c>
      <c r="BP89" s="276" t="s">
        <v>232</v>
      </c>
      <c r="BQ89" s="279" t="s">
        <v>3070</v>
      </c>
      <c r="BR89" s="276" t="s">
        <v>233</v>
      </c>
      <c r="BS89" s="257">
        <v>-9.4136546184738901</v>
      </c>
      <c r="BT89" s="257">
        <v>-8.1244670100805898</v>
      </c>
      <c r="BU89" s="259">
        <v>0.86305131634388565</v>
      </c>
      <c r="BV89" s="257">
        <v>1.2891876083933003</v>
      </c>
      <c r="BW89" s="257"/>
      <c r="BX89" s="257">
        <v>1.2891876083933002E-3</v>
      </c>
      <c r="BY89" s="257">
        <v>2.010285480669873E-5</v>
      </c>
      <c r="BZ89" s="257">
        <v>0</v>
      </c>
      <c r="CA89" s="257">
        <v>0</v>
      </c>
      <c r="CB89" s="257">
        <v>0</v>
      </c>
      <c r="CC89" s="257">
        <v>0</v>
      </c>
      <c r="CD89" s="257">
        <v>0</v>
      </c>
      <c r="CE89" s="257">
        <v>0</v>
      </c>
      <c r="CF89" s="257">
        <v>0</v>
      </c>
      <c r="CG89" s="257">
        <v>0</v>
      </c>
      <c r="CH89" s="257">
        <v>0</v>
      </c>
      <c r="CI89" s="257">
        <v>0</v>
      </c>
      <c r="CJ89" s="257">
        <v>0</v>
      </c>
      <c r="CK89" s="257">
        <v>0</v>
      </c>
      <c r="CL89" s="257">
        <v>0</v>
      </c>
      <c r="CM89" s="257">
        <v>0</v>
      </c>
      <c r="CN89" s="257" t="s">
        <v>3071</v>
      </c>
      <c r="CO89" s="257">
        <v>66.639750491326893</v>
      </c>
      <c r="CP89" s="257">
        <v>98.063244029280497</v>
      </c>
      <c r="CQ89" s="257">
        <v>64.129578648884902</v>
      </c>
      <c r="CR89" s="257">
        <v>-9.4136546184738901</v>
      </c>
      <c r="CS89" s="257">
        <v>-8.1244670100805898</v>
      </c>
      <c r="CT89" s="257">
        <v>1.2891876083933002E-3</v>
      </c>
      <c r="CU89" s="257">
        <v>2.010285480669873E-5</v>
      </c>
      <c r="CV89" s="258">
        <v>0.13694868365611432</v>
      </c>
      <c r="CW89" s="256" t="s">
        <v>234</v>
      </c>
      <c r="CX89" s="257" t="s">
        <v>3072</v>
      </c>
      <c r="CY89" s="257" t="s">
        <v>235</v>
      </c>
      <c r="CZ89" s="257"/>
      <c r="DA89" s="276"/>
      <c r="DB89" s="276">
        <v>80</v>
      </c>
      <c r="DC89" s="257" t="s">
        <v>3073</v>
      </c>
      <c r="DD89" s="257">
        <v>0</v>
      </c>
      <c r="DE89" s="257">
        <v>1</v>
      </c>
      <c r="DF89" s="257">
        <v>0</v>
      </c>
      <c r="DG89" s="257">
        <v>0</v>
      </c>
      <c r="DH89" s="257"/>
      <c r="DI89" s="257">
        <v>1</v>
      </c>
      <c r="DJ89" s="257" t="s">
        <v>173</v>
      </c>
      <c r="DK89" s="257">
        <v>0</v>
      </c>
      <c r="DL89" s="257" t="s">
        <v>180</v>
      </c>
      <c r="DM89" s="257">
        <v>0</v>
      </c>
      <c r="DN89" s="257">
        <v>0</v>
      </c>
      <c r="DO89" s="257">
        <v>0</v>
      </c>
      <c r="DP89" s="276">
        <v>0</v>
      </c>
      <c r="DQ89" s="276">
        <v>0</v>
      </c>
      <c r="DR89" s="276">
        <v>0</v>
      </c>
      <c r="DS89" s="276">
        <v>0</v>
      </c>
      <c r="DT89" s="257">
        <v>0</v>
      </c>
      <c r="DU89" s="276" t="s">
        <v>961</v>
      </c>
      <c r="DV89" s="276">
        <v>1</v>
      </c>
      <c r="DW89" s="276">
        <v>1</v>
      </c>
      <c r="DX89" s="276">
        <v>1</v>
      </c>
      <c r="DY89" s="276">
        <v>0</v>
      </c>
      <c r="DZ89" s="257">
        <v>0</v>
      </c>
      <c r="EA89" s="276">
        <v>0</v>
      </c>
      <c r="EB89" s="276">
        <v>1</v>
      </c>
      <c r="EC89" s="276">
        <v>1</v>
      </c>
      <c r="ED89" s="276">
        <v>0</v>
      </c>
      <c r="EE89" s="276">
        <v>0</v>
      </c>
      <c r="EF89" s="257">
        <v>1</v>
      </c>
      <c r="EG89" s="276">
        <v>0</v>
      </c>
      <c r="EH89" s="257">
        <v>0</v>
      </c>
      <c r="EI89" s="258">
        <v>0</v>
      </c>
      <c r="EJ89" s="256"/>
      <c r="EK89" t="str">
        <f t="shared" si="36"/>
        <v>Whole sector</v>
      </c>
      <c r="EL89" t="str">
        <f t="shared" si="37"/>
        <v/>
      </c>
      <c r="EM89" s="258" t="s">
        <v>544</v>
      </c>
      <c r="EN89" s="257" t="s">
        <v>236</v>
      </c>
      <c r="EO89" s="257"/>
      <c r="EP89" t="str">
        <f>IF(ISNUMBER(BU89),IF(ABS(BU89-[2]QC_indicators!$B$2)&gt;3*[2]QC_indicators!$C$2,"C ratio",IF(ISNUMBER(BY89),IF(ABS(BY89-[2]QC_indicators!$B$1)&gt;3*[2]QC_indicators!$C$1,"DF","no"))),IF(ISNUMBER(BY89),IF(ABS(BY89-[2]QC_indicators!$B$1)&gt;3*[2]QC_indicators!$C$1,"DF","no")))</f>
        <v>no</v>
      </c>
      <c r="EQ89" s="257"/>
      <c r="ER89" s="257"/>
      <c r="ES89"/>
      <c r="ET89"/>
      <c r="EU89"/>
    </row>
    <row r="90" spans="1:151" s="139" customFormat="1" ht="15" hidden="1" customHeight="1">
      <c r="A90" s="256" t="s">
        <v>214</v>
      </c>
      <c r="B90" s="257" t="s">
        <v>215</v>
      </c>
      <c r="C90" s="257" t="s">
        <v>216</v>
      </c>
      <c r="D90" s="257" t="s">
        <v>217</v>
      </c>
      <c r="E90" s="257" t="s">
        <v>218</v>
      </c>
      <c r="F90" s="257" t="s">
        <v>219</v>
      </c>
      <c r="G90" s="257" t="s">
        <v>220</v>
      </c>
      <c r="H90" s="257"/>
      <c r="I90" s="257">
        <v>2012</v>
      </c>
      <c r="J90" s="257"/>
      <c r="K90" s="257" t="s">
        <v>221</v>
      </c>
      <c r="L90" s="257"/>
      <c r="M90" s="257" t="s">
        <v>3069</v>
      </c>
      <c r="N90" s="257" t="s">
        <v>222</v>
      </c>
      <c r="O90" s="275" t="s">
        <v>223</v>
      </c>
      <c r="P90" s="257"/>
      <c r="Q90" s="257" t="s">
        <v>224</v>
      </c>
      <c r="R90" s="258" t="s">
        <v>225</v>
      </c>
      <c r="S90" s="256" t="s">
        <v>241</v>
      </c>
      <c r="T90" s="257" t="s">
        <v>242</v>
      </c>
      <c r="U90" s="276" t="s">
        <v>243</v>
      </c>
      <c r="V90" s="257">
        <v>0</v>
      </c>
      <c r="W90" s="257">
        <v>0</v>
      </c>
      <c r="X90" s="257">
        <v>0</v>
      </c>
      <c r="Y90" s="257">
        <v>0</v>
      </c>
      <c r="Z90" s="257">
        <v>0</v>
      </c>
      <c r="AA90" s="257">
        <v>0</v>
      </c>
      <c r="AB90" s="257">
        <v>0</v>
      </c>
      <c r="AC90" s="257">
        <v>1</v>
      </c>
      <c r="AD90" s="257">
        <v>0</v>
      </c>
      <c r="AE90" s="257">
        <v>0</v>
      </c>
      <c r="AF90" s="257">
        <v>0</v>
      </c>
      <c r="AG90" s="257">
        <v>0</v>
      </c>
      <c r="AH90" s="257">
        <v>0</v>
      </c>
      <c r="AI90" s="257">
        <v>0</v>
      </c>
      <c r="AJ90" s="257">
        <v>0</v>
      </c>
      <c r="AK90" s="257">
        <v>0</v>
      </c>
      <c r="AL90" s="257">
        <v>0</v>
      </c>
      <c r="AM90" s="257">
        <v>0</v>
      </c>
      <c r="AN90" s="257">
        <v>0</v>
      </c>
      <c r="AO90" s="257">
        <v>0</v>
      </c>
      <c r="AP90" s="257">
        <v>0</v>
      </c>
      <c r="AQ90" s="257">
        <v>0</v>
      </c>
      <c r="AR90" s="257">
        <v>0</v>
      </c>
      <c r="AS90" s="257">
        <v>0</v>
      </c>
      <c r="AT90" s="257">
        <v>0</v>
      </c>
      <c r="AU90" s="257">
        <v>0</v>
      </c>
      <c r="AV90" s="257">
        <v>0</v>
      </c>
      <c r="AW90" s="257">
        <v>0</v>
      </c>
      <c r="AX90" s="277">
        <v>1</v>
      </c>
      <c r="AY90" s="277">
        <v>1</v>
      </c>
      <c r="AZ90" s="257">
        <v>1</v>
      </c>
      <c r="BA90" s="257">
        <v>0</v>
      </c>
      <c r="BB90" s="257">
        <v>0</v>
      </c>
      <c r="BC90" s="257">
        <v>0</v>
      </c>
      <c r="BD90" s="257">
        <v>0</v>
      </c>
      <c r="BE90" s="257" t="s">
        <v>95</v>
      </c>
      <c r="BF90" s="2" t="str" cm="1">
        <f t="array" ref="BF90">IF(COUNTIF(AZ90:BB90,"&lt;&gt;0")=1,INDEX($V$4:$AW$4,MATCH(TRUE,INDEX($V90:$AW90&lt;&gt;0,),0)),IF(COUNTIF(AZ90:BB90,"&lt;&gt;0")=0,INDEX($AM$4:$AW$4,MATCH(1,$AM90:$AW90,0)),"Multiple strategies"))</f>
        <v>Silviculture for productivity</v>
      </c>
      <c r="BG90" s="278" t="s">
        <v>229</v>
      </c>
      <c r="BH90" s="257" t="s">
        <v>230</v>
      </c>
      <c r="BI90" s="279" t="s">
        <v>3070</v>
      </c>
      <c r="BJ90" s="276" t="s">
        <v>231</v>
      </c>
      <c r="BK90" s="257">
        <v>55.163392312385596</v>
      </c>
      <c r="BL90" s="257">
        <v>69.827586206896498</v>
      </c>
      <c r="BM90" s="276">
        <v>1.2658319816785164</v>
      </c>
      <c r="BN90" s="257">
        <v>14.664193894510902</v>
      </c>
      <c r="BO90" s="276">
        <v>29.926926315328373</v>
      </c>
      <c r="BP90" s="276" t="s">
        <v>232</v>
      </c>
      <c r="BQ90" s="279" t="s">
        <v>3070</v>
      </c>
      <c r="BR90" s="276" t="s">
        <v>233</v>
      </c>
      <c r="BS90" s="257">
        <v>-9.0346308724832198</v>
      </c>
      <c r="BT90" s="257">
        <v>-8.4285714285714199</v>
      </c>
      <c r="BU90" s="259">
        <v>0.9329181842107489</v>
      </c>
      <c r="BV90" s="257">
        <v>0.60605944391179989</v>
      </c>
      <c r="BW90" s="257"/>
      <c r="BX90" s="257">
        <v>6.0605944391179984E-4</v>
      </c>
      <c r="BY90" s="257">
        <v>2.0251309390279089E-5</v>
      </c>
      <c r="BZ90" s="257">
        <v>0</v>
      </c>
      <c r="CA90" s="257">
        <v>0</v>
      </c>
      <c r="CB90" s="257">
        <v>0</v>
      </c>
      <c r="CC90" s="257">
        <v>0</v>
      </c>
      <c r="CD90" s="257">
        <v>0</v>
      </c>
      <c r="CE90" s="257">
        <v>0</v>
      </c>
      <c r="CF90" s="257">
        <v>0</v>
      </c>
      <c r="CG90" s="257">
        <v>0</v>
      </c>
      <c r="CH90" s="257">
        <v>0</v>
      </c>
      <c r="CI90" s="257">
        <v>0</v>
      </c>
      <c r="CJ90" s="257">
        <v>0</v>
      </c>
      <c r="CK90" s="257">
        <v>0</v>
      </c>
      <c r="CL90" s="257">
        <v>0</v>
      </c>
      <c r="CM90" s="257">
        <v>0</v>
      </c>
      <c r="CN90" s="257" t="s">
        <v>3071</v>
      </c>
      <c r="CO90" s="257">
        <v>55.163392312385596</v>
      </c>
      <c r="CP90" s="257">
        <v>69.827586206896498</v>
      </c>
      <c r="CQ90" s="257">
        <v>29.926926315328373</v>
      </c>
      <c r="CR90" s="257">
        <v>-9.0346308724832198</v>
      </c>
      <c r="CS90" s="257">
        <v>-8.4285714285714199</v>
      </c>
      <c r="CT90" s="257">
        <v>6.0605944391179984E-4</v>
      </c>
      <c r="CU90" s="257">
        <v>2.0251309390279089E-5</v>
      </c>
      <c r="CV90" s="258">
        <v>6.7081815789251056E-2</v>
      </c>
      <c r="CW90" s="256" t="s">
        <v>234</v>
      </c>
      <c r="CX90" s="257" t="s">
        <v>3072</v>
      </c>
      <c r="CY90" s="257" t="s">
        <v>235</v>
      </c>
      <c r="CZ90" s="257"/>
      <c r="DA90" s="276"/>
      <c r="DB90" s="276">
        <v>80</v>
      </c>
      <c r="DC90" s="257" t="s">
        <v>3073</v>
      </c>
      <c r="DD90" s="257">
        <v>0</v>
      </c>
      <c r="DE90" s="257">
        <v>1</v>
      </c>
      <c r="DF90" s="257">
        <v>0</v>
      </c>
      <c r="DG90" s="257">
        <v>0</v>
      </c>
      <c r="DH90" s="257"/>
      <c r="DI90" s="257">
        <v>1</v>
      </c>
      <c r="DJ90" s="257" t="s">
        <v>173</v>
      </c>
      <c r="DK90" s="257">
        <v>0</v>
      </c>
      <c r="DL90" s="257" t="s">
        <v>180</v>
      </c>
      <c r="DM90" s="257">
        <v>0</v>
      </c>
      <c r="DN90" s="257">
        <v>0</v>
      </c>
      <c r="DO90" s="257">
        <v>0</v>
      </c>
      <c r="DP90" s="276">
        <v>0</v>
      </c>
      <c r="DQ90" s="276">
        <v>0</v>
      </c>
      <c r="DR90" s="276">
        <v>0</v>
      </c>
      <c r="DS90" s="276">
        <v>0</v>
      </c>
      <c r="DT90" s="257">
        <v>0</v>
      </c>
      <c r="DU90" s="276" t="s">
        <v>961</v>
      </c>
      <c r="DV90" s="276">
        <v>1</v>
      </c>
      <c r="DW90" s="276">
        <v>1</v>
      </c>
      <c r="DX90" s="276">
        <v>1</v>
      </c>
      <c r="DY90" s="276">
        <v>0</v>
      </c>
      <c r="DZ90" s="257">
        <v>0</v>
      </c>
      <c r="EA90" s="276">
        <v>0</v>
      </c>
      <c r="EB90" s="276">
        <v>1</v>
      </c>
      <c r="EC90" s="276">
        <v>1</v>
      </c>
      <c r="ED90" s="276">
        <v>0</v>
      </c>
      <c r="EE90" s="276">
        <v>0</v>
      </c>
      <c r="EF90" s="257">
        <v>1</v>
      </c>
      <c r="EG90" s="276">
        <v>0</v>
      </c>
      <c r="EH90" s="257">
        <v>0</v>
      </c>
      <c r="EI90" s="258">
        <v>0</v>
      </c>
      <c r="EJ90" s="256"/>
      <c r="EK90" t="str">
        <f t="shared" ref="EK90:EK107" si="38">IF(AND(AND(AND(OR($DX90=1,$DW90=1),OR($EC90=1,$EA90=1)),SUM($DV90:$DZ90,$EF90)&gt;=4),SUM($EA90:$EE90)&gt;=2),"Whole sector","")</f>
        <v>Whole sector</v>
      </c>
      <c r="EL90" t="str">
        <f t="shared" ref="EL90:EL107" si="39">IF(AND(AND(OR($DX90=1,$DW90=1),AND($EC90=0,$EA90=0)),SUM($DV90:$DZ90,$EF90)&gt;=4),"Ecosystem approach","")</f>
        <v/>
      </c>
      <c r="EM90" s="258" t="s">
        <v>544</v>
      </c>
      <c r="EN90" s="257" t="s">
        <v>236</v>
      </c>
      <c r="EO90" s="257"/>
      <c r="EP90" t="str">
        <f>IF(ISNUMBER(BU90),IF(ABS(BU90-[2]QC_indicators!$B$2)&gt;3*[2]QC_indicators!$C$2,"C ratio",IF(ISNUMBER(BY90),IF(ABS(BY90-[2]QC_indicators!$B$1)&gt;3*[2]QC_indicators!$C$1,"DF","no"))),IF(ISNUMBER(BY90),IF(ABS(BY90-[2]QC_indicators!$B$1)&gt;3*[2]QC_indicators!$C$1,"DF","no")))</f>
        <v>no</v>
      </c>
      <c r="EQ90"/>
      <c r="ER90"/>
      <c r="ES90"/>
      <c r="ET90"/>
      <c r="EU90"/>
    </row>
    <row r="91" spans="1:151" s="139" customFormat="1" ht="15" hidden="1" customHeight="1">
      <c r="A91" s="256" t="s">
        <v>214</v>
      </c>
      <c r="B91" s="257" t="s">
        <v>215</v>
      </c>
      <c r="C91" s="257" t="s">
        <v>216</v>
      </c>
      <c r="D91" s="257" t="s">
        <v>217</v>
      </c>
      <c r="E91" s="257" t="s">
        <v>218</v>
      </c>
      <c r="F91" s="257" t="s">
        <v>219</v>
      </c>
      <c r="G91" s="257" t="s">
        <v>220</v>
      </c>
      <c r="H91" s="257"/>
      <c r="I91" s="257">
        <v>2012</v>
      </c>
      <c r="J91" s="257"/>
      <c r="K91" s="257" t="s">
        <v>221</v>
      </c>
      <c r="L91" s="257"/>
      <c r="M91" s="257" t="s">
        <v>3069</v>
      </c>
      <c r="N91" s="257" t="s">
        <v>222</v>
      </c>
      <c r="O91" s="275" t="s">
        <v>223</v>
      </c>
      <c r="P91" s="257"/>
      <c r="Q91" s="257" t="s">
        <v>224</v>
      </c>
      <c r="R91" s="258" t="s">
        <v>225</v>
      </c>
      <c r="S91" s="256" t="s">
        <v>241</v>
      </c>
      <c r="T91" s="257" t="s">
        <v>244</v>
      </c>
      <c r="U91" s="276" t="s">
        <v>242</v>
      </c>
      <c r="V91" s="257">
        <v>0</v>
      </c>
      <c r="W91" s="257">
        <v>0</v>
      </c>
      <c r="X91" s="257">
        <v>0</v>
      </c>
      <c r="Y91" s="257">
        <v>0</v>
      </c>
      <c r="Z91" s="257">
        <v>0</v>
      </c>
      <c r="AA91" s="257">
        <v>0</v>
      </c>
      <c r="AB91" s="257">
        <v>0</v>
      </c>
      <c r="AC91" s="257">
        <v>1</v>
      </c>
      <c r="AD91" s="257">
        <v>0</v>
      </c>
      <c r="AE91" s="257">
        <v>0</v>
      </c>
      <c r="AF91" s="257">
        <v>0</v>
      </c>
      <c r="AG91" s="257">
        <v>0</v>
      </c>
      <c r="AH91" s="257">
        <v>0</v>
      </c>
      <c r="AI91" s="257">
        <v>0</v>
      </c>
      <c r="AJ91" s="257">
        <v>0</v>
      </c>
      <c r="AK91" s="257">
        <v>0</v>
      </c>
      <c r="AL91" s="257">
        <v>0</v>
      </c>
      <c r="AM91" s="257">
        <v>0</v>
      </c>
      <c r="AN91" s="257">
        <v>0</v>
      </c>
      <c r="AO91" s="257">
        <v>0</v>
      </c>
      <c r="AP91" s="257">
        <v>0</v>
      </c>
      <c r="AQ91" s="257">
        <v>0</v>
      </c>
      <c r="AR91" s="257">
        <v>0</v>
      </c>
      <c r="AS91" s="257">
        <v>0</v>
      </c>
      <c r="AT91" s="257">
        <v>0</v>
      </c>
      <c r="AU91" s="257">
        <v>0</v>
      </c>
      <c r="AV91" s="257">
        <v>0</v>
      </c>
      <c r="AW91" s="257">
        <v>0</v>
      </c>
      <c r="AX91" s="277">
        <v>1</v>
      </c>
      <c r="AY91" s="277">
        <v>1</v>
      </c>
      <c r="AZ91" s="257">
        <v>1</v>
      </c>
      <c r="BA91" s="257">
        <v>0</v>
      </c>
      <c r="BB91" s="257">
        <v>0</v>
      </c>
      <c r="BC91" s="257">
        <v>0</v>
      </c>
      <c r="BD91" s="257">
        <v>0</v>
      </c>
      <c r="BE91" s="257" t="s">
        <v>95</v>
      </c>
      <c r="BF91" s="2" t="str" cm="1">
        <f t="array" ref="BF91">IF(COUNTIF(AZ91:BB91,"&lt;&gt;0")=1,INDEX($V$4:$AW$4,MATCH(TRUE,INDEX($V91:$AW91&lt;&gt;0,),0)),IF(COUNTIF(AZ91:BB91,"&lt;&gt;0")=0,INDEX($AM$4:$AW$4,MATCH(1,$AM91:$AW91,0)),"Multiple strategies"))</f>
        <v>Silviculture for productivity</v>
      </c>
      <c r="BG91" s="278" t="s">
        <v>229</v>
      </c>
      <c r="BH91" s="257" t="s">
        <v>230</v>
      </c>
      <c r="BI91" s="279" t="s">
        <v>3070</v>
      </c>
      <c r="BJ91" s="276" t="s">
        <v>231</v>
      </c>
      <c r="BK91" s="257">
        <v>37.305819020763899</v>
      </c>
      <c r="BL91" s="257">
        <v>48.643391097519498</v>
      </c>
      <c r="BM91" s="276">
        <v>1.3039089443511551</v>
      </c>
      <c r="BN91" s="257">
        <v>11.337572076755599</v>
      </c>
      <c r="BO91" s="276">
        <v>23.137902197460406</v>
      </c>
      <c r="BP91" s="276" t="s">
        <v>232</v>
      </c>
      <c r="BQ91" s="279" t="s">
        <v>3070</v>
      </c>
      <c r="BR91" s="276" t="s">
        <v>233</v>
      </c>
      <c r="BS91" s="257">
        <v>-9.8192771084337291</v>
      </c>
      <c r="BT91" s="257">
        <v>-9.3488297325102803</v>
      </c>
      <c r="BU91" s="259">
        <v>0.95208940834153832</v>
      </c>
      <c r="BV91" s="257">
        <v>0.47044737592344887</v>
      </c>
      <c r="BW91" s="257"/>
      <c r="BX91" s="257">
        <v>4.7044737592344887E-4</v>
      </c>
      <c r="BY91" s="257">
        <v>2.0332326237211112E-5</v>
      </c>
      <c r="BZ91" s="257">
        <v>0</v>
      </c>
      <c r="CA91" s="257">
        <v>0</v>
      </c>
      <c r="CB91" s="257">
        <v>0</v>
      </c>
      <c r="CC91" s="257">
        <v>0</v>
      </c>
      <c r="CD91" s="257">
        <v>0</v>
      </c>
      <c r="CE91" s="257">
        <v>0</v>
      </c>
      <c r="CF91" s="257">
        <v>0</v>
      </c>
      <c r="CG91" s="257">
        <v>0</v>
      </c>
      <c r="CH91" s="257">
        <v>0</v>
      </c>
      <c r="CI91" s="257">
        <v>0</v>
      </c>
      <c r="CJ91" s="257">
        <v>0</v>
      </c>
      <c r="CK91" s="257">
        <v>0</v>
      </c>
      <c r="CL91" s="257">
        <v>0</v>
      </c>
      <c r="CM91" s="257">
        <v>0</v>
      </c>
      <c r="CN91" s="257" t="s">
        <v>3071</v>
      </c>
      <c r="CO91" s="257">
        <v>37.305819020763899</v>
      </c>
      <c r="CP91" s="257">
        <v>48.643391097519498</v>
      </c>
      <c r="CQ91" s="257">
        <v>23.137902197460406</v>
      </c>
      <c r="CR91" s="257">
        <v>-9.8192771084337291</v>
      </c>
      <c r="CS91" s="257">
        <v>-9.3488297325102803</v>
      </c>
      <c r="CT91" s="257">
        <v>4.7044737592344887E-4</v>
      </c>
      <c r="CU91" s="257">
        <v>2.0332326237211112E-5</v>
      </c>
      <c r="CV91" s="258">
        <v>4.791059165846169E-2</v>
      </c>
      <c r="CW91" s="256" t="s">
        <v>234</v>
      </c>
      <c r="CX91" s="257" t="s">
        <v>3072</v>
      </c>
      <c r="CY91" s="257" t="s">
        <v>235</v>
      </c>
      <c r="CZ91" s="257"/>
      <c r="DA91" s="276"/>
      <c r="DB91" s="276">
        <v>80</v>
      </c>
      <c r="DC91" s="257" t="s">
        <v>3073</v>
      </c>
      <c r="DD91" s="257">
        <v>0</v>
      </c>
      <c r="DE91" s="257">
        <v>1</v>
      </c>
      <c r="DF91" s="257">
        <v>0</v>
      </c>
      <c r="DG91" s="257">
        <v>0</v>
      </c>
      <c r="DH91" s="257"/>
      <c r="DI91" s="257">
        <v>1</v>
      </c>
      <c r="DJ91" s="257" t="s">
        <v>173</v>
      </c>
      <c r="DK91" s="257">
        <v>0</v>
      </c>
      <c r="DL91" s="257" t="s">
        <v>180</v>
      </c>
      <c r="DM91" s="257">
        <v>0</v>
      </c>
      <c r="DN91" s="257">
        <v>0</v>
      </c>
      <c r="DO91" s="257">
        <v>0</v>
      </c>
      <c r="DP91" s="276">
        <v>0</v>
      </c>
      <c r="DQ91" s="276">
        <v>0</v>
      </c>
      <c r="DR91" s="276">
        <v>0</v>
      </c>
      <c r="DS91" s="276">
        <v>0</v>
      </c>
      <c r="DT91" s="257">
        <v>0</v>
      </c>
      <c r="DU91" s="276" t="s">
        <v>961</v>
      </c>
      <c r="DV91" s="276">
        <v>1</v>
      </c>
      <c r="DW91" s="276">
        <v>1</v>
      </c>
      <c r="DX91" s="276">
        <v>1</v>
      </c>
      <c r="DY91" s="276">
        <v>0</v>
      </c>
      <c r="DZ91" s="257">
        <v>0</v>
      </c>
      <c r="EA91" s="276">
        <v>0</v>
      </c>
      <c r="EB91" s="276">
        <v>1</v>
      </c>
      <c r="EC91" s="276">
        <v>1</v>
      </c>
      <c r="ED91" s="276">
        <v>0</v>
      </c>
      <c r="EE91" s="276">
        <v>0</v>
      </c>
      <c r="EF91" s="257">
        <v>1</v>
      </c>
      <c r="EG91" s="276">
        <v>0</v>
      </c>
      <c r="EH91" s="257">
        <v>0</v>
      </c>
      <c r="EI91" s="258">
        <v>0</v>
      </c>
      <c r="EJ91" s="256"/>
      <c r="EK91" t="str">
        <f t="shared" si="38"/>
        <v>Whole sector</v>
      </c>
      <c r="EL91" t="str">
        <f t="shared" si="39"/>
        <v/>
      </c>
      <c r="EM91" s="258" t="s">
        <v>544</v>
      </c>
      <c r="EN91" s="257" t="s">
        <v>236</v>
      </c>
      <c r="EO91" s="257"/>
      <c r="EP91" t="str">
        <f>IF(ISNUMBER(BU91),IF(ABS(BU91-[2]QC_indicators!$B$2)&gt;3*[2]QC_indicators!$C$2,"C ratio",IF(ISNUMBER(BY91),IF(ABS(BY91-[2]QC_indicators!$B$1)&gt;3*[2]QC_indicators!$C$1,"DF","no"))),IF(ISNUMBER(BY91),IF(ABS(BY91-[2]QC_indicators!$B$1)&gt;3*[2]QC_indicators!$C$1,"DF","no")))</f>
        <v>no</v>
      </c>
      <c r="EQ91"/>
      <c r="ER91"/>
      <c r="ES91"/>
      <c r="ET91"/>
      <c r="EU91"/>
    </row>
    <row r="92" spans="1:151" s="139" customFormat="1" ht="15" hidden="1" customHeight="1">
      <c r="A92" s="256" t="s">
        <v>214</v>
      </c>
      <c r="B92" s="257" t="s">
        <v>215</v>
      </c>
      <c r="C92" s="257" t="s">
        <v>216</v>
      </c>
      <c r="D92" s="257" t="s">
        <v>217</v>
      </c>
      <c r="E92" s="257" t="s">
        <v>218</v>
      </c>
      <c r="F92" s="257" t="s">
        <v>219</v>
      </c>
      <c r="G92" s="257" t="s">
        <v>220</v>
      </c>
      <c r="H92" s="257"/>
      <c r="I92" s="257">
        <v>2012</v>
      </c>
      <c r="J92" s="257"/>
      <c r="K92" s="257" t="s">
        <v>221</v>
      </c>
      <c r="L92" s="257"/>
      <c r="M92" s="257" t="s">
        <v>3069</v>
      </c>
      <c r="N92" s="257" t="s">
        <v>222</v>
      </c>
      <c r="O92" s="275" t="s">
        <v>223</v>
      </c>
      <c r="P92" s="257"/>
      <c r="Q92" s="257" t="s">
        <v>224</v>
      </c>
      <c r="R92" s="258" t="s">
        <v>225</v>
      </c>
      <c r="S92" s="256" t="s">
        <v>241</v>
      </c>
      <c r="T92" s="257" t="s">
        <v>244</v>
      </c>
      <c r="U92" s="276" t="s">
        <v>242</v>
      </c>
      <c r="V92" s="257">
        <v>0</v>
      </c>
      <c r="W92" s="257">
        <v>0</v>
      </c>
      <c r="X92" s="257">
        <v>0</v>
      </c>
      <c r="Y92" s="257">
        <v>0</v>
      </c>
      <c r="Z92" s="257">
        <v>0</v>
      </c>
      <c r="AA92" s="257">
        <v>0</v>
      </c>
      <c r="AB92" s="257">
        <v>0</v>
      </c>
      <c r="AC92" s="257">
        <v>1</v>
      </c>
      <c r="AD92" s="257">
        <v>0</v>
      </c>
      <c r="AE92" s="257">
        <v>0</v>
      </c>
      <c r="AF92" s="257">
        <v>0</v>
      </c>
      <c r="AG92" s="257">
        <v>0</v>
      </c>
      <c r="AH92" s="257">
        <v>0</v>
      </c>
      <c r="AI92" s="257">
        <v>0</v>
      </c>
      <c r="AJ92" s="257">
        <v>0</v>
      </c>
      <c r="AK92" s="257">
        <v>0</v>
      </c>
      <c r="AL92" s="257">
        <v>0</v>
      </c>
      <c r="AM92" s="257">
        <v>0</v>
      </c>
      <c r="AN92" s="257">
        <v>0</v>
      </c>
      <c r="AO92" s="257">
        <v>0</v>
      </c>
      <c r="AP92" s="257">
        <v>0</v>
      </c>
      <c r="AQ92" s="257">
        <v>0</v>
      </c>
      <c r="AR92" s="257">
        <v>0</v>
      </c>
      <c r="AS92" s="257">
        <v>0</v>
      </c>
      <c r="AT92" s="257">
        <v>0</v>
      </c>
      <c r="AU92" s="257">
        <v>0</v>
      </c>
      <c r="AV92" s="257">
        <v>0</v>
      </c>
      <c r="AW92" s="257">
        <v>0</v>
      </c>
      <c r="AX92" s="277">
        <v>1</v>
      </c>
      <c r="AY92" s="277">
        <v>1</v>
      </c>
      <c r="AZ92" s="257">
        <v>1</v>
      </c>
      <c r="BA92" s="257">
        <v>0</v>
      </c>
      <c r="BB92" s="257">
        <v>0</v>
      </c>
      <c r="BC92" s="257">
        <v>0</v>
      </c>
      <c r="BD92" s="257">
        <v>0</v>
      </c>
      <c r="BE92" s="257" t="s">
        <v>95</v>
      </c>
      <c r="BF92" s="2" t="str" cm="1">
        <f t="array" ref="BF92">IF(COUNTIF(AZ92:BB92,"&lt;&gt;0")=1,INDEX($V$4:$AW$4,MATCH(TRUE,INDEX($V92:$AW92&lt;&gt;0,),0)),IF(COUNTIF(AZ92:BB92,"&lt;&gt;0")=0,INDEX($AM$4:$AW$4,MATCH(1,$AM92:$AW92,0)),"Multiple strategies"))</f>
        <v>Silviculture for productivity</v>
      </c>
      <c r="BG92" s="278" t="s">
        <v>229</v>
      </c>
      <c r="BH92" s="257" t="s">
        <v>230</v>
      </c>
      <c r="BI92" s="279" t="s">
        <v>3070</v>
      </c>
      <c r="BJ92" s="276" t="s">
        <v>231</v>
      </c>
      <c r="BK92" s="257">
        <v>34.220071776467499</v>
      </c>
      <c r="BL92" s="257">
        <v>41.741420319401897</v>
      </c>
      <c r="BM92" s="276">
        <v>1.2197934765322931</v>
      </c>
      <c r="BN92" s="257">
        <v>7.5213485429343976</v>
      </c>
      <c r="BO92" s="276">
        <v>15.349690903947751</v>
      </c>
      <c r="BP92" s="276" t="s">
        <v>232</v>
      </c>
      <c r="BQ92" s="279" t="s">
        <v>3070</v>
      </c>
      <c r="BR92" s="276" t="s">
        <v>233</v>
      </c>
      <c r="BS92" s="257">
        <v>-10.491967871485899</v>
      </c>
      <c r="BT92" s="257">
        <v>-10.1626318158436</v>
      </c>
      <c r="BU92" s="259">
        <v>0.96861064962490606</v>
      </c>
      <c r="BV92" s="257">
        <v>0.32933605564229929</v>
      </c>
      <c r="BW92" s="257"/>
      <c r="BX92" s="257">
        <v>3.2933605564229926E-4</v>
      </c>
      <c r="BY92" s="257">
        <v>2.1455549672182527E-5</v>
      </c>
      <c r="BZ92" s="257">
        <v>0</v>
      </c>
      <c r="CA92" s="257">
        <v>0</v>
      </c>
      <c r="CB92" s="257">
        <v>0</v>
      </c>
      <c r="CC92" s="257">
        <v>0</v>
      </c>
      <c r="CD92" s="257">
        <v>0</v>
      </c>
      <c r="CE92" s="257">
        <v>0</v>
      </c>
      <c r="CF92" s="257">
        <v>0</v>
      </c>
      <c r="CG92" s="257">
        <v>0</v>
      </c>
      <c r="CH92" s="257">
        <v>0</v>
      </c>
      <c r="CI92" s="257">
        <v>0</v>
      </c>
      <c r="CJ92" s="257">
        <v>0</v>
      </c>
      <c r="CK92" s="257">
        <v>0</v>
      </c>
      <c r="CL92" s="257">
        <v>0</v>
      </c>
      <c r="CM92" s="257">
        <v>0</v>
      </c>
      <c r="CN92" s="257" t="s">
        <v>3071</v>
      </c>
      <c r="CO92" s="257">
        <v>34.220071776467499</v>
      </c>
      <c r="CP92" s="257">
        <v>41.741420319401897</v>
      </c>
      <c r="CQ92" s="257">
        <v>15.349690903947751</v>
      </c>
      <c r="CR92" s="257">
        <v>-10.491967871485899</v>
      </c>
      <c r="CS92" s="257">
        <v>-10.1626318158436</v>
      </c>
      <c r="CT92" s="257">
        <v>3.2933605564229926E-4</v>
      </c>
      <c r="CU92" s="257">
        <v>2.1455549672182527E-5</v>
      </c>
      <c r="CV92" s="258">
        <v>3.1389350375093925E-2</v>
      </c>
      <c r="CW92" s="256" t="s">
        <v>234</v>
      </c>
      <c r="CX92" s="257" t="s">
        <v>3072</v>
      </c>
      <c r="CY92" s="257" t="s">
        <v>235</v>
      </c>
      <c r="CZ92" s="257"/>
      <c r="DA92" s="276"/>
      <c r="DB92" s="276">
        <v>80</v>
      </c>
      <c r="DC92" s="257" t="s">
        <v>3073</v>
      </c>
      <c r="DD92" s="257">
        <v>0</v>
      </c>
      <c r="DE92" s="257">
        <v>1</v>
      </c>
      <c r="DF92" s="257">
        <v>0</v>
      </c>
      <c r="DG92" s="257">
        <v>0</v>
      </c>
      <c r="DH92" s="257"/>
      <c r="DI92" s="257">
        <v>1</v>
      </c>
      <c r="DJ92" s="257" t="s">
        <v>173</v>
      </c>
      <c r="DK92" s="257">
        <v>0</v>
      </c>
      <c r="DL92" s="257" t="s">
        <v>180</v>
      </c>
      <c r="DM92" s="257">
        <v>0</v>
      </c>
      <c r="DN92" s="257">
        <v>0</v>
      </c>
      <c r="DO92" s="257">
        <v>0</v>
      </c>
      <c r="DP92" s="276">
        <v>0</v>
      </c>
      <c r="DQ92" s="276">
        <v>0</v>
      </c>
      <c r="DR92" s="276">
        <v>0</v>
      </c>
      <c r="DS92" s="276">
        <v>0</v>
      </c>
      <c r="DT92" s="257">
        <v>0</v>
      </c>
      <c r="DU92" s="276" t="s">
        <v>961</v>
      </c>
      <c r="DV92" s="276">
        <v>1</v>
      </c>
      <c r="DW92" s="276">
        <v>1</v>
      </c>
      <c r="DX92" s="276">
        <v>1</v>
      </c>
      <c r="DY92" s="276">
        <v>0</v>
      </c>
      <c r="DZ92" s="257">
        <v>0</v>
      </c>
      <c r="EA92" s="276">
        <v>0</v>
      </c>
      <c r="EB92" s="276">
        <v>1</v>
      </c>
      <c r="EC92" s="276">
        <v>1</v>
      </c>
      <c r="ED92" s="276">
        <v>0</v>
      </c>
      <c r="EE92" s="276">
        <v>0</v>
      </c>
      <c r="EF92" s="257">
        <v>1</v>
      </c>
      <c r="EG92" s="276">
        <v>0</v>
      </c>
      <c r="EH92" s="257">
        <v>0</v>
      </c>
      <c r="EI92" s="258">
        <v>0</v>
      </c>
      <c r="EJ92" s="256"/>
      <c r="EK92" t="str">
        <f t="shared" si="38"/>
        <v>Whole sector</v>
      </c>
      <c r="EL92" t="str">
        <f t="shared" si="39"/>
        <v/>
      </c>
      <c r="EM92" s="258" t="s">
        <v>544</v>
      </c>
      <c r="EN92" s="257" t="s">
        <v>236</v>
      </c>
      <c r="EO92" s="257"/>
      <c r="EP92" t="str">
        <f>IF(ISNUMBER(BU92),IF(ABS(BU92-[2]QC_indicators!$B$2)&gt;3*[2]QC_indicators!$C$2,"C ratio",IF(ISNUMBER(BY92),IF(ABS(BY92-[2]QC_indicators!$B$1)&gt;3*[2]QC_indicators!$C$1,"DF","no"))),IF(ISNUMBER(BY92),IF(ABS(BY92-[2]QC_indicators!$B$1)&gt;3*[2]QC_indicators!$C$1,"DF","no")))</f>
        <v>no</v>
      </c>
      <c r="EQ92"/>
      <c r="ER92"/>
      <c r="ES92"/>
      <c r="ET92"/>
      <c r="EU92"/>
    </row>
    <row r="93" spans="1:151" s="139" customFormat="1" ht="15" hidden="1" customHeight="1">
      <c r="A93" s="256" t="s">
        <v>214</v>
      </c>
      <c r="B93" s="257" t="s">
        <v>215</v>
      </c>
      <c r="C93" s="257" t="s">
        <v>216</v>
      </c>
      <c r="D93" s="257" t="s">
        <v>217</v>
      </c>
      <c r="E93" s="257" t="s">
        <v>218</v>
      </c>
      <c r="F93" s="257" t="s">
        <v>219</v>
      </c>
      <c r="G93" s="257" t="s">
        <v>220</v>
      </c>
      <c r="H93" s="257"/>
      <c r="I93" s="257">
        <v>2012</v>
      </c>
      <c r="J93" s="257"/>
      <c r="K93" s="257" t="s">
        <v>221</v>
      </c>
      <c r="L93" s="257"/>
      <c r="M93" s="257" t="s">
        <v>3069</v>
      </c>
      <c r="N93" s="257" t="s">
        <v>222</v>
      </c>
      <c r="O93" s="275" t="s">
        <v>223</v>
      </c>
      <c r="P93" s="257"/>
      <c r="Q93" s="257" t="s">
        <v>224</v>
      </c>
      <c r="R93" s="258" t="s">
        <v>225</v>
      </c>
      <c r="S93" s="256" t="s">
        <v>92</v>
      </c>
      <c r="T93" s="257" t="s">
        <v>245</v>
      </c>
      <c r="U93" s="276" t="s">
        <v>246</v>
      </c>
      <c r="V93" s="257">
        <v>0</v>
      </c>
      <c r="W93" s="257">
        <v>0</v>
      </c>
      <c r="X93" s="257">
        <v>0</v>
      </c>
      <c r="Y93" s="257">
        <v>0</v>
      </c>
      <c r="Z93" s="257">
        <v>1</v>
      </c>
      <c r="AA93" s="257">
        <v>0</v>
      </c>
      <c r="AB93" s="257">
        <v>0</v>
      </c>
      <c r="AC93" s="257">
        <v>0</v>
      </c>
      <c r="AD93" s="257">
        <v>0</v>
      </c>
      <c r="AE93" s="257">
        <v>0</v>
      </c>
      <c r="AF93" s="257">
        <v>0</v>
      </c>
      <c r="AG93" s="257">
        <v>0</v>
      </c>
      <c r="AH93" s="257">
        <v>0</v>
      </c>
      <c r="AI93" s="257">
        <v>0</v>
      </c>
      <c r="AJ93" s="257">
        <v>0</v>
      </c>
      <c r="AK93" s="257">
        <v>0</v>
      </c>
      <c r="AL93" s="257">
        <v>0</v>
      </c>
      <c r="AM93" s="257">
        <v>0</v>
      </c>
      <c r="AN93" s="257">
        <v>0</v>
      </c>
      <c r="AO93" s="257">
        <v>0</v>
      </c>
      <c r="AP93" s="257">
        <v>0</v>
      </c>
      <c r="AQ93" s="257">
        <v>0</v>
      </c>
      <c r="AR93" s="257">
        <v>0</v>
      </c>
      <c r="AS93" s="257">
        <v>0</v>
      </c>
      <c r="AT93" s="257">
        <v>0</v>
      </c>
      <c r="AU93" s="257">
        <v>0</v>
      </c>
      <c r="AV93" s="257">
        <v>0</v>
      </c>
      <c r="AW93" s="257">
        <v>0</v>
      </c>
      <c r="AX93" s="277">
        <v>1</v>
      </c>
      <c r="AY93" s="277">
        <v>1</v>
      </c>
      <c r="AZ93" s="257">
        <v>1</v>
      </c>
      <c r="BA93" s="257">
        <v>0</v>
      </c>
      <c r="BB93" s="257">
        <v>0</v>
      </c>
      <c r="BC93" s="257">
        <v>0</v>
      </c>
      <c r="BD93" s="257">
        <v>0</v>
      </c>
      <c r="BE93" s="257" t="s">
        <v>92</v>
      </c>
      <c r="BF93" s="2" t="str" cm="1">
        <f t="array" ref="BF93">IF(COUNTIF(AZ93:BB93,"&lt;&gt;0")=1,INDEX($V$4:$AW$4,MATCH(TRUE,INDEX($V93:$AW93&lt;&gt;0,),0)),IF(COUNTIF(AZ93:BB93,"&lt;&gt;0")=0,INDEX($AM$4:$AW$4,MATCH(1,$AM93:$AW93,0)),"Multiple strategies"))</f>
        <v>Silviculture for productivity</v>
      </c>
      <c r="BG93" s="278" t="s">
        <v>229</v>
      </c>
      <c r="BH93" s="257" t="s">
        <v>230</v>
      </c>
      <c r="BI93" s="279" t="s">
        <v>3070</v>
      </c>
      <c r="BJ93" s="276" t="s">
        <v>231</v>
      </c>
      <c r="BK93" s="257">
        <v>53.696488079979403</v>
      </c>
      <c r="BL93" s="257">
        <v>75.212579794444494</v>
      </c>
      <c r="BM93" s="276">
        <v>1.4006983041873704</v>
      </c>
      <c r="BN93" s="257">
        <v>21.516091714465091</v>
      </c>
      <c r="BO93" s="276">
        <v>43.910391254010392</v>
      </c>
      <c r="BP93" s="276" t="s">
        <v>232</v>
      </c>
      <c r="BQ93" s="279" t="s">
        <v>3070</v>
      </c>
      <c r="BR93" s="276" t="s">
        <v>233</v>
      </c>
      <c r="BS93" s="257">
        <v>-9.4136546184738901</v>
      </c>
      <c r="BT93" s="257">
        <v>-8.4548837897123708</v>
      </c>
      <c r="BU93" s="259">
        <v>0.89815105104026516</v>
      </c>
      <c r="BV93" s="257">
        <v>0.95877082876151931</v>
      </c>
      <c r="BW93" s="257"/>
      <c r="BX93" s="257">
        <v>9.5877082876151933E-4</v>
      </c>
      <c r="BY93" s="257">
        <v>2.1834713865683297E-5</v>
      </c>
      <c r="BZ93" s="257">
        <v>0</v>
      </c>
      <c r="CA93" s="257">
        <v>0</v>
      </c>
      <c r="CB93" s="257">
        <v>0</v>
      </c>
      <c r="CC93" s="257">
        <v>0</v>
      </c>
      <c r="CD93" s="257">
        <v>0</v>
      </c>
      <c r="CE93" s="257">
        <v>0</v>
      </c>
      <c r="CF93" s="257">
        <v>0</v>
      </c>
      <c r="CG93" s="257">
        <v>0</v>
      </c>
      <c r="CH93" s="257">
        <v>0</v>
      </c>
      <c r="CI93" s="257">
        <v>0</v>
      </c>
      <c r="CJ93" s="257">
        <v>0</v>
      </c>
      <c r="CK93" s="257">
        <v>0</v>
      </c>
      <c r="CL93" s="257">
        <v>0</v>
      </c>
      <c r="CM93" s="257">
        <v>0</v>
      </c>
      <c r="CN93" s="257" t="s">
        <v>3071</v>
      </c>
      <c r="CO93" s="257">
        <v>53.696488079979403</v>
      </c>
      <c r="CP93" s="257">
        <v>75.212579794444494</v>
      </c>
      <c r="CQ93" s="257">
        <v>43.910391254010392</v>
      </c>
      <c r="CR93" s="257">
        <v>-9.4136546184738901</v>
      </c>
      <c r="CS93" s="257">
        <v>-8.4548837897123708</v>
      </c>
      <c r="CT93" s="257">
        <v>9.5877082876151933E-4</v>
      </c>
      <c r="CU93" s="257">
        <v>2.1834713865683297E-5</v>
      </c>
      <c r="CV93" s="258">
        <v>0.10184894895973483</v>
      </c>
      <c r="CW93" s="256" t="s">
        <v>234</v>
      </c>
      <c r="CX93" s="257" t="s">
        <v>3072</v>
      </c>
      <c r="CY93" s="257" t="s">
        <v>235</v>
      </c>
      <c r="CZ93" s="257"/>
      <c r="DA93" s="276"/>
      <c r="DB93" s="276">
        <v>80</v>
      </c>
      <c r="DC93" s="257" t="s">
        <v>3073</v>
      </c>
      <c r="DD93" s="257">
        <v>0</v>
      </c>
      <c r="DE93" s="257">
        <v>1</v>
      </c>
      <c r="DF93" s="257">
        <v>0</v>
      </c>
      <c r="DG93" s="257">
        <v>0</v>
      </c>
      <c r="DH93" s="257"/>
      <c r="DI93" s="257">
        <v>1</v>
      </c>
      <c r="DJ93" s="257" t="s">
        <v>173</v>
      </c>
      <c r="DK93" s="257">
        <v>0</v>
      </c>
      <c r="DL93" s="257" t="s">
        <v>180</v>
      </c>
      <c r="DM93" s="257">
        <v>0</v>
      </c>
      <c r="DN93" s="257">
        <v>0</v>
      </c>
      <c r="DO93" s="257">
        <v>0</v>
      </c>
      <c r="DP93" s="276">
        <v>0</v>
      </c>
      <c r="DQ93" s="276">
        <v>0</v>
      </c>
      <c r="DR93" s="276">
        <v>0</v>
      </c>
      <c r="DS93" s="276">
        <v>0</v>
      </c>
      <c r="DT93" s="257">
        <v>0</v>
      </c>
      <c r="DU93" s="276" t="s">
        <v>961</v>
      </c>
      <c r="DV93" s="276">
        <v>1</v>
      </c>
      <c r="DW93" s="276">
        <v>1</v>
      </c>
      <c r="DX93" s="276">
        <v>1</v>
      </c>
      <c r="DY93" s="276">
        <v>0</v>
      </c>
      <c r="DZ93" s="257">
        <v>0</v>
      </c>
      <c r="EA93" s="276">
        <v>0</v>
      </c>
      <c r="EB93" s="276">
        <v>1</v>
      </c>
      <c r="EC93" s="276">
        <v>1</v>
      </c>
      <c r="ED93" s="276">
        <v>0</v>
      </c>
      <c r="EE93" s="276">
        <v>0</v>
      </c>
      <c r="EF93" s="257">
        <v>1</v>
      </c>
      <c r="EG93" s="276">
        <v>0</v>
      </c>
      <c r="EH93" s="257">
        <v>0</v>
      </c>
      <c r="EI93" s="258">
        <v>0</v>
      </c>
      <c r="EJ93" s="256"/>
      <c r="EK93" t="str">
        <f t="shared" si="38"/>
        <v>Whole sector</v>
      </c>
      <c r="EL93" t="str">
        <f t="shared" si="39"/>
        <v/>
      </c>
      <c r="EM93" s="258" t="s">
        <v>544</v>
      </c>
      <c r="EN93" s="257" t="s">
        <v>236</v>
      </c>
      <c r="EO93" s="257"/>
      <c r="EP93" t="str">
        <f>IF(ISNUMBER(BU93),IF(ABS(BU93-[2]QC_indicators!$B$2)&gt;3*[2]QC_indicators!$C$2,"C ratio",IF(ISNUMBER(BY93),IF(ABS(BY93-[2]QC_indicators!$B$1)&gt;3*[2]QC_indicators!$C$1,"DF","no"))),IF(ISNUMBER(BY93),IF(ABS(BY93-[2]QC_indicators!$B$1)&gt;3*[2]QC_indicators!$C$1,"DF","no")))</f>
        <v>no</v>
      </c>
      <c r="EQ93" s="257"/>
      <c r="ER93" s="257"/>
      <c r="ES93"/>
      <c r="ET93"/>
      <c r="EU93"/>
    </row>
    <row r="94" spans="1:151" s="139" customFormat="1" ht="15" hidden="1" customHeight="1">
      <c r="A94" s="256" t="s">
        <v>214</v>
      </c>
      <c r="B94" s="257" t="s">
        <v>215</v>
      </c>
      <c r="C94" s="257" t="s">
        <v>216</v>
      </c>
      <c r="D94" s="257" t="s">
        <v>217</v>
      </c>
      <c r="E94" s="257" t="s">
        <v>218</v>
      </c>
      <c r="F94" s="257" t="s">
        <v>219</v>
      </c>
      <c r="G94" s="257" t="s">
        <v>220</v>
      </c>
      <c r="H94" s="257"/>
      <c r="I94" s="257">
        <v>2012</v>
      </c>
      <c r="J94" s="257"/>
      <c r="K94" s="257" t="s">
        <v>221</v>
      </c>
      <c r="L94" s="257"/>
      <c r="M94" s="257" t="s">
        <v>3069</v>
      </c>
      <c r="N94" s="257" t="s">
        <v>222</v>
      </c>
      <c r="O94" s="275" t="s">
        <v>223</v>
      </c>
      <c r="P94" s="257"/>
      <c r="Q94" s="257" t="s">
        <v>224</v>
      </c>
      <c r="R94" s="258" t="s">
        <v>225</v>
      </c>
      <c r="S94" s="256" t="s">
        <v>226</v>
      </c>
      <c r="T94" s="257" t="s">
        <v>228</v>
      </c>
      <c r="U94" s="257" t="s">
        <v>238</v>
      </c>
      <c r="V94" s="257">
        <v>0</v>
      </c>
      <c r="W94" s="257">
        <v>0</v>
      </c>
      <c r="X94" s="257">
        <v>0</v>
      </c>
      <c r="Y94" s="257">
        <v>1</v>
      </c>
      <c r="Z94" s="257">
        <v>0</v>
      </c>
      <c r="AA94" s="257">
        <v>0</v>
      </c>
      <c r="AB94" s="257">
        <v>0</v>
      </c>
      <c r="AC94" s="257">
        <v>0</v>
      </c>
      <c r="AD94" s="257">
        <v>0</v>
      </c>
      <c r="AE94" s="257">
        <v>0</v>
      </c>
      <c r="AF94" s="257">
        <v>0</v>
      </c>
      <c r="AG94" s="257">
        <v>0</v>
      </c>
      <c r="AH94" s="257">
        <v>0</v>
      </c>
      <c r="AI94" s="257">
        <v>0</v>
      </c>
      <c r="AJ94" s="257">
        <v>0</v>
      </c>
      <c r="AK94" s="257">
        <v>0</v>
      </c>
      <c r="AL94" s="257">
        <v>0</v>
      </c>
      <c r="AM94" s="257">
        <v>0</v>
      </c>
      <c r="AN94" s="257">
        <v>0</v>
      </c>
      <c r="AO94" s="257">
        <v>0</v>
      </c>
      <c r="AP94" s="257">
        <v>0</v>
      </c>
      <c r="AQ94" s="257">
        <v>0</v>
      </c>
      <c r="AR94" s="257">
        <v>0</v>
      </c>
      <c r="AS94" s="257">
        <v>0</v>
      </c>
      <c r="AT94" s="257">
        <v>0</v>
      </c>
      <c r="AU94" s="257">
        <v>0</v>
      </c>
      <c r="AV94" s="257">
        <v>0</v>
      </c>
      <c r="AW94" s="257">
        <v>0</v>
      </c>
      <c r="AX94" s="277">
        <v>1</v>
      </c>
      <c r="AY94" s="277">
        <v>1</v>
      </c>
      <c r="AZ94" s="257">
        <v>1</v>
      </c>
      <c r="BA94" s="257">
        <v>0</v>
      </c>
      <c r="BB94" s="257">
        <v>0</v>
      </c>
      <c r="BC94" s="257">
        <v>0</v>
      </c>
      <c r="BD94" s="257">
        <v>0</v>
      </c>
      <c r="BE94" s="257" t="s">
        <v>91</v>
      </c>
      <c r="BF94" s="2" t="str" cm="1">
        <f t="array" ref="BF94">IF(COUNTIF(AZ94:BB94,"&lt;&gt;0")=1,INDEX($V$4:$AW$4,MATCH(TRUE,INDEX($V94:$AW94&lt;&gt;0,),0)),IF(COUNTIF(AZ94:BB94,"&lt;&gt;0")=0,INDEX($AM$4:$AW$4,MATCH(1,$AM94:$AW94,0)),"Multiple strategies"))</f>
        <v>Silviculture for removals</v>
      </c>
      <c r="BG94" s="278" t="s">
        <v>229</v>
      </c>
      <c r="BH94" s="257" t="s">
        <v>230</v>
      </c>
      <c r="BI94" s="279" t="s">
        <v>3070</v>
      </c>
      <c r="BJ94" s="276" t="s">
        <v>231</v>
      </c>
      <c r="BK94" s="257">
        <v>37.305819020000001</v>
      </c>
      <c r="BL94" s="257">
        <v>54.766085619999998</v>
      </c>
      <c r="BM94" s="276">
        <v>0.68118468935045284</v>
      </c>
      <c r="BN94" s="257">
        <v>17.460266599999997</v>
      </c>
      <c r="BO94" s="276">
        <v>35.633197142857135</v>
      </c>
      <c r="BP94" s="276" t="s">
        <v>232</v>
      </c>
      <c r="BQ94" s="279" t="s">
        <v>3070</v>
      </c>
      <c r="BR94" s="276" t="s">
        <v>233</v>
      </c>
      <c r="BS94" s="257">
        <v>-9.8192771079999996</v>
      </c>
      <c r="BT94" s="257">
        <v>-9.0261044179999992</v>
      </c>
      <c r="BU94" s="259">
        <v>0.91922290395962203</v>
      </c>
      <c r="BV94" s="257">
        <v>0.79317269000000046</v>
      </c>
      <c r="BW94" s="257"/>
      <c r="BX94" s="257">
        <v>7.9317269000000047E-4</v>
      </c>
      <c r="BY94" s="257">
        <v>2.2259374785262461E-5</v>
      </c>
      <c r="BZ94" s="257">
        <v>0</v>
      </c>
      <c r="CA94" s="257">
        <v>0</v>
      </c>
      <c r="CB94" s="257">
        <v>0</v>
      </c>
      <c r="CC94" s="257">
        <v>0</v>
      </c>
      <c r="CD94" s="257">
        <v>0</v>
      </c>
      <c r="CE94" s="257">
        <v>0</v>
      </c>
      <c r="CF94" s="257">
        <v>0</v>
      </c>
      <c r="CG94" s="257">
        <v>0</v>
      </c>
      <c r="CH94" s="257">
        <v>0</v>
      </c>
      <c r="CI94" s="257">
        <v>0</v>
      </c>
      <c r="CJ94" s="257">
        <v>0</v>
      </c>
      <c r="CK94" s="257">
        <v>0</v>
      </c>
      <c r="CL94" s="257">
        <v>0</v>
      </c>
      <c r="CM94" s="257">
        <v>0</v>
      </c>
      <c r="CN94" s="257" t="s">
        <v>3071</v>
      </c>
      <c r="CO94" s="257">
        <v>37.305819020000001</v>
      </c>
      <c r="CP94" s="257">
        <v>54.766085619999998</v>
      </c>
      <c r="CQ94" s="257">
        <v>35.633197142857135</v>
      </c>
      <c r="CR94" s="257">
        <v>-9.8192771079999996</v>
      </c>
      <c r="CS94" s="257">
        <v>-9.0261044179999992</v>
      </c>
      <c r="CT94" s="257">
        <v>7.9317269000000047E-4</v>
      </c>
      <c r="CU94" s="257">
        <v>2.2259374785262461E-5</v>
      </c>
      <c r="CV94" s="258">
        <v>8.077709604037793E-2</v>
      </c>
      <c r="CW94" s="256" t="s">
        <v>234</v>
      </c>
      <c r="CX94" s="257" t="s">
        <v>3072</v>
      </c>
      <c r="CY94" s="257" t="s">
        <v>235</v>
      </c>
      <c r="CZ94" s="257"/>
      <c r="DA94" s="276"/>
      <c r="DB94" s="276">
        <v>80</v>
      </c>
      <c r="DC94" s="257" t="s">
        <v>3073</v>
      </c>
      <c r="DD94" s="257">
        <v>0</v>
      </c>
      <c r="DE94" s="257">
        <v>1</v>
      </c>
      <c r="DF94" s="257">
        <v>0</v>
      </c>
      <c r="DG94" s="257">
        <v>0</v>
      </c>
      <c r="DH94" s="257"/>
      <c r="DI94" s="257">
        <v>1</v>
      </c>
      <c r="DJ94" s="257" t="s">
        <v>173</v>
      </c>
      <c r="DK94" s="257">
        <v>0</v>
      </c>
      <c r="DL94" s="257" t="s">
        <v>180</v>
      </c>
      <c r="DM94" s="257">
        <v>0</v>
      </c>
      <c r="DN94" s="257">
        <v>0</v>
      </c>
      <c r="DO94" s="257">
        <v>0</v>
      </c>
      <c r="DP94" s="276">
        <v>0</v>
      </c>
      <c r="DQ94" s="276">
        <v>0</v>
      </c>
      <c r="DR94" s="276">
        <v>0</v>
      </c>
      <c r="DS94" s="276">
        <v>0</v>
      </c>
      <c r="DT94" s="257">
        <v>0</v>
      </c>
      <c r="DU94" s="276" t="s">
        <v>961</v>
      </c>
      <c r="DV94" s="276">
        <v>1</v>
      </c>
      <c r="DW94" s="276">
        <v>1</v>
      </c>
      <c r="DX94" s="276">
        <v>1</v>
      </c>
      <c r="DY94" s="276">
        <v>0</v>
      </c>
      <c r="DZ94" s="257">
        <v>0</v>
      </c>
      <c r="EA94" s="276">
        <v>0</v>
      </c>
      <c r="EB94" s="276">
        <v>1</v>
      </c>
      <c r="EC94" s="276">
        <v>1</v>
      </c>
      <c r="ED94" s="276">
        <v>0</v>
      </c>
      <c r="EE94" s="276">
        <v>0</v>
      </c>
      <c r="EF94" s="257">
        <v>1</v>
      </c>
      <c r="EG94" s="276">
        <v>0</v>
      </c>
      <c r="EH94" s="257">
        <v>0</v>
      </c>
      <c r="EI94" s="258">
        <v>0</v>
      </c>
      <c r="EJ94" s="256"/>
      <c r="EK94" t="str">
        <f t="shared" si="38"/>
        <v>Whole sector</v>
      </c>
      <c r="EL94" t="str">
        <f t="shared" si="39"/>
        <v/>
      </c>
      <c r="EM94" s="258" t="s">
        <v>544</v>
      </c>
      <c r="EN94" s="257" t="s">
        <v>236</v>
      </c>
      <c r="EO94" s="257"/>
      <c r="EP94" t="str">
        <f>IF(ISNUMBER(BU94),IF(ABS(BU94-[2]QC_indicators!$B$2)&gt;3*[2]QC_indicators!$C$2,"C ratio",IF(ISNUMBER(BY94),IF(ABS(BY94-[2]QC_indicators!$B$1)&gt;3*[2]QC_indicators!$C$1,"DF","no"))),IF(ISNUMBER(BY94),IF(ABS(BY94-[2]QC_indicators!$B$1)&gt;3*[2]QC_indicators!$C$1,"DF","no")))</f>
        <v>no</v>
      </c>
      <c r="EQ94" s="280"/>
      <c r="ER94" s="280"/>
      <c r="ES94" s="280"/>
      <c r="ET94"/>
      <c r="EU94"/>
    </row>
    <row r="95" spans="1:151" s="139" customFormat="1" ht="15" hidden="1" customHeight="1">
      <c r="A95" s="256" t="s">
        <v>214</v>
      </c>
      <c r="B95" s="257" t="s">
        <v>215</v>
      </c>
      <c r="C95" s="257" t="s">
        <v>216</v>
      </c>
      <c r="D95" s="257" t="s">
        <v>217</v>
      </c>
      <c r="E95" s="257" t="s">
        <v>218</v>
      </c>
      <c r="F95" s="257" t="s">
        <v>219</v>
      </c>
      <c r="G95" s="257" t="s">
        <v>220</v>
      </c>
      <c r="H95" s="257"/>
      <c r="I95" s="257">
        <v>2012</v>
      </c>
      <c r="J95" s="257"/>
      <c r="K95" s="257" t="s">
        <v>221</v>
      </c>
      <c r="L95" s="257"/>
      <c r="M95" s="257" t="s">
        <v>3069</v>
      </c>
      <c r="N95" s="257" t="s">
        <v>222</v>
      </c>
      <c r="O95" s="275" t="s">
        <v>223</v>
      </c>
      <c r="P95" s="257"/>
      <c r="Q95" s="257" t="s">
        <v>224</v>
      </c>
      <c r="R95" s="258" t="s">
        <v>225</v>
      </c>
      <c r="S95" s="256" t="s">
        <v>92</v>
      </c>
      <c r="T95" s="257" t="s">
        <v>245</v>
      </c>
      <c r="U95" s="276" t="s">
        <v>246</v>
      </c>
      <c r="V95" s="257">
        <v>0</v>
      </c>
      <c r="W95" s="257">
        <v>0</v>
      </c>
      <c r="X95" s="257">
        <v>0</v>
      </c>
      <c r="Y95" s="257">
        <v>0</v>
      </c>
      <c r="Z95" s="257">
        <v>1</v>
      </c>
      <c r="AA95" s="257">
        <v>0</v>
      </c>
      <c r="AB95" s="257">
        <v>0</v>
      </c>
      <c r="AC95" s="257">
        <v>0</v>
      </c>
      <c r="AD95" s="257">
        <v>0</v>
      </c>
      <c r="AE95" s="257">
        <v>0</v>
      </c>
      <c r="AF95" s="257">
        <v>0</v>
      </c>
      <c r="AG95" s="257">
        <v>0</v>
      </c>
      <c r="AH95" s="257">
        <v>0</v>
      </c>
      <c r="AI95" s="257">
        <v>0</v>
      </c>
      <c r="AJ95" s="257">
        <v>0</v>
      </c>
      <c r="AK95" s="257">
        <v>0</v>
      </c>
      <c r="AL95" s="257">
        <v>0</v>
      </c>
      <c r="AM95" s="257">
        <v>0</v>
      </c>
      <c r="AN95" s="257">
        <v>0</v>
      </c>
      <c r="AO95" s="257">
        <v>0</v>
      </c>
      <c r="AP95" s="257">
        <v>0</v>
      </c>
      <c r="AQ95" s="257">
        <v>0</v>
      </c>
      <c r="AR95" s="257">
        <v>0</v>
      </c>
      <c r="AS95" s="257">
        <v>0</v>
      </c>
      <c r="AT95" s="257">
        <v>0</v>
      </c>
      <c r="AU95" s="257">
        <v>0</v>
      </c>
      <c r="AV95" s="257">
        <v>0</v>
      </c>
      <c r="AW95" s="257">
        <v>0</v>
      </c>
      <c r="AX95" s="277">
        <v>1</v>
      </c>
      <c r="AY95" s="277">
        <v>1</v>
      </c>
      <c r="AZ95" s="257">
        <v>1</v>
      </c>
      <c r="BA95" s="257">
        <v>0</v>
      </c>
      <c r="BB95" s="257">
        <v>0</v>
      </c>
      <c r="BC95" s="257">
        <v>0</v>
      </c>
      <c r="BD95" s="257">
        <v>0</v>
      </c>
      <c r="BE95" s="257" t="s">
        <v>92</v>
      </c>
      <c r="BF95" s="2" t="str" cm="1">
        <f t="array" ref="BF95">IF(COUNTIF(AZ95:BB95,"&lt;&gt;0")=1,INDEX($V$4:$AW$4,MATCH(TRUE,INDEX($V95:$AW95&lt;&gt;0,),0)),IF(COUNTIF(AZ95:BB95,"&lt;&gt;0")=0,INDEX($AM$4:$AW$4,MATCH(1,$AM95:$AW95,0)),"Multiple strategies"))</f>
        <v>Silviculture for productivity</v>
      </c>
      <c r="BG95" s="278" t="s">
        <v>229</v>
      </c>
      <c r="BH95" s="257" t="s">
        <v>230</v>
      </c>
      <c r="BI95" s="279" t="s">
        <v>3070</v>
      </c>
      <c r="BJ95" s="276" t="s">
        <v>231</v>
      </c>
      <c r="BK95" s="257">
        <v>49.052379731692703</v>
      </c>
      <c r="BL95" s="257">
        <v>74.931604761787398</v>
      </c>
      <c r="BM95" s="276">
        <v>1.5275834765132537</v>
      </c>
      <c r="BN95" s="257">
        <v>25.879225030094695</v>
      </c>
      <c r="BO95" s="276">
        <v>52.814744959376931</v>
      </c>
      <c r="BP95" s="276" t="s">
        <v>232</v>
      </c>
      <c r="BQ95" s="279" t="s">
        <v>3070</v>
      </c>
      <c r="BR95" s="276" t="s">
        <v>233</v>
      </c>
      <c r="BS95" s="257">
        <v>-9.7349397590361395</v>
      </c>
      <c r="BT95" s="257">
        <v>-8.5161560643777907</v>
      </c>
      <c r="BU95" s="259">
        <v>0.87480316007841208</v>
      </c>
      <c r="BV95" s="257">
        <v>1.2187836946583488</v>
      </c>
      <c r="BW95" s="257"/>
      <c r="BX95" s="257">
        <v>1.2187836946583488E-3</v>
      </c>
      <c r="BY95" s="257">
        <v>2.3076580140560944E-5</v>
      </c>
      <c r="BZ95" s="257">
        <v>0</v>
      </c>
      <c r="CA95" s="257">
        <v>0</v>
      </c>
      <c r="CB95" s="257">
        <v>0</v>
      </c>
      <c r="CC95" s="257">
        <v>0</v>
      </c>
      <c r="CD95" s="257">
        <v>0</v>
      </c>
      <c r="CE95" s="257">
        <v>0</v>
      </c>
      <c r="CF95" s="257">
        <v>0</v>
      </c>
      <c r="CG95" s="257">
        <v>0</v>
      </c>
      <c r="CH95" s="257">
        <v>0</v>
      </c>
      <c r="CI95" s="257">
        <v>0</v>
      </c>
      <c r="CJ95" s="257">
        <v>0</v>
      </c>
      <c r="CK95" s="257">
        <v>0</v>
      </c>
      <c r="CL95" s="257">
        <v>0</v>
      </c>
      <c r="CM95" s="257">
        <v>0</v>
      </c>
      <c r="CN95" s="257" t="s">
        <v>3071</v>
      </c>
      <c r="CO95" s="257">
        <v>49.052379731692703</v>
      </c>
      <c r="CP95" s="257">
        <v>74.931604761787398</v>
      </c>
      <c r="CQ95" s="257">
        <v>52.814744959376931</v>
      </c>
      <c r="CR95" s="257">
        <v>-9.7349397590361395</v>
      </c>
      <c r="CS95" s="257">
        <v>-8.5161560643777907</v>
      </c>
      <c r="CT95" s="257">
        <v>1.2187836946583488E-3</v>
      </c>
      <c r="CU95" s="257">
        <v>2.3076580140560944E-5</v>
      </c>
      <c r="CV95" s="258">
        <v>0.12519683992158787</v>
      </c>
      <c r="CW95" s="256" t="s">
        <v>234</v>
      </c>
      <c r="CX95" s="257" t="s">
        <v>3072</v>
      </c>
      <c r="CY95" s="257" t="s">
        <v>235</v>
      </c>
      <c r="CZ95" s="257"/>
      <c r="DA95" s="276"/>
      <c r="DB95" s="276">
        <v>80</v>
      </c>
      <c r="DC95" s="257" t="s">
        <v>3073</v>
      </c>
      <c r="DD95" s="257">
        <v>0</v>
      </c>
      <c r="DE95" s="257">
        <v>1</v>
      </c>
      <c r="DF95" s="257">
        <v>0</v>
      </c>
      <c r="DG95" s="257">
        <v>0</v>
      </c>
      <c r="DH95" s="257"/>
      <c r="DI95" s="257">
        <v>1</v>
      </c>
      <c r="DJ95" s="257" t="s">
        <v>173</v>
      </c>
      <c r="DK95" s="257">
        <v>0</v>
      </c>
      <c r="DL95" s="257" t="s">
        <v>180</v>
      </c>
      <c r="DM95" s="257">
        <v>0</v>
      </c>
      <c r="DN95" s="257">
        <v>0</v>
      </c>
      <c r="DO95" s="257">
        <v>0</v>
      </c>
      <c r="DP95" s="276">
        <v>0</v>
      </c>
      <c r="DQ95" s="276">
        <v>0</v>
      </c>
      <c r="DR95" s="276">
        <v>0</v>
      </c>
      <c r="DS95" s="276">
        <v>0</v>
      </c>
      <c r="DT95" s="257">
        <v>0</v>
      </c>
      <c r="DU95" s="276" t="s">
        <v>961</v>
      </c>
      <c r="DV95" s="276">
        <v>1</v>
      </c>
      <c r="DW95" s="276">
        <v>1</v>
      </c>
      <c r="DX95" s="276">
        <v>1</v>
      </c>
      <c r="DY95" s="276">
        <v>0</v>
      </c>
      <c r="DZ95" s="257">
        <v>0</v>
      </c>
      <c r="EA95" s="276">
        <v>0</v>
      </c>
      <c r="EB95" s="276">
        <v>1</v>
      </c>
      <c r="EC95" s="276">
        <v>1</v>
      </c>
      <c r="ED95" s="276">
        <v>0</v>
      </c>
      <c r="EE95" s="276">
        <v>0</v>
      </c>
      <c r="EF95" s="257">
        <v>1</v>
      </c>
      <c r="EG95" s="276">
        <v>0</v>
      </c>
      <c r="EH95" s="257">
        <v>0</v>
      </c>
      <c r="EI95" s="258">
        <v>0</v>
      </c>
      <c r="EJ95" s="256"/>
      <c r="EK95" t="str">
        <f t="shared" si="38"/>
        <v>Whole sector</v>
      </c>
      <c r="EL95" t="str">
        <f t="shared" si="39"/>
        <v/>
      </c>
      <c r="EM95" s="258" t="s">
        <v>544</v>
      </c>
      <c r="EN95" s="257" t="s">
        <v>236</v>
      </c>
      <c r="EO95" s="257"/>
      <c r="EP95" t="str">
        <f>IF(ISNUMBER(BU95),IF(ABS(BU95-[2]QC_indicators!$B$2)&gt;3*[2]QC_indicators!$C$2,"C ratio",IF(ISNUMBER(BY95),IF(ABS(BY95-[2]QC_indicators!$B$1)&gt;3*[2]QC_indicators!$C$1,"DF","no"))),IF(ISNUMBER(BY95),IF(ABS(BY95-[2]QC_indicators!$B$1)&gt;3*[2]QC_indicators!$C$1,"DF","no")))</f>
        <v>no</v>
      </c>
      <c r="EQ95" s="257"/>
      <c r="ER95" s="257"/>
      <c r="ES95"/>
      <c r="ET95"/>
      <c r="EU95"/>
    </row>
    <row r="96" spans="1:151" s="139" customFormat="1" ht="15" hidden="1" customHeight="1">
      <c r="A96" s="256" t="s">
        <v>214</v>
      </c>
      <c r="B96" s="257" t="s">
        <v>215</v>
      </c>
      <c r="C96" s="257" t="s">
        <v>216</v>
      </c>
      <c r="D96" s="257" t="s">
        <v>217</v>
      </c>
      <c r="E96" s="257" t="s">
        <v>218</v>
      </c>
      <c r="F96" s="257" t="s">
        <v>219</v>
      </c>
      <c r="G96" s="257" t="s">
        <v>220</v>
      </c>
      <c r="H96" s="257"/>
      <c r="I96" s="257">
        <v>2012</v>
      </c>
      <c r="J96" s="257"/>
      <c r="K96" s="257" t="s">
        <v>221</v>
      </c>
      <c r="L96" s="257"/>
      <c r="M96" s="257" t="s">
        <v>3069</v>
      </c>
      <c r="N96" s="257" t="s">
        <v>222</v>
      </c>
      <c r="O96" s="275" t="s">
        <v>223</v>
      </c>
      <c r="P96" s="257"/>
      <c r="Q96" s="257" t="s">
        <v>224</v>
      </c>
      <c r="R96" s="258" t="s">
        <v>225</v>
      </c>
      <c r="S96" s="256" t="s">
        <v>92</v>
      </c>
      <c r="T96" s="257" t="s">
        <v>245</v>
      </c>
      <c r="U96" s="276" t="s">
        <v>246</v>
      </c>
      <c r="V96" s="257">
        <v>0</v>
      </c>
      <c r="W96" s="257">
        <v>0</v>
      </c>
      <c r="X96" s="257">
        <v>0</v>
      </c>
      <c r="Y96" s="257">
        <v>0</v>
      </c>
      <c r="Z96" s="257">
        <v>1</v>
      </c>
      <c r="AA96" s="257">
        <v>0</v>
      </c>
      <c r="AB96" s="257">
        <v>0</v>
      </c>
      <c r="AC96" s="257">
        <v>0</v>
      </c>
      <c r="AD96" s="257">
        <v>0</v>
      </c>
      <c r="AE96" s="257">
        <v>0</v>
      </c>
      <c r="AF96" s="257">
        <v>0</v>
      </c>
      <c r="AG96" s="257">
        <v>0</v>
      </c>
      <c r="AH96" s="257">
        <v>0</v>
      </c>
      <c r="AI96" s="257">
        <v>0</v>
      </c>
      <c r="AJ96" s="257">
        <v>0</v>
      </c>
      <c r="AK96" s="257">
        <v>0</v>
      </c>
      <c r="AL96" s="257">
        <v>0</v>
      </c>
      <c r="AM96" s="257">
        <v>0</v>
      </c>
      <c r="AN96" s="257">
        <v>0</v>
      </c>
      <c r="AO96" s="257">
        <v>0</v>
      </c>
      <c r="AP96" s="257">
        <v>0</v>
      </c>
      <c r="AQ96" s="257">
        <v>0</v>
      </c>
      <c r="AR96" s="257">
        <v>0</v>
      </c>
      <c r="AS96" s="257">
        <v>0</v>
      </c>
      <c r="AT96" s="257">
        <v>0</v>
      </c>
      <c r="AU96" s="257">
        <v>0</v>
      </c>
      <c r="AV96" s="257">
        <v>0</v>
      </c>
      <c r="AW96" s="257">
        <v>0</v>
      </c>
      <c r="AX96" s="277">
        <v>1</v>
      </c>
      <c r="AY96" s="277">
        <v>1</v>
      </c>
      <c r="AZ96" s="257">
        <v>1</v>
      </c>
      <c r="BA96" s="257">
        <v>0</v>
      </c>
      <c r="BB96" s="257">
        <v>0</v>
      </c>
      <c r="BC96" s="257">
        <v>0</v>
      </c>
      <c r="BD96" s="257">
        <v>0</v>
      </c>
      <c r="BE96" s="257" t="s">
        <v>92</v>
      </c>
      <c r="BF96" s="2" t="str" cm="1">
        <f t="array" ref="BF96">IF(COUNTIF(AZ96:BB96,"&lt;&gt;0")=1,INDEX($V$4:$AW$4,MATCH(TRUE,INDEX($V96:$AW96&lt;&gt;0,),0)),IF(COUNTIF(AZ96:BB96,"&lt;&gt;0")=0,INDEX($AM$4:$AW$4,MATCH(1,$AM96:$AW96,0)),"Multiple strategies"))</f>
        <v>Silviculture for productivity</v>
      </c>
      <c r="BG96" s="278" t="s">
        <v>229</v>
      </c>
      <c r="BH96" s="257" t="s">
        <v>230</v>
      </c>
      <c r="BI96" s="279" t="s">
        <v>3070</v>
      </c>
      <c r="BJ96" s="276" t="s">
        <v>231</v>
      </c>
      <c r="BK96" s="257">
        <v>48.643391097519498</v>
      </c>
      <c r="BL96" s="257">
        <v>64.183526540573496</v>
      </c>
      <c r="BM96" s="276">
        <v>1.3194706432349541</v>
      </c>
      <c r="BN96" s="257">
        <v>15.540135443053998</v>
      </c>
      <c r="BO96" s="276">
        <v>31.714562128681628</v>
      </c>
      <c r="BP96" s="276" t="s">
        <v>232</v>
      </c>
      <c r="BQ96" s="279" t="s">
        <v>3070</v>
      </c>
      <c r="BR96" s="276" t="s">
        <v>233</v>
      </c>
      <c r="BS96" s="257">
        <v>-9.3488297325102803</v>
      </c>
      <c r="BT96" s="257">
        <v>-8.4950335570469804</v>
      </c>
      <c r="BU96" s="259">
        <v>0.90867347038161916</v>
      </c>
      <c r="BV96" s="257">
        <v>0.85379617546329989</v>
      </c>
      <c r="BW96" s="257"/>
      <c r="BX96" s="257">
        <v>8.537961754632999E-4</v>
      </c>
      <c r="BY96" s="257">
        <v>2.6921266388576564E-5</v>
      </c>
      <c r="BZ96" s="257">
        <v>0</v>
      </c>
      <c r="CA96" s="257">
        <v>0</v>
      </c>
      <c r="CB96" s="257">
        <v>0</v>
      </c>
      <c r="CC96" s="257">
        <v>0</v>
      </c>
      <c r="CD96" s="257">
        <v>0</v>
      </c>
      <c r="CE96" s="257">
        <v>0</v>
      </c>
      <c r="CF96" s="257">
        <v>0</v>
      </c>
      <c r="CG96" s="257">
        <v>0</v>
      </c>
      <c r="CH96" s="257">
        <v>0</v>
      </c>
      <c r="CI96" s="257">
        <v>0</v>
      </c>
      <c r="CJ96" s="257">
        <v>0</v>
      </c>
      <c r="CK96" s="257">
        <v>0</v>
      </c>
      <c r="CL96" s="257">
        <v>0</v>
      </c>
      <c r="CM96" s="257">
        <v>0</v>
      </c>
      <c r="CN96" s="257" t="s">
        <v>3071</v>
      </c>
      <c r="CO96" s="257">
        <v>48.643391097519498</v>
      </c>
      <c r="CP96" s="257">
        <v>64.183526540573496</v>
      </c>
      <c r="CQ96" s="257">
        <v>31.714562128681628</v>
      </c>
      <c r="CR96" s="257">
        <v>-9.3488297325102803</v>
      </c>
      <c r="CS96" s="257">
        <v>-8.4950335570469804</v>
      </c>
      <c r="CT96" s="257">
        <v>8.537961754632999E-4</v>
      </c>
      <c r="CU96" s="257">
        <v>2.6921266388576564E-5</v>
      </c>
      <c r="CV96" s="258">
        <v>9.1326529618380878E-2</v>
      </c>
      <c r="CW96" s="256" t="s">
        <v>234</v>
      </c>
      <c r="CX96" s="257" t="s">
        <v>3072</v>
      </c>
      <c r="CY96" s="257" t="s">
        <v>235</v>
      </c>
      <c r="CZ96" s="257"/>
      <c r="DA96" s="276"/>
      <c r="DB96" s="276">
        <v>80</v>
      </c>
      <c r="DC96" s="257" t="s">
        <v>3073</v>
      </c>
      <c r="DD96" s="257">
        <v>0</v>
      </c>
      <c r="DE96" s="257">
        <v>1</v>
      </c>
      <c r="DF96" s="257">
        <v>0</v>
      </c>
      <c r="DG96" s="257">
        <v>0</v>
      </c>
      <c r="DH96" s="257"/>
      <c r="DI96" s="257">
        <v>1</v>
      </c>
      <c r="DJ96" s="257" t="s">
        <v>173</v>
      </c>
      <c r="DK96" s="257">
        <v>0</v>
      </c>
      <c r="DL96" s="257" t="s">
        <v>180</v>
      </c>
      <c r="DM96" s="257">
        <v>0</v>
      </c>
      <c r="DN96" s="257">
        <v>0</v>
      </c>
      <c r="DO96" s="257">
        <v>0</v>
      </c>
      <c r="DP96" s="276">
        <v>0</v>
      </c>
      <c r="DQ96" s="276">
        <v>0</v>
      </c>
      <c r="DR96" s="276">
        <v>0</v>
      </c>
      <c r="DS96" s="276">
        <v>0</v>
      </c>
      <c r="DT96" s="257">
        <v>0</v>
      </c>
      <c r="DU96" s="276" t="s">
        <v>961</v>
      </c>
      <c r="DV96" s="276">
        <v>1</v>
      </c>
      <c r="DW96" s="276">
        <v>1</v>
      </c>
      <c r="DX96" s="276">
        <v>1</v>
      </c>
      <c r="DY96" s="276">
        <v>0</v>
      </c>
      <c r="DZ96" s="257">
        <v>0</v>
      </c>
      <c r="EA96" s="276">
        <v>0</v>
      </c>
      <c r="EB96" s="276">
        <v>1</v>
      </c>
      <c r="EC96" s="276">
        <v>1</v>
      </c>
      <c r="ED96" s="276">
        <v>0</v>
      </c>
      <c r="EE96" s="276">
        <v>0</v>
      </c>
      <c r="EF96" s="257">
        <v>1</v>
      </c>
      <c r="EG96" s="276">
        <v>0</v>
      </c>
      <c r="EH96" s="257">
        <v>0</v>
      </c>
      <c r="EI96" s="258">
        <v>0</v>
      </c>
      <c r="EJ96" s="256"/>
      <c r="EK96" t="str">
        <f t="shared" si="38"/>
        <v>Whole sector</v>
      </c>
      <c r="EL96" t="str">
        <f t="shared" si="39"/>
        <v/>
      </c>
      <c r="EM96" s="258" t="s">
        <v>544</v>
      </c>
      <c r="EN96" s="257" t="s">
        <v>236</v>
      </c>
      <c r="EO96" s="257"/>
      <c r="EP96" t="str">
        <f>IF(ISNUMBER(BU96),IF(ABS(BU96-[2]QC_indicators!$B$2)&gt;3*[2]QC_indicators!$C$2,"C ratio",IF(ISNUMBER(BY96),IF(ABS(BY96-[2]QC_indicators!$B$1)&gt;3*[2]QC_indicators!$C$1,"DF","no"))),IF(ISNUMBER(BY96),IF(ABS(BY96-[2]QC_indicators!$B$1)&gt;3*[2]QC_indicators!$C$1,"DF","no")))</f>
        <v>no</v>
      </c>
      <c r="EQ96" s="257"/>
      <c r="ER96" s="257"/>
      <c r="ES96"/>
      <c r="ET96"/>
      <c r="EU96"/>
    </row>
    <row r="97" spans="1:151" s="139" customFormat="1" ht="18" hidden="1" customHeight="1">
      <c r="A97" s="256" t="s">
        <v>214</v>
      </c>
      <c r="B97" s="257" t="s">
        <v>215</v>
      </c>
      <c r="C97" s="257" t="s">
        <v>216</v>
      </c>
      <c r="D97" s="257" t="s">
        <v>217</v>
      </c>
      <c r="E97" s="257" t="s">
        <v>218</v>
      </c>
      <c r="F97" s="257" t="s">
        <v>219</v>
      </c>
      <c r="G97" s="257" t="s">
        <v>220</v>
      </c>
      <c r="H97" s="257"/>
      <c r="I97" s="257">
        <v>2012</v>
      </c>
      <c r="J97" s="257"/>
      <c r="K97" s="257" t="s">
        <v>221</v>
      </c>
      <c r="L97" s="257"/>
      <c r="M97" s="257" t="s">
        <v>3069</v>
      </c>
      <c r="N97" s="257" t="s">
        <v>222</v>
      </c>
      <c r="O97" s="275" t="s">
        <v>223</v>
      </c>
      <c r="P97" s="257"/>
      <c r="Q97" s="257" t="s">
        <v>224</v>
      </c>
      <c r="R97" s="258" t="s">
        <v>225</v>
      </c>
      <c r="S97" s="256" t="s">
        <v>240</v>
      </c>
      <c r="T97" s="257">
        <v>2000</v>
      </c>
      <c r="U97" s="257">
        <v>4000</v>
      </c>
      <c r="V97" s="257">
        <v>0</v>
      </c>
      <c r="W97" s="257">
        <v>0</v>
      </c>
      <c r="X97" s="257">
        <v>0</v>
      </c>
      <c r="Y97" s="257">
        <v>0</v>
      </c>
      <c r="Z97" s="257">
        <v>0</v>
      </c>
      <c r="AA97" s="257">
        <v>1</v>
      </c>
      <c r="AB97" s="257">
        <v>0</v>
      </c>
      <c r="AC97" s="257">
        <v>0</v>
      </c>
      <c r="AD97" s="257">
        <v>0</v>
      </c>
      <c r="AE97" s="257">
        <v>0</v>
      </c>
      <c r="AF97" s="257">
        <v>0</v>
      </c>
      <c r="AG97" s="257">
        <v>0</v>
      </c>
      <c r="AH97" s="257">
        <v>0</v>
      </c>
      <c r="AI97" s="257">
        <v>0</v>
      </c>
      <c r="AJ97" s="257">
        <v>0</v>
      </c>
      <c r="AK97" s="257">
        <v>0</v>
      </c>
      <c r="AL97" s="257">
        <v>0</v>
      </c>
      <c r="AM97" s="257">
        <v>0</v>
      </c>
      <c r="AN97" s="257">
        <v>0</v>
      </c>
      <c r="AO97" s="257">
        <v>0</v>
      </c>
      <c r="AP97" s="257">
        <v>0</v>
      </c>
      <c r="AQ97" s="257">
        <v>0</v>
      </c>
      <c r="AR97" s="257">
        <v>0</v>
      </c>
      <c r="AS97" s="257">
        <v>0</v>
      </c>
      <c r="AT97" s="257">
        <v>0</v>
      </c>
      <c r="AU97" s="257">
        <v>0</v>
      </c>
      <c r="AV97" s="257">
        <v>0</v>
      </c>
      <c r="AW97" s="257">
        <v>0</v>
      </c>
      <c r="AX97" s="277">
        <v>1</v>
      </c>
      <c r="AY97" s="277">
        <v>1</v>
      </c>
      <c r="AZ97" s="257">
        <v>1</v>
      </c>
      <c r="BA97" s="257">
        <v>0</v>
      </c>
      <c r="BB97" s="257">
        <v>0</v>
      </c>
      <c r="BC97" s="257">
        <v>0</v>
      </c>
      <c r="BD97" s="257">
        <v>0</v>
      </c>
      <c r="BE97" s="257" t="s">
        <v>93</v>
      </c>
      <c r="BF97" s="2" t="str" cm="1">
        <f t="array" ref="BF97">IF(COUNTIF(AZ97:BB97,"&lt;&gt;0")=1,INDEX($V$4:$AW$4,MATCH(TRUE,INDEX($V97:$AW97&lt;&gt;0,),0)),IF(COUNTIF(AZ97:BB97,"&lt;&gt;0")=0,INDEX($AM$4:$AW$4,MATCH(1,$AM97:$AW97,0)),"Multiple strategies"))</f>
        <v>Silviculture for productivity</v>
      </c>
      <c r="BG97" s="278" t="s">
        <v>229</v>
      </c>
      <c r="BH97" s="257" t="s">
        <v>230</v>
      </c>
      <c r="BI97" s="279" t="s">
        <v>3070</v>
      </c>
      <c r="BJ97" s="276" t="s">
        <v>231</v>
      </c>
      <c r="BK97" s="257">
        <v>41.741420320000003</v>
      </c>
      <c r="BL97" s="257">
        <v>49.052379729999998</v>
      </c>
      <c r="BM97" s="276">
        <v>1.1751487935473297</v>
      </c>
      <c r="BN97" s="257">
        <v>7.3109594099999953</v>
      </c>
      <c r="BO97" s="276">
        <v>14.920325326530604</v>
      </c>
      <c r="BP97" s="276" t="s">
        <v>232</v>
      </c>
      <c r="BQ97" s="279" t="s">
        <v>3070</v>
      </c>
      <c r="BR97" s="276" t="s">
        <v>233</v>
      </c>
      <c r="BS97" s="257">
        <v>-10.16263182</v>
      </c>
      <c r="BT97" s="257">
        <v>-9.7349397589999995</v>
      </c>
      <c r="BU97" s="259">
        <v>0.95791522623516634</v>
      </c>
      <c r="BV97" s="257">
        <v>0.42769206100000012</v>
      </c>
      <c r="BW97" s="257"/>
      <c r="BX97" s="257">
        <v>4.2769206100000011E-4</v>
      </c>
      <c r="BY97" s="257">
        <v>2.8665062700710601E-5</v>
      </c>
      <c r="BZ97" s="257">
        <v>0</v>
      </c>
      <c r="CA97" s="257">
        <v>0</v>
      </c>
      <c r="CB97" s="257">
        <v>0</v>
      </c>
      <c r="CC97" s="257">
        <v>0</v>
      </c>
      <c r="CD97" s="257">
        <v>0</v>
      </c>
      <c r="CE97" s="257">
        <v>0</v>
      </c>
      <c r="CF97" s="257">
        <v>0</v>
      </c>
      <c r="CG97" s="257">
        <v>0</v>
      </c>
      <c r="CH97" s="257">
        <v>0</v>
      </c>
      <c r="CI97" s="257">
        <v>0</v>
      </c>
      <c r="CJ97" s="257">
        <v>0</v>
      </c>
      <c r="CK97" s="257">
        <v>0</v>
      </c>
      <c r="CL97" s="257">
        <v>0</v>
      </c>
      <c r="CM97" s="257">
        <v>0</v>
      </c>
      <c r="CN97" s="257" t="s">
        <v>3071</v>
      </c>
      <c r="CO97" s="257">
        <v>41.741420320000003</v>
      </c>
      <c r="CP97" s="257">
        <v>49.052379729999998</v>
      </c>
      <c r="CQ97" s="257">
        <v>14.920325326530604</v>
      </c>
      <c r="CR97" s="257">
        <v>-10.16263182</v>
      </c>
      <c r="CS97" s="257">
        <v>-9.7349397589999995</v>
      </c>
      <c r="CT97" s="257">
        <v>4.2769206100000011E-4</v>
      </c>
      <c r="CU97" s="257">
        <v>2.8665062700710601E-5</v>
      </c>
      <c r="CV97" s="258">
        <v>4.2084773764833695E-2</v>
      </c>
      <c r="CW97" s="256" t="s">
        <v>234</v>
      </c>
      <c r="CX97" s="257" t="s">
        <v>3072</v>
      </c>
      <c r="CY97" s="257" t="s">
        <v>235</v>
      </c>
      <c r="CZ97" s="257"/>
      <c r="DA97" s="276"/>
      <c r="DB97" s="276">
        <v>80</v>
      </c>
      <c r="DC97" s="257" t="s">
        <v>3073</v>
      </c>
      <c r="DD97" s="257">
        <v>0</v>
      </c>
      <c r="DE97" s="257">
        <v>1</v>
      </c>
      <c r="DF97" s="257">
        <v>0</v>
      </c>
      <c r="DG97" s="257">
        <v>0</v>
      </c>
      <c r="DH97" s="257"/>
      <c r="DI97" s="257">
        <v>1</v>
      </c>
      <c r="DJ97" s="257" t="s">
        <v>173</v>
      </c>
      <c r="DK97" s="257">
        <v>0</v>
      </c>
      <c r="DL97" s="257" t="s">
        <v>180</v>
      </c>
      <c r="DM97" s="257">
        <v>0</v>
      </c>
      <c r="DN97" s="257">
        <v>0</v>
      </c>
      <c r="DO97" s="257">
        <v>0</v>
      </c>
      <c r="DP97" s="276">
        <v>0</v>
      </c>
      <c r="DQ97" s="276">
        <v>0</v>
      </c>
      <c r="DR97" s="276">
        <v>0</v>
      </c>
      <c r="DS97" s="276">
        <v>0</v>
      </c>
      <c r="DT97" s="257">
        <v>0</v>
      </c>
      <c r="DU97" s="276" t="s">
        <v>961</v>
      </c>
      <c r="DV97" s="276">
        <v>1</v>
      </c>
      <c r="DW97" s="276">
        <v>1</v>
      </c>
      <c r="DX97" s="276">
        <v>1</v>
      </c>
      <c r="DY97" s="276">
        <v>0</v>
      </c>
      <c r="DZ97" s="257">
        <v>0</v>
      </c>
      <c r="EA97" s="276">
        <v>0</v>
      </c>
      <c r="EB97" s="276">
        <v>1</v>
      </c>
      <c r="EC97" s="276">
        <v>1</v>
      </c>
      <c r="ED97" s="276">
        <v>0</v>
      </c>
      <c r="EE97" s="276">
        <v>0</v>
      </c>
      <c r="EF97" s="257">
        <v>1</v>
      </c>
      <c r="EG97" s="276">
        <v>0</v>
      </c>
      <c r="EH97" s="257">
        <v>0</v>
      </c>
      <c r="EI97" s="258">
        <v>0</v>
      </c>
      <c r="EJ97" s="256"/>
      <c r="EK97" t="str">
        <f t="shared" si="38"/>
        <v>Whole sector</v>
      </c>
      <c r="EL97" t="str">
        <f t="shared" si="39"/>
        <v/>
      </c>
      <c r="EM97" s="258" t="s">
        <v>544</v>
      </c>
      <c r="EN97" s="257" t="s">
        <v>236</v>
      </c>
      <c r="EO97" s="257"/>
      <c r="EP97" t="str">
        <f>IF(ISNUMBER(BU97),IF(ABS(BU97-[2]QC_indicators!$B$2)&gt;3*[2]QC_indicators!$C$2,"C ratio",IF(ISNUMBER(BY97),IF(ABS(BY97-[2]QC_indicators!$B$1)&gt;3*[2]QC_indicators!$C$1,"DF","no"))),IF(ISNUMBER(BY97),IF(ABS(BY97-[2]QC_indicators!$B$1)&gt;3*[2]QC_indicators!$C$1,"DF","no")))</f>
        <v>no</v>
      </c>
      <c r="EQ97" s="280"/>
      <c r="ER97" s="280"/>
      <c r="ES97" s="280"/>
      <c r="ET97"/>
      <c r="EU97"/>
    </row>
    <row r="98" spans="1:151" s="139" customFormat="1" ht="18" hidden="1" customHeight="1">
      <c r="A98" s="256" t="s">
        <v>214</v>
      </c>
      <c r="B98" s="257" t="s">
        <v>215</v>
      </c>
      <c r="C98" s="257" t="s">
        <v>216</v>
      </c>
      <c r="D98" s="257" t="s">
        <v>217</v>
      </c>
      <c r="E98" s="257" t="s">
        <v>218</v>
      </c>
      <c r="F98" s="257" t="s">
        <v>219</v>
      </c>
      <c r="G98" s="257" t="s">
        <v>220</v>
      </c>
      <c r="H98" s="257"/>
      <c r="I98" s="257">
        <v>2012</v>
      </c>
      <c r="J98" s="257"/>
      <c r="K98" s="257" t="s">
        <v>221</v>
      </c>
      <c r="L98" s="257"/>
      <c r="M98" s="257" t="s">
        <v>3069</v>
      </c>
      <c r="N98" s="257" t="s">
        <v>222</v>
      </c>
      <c r="O98" s="275" t="s">
        <v>223</v>
      </c>
      <c r="P98" s="257"/>
      <c r="Q98" s="257" t="s">
        <v>224</v>
      </c>
      <c r="R98" s="258" t="s">
        <v>225</v>
      </c>
      <c r="S98" s="256" t="s">
        <v>226</v>
      </c>
      <c r="T98" s="257" t="s">
        <v>228</v>
      </c>
      <c r="U98" s="257" t="s">
        <v>239</v>
      </c>
      <c r="V98" s="257">
        <v>0</v>
      </c>
      <c r="W98" s="257">
        <v>0</v>
      </c>
      <c r="X98" s="257">
        <v>0</v>
      </c>
      <c r="Y98" s="257">
        <v>1</v>
      </c>
      <c r="Z98" s="257">
        <v>0</v>
      </c>
      <c r="AA98" s="257">
        <v>0</v>
      </c>
      <c r="AB98" s="257">
        <v>0</v>
      </c>
      <c r="AC98" s="257">
        <v>0</v>
      </c>
      <c r="AD98" s="257">
        <v>0</v>
      </c>
      <c r="AE98" s="257">
        <v>0</v>
      </c>
      <c r="AF98" s="257">
        <v>0</v>
      </c>
      <c r="AG98" s="257">
        <v>0</v>
      </c>
      <c r="AH98" s="257">
        <v>0</v>
      </c>
      <c r="AI98" s="257">
        <v>0</v>
      </c>
      <c r="AJ98" s="257">
        <v>0</v>
      </c>
      <c r="AK98" s="257">
        <v>0</v>
      </c>
      <c r="AL98" s="257">
        <v>0</v>
      </c>
      <c r="AM98" s="257">
        <v>0</v>
      </c>
      <c r="AN98" s="257">
        <v>0</v>
      </c>
      <c r="AO98" s="257">
        <v>0</v>
      </c>
      <c r="AP98" s="257">
        <v>0</v>
      </c>
      <c r="AQ98" s="257">
        <v>0</v>
      </c>
      <c r="AR98" s="257">
        <v>0</v>
      </c>
      <c r="AS98" s="257">
        <v>0</v>
      </c>
      <c r="AT98" s="257">
        <v>0</v>
      </c>
      <c r="AU98" s="257">
        <v>0</v>
      </c>
      <c r="AV98" s="257">
        <v>0</v>
      </c>
      <c r="AW98" s="257">
        <v>0</v>
      </c>
      <c r="AX98" s="277">
        <v>1</v>
      </c>
      <c r="AY98" s="277">
        <v>1</v>
      </c>
      <c r="AZ98" s="257">
        <v>1</v>
      </c>
      <c r="BA98" s="257">
        <v>0</v>
      </c>
      <c r="BB98" s="257">
        <v>0</v>
      </c>
      <c r="BC98" s="257">
        <v>0</v>
      </c>
      <c r="BD98" s="257">
        <v>0</v>
      </c>
      <c r="BE98" s="257" t="s">
        <v>91</v>
      </c>
      <c r="BF98" s="2" t="str" cm="1">
        <f t="array" ref="BF98">IF(COUNTIF(AZ98:BB98,"&lt;&gt;0")=1,INDEX($V$4:$AW$4,MATCH(TRUE,INDEX($V98:$AW98&lt;&gt;0,),0)),IF(COUNTIF(AZ98:BB98,"&lt;&gt;0")=0,INDEX($AM$4:$AW$4,MATCH(1,$AM98:$AW98,0)),"Multiple strategies"))</f>
        <v>Silviculture for removals</v>
      </c>
      <c r="BG98" s="278" t="s">
        <v>229</v>
      </c>
      <c r="BH98" s="257" t="s">
        <v>230</v>
      </c>
      <c r="BI98" s="279" t="s">
        <v>3070</v>
      </c>
      <c r="BJ98" s="276" t="s">
        <v>231</v>
      </c>
      <c r="BK98" s="257">
        <v>41.741420320000003</v>
      </c>
      <c r="BL98" s="257">
        <v>58.199966019999998</v>
      </c>
      <c r="BM98" s="276">
        <v>0.71720695344832097</v>
      </c>
      <c r="BN98" s="257">
        <v>16.458545699999995</v>
      </c>
      <c r="BO98" s="276">
        <v>33.588868775510193</v>
      </c>
      <c r="BP98" s="276" t="s">
        <v>232</v>
      </c>
      <c r="BQ98" s="279" t="s">
        <v>3070</v>
      </c>
      <c r="BR98" s="276" t="s">
        <v>233</v>
      </c>
      <c r="BS98" s="257">
        <v>-10.16263182</v>
      </c>
      <c r="BT98" s="257">
        <v>-9.137844007</v>
      </c>
      <c r="BU98" s="259">
        <v>0.89916117880181168</v>
      </c>
      <c r="BV98" s="257">
        <v>1.0247878129999997</v>
      </c>
      <c r="BW98" s="257"/>
      <c r="BX98" s="257">
        <v>1.0247878129999997E-3</v>
      </c>
      <c r="BY98" s="257">
        <v>3.0509744756488419E-5</v>
      </c>
      <c r="BZ98" s="257">
        <v>0</v>
      </c>
      <c r="CA98" s="257">
        <v>0</v>
      </c>
      <c r="CB98" s="257">
        <v>0</v>
      </c>
      <c r="CC98" s="257">
        <v>0</v>
      </c>
      <c r="CD98" s="257">
        <v>0</v>
      </c>
      <c r="CE98" s="257">
        <v>0</v>
      </c>
      <c r="CF98" s="257">
        <v>0</v>
      </c>
      <c r="CG98" s="257">
        <v>0</v>
      </c>
      <c r="CH98" s="257">
        <v>0</v>
      </c>
      <c r="CI98" s="257">
        <v>0</v>
      </c>
      <c r="CJ98" s="257">
        <v>0</v>
      </c>
      <c r="CK98" s="257">
        <v>0</v>
      </c>
      <c r="CL98" s="257">
        <v>0</v>
      </c>
      <c r="CM98" s="257">
        <v>0</v>
      </c>
      <c r="CN98" s="257" t="s">
        <v>3071</v>
      </c>
      <c r="CO98" s="257">
        <v>41.741420320000003</v>
      </c>
      <c r="CP98" s="257">
        <v>58.199966019999998</v>
      </c>
      <c r="CQ98" s="257">
        <v>33.588868775510193</v>
      </c>
      <c r="CR98" s="257">
        <v>-10.16263182</v>
      </c>
      <c r="CS98" s="257">
        <v>-9.137844007</v>
      </c>
      <c r="CT98" s="257">
        <v>1.0247878129999997E-3</v>
      </c>
      <c r="CU98" s="257">
        <v>3.0509744756488419E-5</v>
      </c>
      <c r="CV98" s="258">
        <v>0.10083882119818838</v>
      </c>
      <c r="CW98" s="256" t="s">
        <v>234</v>
      </c>
      <c r="CX98" s="257" t="s">
        <v>3072</v>
      </c>
      <c r="CY98" s="257" t="s">
        <v>235</v>
      </c>
      <c r="CZ98" s="257"/>
      <c r="DA98" s="276"/>
      <c r="DB98" s="276">
        <v>80</v>
      </c>
      <c r="DC98" s="257" t="s">
        <v>3073</v>
      </c>
      <c r="DD98" s="257">
        <v>0</v>
      </c>
      <c r="DE98" s="257">
        <v>1</v>
      </c>
      <c r="DF98" s="257">
        <v>0</v>
      </c>
      <c r="DG98" s="257">
        <v>0</v>
      </c>
      <c r="DH98" s="257"/>
      <c r="DI98" s="257">
        <v>1</v>
      </c>
      <c r="DJ98" s="257" t="s">
        <v>173</v>
      </c>
      <c r="DK98" s="257">
        <v>0</v>
      </c>
      <c r="DL98" s="257" t="s">
        <v>180</v>
      </c>
      <c r="DM98" s="257">
        <v>0</v>
      </c>
      <c r="DN98" s="257">
        <v>0</v>
      </c>
      <c r="DO98" s="257">
        <v>0</v>
      </c>
      <c r="DP98" s="276">
        <v>0</v>
      </c>
      <c r="DQ98" s="276">
        <v>0</v>
      </c>
      <c r="DR98" s="276">
        <v>0</v>
      </c>
      <c r="DS98" s="276">
        <v>0</v>
      </c>
      <c r="DT98" s="257">
        <v>0</v>
      </c>
      <c r="DU98" s="276" t="s">
        <v>961</v>
      </c>
      <c r="DV98" s="276">
        <v>1</v>
      </c>
      <c r="DW98" s="276">
        <v>1</v>
      </c>
      <c r="DX98" s="276">
        <v>1</v>
      </c>
      <c r="DY98" s="276">
        <v>0</v>
      </c>
      <c r="DZ98" s="257">
        <v>0</v>
      </c>
      <c r="EA98" s="276">
        <v>0</v>
      </c>
      <c r="EB98" s="276">
        <v>1</v>
      </c>
      <c r="EC98" s="276">
        <v>1</v>
      </c>
      <c r="ED98" s="276">
        <v>0</v>
      </c>
      <c r="EE98" s="276">
        <v>0</v>
      </c>
      <c r="EF98" s="257">
        <v>1</v>
      </c>
      <c r="EG98" s="276">
        <v>0</v>
      </c>
      <c r="EH98" s="257">
        <v>0</v>
      </c>
      <c r="EI98" s="258">
        <v>0</v>
      </c>
      <c r="EJ98" s="256"/>
      <c r="EK98" t="str">
        <f t="shared" si="38"/>
        <v>Whole sector</v>
      </c>
      <c r="EL98" t="str">
        <f t="shared" si="39"/>
        <v/>
      </c>
      <c r="EM98" s="258" t="s">
        <v>544</v>
      </c>
      <c r="EN98" s="257" t="s">
        <v>236</v>
      </c>
      <c r="EO98" s="257"/>
      <c r="EP98" t="str">
        <f>IF(ISNUMBER(BU98),IF(ABS(BU98-[2]QC_indicators!$B$2)&gt;3*[2]QC_indicators!$C$2,"C ratio",IF(ISNUMBER(BY98),IF(ABS(BY98-[2]QC_indicators!$B$1)&gt;3*[2]QC_indicators!$C$1,"DF","no"))),IF(ISNUMBER(BY98),IF(ABS(BY98-[2]QC_indicators!$B$1)&gt;3*[2]QC_indicators!$C$1,"DF","no")))</f>
        <v>no</v>
      </c>
      <c r="EQ98" s="280"/>
      <c r="ER98" s="280"/>
      <c r="ES98" s="280"/>
      <c r="ET98"/>
      <c r="EU98"/>
    </row>
    <row r="99" spans="1:151" s="139" customFormat="1" ht="15" hidden="1" customHeight="1">
      <c r="A99" s="256" t="s">
        <v>214</v>
      </c>
      <c r="B99" s="257" t="s">
        <v>215</v>
      </c>
      <c r="C99" s="257" t="s">
        <v>216</v>
      </c>
      <c r="D99" s="257" t="s">
        <v>217</v>
      </c>
      <c r="E99" s="257" t="s">
        <v>218</v>
      </c>
      <c r="F99" s="257" t="s">
        <v>219</v>
      </c>
      <c r="G99" s="257" t="s">
        <v>220</v>
      </c>
      <c r="H99" s="257"/>
      <c r="I99" s="257">
        <v>2012</v>
      </c>
      <c r="J99" s="257"/>
      <c r="K99" s="257" t="s">
        <v>221</v>
      </c>
      <c r="L99" s="257"/>
      <c r="M99" s="257" t="s">
        <v>3069</v>
      </c>
      <c r="N99" s="257" t="s">
        <v>222</v>
      </c>
      <c r="O99" s="275" t="s">
        <v>223</v>
      </c>
      <c r="P99" s="257"/>
      <c r="Q99" s="257" t="s">
        <v>224</v>
      </c>
      <c r="R99" s="258" t="s">
        <v>225</v>
      </c>
      <c r="S99" s="256" t="s">
        <v>241</v>
      </c>
      <c r="T99" s="257" t="s">
        <v>242</v>
      </c>
      <c r="U99" s="276" t="s">
        <v>243</v>
      </c>
      <c r="V99" s="257">
        <v>0</v>
      </c>
      <c r="W99" s="257">
        <v>0</v>
      </c>
      <c r="X99" s="257">
        <v>0</v>
      </c>
      <c r="Y99" s="257">
        <v>0</v>
      </c>
      <c r="Z99" s="257">
        <v>0</v>
      </c>
      <c r="AA99" s="257">
        <v>0</v>
      </c>
      <c r="AB99" s="257">
        <v>0</v>
      </c>
      <c r="AC99" s="257">
        <v>1</v>
      </c>
      <c r="AD99" s="257">
        <v>0</v>
      </c>
      <c r="AE99" s="257">
        <v>0</v>
      </c>
      <c r="AF99" s="257">
        <v>0</v>
      </c>
      <c r="AG99" s="257">
        <v>0</v>
      </c>
      <c r="AH99" s="257">
        <v>0</v>
      </c>
      <c r="AI99" s="257">
        <v>0</v>
      </c>
      <c r="AJ99" s="257">
        <v>0</v>
      </c>
      <c r="AK99" s="257">
        <v>0</v>
      </c>
      <c r="AL99" s="257">
        <v>0</v>
      </c>
      <c r="AM99" s="257">
        <v>0</v>
      </c>
      <c r="AN99" s="257">
        <v>0</v>
      </c>
      <c r="AO99" s="257">
        <v>0</v>
      </c>
      <c r="AP99" s="257">
        <v>0</v>
      </c>
      <c r="AQ99" s="257">
        <v>0</v>
      </c>
      <c r="AR99" s="257">
        <v>0</v>
      </c>
      <c r="AS99" s="257">
        <v>0</v>
      </c>
      <c r="AT99" s="257">
        <v>0</v>
      </c>
      <c r="AU99" s="257">
        <v>0</v>
      </c>
      <c r="AV99" s="257">
        <v>0</v>
      </c>
      <c r="AW99" s="257">
        <v>0</v>
      </c>
      <c r="AX99" s="277">
        <v>1</v>
      </c>
      <c r="AY99" s="277">
        <v>1</v>
      </c>
      <c r="AZ99" s="257">
        <v>1</v>
      </c>
      <c r="BA99" s="257">
        <v>0</v>
      </c>
      <c r="BB99" s="257">
        <v>0</v>
      </c>
      <c r="BC99" s="257">
        <v>0</v>
      </c>
      <c r="BD99" s="257">
        <v>0</v>
      </c>
      <c r="BE99" s="257" t="s">
        <v>95</v>
      </c>
      <c r="BF99" s="2" t="str" cm="1">
        <f t="array" ref="BF99">IF(COUNTIF(AZ99:BB99,"&lt;&gt;0")=1,INDEX($V$4:$AW$4,MATCH(TRUE,INDEX($V99:$AW99&lt;&gt;0,),0)),IF(COUNTIF(AZ99:BB99,"&lt;&gt;0")=0,INDEX($AM$4:$AW$4,MATCH(1,$AM99:$AW99,0)),"Multiple strategies"))</f>
        <v>Silviculture for productivity</v>
      </c>
      <c r="BG99" s="278" t="s">
        <v>229</v>
      </c>
      <c r="BH99" s="257" t="s">
        <v>230</v>
      </c>
      <c r="BI99" s="279" t="s">
        <v>3070</v>
      </c>
      <c r="BJ99" s="276" t="s">
        <v>231</v>
      </c>
      <c r="BK99" s="257">
        <v>110.71336180597901</v>
      </c>
      <c r="BL99" s="257">
        <v>114.080459770114</v>
      </c>
      <c r="BM99" s="276">
        <v>1.0304127515343244</v>
      </c>
      <c r="BN99" s="257">
        <v>3.3670979641349987</v>
      </c>
      <c r="BO99" s="276">
        <v>6.8716284982346911</v>
      </c>
      <c r="BP99" s="276" t="s">
        <v>232</v>
      </c>
      <c r="BQ99" s="279" t="s">
        <v>3070</v>
      </c>
      <c r="BR99" s="276" t="s">
        <v>233</v>
      </c>
      <c r="BS99" s="257">
        <v>-7.88817571690055</v>
      </c>
      <c r="BT99" s="257">
        <v>-7.6632653061224403</v>
      </c>
      <c r="BU99" s="259">
        <v>0.97148765204402898</v>
      </c>
      <c r="BV99" s="257">
        <v>0.22491041077810969</v>
      </c>
      <c r="BW99" s="257"/>
      <c r="BX99" s="257">
        <v>2.249104107781097E-4</v>
      </c>
      <c r="BY99" s="257">
        <v>3.2730292511576952E-5</v>
      </c>
      <c r="BZ99" s="257">
        <v>0</v>
      </c>
      <c r="CA99" s="257">
        <v>0</v>
      </c>
      <c r="CB99" s="257">
        <v>0</v>
      </c>
      <c r="CC99" s="257">
        <v>0</v>
      </c>
      <c r="CD99" s="257">
        <v>0</v>
      </c>
      <c r="CE99" s="257">
        <v>0</v>
      </c>
      <c r="CF99" s="257">
        <v>0</v>
      </c>
      <c r="CG99" s="257">
        <v>0</v>
      </c>
      <c r="CH99" s="257">
        <v>0</v>
      </c>
      <c r="CI99" s="257">
        <v>0</v>
      </c>
      <c r="CJ99" s="257">
        <v>0</v>
      </c>
      <c r="CK99" s="257">
        <v>0</v>
      </c>
      <c r="CL99" s="257">
        <v>0</v>
      </c>
      <c r="CM99" s="257">
        <v>0</v>
      </c>
      <c r="CN99" s="257" t="s">
        <v>3071</v>
      </c>
      <c r="CO99" s="257">
        <v>110.71336180597901</v>
      </c>
      <c r="CP99" s="257">
        <v>114.080459770114</v>
      </c>
      <c r="CQ99" s="257">
        <v>6.8716284982346911</v>
      </c>
      <c r="CR99" s="257">
        <v>-7.88817571690055</v>
      </c>
      <c r="CS99" s="257">
        <v>-7.6632653061224403</v>
      </c>
      <c r="CT99" s="257">
        <v>2.249104107781097E-4</v>
      </c>
      <c r="CU99" s="257">
        <v>3.2730292511576952E-5</v>
      </c>
      <c r="CV99" s="258">
        <v>2.8512347955971028E-2</v>
      </c>
      <c r="CW99" s="256" t="s">
        <v>234</v>
      </c>
      <c r="CX99" s="257" t="s">
        <v>3072</v>
      </c>
      <c r="CY99" s="257" t="s">
        <v>235</v>
      </c>
      <c r="CZ99" s="257"/>
      <c r="DA99" s="276"/>
      <c r="DB99" s="276">
        <v>80</v>
      </c>
      <c r="DC99" s="257" t="s">
        <v>3073</v>
      </c>
      <c r="DD99" s="257">
        <v>0</v>
      </c>
      <c r="DE99" s="257">
        <v>1</v>
      </c>
      <c r="DF99" s="257">
        <v>0</v>
      </c>
      <c r="DG99" s="257">
        <v>0</v>
      </c>
      <c r="DH99" s="257"/>
      <c r="DI99" s="257">
        <v>1</v>
      </c>
      <c r="DJ99" s="257" t="s">
        <v>173</v>
      </c>
      <c r="DK99" s="257">
        <v>0</v>
      </c>
      <c r="DL99" s="257" t="s">
        <v>180</v>
      </c>
      <c r="DM99" s="257">
        <v>0</v>
      </c>
      <c r="DN99" s="257">
        <v>0</v>
      </c>
      <c r="DO99" s="257">
        <v>0</v>
      </c>
      <c r="DP99" s="276">
        <v>0</v>
      </c>
      <c r="DQ99" s="276">
        <v>0</v>
      </c>
      <c r="DR99" s="276">
        <v>0</v>
      </c>
      <c r="DS99" s="276">
        <v>0</v>
      </c>
      <c r="DT99" s="257">
        <v>0</v>
      </c>
      <c r="DU99" s="276" t="s">
        <v>961</v>
      </c>
      <c r="DV99" s="276">
        <v>1</v>
      </c>
      <c r="DW99" s="276">
        <v>1</v>
      </c>
      <c r="DX99" s="276">
        <v>1</v>
      </c>
      <c r="DY99" s="276">
        <v>0</v>
      </c>
      <c r="DZ99" s="257">
        <v>0</v>
      </c>
      <c r="EA99" s="276">
        <v>0</v>
      </c>
      <c r="EB99" s="276">
        <v>1</v>
      </c>
      <c r="EC99" s="276">
        <v>1</v>
      </c>
      <c r="ED99" s="276">
        <v>0</v>
      </c>
      <c r="EE99" s="276">
        <v>0</v>
      </c>
      <c r="EF99" s="257">
        <v>1</v>
      </c>
      <c r="EG99" s="276">
        <v>0</v>
      </c>
      <c r="EH99" s="257">
        <v>0</v>
      </c>
      <c r="EI99" s="258">
        <v>0</v>
      </c>
      <c r="EJ99" s="256"/>
      <c r="EK99" t="str">
        <f t="shared" si="38"/>
        <v>Whole sector</v>
      </c>
      <c r="EL99" t="str">
        <f t="shared" si="39"/>
        <v/>
      </c>
      <c r="EM99" s="258" t="s">
        <v>544</v>
      </c>
      <c r="EN99" s="257" t="s">
        <v>236</v>
      </c>
      <c r="EO99" s="257"/>
      <c r="EP99" t="str">
        <f>IF(ISNUMBER(BU99),IF(ABS(BU99-[2]QC_indicators!$B$2)&gt;3*[2]QC_indicators!$C$2,"C ratio",IF(ISNUMBER(BY99),IF(ABS(BY99-[2]QC_indicators!$B$1)&gt;3*[2]QC_indicators!$C$1,"DF","no"))),IF(ISNUMBER(BY99),IF(ABS(BY99-[2]QC_indicators!$B$1)&gt;3*[2]QC_indicators!$C$1,"DF","no")))</f>
        <v>no</v>
      </c>
      <c r="EQ99"/>
      <c r="ER99"/>
      <c r="ES99"/>
      <c r="ET99"/>
      <c r="EU99"/>
    </row>
    <row r="100" spans="1:151" s="139" customFormat="1" ht="15" hidden="1" customHeight="1">
      <c r="A100" s="256" t="s">
        <v>214</v>
      </c>
      <c r="B100" s="257" t="s">
        <v>215</v>
      </c>
      <c r="C100" s="257" t="s">
        <v>216</v>
      </c>
      <c r="D100" s="257" t="s">
        <v>217</v>
      </c>
      <c r="E100" s="257" t="s">
        <v>218</v>
      </c>
      <c r="F100" s="257" t="s">
        <v>219</v>
      </c>
      <c r="G100" s="257" t="s">
        <v>220</v>
      </c>
      <c r="H100" s="257"/>
      <c r="I100" s="257">
        <v>2012</v>
      </c>
      <c r="J100" s="257"/>
      <c r="K100" s="257" t="s">
        <v>221</v>
      </c>
      <c r="L100" s="257"/>
      <c r="M100" s="257" t="s">
        <v>3069</v>
      </c>
      <c r="N100" s="257" t="s">
        <v>222</v>
      </c>
      <c r="O100" s="275" t="s">
        <v>223</v>
      </c>
      <c r="P100" s="257"/>
      <c r="Q100" s="257" t="s">
        <v>224</v>
      </c>
      <c r="R100" s="258" t="s">
        <v>225</v>
      </c>
      <c r="S100" s="256" t="s">
        <v>226</v>
      </c>
      <c r="T100" s="257" t="s">
        <v>228</v>
      </c>
      <c r="U100" s="257" t="s">
        <v>239</v>
      </c>
      <c r="V100" s="257">
        <v>0</v>
      </c>
      <c r="W100" s="257">
        <v>0</v>
      </c>
      <c r="X100" s="257">
        <v>0</v>
      </c>
      <c r="Y100" s="257">
        <v>1</v>
      </c>
      <c r="Z100" s="257">
        <v>0</v>
      </c>
      <c r="AA100" s="257">
        <v>0</v>
      </c>
      <c r="AB100" s="257">
        <v>0</v>
      </c>
      <c r="AC100" s="257">
        <v>0</v>
      </c>
      <c r="AD100" s="257">
        <v>0</v>
      </c>
      <c r="AE100" s="257">
        <v>0</v>
      </c>
      <c r="AF100" s="257">
        <v>0</v>
      </c>
      <c r="AG100" s="257">
        <v>0</v>
      </c>
      <c r="AH100" s="257">
        <v>0</v>
      </c>
      <c r="AI100" s="257">
        <v>0</v>
      </c>
      <c r="AJ100" s="257">
        <v>0</v>
      </c>
      <c r="AK100" s="257">
        <v>0</v>
      </c>
      <c r="AL100" s="257">
        <v>0</v>
      </c>
      <c r="AM100" s="257">
        <v>0</v>
      </c>
      <c r="AN100" s="257">
        <v>0</v>
      </c>
      <c r="AO100" s="257">
        <v>0</v>
      </c>
      <c r="AP100" s="257">
        <v>0</v>
      </c>
      <c r="AQ100" s="257">
        <v>0</v>
      </c>
      <c r="AR100" s="257">
        <v>0</v>
      </c>
      <c r="AS100" s="257">
        <v>0</v>
      </c>
      <c r="AT100" s="257">
        <v>0</v>
      </c>
      <c r="AU100" s="257">
        <v>0</v>
      </c>
      <c r="AV100" s="257">
        <v>0</v>
      </c>
      <c r="AW100" s="257">
        <v>0</v>
      </c>
      <c r="AX100" s="277">
        <v>1</v>
      </c>
      <c r="AY100" s="277">
        <v>1</v>
      </c>
      <c r="AZ100" s="257">
        <v>1</v>
      </c>
      <c r="BA100" s="257">
        <v>0</v>
      </c>
      <c r="BB100" s="257">
        <v>0</v>
      </c>
      <c r="BC100" s="257">
        <v>0</v>
      </c>
      <c r="BD100" s="257">
        <v>0</v>
      </c>
      <c r="BE100" s="257" t="s">
        <v>91</v>
      </c>
      <c r="BF100" s="2" t="str" cm="1">
        <f t="array" ref="BF100">IF(COUNTIF(AZ100:BB100,"&lt;&gt;0")=1,INDEX($V$4:$AW$4,MATCH(TRUE,INDEX($V100:$AW100&lt;&gt;0,),0)),IF(COUNTIF(AZ100:BB100,"&lt;&gt;0")=0,INDEX($AM$4:$AW$4,MATCH(1,$AM100:$AW100,0)),"Multiple strategies"))</f>
        <v>Silviculture for removals</v>
      </c>
      <c r="BG100" s="278" t="s">
        <v>229</v>
      </c>
      <c r="BH100" s="257" t="s">
        <v>230</v>
      </c>
      <c r="BI100" s="279" t="s">
        <v>3070</v>
      </c>
      <c r="BJ100" s="276" t="s">
        <v>231</v>
      </c>
      <c r="BK100" s="257">
        <v>34.220071779999998</v>
      </c>
      <c r="BL100" s="257">
        <v>54.766085619999998</v>
      </c>
      <c r="BM100" s="276">
        <v>0.62484056314412195</v>
      </c>
      <c r="BN100" s="257">
        <v>20.546013840000001</v>
      </c>
      <c r="BO100" s="276">
        <v>41.93064048979592</v>
      </c>
      <c r="BP100" s="276" t="s">
        <v>232</v>
      </c>
      <c r="BQ100" s="279" t="s">
        <v>3070</v>
      </c>
      <c r="BR100" s="276" t="s">
        <v>233</v>
      </c>
      <c r="BS100" s="257">
        <v>-10.49196787</v>
      </c>
      <c r="BT100" s="257">
        <v>-9.0261044179999992</v>
      </c>
      <c r="BU100" s="259">
        <v>0.86028708149294009</v>
      </c>
      <c r="BV100" s="257">
        <v>1.4658634520000007</v>
      </c>
      <c r="BW100" s="257"/>
      <c r="BX100" s="257">
        <v>1.4658634520000008E-3</v>
      </c>
      <c r="BY100" s="257">
        <v>3.4959243047020181E-5</v>
      </c>
      <c r="BZ100" s="257">
        <v>0</v>
      </c>
      <c r="CA100" s="257">
        <v>0</v>
      </c>
      <c r="CB100" s="257">
        <v>0</v>
      </c>
      <c r="CC100" s="257">
        <v>0</v>
      </c>
      <c r="CD100" s="257">
        <v>0</v>
      </c>
      <c r="CE100" s="257">
        <v>0</v>
      </c>
      <c r="CF100" s="257">
        <v>0</v>
      </c>
      <c r="CG100" s="257">
        <v>0</v>
      </c>
      <c r="CH100" s="257">
        <v>0</v>
      </c>
      <c r="CI100" s="257">
        <v>0</v>
      </c>
      <c r="CJ100" s="257">
        <v>0</v>
      </c>
      <c r="CK100" s="257">
        <v>0</v>
      </c>
      <c r="CL100" s="257">
        <v>0</v>
      </c>
      <c r="CM100" s="257">
        <v>0</v>
      </c>
      <c r="CN100" s="257" t="s">
        <v>3071</v>
      </c>
      <c r="CO100" s="257">
        <v>34.220071779999998</v>
      </c>
      <c r="CP100" s="257">
        <v>54.766085619999998</v>
      </c>
      <c r="CQ100" s="257">
        <v>41.93064048979592</v>
      </c>
      <c r="CR100" s="257">
        <v>-10.49196787</v>
      </c>
      <c r="CS100" s="257">
        <v>-9.0261044179999992</v>
      </c>
      <c r="CT100" s="257">
        <v>1.4658634520000008E-3</v>
      </c>
      <c r="CU100" s="257">
        <v>3.4959243047020181E-5</v>
      </c>
      <c r="CV100" s="258">
        <v>0.13971291850705989</v>
      </c>
      <c r="CW100" s="256" t="s">
        <v>234</v>
      </c>
      <c r="CX100" s="257" t="s">
        <v>3072</v>
      </c>
      <c r="CY100" s="257" t="s">
        <v>235</v>
      </c>
      <c r="CZ100" s="257"/>
      <c r="DA100" s="276"/>
      <c r="DB100" s="276">
        <v>80</v>
      </c>
      <c r="DC100" s="257" t="s">
        <v>3073</v>
      </c>
      <c r="DD100" s="257">
        <v>0</v>
      </c>
      <c r="DE100" s="257">
        <v>1</v>
      </c>
      <c r="DF100" s="257">
        <v>0</v>
      </c>
      <c r="DG100" s="257">
        <v>0</v>
      </c>
      <c r="DH100" s="257"/>
      <c r="DI100" s="257">
        <v>1</v>
      </c>
      <c r="DJ100" s="257" t="s">
        <v>173</v>
      </c>
      <c r="DK100" s="257">
        <v>0</v>
      </c>
      <c r="DL100" s="257" t="s">
        <v>180</v>
      </c>
      <c r="DM100" s="257">
        <v>0</v>
      </c>
      <c r="DN100" s="257">
        <v>0</v>
      </c>
      <c r="DO100" s="257">
        <v>0</v>
      </c>
      <c r="DP100" s="276">
        <v>0</v>
      </c>
      <c r="DQ100" s="276">
        <v>0</v>
      </c>
      <c r="DR100" s="276">
        <v>0</v>
      </c>
      <c r="DS100" s="276">
        <v>0</v>
      </c>
      <c r="DT100" s="257">
        <v>0</v>
      </c>
      <c r="DU100" s="276" t="s">
        <v>961</v>
      </c>
      <c r="DV100" s="276">
        <v>1</v>
      </c>
      <c r="DW100" s="276">
        <v>1</v>
      </c>
      <c r="DX100" s="276">
        <v>1</v>
      </c>
      <c r="DY100" s="276">
        <v>0</v>
      </c>
      <c r="DZ100" s="257">
        <v>0</v>
      </c>
      <c r="EA100" s="276">
        <v>0</v>
      </c>
      <c r="EB100" s="276">
        <v>1</v>
      </c>
      <c r="EC100" s="276">
        <v>1</v>
      </c>
      <c r="ED100" s="276">
        <v>0</v>
      </c>
      <c r="EE100" s="276">
        <v>0</v>
      </c>
      <c r="EF100" s="257">
        <v>1</v>
      </c>
      <c r="EG100" s="276">
        <v>0</v>
      </c>
      <c r="EH100" s="257">
        <v>0</v>
      </c>
      <c r="EI100" s="258">
        <v>0</v>
      </c>
      <c r="EJ100" s="256"/>
      <c r="EK100" t="str">
        <f t="shared" si="38"/>
        <v>Whole sector</v>
      </c>
      <c r="EL100" t="str">
        <f t="shared" si="39"/>
        <v/>
      </c>
      <c r="EM100" s="258" t="s">
        <v>544</v>
      </c>
      <c r="EN100" s="257" t="s">
        <v>236</v>
      </c>
      <c r="EO100" s="257"/>
      <c r="EP100" t="str">
        <f>IF(ISNUMBER(BU100),IF(ABS(BU100-[2]QC_indicators!$B$2)&gt;3*[2]QC_indicators!$C$2,"C ratio",IF(ISNUMBER(BY100),IF(ABS(BY100-[2]QC_indicators!$B$1)&gt;3*[2]QC_indicators!$C$1,"DF","no"))),IF(ISNUMBER(BY100),IF(ABS(BY100-[2]QC_indicators!$B$1)&gt;3*[2]QC_indicators!$C$1,"DF","no")))</f>
        <v>no</v>
      </c>
      <c r="EQ100" s="280"/>
      <c r="ER100" s="280"/>
      <c r="ES100" s="280"/>
      <c r="ET100"/>
      <c r="EU100"/>
    </row>
    <row r="101" spans="1:151" s="139" customFormat="1" ht="15" hidden="1" customHeight="1">
      <c r="A101" s="256" t="s">
        <v>214</v>
      </c>
      <c r="B101" s="257" t="s">
        <v>215</v>
      </c>
      <c r="C101" s="257" t="s">
        <v>216</v>
      </c>
      <c r="D101" s="257" t="s">
        <v>217</v>
      </c>
      <c r="E101" s="257" t="s">
        <v>218</v>
      </c>
      <c r="F101" s="257" t="s">
        <v>219</v>
      </c>
      <c r="G101" s="257" t="s">
        <v>220</v>
      </c>
      <c r="H101" s="257"/>
      <c r="I101" s="257">
        <v>2012</v>
      </c>
      <c r="J101" s="257"/>
      <c r="K101" s="257" t="s">
        <v>221</v>
      </c>
      <c r="L101" s="257"/>
      <c r="M101" s="257" t="s">
        <v>3069</v>
      </c>
      <c r="N101" s="257" t="s">
        <v>222</v>
      </c>
      <c r="O101" s="275" t="s">
        <v>223</v>
      </c>
      <c r="P101" s="257"/>
      <c r="Q101" s="257" t="s">
        <v>224</v>
      </c>
      <c r="R101" s="258" t="s">
        <v>225</v>
      </c>
      <c r="S101" s="256" t="s">
        <v>240</v>
      </c>
      <c r="T101" s="257">
        <v>2000</v>
      </c>
      <c r="U101" s="257">
        <v>4000</v>
      </c>
      <c r="V101" s="257">
        <v>0</v>
      </c>
      <c r="W101" s="257">
        <v>0</v>
      </c>
      <c r="X101" s="257">
        <v>0</v>
      </c>
      <c r="Y101" s="257">
        <v>0</v>
      </c>
      <c r="Z101" s="257">
        <v>0</v>
      </c>
      <c r="AA101" s="257">
        <v>1</v>
      </c>
      <c r="AB101" s="257">
        <v>0</v>
      </c>
      <c r="AC101" s="257">
        <v>0</v>
      </c>
      <c r="AD101" s="257">
        <v>0</v>
      </c>
      <c r="AE101" s="257">
        <v>0</v>
      </c>
      <c r="AF101" s="257">
        <v>0</v>
      </c>
      <c r="AG101" s="257">
        <v>0</v>
      </c>
      <c r="AH101" s="257">
        <v>0</v>
      </c>
      <c r="AI101" s="257">
        <v>0</v>
      </c>
      <c r="AJ101" s="257">
        <v>0</v>
      </c>
      <c r="AK101" s="257">
        <v>0</v>
      </c>
      <c r="AL101" s="257">
        <v>0</v>
      </c>
      <c r="AM101" s="257">
        <v>0</v>
      </c>
      <c r="AN101" s="257">
        <v>0</v>
      </c>
      <c r="AO101" s="257">
        <v>0</v>
      </c>
      <c r="AP101" s="257">
        <v>0</v>
      </c>
      <c r="AQ101" s="257">
        <v>0</v>
      </c>
      <c r="AR101" s="257">
        <v>0</v>
      </c>
      <c r="AS101" s="257">
        <v>0</v>
      </c>
      <c r="AT101" s="257">
        <v>0</v>
      </c>
      <c r="AU101" s="257">
        <v>0</v>
      </c>
      <c r="AV101" s="257">
        <v>0</v>
      </c>
      <c r="AW101" s="257">
        <v>0</v>
      </c>
      <c r="AX101" s="277">
        <v>1</v>
      </c>
      <c r="AY101" s="277">
        <v>1</v>
      </c>
      <c r="AZ101" s="257">
        <v>1</v>
      </c>
      <c r="BA101" s="257">
        <v>0</v>
      </c>
      <c r="BB101" s="257">
        <v>0</v>
      </c>
      <c r="BC101" s="257">
        <v>0</v>
      </c>
      <c r="BD101" s="257">
        <v>0</v>
      </c>
      <c r="BE101" s="257" t="s">
        <v>93</v>
      </c>
      <c r="BF101" s="2" t="str" cm="1">
        <f t="array" ref="BF101">IF(COUNTIF(AZ101:BB101,"&lt;&gt;0")=1,INDEX($V$4:$AW$4,MATCH(TRUE,INDEX($V101:$AW101&lt;&gt;0,),0)),IF(COUNTIF(AZ101:BB101,"&lt;&gt;0")=0,INDEX($AM$4:$AW$4,MATCH(1,$AM101:$AW101,0)),"Multiple strategies"))</f>
        <v>Silviculture for productivity</v>
      </c>
      <c r="BG101" s="278" t="s">
        <v>229</v>
      </c>
      <c r="BH101" s="257" t="s">
        <v>230</v>
      </c>
      <c r="BI101" s="279" t="s">
        <v>3070</v>
      </c>
      <c r="BJ101" s="276" t="s">
        <v>231</v>
      </c>
      <c r="BK101" s="257">
        <v>34.220071779999998</v>
      </c>
      <c r="BL101" s="257">
        <v>43.296172429999999</v>
      </c>
      <c r="BM101" s="276">
        <v>1.2652273995317727</v>
      </c>
      <c r="BN101" s="257">
        <v>9.0761006500000008</v>
      </c>
      <c r="BO101" s="276">
        <v>18.522654387755104</v>
      </c>
      <c r="BP101" s="276" t="s">
        <v>232</v>
      </c>
      <c r="BQ101" s="279" t="s">
        <v>3070</v>
      </c>
      <c r="BR101" s="276" t="s">
        <v>233</v>
      </c>
      <c r="BS101" s="257">
        <v>-10.49196787</v>
      </c>
      <c r="BT101" s="257">
        <v>-9.8277857409999996</v>
      </c>
      <c r="BU101" s="259">
        <v>0.93669613391601048</v>
      </c>
      <c r="BV101" s="257">
        <v>0.66418212900000029</v>
      </c>
      <c r="BW101" s="257"/>
      <c r="BX101" s="257">
        <v>6.6418212900000028E-4</v>
      </c>
      <c r="BY101" s="257">
        <v>3.5857826588778529E-5</v>
      </c>
      <c r="BZ101" s="257">
        <v>0</v>
      </c>
      <c r="CA101" s="257">
        <v>0</v>
      </c>
      <c r="CB101" s="257">
        <v>0</v>
      </c>
      <c r="CC101" s="257">
        <v>0</v>
      </c>
      <c r="CD101" s="257">
        <v>0</v>
      </c>
      <c r="CE101" s="257">
        <v>0</v>
      </c>
      <c r="CF101" s="257">
        <v>0</v>
      </c>
      <c r="CG101" s="257">
        <v>0</v>
      </c>
      <c r="CH101" s="257">
        <v>0</v>
      </c>
      <c r="CI101" s="257">
        <v>0</v>
      </c>
      <c r="CJ101" s="257">
        <v>0</v>
      </c>
      <c r="CK101" s="257">
        <v>0</v>
      </c>
      <c r="CL101" s="257">
        <v>0</v>
      </c>
      <c r="CM101" s="257">
        <v>0</v>
      </c>
      <c r="CN101" s="257" t="s">
        <v>3071</v>
      </c>
      <c r="CO101" s="257">
        <v>34.220071779999998</v>
      </c>
      <c r="CP101" s="257">
        <v>43.296172429999999</v>
      </c>
      <c r="CQ101" s="257">
        <v>18.522654387755104</v>
      </c>
      <c r="CR101" s="257">
        <v>-10.49196787</v>
      </c>
      <c r="CS101" s="257">
        <v>-9.8277857409999996</v>
      </c>
      <c r="CT101" s="257">
        <v>6.6418212900000028E-4</v>
      </c>
      <c r="CU101" s="257">
        <v>3.5857826588778529E-5</v>
      </c>
      <c r="CV101" s="258">
        <v>6.3303866083989468E-2</v>
      </c>
      <c r="CW101" s="256" t="s">
        <v>234</v>
      </c>
      <c r="CX101" s="257" t="s">
        <v>3072</v>
      </c>
      <c r="CY101" s="257" t="s">
        <v>235</v>
      </c>
      <c r="CZ101" s="257"/>
      <c r="DA101" s="276"/>
      <c r="DB101" s="276">
        <v>80</v>
      </c>
      <c r="DC101" s="257" t="s">
        <v>3073</v>
      </c>
      <c r="DD101" s="257">
        <v>0</v>
      </c>
      <c r="DE101" s="257">
        <v>1</v>
      </c>
      <c r="DF101" s="257">
        <v>0</v>
      </c>
      <c r="DG101" s="257">
        <v>0</v>
      </c>
      <c r="DH101" s="257"/>
      <c r="DI101" s="257">
        <v>1</v>
      </c>
      <c r="DJ101" s="257" t="s">
        <v>173</v>
      </c>
      <c r="DK101" s="257">
        <v>0</v>
      </c>
      <c r="DL101" s="257" t="s">
        <v>180</v>
      </c>
      <c r="DM101" s="257">
        <v>0</v>
      </c>
      <c r="DN101" s="257">
        <v>0</v>
      </c>
      <c r="DO101" s="257">
        <v>0</v>
      </c>
      <c r="DP101" s="276">
        <v>0</v>
      </c>
      <c r="DQ101" s="276">
        <v>0</v>
      </c>
      <c r="DR101" s="276">
        <v>0</v>
      </c>
      <c r="DS101" s="276">
        <v>0</v>
      </c>
      <c r="DT101" s="257">
        <v>0</v>
      </c>
      <c r="DU101" s="276" t="s">
        <v>961</v>
      </c>
      <c r="DV101" s="276">
        <v>1</v>
      </c>
      <c r="DW101" s="276">
        <v>1</v>
      </c>
      <c r="DX101" s="276">
        <v>1</v>
      </c>
      <c r="DY101" s="276">
        <v>0</v>
      </c>
      <c r="DZ101" s="257">
        <v>0</v>
      </c>
      <c r="EA101" s="276">
        <v>0</v>
      </c>
      <c r="EB101" s="276">
        <v>1</v>
      </c>
      <c r="EC101" s="276">
        <v>1</v>
      </c>
      <c r="ED101" s="276">
        <v>0</v>
      </c>
      <c r="EE101" s="276">
        <v>0</v>
      </c>
      <c r="EF101" s="257">
        <v>1</v>
      </c>
      <c r="EG101" s="276">
        <v>0</v>
      </c>
      <c r="EH101" s="257">
        <v>0</v>
      </c>
      <c r="EI101" s="258">
        <v>0</v>
      </c>
      <c r="EJ101" s="256"/>
      <c r="EK101" t="str">
        <f t="shared" si="38"/>
        <v>Whole sector</v>
      </c>
      <c r="EL101" t="str">
        <f t="shared" si="39"/>
        <v/>
      </c>
      <c r="EM101" s="258" t="s">
        <v>544</v>
      </c>
      <c r="EN101" s="257" t="s">
        <v>236</v>
      </c>
      <c r="EO101" s="257"/>
      <c r="EP101" t="str">
        <f>IF(ISNUMBER(BU101),IF(ABS(BU101-[2]QC_indicators!$B$2)&gt;3*[2]QC_indicators!$C$2,"C ratio",IF(ISNUMBER(BY101),IF(ABS(BY101-[2]QC_indicators!$B$1)&gt;3*[2]QC_indicators!$C$1,"DF","no"))),IF(ISNUMBER(BY101),IF(ABS(BY101-[2]QC_indicators!$B$1)&gt;3*[2]QC_indicators!$C$1,"DF","no")))</f>
        <v>no</v>
      </c>
      <c r="EQ101" s="280"/>
      <c r="ER101" s="280"/>
      <c r="ES101" s="280"/>
      <c r="ET101"/>
      <c r="EU101"/>
    </row>
    <row r="102" spans="1:151" s="139" customFormat="1" ht="15" hidden="1" customHeight="1">
      <c r="A102" s="256" t="s">
        <v>214</v>
      </c>
      <c r="B102" s="257" t="s">
        <v>215</v>
      </c>
      <c r="C102" s="257" t="s">
        <v>216</v>
      </c>
      <c r="D102" s="257" t="s">
        <v>217</v>
      </c>
      <c r="E102" s="257" t="s">
        <v>218</v>
      </c>
      <c r="F102" s="257" t="s">
        <v>219</v>
      </c>
      <c r="G102" s="257" t="s">
        <v>220</v>
      </c>
      <c r="H102" s="257"/>
      <c r="I102" s="257">
        <v>2012</v>
      </c>
      <c r="J102" s="257"/>
      <c r="K102" s="257" t="s">
        <v>221</v>
      </c>
      <c r="L102" s="257"/>
      <c r="M102" s="257" t="s">
        <v>3069</v>
      </c>
      <c r="N102" s="257" t="s">
        <v>222</v>
      </c>
      <c r="O102" s="275" t="s">
        <v>223</v>
      </c>
      <c r="P102" s="257"/>
      <c r="Q102" s="257" t="s">
        <v>224</v>
      </c>
      <c r="R102" s="258" t="s">
        <v>225</v>
      </c>
      <c r="S102" s="256" t="s">
        <v>226</v>
      </c>
      <c r="T102" s="257" t="s">
        <v>228</v>
      </c>
      <c r="U102" s="257" t="s">
        <v>227</v>
      </c>
      <c r="V102" s="257">
        <v>0</v>
      </c>
      <c r="W102" s="257">
        <v>0</v>
      </c>
      <c r="X102" s="257">
        <v>0</v>
      </c>
      <c r="Y102" s="257">
        <v>1</v>
      </c>
      <c r="Z102" s="257">
        <v>0</v>
      </c>
      <c r="AA102" s="257">
        <v>0</v>
      </c>
      <c r="AB102" s="257">
        <v>0</v>
      </c>
      <c r="AC102" s="257">
        <v>0</v>
      </c>
      <c r="AD102" s="257">
        <v>0</v>
      </c>
      <c r="AE102" s="257">
        <v>0</v>
      </c>
      <c r="AF102" s="257">
        <v>0</v>
      </c>
      <c r="AG102" s="257">
        <v>0</v>
      </c>
      <c r="AH102" s="257">
        <v>0</v>
      </c>
      <c r="AI102" s="257">
        <v>0</v>
      </c>
      <c r="AJ102" s="257">
        <v>0</v>
      </c>
      <c r="AK102" s="257">
        <v>0</v>
      </c>
      <c r="AL102" s="257">
        <v>0</v>
      </c>
      <c r="AM102" s="257">
        <v>0</v>
      </c>
      <c r="AN102" s="257">
        <v>0</v>
      </c>
      <c r="AO102" s="257">
        <v>0</v>
      </c>
      <c r="AP102" s="257">
        <v>0</v>
      </c>
      <c r="AQ102" s="257">
        <v>0</v>
      </c>
      <c r="AR102" s="257">
        <v>0</v>
      </c>
      <c r="AS102" s="257">
        <v>0</v>
      </c>
      <c r="AT102" s="257">
        <v>0</v>
      </c>
      <c r="AU102" s="257">
        <v>0</v>
      </c>
      <c r="AV102" s="257">
        <v>0</v>
      </c>
      <c r="AW102" s="257">
        <v>0</v>
      </c>
      <c r="AX102" s="277">
        <v>1</v>
      </c>
      <c r="AY102" s="277">
        <v>1</v>
      </c>
      <c r="AZ102" s="257">
        <v>1</v>
      </c>
      <c r="BA102" s="257">
        <v>0</v>
      </c>
      <c r="BB102" s="257">
        <v>0</v>
      </c>
      <c r="BC102" s="257">
        <v>0</v>
      </c>
      <c r="BD102" s="257">
        <v>0</v>
      </c>
      <c r="BE102" s="257" t="s">
        <v>91</v>
      </c>
      <c r="BF102" s="2" t="str" cm="1">
        <f t="array" ref="BF102">IF(COUNTIF(AZ102:BB102,"&lt;&gt;0")=1,INDEX($V$4:$AW$4,MATCH(TRUE,INDEX($V102:$AW102&lt;&gt;0,),0)),IF(COUNTIF(AZ102:BB102,"&lt;&gt;0")=0,INDEX($AM$4:$AW$4,MATCH(1,$AM102:$AW102,0)),"Multiple strategies"))</f>
        <v>Silviculture for removals</v>
      </c>
      <c r="BG102" s="278" t="s">
        <v>229</v>
      </c>
      <c r="BH102" s="257" t="s">
        <v>230</v>
      </c>
      <c r="BI102" s="279" t="s">
        <v>3070</v>
      </c>
      <c r="BJ102" s="276" t="s">
        <v>231</v>
      </c>
      <c r="BK102" s="257">
        <v>58.199966019999998</v>
      </c>
      <c r="BL102" s="257">
        <v>63.509174309999999</v>
      </c>
      <c r="BM102" s="276">
        <v>1.0912235633982248</v>
      </c>
      <c r="BN102" s="257">
        <v>5.3092082900000008</v>
      </c>
      <c r="BO102" s="276">
        <v>10.835118959183676</v>
      </c>
      <c r="BP102" s="276" t="s">
        <v>232</v>
      </c>
      <c r="BQ102" s="279" t="s">
        <v>3070</v>
      </c>
      <c r="BR102" s="276" t="s">
        <v>233</v>
      </c>
      <c r="BS102" s="257">
        <v>-9.137844007</v>
      </c>
      <c r="BT102" s="257">
        <v>-8.7158725570000009</v>
      </c>
      <c r="BU102" s="259">
        <v>0.95382155247159506</v>
      </c>
      <c r="BV102" s="257">
        <v>0.42197144999999914</v>
      </c>
      <c r="BW102" s="257"/>
      <c r="BX102" s="257">
        <v>4.2197144999999911E-4</v>
      </c>
      <c r="BY102" s="257">
        <v>3.8944791616001847E-5</v>
      </c>
      <c r="BZ102" s="257">
        <v>0</v>
      </c>
      <c r="CA102" s="257">
        <v>0</v>
      </c>
      <c r="CB102" s="257">
        <v>0</v>
      </c>
      <c r="CC102" s="257">
        <v>0</v>
      </c>
      <c r="CD102" s="257">
        <v>0</v>
      </c>
      <c r="CE102" s="257">
        <v>0</v>
      </c>
      <c r="CF102" s="257">
        <v>0</v>
      </c>
      <c r="CG102" s="257">
        <v>0</v>
      </c>
      <c r="CH102" s="257">
        <v>0</v>
      </c>
      <c r="CI102" s="257">
        <v>0</v>
      </c>
      <c r="CJ102" s="257">
        <v>0</v>
      </c>
      <c r="CK102" s="257">
        <v>0</v>
      </c>
      <c r="CL102" s="257">
        <v>0</v>
      </c>
      <c r="CM102" s="257">
        <v>0</v>
      </c>
      <c r="CN102" s="257" t="s">
        <v>3071</v>
      </c>
      <c r="CO102" s="257">
        <v>58.199966019999998</v>
      </c>
      <c r="CP102" s="257">
        <v>63.509174309999999</v>
      </c>
      <c r="CQ102" s="257">
        <v>10.835118959183676</v>
      </c>
      <c r="CR102" s="257">
        <v>-9.137844007</v>
      </c>
      <c r="CS102" s="257">
        <v>-8.7158725570000009</v>
      </c>
      <c r="CT102" s="257">
        <v>4.2197144999999911E-4</v>
      </c>
      <c r="CU102" s="257">
        <v>3.8944791616001847E-5</v>
      </c>
      <c r="CV102" s="258">
        <v>4.6178447528404949E-2</v>
      </c>
      <c r="CW102" s="256" t="s">
        <v>234</v>
      </c>
      <c r="CX102" s="257" t="s">
        <v>3072</v>
      </c>
      <c r="CY102" s="257" t="s">
        <v>235</v>
      </c>
      <c r="CZ102" s="257"/>
      <c r="DA102" s="276"/>
      <c r="DB102" s="276">
        <v>80</v>
      </c>
      <c r="DC102" s="257" t="s">
        <v>3073</v>
      </c>
      <c r="DD102" s="257">
        <v>0</v>
      </c>
      <c r="DE102" s="257">
        <v>1</v>
      </c>
      <c r="DF102" s="257">
        <v>0</v>
      </c>
      <c r="DG102" s="257">
        <v>0</v>
      </c>
      <c r="DH102" s="257"/>
      <c r="DI102" s="257">
        <v>1</v>
      </c>
      <c r="DJ102" s="257" t="s">
        <v>173</v>
      </c>
      <c r="DK102" s="257">
        <v>0</v>
      </c>
      <c r="DL102" s="257" t="s">
        <v>180</v>
      </c>
      <c r="DM102" s="257">
        <v>0</v>
      </c>
      <c r="DN102" s="257">
        <v>0</v>
      </c>
      <c r="DO102" s="257">
        <v>0</v>
      </c>
      <c r="DP102" s="276">
        <v>0</v>
      </c>
      <c r="DQ102" s="276">
        <v>0</v>
      </c>
      <c r="DR102" s="276">
        <v>0</v>
      </c>
      <c r="DS102" s="276">
        <v>0</v>
      </c>
      <c r="DT102" s="257">
        <v>0</v>
      </c>
      <c r="DU102" s="276" t="s">
        <v>961</v>
      </c>
      <c r="DV102" s="276">
        <v>1</v>
      </c>
      <c r="DW102" s="276">
        <v>1</v>
      </c>
      <c r="DX102" s="276">
        <v>1</v>
      </c>
      <c r="DY102" s="276">
        <v>0</v>
      </c>
      <c r="DZ102" s="257">
        <v>0</v>
      </c>
      <c r="EA102" s="276">
        <v>0</v>
      </c>
      <c r="EB102" s="276">
        <v>1</v>
      </c>
      <c r="EC102" s="276">
        <v>1</v>
      </c>
      <c r="ED102" s="276">
        <v>0</v>
      </c>
      <c r="EE102" s="276">
        <v>0</v>
      </c>
      <c r="EF102" s="257">
        <v>1</v>
      </c>
      <c r="EG102" s="276">
        <v>0</v>
      </c>
      <c r="EH102" s="257">
        <v>0</v>
      </c>
      <c r="EI102" s="258">
        <v>0</v>
      </c>
      <c r="EJ102" s="256"/>
      <c r="EK102" t="str">
        <f t="shared" si="38"/>
        <v>Whole sector</v>
      </c>
      <c r="EL102" t="str">
        <f t="shared" si="39"/>
        <v/>
      </c>
      <c r="EM102" s="258" t="s">
        <v>544</v>
      </c>
      <c r="EN102" s="257" t="s">
        <v>236</v>
      </c>
      <c r="EO102" s="257"/>
      <c r="EP102" t="str">
        <f>IF(ISNUMBER(BU102),IF(ABS(BU102-[2]QC_indicators!$B$2)&gt;3*[2]QC_indicators!$C$2,"C ratio",IF(ISNUMBER(BY102),IF(ABS(BY102-[2]QC_indicators!$B$1)&gt;3*[2]QC_indicators!$C$1,"DF","no"))),IF(ISNUMBER(BY102),IF(ABS(BY102-[2]QC_indicators!$B$1)&gt;3*[2]QC_indicators!$C$1,"DF","no")))</f>
        <v>no</v>
      </c>
      <c r="EQ102" s="280"/>
      <c r="ER102" s="280"/>
      <c r="ES102" s="280"/>
      <c r="ET102"/>
      <c r="EU102"/>
    </row>
    <row r="103" spans="1:151" s="139" customFormat="1" ht="15" hidden="1" customHeight="1">
      <c r="A103" s="256" t="s">
        <v>214</v>
      </c>
      <c r="B103" s="257" t="s">
        <v>215</v>
      </c>
      <c r="C103" s="257" t="s">
        <v>216</v>
      </c>
      <c r="D103" s="257" t="s">
        <v>217</v>
      </c>
      <c r="E103" s="257" t="s">
        <v>218</v>
      </c>
      <c r="F103" s="257" t="s">
        <v>219</v>
      </c>
      <c r="G103" s="257" t="s">
        <v>220</v>
      </c>
      <c r="H103" s="257"/>
      <c r="I103" s="257">
        <v>2012</v>
      </c>
      <c r="J103" s="257"/>
      <c r="K103" s="257" t="s">
        <v>221</v>
      </c>
      <c r="L103" s="257"/>
      <c r="M103" s="257" t="s">
        <v>3069</v>
      </c>
      <c r="N103" s="257" t="s">
        <v>222</v>
      </c>
      <c r="O103" s="275" t="s">
        <v>223</v>
      </c>
      <c r="P103" s="257"/>
      <c r="Q103" s="257" t="s">
        <v>224</v>
      </c>
      <c r="R103" s="258" t="s">
        <v>225</v>
      </c>
      <c r="S103" s="256" t="s">
        <v>92</v>
      </c>
      <c r="T103" s="257" t="s">
        <v>245</v>
      </c>
      <c r="U103" s="276" t="s">
        <v>246</v>
      </c>
      <c r="V103" s="257">
        <v>0</v>
      </c>
      <c r="W103" s="257">
        <v>0</v>
      </c>
      <c r="X103" s="257">
        <v>0</v>
      </c>
      <c r="Y103" s="257">
        <v>0</v>
      </c>
      <c r="Z103" s="257">
        <v>1</v>
      </c>
      <c r="AA103" s="257">
        <v>0</v>
      </c>
      <c r="AB103" s="257">
        <v>0</v>
      </c>
      <c r="AC103" s="257">
        <v>0</v>
      </c>
      <c r="AD103" s="257">
        <v>0</v>
      </c>
      <c r="AE103" s="257">
        <v>0</v>
      </c>
      <c r="AF103" s="257">
        <v>0</v>
      </c>
      <c r="AG103" s="257">
        <v>0</v>
      </c>
      <c r="AH103" s="257">
        <v>0</v>
      </c>
      <c r="AI103" s="257">
        <v>0</v>
      </c>
      <c r="AJ103" s="257">
        <v>0</v>
      </c>
      <c r="AK103" s="257">
        <v>0</v>
      </c>
      <c r="AL103" s="257">
        <v>0</v>
      </c>
      <c r="AM103" s="257">
        <v>0</v>
      </c>
      <c r="AN103" s="257">
        <v>0</v>
      </c>
      <c r="AO103" s="257">
        <v>0</v>
      </c>
      <c r="AP103" s="257">
        <v>0</v>
      </c>
      <c r="AQ103" s="257">
        <v>0</v>
      </c>
      <c r="AR103" s="257">
        <v>0</v>
      </c>
      <c r="AS103" s="257">
        <v>0</v>
      </c>
      <c r="AT103" s="257">
        <v>0</v>
      </c>
      <c r="AU103" s="257">
        <v>0</v>
      </c>
      <c r="AV103" s="257">
        <v>0</v>
      </c>
      <c r="AW103" s="257">
        <v>0</v>
      </c>
      <c r="AX103" s="277">
        <v>1</v>
      </c>
      <c r="AY103" s="277">
        <v>1</v>
      </c>
      <c r="AZ103" s="257">
        <v>1</v>
      </c>
      <c r="BA103" s="257">
        <v>0</v>
      </c>
      <c r="BB103" s="257">
        <v>0</v>
      </c>
      <c r="BC103" s="257">
        <v>0</v>
      </c>
      <c r="BD103" s="257">
        <v>0</v>
      </c>
      <c r="BE103" s="257" t="s">
        <v>92</v>
      </c>
      <c r="BF103" s="2" t="str" cm="1">
        <f t="array" ref="BF103">IF(COUNTIF(AZ103:BB103,"&lt;&gt;0")=1,INDEX($V$4:$AW$4,MATCH(TRUE,INDEX($V103:$AW103&lt;&gt;0,),0)),IF(COUNTIF(AZ103:BB103,"&lt;&gt;0")=0,INDEX($AM$4:$AW$4,MATCH(1,$AM103:$AW103,0)),"Multiple strategies"))</f>
        <v>Silviculture for productivity</v>
      </c>
      <c r="BG103" s="278" t="s">
        <v>229</v>
      </c>
      <c r="BH103" s="257" t="s">
        <v>230</v>
      </c>
      <c r="BI103" s="279" t="s">
        <v>3070</v>
      </c>
      <c r="BJ103" s="276" t="s">
        <v>231</v>
      </c>
      <c r="BK103" s="257">
        <v>41.741420319401897</v>
      </c>
      <c r="BL103" s="257">
        <v>55.163392312385596</v>
      </c>
      <c r="BM103" s="276">
        <v>1.321550438156629</v>
      </c>
      <c r="BN103" s="257">
        <v>13.4219719929837</v>
      </c>
      <c r="BO103" s="276">
        <v>27.391779577517756</v>
      </c>
      <c r="BP103" s="276" t="s">
        <v>232</v>
      </c>
      <c r="BQ103" s="279" t="s">
        <v>3070</v>
      </c>
      <c r="BR103" s="276" t="s">
        <v>233</v>
      </c>
      <c r="BS103" s="257">
        <v>-10.1626318158436</v>
      </c>
      <c r="BT103" s="257">
        <v>-9.0346308724832198</v>
      </c>
      <c r="BU103" s="259">
        <v>0.88900503690374566</v>
      </c>
      <c r="BV103" s="257">
        <v>1.1280009433603801</v>
      </c>
      <c r="BW103" s="257"/>
      <c r="BX103" s="257">
        <v>1.1280009433603801E-3</v>
      </c>
      <c r="BY103" s="257">
        <v>4.1180272357558146E-5</v>
      </c>
      <c r="BZ103" s="257">
        <v>0</v>
      </c>
      <c r="CA103" s="257">
        <v>0</v>
      </c>
      <c r="CB103" s="257">
        <v>0</v>
      </c>
      <c r="CC103" s="257">
        <v>0</v>
      </c>
      <c r="CD103" s="257">
        <v>0</v>
      </c>
      <c r="CE103" s="257">
        <v>0</v>
      </c>
      <c r="CF103" s="257">
        <v>0</v>
      </c>
      <c r="CG103" s="257">
        <v>0</v>
      </c>
      <c r="CH103" s="257">
        <v>0</v>
      </c>
      <c r="CI103" s="257">
        <v>0</v>
      </c>
      <c r="CJ103" s="257">
        <v>0</v>
      </c>
      <c r="CK103" s="257">
        <v>0</v>
      </c>
      <c r="CL103" s="257">
        <v>0</v>
      </c>
      <c r="CM103" s="257">
        <v>0</v>
      </c>
      <c r="CN103" s="257" t="s">
        <v>3071</v>
      </c>
      <c r="CO103" s="257">
        <v>41.741420319401897</v>
      </c>
      <c r="CP103" s="257">
        <v>55.163392312385596</v>
      </c>
      <c r="CQ103" s="257">
        <v>27.391779577517756</v>
      </c>
      <c r="CR103" s="257">
        <v>-10.1626318158436</v>
      </c>
      <c r="CS103" s="257">
        <v>-9.0346308724832198</v>
      </c>
      <c r="CT103" s="257">
        <v>1.1280009433603801E-3</v>
      </c>
      <c r="CU103" s="257">
        <v>4.1180272357558146E-5</v>
      </c>
      <c r="CV103" s="258">
        <v>0.1109949630962543</v>
      </c>
      <c r="CW103" s="256" t="s">
        <v>234</v>
      </c>
      <c r="CX103" s="257" t="s">
        <v>3072</v>
      </c>
      <c r="CY103" s="257" t="s">
        <v>235</v>
      </c>
      <c r="CZ103" s="257"/>
      <c r="DA103" s="276"/>
      <c r="DB103" s="276">
        <v>80</v>
      </c>
      <c r="DC103" s="257" t="s">
        <v>3073</v>
      </c>
      <c r="DD103" s="257">
        <v>0</v>
      </c>
      <c r="DE103" s="257">
        <v>1</v>
      </c>
      <c r="DF103" s="257">
        <v>0</v>
      </c>
      <c r="DG103" s="257">
        <v>0</v>
      </c>
      <c r="DH103" s="257"/>
      <c r="DI103" s="257">
        <v>1</v>
      </c>
      <c r="DJ103" s="257" t="s">
        <v>173</v>
      </c>
      <c r="DK103" s="257">
        <v>0</v>
      </c>
      <c r="DL103" s="257" t="s">
        <v>180</v>
      </c>
      <c r="DM103" s="257">
        <v>0</v>
      </c>
      <c r="DN103" s="257">
        <v>0</v>
      </c>
      <c r="DO103" s="257">
        <v>0</v>
      </c>
      <c r="DP103" s="276">
        <v>0</v>
      </c>
      <c r="DQ103" s="276">
        <v>0</v>
      </c>
      <c r="DR103" s="276">
        <v>0</v>
      </c>
      <c r="DS103" s="276">
        <v>0</v>
      </c>
      <c r="DT103" s="257">
        <v>0</v>
      </c>
      <c r="DU103" s="276" t="s">
        <v>961</v>
      </c>
      <c r="DV103" s="276">
        <v>1</v>
      </c>
      <c r="DW103" s="276">
        <v>1</v>
      </c>
      <c r="DX103" s="276">
        <v>1</v>
      </c>
      <c r="DY103" s="276">
        <v>0</v>
      </c>
      <c r="DZ103" s="257">
        <v>0</v>
      </c>
      <c r="EA103" s="276">
        <v>0</v>
      </c>
      <c r="EB103" s="276">
        <v>1</v>
      </c>
      <c r="EC103" s="276">
        <v>1</v>
      </c>
      <c r="ED103" s="276">
        <v>0</v>
      </c>
      <c r="EE103" s="276">
        <v>0</v>
      </c>
      <c r="EF103" s="257">
        <v>1</v>
      </c>
      <c r="EG103" s="276">
        <v>0</v>
      </c>
      <c r="EH103" s="257">
        <v>0</v>
      </c>
      <c r="EI103" s="258">
        <v>0</v>
      </c>
      <c r="EJ103" s="256"/>
      <c r="EK103" t="str">
        <f t="shared" si="38"/>
        <v>Whole sector</v>
      </c>
      <c r="EL103" t="str">
        <f t="shared" si="39"/>
        <v/>
      </c>
      <c r="EM103" s="258" t="s">
        <v>544</v>
      </c>
      <c r="EN103" s="257" t="s">
        <v>236</v>
      </c>
      <c r="EO103" s="257"/>
      <c r="EP103" t="str">
        <f>IF(ISNUMBER(BU103),IF(ABS(BU103-[2]QC_indicators!$B$2)&gt;3*[2]QC_indicators!$C$2,"C ratio",IF(ISNUMBER(BY103),IF(ABS(BY103-[2]QC_indicators!$B$1)&gt;3*[2]QC_indicators!$C$1,"DF","no"))),IF(ISNUMBER(BY103),IF(ABS(BY103-[2]QC_indicators!$B$1)&gt;3*[2]QC_indicators!$C$1,"DF","no")))</f>
        <v>no</v>
      </c>
      <c r="EQ103" s="257"/>
      <c r="ER103" s="257"/>
      <c r="ES103"/>
      <c r="ET103"/>
      <c r="EU103"/>
    </row>
    <row r="104" spans="1:151" s="139" customFormat="1" ht="15" hidden="1" customHeight="1">
      <c r="A104" s="256" t="s">
        <v>214</v>
      </c>
      <c r="B104" s="257" t="s">
        <v>215</v>
      </c>
      <c r="C104" s="257" t="s">
        <v>216</v>
      </c>
      <c r="D104" s="257" t="s">
        <v>217</v>
      </c>
      <c r="E104" s="257" t="s">
        <v>218</v>
      </c>
      <c r="F104" s="257" t="s">
        <v>219</v>
      </c>
      <c r="G104" s="257" t="s">
        <v>220</v>
      </c>
      <c r="H104" s="257"/>
      <c r="I104" s="257">
        <v>2012</v>
      </c>
      <c r="J104" s="257"/>
      <c r="K104" s="257" t="s">
        <v>221</v>
      </c>
      <c r="L104" s="257"/>
      <c r="M104" s="257" t="s">
        <v>3069</v>
      </c>
      <c r="N104" s="257" t="s">
        <v>222</v>
      </c>
      <c r="O104" s="275" t="s">
        <v>223</v>
      </c>
      <c r="P104" s="257"/>
      <c r="Q104" s="257" t="s">
        <v>224</v>
      </c>
      <c r="R104" s="258" t="s">
        <v>225</v>
      </c>
      <c r="S104" s="256" t="s">
        <v>226</v>
      </c>
      <c r="T104" s="257" t="s">
        <v>228</v>
      </c>
      <c r="U104" s="257" t="s">
        <v>237</v>
      </c>
      <c r="V104" s="257">
        <v>0</v>
      </c>
      <c r="W104" s="257">
        <v>0</v>
      </c>
      <c r="X104" s="257">
        <v>0</v>
      </c>
      <c r="Y104" s="257">
        <v>1</v>
      </c>
      <c r="Z104" s="257">
        <v>0</v>
      </c>
      <c r="AA104" s="257">
        <v>0</v>
      </c>
      <c r="AB104" s="257">
        <v>0</v>
      </c>
      <c r="AC104" s="257">
        <v>0</v>
      </c>
      <c r="AD104" s="257">
        <v>0</v>
      </c>
      <c r="AE104" s="257">
        <v>0</v>
      </c>
      <c r="AF104" s="257">
        <v>0</v>
      </c>
      <c r="AG104" s="257">
        <v>0</v>
      </c>
      <c r="AH104" s="257">
        <v>0</v>
      </c>
      <c r="AI104" s="257">
        <v>0</v>
      </c>
      <c r="AJ104" s="257">
        <v>0</v>
      </c>
      <c r="AK104" s="257">
        <v>0</v>
      </c>
      <c r="AL104" s="257">
        <v>0</v>
      </c>
      <c r="AM104" s="257">
        <v>0</v>
      </c>
      <c r="AN104" s="257">
        <v>0</v>
      </c>
      <c r="AO104" s="257">
        <v>0</v>
      </c>
      <c r="AP104" s="257">
        <v>0</v>
      </c>
      <c r="AQ104" s="257">
        <v>0</v>
      </c>
      <c r="AR104" s="257">
        <v>0</v>
      </c>
      <c r="AS104" s="257">
        <v>0</v>
      </c>
      <c r="AT104" s="257">
        <v>0</v>
      </c>
      <c r="AU104" s="257">
        <v>0</v>
      </c>
      <c r="AV104" s="257">
        <v>0</v>
      </c>
      <c r="AW104" s="257">
        <v>0</v>
      </c>
      <c r="AX104" s="277">
        <v>1</v>
      </c>
      <c r="AY104" s="277">
        <v>1</v>
      </c>
      <c r="AZ104" s="257">
        <v>1</v>
      </c>
      <c r="BA104" s="257">
        <v>0</v>
      </c>
      <c r="BB104" s="257">
        <v>0</v>
      </c>
      <c r="BC104" s="257">
        <v>0</v>
      </c>
      <c r="BD104" s="257">
        <v>0</v>
      </c>
      <c r="BE104" s="257" t="s">
        <v>91</v>
      </c>
      <c r="BF104" s="2" t="str" cm="1">
        <f t="array" ref="BF104">IF(COUNTIF(AZ104:BB104,"&lt;&gt;0")=1,INDEX($V$4:$AW$4,MATCH(TRUE,INDEX($V104:$AW104&lt;&gt;0,),0)),IF(COUNTIF(AZ104:BB104,"&lt;&gt;0")=0,INDEX($AM$4:$AW$4,MATCH(1,$AM104:$AW104,0)),"Multiple strategies"))</f>
        <v>Silviculture for removals</v>
      </c>
      <c r="BG104" s="278" t="s">
        <v>229</v>
      </c>
      <c r="BH104" s="257" t="s">
        <v>230</v>
      </c>
      <c r="BI104" s="279" t="s">
        <v>3070</v>
      </c>
      <c r="BJ104" s="276" t="s">
        <v>231</v>
      </c>
      <c r="BK104" s="257">
        <v>58.199966019999998</v>
      </c>
      <c r="BL104" s="257">
        <v>62.093385429999998</v>
      </c>
      <c r="BM104" s="276">
        <v>1.0668972797795457</v>
      </c>
      <c r="BN104" s="257">
        <v>3.8934194099999999</v>
      </c>
      <c r="BO104" s="276">
        <v>7.9457538979591833</v>
      </c>
      <c r="BP104" s="276" t="s">
        <v>232</v>
      </c>
      <c r="BQ104" s="279" t="s">
        <v>3070</v>
      </c>
      <c r="BR104" s="276" t="s">
        <v>233</v>
      </c>
      <c r="BS104" s="257">
        <v>-9.137844007</v>
      </c>
      <c r="BT104" s="257">
        <v>-8.7761541919999999</v>
      </c>
      <c r="BU104" s="259">
        <v>0.96041847346891351</v>
      </c>
      <c r="BV104" s="257">
        <v>0.36168981500000008</v>
      </c>
      <c r="BW104" s="257"/>
      <c r="BX104" s="257">
        <v>3.616898150000001E-4</v>
      </c>
      <c r="BY104" s="257">
        <v>4.5519886425490453E-5</v>
      </c>
      <c r="BZ104" s="257">
        <v>0</v>
      </c>
      <c r="CA104" s="257">
        <v>0</v>
      </c>
      <c r="CB104" s="257">
        <v>0</v>
      </c>
      <c r="CC104" s="257">
        <v>0</v>
      </c>
      <c r="CD104" s="257">
        <v>0</v>
      </c>
      <c r="CE104" s="257">
        <v>0</v>
      </c>
      <c r="CF104" s="257">
        <v>0</v>
      </c>
      <c r="CG104" s="257">
        <v>0</v>
      </c>
      <c r="CH104" s="257">
        <v>0</v>
      </c>
      <c r="CI104" s="257">
        <v>0</v>
      </c>
      <c r="CJ104" s="257">
        <v>0</v>
      </c>
      <c r="CK104" s="257">
        <v>0</v>
      </c>
      <c r="CL104" s="257">
        <v>0</v>
      </c>
      <c r="CM104" s="257">
        <v>0</v>
      </c>
      <c r="CN104" s="257" t="s">
        <v>3071</v>
      </c>
      <c r="CO104" s="257">
        <v>58.199966019999998</v>
      </c>
      <c r="CP104" s="257">
        <v>62.093385429999998</v>
      </c>
      <c r="CQ104" s="257">
        <v>7.9457538979591833</v>
      </c>
      <c r="CR104" s="257">
        <v>-9.137844007</v>
      </c>
      <c r="CS104" s="257">
        <v>-8.7761541919999999</v>
      </c>
      <c r="CT104" s="257">
        <v>3.616898150000001E-4</v>
      </c>
      <c r="CU104" s="257">
        <v>4.5519886425490453E-5</v>
      </c>
      <c r="CV104" s="258">
        <v>3.9581526531086479E-2</v>
      </c>
      <c r="CW104" s="256" t="s">
        <v>234</v>
      </c>
      <c r="CX104" s="257" t="s">
        <v>3072</v>
      </c>
      <c r="CY104" s="257" t="s">
        <v>235</v>
      </c>
      <c r="CZ104" s="257"/>
      <c r="DA104" s="276"/>
      <c r="DB104" s="276">
        <v>80</v>
      </c>
      <c r="DC104" s="257" t="s">
        <v>3073</v>
      </c>
      <c r="DD104" s="257">
        <v>0</v>
      </c>
      <c r="DE104" s="257">
        <v>1</v>
      </c>
      <c r="DF104" s="257">
        <v>0</v>
      </c>
      <c r="DG104" s="257">
        <v>0</v>
      </c>
      <c r="DH104" s="257"/>
      <c r="DI104" s="257">
        <v>1</v>
      </c>
      <c r="DJ104" s="257" t="s">
        <v>173</v>
      </c>
      <c r="DK104" s="257">
        <v>0</v>
      </c>
      <c r="DL104" s="257" t="s">
        <v>180</v>
      </c>
      <c r="DM104" s="257">
        <v>0</v>
      </c>
      <c r="DN104" s="257">
        <v>0</v>
      </c>
      <c r="DO104" s="257">
        <v>0</v>
      </c>
      <c r="DP104" s="276">
        <v>0</v>
      </c>
      <c r="DQ104" s="276">
        <v>0</v>
      </c>
      <c r="DR104" s="276">
        <v>0</v>
      </c>
      <c r="DS104" s="276">
        <v>0</v>
      </c>
      <c r="DT104" s="257">
        <v>0</v>
      </c>
      <c r="DU104" s="276" t="s">
        <v>961</v>
      </c>
      <c r="DV104" s="276">
        <v>1</v>
      </c>
      <c r="DW104" s="276">
        <v>1</v>
      </c>
      <c r="DX104" s="276">
        <v>1</v>
      </c>
      <c r="DY104" s="276">
        <v>0</v>
      </c>
      <c r="DZ104" s="257">
        <v>0</v>
      </c>
      <c r="EA104" s="276">
        <v>0</v>
      </c>
      <c r="EB104" s="276">
        <v>1</v>
      </c>
      <c r="EC104" s="276">
        <v>1</v>
      </c>
      <c r="ED104" s="276">
        <v>0</v>
      </c>
      <c r="EE104" s="276">
        <v>0</v>
      </c>
      <c r="EF104" s="257">
        <v>1</v>
      </c>
      <c r="EG104" s="276">
        <v>0</v>
      </c>
      <c r="EH104" s="257">
        <v>0</v>
      </c>
      <c r="EI104" s="258">
        <v>0</v>
      </c>
      <c r="EJ104" s="256"/>
      <c r="EK104" t="str">
        <f t="shared" si="38"/>
        <v>Whole sector</v>
      </c>
      <c r="EL104" t="str">
        <f t="shared" si="39"/>
        <v/>
      </c>
      <c r="EM104" s="258" t="s">
        <v>544</v>
      </c>
      <c r="EN104" s="257" t="s">
        <v>236</v>
      </c>
      <c r="EO104" s="257"/>
      <c r="EP104" t="str">
        <f>IF(ISNUMBER(BU104),IF(ABS(BU104-[2]QC_indicators!$B$2)&gt;3*[2]QC_indicators!$C$2,"C ratio",IF(ISNUMBER(BY104),IF(ABS(BY104-[2]QC_indicators!$B$1)&gt;3*[2]QC_indicators!$C$1,"DF","no"))),IF(ISNUMBER(BY104),IF(ABS(BY104-[2]QC_indicators!$B$1)&gt;3*[2]QC_indicators!$C$1,"DF","no")))</f>
        <v>no</v>
      </c>
      <c r="EQ104" s="280"/>
      <c r="ER104" s="280"/>
      <c r="ES104" s="280"/>
      <c r="ET104"/>
      <c r="EU104"/>
    </row>
    <row r="105" spans="1:151" s="139" customFormat="1" ht="15" hidden="1" customHeight="1">
      <c r="A105" s="256" t="s">
        <v>214</v>
      </c>
      <c r="B105" s="257" t="s">
        <v>215</v>
      </c>
      <c r="C105" s="257" t="s">
        <v>216</v>
      </c>
      <c r="D105" s="257" t="s">
        <v>217</v>
      </c>
      <c r="E105" s="257" t="s">
        <v>218</v>
      </c>
      <c r="F105" s="257" t="s">
        <v>219</v>
      </c>
      <c r="G105" s="257" t="s">
        <v>220</v>
      </c>
      <c r="H105" s="257"/>
      <c r="I105" s="257">
        <v>2012</v>
      </c>
      <c r="J105" s="257"/>
      <c r="K105" s="257" t="s">
        <v>221</v>
      </c>
      <c r="L105" s="257"/>
      <c r="M105" s="257" t="s">
        <v>3069</v>
      </c>
      <c r="N105" s="257" t="s">
        <v>222</v>
      </c>
      <c r="O105" s="275" t="s">
        <v>223</v>
      </c>
      <c r="P105" s="257"/>
      <c r="Q105" s="257" t="s">
        <v>224</v>
      </c>
      <c r="R105" s="258" t="s">
        <v>225</v>
      </c>
      <c r="S105" s="256" t="s">
        <v>226</v>
      </c>
      <c r="T105" s="257" t="s">
        <v>228</v>
      </c>
      <c r="U105" s="257" t="s">
        <v>227</v>
      </c>
      <c r="V105" s="257">
        <v>0</v>
      </c>
      <c r="W105" s="257">
        <v>0</v>
      </c>
      <c r="X105" s="257">
        <v>0</v>
      </c>
      <c r="Y105" s="257">
        <v>1</v>
      </c>
      <c r="Z105" s="257">
        <v>0</v>
      </c>
      <c r="AA105" s="257">
        <v>0</v>
      </c>
      <c r="AB105" s="257">
        <v>0</v>
      </c>
      <c r="AC105" s="257">
        <v>0</v>
      </c>
      <c r="AD105" s="257">
        <v>0</v>
      </c>
      <c r="AE105" s="257">
        <v>0</v>
      </c>
      <c r="AF105" s="257">
        <v>0</v>
      </c>
      <c r="AG105" s="257">
        <v>0</v>
      </c>
      <c r="AH105" s="257">
        <v>0</v>
      </c>
      <c r="AI105" s="257">
        <v>0</v>
      </c>
      <c r="AJ105" s="257">
        <v>0</v>
      </c>
      <c r="AK105" s="257">
        <v>0</v>
      </c>
      <c r="AL105" s="257">
        <v>0</v>
      </c>
      <c r="AM105" s="257">
        <v>0</v>
      </c>
      <c r="AN105" s="257">
        <v>0</v>
      </c>
      <c r="AO105" s="257">
        <v>0</v>
      </c>
      <c r="AP105" s="257">
        <v>0</v>
      </c>
      <c r="AQ105" s="257">
        <v>0</v>
      </c>
      <c r="AR105" s="257">
        <v>0</v>
      </c>
      <c r="AS105" s="257">
        <v>0</v>
      </c>
      <c r="AT105" s="257">
        <v>0</v>
      </c>
      <c r="AU105" s="257">
        <v>0</v>
      </c>
      <c r="AV105" s="257">
        <v>0</v>
      </c>
      <c r="AW105" s="257">
        <v>0</v>
      </c>
      <c r="AX105" s="277">
        <v>1</v>
      </c>
      <c r="AY105" s="277">
        <v>1</v>
      </c>
      <c r="AZ105" s="257">
        <v>1</v>
      </c>
      <c r="BA105" s="257">
        <v>0</v>
      </c>
      <c r="BB105" s="257">
        <v>0</v>
      </c>
      <c r="BC105" s="257">
        <v>0</v>
      </c>
      <c r="BD105" s="257">
        <v>0</v>
      </c>
      <c r="BE105" s="257" t="s">
        <v>91</v>
      </c>
      <c r="BF105" s="2" t="str" cm="1">
        <f t="array" ref="BF105">IF(COUNTIF(AZ105:BB105,"&lt;&gt;0")=1,INDEX($V$4:$AW$4,MATCH(TRUE,INDEX($V105:$AW105&lt;&gt;0,),0)),IF(COUNTIF(AZ105:BB105,"&lt;&gt;0")=0,INDEX($AM$4:$AW$4,MATCH(1,$AM105:$AW105,0)),"Multiple strategies"))</f>
        <v>Silviculture for removals</v>
      </c>
      <c r="BG105" s="278" t="s">
        <v>229</v>
      </c>
      <c r="BH105" s="257" t="s">
        <v>230</v>
      </c>
      <c r="BI105" s="279" t="s">
        <v>3070</v>
      </c>
      <c r="BJ105" s="276" t="s">
        <v>231</v>
      </c>
      <c r="BK105" s="257">
        <v>56.739926740000001</v>
      </c>
      <c r="BL105" s="257">
        <v>60.054679620000002</v>
      </c>
      <c r="BM105" s="276">
        <v>1.0584201120877232</v>
      </c>
      <c r="BN105" s="257">
        <v>3.3147528800000003</v>
      </c>
      <c r="BO105" s="276">
        <v>6.7648017959183679</v>
      </c>
      <c r="BP105" s="276" t="s">
        <v>232</v>
      </c>
      <c r="BQ105" s="279" t="s">
        <v>3070</v>
      </c>
      <c r="BR105" s="276" t="s">
        <v>233</v>
      </c>
      <c r="BS105" s="257">
        <v>-9.5324096189999992</v>
      </c>
      <c r="BT105" s="257">
        <v>-9.0244200239999994</v>
      </c>
      <c r="BU105" s="259">
        <v>0.94670921463682434</v>
      </c>
      <c r="BV105" s="257">
        <v>0.50798959499999974</v>
      </c>
      <c r="BW105" s="257"/>
      <c r="BX105" s="257">
        <v>5.0798959499999971E-4</v>
      </c>
      <c r="BY105" s="257">
        <v>7.5093049334645982E-5</v>
      </c>
      <c r="BZ105" s="257">
        <v>0</v>
      </c>
      <c r="CA105" s="257">
        <v>0</v>
      </c>
      <c r="CB105" s="257">
        <v>0</v>
      </c>
      <c r="CC105" s="257">
        <v>0</v>
      </c>
      <c r="CD105" s="257">
        <v>0</v>
      </c>
      <c r="CE105" s="257">
        <v>0</v>
      </c>
      <c r="CF105" s="257">
        <v>0</v>
      </c>
      <c r="CG105" s="257">
        <v>0</v>
      </c>
      <c r="CH105" s="257">
        <v>0</v>
      </c>
      <c r="CI105" s="257">
        <v>0</v>
      </c>
      <c r="CJ105" s="257">
        <v>0</v>
      </c>
      <c r="CK105" s="257">
        <v>0</v>
      </c>
      <c r="CL105" s="257">
        <v>0</v>
      </c>
      <c r="CM105" s="257">
        <v>0</v>
      </c>
      <c r="CN105" s="257" t="s">
        <v>3071</v>
      </c>
      <c r="CO105" s="257">
        <v>56.739926740000001</v>
      </c>
      <c r="CP105" s="257">
        <v>60.054679620000002</v>
      </c>
      <c r="CQ105" s="257">
        <v>6.7648017959183679</v>
      </c>
      <c r="CR105" s="257">
        <v>-9.5324096189999992</v>
      </c>
      <c r="CS105" s="257">
        <v>-9.0244200239999994</v>
      </c>
      <c r="CT105" s="257">
        <v>5.0798959499999971E-4</v>
      </c>
      <c r="CU105" s="257">
        <v>7.5093049334645982E-5</v>
      </c>
      <c r="CV105" s="258">
        <v>5.3290785363175629E-2</v>
      </c>
      <c r="CW105" s="256" t="s">
        <v>234</v>
      </c>
      <c r="CX105" s="257" t="s">
        <v>3072</v>
      </c>
      <c r="CY105" s="257" t="s">
        <v>235</v>
      </c>
      <c r="CZ105" s="257"/>
      <c r="DA105" s="276"/>
      <c r="DB105" s="276">
        <v>80</v>
      </c>
      <c r="DC105" s="257" t="s">
        <v>3073</v>
      </c>
      <c r="DD105" s="257">
        <v>0</v>
      </c>
      <c r="DE105" s="257">
        <v>1</v>
      </c>
      <c r="DF105" s="257">
        <v>0</v>
      </c>
      <c r="DG105" s="257">
        <v>0</v>
      </c>
      <c r="DH105" s="257"/>
      <c r="DI105" s="257">
        <v>1</v>
      </c>
      <c r="DJ105" s="257" t="s">
        <v>173</v>
      </c>
      <c r="DK105" s="257">
        <v>0</v>
      </c>
      <c r="DL105" s="257" t="s">
        <v>180</v>
      </c>
      <c r="DM105" s="257">
        <v>0</v>
      </c>
      <c r="DN105" s="257">
        <v>0</v>
      </c>
      <c r="DO105" s="257">
        <v>0</v>
      </c>
      <c r="DP105" s="276">
        <v>0</v>
      </c>
      <c r="DQ105" s="276">
        <v>0</v>
      </c>
      <c r="DR105" s="276">
        <v>0</v>
      </c>
      <c r="DS105" s="276">
        <v>0</v>
      </c>
      <c r="DT105" s="257">
        <v>0</v>
      </c>
      <c r="DU105" s="276" t="s">
        <v>961</v>
      </c>
      <c r="DV105" s="276">
        <v>1</v>
      </c>
      <c r="DW105" s="276">
        <v>1</v>
      </c>
      <c r="DX105" s="276">
        <v>1</v>
      </c>
      <c r="DY105" s="276">
        <v>0</v>
      </c>
      <c r="DZ105" s="257">
        <v>0</v>
      </c>
      <c r="EA105" s="276">
        <v>0</v>
      </c>
      <c r="EB105" s="276">
        <v>1</v>
      </c>
      <c r="EC105" s="276">
        <v>1</v>
      </c>
      <c r="ED105" s="276">
        <v>0</v>
      </c>
      <c r="EE105" s="276">
        <v>0</v>
      </c>
      <c r="EF105" s="257">
        <v>1</v>
      </c>
      <c r="EG105" s="276">
        <v>0</v>
      </c>
      <c r="EH105" s="257">
        <v>0</v>
      </c>
      <c r="EI105" s="258">
        <v>0</v>
      </c>
      <c r="EJ105" s="256"/>
      <c r="EK105" t="str">
        <f t="shared" si="38"/>
        <v>Whole sector</v>
      </c>
      <c r="EL105" t="str">
        <f t="shared" si="39"/>
        <v/>
      </c>
      <c r="EM105" s="258" t="s">
        <v>544</v>
      </c>
      <c r="EN105" s="257" t="s">
        <v>236</v>
      </c>
      <c r="EO105" s="257"/>
      <c r="EP105" t="str">
        <f>IF(ISNUMBER(BU105),IF(ABS(BU105-[2]QC_indicators!$B$2)&gt;3*[2]QC_indicators!$C$2,"C ratio",IF(ISNUMBER(BY105),IF(ABS(BY105-[2]QC_indicators!$B$1)&gt;3*[2]QC_indicators!$C$1,"DF","no"))),IF(ISNUMBER(BY105),IF(ABS(BY105-[2]QC_indicators!$B$1)&gt;3*[2]QC_indicators!$C$1,"DF","no")))</f>
        <v>no</v>
      </c>
      <c r="EQ105" s="280"/>
      <c r="ER105" s="280"/>
      <c r="ES105" s="280"/>
      <c r="ET105"/>
      <c r="EU105"/>
    </row>
    <row r="106" spans="1:151" s="139" customFormat="1" ht="15" hidden="1" customHeight="1">
      <c r="A106" s="256" t="s">
        <v>214</v>
      </c>
      <c r="B106" s="257" t="s">
        <v>215</v>
      </c>
      <c r="C106" s="257" t="s">
        <v>216</v>
      </c>
      <c r="D106" s="257" t="s">
        <v>217</v>
      </c>
      <c r="E106" s="257" t="s">
        <v>218</v>
      </c>
      <c r="F106" s="257" t="s">
        <v>219</v>
      </c>
      <c r="G106" s="257" t="s">
        <v>220</v>
      </c>
      <c r="H106" s="257"/>
      <c r="I106" s="257">
        <v>2012</v>
      </c>
      <c r="J106" s="257"/>
      <c r="K106" s="257" t="s">
        <v>221</v>
      </c>
      <c r="L106" s="257"/>
      <c r="M106" s="257" t="s">
        <v>3069</v>
      </c>
      <c r="N106" s="257" t="s">
        <v>222</v>
      </c>
      <c r="O106" s="275" t="s">
        <v>223</v>
      </c>
      <c r="P106" s="257"/>
      <c r="Q106" s="257" t="s">
        <v>224</v>
      </c>
      <c r="R106" s="258" t="s">
        <v>225</v>
      </c>
      <c r="S106" s="256" t="s">
        <v>226</v>
      </c>
      <c r="T106" s="257" t="s">
        <v>228</v>
      </c>
      <c r="U106" s="257" t="s">
        <v>227</v>
      </c>
      <c r="V106" s="257">
        <v>0</v>
      </c>
      <c r="W106" s="257">
        <v>0</v>
      </c>
      <c r="X106" s="257">
        <v>0</v>
      </c>
      <c r="Y106" s="257">
        <v>1</v>
      </c>
      <c r="Z106" s="257">
        <v>0</v>
      </c>
      <c r="AA106" s="257">
        <v>0</v>
      </c>
      <c r="AB106" s="257">
        <v>0</v>
      </c>
      <c r="AC106" s="257">
        <v>0</v>
      </c>
      <c r="AD106" s="257">
        <v>0</v>
      </c>
      <c r="AE106" s="257">
        <v>0</v>
      </c>
      <c r="AF106" s="257">
        <v>0</v>
      </c>
      <c r="AG106" s="257">
        <v>0</v>
      </c>
      <c r="AH106" s="257">
        <v>0</v>
      </c>
      <c r="AI106" s="257">
        <v>0</v>
      </c>
      <c r="AJ106" s="257">
        <v>0</v>
      </c>
      <c r="AK106" s="257">
        <v>0</v>
      </c>
      <c r="AL106" s="257">
        <v>0</v>
      </c>
      <c r="AM106" s="257">
        <v>0</v>
      </c>
      <c r="AN106" s="257">
        <v>0</v>
      </c>
      <c r="AO106" s="257">
        <v>0</v>
      </c>
      <c r="AP106" s="257">
        <v>0</v>
      </c>
      <c r="AQ106" s="257">
        <v>0</v>
      </c>
      <c r="AR106" s="257">
        <v>0</v>
      </c>
      <c r="AS106" s="257">
        <v>0</v>
      </c>
      <c r="AT106" s="257">
        <v>0</v>
      </c>
      <c r="AU106" s="257">
        <v>0</v>
      </c>
      <c r="AV106" s="257">
        <v>0</v>
      </c>
      <c r="AW106" s="257">
        <v>0</v>
      </c>
      <c r="AX106" s="277">
        <v>1</v>
      </c>
      <c r="AY106" s="277">
        <v>1</v>
      </c>
      <c r="AZ106" s="257">
        <v>1</v>
      </c>
      <c r="BA106" s="257">
        <v>0</v>
      </c>
      <c r="BB106" s="257">
        <v>0</v>
      </c>
      <c r="BC106" s="257">
        <v>0</v>
      </c>
      <c r="BD106" s="257">
        <v>0</v>
      </c>
      <c r="BE106" s="257" t="s">
        <v>91</v>
      </c>
      <c r="BF106" s="2" t="str" cm="1">
        <f t="array" ref="BF106">IF(COUNTIF(AZ106:BB106,"&lt;&gt;0")=1,INDEX($V$4:$AW$4,MATCH(TRUE,INDEX($V106:$AW106&lt;&gt;0,),0)),IF(COUNTIF(AZ106:BB106,"&lt;&gt;0")=0,INDEX($AM$4:$AW$4,MATCH(1,$AM106:$AW106,0)),"Multiple strategies"))</f>
        <v>Silviculture for removals</v>
      </c>
      <c r="BG106" s="278" t="s">
        <v>229</v>
      </c>
      <c r="BH106" s="257" t="s">
        <v>230</v>
      </c>
      <c r="BI106" s="279" t="s">
        <v>3070</v>
      </c>
      <c r="BJ106" s="276" t="s">
        <v>231</v>
      </c>
      <c r="BK106" s="257">
        <v>66.639750489999997</v>
      </c>
      <c r="BL106" s="257">
        <v>68.821883279999994</v>
      </c>
      <c r="BM106" s="276">
        <v>1.032745212488865</v>
      </c>
      <c r="BN106" s="257">
        <v>2.1821327899999972</v>
      </c>
      <c r="BO106" s="276">
        <v>4.4533322244897899</v>
      </c>
      <c r="BP106" s="276" t="s">
        <v>232</v>
      </c>
      <c r="BQ106" s="279" t="s">
        <v>3070</v>
      </c>
      <c r="BR106" s="276" t="s">
        <v>233</v>
      </c>
      <c r="BS106" s="257">
        <v>-9.4136546180000007</v>
      </c>
      <c r="BT106" s="257">
        <v>-8.9016064260000007</v>
      </c>
      <c r="BU106" s="259">
        <v>0.94560580212695455</v>
      </c>
      <c r="BV106" s="257">
        <v>0.51204819199999996</v>
      </c>
      <c r="BW106" s="257"/>
      <c r="BX106" s="257">
        <v>5.1204819199999997E-4</v>
      </c>
      <c r="BY106" s="257">
        <v>1.1498091006643107E-4</v>
      </c>
      <c r="BZ106" s="257">
        <v>0</v>
      </c>
      <c r="CA106" s="257">
        <v>0</v>
      </c>
      <c r="CB106" s="257">
        <v>0</v>
      </c>
      <c r="CC106" s="257">
        <v>0</v>
      </c>
      <c r="CD106" s="257">
        <v>0</v>
      </c>
      <c r="CE106" s="257">
        <v>0</v>
      </c>
      <c r="CF106" s="257">
        <v>0</v>
      </c>
      <c r="CG106" s="257">
        <v>0</v>
      </c>
      <c r="CH106" s="257">
        <v>0</v>
      </c>
      <c r="CI106" s="257">
        <v>0</v>
      </c>
      <c r="CJ106" s="257">
        <v>0</v>
      </c>
      <c r="CK106" s="257">
        <v>0</v>
      </c>
      <c r="CL106" s="257">
        <v>0</v>
      </c>
      <c r="CM106" s="257">
        <v>0</v>
      </c>
      <c r="CN106" s="257" t="s">
        <v>3071</v>
      </c>
      <c r="CO106" s="257">
        <v>66.639750489999997</v>
      </c>
      <c r="CP106" s="257">
        <v>68.821883279999994</v>
      </c>
      <c r="CQ106" s="257">
        <v>4.4533322244897899</v>
      </c>
      <c r="CR106" s="257">
        <v>-9.4136546180000007</v>
      </c>
      <c r="CS106" s="257">
        <v>-8.9016064260000007</v>
      </c>
      <c r="CT106" s="257">
        <v>5.1204819199999997E-4</v>
      </c>
      <c r="CU106" s="257">
        <v>1.1498091006643107E-4</v>
      </c>
      <c r="CV106" s="258">
        <v>5.4394197873045433E-2</v>
      </c>
      <c r="CW106" s="256" t="s">
        <v>234</v>
      </c>
      <c r="CX106" s="257" t="s">
        <v>3072</v>
      </c>
      <c r="CY106" s="257" t="s">
        <v>235</v>
      </c>
      <c r="CZ106" s="257"/>
      <c r="DA106" s="276"/>
      <c r="DB106" s="276">
        <v>80</v>
      </c>
      <c r="DC106" s="257" t="s">
        <v>3073</v>
      </c>
      <c r="DD106" s="257">
        <v>0</v>
      </c>
      <c r="DE106" s="257">
        <v>1</v>
      </c>
      <c r="DF106" s="257">
        <v>0</v>
      </c>
      <c r="DG106" s="257">
        <v>0</v>
      </c>
      <c r="DH106" s="257"/>
      <c r="DI106" s="257">
        <v>1</v>
      </c>
      <c r="DJ106" s="257" t="s">
        <v>173</v>
      </c>
      <c r="DK106" s="257">
        <v>0</v>
      </c>
      <c r="DL106" s="257" t="s">
        <v>180</v>
      </c>
      <c r="DM106" s="257">
        <v>0</v>
      </c>
      <c r="DN106" s="257">
        <v>0</v>
      </c>
      <c r="DO106" s="257">
        <v>0</v>
      </c>
      <c r="DP106" s="276">
        <v>0</v>
      </c>
      <c r="DQ106" s="276">
        <v>0</v>
      </c>
      <c r="DR106" s="276">
        <v>0</v>
      </c>
      <c r="DS106" s="276">
        <v>0</v>
      </c>
      <c r="DT106" s="257">
        <v>0</v>
      </c>
      <c r="DU106" s="276" t="s">
        <v>961</v>
      </c>
      <c r="DV106" s="276">
        <v>1</v>
      </c>
      <c r="DW106" s="276">
        <v>1</v>
      </c>
      <c r="DX106" s="276">
        <v>1</v>
      </c>
      <c r="DY106" s="276">
        <v>0</v>
      </c>
      <c r="DZ106" s="257">
        <v>0</v>
      </c>
      <c r="EA106" s="276">
        <v>0</v>
      </c>
      <c r="EB106" s="276">
        <v>1</v>
      </c>
      <c r="EC106" s="276">
        <v>1</v>
      </c>
      <c r="ED106" s="276">
        <v>0</v>
      </c>
      <c r="EE106" s="276">
        <v>0</v>
      </c>
      <c r="EF106" s="257">
        <v>1</v>
      </c>
      <c r="EG106" s="276">
        <v>0</v>
      </c>
      <c r="EH106" s="257">
        <v>0</v>
      </c>
      <c r="EI106" s="258">
        <v>0</v>
      </c>
      <c r="EJ106" s="256"/>
      <c r="EK106" t="str">
        <f t="shared" si="38"/>
        <v>Whole sector</v>
      </c>
      <c r="EL106" t="str">
        <f t="shared" si="39"/>
        <v/>
      </c>
      <c r="EM106" s="258" t="s">
        <v>544</v>
      </c>
      <c r="EN106" s="257" t="s">
        <v>236</v>
      </c>
      <c r="EO106" s="257"/>
      <c r="EP106" t="str">
        <f>IF(ISNUMBER(BU106),IF(ABS(BU106-[2]QC_indicators!$B$2)&gt;3*[2]QC_indicators!$C$2,"C ratio",IF(ISNUMBER(BY106),IF(ABS(BY106-[2]QC_indicators!$B$1)&gt;3*[2]QC_indicators!$C$1,"DF","no"))),IF(ISNUMBER(BY106),IF(ABS(BY106-[2]QC_indicators!$B$1)&gt;3*[2]QC_indicators!$C$1,"DF","no")))</f>
        <v>no</v>
      </c>
      <c r="EQ106" s="280"/>
      <c r="ER106" s="280"/>
      <c r="ES106" s="280"/>
      <c r="ET106"/>
      <c r="EU106"/>
    </row>
    <row r="107" spans="1:151" s="139" customFormat="1" ht="15" hidden="1" customHeight="1">
      <c r="A107" s="256" t="s">
        <v>214</v>
      </c>
      <c r="B107" s="257" t="s">
        <v>215</v>
      </c>
      <c r="C107" s="257" t="s">
        <v>216</v>
      </c>
      <c r="D107" s="257" t="s">
        <v>217</v>
      </c>
      <c r="E107" s="257" t="s">
        <v>218</v>
      </c>
      <c r="F107" s="257" t="s">
        <v>219</v>
      </c>
      <c r="G107" s="257" t="s">
        <v>220</v>
      </c>
      <c r="H107" s="257"/>
      <c r="I107" s="257">
        <v>2012</v>
      </c>
      <c r="J107" s="257"/>
      <c r="K107" s="257" t="s">
        <v>221</v>
      </c>
      <c r="L107" s="257"/>
      <c r="M107" s="257" t="s">
        <v>3069</v>
      </c>
      <c r="N107" s="257" t="s">
        <v>222</v>
      </c>
      <c r="O107" s="275" t="s">
        <v>223</v>
      </c>
      <c r="P107" s="257"/>
      <c r="Q107" s="257" t="s">
        <v>224</v>
      </c>
      <c r="R107" s="258" t="s">
        <v>225</v>
      </c>
      <c r="S107" s="256" t="s">
        <v>226</v>
      </c>
      <c r="T107" s="257" t="s">
        <v>228</v>
      </c>
      <c r="U107" s="257" t="s">
        <v>237</v>
      </c>
      <c r="V107" s="257">
        <v>0</v>
      </c>
      <c r="W107" s="257">
        <v>0</v>
      </c>
      <c r="X107" s="257">
        <v>0</v>
      </c>
      <c r="Y107" s="257">
        <v>1</v>
      </c>
      <c r="Z107" s="257">
        <v>0</v>
      </c>
      <c r="AA107" s="257">
        <v>0</v>
      </c>
      <c r="AB107" s="257">
        <v>0</v>
      </c>
      <c r="AC107" s="257">
        <v>0</v>
      </c>
      <c r="AD107" s="257">
        <v>0</v>
      </c>
      <c r="AE107" s="257">
        <v>0</v>
      </c>
      <c r="AF107" s="257">
        <v>0</v>
      </c>
      <c r="AG107" s="257">
        <v>0</v>
      </c>
      <c r="AH107" s="257">
        <v>0</v>
      </c>
      <c r="AI107" s="257">
        <v>0</v>
      </c>
      <c r="AJ107" s="257">
        <v>0</v>
      </c>
      <c r="AK107" s="257">
        <v>0</v>
      </c>
      <c r="AL107" s="257">
        <v>0</v>
      </c>
      <c r="AM107" s="257">
        <v>0</v>
      </c>
      <c r="AN107" s="257">
        <v>0</v>
      </c>
      <c r="AO107" s="257">
        <v>0</v>
      </c>
      <c r="AP107" s="257">
        <v>0</v>
      </c>
      <c r="AQ107" s="257">
        <v>0</v>
      </c>
      <c r="AR107" s="257">
        <v>0</v>
      </c>
      <c r="AS107" s="257">
        <v>0</v>
      </c>
      <c r="AT107" s="257">
        <v>0</v>
      </c>
      <c r="AU107" s="257">
        <v>0</v>
      </c>
      <c r="AV107" s="257">
        <v>0</v>
      </c>
      <c r="AW107" s="257">
        <v>0</v>
      </c>
      <c r="AX107" s="277">
        <v>1</v>
      </c>
      <c r="AY107" s="277">
        <v>1</v>
      </c>
      <c r="AZ107" s="257">
        <v>1</v>
      </c>
      <c r="BA107" s="257">
        <v>0</v>
      </c>
      <c r="BB107" s="257">
        <v>0</v>
      </c>
      <c r="BC107" s="257">
        <v>0</v>
      </c>
      <c r="BD107" s="257">
        <v>0</v>
      </c>
      <c r="BE107" s="257" t="s">
        <v>91</v>
      </c>
      <c r="BF107" s="2" t="str" cm="1">
        <f t="array" ref="BF107">IF(COUNTIF(AZ107:BB107,"&lt;&gt;0")=1,INDEX($V$4:$AW$4,MATCH(TRUE,INDEX($V107:$AW107&lt;&gt;0,),0)),IF(COUNTIF(AZ107:BB107,"&lt;&gt;0")=0,INDEX($AM$4:$AW$4,MATCH(1,$AM107:$AW107,0)),"Multiple strategies"))</f>
        <v>Silviculture for removals</v>
      </c>
      <c r="BG107" s="278" t="s">
        <v>229</v>
      </c>
      <c r="BH107" s="257" t="s">
        <v>230</v>
      </c>
      <c r="BI107" s="279" t="s">
        <v>3070</v>
      </c>
      <c r="BJ107" s="276" t="s">
        <v>231</v>
      </c>
      <c r="BK107" s="257">
        <v>66.639750489999997</v>
      </c>
      <c r="BL107" s="257">
        <v>68.641374010000007</v>
      </c>
      <c r="BM107" s="276">
        <v>1.0300364798079544</v>
      </c>
      <c r="BN107" s="257">
        <v>2.0016235200000096</v>
      </c>
      <c r="BO107" s="276">
        <v>4.0849459591836936</v>
      </c>
      <c r="BP107" s="276" t="s">
        <v>232</v>
      </c>
      <c r="BQ107" s="279" t="s">
        <v>3070</v>
      </c>
      <c r="BR107" s="276" t="s">
        <v>233</v>
      </c>
      <c r="BS107" s="257">
        <v>-9.4136546180000007</v>
      </c>
      <c r="BT107" s="257">
        <v>-8.9317269079999999</v>
      </c>
      <c r="BU107" s="259">
        <v>0.94880546083786643</v>
      </c>
      <c r="BV107" s="257">
        <v>0.48192771000000079</v>
      </c>
      <c r="BW107" s="257"/>
      <c r="BX107" s="257">
        <v>4.8192771000000079E-4</v>
      </c>
      <c r="BY107" s="257">
        <v>1.1797652032985664E-4</v>
      </c>
      <c r="BZ107" s="257">
        <v>0</v>
      </c>
      <c r="CA107" s="257">
        <v>0</v>
      </c>
      <c r="CB107" s="257">
        <v>0</v>
      </c>
      <c r="CC107" s="257">
        <v>0</v>
      </c>
      <c r="CD107" s="257">
        <v>0</v>
      </c>
      <c r="CE107" s="257">
        <v>0</v>
      </c>
      <c r="CF107" s="257">
        <v>0</v>
      </c>
      <c r="CG107" s="257">
        <v>0</v>
      </c>
      <c r="CH107" s="257">
        <v>0</v>
      </c>
      <c r="CI107" s="257">
        <v>0</v>
      </c>
      <c r="CJ107" s="257">
        <v>0</v>
      </c>
      <c r="CK107" s="257">
        <v>0</v>
      </c>
      <c r="CL107" s="257">
        <v>0</v>
      </c>
      <c r="CM107" s="257">
        <v>0</v>
      </c>
      <c r="CN107" s="257" t="s">
        <v>3071</v>
      </c>
      <c r="CO107" s="257">
        <v>66.639750489999997</v>
      </c>
      <c r="CP107" s="257">
        <v>68.641374010000007</v>
      </c>
      <c r="CQ107" s="257">
        <v>4.0849459591836936</v>
      </c>
      <c r="CR107" s="257">
        <v>-9.4136546180000007</v>
      </c>
      <c r="CS107" s="257">
        <v>-8.9317269079999999</v>
      </c>
      <c r="CT107" s="257">
        <v>4.8192771000000079E-4</v>
      </c>
      <c r="CU107" s="257">
        <v>1.1797652032985664E-4</v>
      </c>
      <c r="CV107" s="258">
        <v>5.1194539162133595E-2</v>
      </c>
      <c r="CW107" s="256" t="s">
        <v>234</v>
      </c>
      <c r="CX107" s="257" t="s">
        <v>3072</v>
      </c>
      <c r="CY107" s="257" t="s">
        <v>235</v>
      </c>
      <c r="CZ107" s="257"/>
      <c r="DA107" s="276"/>
      <c r="DB107" s="276">
        <v>80</v>
      </c>
      <c r="DC107" s="257" t="s">
        <v>3073</v>
      </c>
      <c r="DD107" s="257">
        <v>0</v>
      </c>
      <c r="DE107" s="257">
        <v>1</v>
      </c>
      <c r="DF107" s="257">
        <v>0</v>
      </c>
      <c r="DG107" s="257">
        <v>0</v>
      </c>
      <c r="DH107" s="257"/>
      <c r="DI107" s="257">
        <v>1</v>
      </c>
      <c r="DJ107" s="257" t="s">
        <v>173</v>
      </c>
      <c r="DK107" s="257">
        <v>0</v>
      </c>
      <c r="DL107" s="257" t="s">
        <v>180</v>
      </c>
      <c r="DM107" s="257">
        <v>0</v>
      </c>
      <c r="DN107" s="257">
        <v>0</v>
      </c>
      <c r="DO107" s="257">
        <v>0</v>
      </c>
      <c r="DP107" s="276">
        <v>0</v>
      </c>
      <c r="DQ107" s="276">
        <v>0</v>
      </c>
      <c r="DR107" s="276">
        <v>0</v>
      </c>
      <c r="DS107" s="276">
        <v>0</v>
      </c>
      <c r="DT107" s="257">
        <v>0</v>
      </c>
      <c r="DU107" s="276" t="s">
        <v>961</v>
      </c>
      <c r="DV107" s="276">
        <v>1</v>
      </c>
      <c r="DW107" s="276">
        <v>1</v>
      </c>
      <c r="DX107" s="276">
        <v>1</v>
      </c>
      <c r="DY107" s="276">
        <v>0</v>
      </c>
      <c r="DZ107" s="257">
        <v>0</v>
      </c>
      <c r="EA107" s="276">
        <v>0</v>
      </c>
      <c r="EB107" s="276">
        <v>1</v>
      </c>
      <c r="EC107" s="276">
        <v>1</v>
      </c>
      <c r="ED107" s="276">
        <v>0</v>
      </c>
      <c r="EE107" s="276">
        <v>0</v>
      </c>
      <c r="EF107" s="257">
        <v>1</v>
      </c>
      <c r="EG107" s="276">
        <v>0</v>
      </c>
      <c r="EH107" s="257">
        <v>0</v>
      </c>
      <c r="EI107" s="258">
        <v>0</v>
      </c>
      <c r="EJ107" s="256"/>
      <c r="EK107" t="str">
        <f t="shared" si="38"/>
        <v>Whole sector</v>
      </c>
      <c r="EL107" t="str">
        <f t="shared" si="39"/>
        <v/>
      </c>
      <c r="EM107" s="258" t="s">
        <v>544</v>
      </c>
      <c r="EN107" s="257" t="s">
        <v>236</v>
      </c>
      <c r="EO107" s="257"/>
      <c r="EP107" t="str">
        <f>IF(ISNUMBER(BU107),IF(ABS(BU107-[2]QC_indicators!$B$2)&gt;3*[2]QC_indicators!$C$2,"C ratio",IF(ISNUMBER(BY107),IF(ABS(BY107-[2]QC_indicators!$B$1)&gt;3*[2]QC_indicators!$C$1,"DF","no"))),IF(ISNUMBER(BY107),IF(ABS(BY107-[2]QC_indicators!$B$1)&gt;3*[2]QC_indicators!$C$1,"DF","no")))</f>
        <v>no</v>
      </c>
      <c r="EQ107" s="280"/>
      <c r="ER107" s="280"/>
      <c r="ES107" s="280"/>
      <c r="ET107"/>
      <c r="EU107"/>
    </row>
    <row r="108" spans="1:151" s="139" customFormat="1" ht="15" hidden="1" customHeight="1">
      <c r="A108" s="1" t="s">
        <v>3445</v>
      </c>
      <c r="B108" t="s">
        <v>3446</v>
      </c>
      <c r="C108" t="s">
        <v>3447</v>
      </c>
      <c r="D108" t="s">
        <v>3448</v>
      </c>
      <c r="E108" t="s">
        <v>3449</v>
      </c>
      <c r="F108" t="s">
        <v>3450</v>
      </c>
      <c r="G108" t="s">
        <v>3451</v>
      </c>
      <c r="H108"/>
      <c r="I108">
        <v>2018</v>
      </c>
      <c r="J108"/>
      <c r="K108" t="s">
        <v>3452</v>
      </c>
      <c r="L108"/>
      <c r="M108" t="str">
        <f t="shared" ref="M108:M126" si="40">LEFT($D108,FIND(",",$D108)-1)&amp;"_"&amp;I108&amp;L108</f>
        <v>Alanya-Rosenbaum_2018</v>
      </c>
      <c r="N108" s="311" t="s">
        <v>4382</v>
      </c>
      <c r="O108" s="140" t="s">
        <v>223</v>
      </c>
      <c r="P108"/>
      <c r="Q108" s="311" t="s">
        <v>224</v>
      </c>
      <c r="R108" s="312"/>
      <c r="S108" s="1" t="s">
        <v>3453</v>
      </c>
      <c r="T108" t="s">
        <v>3454</v>
      </c>
      <c r="U108" s="143" t="s">
        <v>1199</v>
      </c>
      <c r="V108">
        <v>0</v>
      </c>
      <c r="W108">
        <v>0</v>
      </c>
      <c r="X108">
        <v>0</v>
      </c>
      <c r="Y108">
        <v>0</v>
      </c>
      <c r="Z108">
        <v>0</v>
      </c>
      <c r="AA108">
        <v>0</v>
      </c>
      <c r="AB108">
        <v>0</v>
      </c>
      <c r="AC108">
        <v>0</v>
      </c>
      <c r="AD108">
        <v>0</v>
      </c>
      <c r="AE108">
        <v>0</v>
      </c>
      <c r="AF108">
        <v>0</v>
      </c>
      <c r="AG108">
        <v>0</v>
      </c>
      <c r="AH108">
        <v>0</v>
      </c>
      <c r="AI108">
        <v>0</v>
      </c>
      <c r="AJ108">
        <v>1</v>
      </c>
      <c r="AK108">
        <v>0</v>
      </c>
      <c r="AL108">
        <v>0</v>
      </c>
      <c r="AM108">
        <v>0</v>
      </c>
      <c r="AN108">
        <v>0</v>
      </c>
      <c r="AO108">
        <v>0</v>
      </c>
      <c r="AP108">
        <v>0</v>
      </c>
      <c r="AQ108">
        <v>0</v>
      </c>
      <c r="AR108">
        <v>0</v>
      </c>
      <c r="AS108">
        <v>0</v>
      </c>
      <c r="AT108">
        <v>0</v>
      </c>
      <c r="AU108">
        <v>0</v>
      </c>
      <c r="AV108">
        <v>0</v>
      </c>
      <c r="AW108">
        <v>0</v>
      </c>
      <c r="AX108" s="141">
        <f t="shared" ref="AX108:AX113" si="41">COUNTIF(V108:AW108,"&lt;&gt;0")</f>
        <v>1</v>
      </c>
      <c r="AY108" s="141">
        <f t="shared" ref="AY108:AY113" si="42">COUNTIF(V108:AL108,"&lt;&gt;0")</f>
        <v>1</v>
      </c>
      <c r="AZ108">
        <f t="shared" ref="AZ108:AZ113" si="43">COUNTIF(V108:AC108,"&lt;&gt;0")</f>
        <v>0</v>
      </c>
      <c r="BA108">
        <f t="shared" ref="BA108:BA113" si="44">COUNTIF(AD108:AI108,"&lt;&gt;0")</f>
        <v>0</v>
      </c>
      <c r="BB108">
        <f t="shared" ref="BB108:BB113" si="45">COUNTIF(AJ108:AL108,"&lt;&gt;0")</f>
        <v>1</v>
      </c>
      <c r="BC108">
        <f t="shared" ref="BC108:BC113" si="46">COUNTIF(AS108:AW108,"&lt;&gt;0")</f>
        <v>0</v>
      </c>
      <c r="BD108">
        <f t="shared" ref="BD108:BD113" si="47">COUNTIF(AM108:AR108,"&lt;&gt;0")</f>
        <v>0</v>
      </c>
      <c r="BE108" t="str" cm="1">
        <f t="array" ref="BE108">IF(AY108=1,INDEX($V$7:$AL$7,MATCH(TRUE,INDEX($V108:$AW108&lt;&gt;0,),0)),IF(AY108=0,INDEX($AM$7:$AW$7,MATCH(1,$AM108:$AW108,0)),IF(BF108="Multiple strategies","mixed drivers",IF(BF108="Supply chain","multiple supply","multiple silviculture"))))</f>
        <v>efficiency improvement</v>
      </c>
      <c r="BF108" s="2" t="str" cm="1">
        <f t="array" ref="BF108">IF(COUNTIF(AZ108:BB108,"&lt;&gt;0")=1,INDEX($V$4:$AW$4,MATCH(TRUE,INDEX($V108:$AW108&lt;&gt;0,),0)),IF(COUNTIF(AZ108:BB108,"&lt;&gt;0")=0,INDEX($AM$4:$AW$4,MATCH(1,$AM108:$AW108,0)),"Multiple strategies"))</f>
        <v>Technology</v>
      </c>
      <c r="BG108" s="164"/>
      <c r="BH108" s="165"/>
      <c r="BI108" s="165"/>
      <c r="BJ108" s="166"/>
      <c r="BK108" s="167"/>
      <c r="BL108" s="314"/>
      <c r="BM108" s="315"/>
      <c r="BN108" s="168"/>
      <c r="BO108" s="166"/>
      <c r="BP108" s="143" t="s">
        <v>232</v>
      </c>
      <c r="BQ108" s="143"/>
      <c r="BR108" s="143" t="s">
        <v>397</v>
      </c>
      <c r="BS108" s="143">
        <v>-9.5299999999999994</v>
      </c>
      <c r="BT108">
        <v>-6.57</v>
      </c>
      <c r="BU108">
        <f t="shared" ref="BU108:BU113" si="48">BT108/BS108</f>
        <v>0.68940188877229813</v>
      </c>
      <c r="BV108">
        <f t="shared" ref="BV108:BV113" si="49">BT108-BS108</f>
        <v>2.9599999999999991</v>
      </c>
      <c r="BW108"/>
      <c r="BX108">
        <f t="shared" ref="BX108:BX113" si="50">BV108/1000</f>
        <v>2.9599999999999991E-3</v>
      </c>
      <c r="BY108" t="str">
        <f t="shared" ref="BY108:BY171" si="51">IFERROR(BX108/BO108,"")</f>
        <v/>
      </c>
      <c r="BZ108">
        <v>1</v>
      </c>
      <c r="CA108">
        <v>1</v>
      </c>
      <c r="CB108">
        <v>1</v>
      </c>
      <c r="CC108">
        <v>1</v>
      </c>
      <c r="CD108">
        <v>1</v>
      </c>
      <c r="CE108">
        <v>1</v>
      </c>
      <c r="CF108">
        <v>1</v>
      </c>
      <c r="CG108">
        <v>0</v>
      </c>
      <c r="CH108">
        <v>0</v>
      </c>
      <c r="CI108">
        <v>0</v>
      </c>
      <c r="CJ108">
        <v>0</v>
      </c>
      <c r="CK108">
        <v>0</v>
      </c>
      <c r="CL108">
        <v>0</v>
      </c>
      <c r="CM108">
        <v>0</v>
      </c>
      <c r="CN108" t="str">
        <f t="shared" ref="CN108:CN113" si="52">IF(BL108&lt;BK108,"refNeedCorrection","refOK")</f>
        <v>refOK</v>
      </c>
      <c r="CO108"/>
      <c r="CP108"/>
      <c r="CQ108"/>
      <c r="CR108">
        <f t="shared" ref="CR108:CR113" si="53">IF($CN108="refOK",$BS108,$BT108)*IF($BP108="Emissions positive",-1,1)</f>
        <v>-9.5299999999999994</v>
      </c>
      <c r="CS108">
        <f t="shared" ref="CS108:CS113" si="54">IF($CN108="refOK",$BT108,$BS108)*IF($BP108="Emissions positive",-1,1)</f>
        <v>-6.57</v>
      </c>
      <c r="CT108">
        <f t="shared" ref="CT108:CT113" si="55">IF($CN108="refNeedCorrection",-BX108,BX108)*IF($BP108="Emissions positive",-1,1)</f>
        <v>2.9599999999999991E-3</v>
      </c>
      <c r="CU108" t="str">
        <f t="shared" ref="CU108:CU113" si="56">IFERROR(CT108/CQ108,"")</f>
        <v/>
      </c>
      <c r="CV108" s="2">
        <f t="shared" ref="CV108:CV113" si="57">IFERROR((CS108-CR108)/ABS(CR108),"")</f>
        <v>0.31059811122770192</v>
      </c>
      <c r="CW108" s="1" t="s">
        <v>1198</v>
      </c>
      <c r="CX108" s="311" t="str">
        <f t="shared" ref="CX108:CX113" si="58">IF(OR($CW108="prd",$CW108="std",$CW108="cit"),"loc",IF(OR($CW108="eur",$CW108="reg",$CW108="coy"),"reg",$CW108))</f>
        <v>reg</v>
      </c>
      <c r="CY108" t="s">
        <v>428</v>
      </c>
      <c r="CZ108"/>
      <c r="DA108" s="143"/>
      <c r="DB108" s="143">
        <v>0</v>
      </c>
      <c r="DC108" t="str">
        <f t="shared" ref="DC108:DC113" si="59">IF(DB108=0,"0",IF(AND(DB108&gt;=1,DB108&lt;=30),"1-30",IF(AND(DB108&gt;30,DB108&lt;=70),"31-70",IF(AND(DB108&gt;70,DB108&lt;=100),"71-100",IF(DB108&gt;100,"+100")))))</f>
        <v>0</v>
      </c>
      <c r="DD108">
        <v>0</v>
      </c>
      <c r="DE108">
        <v>1</v>
      </c>
      <c r="DF108">
        <v>0</v>
      </c>
      <c r="DG108">
        <v>0</v>
      </c>
      <c r="DH108"/>
      <c r="DI108">
        <f t="shared" ref="DI108:DI113" si="60">SUM(DD108:DG108)</f>
        <v>1</v>
      </c>
      <c r="DJ108" t="str">
        <f t="shared" ref="DJ108:DJ113" si="61">IF(DI108=1,INDEX($DD$7:$DG$7,MATCH(1,$DD108:$DG108,0)),"mixedProduct")</f>
        <v>EnergyInput</v>
      </c>
      <c r="DK108">
        <f t="shared" ref="DK108:DN113" si="62">IF(DD108=1,DK$7,0)</f>
        <v>0</v>
      </c>
      <c r="DL108" t="str">
        <f t="shared" si="62"/>
        <v>Energy</v>
      </c>
      <c r="DM108">
        <f t="shared" si="62"/>
        <v>0</v>
      </c>
      <c r="DN108">
        <f t="shared" si="62"/>
        <v>0</v>
      </c>
      <c r="DO108">
        <v>0</v>
      </c>
      <c r="DP108" s="143">
        <v>0</v>
      </c>
      <c r="DQ108" s="143">
        <v>0</v>
      </c>
      <c r="DR108" s="143">
        <v>0</v>
      </c>
      <c r="DS108" s="143">
        <v>0</v>
      </c>
      <c r="DT108">
        <f t="shared" ref="DT108:DT113" si="63">SUM(DO108:DP108)</f>
        <v>0</v>
      </c>
      <c r="DU108" s="143" t="str">
        <f t="shared" ref="DU108:DU113" si="64">IF(DO108=1,"self-calculated DF",IF(DP108=1,"external DF used","explicit C balance"))</f>
        <v>explicit C balance</v>
      </c>
      <c r="DV108" s="143">
        <v>0</v>
      </c>
      <c r="DW108" s="143">
        <v>0</v>
      </c>
      <c r="DX108" s="143">
        <v>0</v>
      </c>
      <c r="DY108" s="143">
        <v>0</v>
      </c>
      <c r="DZ108">
        <v>0</v>
      </c>
      <c r="EA108" s="143">
        <v>0</v>
      </c>
      <c r="EB108" s="143">
        <v>1</v>
      </c>
      <c r="EC108" s="143">
        <v>1</v>
      </c>
      <c r="ED108" s="143">
        <v>0</v>
      </c>
      <c r="EE108" s="143">
        <v>0</v>
      </c>
      <c r="EF108">
        <v>0</v>
      </c>
      <c r="EG108" s="143">
        <v>0</v>
      </c>
      <c r="EH108">
        <v>0</v>
      </c>
      <c r="EI108" s="2">
        <v>0</v>
      </c>
      <c r="EJ108" s="1"/>
      <c r="EK108" t="str">
        <f t="shared" ref="EK108:EK122" si="65">IF(AND(AND(AND(OR($DX108=1,$DW108=1),OR($EC108=1,$EA108=1)),SUM($DV108:$DZ108,$EF108)&gt;=3),SUM($EA108:$EE108)&gt;=2),"Whole sector","")</f>
        <v/>
      </c>
      <c r="EL108" t="str">
        <f t="shared" ref="EL108:EL122" si="66">IF(AND(AND(OR($DX108=1,$DW108=1),AND($EC108=0,$EA108=0)),SUM($DV108:$DZ108,$EF108)&gt;=3),"Ecosystem approach","")</f>
        <v/>
      </c>
      <c r="EM108" s="2" t="str">
        <f t="shared" ref="EM108:EM171" si="67">IF(AND(AND(AND($DX108=0,$DW108=0),OR($EC108=1,$EA108=1)),SUM($EB108:$EE108)&gt;=2),"Technology approach","")</f>
        <v>Technology approach</v>
      </c>
      <c r="EN108" s="311" t="s">
        <v>3455</v>
      </c>
      <c r="EO108"/>
      <c r="EP108" t="b">
        <f>IF(ISNUMBER(BU108),IF(ABS(BU108-[1]QC_indicators!$B$2)&gt;3*[1]QC_indicators!$C$2,"C ratio",IF(ISNUMBER(BY108),IF(ABS(BY108-[1]QC_indicators!$B$1)&gt;3*[1]QC_indicators!$C$1,"DF","no"))),IF(ISNUMBER(BY108),IF(ABS(BY108-[1]QC_indicators!$B$1)&gt;3*[1]QC_indicators!$C$1,"DF","no")))</f>
        <v>0</v>
      </c>
      <c r="EQ108"/>
      <c r="ER108"/>
      <c r="ES108"/>
      <c r="ET108"/>
      <c r="EU108"/>
    </row>
    <row r="109" spans="1:151" s="139" customFormat="1" ht="15" hidden="1" customHeight="1">
      <c r="A109" s="1" t="s">
        <v>3445</v>
      </c>
      <c r="B109" t="s">
        <v>3446</v>
      </c>
      <c r="C109" t="s">
        <v>3447</v>
      </c>
      <c r="D109" t="s">
        <v>3448</v>
      </c>
      <c r="E109" t="s">
        <v>3449</v>
      </c>
      <c r="F109" t="s">
        <v>3450</v>
      </c>
      <c r="G109" t="s">
        <v>3451</v>
      </c>
      <c r="H109"/>
      <c r="I109">
        <v>2018</v>
      </c>
      <c r="J109"/>
      <c r="K109" t="s">
        <v>3452</v>
      </c>
      <c r="L109"/>
      <c r="M109" t="str">
        <f t="shared" si="40"/>
        <v>Alanya-Rosenbaum_2018</v>
      </c>
      <c r="N109" s="311" t="s">
        <v>4382</v>
      </c>
      <c r="O109" s="140" t="s">
        <v>223</v>
      </c>
      <c r="P109"/>
      <c r="Q109" s="311" t="s">
        <v>224</v>
      </c>
      <c r="R109" s="312"/>
      <c r="S109" s="1" t="s">
        <v>3453</v>
      </c>
      <c r="T109" t="s">
        <v>3454</v>
      </c>
      <c r="U109" s="143" t="s">
        <v>3456</v>
      </c>
      <c r="V109">
        <v>0</v>
      </c>
      <c r="W109">
        <v>0</v>
      </c>
      <c r="X109">
        <v>0</v>
      </c>
      <c r="Y109">
        <v>0</v>
      </c>
      <c r="Z109">
        <v>0</v>
      </c>
      <c r="AA109">
        <v>0</v>
      </c>
      <c r="AB109">
        <v>0</v>
      </c>
      <c r="AC109">
        <v>0</v>
      </c>
      <c r="AD109">
        <v>0</v>
      </c>
      <c r="AE109">
        <v>0</v>
      </c>
      <c r="AF109">
        <v>0</v>
      </c>
      <c r="AG109">
        <v>0</v>
      </c>
      <c r="AH109">
        <v>0</v>
      </c>
      <c r="AI109">
        <v>0</v>
      </c>
      <c r="AJ109">
        <v>1</v>
      </c>
      <c r="AK109">
        <v>0</v>
      </c>
      <c r="AL109">
        <v>0</v>
      </c>
      <c r="AM109">
        <v>0</v>
      </c>
      <c r="AN109">
        <v>0</v>
      </c>
      <c r="AO109">
        <v>0</v>
      </c>
      <c r="AP109">
        <v>0</v>
      </c>
      <c r="AQ109">
        <v>0</v>
      </c>
      <c r="AR109">
        <v>0</v>
      </c>
      <c r="AS109">
        <v>0</v>
      </c>
      <c r="AT109">
        <v>0</v>
      </c>
      <c r="AU109">
        <v>0</v>
      </c>
      <c r="AV109">
        <v>0</v>
      </c>
      <c r="AW109">
        <v>0</v>
      </c>
      <c r="AX109" s="141">
        <f t="shared" si="41"/>
        <v>1</v>
      </c>
      <c r="AY109" s="141">
        <f t="shared" si="42"/>
        <v>1</v>
      </c>
      <c r="AZ109">
        <f t="shared" si="43"/>
        <v>0</v>
      </c>
      <c r="BA109">
        <f t="shared" si="44"/>
        <v>0</v>
      </c>
      <c r="BB109">
        <f t="shared" si="45"/>
        <v>1</v>
      </c>
      <c r="BC109">
        <f t="shared" si="46"/>
        <v>0</v>
      </c>
      <c r="BD109">
        <f t="shared" si="47"/>
        <v>0</v>
      </c>
      <c r="BE109" t="str" cm="1">
        <f t="array" ref="BE109">IF(AY109=1,INDEX($V$7:$AL$7,MATCH(TRUE,INDEX($V109:$AW109&lt;&gt;0,),0)),IF(AY109=0,INDEX($AM$7:$AW$7,MATCH(1,$AM109:$AW109,0)),IF(BF109="Multiple strategies","mixed drivers",IF(BF109="Supply chain","multiple supply","multiple silviculture"))))</f>
        <v>efficiency improvement</v>
      </c>
      <c r="BF109" s="2" t="str" cm="1">
        <f t="array" ref="BF109">IF(COUNTIF(AZ109:BB109,"&lt;&gt;0")=1,INDEX($V$4:$AW$4,MATCH(TRUE,INDEX($V109:$AW109&lt;&gt;0,),0)),IF(COUNTIF(AZ109:BB109,"&lt;&gt;0")=0,INDEX($AM$4:$AW$4,MATCH(1,$AM109:$AW109,0)),"Multiple strategies"))</f>
        <v>Technology</v>
      </c>
      <c r="BG109" s="164"/>
      <c r="BH109" s="165"/>
      <c r="BI109" s="165"/>
      <c r="BJ109" s="166"/>
      <c r="BK109" s="167"/>
      <c r="BL109" s="152"/>
      <c r="BM109" s="315"/>
      <c r="BN109" s="168"/>
      <c r="BO109" s="166"/>
      <c r="BP109" s="143" t="s">
        <v>232</v>
      </c>
      <c r="BQ109" s="143"/>
      <c r="BR109" s="143" t="s">
        <v>397</v>
      </c>
      <c r="BS109" s="143">
        <v>-9.5299999999999994</v>
      </c>
      <c r="BT109">
        <v>-7.99</v>
      </c>
      <c r="BU109">
        <f t="shared" si="48"/>
        <v>0.83840503672612809</v>
      </c>
      <c r="BV109">
        <f t="shared" si="49"/>
        <v>1.5399999999999991</v>
      </c>
      <c r="BW109"/>
      <c r="BX109">
        <f t="shared" si="50"/>
        <v>1.5399999999999991E-3</v>
      </c>
      <c r="BY109" t="str">
        <f t="shared" si="51"/>
        <v/>
      </c>
      <c r="BZ109">
        <v>1</v>
      </c>
      <c r="CA109">
        <v>1</v>
      </c>
      <c r="CB109">
        <v>1</v>
      </c>
      <c r="CC109">
        <v>1</v>
      </c>
      <c r="CD109">
        <v>1</v>
      </c>
      <c r="CE109">
        <v>1</v>
      </c>
      <c r="CF109">
        <v>1</v>
      </c>
      <c r="CG109">
        <v>0</v>
      </c>
      <c r="CH109">
        <v>0</v>
      </c>
      <c r="CI109">
        <v>0</v>
      </c>
      <c r="CJ109">
        <v>0</v>
      </c>
      <c r="CK109">
        <v>0</v>
      </c>
      <c r="CL109">
        <v>0</v>
      </c>
      <c r="CM109">
        <v>0</v>
      </c>
      <c r="CN109" t="str">
        <f t="shared" si="52"/>
        <v>refOK</v>
      </c>
      <c r="CO109"/>
      <c r="CP109"/>
      <c r="CQ109"/>
      <c r="CR109">
        <f t="shared" si="53"/>
        <v>-9.5299999999999994</v>
      </c>
      <c r="CS109">
        <f t="shared" si="54"/>
        <v>-7.99</v>
      </c>
      <c r="CT109">
        <f t="shared" si="55"/>
        <v>1.5399999999999991E-3</v>
      </c>
      <c r="CU109" t="str">
        <f t="shared" si="56"/>
        <v/>
      </c>
      <c r="CV109" s="2">
        <f t="shared" si="57"/>
        <v>0.16159496327387191</v>
      </c>
      <c r="CW109" s="1" t="s">
        <v>1198</v>
      </c>
      <c r="CX109" s="311" t="str">
        <f t="shared" si="58"/>
        <v>reg</v>
      </c>
      <c r="CY109" t="s">
        <v>428</v>
      </c>
      <c r="CZ109"/>
      <c r="DA109" s="143"/>
      <c r="DB109" s="143">
        <v>0</v>
      </c>
      <c r="DC109" t="str">
        <f t="shared" si="59"/>
        <v>0</v>
      </c>
      <c r="DD109">
        <v>0</v>
      </c>
      <c r="DE109">
        <v>1</v>
      </c>
      <c r="DF109">
        <v>0</v>
      </c>
      <c r="DG109">
        <v>0</v>
      </c>
      <c r="DH109"/>
      <c r="DI109">
        <f t="shared" si="60"/>
        <v>1</v>
      </c>
      <c r="DJ109" t="str">
        <f t="shared" si="61"/>
        <v>EnergyInput</v>
      </c>
      <c r="DK109">
        <f t="shared" si="62"/>
        <v>0</v>
      </c>
      <c r="DL109" t="str">
        <f t="shared" si="62"/>
        <v>Energy</v>
      </c>
      <c r="DM109">
        <f t="shared" si="62"/>
        <v>0</v>
      </c>
      <c r="DN109">
        <f t="shared" si="62"/>
        <v>0</v>
      </c>
      <c r="DO109">
        <v>0</v>
      </c>
      <c r="DP109" s="143">
        <v>0</v>
      </c>
      <c r="DQ109" s="143">
        <v>0</v>
      </c>
      <c r="DR109" s="143">
        <v>0</v>
      </c>
      <c r="DS109" s="143">
        <v>0</v>
      </c>
      <c r="DT109">
        <f t="shared" si="63"/>
        <v>0</v>
      </c>
      <c r="DU109" s="143" t="str">
        <f t="shared" si="64"/>
        <v>explicit C balance</v>
      </c>
      <c r="DV109" s="143">
        <v>0</v>
      </c>
      <c r="DW109" s="143">
        <v>0</v>
      </c>
      <c r="DX109" s="143">
        <v>0</v>
      </c>
      <c r="DY109" s="143">
        <v>0</v>
      </c>
      <c r="DZ109">
        <v>0</v>
      </c>
      <c r="EA109" s="143">
        <v>0</v>
      </c>
      <c r="EB109" s="143">
        <v>1</v>
      </c>
      <c r="EC109" s="143">
        <v>1</v>
      </c>
      <c r="ED109" s="143">
        <v>0</v>
      </c>
      <c r="EE109" s="143">
        <v>0</v>
      </c>
      <c r="EF109">
        <v>0</v>
      </c>
      <c r="EG109" s="143">
        <v>0</v>
      </c>
      <c r="EH109">
        <v>0</v>
      </c>
      <c r="EI109" s="2">
        <v>0</v>
      </c>
      <c r="EJ109" s="1"/>
      <c r="EK109" t="str">
        <f t="shared" si="65"/>
        <v/>
      </c>
      <c r="EL109" t="str">
        <f t="shared" si="66"/>
        <v/>
      </c>
      <c r="EM109" s="2" t="str">
        <f t="shared" si="67"/>
        <v>Technology approach</v>
      </c>
      <c r="EN109" s="311" t="s">
        <v>3455</v>
      </c>
      <c r="EO109"/>
      <c r="EP109" t="b">
        <f>IF(ISNUMBER(BU109),IF(ABS(BU109-[1]QC_indicators!$B$2)&gt;3*[1]QC_indicators!$C$2,"C ratio",IF(ISNUMBER(BY109),IF(ABS(BY109-[1]QC_indicators!$B$1)&gt;3*[1]QC_indicators!$C$1,"DF","no"))),IF(ISNUMBER(BY109),IF(ABS(BY109-[1]QC_indicators!$B$1)&gt;3*[1]QC_indicators!$C$1,"DF","no")))</f>
        <v>0</v>
      </c>
      <c r="EQ109"/>
      <c r="ER109"/>
      <c r="ES109"/>
      <c r="ET109"/>
      <c r="EU109"/>
    </row>
    <row r="110" spans="1:151" s="139" customFormat="1" ht="15" hidden="1" customHeight="1">
      <c r="A110" s="1" t="s">
        <v>3445</v>
      </c>
      <c r="B110" t="s">
        <v>3446</v>
      </c>
      <c r="C110" t="s">
        <v>3447</v>
      </c>
      <c r="D110" t="s">
        <v>3448</v>
      </c>
      <c r="E110" t="s">
        <v>3449</v>
      </c>
      <c r="F110" t="s">
        <v>3450</v>
      </c>
      <c r="G110" t="s">
        <v>3451</v>
      </c>
      <c r="H110"/>
      <c r="I110">
        <v>2018</v>
      </c>
      <c r="J110"/>
      <c r="K110" t="s">
        <v>3452</v>
      </c>
      <c r="L110"/>
      <c r="M110" t="str">
        <f t="shared" si="40"/>
        <v>Alanya-Rosenbaum_2018</v>
      </c>
      <c r="N110" s="311" t="s">
        <v>4382</v>
      </c>
      <c r="O110" s="140" t="s">
        <v>223</v>
      </c>
      <c r="P110"/>
      <c r="Q110" s="311" t="s">
        <v>224</v>
      </c>
      <c r="R110" s="312"/>
      <c r="S110" s="1" t="s">
        <v>3453</v>
      </c>
      <c r="T110" t="s">
        <v>3454</v>
      </c>
      <c r="U110" s="143" t="s">
        <v>3457</v>
      </c>
      <c r="V110">
        <v>0</v>
      </c>
      <c r="W110">
        <v>0</v>
      </c>
      <c r="X110">
        <v>0</v>
      </c>
      <c r="Y110">
        <v>0</v>
      </c>
      <c r="Z110">
        <v>0</v>
      </c>
      <c r="AA110">
        <v>0</v>
      </c>
      <c r="AB110">
        <v>0</v>
      </c>
      <c r="AC110">
        <v>0</v>
      </c>
      <c r="AD110">
        <v>0</v>
      </c>
      <c r="AE110">
        <v>0</v>
      </c>
      <c r="AF110">
        <v>0</v>
      </c>
      <c r="AG110">
        <v>0</v>
      </c>
      <c r="AH110">
        <v>0</v>
      </c>
      <c r="AI110">
        <v>0</v>
      </c>
      <c r="AJ110">
        <v>1</v>
      </c>
      <c r="AK110">
        <v>0</v>
      </c>
      <c r="AL110">
        <v>0</v>
      </c>
      <c r="AM110">
        <v>0</v>
      </c>
      <c r="AN110">
        <v>0</v>
      </c>
      <c r="AO110">
        <v>0</v>
      </c>
      <c r="AP110">
        <v>0</v>
      </c>
      <c r="AQ110">
        <v>0</v>
      </c>
      <c r="AR110">
        <v>0</v>
      </c>
      <c r="AS110">
        <v>0</v>
      </c>
      <c r="AT110">
        <v>0</v>
      </c>
      <c r="AU110">
        <v>0</v>
      </c>
      <c r="AV110">
        <v>0</v>
      </c>
      <c r="AW110">
        <v>0</v>
      </c>
      <c r="AX110" s="141">
        <f t="shared" si="41"/>
        <v>1</v>
      </c>
      <c r="AY110" s="141">
        <f t="shared" si="42"/>
        <v>1</v>
      </c>
      <c r="AZ110">
        <f t="shared" si="43"/>
        <v>0</v>
      </c>
      <c r="BA110">
        <f t="shared" si="44"/>
        <v>0</v>
      </c>
      <c r="BB110">
        <f t="shared" si="45"/>
        <v>1</v>
      </c>
      <c r="BC110">
        <f t="shared" si="46"/>
        <v>0</v>
      </c>
      <c r="BD110">
        <f t="shared" si="47"/>
        <v>0</v>
      </c>
      <c r="BE110" t="str" cm="1">
        <f t="array" ref="BE110">IF(AY110=1,INDEX($V$7:$AL$7,MATCH(TRUE,INDEX($V110:$AW110&lt;&gt;0,),0)),IF(AY110=0,INDEX($AM$7:$AW$7,MATCH(1,$AM110:$AW110,0)),IF(BF110="Multiple strategies","mixed drivers",IF(BF110="Supply chain","multiple supply","multiple silviculture"))))</f>
        <v>efficiency improvement</v>
      </c>
      <c r="BF110" s="2" t="str" cm="1">
        <f t="array" ref="BF110">IF(COUNTIF(AZ110:BB110,"&lt;&gt;0")=1,INDEX($V$4:$AW$4,MATCH(TRUE,INDEX($V110:$AW110&lt;&gt;0,),0)),IF(COUNTIF(AZ110:BB110,"&lt;&gt;0")=0,INDEX($AM$4:$AW$4,MATCH(1,$AM110:$AW110,0)),"Multiple strategies"))</f>
        <v>Technology</v>
      </c>
      <c r="BG110" s="164"/>
      <c r="BH110" s="165"/>
      <c r="BI110" s="165"/>
      <c r="BJ110" s="166"/>
      <c r="BK110" s="167"/>
      <c r="BL110" s="314"/>
      <c r="BM110" s="168"/>
      <c r="BN110" s="316"/>
      <c r="BO110" s="168"/>
      <c r="BP110" s="143" t="s">
        <v>232</v>
      </c>
      <c r="BQ110" s="143"/>
      <c r="BR110" s="143" t="s">
        <v>397</v>
      </c>
      <c r="BS110" s="143">
        <v>-9.5299999999999994</v>
      </c>
      <c r="BT110">
        <v>-3.97</v>
      </c>
      <c r="BU110">
        <f t="shared" si="48"/>
        <v>0.41657922350472198</v>
      </c>
      <c r="BV110">
        <f t="shared" si="49"/>
        <v>5.5599999999999987</v>
      </c>
      <c r="BW110"/>
      <c r="BX110">
        <f t="shared" si="50"/>
        <v>5.559999999999999E-3</v>
      </c>
      <c r="BY110" t="str">
        <f t="shared" si="51"/>
        <v/>
      </c>
      <c r="BZ110">
        <v>1</v>
      </c>
      <c r="CA110">
        <v>1</v>
      </c>
      <c r="CB110">
        <v>1</v>
      </c>
      <c r="CC110">
        <v>1</v>
      </c>
      <c r="CD110">
        <v>1</v>
      </c>
      <c r="CE110">
        <v>1</v>
      </c>
      <c r="CF110">
        <v>1</v>
      </c>
      <c r="CG110">
        <v>0</v>
      </c>
      <c r="CH110">
        <v>0</v>
      </c>
      <c r="CI110">
        <v>0</v>
      </c>
      <c r="CJ110">
        <v>0</v>
      </c>
      <c r="CK110">
        <v>0</v>
      </c>
      <c r="CL110">
        <v>0</v>
      </c>
      <c r="CM110">
        <v>0</v>
      </c>
      <c r="CN110" t="str">
        <f t="shared" si="52"/>
        <v>refOK</v>
      </c>
      <c r="CO110"/>
      <c r="CP110"/>
      <c r="CQ110"/>
      <c r="CR110">
        <f t="shared" si="53"/>
        <v>-9.5299999999999994</v>
      </c>
      <c r="CS110">
        <f t="shared" si="54"/>
        <v>-3.97</v>
      </c>
      <c r="CT110">
        <f t="shared" si="55"/>
        <v>5.559999999999999E-3</v>
      </c>
      <c r="CU110" t="str">
        <f t="shared" si="56"/>
        <v/>
      </c>
      <c r="CV110" s="2">
        <f t="shared" si="57"/>
        <v>0.58342077649527802</v>
      </c>
      <c r="CW110" s="1" t="s">
        <v>1198</v>
      </c>
      <c r="CX110" s="311" t="str">
        <f t="shared" si="58"/>
        <v>reg</v>
      </c>
      <c r="CY110" t="s">
        <v>428</v>
      </c>
      <c r="CZ110"/>
      <c r="DA110" s="143"/>
      <c r="DB110" s="143">
        <v>0</v>
      </c>
      <c r="DC110" t="str">
        <f t="shared" si="59"/>
        <v>0</v>
      </c>
      <c r="DD110">
        <v>0</v>
      </c>
      <c r="DE110">
        <v>1</v>
      </c>
      <c r="DF110">
        <v>0</v>
      </c>
      <c r="DG110">
        <v>0</v>
      </c>
      <c r="DH110"/>
      <c r="DI110">
        <f t="shared" si="60"/>
        <v>1</v>
      </c>
      <c r="DJ110" t="str">
        <f t="shared" si="61"/>
        <v>EnergyInput</v>
      </c>
      <c r="DK110">
        <f t="shared" si="62"/>
        <v>0</v>
      </c>
      <c r="DL110" t="str">
        <f t="shared" si="62"/>
        <v>Energy</v>
      </c>
      <c r="DM110">
        <f t="shared" si="62"/>
        <v>0</v>
      </c>
      <c r="DN110">
        <f t="shared" si="62"/>
        <v>0</v>
      </c>
      <c r="DO110">
        <v>0</v>
      </c>
      <c r="DP110" s="143">
        <v>0</v>
      </c>
      <c r="DQ110" s="143">
        <v>0</v>
      </c>
      <c r="DR110" s="143">
        <v>0</v>
      </c>
      <c r="DS110" s="143">
        <v>0</v>
      </c>
      <c r="DT110">
        <f t="shared" si="63"/>
        <v>0</v>
      </c>
      <c r="DU110" s="143" t="str">
        <f t="shared" si="64"/>
        <v>explicit C balance</v>
      </c>
      <c r="DV110" s="143">
        <v>0</v>
      </c>
      <c r="DW110" s="143">
        <v>0</v>
      </c>
      <c r="DX110" s="143">
        <v>0</v>
      </c>
      <c r="DY110" s="143">
        <v>0</v>
      </c>
      <c r="DZ110">
        <v>0</v>
      </c>
      <c r="EA110" s="143">
        <v>0</v>
      </c>
      <c r="EB110" s="143">
        <v>1</v>
      </c>
      <c r="EC110" s="143">
        <v>1</v>
      </c>
      <c r="ED110" s="143">
        <v>0</v>
      </c>
      <c r="EE110" s="143">
        <v>0</v>
      </c>
      <c r="EF110">
        <v>0</v>
      </c>
      <c r="EG110" s="143">
        <v>0</v>
      </c>
      <c r="EH110">
        <v>0</v>
      </c>
      <c r="EI110" s="2">
        <v>0</v>
      </c>
      <c r="EJ110" s="1"/>
      <c r="EK110" t="str">
        <f t="shared" si="65"/>
        <v/>
      </c>
      <c r="EL110" t="str">
        <f t="shared" si="66"/>
        <v/>
      </c>
      <c r="EM110" s="2" t="str">
        <f t="shared" si="67"/>
        <v>Technology approach</v>
      </c>
      <c r="EN110" s="311" t="s">
        <v>3455</v>
      </c>
      <c r="EO110"/>
      <c r="EP110" t="b">
        <f>IF(ISNUMBER(BU110),IF(ABS(BU110-[1]QC_indicators!$B$2)&gt;3*[1]QC_indicators!$C$2,"C ratio",IF(ISNUMBER(BY110),IF(ABS(BY110-[1]QC_indicators!$B$1)&gt;3*[1]QC_indicators!$C$1,"DF","no"))),IF(ISNUMBER(BY110),IF(ABS(BY110-[1]QC_indicators!$B$1)&gt;3*[1]QC_indicators!$C$1,"DF","no")))</f>
        <v>0</v>
      </c>
      <c r="EQ110"/>
      <c r="ER110"/>
      <c r="ES110"/>
      <c r="ET110"/>
      <c r="EU110"/>
    </row>
    <row r="111" spans="1:151" s="139" customFormat="1" ht="15" hidden="1" customHeight="1">
      <c r="A111" s="1" t="s">
        <v>3445</v>
      </c>
      <c r="B111" t="s">
        <v>3446</v>
      </c>
      <c r="C111" t="s">
        <v>3447</v>
      </c>
      <c r="D111" t="s">
        <v>3448</v>
      </c>
      <c r="E111" t="s">
        <v>3449</v>
      </c>
      <c r="F111" t="s">
        <v>3450</v>
      </c>
      <c r="G111" t="s">
        <v>3451</v>
      </c>
      <c r="H111"/>
      <c r="I111">
        <v>2018</v>
      </c>
      <c r="J111"/>
      <c r="K111" t="s">
        <v>3452</v>
      </c>
      <c r="L111"/>
      <c r="M111" t="str">
        <f t="shared" si="40"/>
        <v>Alanya-Rosenbaum_2018</v>
      </c>
      <c r="N111" s="311" t="s">
        <v>4382</v>
      </c>
      <c r="O111" s="140" t="s">
        <v>223</v>
      </c>
      <c r="P111"/>
      <c r="Q111" s="311" t="s">
        <v>224</v>
      </c>
      <c r="R111" s="312"/>
      <c r="S111" s="1" t="s">
        <v>423</v>
      </c>
      <c r="T111" t="s">
        <v>1200</v>
      </c>
      <c r="U111" s="143" t="s">
        <v>1199</v>
      </c>
      <c r="V111">
        <v>0</v>
      </c>
      <c r="W111">
        <v>0</v>
      </c>
      <c r="X111">
        <v>0</v>
      </c>
      <c r="Y111">
        <v>0</v>
      </c>
      <c r="Z111">
        <v>0</v>
      </c>
      <c r="AA111">
        <v>0</v>
      </c>
      <c r="AB111">
        <v>0</v>
      </c>
      <c r="AC111">
        <v>0</v>
      </c>
      <c r="AD111">
        <v>0</v>
      </c>
      <c r="AE111">
        <v>0</v>
      </c>
      <c r="AF111">
        <v>0</v>
      </c>
      <c r="AG111">
        <v>0</v>
      </c>
      <c r="AH111">
        <v>0</v>
      </c>
      <c r="AI111">
        <v>0</v>
      </c>
      <c r="AJ111">
        <v>0</v>
      </c>
      <c r="AK111">
        <v>1</v>
      </c>
      <c r="AL111">
        <v>0</v>
      </c>
      <c r="AM111">
        <v>0</v>
      </c>
      <c r="AN111">
        <v>0</v>
      </c>
      <c r="AO111">
        <v>0</v>
      </c>
      <c r="AP111">
        <v>0</v>
      </c>
      <c r="AQ111">
        <v>0</v>
      </c>
      <c r="AR111">
        <v>0</v>
      </c>
      <c r="AS111">
        <v>0</v>
      </c>
      <c r="AT111">
        <v>0</v>
      </c>
      <c r="AU111">
        <v>0</v>
      </c>
      <c r="AV111">
        <v>0</v>
      </c>
      <c r="AW111">
        <v>0</v>
      </c>
      <c r="AX111" s="141">
        <f t="shared" si="41"/>
        <v>1</v>
      </c>
      <c r="AY111" s="141">
        <f t="shared" si="42"/>
        <v>1</v>
      </c>
      <c r="AZ111">
        <f t="shared" si="43"/>
        <v>0</v>
      </c>
      <c r="BA111">
        <f t="shared" si="44"/>
        <v>0</v>
      </c>
      <c r="BB111">
        <f t="shared" si="45"/>
        <v>1</v>
      </c>
      <c r="BC111">
        <f t="shared" si="46"/>
        <v>0</v>
      </c>
      <c r="BD111">
        <f t="shared" si="47"/>
        <v>0</v>
      </c>
      <c r="BE111" t="str" cm="1">
        <f t="array" ref="BE111">IF(AY111=1,INDEX($V$7:$AL$7,MATCH(TRUE,INDEX($V111:$AW111&lt;&gt;0,),0)),IF(AY111=0,INDEX($AM$7:$AW$7,MATCH(1,$AM111:$AW111,0)),IF(BF111="Multiple strategies","mixed drivers",IF(BF111="Supply chain","multiple supply","multiple silviculture"))))</f>
        <v>technologies/design switch</v>
      </c>
      <c r="BF111" s="2" t="str" cm="1">
        <f t="array" ref="BF111">IF(COUNTIF(AZ111:BB111,"&lt;&gt;0")=1,INDEX($V$4:$AW$4,MATCH(TRUE,INDEX($V111:$AW111&lt;&gt;0,),0)),IF(COUNTIF(AZ111:BB111,"&lt;&gt;0")=0,INDEX($AM$4:$AW$4,MATCH(1,$AM111:$AW111,0)),"Multiple strategies"))</f>
        <v>Technology</v>
      </c>
      <c r="BG111" s="173"/>
      <c r="BH111"/>
      <c r="BI111"/>
      <c r="BJ111" s="143"/>
      <c r="BK111"/>
      <c r="BL111" s="143"/>
      <c r="BM111" s="143"/>
      <c r="BN111" s="143"/>
      <c r="BO111" s="143"/>
      <c r="BP111" s="143" t="s">
        <v>232</v>
      </c>
      <c r="BQ111" s="143"/>
      <c r="BR111" s="143" t="s">
        <v>397</v>
      </c>
      <c r="BS111" s="143">
        <v>-102</v>
      </c>
      <c r="BT111">
        <v>-6.57</v>
      </c>
      <c r="BU111">
        <f t="shared" si="48"/>
        <v>6.4411764705882349E-2</v>
      </c>
      <c r="BV111">
        <f t="shared" si="49"/>
        <v>95.43</v>
      </c>
      <c r="BW111"/>
      <c r="BX111">
        <f t="shared" si="50"/>
        <v>9.5430000000000001E-2</v>
      </c>
      <c r="BY111" t="str">
        <f t="shared" si="51"/>
        <v/>
      </c>
      <c r="BZ111">
        <v>1</v>
      </c>
      <c r="CA111">
        <v>1</v>
      </c>
      <c r="CB111">
        <v>1</v>
      </c>
      <c r="CC111">
        <v>1</v>
      </c>
      <c r="CD111">
        <v>1</v>
      </c>
      <c r="CE111">
        <v>1</v>
      </c>
      <c r="CF111">
        <v>1</v>
      </c>
      <c r="CG111">
        <v>0</v>
      </c>
      <c r="CH111">
        <v>0</v>
      </c>
      <c r="CI111">
        <v>0</v>
      </c>
      <c r="CJ111">
        <v>0</v>
      </c>
      <c r="CK111">
        <v>0</v>
      </c>
      <c r="CL111">
        <v>0</v>
      </c>
      <c r="CM111">
        <v>0</v>
      </c>
      <c r="CN111" t="str">
        <f t="shared" si="52"/>
        <v>refOK</v>
      </c>
      <c r="CO111"/>
      <c r="CP111"/>
      <c r="CQ111"/>
      <c r="CR111">
        <f t="shared" si="53"/>
        <v>-102</v>
      </c>
      <c r="CS111">
        <f t="shared" si="54"/>
        <v>-6.57</v>
      </c>
      <c r="CT111">
        <f t="shared" si="55"/>
        <v>9.5430000000000001E-2</v>
      </c>
      <c r="CU111" t="str">
        <f t="shared" si="56"/>
        <v/>
      </c>
      <c r="CV111" s="2">
        <f t="shared" si="57"/>
        <v>0.93558823529411772</v>
      </c>
      <c r="CW111" s="1" t="s">
        <v>1198</v>
      </c>
      <c r="CX111" s="311" t="str">
        <f t="shared" si="58"/>
        <v>reg</v>
      </c>
      <c r="CY111" t="s">
        <v>428</v>
      </c>
      <c r="CZ111"/>
      <c r="DA111" s="143"/>
      <c r="DB111" s="143">
        <v>0</v>
      </c>
      <c r="DC111" t="str">
        <f t="shared" si="59"/>
        <v>0</v>
      </c>
      <c r="DD111">
        <v>0</v>
      </c>
      <c r="DE111">
        <v>1</v>
      </c>
      <c r="DF111">
        <v>0</v>
      </c>
      <c r="DG111">
        <v>0</v>
      </c>
      <c r="DH111"/>
      <c r="DI111">
        <f t="shared" si="60"/>
        <v>1</v>
      </c>
      <c r="DJ111" t="str">
        <f t="shared" si="61"/>
        <v>EnergyInput</v>
      </c>
      <c r="DK111">
        <f t="shared" si="62"/>
        <v>0</v>
      </c>
      <c r="DL111" t="str">
        <f t="shared" si="62"/>
        <v>Energy</v>
      </c>
      <c r="DM111">
        <f t="shared" si="62"/>
        <v>0</v>
      </c>
      <c r="DN111">
        <f t="shared" si="62"/>
        <v>0</v>
      </c>
      <c r="DO111">
        <v>0</v>
      </c>
      <c r="DP111" s="143">
        <v>0</v>
      </c>
      <c r="DQ111" s="143">
        <v>0</v>
      </c>
      <c r="DR111" s="143">
        <v>0</v>
      </c>
      <c r="DS111" s="143">
        <v>0</v>
      </c>
      <c r="DT111">
        <f t="shared" si="63"/>
        <v>0</v>
      </c>
      <c r="DU111" s="143" t="str">
        <f t="shared" si="64"/>
        <v>explicit C balance</v>
      </c>
      <c r="DV111" s="143">
        <v>0</v>
      </c>
      <c r="DW111" s="143">
        <v>0</v>
      </c>
      <c r="DX111" s="143">
        <v>0</v>
      </c>
      <c r="DY111" s="143">
        <v>0</v>
      </c>
      <c r="DZ111">
        <v>0</v>
      </c>
      <c r="EA111" s="143">
        <v>0</v>
      </c>
      <c r="EB111" s="143">
        <v>1</v>
      </c>
      <c r="EC111" s="143">
        <v>1</v>
      </c>
      <c r="ED111" s="143">
        <v>0</v>
      </c>
      <c r="EE111" s="143">
        <v>0</v>
      </c>
      <c r="EF111">
        <v>0</v>
      </c>
      <c r="EG111" s="143">
        <v>0</v>
      </c>
      <c r="EH111">
        <v>0</v>
      </c>
      <c r="EI111" s="2">
        <v>0</v>
      </c>
      <c r="EJ111" s="1"/>
      <c r="EK111" t="str">
        <f t="shared" si="65"/>
        <v/>
      </c>
      <c r="EL111" t="str">
        <f t="shared" si="66"/>
        <v/>
      </c>
      <c r="EM111" s="2" t="str">
        <f t="shared" si="67"/>
        <v>Technology approach</v>
      </c>
      <c r="EN111" s="311" t="s">
        <v>3455</v>
      </c>
      <c r="EO111"/>
      <c r="EP111" t="b">
        <f>IF(ISNUMBER(BU111),IF(ABS(BU111-[1]QC_indicators!$B$2)&gt;3*[1]QC_indicators!$C$2,"C ratio",IF(ISNUMBER(BY111),IF(ABS(BY111-[1]QC_indicators!$B$1)&gt;3*[1]QC_indicators!$C$1,"DF","no"))),IF(ISNUMBER(BY111),IF(ABS(BY111-[1]QC_indicators!$B$1)&gt;3*[1]QC_indicators!$C$1,"DF","no")))</f>
        <v>0</v>
      </c>
      <c r="EQ111"/>
      <c r="ER111"/>
      <c r="ES111"/>
      <c r="ET111"/>
      <c r="EU111"/>
    </row>
    <row r="112" spans="1:151" s="139" customFormat="1" ht="15" hidden="1" customHeight="1">
      <c r="A112" s="1" t="s">
        <v>3445</v>
      </c>
      <c r="B112" t="s">
        <v>3446</v>
      </c>
      <c r="C112" t="s">
        <v>3447</v>
      </c>
      <c r="D112" t="s">
        <v>3448</v>
      </c>
      <c r="E112" t="s">
        <v>3449</v>
      </c>
      <c r="F112" t="s">
        <v>3450</v>
      </c>
      <c r="G112" t="s">
        <v>3451</v>
      </c>
      <c r="H112"/>
      <c r="I112">
        <v>2018</v>
      </c>
      <c r="J112"/>
      <c r="K112" t="s">
        <v>3452</v>
      </c>
      <c r="L112"/>
      <c r="M112" t="str">
        <f t="shared" si="40"/>
        <v>Alanya-Rosenbaum_2018</v>
      </c>
      <c r="N112" s="311" t="s">
        <v>4382</v>
      </c>
      <c r="O112" s="140" t="s">
        <v>223</v>
      </c>
      <c r="P112"/>
      <c r="Q112" s="311" t="s">
        <v>224</v>
      </c>
      <c r="R112" s="312"/>
      <c r="S112" s="1" t="s">
        <v>423</v>
      </c>
      <c r="T112" t="s">
        <v>1200</v>
      </c>
      <c r="U112" s="143" t="s">
        <v>1182</v>
      </c>
      <c r="V112">
        <v>0</v>
      </c>
      <c r="W112">
        <v>0</v>
      </c>
      <c r="X112">
        <v>0</v>
      </c>
      <c r="Y112">
        <v>0</v>
      </c>
      <c r="Z112">
        <v>0</v>
      </c>
      <c r="AA112">
        <v>0</v>
      </c>
      <c r="AB112">
        <v>0</v>
      </c>
      <c r="AC112">
        <v>0</v>
      </c>
      <c r="AD112">
        <v>0</v>
      </c>
      <c r="AE112">
        <v>0</v>
      </c>
      <c r="AF112">
        <v>0</v>
      </c>
      <c r="AG112">
        <v>0</v>
      </c>
      <c r="AH112">
        <v>0</v>
      </c>
      <c r="AI112">
        <v>0</v>
      </c>
      <c r="AJ112">
        <v>0</v>
      </c>
      <c r="AK112">
        <v>1</v>
      </c>
      <c r="AL112">
        <v>0</v>
      </c>
      <c r="AM112">
        <v>0</v>
      </c>
      <c r="AN112">
        <v>0</v>
      </c>
      <c r="AO112">
        <v>0</v>
      </c>
      <c r="AP112">
        <v>0</v>
      </c>
      <c r="AQ112">
        <v>0</v>
      </c>
      <c r="AR112">
        <v>0</v>
      </c>
      <c r="AS112">
        <v>0</v>
      </c>
      <c r="AT112">
        <v>0</v>
      </c>
      <c r="AU112">
        <v>0</v>
      </c>
      <c r="AV112">
        <v>0</v>
      </c>
      <c r="AW112">
        <v>0</v>
      </c>
      <c r="AX112" s="141">
        <f t="shared" si="41"/>
        <v>1</v>
      </c>
      <c r="AY112" s="141">
        <f t="shared" si="42"/>
        <v>1</v>
      </c>
      <c r="AZ112">
        <f t="shared" si="43"/>
        <v>0</v>
      </c>
      <c r="BA112">
        <f t="shared" si="44"/>
        <v>0</v>
      </c>
      <c r="BB112">
        <f t="shared" si="45"/>
        <v>1</v>
      </c>
      <c r="BC112">
        <f t="shared" si="46"/>
        <v>0</v>
      </c>
      <c r="BD112">
        <f t="shared" si="47"/>
        <v>0</v>
      </c>
      <c r="BE112" t="str" cm="1">
        <f t="array" ref="BE112">IF(AY112=1,INDEX($V$7:$AL$7,MATCH(TRUE,INDEX($V112:$AW112&lt;&gt;0,),0)),IF(AY112=0,INDEX($AM$7:$AW$7,MATCH(1,$AM112:$AW112,0)),IF(BF112="Multiple strategies","mixed drivers",IF(BF112="Supply chain","multiple supply","multiple silviculture"))))</f>
        <v>technologies/design switch</v>
      </c>
      <c r="BF112" s="2" t="str" cm="1">
        <f t="array" ref="BF112">IF(COUNTIF(AZ112:BB112,"&lt;&gt;0")=1,INDEX($V$4:$AW$4,MATCH(TRUE,INDEX($V112:$AW112&lt;&gt;0,),0)),IF(COUNTIF(AZ112:BB112,"&lt;&gt;0")=0,INDEX($AM$4:$AW$4,MATCH(1,$AM112:$AW112,0)),"Multiple strategies"))</f>
        <v>Technology</v>
      </c>
      <c r="BG112" s="173"/>
      <c r="BH112"/>
      <c r="BI112"/>
      <c r="BJ112" s="143"/>
      <c r="BK112"/>
      <c r="BL112" s="143"/>
      <c r="BM112" s="143"/>
      <c r="BN112" s="143"/>
      <c r="BO112" s="143"/>
      <c r="BP112" s="143" t="s">
        <v>232</v>
      </c>
      <c r="BQ112" s="143"/>
      <c r="BR112" s="143" t="s">
        <v>397</v>
      </c>
      <c r="BS112" s="143">
        <v>-102</v>
      </c>
      <c r="BT112">
        <v>-4.93</v>
      </c>
      <c r="BU112">
        <f t="shared" si="48"/>
        <v>4.8333333333333332E-2</v>
      </c>
      <c r="BV112">
        <f t="shared" si="49"/>
        <v>97.07</v>
      </c>
      <c r="BW112"/>
      <c r="BX112">
        <f t="shared" si="50"/>
        <v>9.706999999999999E-2</v>
      </c>
      <c r="BY112" t="str">
        <f t="shared" si="51"/>
        <v/>
      </c>
      <c r="BZ112">
        <v>1</v>
      </c>
      <c r="CA112">
        <v>1</v>
      </c>
      <c r="CB112">
        <v>1</v>
      </c>
      <c r="CC112">
        <v>1</v>
      </c>
      <c r="CD112">
        <v>1</v>
      </c>
      <c r="CE112">
        <v>1</v>
      </c>
      <c r="CF112">
        <v>1</v>
      </c>
      <c r="CG112">
        <v>0</v>
      </c>
      <c r="CH112">
        <v>0</v>
      </c>
      <c r="CI112">
        <v>0</v>
      </c>
      <c r="CJ112">
        <v>0</v>
      </c>
      <c r="CK112">
        <v>0</v>
      </c>
      <c r="CL112">
        <v>0</v>
      </c>
      <c r="CM112">
        <v>0</v>
      </c>
      <c r="CN112" t="str">
        <f t="shared" si="52"/>
        <v>refOK</v>
      </c>
      <c r="CO112"/>
      <c r="CP112"/>
      <c r="CQ112"/>
      <c r="CR112">
        <f t="shared" si="53"/>
        <v>-102</v>
      </c>
      <c r="CS112">
        <f t="shared" si="54"/>
        <v>-4.93</v>
      </c>
      <c r="CT112">
        <f t="shared" si="55"/>
        <v>9.706999999999999E-2</v>
      </c>
      <c r="CU112" t="str">
        <f t="shared" si="56"/>
        <v/>
      </c>
      <c r="CV112" s="2">
        <f t="shared" si="57"/>
        <v>0.95166666666666655</v>
      </c>
      <c r="CW112" s="1" t="s">
        <v>1198</v>
      </c>
      <c r="CX112" s="311" t="str">
        <f t="shared" si="58"/>
        <v>reg</v>
      </c>
      <c r="CY112" t="s">
        <v>428</v>
      </c>
      <c r="CZ112"/>
      <c r="DA112" s="143"/>
      <c r="DB112" s="143">
        <v>0</v>
      </c>
      <c r="DC112" t="str">
        <f t="shared" si="59"/>
        <v>0</v>
      </c>
      <c r="DD112">
        <v>0</v>
      </c>
      <c r="DE112">
        <v>1</v>
      </c>
      <c r="DF112">
        <v>0</v>
      </c>
      <c r="DG112">
        <v>0</v>
      </c>
      <c r="DH112"/>
      <c r="DI112">
        <f t="shared" si="60"/>
        <v>1</v>
      </c>
      <c r="DJ112" t="str">
        <f t="shared" si="61"/>
        <v>EnergyInput</v>
      </c>
      <c r="DK112">
        <f t="shared" si="62"/>
        <v>0</v>
      </c>
      <c r="DL112" t="str">
        <f t="shared" si="62"/>
        <v>Energy</v>
      </c>
      <c r="DM112">
        <f t="shared" si="62"/>
        <v>0</v>
      </c>
      <c r="DN112">
        <f t="shared" si="62"/>
        <v>0</v>
      </c>
      <c r="DO112">
        <v>0</v>
      </c>
      <c r="DP112" s="143">
        <v>0</v>
      </c>
      <c r="DQ112" s="143">
        <v>0</v>
      </c>
      <c r="DR112" s="143">
        <v>0</v>
      </c>
      <c r="DS112" s="143">
        <v>0</v>
      </c>
      <c r="DT112">
        <f t="shared" si="63"/>
        <v>0</v>
      </c>
      <c r="DU112" s="143" t="str">
        <f t="shared" si="64"/>
        <v>explicit C balance</v>
      </c>
      <c r="DV112" s="143">
        <v>0</v>
      </c>
      <c r="DW112" s="143">
        <v>0</v>
      </c>
      <c r="DX112" s="143">
        <v>0</v>
      </c>
      <c r="DY112" s="143">
        <v>0</v>
      </c>
      <c r="DZ112">
        <v>0</v>
      </c>
      <c r="EA112" s="143">
        <v>0</v>
      </c>
      <c r="EB112" s="143">
        <v>1</v>
      </c>
      <c r="EC112" s="143">
        <v>1</v>
      </c>
      <c r="ED112" s="143">
        <v>0</v>
      </c>
      <c r="EE112" s="143">
        <v>0</v>
      </c>
      <c r="EF112">
        <v>0</v>
      </c>
      <c r="EG112" s="143">
        <v>0</v>
      </c>
      <c r="EH112">
        <v>0</v>
      </c>
      <c r="EI112" s="2">
        <v>0</v>
      </c>
      <c r="EJ112" s="1"/>
      <c r="EK112" t="str">
        <f t="shared" si="65"/>
        <v/>
      </c>
      <c r="EL112" t="str">
        <f t="shared" si="66"/>
        <v/>
      </c>
      <c r="EM112" s="2" t="str">
        <f t="shared" si="67"/>
        <v>Technology approach</v>
      </c>
      <c r="EN112" s="311" t="s">
        <v>3455</v>
      </c>
      <c r="EO112"/>
      <c r="EP112" t="b">
        <f>IF(ISNUMBER(BU112),IF(ABS(BU112-[1]QC_indicators!$B$2)&gt;3*[1]QC_indicators!$C$2,"C ratio",IF(ISNUMBER(BY112),IF(ABS(BY112-[1]QC_indicators!$B$1)&gt;3*[1]QC_indicators!$C$1,"DF","no"))),IF(ISNUMBER(BY112),IF(ABS(BY112-[1]QC_indicators!$B$1)&gt;3*[1]QC_indicators!$C$1,"DF","no")))</f>
        <v>0</v>
      </c>
      <c r="EQ112"/>
      <c r="ER112"/>
      <c r="ES112"/>
      <c r="ET112"/>
      <c r="EU112"/>
    </row>
    <row r="113" spans="1:151" s="139" customFormat="1" ht="15" hidden="1" customHeight="1">
      <c r="A113" s="1" t="s">
        <v>3445</v>
      </c>
      <c r="B113" t="s">
        <v>3446</v>
      </c>
      <c r="C113" t="s">
        <v>3447</v>
      </c>
      <c r="D113" t="s">
        <v>3448</v>
      </c>
      <c r="E113" t="s">
        <v>3449</v>
      </c>
      <c r="F113" t="s">
        <v>3450</v>
      </c>
      <c r="G113" t="s">
        <v>3451</v>
      </c>
      <c r="H113"/>
      <c r="I113">
        <v>2018</v>
      </c>
      <c r="J113"/>
      <c r="K113" t="s">
        <v>3452</v>
      </c>
      <c r="L113"/>
      <c r="M113" t="str">
        <f t="shared" si="40"/>
        <v>Alanya-Rosenbaum_2018</v>
      </c>
      <c r="N113" s="311" t="s">
        <v>4382</v>
      </c>
      <c r="O113" s="140" t="s">
        <v>223</v>
      </c>
      <c r="P113"/>
      <c r="Q113" s="311" t="s">
        <v>224</v>
      </c>
      <c r="R113" s="312"/>
      <c r="S113" s="1" t="s">
        <v>423</v>
      </c>
      <c r="T113" t="s">
        <v>1200</v>
      </c>
      <c r="U113" s="143" t="s">
        <v>1201</v>
      </c>
      <c r="V113">
        <v>0</v>
      </c>
      <c r="W113">
        <v>0</v>
      </c>
      <c r="X113">
        <v>0</v>
      </c>
      <c r="Y113">
        <v>0</v>
      </c>
      <c r="Z113">
        <v>0</v>
      </c>
      <c r="AA113">
        <v>0</v>
      </c>
      <c r="AB113">
        <v>0</v>
      </c>
      <c r="AC113">
        <v>0</v>
      </c>
      <c r="AD113">
        <v>0</v>
      </c>
      <c r="AE113">
        <v>0</v>
      </c>
      <c r="AF113">
        <v>0</v>
      </c>
      <c r="AG113">
        <v>0</v>
      </c>
      <c r="AH113">
        <v>0</v>
      </c>
      <c r="AI113">
        <v>0</v>
      </c>
      <c r="AJ113">
        <v>0</v>
      </c>
      <c r="AK113">
        <v>1</v>
      </c>
      <c r="AL113">
        <v>0</v>
      </c>
      <c r="AM113">
        <v>0</v>
      </c>
      <c r="AN113">
        <v>0</v>
      </c>
      <c r="AO113">
        <v>0</v>
      </c>
      <c r="AP113">
        <v>0</v>
      </c>
      <c r="AQ113">
        <v>0</v>
      </c>
      <c r="AR113">
        <v>0</v>
      </c>
      <c r="AS113">
        <v>0</v>
      </c>
      <c r="AT113">
        <v>0</v>
      </c>
      <c r="AU113">
        <v>0</v>
      </c>
      <c r="AV113">
        <v>0</v>
      </c>
      <c r="AW113">
        <v>0</v>
      </c>
      <c r="AX113" s="141">
        <f t="shared" si="41"/>
        <v>1</v>
      </c>
      <c r="AY113" s="141">
        <f t="shared" si="42"/>
        <v>1</v>
      </c>
      <c r="AZ113">
        <f t="shared" si="43"/>
        <v>0</v>
      </c>
      <c r="BA113">
        <f t="shared" si="44"/>
        <v>0</v>
      </c>
      <c r="BB113">
        <f t="shared" si="45"/>
        <v>1</v>
      </c>
      <c r="BC113">
        <f t="shared" si="46"/>
        <v>0</v>
      </c>
      <c r="BD113">
        <f t="shared" si="47"/>
        <v>0</v>
      </c>
      <c r="BE113" t="str" cm="1">
        <f t="array" ref="BE113">IF(AY113=1,INDEX($V$7:$AL$7,MATCH(TRUE,INDEX($V113:$AW113&lt;&gt;0,),0)),IF(AY113=0,INDEX($AM$7:$AW$7,MATCH(1,$AM113:$AW113,0)),IF(BF113="Multiple strategies","mixed drivers",IF(BF113="Supply chain","multiple supply","multiple silviculture"))))</f>
        <v>technologies/design switch</v>
      </c>
      <c r="BF113" s="2" t="str" cm="1">
        <f t="array" ref="BF113">IF(COUNTIF(AZ113:BB113,"&lt;&gt;0")=1,INDEX($V$4:$AW$4,MATCH(TRUE,INDEX($V113:$AW113&lt;&gt;0,),0)),IF(COUNTIF(AZ113:BB113,"&lt;&gt;0")=0,INDEX($AM$4:$AW$4,MATCH(1,$AM113:$AW113,0)),"Multiple strategies"))</f>
        <v>Technology</v>
      </c>
      <c r="BG113" s="173"/>
      <c r="BH113"/>
      <c r="BI113"/>
      <c r="BJ113" s="143"/>
      <c r="BK113"/>
      <c r="BL113" s="143"/>
      <c r="BM113" s="143"/>
      <c r="BN113" s="143"/>
      <c r="BO113" s="143"/>
      <c r="BP113" s="143" t="s">
        <v>232</v>
      </c>
      <c r="BQ113" s="143"/>
      <c r="BR113" s="143" t="s">
        <v>397</v>
      </c>
      <c r="BS113" s="143">
        <v>-102</v>
      </c>
      <c r="BT113">
        <v>-4.5599999999999996</v>
      </c>
      <c r="BU113">
        <f t="shared" si="48"/>
        <v>4.4705882352941172E-2</v>
      </c>
      <c r="BV113">
        <f t="shared" si="49"/>
        <v>97.44</v>
      </c>
      <c r="BW113"/>
      <c r="BX113">
        <f t="shared" si="50"/>
        <v>9.7439999999999999E-2</v>
      </c>
      <c r="BY113" t="str">
        <f t="shared" si="51"/>
        <v/>
      </c>
      <c r="BZ113">
        <v>1</v>
      </c>
      <c r="CA113">
        <v>1</v>
      </c>
      <c r="CB113">
        <v>1</v>
      </c>
      <c r="CC113">
        <v>1</v>
      </c>
      <c r="CD113">
        <v>1</v>
      </c>
      <c r="CE113">
        <v>1</v>
      </c>
      <c r="CF113">
        <v>1</v>
      </c>
      <c r="CG113">
        <v>0</v>
      </c>
      <c r="CH113">
        <v>0</v>
      </c>
      <c r="CI113">
        <v>0</v>
      </c>
      <c r="CJ113">
        <v>0</v>
      </c>
      <c r="CK113">
        <v>0</v>
      </c>
      <c r="CL113">
        <v>0</v>
      </c>
      <c r="CM113">
        <v>0</v>
      </c>
      <c r="CN113" t="str">
        <f t="shared" si="52"/>
        <v>refOK</v>
      </c>
      <c r="CO113"/>
      <c r="CP113"/>
      <c r="CQ113"/>
      <c r="CR113">
        <f t="shared" si="53"/>
        <v>-102</v>
      </c>
      <c r="CS113">
        <f t="shared" si="54"/>
        <v>-4.5599999999999996</v>
      </c>
      <c r="CT113">
        <f t="shared" si="55"/>
        <v>9.7439999999999999E-2</v>
      </c>
      <c r="CU113" t="str">
        <f t="shared" si="56"/>
        <v/>
      </c>
      <c r="CV113" s="2">
        <f t="shared" si="57"/>
        <v>0.95529411764705885</v>
      </c>
      <c r="CW113" s="1" t="s">
        <v>1198</v>
      </c>
      <c r="CX113" s="311" t="str">
        <f t="shared" si="58"/>
        <v>reg</v>
      </c>
      <c r="CY113" t="s">
        <v>428</v>
      </c>
      <c r="CZ113"/>
      <c r="DA113" s="143"/>
      <c r="DB113" s="143">
        <v>0</v>
      </c>
      <c r="DC113" t="str">
        <f t="shared" si="59"/>
        <v>0</v>
      </c>
      <c r="DD113">
        <v>0</v>
      </c>
      <c r="DE113">
        <v>1</v>
      </c>
      <c r="DF113">
        <v>0</v>
      </c>
      <c r="DG113">
        <v>0</v>
      </c>
      <c r="DH113"/>
      <c r="DI113">
        <f t="shared" si="60"/>
        <v>1</v>
      </c>
      <c r="DJ113" t="str">
        <f t="shared" si="61"/>
        <v>EnergyInput</v>
      </c>
      <c r="DK113">
        <f t="shared" si="62"/>
        <v>0</v>
      </c>
      <c r="DL113" t="str">
        <f t="shared" si="62"/>
        <v>Energy</v>
      </c>
      <c r="DM113">
        <f t="shared" si="62"/>
        <v>0</v>
      </c>
      <c r="DN113">
        <f t="shared" si="62"/>
        <v>0</v>
      </c>
      <c r="DO113">
        <v>0</v>
      </c>
      <c r="DP113" s="143">
        <v>0</v>
      </c>
      <c r="DQ113" s="143">
        <v>0</v>
      </c>
      <c r="DR113" s="143">
        <v>0</v>
      </c>
      <c r="DS113" s="143">
        <v>0</v>
      </c>
      <c r="DT113">
        <f t="shared" si="63"/>
        <v>0</v>
      </c>
      <c r="DU113" s="143" t="str">
        <f t="shared" si="64"/>
        <v>explicit C balance</v>
      </c>
      <c r="DV113" s="143">
        <v>0</v>
      </c>
      <c r="DW113" s="143">
        <v>0</v>
      </c>
      <c r="DX113" s="143">
        <v>0</v>
      </c>
      <c r="DY113" s="143">
        <v>0</v>
      </c>
      <c r="DZ113">
        <v>0</v>
      </c>
      <c r="EA113" s="143">
        <v>0</v>
      </c>
      <c r="EB113" s="143">
        <v>1</v>
      </c>
      <c r="EC113" s="143">
        <v>1</v>
      </c>
      <c r="ED113" s="143">
        <v>0</v>
      </c>
      <c r="EE113" s="143">
        <v>0</v>
      </c>
      <c r="EF113">
        <v>0</v>
      </c>
      <c r="EG113" s="143">
        <v>0</v>
      </c>
      <c r="EH113">
        <v>0</v>
      </c>
      <c r="EI113" s="2">
        <v>0</v>
      </c>
      <c r="EJ113" s="1"/>
      <c r="EK113" t="str">
        <f t="shared" si="65"/>
        <v/>
      </c>
      <c r="EL113" t="str">
        <f t="shared" si="66"/>
        <v/>
      </c>
      <c r="EM113" s="2" t="str">
        <f t="shared" si="67"/>
        <v>Technology approach</v>
      </c>
      <c r="EN113" s="311" t="s">
        <v>3455</v>
      </c>
      <c r="EO113"/>
      <c r="EP113" t="b">
        <f>IF(ISNUMBER(BU113),IF(ABS(BU113-[1]QC_indicators!$B$2)&gt;3*[1]QC_indicators!$C$2,"C ratio",IF(ISNUMBER(BY113),IF(ABS(BY113-[1]QC_indicators!$B$1)&gt;3*[1]QC_indicators!$C$1,"DF","no"))),IF(ISNUMBER(BY113),IF(ABS(BY113-[1]QC_indicators!$B$1)&gt;3*[1]QC_indicators!$C$1,"DF","no")))</f>
        <v>0</v>
      </c>
      <c r="EQ113"/>
      <c r="ER113"/>
      <c r="ES113"/>
      <c r="ET113"/>
      <c r="EU113"/>
    </row>
    <row r="114" spans="1:151" s="139" customFormat="1" ht="15" hidden="1" customHeight="1">
      <c r="A114" s="1" t="s">
        <v>4144</v>
      </c>
      <c r="B114" t="s">
        <v>4396</v>
      </c>
      <c r="C114" t="s">
        <v>4397</v>
      </c>
      <c r="D114" t="s">
        <v>4398</v>
      </c>
      <c r="E114" t="s">
        <v>4399</v>
      </c>
      <c r="F114" t="s">
        <v>4400</v>
      </c>
      <c r="G114" t="s">
        <v>4150</v>
      </c>
      <c r="H114" t="s">
        <v>254</v>
      </c>
      <c r="I114">
        <v>2019</v>
      </c>
      <c r="J114">
        <v>14</v>
      </c>
      <c r="K114" t="s">
        <v>4401</v>
      </c>
      <c r="L114"/>
      <c r="M114" t="str">
        <f t="shared" si="40"/>
        <v>Albers_2019</v>
      </c>
      <c r="N114" s="311" t="s">
        <v>2581</v>
      </c>
      <c r="O114" s="311" t="s">
        <v>1153</v>
      </c>
      <c r="P114"/>
      <c r="Q114" s="311" t="s">
        <v>389</v>
      </c>
      <c r="R114" s="312"/>
      <c r="S114" s="1"/>
      <c r="T114"/>
      <c r="U114"/>
      <c r="V114"/>
      <c r="W114"/>
      <c r="X114"/>
      <c r="Y114"/>
      <c r="Z114"/>
      <c r="AA114"/>
      <c r="AB114"/>
      <c r="AC114"/>
      <c r="AD114"/>
      <c r="AE114"/>
      <c r="AF114"/>
      <c r="AG114"/>
      <c r="AH114"/>
      <c r="AI114"/>
      <c r="AJ114"/>
      <c r="AK114"/>
      <c r="AL114"/>
      <c r="AM114"/>
      <c r="AN114"/>
      <c r="AO114"/>
      <c r="AP114"/>
      <c r="AQ114"/>
      <c r="AR114"/>
      <c r="AS114"/>
      <c r="AT114"/>
      <c r="AU114"/>
      <c r="AV114"/>
      <c r="AW114"/>
      <c r="AX114"/>
      <c r="AY114"/>
      <c r="AZ114"/>
      <c r="BA114"/>
      <c r="BB114"/>
      <c r="BC114"/>
      <c r="BD114"/>
      <c r="BE114"/>
      <c r="BF114" s="2"/>
      <c r="BG114" s="1"/>
      <c r="BH114"/>
      <c r="BI114"/>
      <c r="BJ114"/>
      <c r="BK114"/>
      <c r="BL114"/>
      <c r="BM114"/>
      <c r="BN114"/>
      <c r="BO114"/>
      <c r="BP114"/>
      <c r="BQ114"/>
      <c r="BR114"/>
      <c r="BS114"/>
      <c r="BT114"/>
      <c r="BU114"/>
      <c r="BV114"/>
      <c r="BW114"/>
      <c r="BX114"/>
      <c r="BY114" t="str">
        <f t="shared" si="51"/>
        <v/>
      </c>
      <c r="BZ114"/>
      <c r="CA114"/>
      <c r="CB114"/>
      <c r="CC114"/>
      <c r="CD114"/>
      <c r="CE114"/>
      <c r="CF114"/>
      <c r="CG114"/>
      <c r="CH114"/>
      <c r="CI114"/>
      <c r="CJ114"/>
      <c r="CK114"/>
      <c r="CL114"/>
      <c r="CM114"/>
      <c r="CN114"/>
      <c r="CO114"/>
      <c r="CP114"/>
      <c r="CQ114"/>
      <c r="CR114"/>
      <c r="CS114"/>
      <c r="CT114"/>
      <c r="CU114"/>
      <c r="CV114" s="2"/>
      <c r="CW114" s="1"/>
      <c r="CX114"/>
      <c r="CY114"/>
      <c r="CZ114"/>
      <c r="DA114"/>
      <c r="DB114"/>
      <c r="DC114" t="str">
        <f>IF(DB114=0,"0",IF(AND(DB114&gt;=1,DB114&lt;=70),"1-70",IF(AND(DB114&gt;70,DB114&lt;=100),"70-100",IF(DB114&gt;100,"+100"))))</f>
        <v>0</v>
      </c>
      <c r="DD114"/>
      <c r="DE114"/>
      <c r="DF114"/>
      <c r="DG114"/>
      <c r="DH114"/>
      <c r="DI114"/>
      <c r="DJ114"/>
      <c r="DK114"/>
      <c r="DL114"/>
      <c r="DM114"/>
      <c r="DN114"/>
      <c r="DO114"/>
      <c r="DP114"/>
      <c r="DQ114"/>
      <c r="DR114"/>
      <c r="DS114"/>
      <c r="DT114"/>
      <c r="DU114"/>
      <c r="DV114"/>
      <c r="DW114"/>
      <c r="DX114"/>
      <c r="DY114"/>
      <c r="DZ114"/>
      <c r="EA114"/>
      <c r="EB114"/>
      <c r="EC114"/>
      <c r="ED114"/>
      <c r="EE114"/>
      <c r="EF114"/>
      <c r="EG114"/>
      <c r="EH114"/>
      <c r="EI114" s="2"/>
      <c r="EJ114" s="1"/>
      <c r="EK114" t="str">
        <f t="shared" si="65"/>
        <v/>
      </c>
      <c r="EL114" t="str">
        <f t="shared" si="66"/>
        <v/>
      </c>
      <c r="EM114" s="2" t="str">
        <f t="shared" si="67"/>
        <v/>
      </c>
      <c r="EN114" t="s">
        <v>4402</v>
      </c>
      <c r="EO114"/>
      <c r="EP114" t="b">
        <f>IF(ISNUMBER(BU114),IF(ABS(BU114-[1]QC_indicators!$B$2)&gt;3*[1]QC_indicators!$C$2,"C ratio",IF(ISNUMBER(BY114),IF(ABS(BY114-[1]QC_indicators!$B$1)&gt;3*[1]QC_indicators!$C$1,"DF","no"))),IF(ISNUMBER(BY114),IF(ABS(BY114-[1]QC_indicators!$B$1)&gt;3*[1]QC_indicators!$C$1,"DF","no")))</f>
        <v>0</v>
      </c>
      <c r="EQ114"/>
      <c r="ER114"/>
      <c r="ES114"/>
      <c r="ET114"/>
      <c r="EU114"/>
    </row>
    <row r="115" spans="1:151" s="139" customFormat="1" ht="15" hidden="1" customHeight="1">
      <c r="A115" s="1" t="s">
        <v>380</v>
      </c>
      <c r="B115" t="s">
        <v>3458</v>
      </c>
      <c r="C115" t="s">
        <v>3459</v>
      </c>
      <c r="D115" t="s">
        <v>3460</v>
      </c>
      <c r="E115" t="s">
        <v>3461</v>
      </c>
      <c r="F115" t="s">
        <v>3462</v>
      </c>
      <c r="G115" t="s">
        <v>386</v>
      </c>
      <c r="H115"/>
      <c r="I115">
        <v>2020</v>
      </c>
      <c r="J115"/>
      <c r="K115" t="s">
        <v>3463</v>
      </c>
      <c r="L115"/>
      <c r="M115" t="str">
        <f t="shared" si="40"/>
        <v>Albers_2020</v>
      </c>
      <c r="N115" s="311" t="s">
        <v>4382</v>
      </c>
      <c r="O115" s="140" t="s">
        <v>223</v>
      </c>
      <c r="P115"/>
      <c r="Q115" s="311" t="s">
        <v>224</v>
      </c>
      <c r="R115" s="312"/>
      <c r="S115" s="1" t="s">
        <v>3464</v>
      </c>
      <c r="T115" t="s">
        <v>3465</v>
      </c>
      <c r="U115" s="143" t="s">
        <v>3466</v>
      </c>
      <c r="V115">
        <v>0</v>
      </c>
      <c r="W115">
        <v>0</v>
      </c>
      <c r="X115">
        <v>0</v>
      </c>
      <c r="Y115">
        <v>1</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s="141">
        <f>COUNTIF(V115:AW115,"&lt;&gt;0")</f>
        <v>1</v>
      </c>
      <c r="AY115" s="141">
        <f>COUNTIF(V115:AL115,"&lt;&gt;0")</f>
        <v>1</v>
      </c>
      <c r="AZ115">
        <f>COUNTIF(V115:AC115,"&lt;&gt;0")</f>
        <v>1</v>
      </c>
      <c r="BA115">
        <f>COUNTIF(AD115:AI115,"&lt;&gt;0")</f>
        <v>0</v>
      </c>
      <c r="BB115">
        <f>COUNTIF(AJ115:AL115,"&lt;&gt;0")</f>
        <v>0</v>
      </c>
      <c r="BC115">
        <f>COUNTIF(AS115:AW115,"&lt;&gt;0")</f>
        <v>0</v>
      </c>
      <c r="BD115">
        <f>COUNTIF(AM115:AR115,"&lt;&gt;0")</f>
        <v>0</v>
      </c>
      <c r="BE115" t="str" cm="1">
        <f t="array" ref="BE115">IF(AY115=1,INDEX($V$7:$AL$7,MATCH(TRUE,INDEX($V115:$AW115&lt;&gt;0,),0)),IF(AY115=0,INDEX($AM$7:$AW$7,MATCH(1,$AM115:$AW115,0)),IF(BF115="Multiple strategies","mixed drivers",IF(BF115="Supply chain","multiple supply","multiple silviculture"))))</f>
        <v xml:space="preserve">cutting intensity </v>
      </c>
      <c r="BF115" s="2" t="str" cm="1">
        <f t="array" ref="BF115">IF(COUNTIF(AZ115:BB115,"&lt;&gt;0")=1,INDEX($V$4:$AW$4,MATCH(TRUE,INDEX($V115:$AW115&lt;&gt;0,),0)),IF(COUNTIF(AZ115:BB115,"&lt;&gt;0")=0,INDEX($AM$4:$AW$4,MATCH(1,$AM115:$AW115,0)),"Multiple strategies"))</f>
        <v>Silviculture for removals</v>
      </c>
      <c r="BG115" s="173"/>
      <c r="BH115"/>
      <c r="BI115"/>
      <c r="BJ115" s="143"/>
      <c r="BK115"/>
      <c r="BL115" s="143"/>
      <c r="BM115" s="143"/>
      <c r="BN115" s="143"/>
      <c r="BO115" s="143"/>
      <c r="BP115" s="311" t="s">
        <v>232</v>
      </c>
      <c r="BQ115" s="311"/>
      <c r="BR115" s="143" t="s">
        <v>539</v>
      </c>
      <c r="BS115">
        <v>-7596899224.8062</v>
      </c>
      <c r="BT115">
        <v>-7286821705.4263496</v>
      </c>
      <c r="BU115">
        <v>0.95918367346938704</v>
      </c>
      <c r="BV115">
        <v>310077519.37985039</v>
      </c>
      <c r="BW115"/>
      <c r="BX115">
        <f>BV115</f>
        <v>310077519.37985039</v>
      </c>
      <c r="BY115" t="str">
        <f t="shared" si="51"/>
        <v/>
      </c>
      <c r="BZ115">
        <v>0</v>
      </c>
      <c r="CA115">
        <v>0</v>
      </c>
      <c r="CB115">
        <v>0</v>
      </c>
      <c r="CC115">
        <v>0</v>
      </c>
      <c r="CD115">
        <v>0</v>
      </c>
      <c r="CE115">
        <v>0</v>
      </c>
      <c r="CF115">
        <v>0</v>
      </c>
      <c r="CG115">
        <v>0</v>
      </c>
      <c r="CH115">
        <v>0</v>
      </c>
      <c r="CI115">
        <v>0</v>
      </c>
      <c r="CJ115">
        <v>0</v>
      </c>
      <c r="CK115">
        <v>0</v>
      </c>
      <c r="CL115">
        <v>0</v>
      </c>
      <c r="CM115">
        <v>0</v>
      </c>
      <c r="CN115" t="str">
        <f>IF(BL115&lt;BK115,"refNeedCorrection","refOK")</f>
        <v>refOK</v>
      </c>
      <c r="CO115"/>
      <c r="CP115"/>
      <c r="CQ115"/>
      <c r="CR115">
        <f>IF($CN115="refOK",$BS115,$BT115)*IF($BP115="Emissions positive",-1,1)</f>
        <v>-7596899224.8062</v>
      </c>
      <c r="CS115">
        <f>IF($CN115="refOK",$BT115,$BS115)*IF($BP115="Emissions positive",-1,1)</f>
        <v>-7286821705.4263496</v>
      </c>
      <c r="CT115">
        <f>IF($CN115="refNeedCorrection",-BX115,BX115)*IF($BP115="Emissions positive",-1,1)</f>
        <v>310077519.37985039</v>
      </c>
      <c r="CU115" t="str">
        <f>IFERROR(CT115/CQ115,"")</f>
        <v/>
      </c>
      <c r="CV115" s="2">
        <f>IFERROR((CS115-CR115)/ABS(CR115),"")</f>
        <v>4.081632653061297E-2</v>
      </c>
      <c r="CW115" s="1" t="s">
        <v>1202</v>
      </c>
      <c r="CX115" s="311" t="str">
        <f>IF(OR($CW115="prd",$CW115="std",$CW115="cit"),"loc",IF(OR($CW115="eur",$CW115="reg",$CW115="coy"),"reg",$CW115))</f>
        <v>reg</v>
      </c>
      <c r="CY115" t="s">
        <v>729</v>
      </c>
      <c r="CZ115">
        <v>2019</v>
      </c>
      <c r="DA115" s="143">
        <v>2250</v>
      </c>
      <c r="DB115" s="143">
        <f>DA115-CZ115</f>
        <v>231</v>
      </c>
      <c r="DC115" t="str">
        <f>IF(DB115=0,"0",IF(AND(DB115&gt;=1,DB115&lt;=30),"1-30",IF(AND(DB115&gt;30,DB115&lt;=70),"31-70",IF(AND(DB115&gt;70,DB115&lt;=100),"71-100",IF(DB115&gt;100,"+100")))))</f>
        <v>+100</v>
      </c>
      <c r="DD115">
        <v>0</v>
      </c>
      <c r="DE115">
        <v>1</v>
      </c>
      <c r="DF115">
        <v>0</v>
      </c>
      <c r="DG115">
        <v>0</v>
      </c>
      <c r="DH115">
        <v>1</v>
      </c>
      <c r="DI115">
        <f>SUM(DD115:DG115)</f>
        <v>1</v>
      </c>
      <c r="DJ115" t="str">
        <f>IF(DI115=1,INDEX($DD$7:$DG$7,MATCH(1,$DD115:$DG115,0)),"mixedProduct")</f>
        <v>EnergyInput</v>
      </c>
      <c r="DK115">
        <f t="shared" ref="DK115:DN118" si="68">IF(DD115=1,DK$7,0)</f>
        <v>0</v>
      </c>
      <c r="DL115" t="str">
        <f t="shared" si="68"/>
        <v>Energy</v>
      </c>
      <c r="DM115">
        <f t="shared" si="68"/>
        <v>0</v>
      </c>
      <c r="DN115">
        <f t="shared" si="68"/>
        <v>0</v>
      </c>
      <c r="DO115">
        <v>0</v>
      </c>
      <c r="DP115" s="143">
        <v>0</v>
      </c>
      <c r="DQ115" s="143">
        <v>0</v>
      </c>
      <c r="DR115" s="143">
        <v>0</v>
      </c>
      <c r="DS115" s="143">
        <v>0</v>
      </c>
      <c r="DT115">
        <f>SUM(DO115:DP115)</f>
        <v>0</v>
      </c>
      <c r="DU115" s="143" t="str">
        <f>IF(DO115=1,"self-calculated DF",IF(DP115=1,"external DF used","explicit C balance"))</f>
        <v>explicit C balance</v>
      </c>
      <c r="DV115" s="143">
        <v>1</v>
      </c>
      <c r="DW115" s="143">
        <v>1</v>
      </c>
      <c r="DX115" s="143">
        <v>1</v>
      </c>
      <c r="DY115" s="143">
        <v>1</v>
      </c>
      <c r="DZ115">
        <v>1</v>
      </c>
      <c r="EA115" s="143">
        <v>0</v>
      </c>
      <c r="EB115" s="143">
        <v>1</v>
      </c>
      <c r="EC115" s="143">
        <v>1</v>
      </c>
      <c r="ED115" s="143">
        <v>1</v>
      </c>
      <c r="EE115" s="143">
        <v>1</v>
      </c>
      <c r="EF115">
        <v>1</v>
      </c>
      <c r="EG115" s="143">
        <v>1</v>
      </c>
      <c r="EH115">
        <v>0</v>
      </c>
      <c r="EI115" s="2">
        <v>0</v>
      </c>
      <c r="EJ115" s="1"/>
      <c r="EK115" t="str">
        <f t="shared" si="65"/>
        <v>Whole sector</v>
      </c>
      <c r="EL115" t="str">
        <f t="shared" si="66"/>
        <v/>
      </c>
      <c r="EM115" s="2" t="str">
        <f t="shared" si="67"/>
        <v/>
      </c>
      <c r="EN115"/>
      <c r="EO115"/>
      <c r="EP115" t="b">
        <f>IF(ISNUMBER(BU115),IF(ABS(BU115-[1]QC_indicators!$B$2)&gt;3*[1]QC_indicators!$C$2,"C ratio",IF(ISNUMBER(BY115),IF(ABS(BY115-[1]QC_indicators!$B$1)&gt;3*[1]QC_indicators!$C$1,"DF","no"))),IF(ISNUMBER(BY115),IF(ABS(BY115-[1]QC_indicators!$B$1)&gt;3*[1]QC_indicators!$C$1,"DF","no")))</f>
        <v>0</v>
      </c>
      <c r="EQ115"/>
      <c r="ER115" s="313" t="s">
        <v>349</v>
      </c>
      <c r="ES115"/>
      <c r="ET115"/>
      <c r="EU115"/>
    </row>
    <row r="116" spans="1:151" s="139" customFormat="1" ht="15" hidden="1" customHeight="1">
      <c r="A116" s="1" t="s">
        <v>380</v>
      </c>
      <c r="B116" t="s">
        <v>3458</v>
      </c>
      <c r="C116" t="s">
        <v>3459</v>
      </c>
      <c r="D116" t="s">
        <v>3460</v>
      </c>
      <c r="E116" t="s">
        <v>3461</v>
      </c>
      <c r="F116" t="s">
        <v>3462</v>
      </c>
      <c r="G116" t="s">
        <v>386</v>
      </c>
      <c r="H116"/>
      <c r="I116">
        <v>2020</v>
      </c>
      <c r="J116"/>
      <c r="K116" t="s">
        <v>3463</v>
      </c>
      <c r="L116"/>
      <c r="M116" t="str">
        <f t="shared" si="40"/>
        <v>Albers_2020</v>
      </c>
      <c r="N116" s="311" t="s">
        <v>4382</v>
      </c>
      <c r="O116" s="140" t="s">
        <v>223</v>
      </c>
      <c r="P116"/>
      <c r="Q116" s="311" t="s">
        <v>224</v>
      </c>
      <c r="R116" s="312"/>
      <c r="S116" s="1" t="s">
        <v>3464</v>
      </c>
      <c r="T116" t="s">
        <v>3467</v>
      </c>
      <c r="U116" s="143" t="s">
        <v>3468</v>
      </c>
      <c r="V116">
        <v>0</v>
      </c>
      <c r="W116">
        <v>0</v>
      </c>
      <c r="X116">
        <v>0</v>
      </c>
      <c r="Y116">
        <v>1</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s="141">
        <f>COUNTIF(V116:AW116,"&lt;&gt;0")</f>
        <v>1</v>
      </c>
      <c r="AY116" s="141">
        <f>COUNTIF(V116:AL116,"&lt;&gt;0")</f>
        <v>1</v>
      </c>
      <c r="AZ116">
        <f>COUNTIF(V116:AC116,"&lt;&gt;0")</f>
        <v>1</v>
      </c>
      <c r="BA116">
        <f>COUNTIF(AD116:AI116,"&lt;&gt;0")</f>
        <v>0</v>
      </c>
      <c r="BB116">
        <f>COUNTIF(AJ116:AL116,"&lt;&gt;0")</f>
        <v>0</v>
      </c>
      <c r="BC116">
        <f>COUNTIF(AS116:AW116,"&lt;&gt;0")</f>
        <v>0</v>
      </c>
      <c r="BD116">
        <f>COUNTIF(AM116:AR116,"&lt;&gt;0")</f>
        <v>0</v>
      </c>
      <c r="BE116" t="str" cm="1">
        <f t="array" ref="BE116">IF(AY116=1,INDEX($V$7:$AL$7,MATCH(TRUE,INDEX($V116:$AW116&lt;&gt;0,),0)),IF(AY116=0,INDEX($AM$7:$AW$7,MATCH(1,$AM116:$AW116,0)),IF(BF116="Multiple strategies","mixed drivers",IF(BF116="Supply chain","multiple supply","multiple silviculture"))))</f>
        <v xml:space="preserve">cutting intensity </v>
      </c>
      <c r="BF116" s="2" t="str" cm="1">
        <f t="array" ref="BF116">IF(COUNTIF(AZ116:BB116,"&lt;&gt;0")=1,INDEX($V$4:$AW$4,MATCH(TRUE,INDEX($V116:$AW116&lt;&gt;0,),0)),IF(COUNTIF(AZ116:BB116,"&lt;&gt;0")=0,INDEX($AM$4:$AW$4,MATCH(1,$AM116:$AW116,0)),"Multiple strategies"))</f>
        <v>Silviculture for removals</v>
      </c>
      <c r="BG116" s="173"/>
      <c r="BH116"/>
      <c r="BI116"/>
      <c r="BJ116" s="143"/>
      <c r="BK116"/>
      <c r="BL116" s="143"/>
      <c r="BM116" s="143"/>
      <c r="BN116" s="143"/>
      <c r="BO116" s="143"/>
      <c r="BP116" s="311" t="s">
        <v>232</v>
      </c>
      <c r="BQ116" s="311"/>
      <c r="BR116" s="143" t="s">
        <v>539</v>
      </c>
      <c r="BS116">
        <v>-3279312247.6837702</v>
      </c>
      <c r="BT116">
        <v>-3044930440.59132</v>
      </c>
      <c r="BU116">
        <v>0.92852714551412485</v>
      </c>
      <c r="BV116">
        <v>234381807.09245014</v>
      </c>
      <c r="BW116"/>
      <c r="BX116">
        <f>BV116</f>
        <v>234381807.09245014</v>
      </c>
      <c r="BY116" t="str">
        <f t="shared" si="51"/>
        <v/>
      </c>
      <c r="BZ116">
        <v>0</v>
      </c>
      <c r="CA116">
        <v>0</v>
      </c>
      <c r="CB116">
        <v>0</v>
      </c>
      <c r="CC116">
        <v>0</v>
      </c>
      <c r="CD116">
        <v>0</v>
      </c>
      <c r="CE116">
        <v>0</v>
      </c>
      <c r="CF116">
        <v>0</v>
      </c>
      <c r="CG116">
        <v>0</v>
      </c>
      <c r="CH116">
        <v>0</v>
      </c>
      <c r="CI116">
        <v>0</v>
      </c>
      <c r="CJ116">
        <v>0</v>
      </c>
      <c r="CK116">
        <v>0</v>
      </c>
      <c r="CL116">
        <v>0</v>
      </c>
      <c r="CM116">
        <v>0</v>
      </c>
      <c r="CN116" t="str">
        <f>IF(BL116&lt;BK116,"refNeedCorrection","refOK")</f>
        <v>refOK</v>
      </c>
      <c r="CO116"/>
      <c r="CP116"/>
      <c r="CQ116"/>
      <c r="CR116">
        <f>IF($CN116="refOK",$BS116,$BT116)*IF($BP116="Emissions positive",-1,1)</f>
        <v>-3279312247.6837702</v>
      </c>
      <c r="CS116">
        <f>IF($CN116="refOK",$BT116,$BS116)*IF($BP116="Emissions positive",-1,1)</f>
        <v>-3044930440.59132</v>
      </c>
      <c r="CT116">
        <f>IF($CN116="refNeedCorrection",-BX116,BX116)*IF($BP116="Emissions positive",-1,1)</f>
        <v>234381807.09245014</v>
      </c>
      <c r="CU116" t="str">
        <f>IFERROR(CT116/CQ116,"")</f>
        <v/>
      </c>
      <c r="CV116" s="2">
        <f>IFERROR((CS116-CR116)/ABS(CR116),"")</f>
        <v>7.1472854485875106E-2</v>
      </c>
      <c r="CW116" s="1" t="s">
        <v>1202</v>
      </c>
      <c r="CX116" s="311" t="str">
        <f>IF(OR($CW116="prd",$CW116="std",$CW116="cit"),"loc",IF(OR($CW116="eur",$CW116="reg",$CW116="coy"),"reg",$CW116))</f>
        <v>reg</v>
      </c>
      <c r="CY116" t="s">
        <v>729</v>
      </c>
      <c r="CZ116">
        <v>1819</v>
      </c>
      <c r="DA116" s="143">
        <v>2150</v>
      </c>
      <c r="DB116" s="143">
        <f>DA116-CZ116</f>
        <v>331</v>
      </c>
      <c r="DC116" t="str">
        <f>IF(DB116=0,"0",IF(AND(DB116&gt;=1,DB116&lt;=30),"1-30",IF(AND(DB116&gt;30,DB116&lt;=70),"31-70",IF(AND(DB116&gt;70,DB116&lt;=100),"71-100",IF(DB116&gt;100,"+100")))))</f>
        <v>+100</v>
      </c>
      <c r="DD116">
        <v>0</v>
      </c>
      <c r="DE116">
        <v>1</v>
      </c>
      <c r="DF116">
        <v>0</v>
      </c>
      <c r="DG116">
        <v>0</v>
      </c>
      <c r="DH116">
        <v>1</v>
      </c>
      <c r="DI116">
        <f>SUM(DD116:DG116)</f>
        <v>1</v>
      </c>
      <c r="DJ116" t="str">
        <f>IF(DI116=1,INDEX($DD$7:$DG$7,MATCH(1,$DD116:$DG116,0)),"mixedProduct")</f>
        <v>EnergyInput</v>
      </c>
      <c r="DK116">
        <f t="shared" si="68"/>
        <v>0</v>
      </c>
      <c r="DL116" t="str">
        <f t="shared" si="68"/>
        <v>Energy</v>
      </c>
      <c r="DM116">
        <f t="shared" si="68"/>
        <v>0</v>
      </c>
      <c r="DN116">
        <f t="shared" si="68"/>
        <v>0</v>
      </c>
      <c r="DO116">
        <v>0</v>
      </c>
      <c r="DP116" s="143">
        <v>0</v>
      </c>
      <c r="DQ116" s="143">
        <v>0</v>
      </c>
      <c r="DR116" s="143">
        <v>0</v>
      </c>
      <c r="DS116" s="143">
        <v>0</v>
      </c>
      <c r="DT116">
        <f>SUM(DO116:DP116)</f>
        <v>0</v>
      </c>
      <c r="DU116" s="143" t="str">
        <f>IF(DO116=1,"self-calculated DF",IF(DP116=1,"external DF used","explicit C balance"))</f>
        <v>explicit C balance</v>
      </c>
      <c r="DV116" s="143">
        <v>1</v>
      </c>
      <c r="DW116" s="143">
        <v>1</v>
      </c>
      <c r="DX116" s="143">
        <v>1</v>
      </c>
      <c r="DY116" s="143">
        <v>1</v>
      </c>
      <c r="DZ116">
        <v>1</v>
      </c>
      <c r="EA116" s="143">
        <v>0</v>
      </c>
      <c r="EB116" s="143">
        <v>1</v>
      </c>
      <c r="EC116" s="143">
        <v>1</v>
      </c>
      <c r="ED116" s="143">
        <v>1</v>
      </c>
      <c r="EE116" s="143">
        <v>1</v>
      </c>
      <c r="EF116">
        <v>1</v>
      </c>
      <c r="EG116" s="143">
        <v>1</v>
      </c>
      <c r="EH116">
        <v>0</v>
      </c>
      <c r="EI116" s="2">
        <v>0</v>
      </c>
      <c r="EJ116" s="1"/>
      <c r="EK116" t="str">
        <f t="shared" si="65"/>
        <v>Whole sector</v>
      </c>
      <c r="EL116" t="str">
        <f t="shared" si="66"/>
        <v/>
      </c>
      <c r="EM116" s="2" t="str">
        <f t="shared" si="67"/>
        <v/>
      </c>
      <c r="EN116"/>
      <c r="EO116"/>
      <c r="EP116" t="b">
        <f>IF(ISNUMBER(BU116),IF(ABS(BU116-[1]QC_indicators!$B$2)&gt;3*[1]QC_indicators!$C$2,"C ratio",IF(ISNUMBER(BY116),IF(ABS(BY116-[1]QC_indicators!$B$1)&gt;3*[1]QC_indicators!$C$1,"DF","no"))),IF(ISNUMBER(BY116),IF(ABS(BY116-[1]QC_indicators!$B$1)&gt;3*[1]QC_indicators!$C$1,"DF","no")))</f>
        <v>0</v>
      </c>
      <c r="EQ116"/>
      <c r="ER116" s="313" t="s">
        <v>349</v>
      </c>
      <c r="ES116"/>
      <c r="ET116"/>
      <c r="EU116"/>
    </row>
    <row r="117" spans="1:151" s="139" customFormat="1" ht="15" hidden="1" customHeight="1">
      <c r="A117" s="1" t="s">
        <v>380</v>
      </c>
      <c r="B117" t="s">
        <v>3458</v>
      </c>
      <c r="C117" t="s">
        <v>3459</v>
      </c>
      <c r="D117" t="s">
        <v>3460</v>
      </c>
      <c r="E117" t="s">
        <v>3461</v>
      </c>
      <c r="F117" t="s">
        <v>3462</v>
      </c>
      <c r="G117" t="s">
        <v>386</v>
      </c>
      <c r="H117"/>
      <c r="I117">
        <v>2020</v>
      </c>
      <c r="J117"/>
      <c r="K117" t="s">
        <v>3463</v>
      </c>
      <c r="L117"/>
      <c r="M117" t="str">
        <f t="shared" si="40"/>
        <v>Albers_2020</v>
      </c>
      <c r="N117" s="311" t="s">
        <v>4382</v>
      </c>
      <c r="O117" s="140" t="s">
        <v>223</v>
      </c>
      <c r="P117"/>
      <c r="Q117" s="311" t="s">
        <v>224</v>
      </c>
      <c r="R117" s="312"/>
      <c r="S117" s="1" t="s">
        <v>3464</v>
      </c>
      <c r="T117" t="s">
        <v>3469</v>
      </c>
      <c r="U117" s="143" t="s">
        <v>3470</v>
      </c>
      <c r="V117">
        <v>0</v>
      </c>
      <c r="W117">
        <v>0</v>
      </c>
      <c r="X117">
        <v>0</v>
      </c>
      <c r="Y117">
        <v>1</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s="141">
        <f>COUNTIF(V117:AW117,"&lt;&gt;0")</f>
        <v>1</v>
      </c>
      <c r="AY117" s="141">
        <f>COUNTIF(V117:AL117,"&lt;&gt;0")</f>
        <v>1</v>
      </c>
      <c r="AZ117">
        <f>COUNTIF(V117:AC117,"&lt;&gt;0")</f>
        <v>1</v>
      </c>
      <c r="BA117">
        <f>COUNTIF(AD117:AI117,"&lt;&gt;0")</f>
        <v>0</v>
      </c>
      <c r="BB117">
        <f>COUNTIF(AJ117:AL117,"&lt;&gt;0")</f>
        <v>0</v>
      </c>
      <c r="BC117">
        <f>COUNTIF(AS117:AW117,"&lt;&gt;0")</f>
        <v>0</v>
      </c>
      <c r="BD117">
        <f>COUNTIF(AM117:AR117,"&lt;&gt;0")</f>
        <v>0</v>
      </c>
      <c r="BE117" t="str" cm="1">
        <f t="array" ref="BE117">IF(AY117=1,INDEX($V$7:$AL$7,MATCH(TRUE,INDEX($V117:$AW117&lt;&gt;0,),0)),IF(AY117=0,INDEX($AM$7:$AW$7,MATCH(1,$AM117:$AW117,0)),IF(BF117="Multiple strategies","mixed drivers",IF(BF117="Supply chain","multiple supply","multiple silviculture"))))</f>
        <v xml:space="preserve">cutting intensity </v>
      </c>
      <c r="BF117" s="2" t="str" cm="1">
        <f t="array" ref="BF117">IF(COUNTIF(AZ117:BB117,"&lt;&gt;0")=1,INDEX($V$4:$AW$4,MATCH(TRUE,INDEX($V117:$AW117&lt;&gt;0,),0)),IF(COUNTIF(AZ117:BB117,"&lt;&gt;0")=0,INDEX($AM$4:$AW$4,MATCH(1,$AM117:$AW117,0)),"Multiple strategies"))</f>
        <v>Silviculture for removals</v>
      </c>
      <c r="BG117" s="173"/>
      <c r="BH117"/>
      <c r="BI117"/>
      <c r="BJ117" s="143"/>
      <c r="BK117"/>
      <c r="BL117" s="143"/>
      <c r="BM117" s="143"/>
      <c r="BN117" s="143"/>
      <c r="BO117" s="143"/>
      <c r="BP117" s="311" t="s">
        <v>232</v>
      </c>
      <c r="BQ117" s="311"/>
      <c r="BR117" s="143" t="s">
        <v>539</v>
      </c>
      <c r="BS117">
        <v>-930232558.13953495</v>
      </c>
      <c r="BT117">
        <v>-620155038.759691</v>
      </c>
      <c r="BU117">
        <v>0.66666666666666774</v>
      </c>
      <c r="BV117">
        <v>310077519.37984395</v>
      </c>
      <c r="BW117"/>
      <c r="BX117">
        <f>BV117</f>
        <v>310077519.37984395</v>
      </c>
      <c r="BY117" t="str">
        <f t="shared" si="51"/>
        <v/>
      </c>
      <c r="BZ117">
        <v>0</v>
      </c>
      <c r="CA117">
        <v>0</v>
      </c>
      <c r="CB117">
        <v>0</v>
      </c>
      <c r="CC117">
        <v>0</v>
      </c>
      <c r="CD117">
        <v>0</v>
      </c>
      <c r="CE117">
        <v>0</v>
      </c>
      <c r="CF117">
        <v>0</v>
      </c>
      <c r="CG117">
        <v>0</v>
      </c>
      <c r="CH117">
        <v>0</v>
      </c>
      <c r="CI117">
        <v>0</v>
      </c>
      <c r="CJ117">
        <v>0</v>
      </c>
      <c r="CK117">
        <v>0</v>
      </c>
      <c r="CL117">
        <v>0</v>
      </c>
      <c r="CM117">
        <v>0</v>
      </c>
      <c r="CN117" t="str">
        <f>IF(BL117&lt;BK117,"refNeedCorrection","refOK")</f>
        <v>refOK</v>
      </c>
      <c r="CO117"/>
      <c r="CP117"/>
      <c r="CQ117"/>
      <c r="CR117">
        <f>IF($CN117="refOK",$BS117,$BT117)*IF($BP117="Emissions positive",-1,1)</f>
        <v>-930232558.13953495</v>
      </c>
      <c r="CS117">
        <f>IF($CN117="refOK",$BT117,$BS117)*IF($BP117="Emissions positive",-1,1)</f>
        <v>-620155038.759691</v>
      </c>
      <c r="CT117">
        <f>IF($CN117="refNeedCorrection",-BX117,BX117)*IF($BP117="Emissions positive",-1,1)</f>
        <v>310077519.37984395</v>
      </c>
      <c r="CU117" t="str">
        <f>IFERROR(CT117/CQ117,"")</f>
        <v/>
      </c>
      <c r="CV117" s="2">
        <f>IFERROR((CS117-CR117)/ABS(CR117),"")</f>
        <v>0.3333333333333322</v>
      </c>
      <c r="CW117" s="1" t="s">
        <v>1202</v>
      </c>
      <c r="CX117" s="311" t="str">
        <f>IF(OR($CW117="prd",$CW117="std",$CW117="cit"),"loc",IF(OR($CW117="eur",$CW117="reg",$CW117="coy"),"reg",$CW117))</f>
        <v>reg</v>
      </c>
      <c r="CY117" t="s">
        <v>729</v>
      </c>
      <c r="CZ117">
        <v>2019</v>
      </c>
      <c r="DA117" s="143">
        <v>2250</v>
      </c>
      <c r="DB117" s="143">
        <f>DA117-CZ117</f>
        <v>231</v>
      </c>
      <c r="DC117" t="str">
        <f>IF(DB117=0,"0",IF(AND(DB117&gt;=1,DB117&lt;=30),"1-30",IF(AND(DB117&gt;30,DB117&lt;=70),"31-70",IF(AND(DB117&gt;70,DB117&lt;=100),"71-100",IF(DB117&gt;100,"+100")))))</f>
        <v>+100</v>
      </c>
      <c r="DD117">
        <v>0</v>
      </c>
      <c r="DE117">
        <v>1</v>
      </c>
      <c r="DF117">
        <v>0</v>
      </c>
      <c r="DG117">
        <v>0</v>
      </c>
      <c r="DH117">
        <v>1</v>
      </c>
      <c r="DI117">
        <f>SUM(DD117:DG117)</f>
        <v>1</v>
      </c>
      <c r="DJ117" t="str">
        <f>IF(DI117=1,INDEX($DD$7:$DG$7,MATCH(1,$DD117:$DG117,0)),"mixedProduct")</f>
        <v>EnergyInput</v>
      </c>
      <c r="DK117">
        <f t="shared" si="68"/>
        <v>0</v>
      </c>
      <c r="DL117" t="str">
        <f t="shared" si="68"/>
        <v>Energy</v>
      </c>
      <c r="DM117">
        <f t="shared" si="68"/>
        <v>0</v>
      </c>
      <c r="DN117">
        <f t="shared" si="68"/>
        <v>0</v>
      </c>
      <c r="DO117">
        <v>0</v>
      </c>
      <c r="DP117" s="143">
        <v>0</v>
      </c>
      <c r="DQ117" s="143">
        <v>0</v>
      </c>
      <c r="DR117" s="143">
        <v>0</v>
      </c>
      <c r="DS117" s="143">
        <v>0</v>
      </c>
      <c r="DT117">
        <f>SUM(DO117:DP117)</f>
        <v>0</v>
      </c>
      <c r="DU117" s="143" t="str">
        <f>IF(DO117=1,"self-calculated DF",IF(DP117=1,"external DF used","explicit C balance"))</f>
        <v>explicit C balance</v>
      </c>
      <c r="DV117" s="143">
        <v>1</v>
      </c>
      <c r="DW117" s="143">
        <v>1</v>
      </c>
      <c r="DX117" s="143">
        <v>1</v>
      </c>
      <c r="DY117" s="143">
        <v>1</v>
      </c>
      <c r="DZ117">
        <v>1</v>
      </c>
      <c r="EA117" s="143">
        <v>0</v>
      </c>
      <c r="EB117" s="143">
        <v>0</v>
      </c>
      <c r="EC117" s="143">
        <v>0</v>
      </c>
      <c r="ED117" s="143">
        <v>0</v>
      </c>
      <c r="EE117" s="143">
        <v>0</v>
      </c>
      <c r="EF117">
        <v>1</v>
      </c>
      <c r="EG117" s="143">
        <v>1</v>
      </c>
      <c r="EH117">
        <v>0</v>
      </c>
      <c r="EI117" s="2">
        <v>0</v>
      </c>
      <c r="EJ117" s="1"/>
      <c r="EK117" t="str">
        <f t="shared" si="65"/>
        <v/>
      </c>
      <c r="EL117" t="str">
        <f t="shared" si="66"/>
        <v>Ecosystem approach</v>
      </c>
      <c r="EM117" s="2" t="str">
        <f t="shared" si="67"/>
        <v/>
      </c>
      <c r="EN117" s="311"/>
      <c r="EO117"/>
      <c r="EP117" t="b">
        <f>IF(ISNUMBER(BU117),IF(ABS(BU117-[1]QC_indicators!$B$2)&gt;3*[1]QC_indicators!$C$2,"C ratio",IF(ISNUMBER(BY117),IF(ABS(BY117-[1]QC_indicators!$B$1)&gt;3*[1]QC_indicators!$C$1,"DF","no"))),IF(ISNUMBER(BY117),IF(ABS(BY117-[1]QC_indicators!$B$1)&gt;3*[1]QC_indicators!$C$1,"DF","no")))</f>
        <v>0</v>
      </c>
      <c r="EQ117"/>
      <c r="ER117" s="313" t="s">
        <v>349</v>
      </c>
      <c r="ES117"/>
      <c r="ET117"/>
      <c r="EU117"/>
    </row>
    <row r="118" spans="1:151" s="139" customFormat="1" ht="15" hidden="1" customHeight="1">
      <c r="A118" s="1" t="s">
        <v>380</v>
      </c>
      <c r="B118" t="s">
        <v>3458</v>
      </c>
      <c r="C118" t="s">
        <v>3459</v>
      </c>
      <c r="D118" t="s">
        <v>3460</v>
      </c>
      <c r="E118" s="311" t="s">
        <v>3461</v>
      </c>
      <c r="F118" t="s">
        <v>3462</v>
      </c>
      <c r="G118" t="s">
        <v>386</v>
      </c>
      <c r="H118"/>
      <c r="I118">
        <v>2020</v>
      </c>
      <c r="J118"/>
      <c r="K118" t="s">
        <v>3463</v>
      </c>
      <c r="L118"/>
      <c r="M118" t="str">
        <f t="shared" si="40"/>
        <v>Albers_2020</v>
      </c>
      <c r="N118" s="311" t="s">
        <v>4382</v>
      </c>
      <c r="O118" s="140" t="s">
        <v>223</v>
      </c>
      <c r="P118"/>
      <c r="Q118" s="311" t="s">
        <v>224</v>
      </c>
      <c r="R118" s="312"/>
      <c r="S118" s="1" t="s">
        <v>3464</v>
      </c>
      <c r="T118" t="s">
        <v>3471</v>
      </c>
      <c r="U118" s="143" t="s">
        <v>3472</v>
      </c>
      <c r="V118">
        <v>0</v>
      </c>
      <c r="W118">
        <v>0</v>
      </c>
      <c r="X118">
        <v>0</v>
      </c>
      <c r="Y118">
        <v>1</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s="141">
        <f>COUNTIF(V118:AW118,"&lt;&gt;0")</f>
        <v>1</v>
      </c>
      <c r="AY118" s="141">
        <f>COUNTIF(V118:AL118,"&lt;&gt;0")</f>
        <v>1</v>
      </c>
      <c r="AZ118">
        <f>COUNTIF(V118:AC118,"&lt;&gt;0")</f>
        <v>1</v>
      </c>
      <c r="BA118">
        <f>COUNTIF(AD118:AI118,"&lt;&gt;0")</f>
        <v>0</v>
      </c>
      <c r="BB118">
        <f>COUNTIF(AJ118:AL118,"&lt;&gt;0")</f>
        <v>0</v>
      </c>
      <c r="BC118">
        <f>COUNTIF(AS118:AW118,"&lt;&gt;0")</f>
        <v>0</v>
      </c>
      <c r="BD118">
        <f>COUNTIF(AM118:AR118,"&lt;&gt;0")</f>
        <v>0</v>
      </c>
      <c r="BE118" t="str" cm="1">
        <f t="array" ref="BE118">IF(AY118=1,INDEX($V$7:$AL$7,MATCH(TRUE,INDEX($V118:$AW118&lt;&gt;0,),0)),IF(AY118=0,INDEX($AM$7:$AW$7,MATCH(1,$AM118:$AW118,0)),IF(BF118="Multiple strategies","mixed drivers",IF(BF118="Supply chain","multiple supply","multiple silviculture"))))</f>
        <v xml:space="preserve">cutting intensity </v>
      </c>
      <c r="BF118" s="2" t="str" cm="1">
        <f t="array" ref="BF118">IF(COUNTIF(AZ118:BB118,"&lt;&gt;0")=1,INDEX($V$4:$AW$4,MATCH(TRUE,INDEX($V118:$AW118&lt;&gt;0,),0)),IF(COUNTIF(AZ118:BB118,"&lt;&gt;0")=0,INDEX($AM$4:$AW$4,MATCH(1,$AM118:$AW118,0)),"Multiple strategies"))</f>
        <v>Silviculture for removals</v>
      </c>
      <c r="BG118" s="173"/>
      <c r="BH118"/>
      <c r="BI118"/>
      <c r="BJ118" s="143"/>
      <c r="BK118"/>
      <c r="BL118" s="143"/>
      <c r="BM118" s="143"/>
      <c r="BN118" s="143"/>
      <c r="BO118" s="143"/>
      <c r="BP118" s="311" t="s">
        <v>232</v>
      </c>
      <c r="BQ118" s="311"/>
      <c r="BR118" s="143" t="s">
        <v>539</v>
      </c>
      <c r="BS118">
        <v>2033051.6104679101</v>
      </c>
      <c r="BT118">
        <v>236414858.70291299</v>
      </c>
      <c r="BU118">
        <v>116.28571428568</v>
      </c>
      <c r="BV118">
        <v>234381807.09244508</v>
      </c>
      <c r="BW118"/>
      <c r="BX118">
        <f>BV118</f>
        <v>234381807.09244508</v>
      </c>
      <c r="BY118" t="str">
        <f t="shared" si="51"/>
        <v/>
      </c>
      <c r="BZ118">
        <v>0</v>
      </c>
      <c r="CA118">
        <v>0</v>
      </c>
      <c r="CB118">
        <v>0</v>
      </c>
      <c r="CC118">
        <v>0</v>
      </c>
      <c r="CD118">
        <v>0</v>
      </c>
      <c r="CE118">
        <v>0</v>
      </c>
      <c r="CF118">
        <v>0</v>
      </c>
      <c r="CG118">
        <v>0</v>
      </c>
      <c r="CH118">
        <v>0</v>
      </c>
      <c r="CI118">
        <v>0</v>
      </c>
      <c r="CJ118">
        <v>0</v>
      </c>
      <c r="CK118">
        <v>0</v>
      </c>
      <c r="CL118">
        <v>0</v>
      </c>
      <c r="CM118">
        <v>0</v>
      </c>
      <c r="CN118" t="str">
        <f>IF(BL118&lt;BK118,"refNeedCorrection","refOK")</f>
        <v>refOK</v>
      </c>
      <c r="CO118"/>
      <c r="CP118"/>
      <c r="CQ118"/>
      <c r="CR118">
        <f>IF($CN118="refOK",$BS118,$BT118)*IF($BP118="Emissions positive",-1,1)</f>
        <v>2033051.6104679101</v>
      </c>
      <c r="CS118">
        <f>IF($CN118="refOK",$BT118,$BS118)*IF($BP118="Emissions positive",-1,1)</f>
        <v>236414858.70291299</v>
      </c>
      <c r="CT118">
        <f>IF($CN118="refNeedCorrection",-BX118,BX118)*IF($BP118="Emissions positive",-1,1)</f>
        <v>234381807.09244508</v>
      </c>
      <c r="CU118" t="str">
        <f>IFERROR(CT118/CQ118,"")</f>
        <v/>
      </c>
      <c r="CV118" s="2">
        <f>IFERROR((CS118-CR118)/ABS(CR118),"")</f>
        <v>115.28571428568</v>
      </c>
      <c r="CW118" s="1" t="s">
        <v>1202</v>
      </c>
      <c r="CX118" s="311" t="str">
        <f>IF(OR($CW118="prd",$CW118="std",$CW118="cit"),"loc",IF(OR($CW118="eur",$CW118="reg",$CW118="coy"),"reg",$CW118))</f>
        <v>reg</v>
      </c>
      <c r="CY118" t="s">
        <v>729</v>
      </c>
      <c r="CZ118">
        <v>1819</v>
      </c>
      <c r="DA118" s="143">
        <v>2150</v>
      </c>
      <c r="DB118" s="143">
        <f>DA118-CZ118</f>
        <v>331</v>
      </c>
      <c r="DC118" t="str">
        <f>IF(DB118=0,"0",IF(AND(DB118&gt;=1,DB118&lt;=30),"1-30",IF(AND(DB118&gt;30,DB118&lt;=70),"31-70",IF(AND(DB118&gt;70,DB118&lt;=100),"71-100",IF(DB118&gt;100,"+100")))))</f>
        <v>+100</v>
      </c>
      <c r="DD118">
        <v>0</v>
      </c>
      <c r="DE118">
        <v>1</v>
      </c>
      <c r="DF118">
        <v>0</v>
      </c>
      <c r="DG118">
        <v>0</v>
      </c>
      <c r="DH118">
        <v>1</v>
      </c>
      <c r="DI118">
        <f>SUM(DD118:DG118)</f>
        <v>1</v>
      </c>
      <c r="DJ118" t="str">
        <f>IF(DI118=1,INDEX($DD$7:$DG$7,MATCH(1,$DD118:$DG118,0)),"mixedProduct")</f>
        <v>EnergyInput</v>
      </c>
      <c r="DK118">
        <f t="shared" si="68"/>
        <v>0</v>
      </c>
      <c r="DL118" t="str">
        <f t="shared" si="68"/>
        <v>Energy</v>
      </c>
      <c r="DM118">
        <f t="shared" si="68"/>
        <v>0</v>
      </c>
      <c r="DN118">
        <f t="shared" si="68"/>
        <v>0</v>
      </c>
      <c r="DO118">
        <v>0</v>
      </c>
      <c r="DP118" s="143">
        <v>0</v>
      </c>
      <c r="DQ118" s="143">
        <v>0</v>
      </c>
      <c r="DR118" s="143">
        <v>0</v>
      </c>
      <c r="DS118" s="143">
        <v>0</v>
      </c>
      <c r="DT118">
        <f>SUM(DO118:DP118)</f>
        <v>0</v>
      </c>
      <c r="DU118" s="143" t="str">
        <f>IF(DO118=1,"self-calculated DF",IF(DP118=1,"external DF used","explicit C balance"))</f>
        <v>explicit C balance</v>
      </c>
      <c r="DV118" s="143">
        <v>1</v>
      </c>
      <c r="DW118" s="143">
        <v>1</v>
      </c>
      <c r="DX118" s="143">
        <v>1</v>
      </c>
      <c r="DY118" s="143">
        <v>1</v>
      </c>
      <c r="DZ118">
        <v>1</v>
      </c>
      <c r="EA118" s="143">
        <v>0</v>
      </c>
      <c r="EB118" s="143">
        <v>0</v>
      </c>
      <c r="EC118" s="143">
        <v>0</v>
      </c>
      <c r="ED118" s="143">
        <v>0</v>
      </c>
      <c r="EE118" s="143">
        <v>0</v>
      </c>
      <c r="EF118">
        <v>1</v>
      </c>
      <c r="EG118" s="143">
        <v>1</v>
      </c>
      <c r="EH118">
        <v>0</v>
      </c>
      <c r="EI118" s="2">
        <v>0</v>
      </c>
      <c r="EJ118" s="1"/>
      <c r="EK118" t="str">
        <f t="shared" si="65"/>
        <v/>
      </c>
      <c r="EL118" t="str">
        <f t="shared" si="66"/>
        <v>Ecosystem approach</v>
      </c>
      <c r="EM118" s="2" t="str">
        <f t="shared" si="67"/>
        <v/>
      </c>
      <c r="EN118" s="311"/>
      <c r="EO118"/>
      <c r="EP118" t="str">
        <f>IF(ISNUMBER(BU118),IF(ABS(BU118-[1]QC_indicators!$B$2)&gt;3*[1]QC_indicators!$C$2,"C ratio",IF(ISNUMBER(BY118),IF(ABS(BY118-[1]QC_indicators!$B$1)&gt;3*[1]QC_indicators!$C$1,"DF","no"))),IF(ISNUMBER(BY118),IF(ABS(BY118-[1]QC_indicators!$B$1)&gt;3*[1]QC_indicators!$C$1,"DF","no")))</f>
        <v>C ratio</v>
      </c>
      <c r="EQ118"/>
      <c r="ER118" s="313" t="s">
        <v>349</v>
      </c>
      <c r="ES118"/>
      <c r="ET118"/>
      <c r="EU118"/>
    </row>
    <row r="119" spans="1:151" s="139" customFormat="1" ht="15" hidden="1" customHeight="1">
      <c r="A119" s="1" t="s">
        <v>4177</v>
      </c>
      <c r="B119" t="s">
        <v>544</v>
      </c>
      <c r="C119" t="s">
        <v>4450</v>
      </c>
      <c r="D119" t="s">
        <v>4451</v>
      </c>
      <c r="E119" t="s">
        <v>4452</v>
      </c>
      <c r="F119" t="s">
        <v>4453</v>
      </c>
      <c r="G119" t="s">
        <v>4182</v>
      </c>
      <c r="H119"/>
      <c r="I119">
        <v>2006</v>
      </c>
      <c r="J119"/>
      <c r="K119" t="s">
        <v>4454</v>
      </c>
      <c r="L119"/>
      <c r="M119" t="str">
        <f t="shared" si="40"/>
        <v>Alig_2006</v>
      </c>
      <c r="N119" t="s">
        <v>2582</v>
      </c>
      <c r="O119" s="140" t="s">
        <v>274</v>
      </c>
      <c r="P119"/>
      <c r="Q119" s="311" t="s">
        <v>224</v>
      </c>
      <c r="R119" s="312"/>
      <c r="S119" s="1"/>
      <c r="T119"/>
      <c r="U119" s="143"/>
      <c r="V119"/>
      <c r="W119"/>
      <c r="X119"/>
      <c r="Y119"/>
      <c r="Z119"/>
      <c r="AA119"/>
      <c r="AB119"/>
      <c r="AC119"/>
      <c r="AD119"/>
      <c r="AE119"/>
      <c r="AF119"/>
      <c r="AG119"/>
      <c r="AH119"/>
      <c r="AI119"/>
      <c r="AJ119"/>
      <c r="AK119"/>
      <c r="AL119"/>
      <c r="AM119"/>
      <c r="AN119"/>
      <c r="AO119"/>
      <c r="AP119"/>
      <c r="AQ119"/>
      <c r="AR119"/>
      <c r="AS119"/>
      <c r="AT119"/>
      <c r="AU119"/>
      <c r="AV119"/>
      <c r="AW119"/>
      <c r="AX119" s="141"/>
      <c r="AY119" s="141"/>
      <c r="AZ119"/>
      <c r="BA119"/>
      <c r="BB119"/>
      <c r="BC119"/>
      <c r="BD119"/>
      <c r="BE119"/>
      <c r="BF119" s="2"/>
      <c r="BG119" s="142"/>
      <c r="BH119"/>
      <c r="BI119"/>
      <c r="BJ119" s="143"/>
      <c r="BK119"/>
      <c r="BL119" s="143"/>
      <c r="BM119" s="143"/>
      <c r="BN119" s="143"/>
      <c r="BO119" s="143"/>
      <c r="BP119" s="143"/>
      <c r="BQ119" s="143"/>
      <c r="BR119"/>
      <c r="BS119" s="143"/>
      <c r="BT119"/>
      <c r="BU119" s="144"/>
      <c r="BV119"/>
      <c r="BW119"/>
      <c r="BX119"/>
      <c r="BY119" t="str">
        <f t="shared" si="51"/>
        <v/>
      </c>
      <c r="BZ119"/>
      <c r="CA119"/>
      <c r="CB119"/>
      <c r="CC119"/>
      <c r="CD119"/>
      <c r="CE119"/>
      <c r="CF119"/>
      <c r="CG119"/>
      <c r="CH119"/>
      <c r="CI119"/>
      <c r="CJ119"/>
      <c r="CK119"/>
      <c r="CL119"/>
      <c r="CM119"/>
      <c r="CN119"/>
      <c r="CO119"/>
      <c r="CP119"/>
      <c r="CQ119"/>
      <c r="CR119"/>
      <c r="CS119"/>
      <c r="CT119"/>
      <c r="CU119"/>
      <c r="CV119" s="2"/>
      <c r="CW119" s="1"/>
      <c r="CX119"/>
      <c r="CY119"/>
      <c r="CZ119"/>
      <c r="DA119" s="143"/>
      <c r="DB119" s="143"/>
      <c r="DC119"/>
      <c r="DD119"/>
      <c r="DE119"/>
      <c r="DF119"/>
      <c r="DG119"/>
      <c r="DH119"/>
      <c r="DI119"/>
      <c r="DJ119"/>
      <c r="DK119"/>
      <c r="DL119"/>
      <c r="DM119"/>
      <c r="DN119"/>
      <c r="DO119"/>
      <c r="DP119" s="143"/>
      <c r="DQ119" s="143"/>
      <c r="DR119"/>
      <c r="DS119" s="143"/>
      <c r="DT119"/>
      <c r="DU119" s="143"/>
      <c r="DV119" s="143"/>
      <c r="DW119" s="143"/>
      <c r="DX119"/>
      <c r="DY119"/>
      <c r="DZ119"/>
      <c r="EA119"/>
      <c r="EB119" s="143"/>
      <c r="EC119"/>
      <c r="ED119" s="143"/>
      <c r="EE119"/>
      <c r="EF119"/>
      <c r="EG119" s="143"/>
      <c r="EH119"/>
      <c r="EI119" s="2"/>
      <c r="EJ119" s="1"/>
      <c r="EK119" t="str">
        <f t="shared" si="65"/>
        <v/>
      </c>
      <c r="EL119" t="str">
        <f t="shared" si="66"/>
        <v/>
      </c>
      <c r="EM119" s="2" t="str">
        <f t="shared" si="67"/>
        <v/>
      </c>
      <c r="EN119"/>
      <c r="EO119" t="s">
        <v>450</v>
      </c>
      <c r="EP119" t="b">
        <f>IF(ISNUMBER(BU119),IF(ABS(BU119-[1]QC_indicators!$B$2)&gt;3*[1]QC_indicators!$C$2,"C ratio",IF(ISNUMBER(BY119),IF(ABS(BY119-[1]QC_indicators!$B$1)&gt;3*[1]QC_indicators!$C$1,"DF","no"))),IF(ISNUMBER(BY119),IF(ABS(BY119-[1]QC_indicators!$B$1)&gt;3*[1]QC_indicators!$C$1,"DF","no")))</f>
        <v>0</v>
      </c>
      <c r="EQ119"/>
      <c r="ER119"/>
      <c r="ES119"/>
      <c r="ET119"/>
      <c r="EU119"/>
    </row>
    <row r="120" spans="1:151" s="139" customFormat="1" ht="15" hidden="1" customHeight="1">
      <c r="A120" s="1" t="s">
        <v>1126</v>
      </c>
      <c r="B120" t="s">
        <v>3473</v>
      </c>
      <c r="C120" t="s">
        <v>3474</v>
      </c>
      <c r="D120" t="s">
        <v>3475</v>
      </c>
      <c r="E120" s="311" t="s">
        <v>3476</v>
      </c>
      <c r="F120" t="s">
        <v>3477</v>
      </c>
      <c r="G120" t="s">
        <v>1132</v>
      </c>
      <c r="H120" t="s">
        <v>254</v>
      </c>
      <c r="I120">
        <v>2022</v>
      </c>
      <c r="J120">
        <v>7</v>
      </c>
      <c r="K120" t="s">
        <v>3478</v>
      </c>
      <c r="L120"/>
      <c r="M120" t="str">
        <f t="shared" si="40"/>
        <v>Allen_2022</v>
      </c>
      <c r="N120" s="311" t="s">
        <v>4382</v>
      </c>
      <c r="O120" s="161" t="s">
        <v>223</v>
      </c>
      <c r="P120"/>
      <c r="Q120" s="311" t="s">
        <v>389</v>
      </c>
      <c r="R120" s="312"/>
      <c r="S120" s="154" t="s">
        <v>3479</v>
      </c>
      <c r="T120" s="149" t="s">
        <v>3480</v>
      </c>
      <c r="U120" s="311" t="s">
        <v>3481</v>
      </c>
      <c r="V120">
        <v>0</v>
      </c>
      <c r="W120">
        <v>0</v>
      </c>
      <c r="X120">
        <v>0</v>
      </c>
      <c r="Y120">
        <v>0</v>
      </c>
      <c r="Z120">
        <v>0</v>
      </c>
      <c r="AA120">
        <v>0</v>
      </c>
      <c r="AB120">
        <v>0</v>
      </c>
      <c r="AC120">
        <v>0</v>
      </c>
      <c r="AD120">
        <v>0</v>
      </c>
      <c r="AE120">
        <v>0</v>
      </c>
      <c r="AF120">
        <v>0</v>
      </c>
      <c r="AG120">
        <v>0</v>
      </c>
      <c r="AH120">
        <v>0</v>
      </c>
      <c r="AI120">
        <v>0</v>
      </c>
      <c r="AJ120">
        <v>0</v>
      </c>
      <c r="AK120">
        <v>1</v>
      </c>
      <c r="AL120">
        <v>0</v>
      </c>
      <c r="AM120">
        <v>0</v>
      </c>
      <c r="AN120">
        <v>2</v>
      </c>
      <c r="AO120">
        <v>0</v>
      </c>
      <c r="AP120">
        <v>0</v>
      </c>
      <c r="AQ120">
        <v>0</v>
      </c>
      <c r="AR120">
        <v>0</v>
      </c>
      <c r="AS120">
        <v>0</v>
      </c>
      <c r="AT120">
        <v>2</v>
      </c>
      <c r="AU120">
        <v>0</v>
      </c>
      <c r="AV120">
        <v>0</v>
      </c>
      <c r="AW120">
        <v>0</v>
      </c>
      <c r="AX120" s="141">
        <f>COUNTIF(V120:AW120,"&lt;&gt;0")</f>
        <v>3</v>
      </c>
      <c r="AY120" s="141">
        <f>COUNTIF(V120:AL120,"&lt;&gt;0")</f>
        <v>1</v>
      </c>
      <c r="AZ120">
        <f>COUNTIF(V120:AC120,"&lt;&gt;0")</f>
        <v>0</v>
      </c>
      <c r="BA120">
        <f>COUNTIF(AD120:AI120,"&lt;&gt;0")</f>
        <v>0</v>
      </c>
      <c r="BB120">
        <f>COUNTIF(AJ120:AL120,"&lt;&gt;0")</f>
        <v>1</v>
      </c>
      <c r="BC120">
        <f>COUNTIF(AS120:AW120,"&lt;&gt;0")</f>
        <v>1</v>
      </c>
      <c r="BD120">
        <f>COUNTIF(AM120:AR120,"&lt;&gt;0")</f>
        <v>1</v>
      </c>
      <c r="BE120" t="str" cm="1">
        <f t="array" ref="BE120">IF(AY120=1,INDEX($V$7:$AL$7,MATCH(TRUE,INDEX($V120:$AW120&lt;&gt;0,),0)),IF(AY120=0,INDEX($AM$7:$AW$7,MATCH(1,$AM120:$AW120,0)),IF(BF120="Multiple strategies","mixed drivers",IF(BF120="Supply chain","multiple supply","multiple silviculture"))))</f>
        <v>technologies/design switch</v>
      </c>
      <c r="BF120" s="2" t="str" cm="1">
        <f t="array" ref="BF120">IF(COUNTIF(AZ120:BB120,"&lt;&gt;0")=1,INDEX($V$4:$AW$4,MATCH(TRUE,INDEX($V120:$AW120&lt;&gt;0,),0)),IF(COUNTIF(AZ120:BB120,"&lt;&gt;0")=0,INDEX($AM$4:$AW$4,MATCH(1,$AM120:$AW120,0)),"Multiple strategies"))</f>
        <v>Technology</v>
      </c>
      <c r="BG120" s="1"/>
      <c r="BH120"/>
      <c r="BI120"/>
      <c r="BJ120"/>
      <c r="BK120"/>
      <c r="BL120"/>
      <c r="BM120"/>
      <c r="BN120"/>
      <c r="BO120"/>
      <c r="BP120" s="311" t="s">
        <v>395</v>
      </c>
      <c r="BQ120" s="317" t="s">
        <v>429</v>
      </c>
      <c r="BR120"/>
      <c r="BS120">
        <v>4.3</v>
      </c>
      <c r="BT120">
        <v>-1.1000000000000001</v>
      </c>
      <c r="BU120" s="144">
        <f>IFERROR(BT120/BS120,"")</f>
        <v>-0.2558139534883721</v>
      </c>
      <c r="BV120">
        <f>BT120-BS120</f>
        <v>-5.4</v>
      </c>
      <c r="BW120"/>
      <c r="BX120">
        <f>BV120/1000</f>
        <v>-5.4000000000000003E-3</v>
      </c>
      <c r="BY120" t="str">
        <f t="shared" si="51"/>
        <v/>
      </c>
      <c r="BZ120">
        <v>0</v>
      </c>
      <c r="CA120">
        <v>0</v>
      </c>
      <c r="CB120">
        <v>0</v>
      </c>
      <c r="CC120">
        <v>0</v>
      </c>
      <c r="CD120">
        <v>0</v>
      </c>
      <c r="CE120">
        <v>0</v>
      </c>
      <c r="CF120">
        <v>0</v>
      </c>
      <c r="CG120">
        <v>0</v>
      </c>
      <c r="CH120">
        <v>0</v>
      </c>
      <c r="CI120">
        <v>0</v>
      </c>
      <c r="CJ120">
        <v>0</v>
      </c>
      <c r="CK120">
        <v>0</v>
      </c>
      <c r="CL120">
        <v>0</v>
      </c>
      <c r="CM120">
        <v>0</v>
      </c>
      <c r="CN120" t="str">
        <f>IF($BL120&lt;$BK120,"refNeedCorrection","refOK")</f>
        <v>refOK</v>
      </c>
      <c r="CO120">
        <f>IF($CN120="refOK",$BK120,$BL120)</f>
        <v>0</v>
      </c>
      <c r="CP120">
        <f>IF($CN120="refOK",$BL120,$BK120)</f>
        <v>0</v>
      </c>
      <c r="CQ120">
        <f>IF($CN120="refOK",$BO120,-$BO120)</f>
        <v>0</v>
      </c>
      <c r="CR120">
        <f>IF($CN120="refOK",$BS120,$BT120)*IF($BP120="Emissions positive",-1,1)</f>
        <v>-4.3</v>
      </c>
      <c r="CS120">
        <f>IF($CN120="refOK",$BT120,$BS120)*IF($BP120="Emissions positive",-1,1)</f>
        <v>1.1000000000000001</v>
      </c>
      <c r="CT120">
        <f>IF($CN120="refNeedCorrection",-BX120,BX120)*IF($BP120="Emissions positive",-1,1)</f>
        <v>5.4000000000000003E-3</v>
      </c>
      <c r="CU120" t="str">
        <f>IFERROR(CT120/CQ120,"")</f>
        <v/>
      </c>
      <c r="CV120" s="2">
        <f>IFERROR((CS120-CR120)/ABS(CR120),"")</f>
        <v>1.2558139534883723</v>
      </c>
      <c r="CW120" s="318" t="s">
        <v>1202</v>
      </c>
      <c r="CX120" s="311" t="str">
        <f>IF(OR($CW120="prd",$CW120="std",$CW120="cit"),"loc",IF(OR($CW120="eur",$CW120="reg",$CW120="coy"),"reg",$CW120))</f>
        <v>reg</v>
      </c>
      <c r="CY120" s="311" t="s">
        <v>574</v>
      </c>
      <c r="CZ120">
        <v>1990</v>
      </c>
      <c r="DA120">
        <v>2050</v>
      </c>
      <c r="DB120">
        <f>DA120-CZ120</f>
        <v>60</v>
      </c>
      <c r="DC120" t="str">
        <f>IF(DB120=0,"0",IF(AND(DB120&gt;=1,DB120&lt;=30),"1-30",IF(AND(DB120&gt;30,DB120&lt;=70),"31-70",IF(AND(DB120&gt;70,DB120&lt;=100),"71-100",IF(DB120&gt;100,"+100")))))</f>
        <v>31-70</v>
      </c>
      <c r="DD120">
        <v>0</v>
      </c>
      <c r="DE120">
        <v>0</v>
      </c>
      <c r="DF120">
        <v>0</v>
      </c>
      <c r="DG120">
        <v>1</v>
      </c>
      <c r="DH120">
        <v>1</v>
      </c>
      <c r="DI120">
        <f>SUM(DD120:DG120)</f>
        <v>1</v>
      </c>
      <c r="DJ120" t="str">
        <f>IF(DI120=1,INDEX($DD$7:$DG$7,MATCH(1,$DD120:$DG120,0)),"mixedProduct")</f>
        <v>TimberInput</v>
      </c>
      <c r="DK120">
        <f t="shared" ref="DK120:DN124" si="69">IF(DD120=1,DK$7,0)</f>
        <v>0</v>
      </c>
      <c r="DL120">
        <f t="shared" si="69"/>
        <v>0</v>
      </c>
      <c r="DM120">
        <f t="shared" si="69"/>
        <v>0</v>
      </c>
      <c r="DN120" t="str">
        <f t="shared" si="69"/>
        <v>Timber</v>
      </c>
      <c r="DO120">
        <v>0</v>
      </c>
      <c r="DP120">
        <v>0</v>
      </c>
      <c r="DQ120">
        <v>0</v>
      </c>
      <c r="DR120">
        <v>0</v>
      </c>
      <c r="DS120">
        <v>0</v>
      </c>
      <c r="DT120">
        <f>SUM(DO120:DP120)</f>
        <v>0</v>
      </c>
      <c r="DU120" s="143" t="str">
        <f>IF(DO120=1,"self-calculated DF",IF(DP120=1,"external DF used","explicit C balance"))</f>
        <v>explicit C balance</v>
      </c>
      <c r="DV120">
        <v>0</v>
      </c>
      <c r="DW120">
        <v>0</v>
      </c>
      <c r="DX120">
        <v>0</v>
      </c>
      <c r="DY120">
        <v>1</v>
      </c>
      <c r="DZ120">
        <v>1</v>
      </c>
      <c r="EA120">
        <v>0</v>
      </c>
      <c r="EB120">
        <v>0</v>
      </c>
      <c r="EC120">
        <v>0</v>
      </c>
      <c r="ED120">
        <v>0</v>
      </c>
      <c r="EE120">
        <v>0</v>
      </c>
      <c r="EF120">
        <v>0</v>
      </c>
      <c r="EG120">
        <v>0</v>
      </c>
      <c r="EH120">
        <v>0</v>
      </c>
      <c r="EI120" s="2">
        <v>1</v>
      </c>
      <c r="EJ120" s="1"/>
      <c r="EK120" t="str">
        <f t="shared" si="65"/>
        <v/>
      </c>
      <c r="EL120" t="str">
        <f t="shared" si="66"/>
        <v/>
      </c>
      <c r="EM120" s="2" t="str">
        <f t="shared" si="67"/>
        <v/>
      </c>
      <c r="EN120"/>
      <c r="EO120"/>
      <c r="EP120" t="b">
        <f>IF(ISNUMBER(BU120),IF(ABS(BU120-[1]QC_indicators!$B$2)&gt;3*[1]QC_indicators!$C$2,"C ratio",IF(ISNUMBER(BY120),IF(ABS(BY120-[1]QC_indicators!$B$1)&gt;3*[1]QC_indicators!$C$1,"DF","no"))),IF(ISNUMBER(BY120),IF(ABS(BY120-[1]QC_indicators!$B$1)&gt;3*[1]QC_indicators!$C$1,"DF","no")))</f>
        <v>0</v>
      </c>
      <c r="EQ120"/>
      <c r="ER120"/>
      <c r="ES120"/>
      <c r="ET120"/>
      <c r="EU120"/>
    </row>
    <row r="121" spans="1:151" s="139" customFormat="1" ht="15" hidden="1" customHeight="1">
      <c r="A121" s="1" t="s">
        <v>1126</v>
      </c>
      <c r="B121" t="s">
        <v>3473</v>
      </c>
      <c r="C121" t="s">
        <v>3474</v>
      </c>
      <c r="D121" t="s">
        <v>3475</v>
      </c>
      <c r="E121" s="311" t="s">
        <v>3476</v>
      </c>
      <c r="F121" t="s">
        <v>3477</v>
      </c>
      <c r="G121" t="s">
        <v>1132</v>
      </c>
      <c r="H121" t="s">
        <v>254</v>
      </c>
      <c r="I121">
        <v>2022</v>
      </c>
      <c r="J121">
        <v>7</v>
      </c>
      <c r="K121" t="s">
        <v>3478</v>
      </c>
      <c r="L121"/>
      <c r="M121" t="str">
        <f t="shared" si="40"/>
        <v>Allen_2022</v>
      </c>
      <c r="N121" s="311" t="s">
        <v>4382</v>
      </c>
      <c r="O121" s="161" t="s">
        <v>223</v>
      </c>
      <c r="P121"/>
      <c r="Q121" s="311" t="s">
        <v>389</v>
      </c>
      <c r="R121" s="312"/>
      <c r="S121" s="154" t="s">
        <v>3479</v>
      </c>
      <c r="T121" s="149" t="s">
        <v>3480</v>
      </c>
      <c r="U121" s="311" t="s">
        <v>3481</v>
      </c>
      <c r="V121">
        <v>0</v>
      </c>
      <c r="W121">
        <v>0</v>
      </c>
      <c r="X121">
        <v>0</v>
      </c>
      <c r="Y121">
        <v>0</v>
      </c>
      <c r="Z121">
        <v>0</v>
      </c>
      <c r="AA121">
        <v>0</v>
      </c>
      <c r="AB121">
        <v>0</v>
      </c>
      <c r="AC121">
        <v>0</v>
      </c>
      <c r="AD121">
        <v>0</v>
      </c>
      <c r="AE121">
        <v>0</v>
      </c>
      <c r="AF121">
        <v>0</v>
      </c>
      <c r="AG121">
        <v>0</v>
      </c>
      <c r="AH121">
        <v>0</v>
      </c>
      <c r="AI121">
        <v>0</v>
      </c>
      <c r="AJ121">
        <v>0</v>
      </c>
      <c r="AK121">
        <v>1</v>
      </c>
      <c r="AL121">
        <v>0</v>
      </c>
      <c r="AM121">
        <v>0</v>
      </c>
      <c r="AN121">
        <v>2</v>
      </c>
      <c r="AO121">
        <v>0</v>
      </c>
      <c r="AP121">
        <v>0</v>
      </c>
      <c r="AQ121">
        <v>0</v>
      </c>
      <c r="AR121">
        <v>0</v>
      </c>
      <c r="AS121">
        <v>0</v>
      </c>
      <c r="AT121">
        <v>2</v>
      </c>
      <c r="AU121">
        <v>0</v>
      </c>
      <c r="AV121">
        <v>0</v>
      </c>
      <c r="AW121">
        <v>0</v>
      </c>
      <c r="AX121" s="141">
        <f>COUNTIF(V121:AW121,"&lt;&gt;0")</f>
        <v>3</v>
      </c>
      <c r="AY121" s="141">
        <f>COUNTIF(V121:AL121,"&lt;&gt;0")</f>
        <v>1</v>
      </c>
      <c r="AZ121">
        <f>COUNTIF(V121:AC121,"&lt;&gt;0")</f>
        <v>0</v>
      </c>
      <c r="BA121">
        <f>COUNTIF(AD121:AI121,"&lt;&gt;0")</f>
        <v>0</v>
      </c>
      <c r="BB121">
        <f>COUNTIF(AJ121:AL121,"&lt;&gt;0")</f>
        <v>1</v>
      </c>
      <c r="BC121">
        <f>COUNTIF(AS121:AW121,"&lt;&gt;0")</f>
        <v>1</v>
      </c>
      <c r="BD121">
        <f>COUNTIF(AM121:AR121,"&lt;&gt;0")</f>
        <v>1</v>
      </c>
      <c r="BE121" t="str" cm="1">
        <f t="array" ref="BE121">IF(AY121=1,INDEX($V$7:$AL$7,MATCH(TRUE,INDEX($V121:$AW121&lt;&gt;0,),0)),IF(AY121=0,INDEX($AM$7:$AW$7,MATCH(1,$AM121:$AW121,0)),IF(BF121="Multiple strategies","mixed drivers",IF(BF121="Supply chain","multiple supply","multiple silviculture"))))</f>
        <v>technologies/design switch</v>
      </c>
      <c r="BF121" s="2" t="str" cm="1">
        <f t="array" ref="BF121">IF(COUNTIF(AZ121:BB121,"&lt;&gt;0")=1,INDEX($V$4:$AW$4,MATCH(TRUE,INDEX($V121:$AW121&lt;&gt;0,),0)),IF(COUNTIF(AZ121:BB121,"&lt;&gt;0")=0,INDEX($AM$4:$AW$4,MATCH(1,$AM121:$AW121,0)),"Multiple strategies"))</f>
        <v>Technology</v>
      </c>
      <c r="BG121" s="1"/>
      <c r="BH121"/>
      <c r="BI121"/>
      <c r="BJ121"/>
      <c r="BK121"/>
      <c r="BL121"/>
      <c r="BM121"/>
      <c r="BN121"/>
      <c r="BO121"/>
      <c r="BP121" s="311" t="s">
        <v>395</v>
      </c>
      <c r="BQ121" s="317" t="s">
        <v>786</v>
      </c>
      <c r="BR121" s="311" t="s">
        <v>598</v>
      </c>
      <c r="BS121">
        <v>66.400000000000006</v>
      </c>
      <c r="BT121">
        <v>4.16</v>
      </c>
      <c r="BU121" s="144">
        <f>IFERROR(BT121/BS121,"")</f>
        <v>6.2650602409638545E-2</v>
      </c>
      <c r="BV121">
        <f>BT121-BS121</f>
        <v>-62.240000000000009</v>
      </c>
      <c r="BW121"/>
      <c r="BX121">
        <f>BV121/1000</f>
        <v>-6.2240000000000011E-2</v>
      </c>
      <c r="BY121" t="str">
        <f t="shared" si="51"/>
        <v/>
      </c>
      <c r="BZ121">
        <v>0</v>
      </c>
      <c r="CA121">
        <v>0</v>
      </c>
      <c r="CB121">
        <v>0</v>
      </c>
      <c r="CC121">
        <v>0</v>
      </c>
      <c r="CD121">
        <v>0</v>
      </c>
      <c r="CE121">
        <v>0</v>
      </c>
      <c r="CF121">
        <v>0</v>
      </c>
      <c r="CG121">
        <v>0</v>
      </c>
      <c r="CH121">
        <v>0</v>
      </c>
      <c r="CI121">
        <v>0</v>
      </c>
      <c r="CJ121">
        <v>0</v>
      </c>
      <c r="CK121">
        <v>0</v>
      </c>
      <c r="CL121">
        <v>0</v>
      </c>
      <c r="CM121">
        <v>0</v>
      </c>
      <c r="CN121" t="str">
        <f>IF($BL121&lt;$BK121,"refNeedCorrection","refOK")</f>
        <v>refOK</v>
      </c>
      <c r="CO121">
        <f>IF($CN121="refOK",$BK121,$BL121)</f>
        <v>0</v>
      </c>
      <c r="CP121">
        <f>IF($CN121="refOK",$BL121,$BK121)</f>
        <v>0</v>
      </c>
      <c r="CQ121">
        <f>IF($CN121="refOK",$BO121,-$BO121)</f>
        <v>0</v>
      </c>
      <c r="CR121">
        <f>IF($CN121="refOK",$BS121,$BT121)*IF($BP121="Emissions positive",-1,1)</f>
        <v>-66.400000000000006</v>
      </c>
      <c r="CS121">
        <f>IF($CN121="refOK",$BT121,$BS121)*IF($BP121="Emissions positive",-1,1)</f>
        <v>-4.16</v>
      </c>
      <c r="CT121">
        <f>IF($CN121="refNeedCorrection",-BX121,BX121)*IF($BP121="Emissions positive",-1,1)</f>
        <v>6.2240000000000011E-2</v>
      </c>
      <c r="CU121" t="str">
        <f>IFERROR(CT121/CQ121,"")</f>
        <v/>
      </c>
      <c r="CV121" s="2">
        <f>IFERROR((CS121-CR121)/ABS(CR121),"")</f>
        <v>0.93734939759036151</v>
      </c>
      <c r="CW121" s="318" t="s">
        <v>1202</v>
      </c>
      <c r="CX121" s="311" t="str">
        <f>IF(OR($CW121="prd",$CW121="std",$CW121="cit"),"loc",IF(OR($CW121="eur",$CW121="reg",$CW121="coy"),"reg",$CW121))</f>
        <v>reg</v>
      </c>
      <c r="CY121" s="311" t="s">
        <v>574</v>
      </c>
      <c r="CZ121">
        <v>1990</v>
      </c>
      <c r="DA121">
        <v>2050</v>
      </c>
      <c r="DB121">
        <f>DA121-CZ121</f>
        <v>60</v>
      </c>
      <c r="DC121" t="str">
        <f>IF(DB121=0,"0",IF(AND(DB121&gt;=1,DB121&lt;=30),"1-30",IF(AND(DB121&gt;30,DB121&lt;=70),"31-70",IF(AND(DB121&gt;70,DB121&lt;=100),"71-100",IF(DB121&gt;100,"+100")))))</f>
        <v>31-70</v>
      </c>
      <c r="DD121">
        <v>0</v>
      </c>
      <c r="DE121">
        <v>0</v>
      </c>
      <c r="DF121">
        <v>0</v>
      </c>
      <c r="DG121">
        <v>1</v>
      </c>
      <c r="DH121">
        <v>1</v>
      </c>
      <c r="DI121">
        <f>SUM(DD121:DG121)</f>
        <v>1</v>
      </c>
      <c r="DJ121" t="str">
        <f>IF(DI121=1,INDEX($DD$7:$DG$7,MATCH(1,$DD121:$DG121,0)),"mixedProduct")</f>
        <v>TimberInput</v>
      </c>
      <c r="DK121">
        <f t="shared" si="69"/>
        <v>0</v>
      </c>
      <c r="DL121">
        <f t="shared" si="69"/>
        <v>0</v>
      </c>
      <c r="DM121">
        <f t="shared" si="69"/>
        <v>0</v>
      </c>
      <c r="DN121" t="str">
        <f t="shared" si="69"/>
        <v>Timber</v>
      </c>
      <c r="DO121">
        <v>0</v>
      </c>
      <c r="DP121">
        <v>0</v>
      </c>
      <c r="DQ121">
        <v>0</v>
      </c>
      <c r="DR121">
        <v>0</v>
      </c>
      <c r="DS121">
        <v>0</v>
      </c>
      <c r="DT121">
        <f>SUM(DO121:DP121)</f>
        <v>0</v>
      </c>
      <c r="DU121" s="143" t="str">
        <f>IF(DO121=1,"self-calculated DF",IF(DP121=1,"external DF used","explicit C balance"))</f>
        <v>explicit C balance</v>
      </c>
      <c r="DV121">
        <v>0</v>
      </c>
      <c r="DW121">
        <v>0</v>
      </c>
      <c r="DX121">
        <v>0</v>
      </c>
      <c r="DY121">
        <v>1</v>
      </c>
      <c r="DZ121">
        <v>1</v>
      </c>
      <c r="EA121">
        <v>1</v>
      </c>
      <c r="EB121">
        <v>0</v>
      </c>
      <c r="EC121">
        <v>1</v>
      </c>
      <c r="ED121">
        <v>1</v>
      </c>
      <c r="EE121">
        <v>1</v>
      </c>
      <c r="EF121">
        <v>0</v>
      </c>
      <c r="EG121">
        <v>0</v>
      </c>
      <c r="EH121">
        <v>0</v>
      </c>
      <c r="EI121" s="2">
        <v>1</v>
      </c>
      <c r="EJ121" s="1"/>
      <c r="EK121" t="str">
        <f t="shared" si="65"/>
        <v/>
      </c>
      <c r="EL121" t="str">
        <f t="shared" si="66"/>
        <v/>
      </c>
      <c r="EM121" s="2" t="str">
        <f t="shared" si="67"/>
        <v>Technology approach</v>
      </c>
      <c r="EN121"/>
      <c r="EO121"/>
      <c r="EP121" t="b">
        <f>IF(ISNUMBER(BU121),IF(ABS(BU121-[1]QC_indicators!$B$2)&gt;3*[1]QC_indicators!$C$2,"C ratio",IF(ISNUMBER(BY121),IF(ABS(BY121-[1]QC_indicators!$B$1)&gt;3*[1]QC_indicators!$C$1,"DF","no"))),IF(ISNUMBER(BY121),IF(ABS(BY121-[1]QC_indicators!$B$1)&gt;3*[1]QC_indicators!$C$1,"DF","no")))</f>
        <v>0</v>
      </c>
      <c r="EQ121"/>
      <c r="ER121"/>
      <c r="ES121"/>
      <c r="ET121"/>
      <c r="EU121"/>
    </row>
    <row r="122" spans="1:151" s="139" customFormat="1" ht="15" hidden="1" customHeight="1">
      <c r="A122" s="1" t="s">
        <v>1126</v>
      </c>
      <c r="B122" t="s">
        <v>3473</v>
      </c>
      <c r="C122" t="s">
        <v>3474</v>
      </c>
      <c r="D122" t="s">
        <v>3475</v>
      </c>
      <c r="E122" s="311" t="s">
        <v>3476</v>
      </c>
      <c r="F122" t="s">
        <v>3477</v>
      </c>
      <c r="G122" t="s">
        <v>1132</v>
      </c>
      <c r="H122" t="s">
        <v>254</v>
      </c>
      <c r="I122">
        <v>2022</v>
      </c>
      <c r="J122">
        <v>7</v>
      </c>
      <c r="K122" t="s">
        <v>3478</v>
      </c>
      <c r="L122"/>
      <c r="M122" t="str">
        <f t="shared" si="40"/>
        <v>Allen_2022</v>
      </c>
      <c r="N122" s="311" t="s">
        <v>4382</v>
      </c>
      <c r="O122" s="161" t="s">
        <v>223</v>
      </c>
      <c r="P122"/>
      <c r="Q122" s="311" t="s">
        <v>389</v>
      </c>
      <c r="R122" s="312"/>
      <c r="S122" s="154" t="s">
        <v>3479</v>
      </c>
      <c r="T122" s="149" t="s">
        <v>3480</v>
      </c>
      <c r="U122" s="311" t="s">
        <v>3481</v>
      </c>
      <c r="V122">
        <v>0</v>
      </c>
      <c r="W122">
        <v>0</v>
      </c>
      <c r="X122">
        <v>0</v>
      </c>
      <c r="Y122">
        <v>0</v>
      </c>
      <c r="Z122">
        <v>0</v>
      </c>
      <c r="AA122">
        <v>0</v>
      </c>
      <c r="AB122">
        <v>0</v>
      </c>
      <c r="AC122">
        <v>0</v>
      </c>
      <c r="AD122">
        <v>0</v>
      </c>
      <c r="AE122">
        <v>0</v>
      </c>
      <c r="AF122">
        <v>0</v>
      </c>
      <c r="AG122">
        <v>0</v>
      </c>
      <c r="AH122">
        <v>0</v>
      </c>
      <c r="AI122">
        <v>0</v>
      </c>
      <c r="AJ122">
        <v>0</v>
      </c>
      <c r="AK122">
        <v>1</v>
      </c>
      <c r="AL122">
        <v>0</v>
      </c>
      <c r="AM122">
        <v>0</v>
      </c>
      <c r="AN122">
        <v>2</v>
      </c>
      <c r="AO122">
        <v>0</v>
      </c>
      <c r="AP122">
        <v>0</v>
      </c>
      <c r="AQ122">
        <v>0</v>
      </c>
      <c r="AR122">
        <v>0</v>
      </c>
      <c r="AS122">
        <v>0</v>
      </c>
      <c r="AT122">
        <v>2</v>
      </c>
      <c r="AU122">
        <v>0</v>
      </c>
      <c r="AV122">
        <v>0</v>
      </c>
      <c r="AW122">
        <v>0</v>
      </c>
      <c r="AX122" s="141">
        <f>COUNTIF(V122:AW122,"&lt;&gt;0")</f>
        <v>3</v>
      </c>
      <c r="AY122" s="141">
        <f>COUNTIF(V122:AL122,"&lt;&gt;0")</f>
        <v>1</v>
      </c>
      <c r="AZ122">
        <f>COUNTIF(V122:AC122,"&lt;&gt;0")</f>
        <v>0</v>
      </c>
      <c r="BA122">
        <f>COUNTIF(AD122:AI122,"&lt;&gt;0")</f>
        <v>0</v>
      </c>
      <c r="BB122">
        <f>COUNTIF(AJ122:AL122,"&lt;&gt;0")</f>
        <v>1</v>
      </c>
      <c r="BC122">
        <f>COUNTIF(AS122:AW122,"&lt;&gt;0")</f>
        <v>1</v>
      </c>
      <c r="BD122">
        <f>COUNTIF(AM122:AR122,"&lt;&gt;0")</f>
        <v>1</v>
      </c>
      <c r="BE122" t="str" cm="1">
        <f t="array" ref="BE122">IF(AY122=1,INDEX($V$7:$AL$7,MATCH(TRUE,INDEX($V122:$AW122&lt;&gt;0,),0)),IF(AY122=0,INDEX($AM$7:$AW$7,MATCH(1,$AM122:$AW122,0)),IF(BF122="Multiple strategies","mixed drivers",IF(BF122="Supply chain","multiple supply","multiple silviculture"))))</f>
        <v>technologies/design switch</v>
      </c>
      <c r="BF122" s="2" t="str" cm="1">
        <f t="array" ref="BF122">IF(COUNTIF(AZ122:BB122,"&lt;&gt;0")=1,INDEX($V$4:$AW$4,MATCH(TRUE,INDEX($V122:$AW122&lt;&gt;0,),0)),IF(COUNTIF(AZ122:BB122,"&lt;&gt;0")=0,INDEX($AM$4:$AW$4,MATCH(1,$AM122:$AW122,0)),"Multiple strategies"))</f>
        <v>Technology</v>
      </c>
      <c r="BG122" s="1"/>
      <c r="BH122"/>
      <c r="BI122"/>
      <c r="BJ122"/>
      <c r="BK122"/>
      <c r="BL122"/>
      <c r="BM122"/>
      <c r="BN122"/>
      <c r="BO122"/>
      <c r="BP122" s="311" t="s">
        <v>395</v>
      </c>
      <c r="BQ122" s="155" t="s">
        <v>426</v>
      </c>
      <c r="BR122"/>
      <c r="BS122">
        <v>59</v>
      </c>
      <c r="BT122">
        <f>BS122-0.95*BS122</f>
        <v>2.9500000000000028</v>
      </c>
      <c r="BU122" s="144">
        <f>IFERROR(BT122/BS122,"")</f>
        <v>5.0000000000000051E-2</v>
      </c>
      <c r="BV122">
        <f>BT122-BS122</f>
        <v>-56.05</v>
      </c>
      <c r="BW122"/>
      <c r="BX122">
        <f>BV122/1000</f>
        <v>-5.6049999999999996E-2</v>
      </c>
      <c r="BY122" t="str">
        <f t="shared" si="51"/>
        <v/>
      </c>
      <c r="BZ122">
        <v>0</v>
      </c>
      <c r="CA122">
        <v>0</v>
      </c>
      <c r="CB122">
        <v>0</v>
      </c>
      <c r="CC122">
        <v>0</v>
      </c>
      <c r="CD122">
        <v>0</v>
      </c>
      <c r="CE122">
        <v>0</v>
      </c>
      <c r="CF122">
        <v>0</v>
      </c>
      <c r="CG122">
        <v>0</v>
      </c>
      <c r="CH122">
        <v>0</v>
      </c>
      <c r="CI122">
        <v>0</v>
      </c>
      <c r="CJ122">
        <v>0</v>
      </c>
      <c r="CK122">
        <v>0</v>
      </c>
      <c r="CL122">
        <v>0</v>
      </c>
      <c r="CM122">
        <v>0</v>
      </c>
      <c r="CN122" t="str">
        <f>IF($BL122&lt;$BK122,"refNeedCorrection","refOK")</f>
        <v>refOK</v>
      </c>
      <c r="CO122">
        <f>IF($CN122="refOK",$BK122,$BL122)</f>
        <v>0</v>
      </c>
      <c r="CP122">
        <f>IF($CN122="refOK",$BL122,$BK122)</f>
        <v>0</v>
      </c>
      <c r="CQ122">
        <f>IF($CN122="refOK",$BO122,-$BO122)</f>
        <v>0</v>
      </c>
      <c r="CR122">
        <f>IF($CN122="refOK",$BS122,$BT122)*IF($BP122="Emissions positive",-1,1)</f>
        <v>-59</v>
      </c>
      <c r="CS122">
        <f>IF($CN122="refOK",$BT122,$BS122)*IF($BP122="Emissions positive",-1,1)</f>
        <v>-2.9500000000000028</v>
      </c>
      <c r="CT122">
        <f>IF($CN122="refNeedCorrection",-BX122,BX122)*IF($BP122="Emissions positive",-1,1)</f>
        <v>5.6049999999999996E-2</v>
      </c>
      <c r="CU122" t="str">
        <f>IFERROR(CT122/CQ122,"")</f>
        <v/>
      </c>
      <c r="CV122" s="2">
        <f>IFERROR((CS122-CR122)/ABS(CR122),"")</f>
        <v>0.95</v>
      </c>
      <c r="CW122" s="318" t="s">
        <v>1202</v>
      </c>
      <c r="CX122" s="311" t="str">
        <f>IF(OR($CW122="prd",$CW122="std",$CW122="cit"),"loc",IF(OR($CW122="eur",$CW122="reg",$CW122="coy"),"reg",$CW122))</f>
        <v>reg</v>
      </c>
      <c r="CY122" s="311" t="s">
        <v>574</v>
      </c>
      <c r="CZ122">
        <v>1990</v>
      </c>
      <c r="DA122">
        <v>2050</v>
      </c>
      <c r="DB122">
        <f>DA122-CZ122</f>
        <v>60</v>
      </c>
      <c r="DC122" t="str">
        <f>IF(DB122=0,"0",IF(AND(DB122&gt;=1,DB122&lt;=30),"1-30",IF(AND(DB122&gt;30,DB122&lt;=70),"31-70",IF(AND(DB122&gt;70,DB122&lt;=100),"71-100",IF(DB122&gt;100,"+100")))))</f>
        <v>31-70</v>
      </c>
      <c r="DD122">
        <v>0</v>
      </c>
      <c r="DE122">
        <v>0</v>
      </c>
      <c r="DF122">
        <v>0</v>
      </c>
      <c r="DG122">
        <v>1</v>
      </c>
      <c r="DH122">
        <v>1</v>
      </c>
      <c r="DI122">
        <f>SUM(DD122:DG122)</f>
        <v>1</v>
      </c>
      <c r="DJ122" t="str">
        <f>IF(DI122=1,INDEX($DD$7:$DG$7,MATCH(1,$DD122:$DG122,0)),"mixedProduct")</f>
        <v>TimberInput</v>
      </c>
      <c r="DK122">
        <f t="shared" si="69"/>
        <v>0</v>
      </c>
      <c r="DL122">
        <f t="shared" si="69"/>
        <v>0</v>
      </c>
      <c r="DM122">
        <f t="shared" si="69"/>
        <v>0</v>
      </c>
      <c r="DN122" t="str">
        <f t="shared" si="69"/>
        <v>Timber</v>
      </c>
      <c r="DO122">
        <v>0</v>
      </c>
      <c r="DP122">
        <v>0</v>
      </c>
      <c r="DQ122">
        <v>0</v>
      </c>
      <c r="DR122">
        <v>0</v>
      </c>
      <c r="DS122">
        <v>0</v>
      </c>
      <c r="DT122">
        <f>SUM(DO122:DP122)</f>
        <v>0</v>
      </c>
      <c r="DU122" s="143" t="str">
        <f>IF(DO122=1,"self-calculated DF",IF(DP122=1,"external DF used","explicit C balance"))</f>
        <v>explicit C balance</v>
      </c>
      <c r="DV122">
        <v>0</v>
      </c>
      <c r="DW122">
        <v>0</v>
      </c>
      <c r="DX122">
        <v>0</v>
      </c>
      <c r="DY122">
        <v>0</v>
      </c>
      <c r="DZ122">
        <v>0</v>
      </c>
      <c r="EA122">
        <v>1</v>
      </c>
      <c r="EB122">
        <v>0</v>
      </c>
      <c r="EC122">
        <v>1</v>
      </c>
      <c r="ED122">
        <v>1</v>
      </c>
      <c r="EE122">
        <v>1</v>
      </c>
      <c r="EF122">
        <v>0</v>
      </c>
      <c r="EG122">
        <v>0</v>
      </c>
      <c r="EH122">
        <v>0</v>
      </c>
      <c r="EI122" s="2">
        <v>1</v>
      </c>
      <c r="EJ122" s="1"/>
      <c r="EK122" t="str">
        <f t="shared" si="65"/>
        <v/>
      </c>
      <c r="EL122" t="str">
        <f t="shared" si="66"/>
        <v/>
      </c>
      <c r="EM122" s="2" t="str">
        <f t="shared" si="67"/>
        <v>Technology approach</v>
      </c>
      <c r="EN122"/>
      <c r="EO122"/>
      <c r="EP122" t="b">
        <f>IF(ISNUMBER(BU122),IF(ABS(BU122-[1]QC_indicators!$B$2)&gt;3*[1]QC_indicators!$C$2,"C ratio",IF(ISNUMBER(BY122),IF(ABS(BY122-[1]QC_indicators!$B$1)&gt;3*[1]QC_indicators!$C$1,"DF","no"))),IF(ISNUMBER(BY122),IF(ABS(BY122-[1]QC_indicators!$B$1)&gt;3*[1]QC_indicators!$C$1,"DF","no")))</f>
        <v>0</v>
      </c>
      <c r="EQ122"/>
      <c r="ER122"/>
      <c r="ES122"/>
      <c r="ET122"/>
      <c r="EU122"/>
    </row>
    <row r="123" spans="1:151" s="139" customFormat="1" ht="15" hidden="1" customHeight="1">
      <c r="A123" s="1" t="s">
        <v>247</v>
      </c>
      <c r="B123" t="s">
        <v>248</v>
      </c>
      <c r="C123" t="s">
        <v>249</v>
      </c>
      <c r="D123" t="s">
        <v>250</v>
      </c>
      <c r="E123" t="s">
        <v>251</v>
      </c>
      <c r="F123" t="s">
        <v>252</v>
      </c>
      <c r="G123" t="s">
        <v>253</v>
      </c>
      <c r="H123" t="s">
        <v>254</v>
      </c>
      <c r="I123">
        <v>2022</v>
      </c>
      <c r="J123">
        <v>0</v>
      </c>
      <c r="K123" t="s">
        <v>255</v>
      </c>
      <c r="L123"/>
      <c r="M123" t="str">
        <f t="shared" si="40"/>
        <v>Andersen_2022</v>
      </c>
      <c r="N123" t="s">
        <v>222</v>
      </c>
      <c r="O123" s="145" t="s">
        <v>223</v>
      </c>
      <c r="P123"/>
      <c r="Q123" t="s">
        <v>256</v>
      </c>
      <c r="R123" s="269" t="s">
        <v>274</v>
      </c>
      <c r="S123" s="1" t="s">
        <v>257</v>
      </c>
      <c r="T123" t="s">
        <v>258</v>
      </c>
      <c r="U123" t="s">
        <v>259</v>
      </c>
      <c r="V123">
        <v>0</v>
      </c>
      <c r="W123">
        <v>0</v>
      </c>
      <c r="X123">
        <v>0</v>
      </c>
      <c r="Y123">
        <v>0</v>
      </c>
      <c r="Z123">
        <v>0</v>
      </c>
      <c r="AA123">
        <v>0</v>
      </c>
      <c r="AB123">
        <v>0</v>
      </c>
      <c r="AC123">
        <v>0</v>
      </c>
      <c r="AD123">
        <v>0</v>
      </c>
      <c r="AE123">
        <v>0</v>
      </c>
      <c r="AF123">
        <v>0</v>
      </c>
      <c r="AG123">
        <v>0</v>
      </c>
      <c r="AH123">
        <v>0</v>
      </c>
      <c r="AI123">
        <v>0</v>
      </c>
      <c r="AJ123">
        <v>0</v>
      </c>
      <c r="AK123">
        <v>1</v>
      </c>
      <c r="AL123">
        <v>0</v>
      </c>
      <c r="AM123">
        <v>0</v>
      </c>
      <c r="AN123">
        <v>0</v>
      </c>
      <c r="AO123">
        <v>0</v>
      </c>
      <c r="AP123">
        <v>0</v>
      </c>
      <c r="AQ123">
        <v>0</v>
      </c>
      <c r="AR123">
        <v>0</v>
      </c>
      <c r="AS123">
        <v>0</v>
      </c>
      <c r="AT123">
        <v>0</v>
      </c>
      <c r="AU123">
        <v>0</v>
      </c>
      <c r="AV123">
        <v>0</v>
      </c>
      <c r="AW123">
        <v>0</v>
      </c>
      <c r="AX123" s="141">
        <f>COUNTIF(V123:AW123,"&lt;&gt;0")</f>
        <v>1</v>
      </c>
      <c r="AY123" s="141">
        <f>COUNTIF(V123:AL123,"&lt;&gt;0")</f>
        <v>1</v>
      </c>
      <c r="AZ123">
        <f>COUNTIF(V123:AC123,"&lt;&gt;0")</f>
        <v>0</v>
      </c>
      <c r="BA123">
        <f>COUNTIF(AD123:AI123,"&lt;&gt;0")</f>
        <v>0</v>
      </c>
      <c r="BB123">
        <f>COUNTIF(AJ123:AL123,"&lt;&gt;0")</f>
        <v>1</v>
      </c>
      <c r="BC123">
        <f>COUNTIF(AS123:AW123,"&lt;&gt;0")</f>
        <v>0</v>
      </c>
      <c r="BD123">
        <f>COUNTIF(AM123:AR123,"&lt;&gt;0")</f>
        <v>0</v>
      </c>
      <c r="BE123" t="str">
        <f t="array" ref="BE123">IF(AY123=1,INDEX($V$7:$AL$7,MATCH(TRUE,INDEX($V123:$AW123&lt;&gt;0,),0)),IF(AY123=0,INDEX($AM$7:$AW$7,MATCH(1,$AM123:$AW123,0)),IF(BF123="Multiple strategies","mixed drivers",IF(BF123="Supply chain","multiple supply","multiple silviculture"))))</f>
        <v>technologies/design switch</v>
      </c>
      <c r="BF123" s="2" t="str" cm="1">
        <f t="array" ref="BF123">IF(COUNTIF(AZ123:BB123,"&lt;&gt;0")=1,INDEX($V$4:$AW$4,MATCH(TRUE,INDEX($V123:$AW123&lt;&gt;0,),0)),IF(COUNTIF(AZ123:BB123,"&lt;&gt;0")=0,INDEX($AM$4:$AW$4,MATCH(1,$AM123:$AW123,0)),"Multiple strategies"))</f>
        <v>Technology</v>
      </c>
      <c r="BG123" s="142" t="s">
        <v>229</v>
      </c>
      <c r="BH123" t="s">
        <v>260</v>
      </c>
      <c r="BI123" s="264" t="s">
        <v>410</v>
      </c>
      <c r="BJ123" s="143" t="s">
        <v>261</v>
      </c>
      <c r="BK123">
        <v>37.200000000000003</v>
      </c>
      <c r="BL123">
        <v>188.5</v>
      </c>
      <c r="BM123" s="143">
        <f>BL123/BK123</f>
        <v>5.0672043010752681</v>
      </c>
      <c r="BN123">
        <f>BL123-BK123</f>
        <v>151.30000000000001</v>
      </c>
      <c r="BO123">
        <f>BN123*kg_to_m3</f>
        <v>0.30877551020408167</v>
      </c>
      <c r="BP123" t="s">
        <v>232</v>
      </c>
      <c r="BQ123" s="270" t="s">
        <v>3260</v>
      </c>
      <c r="BR123" t="s">
        <v>262</v>
      </c>
      <c r="BS123">
        <v>-904</v>
      </c>
      <c r="BT123">
        <v>-454</v>
      </c>
      <c r="BU123" s="144">
        <f>IFERROR(BT123/BS123,"")</f>
        <v>0.50221238938053092</v>
      </c>
      <c r="BV123">
        <f>BT123-BS123</f>
        <v>450</v>
      </c>
      <c r="BW123"/>
      <c r="BX123">
        <f>BV123/1000</f>
        <v>0.45</v>
      </c>
      <c r="BY123">
        <f t="shared" si="51"/>
        <v>1.4573694646397883</v>
      </c>
      <c r="BZ123" s="143">
        <v>1</v>
      </c>
      <c r="CA123" s="143">
        <v>0</v>
      </c>
      <c r="CB123" s="143">
        <v>0</v>
      </c>
      <c r="CC123" s="143">
        <v>0</v>
      </c>
      <c r="CD123" s="143">
        <v>0</v>
      </c>
      <c r="CE123" s="143">
        <v>0</v>
      </c>
      <c r="CF123" s="143">
        <v>0</v>
      </c>
      <c r="CG123" s="143">
        <v>1</v>
      </c>
      <c r="CH123" s="143">
        <v>0</v>
      </c>
      <c r="CI123" s="143">
        <v>1</v>
      </c>
      <c r="CJ123" s="143">
        <v>0</v>
      </c>
      <c r="CK123" s="143">
        <v>0</v>
      </c>
      <c r="CL123" s="143">
        <v>0</v>
      </c>
      <c r="CM123">
        <v>0</v>
      </c>
      <c r="CN123" t="str">
        <f>IF($BL123&lt;$BK123,"refNeedCorrection","refOK")</f>
        <v>refOK</v>
      </c>
      <c r="CO123">
        <f>IF($CN123="refOK",$BK123,$BL123)</f>
        <v>37.200000000000003</v>
      </c>
      <c r="CP123">
        <f>IF($CN123="refOK",$BL123,$BK123)</f>
        <v>188.5</v>
      </c>
      <c r="CQ123">
        <f>IF($CN123="refOK",$BO123,-$BO123)</f>
        <v>0.30877551020408167</v>
      </c>
      <c r="CR123">
        <f>IF($CN123="refOK",$BS123,$BT123)*IF($BP123="Emissions positive",-1,1)</f>
        <v>-904</v>
      </c>
      <c r="CS123">
        <f>IF($CN123="refOK",$BT123,$BS123)*IF($BP123="Emissions positive",-1,1)</f>
        <v>-454</v>
      </c>
      <c r="CT123">
        <f>IF($CN123="refNeedCorrection",-BX123,BX123)*IF($BP123="Emissions positive",-1,1)</f>
        <v>0.45</v>
      </c>
      <c r="CU123">
        <f>IFERROR(CT123/CQ123,"")</f>
        <v>1.4573694646397883</v>
      </c>
      <c r="CV123" s="2">
        <f>IFERROR((CS123-CR123)/ABS(CR123),"")</f>
        <v>0.49778761061946902</v>
      </c>
      <c r="CW123" s="1" t="s">
        <v>263</v>
      </c>
      <c r="CX123" t="str">
        <f>IF(OR($CW123="prd",$CW123="std",$CW123="cit"),"loc",IF(OR($CW123="eur",$CW123="reg",$CW123="coy"),"reg",$CW123))</f>
        <v>loc</v>
      </c>
      <c r="CY123" t="s">
        <v>264</v>
      </c>
      <c r="CZ123"/>
      <c r="DA123" s="143"/>
      <c r="DB123">
        <v>100</v>
      </c>
      <c r="DC123" t="str">
        <f>IF(DB123=0,"0",IF(AND(DB123&gt;=1,DB123&lt;=30),"1-30",IF(AND(DB123&gt;30,DB123&lt;=70),"31-70",IF(AND(DB123&gt;70,DB123&lt;=100),"71-100",IF(DB123&gt;100,"+100")))))</f>
        <v>71-100</v>
      </c>
      <c r="DD123">
        <v>0</v>
      </c>
      <c r="DE123">
        <v>0</v>
      </c>
      <c r="DF123">
        <v>0</v>
      </c>
      <c r="DG123">
        <v>1</v>
      </c>
      <c r="DH123"/>
      <c r="DI123">
        <f>SUM(DD123:DG123)</f>
        <v>1</v>
      </c>
      <c r="DJ123" t="str">
        <f>IF(DI123=1,INDEX($DD$7:$DG$7,MATCH(1,$DD123:$DG123,0)),"mixedProduct")</f>
        <v>TimberInput</v>
      </c>
      <c r="DK123">
        <f t="shared" si="69"/>
        <v>0</v>
      </c>
      <c r="DL123">
        <f t="shared" si="69"/>
        <v>0</v>
      </c>
      <c r="DM123">
        <f t="shared" si="69"/>
        <v>0</v>
      </c>
      <c r="DN123" t="str">
        <f t="shared" si="69"/>
        <v>Timber</v>
      </c>
      <c r="DO123">
        <v>0</v>
      </c>
      <c r="DP123" s="143">
        <v>0</v>
      </c>
      <c r="DQ123" s="143">
        <v>0</v>
      </c>
      <c r="DR123" s="143">
        <v>0</v>
      </c>
      <c r="DS123">
        <v>0</v>
      </c>
      <c r="DT123">
        <f>SUM(DO123:DP123)</f>
        <v>0</v>
      </c>
      <c r="DU123" s="143" t="str">
        <f>IF(DO123=1,"self-calculated DF",IF(DP123=1,"external DF used","explicit C balance"))</f>
        <v>explicit C balance</v>
      </c>
      <c r="DV123">
        <v>0</v>
      </c>
      <c r="DW123" s="143">
        <v>0</v>
      </c>
      <c r="DX123" s="143">
        <v>0</v>
      </c>
      <c r="DY123" s="143">
        <v>0</v>
      </c>
      <c r="DZ123">
        <v>0</v>
      </c>
      <c r="EA123" s="143">
        <v>0</v>
      </c>
      <c r="EB123">
        <v>0</v>
      </c>
      <c r="EC123" s="143">
        <v>1</v>
      </c>
      <c r="ED123" s="143">
        <v>1</v>
      </c>
      <c r="EE123">
        <v>1</v>
      </c>
      <c r="EF123">
        <v>0</v>
      </c>
      <c r="EG123" s="143">
        <v>1</v>
      </c>
      <c r="EH123">
        <v>0</v>
      </c>
      <c r="EI123" s="2">
        <v>0</v>
      </c>
      <c r="EJ123" s="1"/>
      <c r="EK123" t="str">
        <f>IF(AND(AND(AND(OR($DX123=1,$DW123=1),OR($EC123=1,$EA123=1)),SUM($DV123:$DZ123,$EF123)&gt;=4),SUM($EA123:$EE123)&gt;=2),"Whole sector","")</f>
        <v/>
      </c>
      <c r="EL123" t="str">
        <f>IF(AND(AND(OR($DX123=1,$DW123=1),AND($EC123=0,$EA123=0)),SUM($DV123:$DZ123,$EF123)&gt;=4),"Ecosystem approach","")</f>
        <v/>
      </c>
      <c r="EM123" s="2" t="str">
        <f t="shared" si="67"/>
        <v>Technology approach</v>
      </c>
      <c r="EN123"/>
      <c r="EO123"/>
      <c r="EP123" t="str">
        <f>IF(ISNUMBER(BU123),IF(ABS(BU123-[2]QC_indicators!$B$2)&gt;3*[2]QC_indicators!$C$2,"C ratio",IF(ISNUMBER(BY123),IF(ABS(BY123-[2]QC_indicators!$B$1)&gt;3*[2]QC_indicators!$C$1,"DF","no"))),IF(ISNUMBER(BY123),IF(ABS(BY123-[2]QC_indicators!$B$1)&gt;3*[2]QC_indicators!$C$1,"DF","no")))</f>
        <v>no</v>
      </c>
      <c r="EQ123"/>
      <c r="ER123"/>
      <c r="ES123"/>
      <c r="ET123" s="264" t="s">
        <v>3261</v>
      </c>
      <c r="EU123"/>
    </row>
    <row r="124" spans="1:151" s="139" customFormat="1" ht="15" hidden="1" customHeight="1">
      <c r="A124" s="1" t="s">
        <v>247</v>
      </c>
      <c r="B124" t="s">
        <v>248</v>
      </c>
      <c r="C124" t="s">
        <v>249</v>
      </c>
      <c r="D124" t="s">
        <v>250</v>
      </c>
      <c r="E124" t="s">
        <v>251</v>
      </c>
      <c r="F124" t="s">
        <v>252</v>
      </c>
      <c r="G124" t="s">
        <v>253</v>
      </c>
      <c r="H124" t="s">
        <v>254</v>
      </c>
      <c r="I124">
        <v>2022</v>
      </c>
      <c r="J124">
        <v>0</v>
      </c>
      <c r="K124" t="s">
        <v>255</v>
      </c>
      <c r="L124"/>
      <c r="M124" t="str">
        <f t="shared" si="40"/>
        <v>Andersen_2022</v>
      </c>
      <c r="N124" t="s">
        <v>222</v>
      </c>
      <c r="O124" s="145" t="s">
        <v>223</v>
      </c>
      <c r="P124"/>
      <c r="Q124" t="s">
        <v>256</v>
      </c>
      <c r="R124" s="269" t="s">
        <v>274</v>
      </c>
      <c r="S124" s="1" t="s">
        <v>257</v>
      </c>
      <c r="T124" t="s">
        <v>258</v>
      </c>
      <c r="U124" t="s">
        <v>259</v>
      </c>
      <c r="V124">
        <v>0</v>
      </c>
      <c r="W124">
        <v>0</v>
      </c>
      <c r="X124">
        <v>0</v>
      </c>
      <c r="Y124">
        <v>0</v>
      </c>
      <c r="Z124">
        <v>0</v>
      </c>
      <c r="AA124">
        <v>0</v>
      </c>
      <c r="AB124">
        <v>0</v>
      </c>
      <c r="AC124">
        <v>0</v>
      </c>
      <c r="AD124">
        <v>0</v>
      </c>
      <c r="AE124">
        <v>0</v>
      </c>
      <c r="AF124">
        <v>0</v>
      </c>
      <c r="AG124">
        <v>0</v>
      </c>
      <c r="AH124">
        <v>0</v>
      </c>
      <c r="AI124">
        <v>0</v>
      </c>
      <c r="AJ124">
        <v>0</v>
      </c>
      <c r="AK124">
        <v>1</v>
      </c>
      <c r="AL124">
        <v>0</v>
      </c>
      <c r="AM124">
        <v>0</v>
      </c>
      <c r="AN124">
        <v>0</v>
      </c>
      <c r="AO124">
        <v>0</v>
      </c>
      <c r="AP124">
        <v>0</v>
      </c>
      <c r="AQ124">
        <v>0</v>
      </c>
      <c r="AR124">
        <v>0</v>
      </c>
      <c r="AS124">
        <v>0</v>
      </c>
      <c r="AT124">
        <v>0</v>
      </c>
      <c r="AU124">
        <v>0</v>
      </c>
      <c r="AV124">
        <v>0</v>
      </c>
      <c r="AW124">
        <v>0</v>
      </c>
      <c r="AX124" s="141">
        <f>COUNTIF(V124:AW124,"&lt;&gt;0")</f>
        <v>1</v>
      </c>
      <c r="AY124" s="141">
        <f>COUNTIF(V124:AL124,"&lt;&gt;0")</f>
        <v>1</v>
      </c>
      <c r="AZ124">
        <f>COUNTIF(V124:AC124,"&lt;&gt;0")</f>
        <v>0</v>
      </c>
      <c r="BA124">
        <f>COUNTIF(AD124:AI124,"&lt;&gt;0")</f>
        <v>0</v>
      </c>
      <c r="BB124">
        <f>COUNTIF(AJ124:AL124,"&lt;&gt;0")</f>
        <v>1</v>
      </c>
      <c r="BC124">
        <f>COUNTIF(AS124:AW124,"&lt;&gt;0")</f>
        <v>0</v>
      </c>
      <c r="BD124">
        <f>COUNTIF(AM124:AR124,"&lt;&gt;0")</f>
        <v>0</v>
      </c>
      <c r="BE124" t="str">
        <f t="array" ref="BE124">IF(AY124=1,INDEX($V$7:$AL$7,MATCH(TRUE,INDEX($V124:$AW124&lt;&gt;0,),0)),IF(AY124=0,INDEX($AM$7:$AW$7,MATCH(1,$AM124:$AW124,0)),IF(BF124="Multiple strategies","mixed drivers",IF(BF124="Supply chain","multiple supply","multiple silviculture"))))</f>
        <v>technologies/design switch</v>
      </c>
      <c r="BF124" s="2" t="str" cm="1">
        <f t="array" ref="BF124">IF(COUNTIF(AZ124:BB124,"&lt;&gt;0")=1,INDEX($V$4:$AW$4,MATCH(TRUE,INDEX($V124:$AW124&lt;&gt;0,),0)),IF(COUNTIF(AZ124:BB124,"&lt;&gt;0")=0,INDEX($AM$4:$AW$4,MATCH(1,$AM124:$AW124,0)),"Multiple strategies"))</f>
        <v>Technology</v>
      </c>
      <c r="BG124" s="142" t="s">
        <v>229</v>
      </c>
      <c r="BH124" t="s">
        <v>260</v>
      </c>
      <c r="BI124" s="264" t="s">
        <v>410</v>
      </c>
      <c r="BJ124" s="143" t="s">
        <v>261</v>
      </c>
      <c r="BK124">
        <v>37.200000000000003</v>
      </c>
      <c r="BL124">
        <v>188.5</v>
      </c>
      <c r="BM124" s="143">
        <f>BL124/BK124</f>
        <v>5.0672043010752681</v>
      </c>
      <c r="BN124">
        <f>BL124-BK124</f>
        <v>151.30000000000001</v>
      </c>
      <c r="BO124">
        <f>BN124*kg_to_m3</f>
        <v>0.30877551020408167</v>
      </c>
      <c r="BP124" t="s">
        <v>232</v>
      </c>
      <c r="BQ124" s="155" t="s">
        <v>3260</v>
      </c>
      <c r="BR124" t="s">
        <v>262</v>
      </c>
      <c r="BS124">
        <v>-893</v>
      </c>
      <c r="BT124">
        <v>-289</v>
      </c>
      <c r="BU124" s="144">
        <f>IFERROR(BT124/BS124,"")</f>
        <v>0.32362821948488241</v>
      </c>
      <c r="BV124">
        <f>BT124-BS124</f>
        <v>604</v>
      </c>
      <c r="BW124"/>
      <c r="BX124">
        <f>BV124/1000</f>
        <v>0.60399999999999998</v>
      </c>
      <c r="BY124">
        <f t="shared" si="51"/>
        <v>1.956113681427627</v>
      </c>
      <c r="BZ124" s="143">
        <v>1</v>
      </c>
      <c r="CA124" s="143">
        <v>0</v>
      </c>
      <c r="CB124" s="143">
        <v>0</v>
      </c>
      <c r="CC124" s="143">
        <v>0</v>
      </c>
      <c r="CD124" s="143">
        <v>0</v>
      </c>
      <c r="CE124" s="143">
        <v>0</v>
      </c>
      <c r="CF124" s="143">
        <v>0</v>
      </c>
      <c r="CG124" s="143">
        <v>1</v>
      </c>
      <c r="CH124" s="143">
        <v>0</v>
      </c>
      <c r="CI124" s="143">
        <v>1</v>
      </c>
      <c r="CJ124" s="143">
        <v>0</v>
      </c>
      <c r="CK124" s="143">
        <v>0</v>
      </c>
      <c r="CL124" s="143">
        <v>0</v>
      </c>
      <c r="CM124">
        <v>0</v>
      </c>
      <c r="CN124" t="str">
        <f>IF($BL124&lt;$BK124,"refNeedCorrection","refOK")</f>
        <v>refOK</v>
      </c>
      <c r="CO124">
        <f>IF($CN124="refOK",$BK124,$BL124)</f>
        <v>37.200000000000003</v>
      </c>
      <c r="CP124">
        <f>IF($CN124="refOK",$BL124,$BK124)</f>
        <v>188.5</v>
      </c>
      <c r="CQ124">
        <f>IF($CN124="refOK",$BO124,-$BO124)</f>
        <v>0.30877551020408167</v>
      </c>
      <c r="CR124">
        <f>IF($CN124="refOK",$BS124,$BT124)*IF($BP124="Emissions positive",-1,1)</f>
        <v>-893</v>
      </c>
      <c r="CS124">
        <f>IF($CN124="refOK",$BT124,$BS124)*IF($BP124="Emissions positive",-1,1)</f>
        <v>-289</v>
      </c>
      <c r="CT124">
        <f>IF($CN124="refNeedCorrection",-BX124,BX124)*IF($BP124="Emissions positive",-1,1)</f>
        <v>0.60399999999999998</v>
      </c>
      <c r="CU124">
        <f>IFERROR(CT124/CQ124,"")</f>
        <v>1.956113681427627</v>
      </c>
      <c r="CV124" s="2">
        <f>IFERROR((CS124-CR124)/ABS(CR124),"")</f>
        <v>0.67637178051511759</v>
      </c>
      <c r="CW124" s="1" t="s">
        <v>263</v>
      </c>
      <c r="CX124" t="str">
        <f>IF(OR($CW124="prd",$CW124="std",$CW124="cit"),"loc",IF(OR($CW124="eur",$CW124="reg",$CW124="coy"),"reg",$CW124))</f>
        <v>loc</v>
      </c>
      <c r="CY124" t="s">
        <v>264</v>
      </c>
      <c r="CZ124"/>
      <c r="DA124" s="143"/>
      <c r="DB124">
        <v>100</v>
      </c>
      <c r="DC124" t="str">
        <f>IF(DB124=0,"0",IF(AND(DB124&gt;=1,DB124&lt;=30),"1-30",IF(AND(DB124&gt;30,DB124&lt;=70),"31-70",IF(AND(DB124&gt;70,DB124&lt;=100),"71-100",IF(DB124&gt;100,"+100")))))</f>
        <v>71-100</v>
      </c>
      <c r="DD124">
        <v>0</v>
      </c>
      <c r="DE124">
        <v>0</v>
      </c>
      <c r="DF124">
        <v>0</v>
      </c>
      <c r="DG124">
        <v>1</v>
      </c>
      <c r="DH124"/>
      <c r="DI124">
        <f>SUM(DD124:DG124)</f>
        <v>1</v>
      </c>
      <c r="DJ124" t="str">
        <f>IF(DI124=1,INDEX($DD$7:$DG$7,MATCH(1,$DD124:$DG124,0)),"mixedProduct")</f>
        <v>TimberInput</v>
      </c>
      <c r="DK124">
        <f t="shared" si="69"/>
        <v>0</v>
      </c>
      <c r="DL124">
        <f t="shared" si="69"/>
        <v>0</v>
      </c>
      <c r="DM124">
        <f t="shared" si="69"/>
        <v>0</v>
      </c>
      <c r="DN124" t="str">
        <f t="shared" si="69"/>
        <v>Timber</v>
      </c>
      <c r="DO124">
        <v>0</v>
      </c>
      <c r="DP124" s="143">
        <v>0</v>
      </c>
      <c r="DQ124" s="143">
        <v>0</v>
      </c>
      <c r="DR124" s="143">
        <v>0</v>
      </c>
      <c r="DS124">
        <v>0</v>
      </c>
      <c r="DT124">
        <f>SUM(DO124:DP124)</f>
        <v>0</v>
      </c>
      <c r="DU124" s="143" t="str">
        <f>IF(DO124=1,"self-calculated DF",IF(DP124=1,"external DF used","explicit C balance"))</f>
        <v>explicit C balance</v>
      </c>
      <c r="DV124">
        <v>0</v>
      </c>
      <c r="DW124" s="143">
        <v>0</v>
      </c>
      <c r="DX124" s="143">
        <v>0</v>
      </c>
      <c r="DY124" s="143">
        <v>1</v>
      </c>
      <c r="DZ124">
        <v>0</v>
      </c>
      <c r="EA124" s="143">
        <v>1</v>
      </c>
      <c r="EB124">
        <v>0</v>
      </c>
      <c r="EC124" s="143">
        <v>1</v>
      </c>
      <c r="ED124" s="143">
        <v>1</v>
      </c>
      <c r="EE124">
        <v>1</v>
      </c>
      <c r="EF124">
        <v>0</v>
      </c>
      <c r="EG124" s="143">
        <v>1</v>
      </c>
      <c r="EH124">
        <v>0</v>
      </c>
      <c r="EI124" s="2">
        <v>0</v>
      </c>
      <c r="EJ124" s="1"/>
      <c r="EK124" t="str">
        <f>IF(AND(AND(AND(OR($DX124=1,$DW124=1),OR($EC124=1,$EA124=1)),SUM($DV124:$DZ124,$EF124)&gt;=4),SUM($EA124:$EE124)&gt;=2),"Whole sector","")</f>
        <v/>
      </c>
      <c r="EL124" t="str">
        <f>IF(AND(AND(OR($DX124=1,$DW124=1),AND($EC124=0,$EA124=0)),SUM($DV124:$DZ124,$EF124)&gt;=4),"Ecosystem approach","")</f>
        <v/>
      </c>
      <c r="EM124" s="2" t="str">
        <f t="shared" si="67"/>
        <v>Technology approach</v>
      </c>
      <c r="EN124"/>
      <c r="EO124"/>
      <c r="EP124" t="str">
        <f>IF(ISNUMBER(BU124),IF(ABS(BU124-[2]QC_indicators!$B$2)&gt;3*[2]QC_indicators!$C$2,"C ratio",IF(ISNUMBER(BY124),IF(ABS(BY124-[2]QC_indicators!$B$1)&gt;3*[2]QC_indicators!$C$1,"DF","no"))),IF(ISNUMBER(BY124),IF(ABS(BY124-[2]QC_indicators!$B$1)&gt;3*[2]QC_indicators!$C$1,"DF","no")))</f>
        <v>no</v>
      </c>
      <c r="EQ124"/>
      <c r="ER124"/>
      <c r="ES124"/>
      <c r="ET124" s="264" t="s">
        <v>3261</v>
      </c>
      <c r="EU124"/>
    </row>
    <row r="125" spans="1:151" s="139" customFormat="1" ht="15" hidden="1" customHeight="1">
      <c r="A125" s="1" t="s">
        <v>4930</v>
      </c>
      <c r="B125" t="s">
        <v>4931</v>
      </c>
      <c r="C125" t="s">
        <v>544</v>
      </c>
      <c r="D125" t="s">
        <v>4932</v>
      </c>
      <c r="E125" t="s">
        <v>4933</v>
      </c>
      <c r="F125" t="s">
        <v>4934</v>
      </c>
      <c r="G125" t="s">
        <v>4935</v>
      </c>
      <c r="H125" t="s">
        <v>4936</v>
      </c>
      <c r="I125">
        <v>2022</v>
      </c>
      <c r="J125">
        <v>1</v>
      </c>
      <c r="K125" t="s">
        <v>4937</v>
      </c>
      <c r="L125"/>
      <c r="M125" t="str">
        <f t="shared" si="40"/>
        <v>Anderson_2022</v>
      </c>
      <c r="N125" t="s">
        <v>2583</v>
      </c>
      <c r="O125" s="140" t="s">
        <v>223</v>
      </c>
      <c r="P125"/>
      <c r="Q125"/>
      <c r="R125" s="2"/>
      <c r="S125" s="1"/>
      <c r="T125"/>
      <c r="U125"/>
      <c r="V125"/>
      <c r="W125"/>
      <c r="X125"/>
      <c r="Y125"/>
      <c r="Z125"/>
      <c r="AA125"/>
      <c r="AB125"/>
      <c r="AC125"/>
      <c r="AD125"/>
      <c r="AE125"/>
      <c r="AF125"/>
      <c r="AG125"/>
      <c r="AH125"/>
      <c r="AI125"/>
      <c r="AJ125"/>
      <c r="AK125"/>
      <c r="AL125"/>
      <c r="AM125"/>
      <c r="AN125"/>
      <c r="AO125"/>
      <c r="AP125"/>
      <c r="AQ125"/>
      <c r="AR125"/>
      <c r="AS125"/>
      <c r="AT125"/>
      <c r="AU125"/>
      <c r="AV125"/>
      <c r="AW125"/>
      <c r="AX125"/>
      <c r="AY125"/>
      <c r="AZ125"/>
      <c r="BA125"/>
      <c r="BB125"/>
      <c r="BC125"/>
      <c r="BD125"/>
      <c r="BE125"/>
      <c r="BF125" s="2"/>
      <c r="BG125" s="1"/>
      <c r="BH125"/>
      <c r="BI125"/>
      <c r="BJ125"/>
      <c r="BK125"/>
      <c r="BL125"/>
      <c r="BM125"/>
      <c r="BN125"/>
      <c r="BO125"/>
      <c r="BP125"/>
      <c r="BQ125"/>
      <c r="BR125"/>
      <c r="BS125"/>
      <c r="BT125"/>
      <c r="BU125"/>
      <c r="BV125"/>
      <c r="BW125"/>
      <c r="BX125"/>
      <c r="BY125" t="str">
        <f t="shared" si="51"/>
        <v/>
      </c>
      <c r="BZ125"/>
      <c r="CA125"/>
      <c r="CB125"/>
      <c r="CC125"/>
      <c r="CD125"/>
      <c r="CE125"/>
      <c r="CF125"/>
      <c r="CG125"/>
      <c r="CH125"/>
      <c r="CI125"/>
      <c r="CJ125"/>
      <c r="CK125"/>
      <c r="CL125"/>
      <c r="CM125"/>
      <c r="CN125"/>
      <c r="CO125"/>
      <c r="CP125"/>
      <c r="CQ125"/>
      <c r="CR125"/>
      <c r="CS125"/>
      <c r="CT125"/>
      <c r="CU125"/>
      <c r="CV125" s="2"/>
      <c r="CW125" s="1"/>
      <c r="CX125"/>
      <c r="CY125"/>
      <c r="CZ125"/>
      <c r="DA125"/>
      <c r="DB125"/>
      <c r="DC125"/>
      <c r="DD125"/>
      <c r="DE125"/>
      <c r="DF125"/>
      <c r="DG125"/>
      <c r="DH125"/>
      <c r="DI125"/>
      <c r="DJ125"/>
      <c r="DK125"/>
      <c r="DL125"/>
      <c r="DM125"/>
      <c r="DN125"/>
      <c r="DO125"/>
      <c r="DP125"/>
      <c r="DQ125"/>
      <c r="DR125"/>
      <c r="DS125"/>
      <c r="DT125"/>
      <c r="DU125"/>
      <c r="DV125"/>
      <c r="DW125"/>
      <c r="DX125"/>
      <c r="DY125"/>
      <c r="DZ125"/>
      <c r="EA125"/>
      <c r="EB125"/>
      <c r="EC125"/>
      <c r="ED125"/>
      <c r="EE125"/>
      <c r="EF125"/>
      <c r="EG125"/>
      <c r="EH125"/>
      <c r="EI125" s="2"/>
      <c r="EJ125" s="1"/>
      <c r="EK125" t="str">
        <f>IF(AND(AND(AND(OR($DX125=1,$DW125=1),OR($EC125=1,$EA125=1)),SUM($DV125:$DZ125,$EF125)&gt;=3),SUM($EA125:$EE125)&gt;=2),"Whole sector","")</f>
        <v/>
      </c>
      <c r="EL125" t="str">
        <f>IF(AND(AND(OR($DX125=1,$DW125=1),AND($EC125=0,$EA125=0)),SUM($DV125:$DZ125,$EF125)&gt;=3),"Ecosystem approach","")</f>
        <v/>
      </c>
      <c r="EM125" s="2" t="str">
        <f t="shared" si="67"/>
        <v/>
      </c>
      <c r="EN125"/>
      <c r="EO125"/>
      <c r="EP125" t="b">
        <f>IF(ISNUMBER(BU125),IF(ABS(BU125-[1]QC_indicators!$B$2)&gt;3*[1]QC_indicators!$C$2,"C ratio",IF(ISNUMBER(BY125),IF(ABS(BY125-[1]QC_indicators!$B$1)&gt;3*[1]QC_indicators!$C$1,"DF","no"))),IF(ISNUMBER(BY125),IF(ABS(BY125-[1]QC_indicators!$B$1)&gt;3*[1]QC_indicators!$C$1,"DF","no")))</f>
        <v>0</v>
      </c>
      <c r="EQ125"/>
      <c r="ER125"/>
      <c r="ES125"/>
      <c r="ET125"/>
      <c r="EU125"/>
    </row>
    <row r="126" spans="1:151" s="139" customFormat="1" ht="15" hidden="1" customHeight="1">
      <c r="A126" s="1" t="s">
        <v>505</v>
      </c>
      <c r="B126" t="s">
        <v>4753</v>
      </c>
      <c r="C126" t="s">
        <v>4754</v>
      </c>
      <c r="D126" t="s">
        <v>268</v>
      </c>
      <c r="E126" t="s">
        <v>4755</v>
      </c>
      <c r="F126" t="s">
        <v>4756</v>
      </c>
      <c r="G126" t="s">
        <v>511</v>
      </c>
      <c r="H126"/>
      <c r="I126">
        <v>2019</v>
      </c>
      <c r="J126"/>
      <c r="K126" t="s">
        <v>4757</v>
      </c>
      <c r="L126"/>
      <c r="M126" t="str">
        <f t="shared" si="40"/>
        <v>Aryapratama_2019</v>
      </c>
      <c r="N126" t="s">
        <v>1351</v>
      </c>
      <c r="O126" s="140" t="s">
        <v>274</v>
      </c>
      <c r="P126"/>
      <c r="Q126" s="311" t="s">
        <v>224</v>
      </c>
      <c r="R126" s="312"/>
      <c r="S126" s="1"/>
      <c r="T126"/>
      <c r="U126"/>
      <c r="V126"/>
      <c r="W126"/>
      <c r="X126"/>
      <c r="Y126"/>
      <c r="Z126"/>
      <c r="AA126"/>
      <c r="AB126"/>
      <c r="AC126"/>
      <c r="AD126"/>
      <c r="AE126"/>
      <c r="AF126"/>
      <c r="AG126"/>
      <c r="AH126"/>
      <c r="AI126"/>
      <c r="AJ126"/>
      <c r="AK126"/>
      <c r="AL126"/>
      <c r="AM126"/>
      <c r="AN126"/>
      <c r="AO126"/>
      <c r="AP126"/>
      <c r="AQ126"/>
      <c r="AR126"/>
      <c r="AS126"/>
      <c r="AT126"/>
      <c r="AU126"/>
      <c r="AV126"/>
      <c r="AW126"/>
      <c r="AX126" s="141"/>
      <c r="AY126" s="141"/>
      <c r="AZ126"/>
      <c r="BA126"/>
      <c r="BB126"/>
      <c r="BC126"/>
      <c r="BD126"/>
      <c r="BE126"/>
      <c r="BF126" s="2"/>
      <c r="BG126" s="1"/>
      <c r="BH126"/>
      <c r="BI126"/>
      <c r="BJ126"/>
      <c r="BK126"/>
      <c r="BL126"/>
      <c r="BM126" s="143"/>
      <c r="BN126" s="143"/>
      <c r="BO126" s="143"/>
      <c r="BP126" s="143"/>
      <c r="BQ126" s="143"/>
      <c r="BR126"/>
      <c r="BS126"/>
      <c r="BT126"/>
      <c r="BU126" s="144"/>
      <c r="BV126"/>
      <c r="BW126"/>
      <c r="BX126"/>
      <c r="BY126" t="str">
        <f t="shared" si="51"/>
        <v/>
      </c>
      <c r="BZ126"/>
      <c r="CA126"/>
      <c r="CB126"/>
      <c r="CC126"/>
      <c r="CD126"/>
      <c r="CE126"/>
      <c r="CF126"/>
      <c r="CG126"/>
      <c r="CH126"/>
      <c r="CI126"/>
      <c r="CJ126"/>
      <c r="CK126"/>
      <c r="CL126"/>
      <c r="CM126"/>
      <c r="CN126"/>
      <c r="CO126"/>
      <c r="CP126"/>
      <c r="CQ126"/>
      <c r="CR126"/>
      <c r="CS126"/>
      <c r="CT126"/>
      <c r="CU126"/>
      <c r="CV126" s="2"/>
      <c r="CW126" s="1"/>
      <c r="CX126"/>
      <c r="CY126"/>
      <c r="CZ126"/>
      <c r="DA126"/>
      <c r="DB126"/>
      <c r="DC126"/>
      <c r="DD126"/>
      <c r="DE126"/>
      <c r="DF126"/>
      <c r="DG126"/>
      <c r="DH126"/>
      <c r="DI126"/>
      <c r="DJ126"/>
      <c r="DK126"/>
      <c r="DL126"/>
      <c r="DM126"/>
      <c r="DN126"/>
      <c r="DO126"/>
      <c r="DP126"/>
      <c r="DQ126"/>
      <c r="DR126"/>
      <c r="DS126"/>
      <c r="DT126"/>
      <c r="DU126" s="143"/>
      <c r="DV126"/>
      <c r="DW126"/>
      <c r="DX126"/>
      <c r="DY126"/>
      <c r="DZ126"/>
      <c r="EA126"/>
      <c r="EB126"/>
      <c r="EC126"/>
      <c r="ED126"/>
      <c r="EE126"/>
      <c r="EF126"/>
      <c r="EG126"/>
      <c r="EH126"/>
      <c r="EI126" s="2"/>
      <c r="EJ126" s="1"/>
      <c r="EK126" t="str">
        <f>IF(AND(AND(AND(OR($DX126=1,$DW126=1),OR($EC126=1,$EA126=1)),SUM($DV126:$DZ126,$EF126)&gt;=3),SUM($EA126:$EE126)&gt;=2),"Whole sector","")</f>
        <v/>
      </c>
      <c r="EL126" t="str">
        <f>IF(AND(AND(OR($DX126=1,$DW126=1),AND($EC126=0,$EA126=0)),SUM($DV126:$DZ126,$EF126)&gt;=3),"Ecosystem approach","")</f>
        <v/>
      </c>
      <c r="EM126" s="2" t="str">
        <f t="shared" si="67"/>
        <v/>
      </c>
      <c r="EN126"/>
      <c r="EO126" t="s">
        <v>450</v>
      </c>
      <c r="EP126" t="b">
        <f>IF(ISNUMBER(BU126),IF(ABS(BU126-[1]QC_indicators!$B$2)&gt;3*[1]QC_indicators!$C$2,"C ratio",IF(ISNUMBER(BY126),IF(ABS(BY126-[1]QC_indicators!$B$1)&gt;3*[1]QC_indicators!$C$1,"DF","no"))),IF(ISNUMBER(BY126),IF(ABS(BY126-[1]QC_indicators!$B$1)&gt;3*[1]QC_indicators!$C$1,"DF","no")))</f>
        <v>0</v>
      </c>
      <c r="EQ126"/>
      <c r="ER126"/>
      <c r="ES126"/>
      <c r="ET126"/>
      <c r="EU126"/>
    </row>
    <row r="127" spans="1:151" s="139" customFormat="1" ht="15" hidden="1" customHeight="1">
      <c r="A127" s="1" t="s">
        <v>265</v>
      </c>
      <c r="B127" t="s">
        <v>266</v>
      </c>
      <c r="C127" t="s">
        <v>267</v>
      </c>
      <c r="D127" t="s">
        <v>268</v>
      </c>
      <c r="E127" t="s">
        <v>269</v>
      </c>
      <c r="F127" t="s">
        <v>270</v>
      </c>
      <c r="G127" t="s">
        <v>271</v>
      </c>
      <c r="H127" t="s">
        <v>254</v>
      </c>
      <c r="I127">
        <v>2022</v>
      </c>
      <c r="J127">
        <v>0</v>
      </c>
      <c r="K127" t="s">
        <v>272</v>
      </c>
      <c r="L127"/>
      <c r="M127" t="s">
        <v>273</v>
      </c>
      <c r="N127" t="s">
        <v>222</v>
      </c>
      <c r="O127" s="145" t="s">
        <v>274</v>
      </c>
      <c r="P127"/>
      <c r="Q127" t="s">
        <v>224</v>
      </c>
      <c r="R127" s="262" t="s">
        <v>223</v>
      </c>
      <c r="S127" s="263" t="s">
        <v>3108</v>
      </c>
      <c r="T127" t="s">
        <v>275</v>
      </c>
      <c r="U127" t="s">
        <v>276</v>
      </c>
      <c r="V127">
        <v>1</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s="141">
        <f t="shared" ref="AX127:AX158" si="70">COUNTIF(V127:AW127,"&lt;&gt;0")</f>
        <v>1</v>
      </c>
      <c r="AY127" s="141">
        <f t="shared" ref="AY127:AY158" si="71">COUNTIF(V127:AL127,"&lt;&gt;0")</f>
        <v>1</v>
      </c>
      <c r="AZ127">
        <f t="shared" ref="AZ127:AZ158" si="72">COUNTIF(V127:AC127,"&lt;&gt;0")</f>
        <v>1</v>
      </c>
      <c r="BA127">
        <f t="shared" ref="BA127:BA158" si="73">COUNTIF(AD127:AI127,"&lt;&gt;0")</f>
        <v>0</v>
      </c>
      <c r="BB127">
        <f t="shared" ref="BB127:BB158" si="74">COUNTIF(AJ127:AL127,"&lt;&gt;0")</f>
        <v>0</v>
      </c>
      <c r="BC127">
        <f t="shared" ref="BC127:BC158" si="75">COUNTIF(AS127:AW127,"&lt;&gt;0")</f>
        <v>0</v>
      </c>
      <c r="BD127">
        <f t="shared" ref="BD127:BD158" si="76">COUNTIF(AM127:AR127,"&lt;&gt;0")</f>
        <v>0</v>
      </c>
      <c r="BE127" t="str">
        <f t="array" ref="BE127">IF(AY127=1,INDEX($V$7:$AL$7,MATCH(TRUE,INDEX($V127:$AW127&lt;&gt;0,),0)),IF(AY127=0,INDEX($AM$7:$AW$7,MATCH(1,$AM127:$AW127,0)),IF(BF127="Multiple strategies","mixed drivers",IF(BF127="Supply chain","multiple supply","multiple silviculture"))))</f>
        <v>area subject to harvest</v>
      </c>
      <c r="BF127" s="2" t="str" cm="1">
        <f t="array" ref="BF127">IF(COUNTIF(AZ127:BB127,"&lt;&gt;0")=1,INDEX($V$4:$AW$4,MATCH(TRUE,INDEX($V127:$AW127&lt;&gt;0,),0)),IF(COUNTIF(AZ127:BB127,"&lt;&gt;0")=0,INDEX($AM$4:$AW$4,MATCH(1,$AM127:$AW127,0)),"Multiple strategies"))</f>
        <v>Silviculture for removals</v>
      </c>
      <c r="BG127" s="1" t="s">
        <v>229</v>
      </c>
      <c r="BH127" t="s">
        <v>277</v>
      </c>
      <c r="BI127" s="264" t="s">
        <v>3105</v>
      </c>
      <c r="BJ127" t="s">
        <v>278</v>
      </c>
      <c r="BK127" s="141">
        <v>135.58000000000001</v>
      </c>
      <c r="BL127">
        <v>145.3587976415094</v>
      </c>
      <c r="BM127"/>
      <c r="BN127">
        <f t="shared" ref="BN127:BN158" si="77">BL127-BK127</f>
        <v>9.7787976415093851</v>
      </c>
      <c r="BO127">
        <f t="shared" ref="BO127:BO158" si="78">BN127*tC_to_m3</f>
        <v>42.461127405598724</v>
      </c>
      <c r="BP127" t="s">
        <v>232</v>
      </c>
      <c r="BQ127" s="302" t="s">
        <v>3106</v>
      </c>
      <c r="BR127" t="s">
        <v>279</v>
      </c>
      <c r="BS127">
        <v>-430.22235574765915</v>
      </c>
      <c r="BT127">
        <v>-654.85817268246092</v>
      </c>
      <c r="BU127" s="144">
        <f t="shared" ref="BU127:BU158" si="79">IFERROR(BT127/BS127,"")</f>
        <v>1.5221388752437559</v>
      </c>
      <c r="BV127">
        <f t="shared" ref="BV127:BV158" si="80">BT127-BS127</f>
        <v>-224.63581693480177</v>
      </c>
      <c r="BW127"/>
      <c r="BX127">
        <f t="shared" ref="BX127:BX158" si="81">BV127</f>
        <v>-224.63581693480177</v>
      </c>
      <c r="BY127">
        <f t="shared" si="51"/>
        <v>-5.2903874828623216</v>
      </c>
      <c r="BZ127"/>
      <c r="CA127"/>
      <c r="CB127"/>
      <c r="CC127"/>
      <c r="CD127"/>
      <c r="CE127"/>
      <c r="CF127"/>
      <c r="CG127"/>
      <c r="CH127"/>
      <c r="CI127"/>
      <c r="CJ127"/>
      <c r="CK127"/>
      <c r="CL127"/>
      <c r="CM127"/>
      <c r="CN127" t="str">
        <f t="shared" ref="CN127:CN158" si="82">IF($BL127&lt;$BK127,"refNeedCorrection","refOK")</f>
        <v>refOK</v>
      </c>
      <c r="CO127">
        <f t="shared" ref="CO127:CO141" si="83">IF($CN127="refOK",$BK127,$BL127)</f>
        <v>135.58000000000001</v>
      </c>
      <c r="CP127">
        <f t="shared" ref="CP127:CP141" si="84">IF($CN127="refOK",$BL127,$BK127)</f>
        <v>145.3587976415094</v>
      </c>
      <c r="CQ127">
        <f t="shared" ref="CQ127:CQ158" si="85">IF($CN127="refOK",$BO127,-$BO127)</f>
        <v>42.461127405598724</v>
      </c>
      <c r="CR127">
        <f t="shared" ref="CR127:CR158" si="86">IF($CN127="refOK",$BS127,$BT127)*IF($BP127="Emissions positive",-1,1)</f>
        <v>-430.22235574765915</v>
      </c>
      <c r="CS127">
        <f t="shared" ref="CS127:CS158" si="87">IF($CN127="refOK",$BT127,$BS127)*IF($BP127="Emissions positive",-1,1)</f>
        <v>-654.85817268246092</v>
      </c>
      <c r="CT127">
        <f t="shared" ref="CT127:CT158" si="88">IF($CN127="refNeedCorrection",-BX127,BX127)*IF($BP127="Emissions positive",-1,1)</f>
        <v>-224.63581693480177</v>
      </c>
      <c r="CU127">
        <f t="shared" ref="CU127:CU158" si="89">IFERROR(CT127/CQ127,"")</f>
        <v>-5.2903874828623216</v>
      </c>
      <c r="CV127" s="2">
        <f t="shared" ref="CV127:CV158" si="90">IFERROR((CS127-CR127)/ABS(CR127),"")</f>
        <v>-0.52213887524375591</v>
      </c>
      <c r="CW127" s="1" t="s">
        <v>234</v>
      </c>
      <c r="CX127" t="str">
        <f t="shared" ref="CX127:CX158" si="91">IF(OR($CW127="prd",$CW127="std",$CW127="cit"),"loc",IF(OR($CW127="eur",$CW127="reg",$CW127="coy"),"reg",$CW127))</f>
        <v>loc</v>
      </c>
      <c r="CY127" t="s">
        <v>280</v>
      </c>
      <c r="CZ127"/>
      <c r="DA127"/>
      <c r="DB127">
        <v>50</v>
      </c>
      <c r="DC127" t="str">
        <f t="shared" ref="DC127:DC158" si="92">IF(DB127=0,"0",IF(AND(DB127&gt;=1,DB127&lt;=30),"1-30",IF(AND(DB127&gt;30,DB127&lt;=70),"31-70",IF(AND(DB127&gt;70,DB127&lt;=100),"71-100",IF(DB127&gt;100,"+100")))))</f>
        <v>31-70</v>
      </c>
      <c r="DD127">
        <v>0</v>
      </c>
      <c r="DE127">
        <v>0</v>
      </c>
      <c r="DF127">
        <v>0</v>
      </c>
      <c r="DG127">
        <v>1</v>
      </c>
      <c r="DH127"/>
      <c r="DI127">
        <v>1</v>
      </c>
      <c r="DJ127" t="s">
        <v>175</v>
      </c>
      <c r="DK127">
        <v>0</v>
      </c>
      <c r="DL127">
        <v>0</v>
      </c>
      <c r="DM127">
        <v>0</v>
      </c>
      <c r="DN127" t="s">
        <v>182</v>
      </c>
      <c r="DO127">
        <v>0</v>
      </c>
      <c r="DP127">
        <v>1</v>
      </c>
      <c r="DQ127">
        <v>0</v>
      </c>
      <c r="DR127" t="s">
        <v>281</v>
      </c>
      <c r="DS127">
        <v>0</v>
      </c>
      <c r="DT127">
        <v>1</v>
      </c>
      <c r="DU127" s="143" t="s">
        <v>282</v>
      </c>
      <c r="DV127">
        <v>0</v>
      </c>
      <c r="DW127">
        <v>1</v>
      </c>
      <c r="DX127">
        <v>1</v>
      </c>
      <c r="DY127">
        <v>1</v>
      </c>
      <c r="DZ127">
        <v>1</v>
      </c>
      <c r="EA127" s="143">
        <v>0</v>
      </c>
      <c r="EB127">
        <v>1</v>
      </c>
      <c r="EC127">
        <v>1</v>
      </c>
      <c r="ED127">
        <v>0</v>
      </c>
      <c r="EE127">
        <v>1</v>
      </c>
      <c r="EF127">
        <v>1</v>
      </c>
      <c r="EG127">
        <v>1</v>
      </c>
      <c r="EH127">
        <v>0</v>
      </c>
      <c r="EI127" s="2">
        <v>0</v>
      </c>
      <c r="EJ127" s="1"/>
      <c r="EK127" t="str">
        <f t="shared" ref="EK127:EK158" si="93">IF(AND(AND(AND(OR($DX127=1,$DW127=1),OR($EC127=1,$EA127=1)),SUM($DV127:$DZ127,$EF127)&gt;=4),SUM($EA127:$EE127)&gt;=2),"Whole sector","")</f>
        <v>Whole sector</v>
      </c>
      <c r="EL127" t="str">
        <f t="shared" ref="EL127:EL158" si="94">IF(AND(AND(OR($DX127=1,$DW127=1),AND($EC127=0,$EA127=0)),SUM($DV127:$DZ127,$EF127)&gt;=4),"Ecosystem approach","")</f>
        <v/>
      </c>
      <c r="EM127" s="2" t="str">
        <f t="shared" si="67"/>
        <v/>
      </c>
      <c r="EN127"/>
      <c r="EO127"/>
      <c r="EP127"/>
      <c r="EQ127"/>
      <c r="ER127"/>
      <c r="ES127"/>
      <c r="ET127" s="264" t="s">
        <v>3272</v>
      </c>
      <c r="EU127"/>
    </row>
    <row r="128" spans="1:151" s="139" customFormat="1" ht="15" hidden="1" customHeight="1">
      <c r="A128" s="1" t="s">
        <v>265</v>
      </c>
      <c r="B128" t="s">
        <v>266</v>
      </c>
      <c r="C128" t="s">
        <v>267</v>
      </c>
      <c r="D128" t="s">
        <v>268</v>
      </c>
      <c r="E128" t="s">
        <v>269</v>
      </c>
      <c r="F128" t="s">
        <v>270</v>
      </c>
      <c r="G128" t="s">
        <v>271</v>
      </c>
      <c r="H128" t="s">
        <v>254</v>
      </c>
      <c r="I128">
        <v>2022</v>
      </c>
      <c r="J128">
        <v>0</v>
      </c>
      <c r="K128" t="s">
        <v>272</v>
      </c>
      <c r="L128"/>
      <c r="M128" t="s">
        <v>273</v>
      </c>
      <c r="N128" t="s">
        <v>222</v>
      </c>
      <c r="O128" s="145" t="s">
        <v>274</v>
      </c>
      <c r="P128"/>
      <c r="Q128" t="s">
        <v>224</v>
      </c>
      <c r="R128" s="262" t="s">
        <v>223</v>
      </c>
      <c r="S128" s="1" t="s">
        <v>287</v>
      </c>
      <c r="T128" t="s">
        <v>288</v>
      </c>
      <c r="U128" t="s">
        <v>289</v>
      </c>
      <c r="V128">
        <v>0</v>
      </c>
      <c r="W128">
        <v>0</v>
      </c>
      <c r="X128">
        <v>0</v>
      </c>
      <c r="Y128">
        <v>0</v>
      </c>
      <c r="Z128">
        <v>0</v>
      </c>
      <c r="AA128">
        <v>0</v>
      </c>
      <c r="AB128">
        <v>0</v>
      </c>
      <c r="AC128">
        <v>1</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s="141">
        <f t="shared" si="70"/>
        <v>1</v>
      </c>
      <c r="AY128" s="141">
        <f t="shared" si="71"/>
        <v>1</v>
      </c>
      <c r="AZ128">
        <f t="shared" si="72"/>
        <v>1</v>
      </c>
      <c r="BA128">
        <f t="shared" si="73"/>
        <v>0</v>
      </c>
      <c r="BB128">
        <f t="shared" si="74"/>
        <v>0</v>
      </c>
      <c r="BC128">
        <f t="shared" si="75"/>
        <v>0</v>
      </c>
      <c r="BD128">
        <f t="shared" si="76"/>
        <v>0</v>
      </c>
      <c r="BE128" t="str">
        <f t="array" ref="BE128">IF(AY128=1,INDEX($V$7:$AL$7,MATCH(TRUE,INDEX($V128:$AW128&lt;&gt;0,),0)),IF(AY128=0,INDEX($AM$7:$AW$7,MATCH(1,$AM128:$AW128,0)),IF(BF128="Multiple strategies","mixed drivers",IF(BF128="Supply chain","multiple supply","multiple silviculture"))))</f>
        <v>site fertility</v>
      </c>
      <c r="BF128" s="2" t="str" cm="1">
        <f t="array" ref="BF128">IF(COUNTIF(AZ128:BB128,"&lt;&gt;0")=1,INDEX($V$4:$AW$4,MATCH(TRUE,INDEX($V128:$AW128&lt;&gt;0,),0)),IF(COUNTIF(AZ128:BB128,"&lt;&gt;0")=0,INDEX($AM$4:$AW$4,MATCH(1,$AM128:$AW128,0)),"Multiple strategies"))</f>
        <v>Silviculture for productivity</v>
      </c>
      <c r="BG128" s="1" t="s">
        <v>229</v>
      </c>
      <c r="BH128" t="s">
        <v>277</v>
      </c>
      <c r="BI128" s="264" t="s">
        <v>3105</v>
      </c>
      <c r="BJ128" t="s">
        <v>278</v>
      </c>
      <c r="BK128">
        <v>656.10508355919967</v>
      </c>
      <c r="BL128">
        <v>757.78980054033161</v>
      </c>
      <c r="BM128"/>
      <c r="BN128">
        <f t="shared" si="77"/>
        <v>101.68471698113194</v>
      </c>
      <c r="BO128">
        <f t="shared" si="78"/>
        <v>441.53155441220991</v>
      </c>
      <c r="BP128" t="s">
        <v>232</v>
      </c>
      <c r="BQ128" s="302" t="s">
        <v>3106</v>
      </c>
      <c r="BR128" t="s">
        <v>279</v>
      </c>
      <c r="BS128">
        <v>-227.6520247861325</v>
      </c>
      <c r="BT128">
        <v>-1160.011828609915</v>
      </c>
      <c r="BU128" s="144">
        <f t="shared" si="79"/>
        <v>5.0955480395998549</v>
      </c>
      <c r="BV128">
        <f t="shared" si="80"/>
        <v>-932.3598038237825</v>
      </c>
      <c r="BW128"/>
      <c r="BX128">
        <f t="shared" si="81"/>
        <v>-932.3598038237825</v>
      </c>
      <c r="BY128">
        <f t="shared" si="51"/>
        <v>-2.1116493136373662</v>
      </c>
      <c r="BZ128">
        <v>0</v>
      </c>
      <c r="CA128">
        <v>0</v>
      </c>
      <c r="CB128">
        <v>0</v>
      </c>
      <c r="CC128">
        <v>0</v>
      </c>
      <c r="CD128">
        <v>0</v>
      </c>
      <c r="CE128">
        <v>0</v>
      </c>
      <c r="CF128">
        <v>0</v>
      </c>
      <c r="CG128">
        <v>0</v>
      </c>
      <c r="CH128">
        <v>0</v>
      </c>
      <c r="CI128">
        <v>0</v>
      </c>
      <c r="CJ128">
        <v>0</v>
      </c>
      <c r="CK128">
        <v>0</v>
      </c>
      <c r="CL128">
        <v>0</v>
      </c>
      <c r="CM128">
        <v>0</v>
      </c>
      <c r="CN128" t="str">
        <f t="shared" si="82"/>
        <v>refOK</v>
      </c>
      <c r="CO128">
        <f t="shared" si="83"/>
        <v>656.10508355919967</v>
      </c>
      <c r="CP128">
        <f t="shared" si="84"/>
        <v>757.78980054033161</v>
      </c>
      <c r="CQ128">
        <f t="shared" si="85"/>
        <v>441.53155441220991</v>
      </c>
      <c r="CR128">
        <f t="shared" si="86"/>
        <v>-227.6520247861325</v>
      </c>
      <c r="CS128">
        <f t="shared" si="87"/>
        <v>-1160.011828609915</v>
      </c>
      <c r="CT128">
        <f t="shared" si="88"/>
        <v>-932.3598038237825</v>
      </c>
      <c r="CU128">
        <f t="shared" si="89"/>
        <v>-2.1116493136373662</v>
      </c>
      <c r="CV128" s="2">
        <f t="shared" si="90"/>
        <v>-4.0955480395998549</v>
      </c>
      <c r="CW128" s="1" t="s">
        <v>234</v>
      </c>
      <c r="CX128" t="str">
        <f t="shared" si="91"/>
        <v>loc</v>
      </c>
      <c r="CY128" t="s">
        <v>280</v>
      </c>
      <c r="CZ128"/>
      <c r="DA128"/>
      <c r="DB128">
        <v>200</v>
      </c>
      <c r="DC128" t="str">
        <f t="shared" si="92"/>
        <v>+100</v>
      </c>
      <c r="DD128">
        <v>0</v>
      </c>
      <c r="DE128">
        <v>0</v>
      </c>
      <c r="DF128">
        <v>0</v>
      </c>
      <c r="DG128">
        <v>1</v>
      </c>
      <c r="DH128"/>
      <c r="DI128">
        <v>1</v>
      </c>
      <c r="DJ128" t="s">
        <v>175</v>
      </c>
      <c r="DK128">
        <v>0</v>
      </c>
      <c r="DL128">
        <v>0</v>
      </c>
      <c r="DM128">
        <v>0</v>
      </c>
      <c r="DN128" t="s">
        <v>182</v>
      </c>
      <c r="DO128">
        <v>0</v>
      </c>
      <c r="DP128">
        <v>1</v>
      </c>
      <c r="DQ128">
        <v>0</v>
      </c>
      <c r="DR128" t="s">
        <v>281</v>
      </c>
      <c r="DS128">
        <v>0</v>
      </c>
      <c r="DT128">
        <v>1</v>
      </c>
      <c r="DU128" s="143" t="s">
        <v>282</v>
      </c>
      <c r="DV128">
        <v>0</v>
      </c>
      <c r="DW128">
        <v>1</v>
      </c>
      <c r="DX128">
        <v>1</v>
      </c>
      <c r="DY128">
        <v>1</v>
      </c>
      <c r="DZ128">
        <v>1</v>
      </c>
      <c r="EA128" s="143">
        <v>0</v>
      </c>
      <c r="EB128">
        <v>1</v>
      </c>
      <c r="EC128">
        <v>1</v>
      </c>
      <c r="ED128">
        <v>0</v>
      </c>
      <c r="EE128">
        <v>1</v>
      </c>
      <c r="EF128">
        <v>1</v>
      </c>
      <c r="EG128">
        <v>1</v>
      </c>
      <c r="EH128">
        <v>0</v>
      </c>
      <c r="EI128" s="2">
        <v>0</v>
      </c>
      <c r="EJ128" s="1"/>
      <c r="EK128" t="str">
        <f t="shared" si="93"/>
        <v>Whole sector</v>
      </c>
      <c r="EL128" t="str">
        <f t="shared" si="94"/>
        <v/>
      </c>
      <c r="EM128" s="2" t="str">
        <f t="shared" si="67"/>
        <v/>
      </c>
      <c r="EN128"/>
      <c r="EO128"/>
      <c r="EP128"/>
      <c r="EQ128"/>
      <c r="ER128" t="s">
        <v>290</v>
      </c>
      <c r="ES128"/>
      <c r="ET128" s="264" t="s">
        <v>3272</v>
      </c>
      <c r="EU128"/>
    </row>
    <row r="129" spans="1:151" s="139" customFormat="1" ht="15" hidden="1" customHeight="1">
      <c r="A129" s="1" t="s">
        <v>265</v>
      </c>
      <c r="B129" t="s">
        <v>266</v>
      </c>
      <c r="C129" t="s">
        <v>267</v>
      </c>
      <c r="D129" t="s">
        <v>268</v>
      </c>
      <c r="E129" t="s">
        <v>269</v>
      </c>
      <c r="F129" t="s">
        <v>270</v>
      </c>
      <c r="G129" t="s">
        <v>271</v>
      </c>
      <c r="H129" t="s">
        <v>254</v>
      </c>
      <c r="I129">
        <v>2022</v>
      </c>
      <c r="J129">
        <v>0</v>
      </c>
      <c r="K129" t="s">
        <v>272</v>
      </c>
      <c r="L129"/>
      <c r="M129" t="str">
        <f t="shared" ref="M129:M192" si="95">LEFT($D129,FIND(",",$D129)-1)&amp;"_"&amp;I129&amp;L129</f>
        <v>Aryapratama_2022</v>
      </c>
      <c r="N129" t="s">
        <v>222</v>
      </c>
      <c r="O129" s="145" t="s">
        <v>274</v>
      </c>
      <c r="P129"/>
      <c r="Q129" t="s">
        <v>224</v>
      </c>
      <c r="R129" s="262" t="s">
        <v>223</v>
      </c>
      <c r="S129" s="1" t="s">
        <v>314</v>
      </c>
      <c r="T129" t="s">
        <v>315</v>
      </c>
      <c r="U129" t="s">
        <v>316</v>
      </c>
      <c r="V129">
        <v>0</v>
      </c>
      <c r="W129">
        <v>0</v>
      </c>
      <c r="X129">
        <v>1</v>
      </c>
      <c r="Y129">
        <v>0</v>
      </c>
      <c r="Z129">
        <v>0</v>
      </c>
      <c r="AA129">
        <v>0</v>
      </c>
      <c r="AB129">
        <v>0</v>
      </c>
      <c r="AC129">
        <v>0</v>
      </c>
      <c r="AD129">
        <v>0</v>
      </c>
      <c r="AE129">
        <v>0</v>
      </c>
      <c r="AF129">
        <v>0</v>
      </c>
      <c r="AG129">
        <v>0</v>
      </c>
      <c r="AH129">
        <v>0</v>
      </c>
      <c r="AI129">
        <v>2</v>
      </c>
      <c r="AJ129">
        <v>0</v>
      </c>
      <c r="AK129">
        <v>0</v>
      </c>
      <c r="AL129">
        <v>0</v>
      </c>
      <c r="AM129">
        <v>0</v>
      </c>
      <c r="AN129">
        <v>0</v>
      </c>
      <c r="AO129">
        <v>0</v>
      </c>
      <c r="AP129">
        <v>0</v>
      </c>
      <c r="AQ129">
        <v>0</v>
      </c>
      <c r="AR129">
        <v>0</v>
      </c>
      <c r="AS129">
        <v>0</v>
      </c>
      <c r="AT129">
        <v>0</v>
      </c>
      <c r="AU129">
        <v>0</v>
      </c>
      <c r="AV129">
        <v>0</v>
      </c>
      <c r="AW129">
        <v>0</v>
      </c>
      <c r="AX129" s="141">
        <f t="shared" si="70"/>
        <v>2</v>
      </c>
      <c r="AY129" s="141">
        <f t="shared" si="71"/>
        <v>2</v>
      </c>
      <c r="AZ129">
        <f t="shared" si="72"/>
        <v>1</v>
      </c>
      <c r="BA129">
        <f t="shared" si="73"/>
        <v>1</v>
      </c>
      <c r="BB129">
        <f t="shared" si="74"/>
        <v>0</v>
      </c>
      <c r="BC129">
        <f t="shared" si="75"/>
        <v>0</v>
      </c>
      <c r="BD129">
        <f t="shared" si="76"/>
        <v>0</v>
      </c>
      <c r="BE129" t="str">
        <f t="array" ref="BE129">IF(AY129=1,INDEX($V$7:$AL$7,MATCH(TRUE,INDEX($V129:$AW129&lt;&gt;0,),0)),IF(AY129=0,INDEX($AM$7:$AW$7,MATCH(1,$AM129:$AW129,0)),IF(BF129="Multiple strategies","mixed drivers",IF(BF129="Supply chain","multiple supply","multiple silviculture"))))</f>
        <v>mixed drivers</v>
      </c>
      <c r="BF129" s="2" t="str" cm="1">
        <f t="array" ref="BF129">IF(COUNTIF(AZ129:BB129,"&lt;&gt;0")=1,INDEX($V$4:$AW$4,MATCH(TRUE,INDEX($V129:$AW129&lt;&gt;0,),0)),IF(COUNTIF(AZ129:BB129,"&lt;&gt;0")=0,INDEX($AM$4:$AW$4,MATCH(1,$AM129:$AW129,0)),"Multiple strategies"))</f>
        <v>Multiple strategies</v>
      </c>
      <c r="BG129" s="1" t="s">
        <v>229</v>
      </c>
      <c r="BH129" t="s">
        <v>277</v>
      </c>
      <c r="BI129" s="264" t="s">
        <v>3105</v>
      </c>
      <c r="BJ129" t="s">
        <v>278</v>
      </c>
      <c r="BK129">
        <v>226.7291347999585</v>
      </c>
      <c r="BL129">
        <v>265.71098787093206</v>
      </c>
      <c r="BM129">
        <f>BL129/BK129</f>
        <v>1.1719313801702942</v>
      </c>
      <c r="BN129">
        <f t="shared" si="77"/>
        <v>38.981853070973557</v>
      </c>
      <c r="BO129">
        <f t="shared" si="78"/>
        <v>169.26553656523473</v>
      </c>
      <c r="BP129" t="s">
        <v>232</v>
      </c>
      <c r="BQ129" s="302" t="s">
        <v>3106</v>
      </c>
      <c r="BR129" t="s">
        <v>279</v>
      </c>
      <c r="BS129">
        <v>-617.93246272463909</v>
      </c>
      <c r="BT129">
        <v>-870.70033536556764</v>
      </c>
      <c r="BU129" s="144">
        <f t="shared" si="79"/>
        <v>1.4090542055783952</v>
      </c>
      <c r="BV129">
        <f t="shared" si="80"/>
        <v>-252.76787264092854</v>
      </c>
      <c r="BW129"/>
      <c r="BX129">
        <f t="shared" si="81"/>
        <v>-252.76787264092854</v>
      </c>
      <c r="BY129">
        <f t="shared" si="51"/>
        <v>-1.4933215453667505</v>
      </c>
      <c r="BZ129">
        <v>0</v>
      </c>
      <c r="CA129">
        <v>0</v>
      </c>
      <c r="CB129">
        <v>0</v>
      </c>
      <c r="CC129">
        <v>0</v>
      </c>
      <c r="CD129">
        <v>0</v>
      </c>
      <c r="CE129">
        <v>0</v>
      </c>
      <c r="CF129">
        <v>0</v>
      </c>
      <c r="CG129">
        <v>0</v>
      </c>
      <c r="CH129">
        <v>0</v>
      </c>
      <c r="CI129">
        <v>0</v>
      </c>
      <c r="CJ129">
        <v>0</v>
      </c>
      <c r="CK129">
        <v>0</v>
      </c>
      <c r="CL129">
        <v>0</v>
      </c>
      <c r="CM129">
        <v>0</v>
      </c>
      <c r="CN129" t="str">
        <f t="shared" si="82"/>
        <v>refOK</v>
      </c>
      <c r="CO129">
        <f t="shared" si="83"/>
        <v>226.7291347999585</v>
      </c>
      <c r="CP129">
        <f t="shared" si="84"/>
        <v>265.71098787093206</v>
      </c>
      <c r="CQ129">
        <f t="shared" si="85"/>
        <v>169.26553656523473</v>
      </c>
      <c r="CR129">
        <f t="shared" si="86"/>
        <v>-617.93246272463909</v>
      </c>
      <c r="CS129">
        <f t="shared" si="87"/>
        <v>-870.70033536556764</v>
      </c>
      <c r="CT129">
        <f t="shared" si="88"/>
        <v>-252.76787264092854</v>
      </c>
      <c r="CU129">
        <f t="shared" si="89"/>
        <v>-1.4933215453667505</v>
      </c>
      <c r="CV129" s="2">
        <f t="shared" si="90"/>
        <v>-0.40905420557839517</v>
      </c>
      <c r="CW129" s="1" t="s">
        <v>234</v>
      </c>
      <c r="CX129" t="str">
        <f t="shared" si="91"/>
        <v>loc</v>
      </c>
      <c r="CY129" t="s">
        <v>280</v>
      </c>
      <c r="CZ129"/>
      <c r="DA129"/>
      <c r="DB129">
        <v>50</v>
      </c>
      <c r="DC129" t="str">
        <f t="shared" si="92"/>
        <v>31-70</v>
      </c>
      <c r="DD129">
        <v>0</v>
      </c>
      <c r="DE129">
        <v>0</v>
      </c>
      <c r="DF129">
        <v>1</v>
      </c>
      <c r="DG129">
        <v>0</v>
      </c>
      <c r="DH129"/>
      <c r="DI129">
        <f t="shared" ref="DI129:DI160" si="96">SUM(DD129:DG129)</f>
        <v>1</v>
      </c>
      <c r="DJ129" t="str">
        <f t="shared" ref="DJ129:DJ160" si="97">IF(DI129=1,INDEX($DD$7:$DG$7,MATCH(1,$DD129:$DG129,0)),"mixedProduct")</f>
        <v>PulpPaperInput</v>
      </c>
      <c r="DK129">
        <f t="shared" ref="DK129:DK160" si="98">IF(DD129=1,DK$7,0)</f>
        <v>0</v>
      </c>
      <c r="DL129">
        <f t="shared" ref="DL129:DL160" si="99">IF(DE129=1,DL$7,0)</f>
        <v>0</v>
      </c>
      <c r="DM129" t="str">
        <f t="shared" ref="DM129:DM160" si="100">IF(DF129=1,DM$7,0)</f>
        <v>Pulp/Paper</v>
      </c>
      <c r="DN129">
        <f t="shared" ref="DN129:DN160" si="101">IF(DG129=1,DN$7,0)</f>
        <v>0</v>
      </c>
      <c r="DO129">
        <v>0</v>
      </c>
      <c r="DP129">
        <v>1</v>
      </c>
      <c r="DQ129">
        <v>0</v>
      </c>
      <c r="DR129" t="s">
        <v>281</v>
      </c>
      <c r="DS129">
        <v>0</v>
      </c>
      <c r="DT129">
        <f t="shared" ref="DT129:DT160" si="102">SUM(DO129:DP129)</f>
        <v>1</v>
      </c>
      <c r="DU129" s="143" t="str">
        <f t="shared" ref="DU129:DU160" si="103">IF(DO129=1,"self-calculated DF",IF(DP129=1,"external DF used","explicit C balance"))</f>
        <v>external DF used</v>
      </c>
      <c r="DV129">
        <v>0</v>
      </c>
      <c r="DW129">
        <v>1</v>
      </c>
      <c r="DX129">
        <v>1</v>
      </c>
      <c r="DY129">
        <v>1</v>
      </c>
      <c r="DZ129">
        <v>1</v>
      </c>
      <c r="EA129" s="143">
        <v>0</v>
      </c>
      <c r="EB129">
        <v>1</v>
      </c>
      <c r="EC129">
        <v>1</v>
      </c>
      <c r="ED129">
        <v>0</v>
      </c>
      <c r="EE129">
        <v>1</v>
      </c>
      <c r="EF129">
        <v>1</v>
      </c>
      <c r="EG129">
        <v>1</v>
      </c>
      <c r="EH129">
        <v>0</v>
      </c>
      <c r="EI129" s="2">
        <v>0</v>
      </c>
      <c r="EJ129" s="1"/>
      <c r="EK129" t="str">
        <f t="shared" si="93"/>
        <v>Whole sector</v>
      </c>
      <c r="EL129" t="str">
        <f t="shared" si="94"/>
        <v/>
      </c>
      <c r="EM129" s="2" t="str">
        <f t="shared" si="67"/>
        <v/>
      </c>
      <c r="EN129"/>
      <c r="EO129"/>
      <c r="EP129" t="str">
        <f>IF(ISNUMBER(BU129),IF(ABS(BU129-[3]QC_indicators!$B$2)&gt;3*[3]QC_indicators!$C$2,"C ratio",IF(ISNUMBER(BY129),IF(ABS(BY129-[3]QC_indicators!$B$1)&gt;3*[3]QC_indicators!$C$1,"DF","no"))),IF(ISNUMBER(BY129),IF(ABS(BY129-[3]QC_indicators!$B$1)&gt;3*[3]QC_indicators!$C$1,"DF","no")))</f>
        <v>no</v>
      </c>
      <c r="EQ129" t="s">
        <v>286</v>
      </c>
      <c r="ER129"/>
      <c r="ES129"/>
      <c r="ET129" s="264" t="s">
        <v>3272</v>
      </c>
      <c r="EU129"/>
    </row>
    <row r="130" spans="1:151" s="139" customFormat="1" ht="15" hidden="1" customHeight="1">
      <c r="A130" s="1" t="s">
        <v>265</v>
      </c>
      <c r="B130" t="s">
        <v>266</v>
      </c>
      <c r="C130" t="s">
        <v>267</v>
      </c>
      <c r="D130" t="s">
        <v>268</v>
      </c>
      <c r="E130" t="s">
        <v>269</v>
      </c>
      <c r="F130" t="s">
        <v>270</v>
      </c>
      <c r="G130" t="s">
        <v>271</v>
      </c>
      <c r="H130" t="s">
        <v>254</v>
      </c>
      <c r="I130">
        <v>2022</v>
      </c>
      <c r="J130">
        <v>0</v>
      </c>
      <c r="K130" t="s">
        <v>272</v>
      </c>
      <c r="L130"/>
      <c r="M130" t="str">
        <f t="shared" si="95"/>
        <v>Aryapratama_2022</v>
      </c>
      <c r="N130" t="s">
        <v>222</v>
      </c>
      <c r="O130" s="145" t="s">
        <v>274</v>
      </c>
      <c r="P130"/>
      <c r="Q130" t="s">
        <v>224</v>
      </c>
      <c r="R130" s="262" t="s">
        <v>223</v>
      </c>
      <c r="S130" s="263" t="s">
        <v>3104</v>
      </c>
      <c r="T130" t="s">
        <v>291</v>
      </c>
      <c r="U130" t="s">
        <v>276</v>
      </c>
      <c r="V130">
        <v>0</v>
      </c>
      <c r="W130">
        <v>0</v>
      </c>
      <c r="X130">
        <v>0</v>
      </c>
      <c r="Y130">
        <v>0</v>
      </c>
      <c r="Z130">
        <v>0</v>
      </c>
      <c r="AA130">
        <v>0</v>
      </c>
      <c r="AB130">
        <v>0</v>
      </c>
      <c r="AC130">
        <v>0</v>
      </c>
      <c r="AD130">
        <v>0</v>
      </c>
      <c r="AE130">
        <v>0</v>
      </c>
      <c r="AF130">
        <v>0</v>
      </c>
      <c r="AG130">
        <v>0</v>
      </c>
      <c r="AH130">
        <v>0</v>
      </c>
      <c r="AI130">
        <v>0</v>
      </c>
      <c r="AJ130">
        <v>0</v>
      </c>
      <c r="AK130">
        <v>1</v>
      </c>
      <c r="AL130">
        <v>0</v>
      </c>
      <c r="AM130">
        <v>0</v>
      </c>
      <c r="AN130">
        <v>0</v>
      </c>
      <c r="AO130">
        <v>0</v>
      </c>
      <c r="AP130">
        <v>0</v>
      </c>
      <c r="AQ130">
        <v>0</v>
      </c>
      <c r="AR130">
        <v>0</v>
      </c>
      <c r="AS130">
        <v>0</v>
      </c>
      <c r="AT130">
        <v>0</v>
      </c>
      <c r="AU130">
        <v>0</v>
      </c>
      <c r="AV130">
        <v>0</v>
      </c>
      <c r="AW130">
        <v>0</v>
      </c>
      <c r="AX130" s="141">
        <f t="shared" si="70"/>
        <v>1</v>
      </c>
      <c r="AY130" s="141">
        <f t="shared" si="71"/>
        <v>1</v>
      </c>
      <c r="AZ130">
        <f t="shared" si="72"/>
        <v>0</v>
      </c>
      <c r="BA130">
        <f t="shared" si="73"/>
        <v>0</v>
      </c>
      <c r="BB130">
        <f t="shared" si="74"/>
        <v>1</v>
      </c>
      <c r="BC130">
        <f t="shared" si="75"/>
        <v>0</v>
      </c>
      <c r="BD130">
        <f t="shared" si="76"/>
        <v>0</v>
      </c>
      <c r="BE130" t="str">
        <f t="array" ref="BE130">IF(AY130=1,INDEX($V$7:$AL$7,MATCH(TRUE,INDEX($V130:$AW130&lt;&gt;0,),0)),IF(AY130=0,INDEX($AM$7:$AW$7,MATCH(1,$AM130:$AW130,0)),IF(BF130="Multiple strategies","mixed drivers",IF(BF130="Supply chain","multiple supply","multiple silviculture"))))</f>
        <v>technologies/design switch</v>
      </c>
      <c r="BF130" s="2" t="str" cm="1">
        <f t="array" ref="BF130">IF(COUNTIF(AZ130:BB130,"&lt;&gt;0")=1,INDEX($V$4:$AW$4,MATCH(TRUE,INDEX($V130:$AW130&lt;&gt;0,),0)),IF(COUNTIF(AZ130:BB130,"&lt;&gt;0")=0,INDEX($AM$4:$AW$4,MATCH(1,$AM130:$AW130,0)),"Multiple strategies"))</f>
        <v>Technology</v>
      </c>
      <c r="BG130" s="1" t="s">
        <v>229</v>
      </c>
      <c r="BH130" t="s">
        <v>277</v>
      </c>
      <c r="BI130" s="264" t="s">
        <v>3105</v>
      </c>
      <c r="BJ130" t="s">
        <v>278</v>
      </c>
      <c r="BK130">
        <v>0</v>
      </c>
      <c r="BL130">
        <v>204.03384764150945</v>
      </c>
      <c r="BM130"/>
      <c r="BN130">
        <f t="shared" si="77"/>
        <v>204.03384764150945</v>
      </c>
      <c r="BO130">
        <f t="shared" si="78"/>
        <v>885.9481009184085</v>
      </c>
      <c r="BP130" t="s">
        <v>232</v>
      </c>
      <c r="BQ130" s="302" t="s">
        <v>3106</v>
      </c>
      <c r="BR130" t="s">
        <v>279</v>
      </c>
      <c r="BS130">
        <v>-514.73759172333291</v>
      </c>
      <c r="BT130">
        <v>-1206.3347109067272</v>
      </c>
      <c r="BU130" s="144">
        <f t="shared" si="79"/>
        <v>2.3435916286353571</v>
      </c>
      <c r="BV130">
        <f t="shared" si="80"/>
        <v>-691.59711918339428</v>
      </c>
      <c r="BW130"/>
      <c r="BX130">
        <f t="shared" si="81"/>
        <v>-691.59711918339428</v>
      </c>
      <c r="BY130">
        <f t="shared" si="51"/>
        <v>-0.78062938276684335</v>
      </c>
      <c r="BZ130">
        <v>0</v>
      </c>
      <c r="CA130">
        <v>0</v>
      </c>
      <c r="CB130">
        <v>0</v>
      </c>
      <c r="CC130">
        <v>0</v>
      </c>
      <c r="CD130">
        <v>0</v>
      </c>
      <c r="CE130">
        <v>0</v>
      </c>
      <c r="CF130">
        <v>0</v>
      </c>
      <c r="CG130">
        <v>0</v>
      </c>
      <c r="CH130">
        <v>0</v>
      </c>
      <c r="CI130">
        <v>0</v>
      </c>
      <c r="CJ130">
        <v>0</v>
      </c>
      <c r="CK130">
        <v>0</v>
      </c>
      <c r="CL130">
        <v>0</v>
      </c>
      <c r="CM130">
        <v>0</v>
      </c>
      <c r="CN130" t="str">
        <f t="shared" si="82"/>
        <v>refOK</v>
      </c>
      <c r="CO130">
        <f t="shared" si="83"/>
        <v>0</v>
      </c>
      <c r="CP130">
        <f t="shared" si="84"/>
        <v>204.03384764150945</v>
      </c>
      <c r="CQ130">
        <f t="shared" si="85"/>
        <v>885.9481009184085</v>
      </c>
      <c r="CR130">
        <f t="shared" si="86"/>
        <v>-514.73759172333291</v>
      </c>
      <c r="CS130">
        <f t="shared" si="87"/>
        <v>-1206.3347109067272</v>
      </c>
      <c r="CT130">
        <f t="shared" si="88"/>
        <v>-691.59711918339428</v>
      </c>
      <c r="CU130">
        <f t="shared" si="89"/>
        <v>-0.78062938276684335</v>
      </c>
      <c r="CV130" s="2">
        <f t="shared" si="90"/>
        <v>-1.3435916286353569</v>
      </c>
      <c r="CW130" s="1" t="s">
        <v>234</v>
      </c>
      <c r="CX130" t="str">
        <f t="shared" si="91"/>
        <v>loc</v>
      </c>
      <c r="CY130" t="s">
        <v>280</v>
      </c>
      <c r="CZ130"/>
      <c r="DA130"/>
      <c r="DB130">
        <v>200</v>
      </c>
      <c r="DC130" t="str">
        <f t="shared" si="92"/>
        <v>+100</v>
      </c>
      <c r="DD130">
        <v>0</v>
      </c>
      <c r="DE130">
        <v>0</v>
      </c>
      <c r="DF130">
        <v>0</v>
      </c>
      <c r="DG130">
        <v>1</v>
      </c>
      <c r="DH130"/>
      <c r="DI130">
        <f t="shared" si="96"/>
        <v>1</v>
      </c>
      <c r="DJ130" t="str">
        <f t="shared" si="97"/>
        <v>TimberInput</v>
      </c>
      <c r="DK130">
        <f t="shared" si="98"/>
        <v>0</v>
      </c>
      <c r="DL130">
        <f t="shared" si="99"/>
        <v>0</v>
      </c>
      <c r="DM130">
        <f t="shared" si="100"/>
        <v>0</v>
      </c>
      <c r="DN130" t="str">
        <f t="shared" si="101"/>
        <v>Timber</v>
      </c>
      <c r="DO130">
        <v>0</v>
      </c>
      <c r="DP130">
        <v>1</v>
      </c>
      <c r="DQ130">
        <v>0</v>
      </c>
      <c r="DR130" t="s">
        <v>292</v>
      </c>
      <c r="DS130">
        <v>0</v>
      </c>
      <c r="DT130">
        <f t="shared" si="102"/>
        <v>1</v>
      </c>
      <c r="DU130" s="143" t="str">
        <f t="shared" si="103"/>
        <v>external DF used</v>
      </c>
      <c r="DV130">
        <v>0</v>
      </c>
      <c r="DW130">
        <v>1</v>
      </c>
      <c r="DX130">
        <v>1</v>
      </c>
      <c r="DY130">
        <v>1</v>
      </c>
      <c r="DZ130">
        <v>1</v>
      </c>
      <c r="EA130" s="143">
        <v>0</v>
      </c>
      <c r="EB130">
        <v>1</v>
      </c>
      <c r="EC130">
        <v>1</v>
      </c>
      <c r="ED130">
        <v>0</v>
      </c>
      <c r="EE130">
        <v>1</v>
      </c>
      <c r="EF130">
        <v>1</v>
      </c>
      <c r="EG130">
        <v>1</v>
      </c>
      <c r="EH130">
        <v>0</v>
      </c>
      <c r="EI130" s="2">
        <v>0</v>
      </c>
      <c r="EJ130" s="1"/>
      <c r="EK130" t="str">
        <f t="shared" si="93"/>
        <v>Whole sector</v>
      </c>
      <c r="EL130" t="str">
        <f t="shared" si="94"/>
        <v/>
      </c>
      <c r="EM130" s="2" t="str">
        <f t="shared" si="67"/>
        <v/>
      </c>
      <c r="EN130"/>
      <c r="EO130"/>
      <c r="EP130" t="str">
        <f>IF(ISNUMBER(BU130),IF(ABS(BU130-[3]QC_indicators!$B$2)&gt;3*[3]QC_indicators!$C$2,"C ratio",IF(ISNUMBER(BY130),IF(ABS(BY130-[3]QC_indicators!$B$1)&gt;3*[3]QC_indicators!$C$1,"DF","no"))),IF(ISNUMBER(BY130),IF(ABS(BY130-[3]QC_indicators!$B$1)&gt;3*[3]QC_indicators!$C$1,"DF","no")))</f>
        <v>no</v>
      </c>
      <c r="EQ130" t="s">
        <v>286</v>
      </c>
      <c r="ER130"/>
      <c r="ES130"/>
      <c r="ET130" s="264" t="s">
        <v>3272</v>
      </c>
      <c r="EU130"/>
    </row>
    <row r="131" spans="1:151" s="139" customFormat="1" ht="15" hidden="1" customHeight="1">
      <c r="A131" s="1" t="s">
        <v>265</v>
      </c>
      <c r="B131" t="s">
        <v>266</v>
      </c>
      <c r="C131" t="s">
        <v>267</v>
      </c>
      <c r="D131" t="s">
        <v>268</v>
      </c>
      <c r="E131" t="s">
        <v>269</v>
      </c>
      <c r="F131" t="s">
        <v>270</v>
      </c>
      <c r="G131" t="s">
        <v>271</v>
      </c>
      <c r="H131" t="s">
        <v>254</v>
      </c>
      <c r="I131">
        <v>2022</v>
      </c>
      <c r="J131">
        <v>0</v>
      </c>
      <c r="K131" t="s">
        <v>272</v>
      </c>
      <c r="L131"/>
      <c r="M131" t="str">
        <f t="shared" si="95"/>
        <v>Aryapratama_2022</v>
      </c>
      <c r="N131" t="s">
        <v>222</v>
      </c>
      <c r="O131" s="145" t="s">
        <v>274</v>
      </c>
      <c r="P131"/>
      <c r="Q131" t="s">
        <v>224</v>
      </c>
      <c r="R131" s="262" t="s">
        <v>223</v>
      </c>
      <c r="S131" s="1" t="s">
        <v>314</v>
      </c>
      <c r="T131" t="s">
        <v>315</v>
      </c>
      <c r="U131" t="s">
        <v>316</v>
      </c>
      <c r="V131">
        <v>0</v>
      </c>
      <c r="W131">
        <v>0</v>
      </c>
      <c r="X131">
        <v>1</v>
      </c>
      <c r="Y131">
        <v>0</v>
      </c>
      <c r="Z131">
        <v>0</v>
      </c>
      <c r="AA131">
        <v>0</v>
      </c>
      <c r="AB131">
        <v>0</v>
      </c>
      <c r="AC131">
        <v>0</v>
      </c>
      <c r="AD131">
        <v>0</v>
      </c>
      <c r="AE131">
        <v>0</v>
      </c>
      <c r="AF131">
        <v>0</v>
      </c>
      <c r="AG131">
        <v>0</v>
      </c>
      <c r="AH131">
        <v>0</v>
      </c>
      <c r="AI131">
        <v>2</v>
      </c>
      <c r="AJ131">
        <v>0</v>
      </c>
      <c r="AK131">
        <v>0</v>
      </c>
      <c r="AL131">
        <v>0</v>
      </c>
      <c r="AM131">
        <v>0</v>
      </c>
      <c r="AN131">
        <v>0</v>
      </c>
      <c r="AO131">
        <v>0</v>
      </c>
      <c r="AP131">
        <v>0</v>
      </c>
      <c r="AQ131">
        <v>0</v>
      </c>
      <c r="AR131">
        <v>0</v>
      </c>
      <c r="AS131">
        <v>0</v>
      </c>
      <c r="AT131">
        <v>0</v>
      </c>
      <c r="AU131">
        <v>0</v>
      </c>
      <c r="AV131">
        <v>0</v>
      </c>
      <c r="AW131">
        <v>0</v>
      </c>
      <c r="AX131" s="141">
        <f t="shared" si="70"/>
        <v>2</v>
      </c>
      <c r="AY131" s="141">
        <f t="shared" si="71"/>
        <v>2</v>
      </c>
      <c r="AZ131">
        <f t="shared" si="72"/>
        <v>1</v>
      </c>
      <c r="BA131">
        <f t="shared" si="73"/>
        <v>1</v>
      </c>
      <c r="BB131">
        <f t="shared" si="74"/>
        <v>0</v>
      </c>
      <c r="BC131">
        <f t="shared" si="75"/>
        <v>0</v>
      </c>
      <c r="BD131">
        <f t="shared" si="76"/>
        <v>0</v>
      </c>
      <c r="BE131" t="str">
        <f t="array" ref="BE131">IF(AY131=1,INDEX($V$7:$AL$7,MATCH(TRUE,INDEX($V131:$AW131&lt;&gt;0,),0)),IF(AY131=0,INDEX($AM$7:$AW$7,MATCH(1,$AM131:$AW131,0)),IF(BF131="Multiple strategies","mixed drivers",IF(BF131="Supply chain","multiple supply","multiple silviculture"))))</f>
        <v>mixed drivers</v>
      </c>
      <c r="BF131" s="2" t="str" cm="1">
        <f t="array" ref="BF131">IF(COUNTIF(AZ131:BB131,"&lt;&gt;0")=1,INDEX($V$4:$AW$4,MATCH(TRUE,INDEX($V131:$AW131&lt;&gt;0,),0)),IF(COUNTIF(AZ131:BB131,"&lt;&gt;0")=0,INDEX($AM$4:$AW$4,MATCH(1,$AM131:$AW131,0)),"Multiple strategies"))</f>
        <v>Multiple strategies</v>
      </c>
      <c r="BG131" s="1" t="s">
        <v>229</v>
      </c>
      <c r="BH131" t="s">
        <v>277</v>
      </c>
      <c r="BI131" s="264" t="s">
        <v>3105</v>
      </c>
      <c r="BJ131" t="s">
        <v>278</v>
      </c>
      <c r="BK131">
        <v>363.45340303763226</v>
      </c>
      <c r="BL131">
        <v>429.73725876073206</v>
      </c>
      <c r="BM131">
        <f>BL131/BK131</f>
        <v>1.1823723623692051</v>
      </c>
      <c r="BN131">
        <f t="shared" si="77"/>
        <v>66.283855723099805</v>
      </c>
      <c r="BO131">
        <f t="shared" si="78"/>
        <v>287.81526584064181</v>
      </c>
      <c r="BP131" t="s">
        <v>232</v>
      </c>
      <c r="BQ131" s="302" t="s">
        <v>3106</v>
      </c>
      <c r="BR131" t="s">
        <v>279</v>
      </c>
      <c r="BS131">
        <v>-768.12774512252213</v>
      </c>
      <c r="BT131">
        <v>-990.65809626676389</v>
      </c>
      <c r="BU131" s="144">
        <f t="shared" si="79"/>
        <v>1.2897048733850207</v>
      </c>
      <c r="BV131">
        <f t="shared" si="80"/>
        <v>-222.53035114424176</v>
      </c>
      <c r="BW131"/>
      <c r="BX131">
        <f t="shared" si="81"/>
        <v>-222.53035114424176</v>
      </c>
      <c r="BY131">
        <f t="shared" si="51"/>
        <v>-0.77317077151652147</v>
      </c>
      <c r="BZ131">
        <v>0</v>
      </c>
      <c r="CA131">
        <v>0</v>
      </c>
      <c r="CB131">
        <v>0</v>
      </c>
      <c r="CC131">
        <v>0</v>
      </c>
      <c r="CD131">
        <v>0</v>
      </c>
      <c r="CE131">
        <v>0</v>
      </c>
      <c r="CF131">
        <v>0</v>
      </c>
      <c r="CG131">
        <v>0</v>
      </c>
      <c r="CH131">
        <v>0</v>
      </c>
      <c r="CI131">
        <v>0</v>
      </c>
      <c r="CJ131">
        <v>0</v>
      </c>
      <c r="CK131">
        <v>0</v>
      </c>
      <c r="CL131">
        <v>0</v>
      </c>
      <c r="CM131">
        <v>0</v>
      </c>
      <c r="CN131" t="str">
        <f t="shared" si="82"/>
        <v>refOK</v>
      </c>
      <c r="CO131">
        <f t="shared" si="83"/>
        <v>363.45340303763226</v>
      </c>
      <c r="CP131">
        <f t="shared" si="84"/>
        <v>429.73725876073206</v>
      </c>
      <c r="CQ131">
        <f t="shared" si="85"/>
        <v>287.81526584064181</v>
      </c>
      <c r="CR131">
        <f t="shared" si="86"/>
        <v>-768.12774512252213</v>
      </c>
      <c r="CS131">
        <f t="shared" si="87"/>
        <v>-990.65809626676389</v>
      </c>
      <c r="CT131">
        <f t="shared" si="88"/>
        <v>-222.53035114424176</v>
      </c>
      <c r="CU131">
        <f t="shared" si="89"/>
        <v>-0.77317077151652147</v>
      </c>
      <c r="CV131" s="2">
        <f t="shared" si="90"/>
        <v>-0.28970487338502077</v>
      </c>
      <c r="CW131" s="1" t="s">
        <v>234</v>
      </c>
      <c r="CX131" t="str">
        <f t="shared" si="91"/>
        <v>loc</v>
      </c>
      <c r="CY131" t="s">
        <v>280</v>
      </c>
      <c r="CZ131"/>
      <c r="DA131"/>
      <c r="DB131">
        <v>100</v>
      </c>
      <c r="DC131" t="str">
        <f t="shared" si="92"/>
        <v>71-100</v>
      </c>
      <c r="DD131">
        <v>0</v>
      </c>
      <c r="DE131">
        <v>0</v>
      </c>
      <c r="DF131">
        <v>1</v>
      </c>
      <c r="DG131">
        <v>0</v>
      </c>
      <c r="DH131"/>
      <c r="DI131">
        <f t="shared" si="96"/>
        <v>1</v>
      </c>
      <c r="DJ131" t="str">
        <f t="shared" si="97"/>
        <v>PulpPaperInput</v>
      </c>
      <c r="DK131">
        <f t="shared" si="98"/>
        <v>0</v>
      </c>
      <c r="DL131">
        <f t="shared" si="99"/>
        <v>0</v>
      </c>
      <c r="DM131" t="str">
        <f t="shared" si="100"/>
        <v>Pulp/Paper</v>
      </c>
      <c r="DN131">
        <f t="shared" si="101"/>
        <v>0</v>
      </c>
      <c r="DO131">
        <v>0</v>
      </c>
      <c r="DP131">
        <v>1</v>
      </c>
      <c r="DQ131">
        <v>0</v>
      </c>
      <c r="DR131" t="s">
        <v>281</v>
      </c>
      <c r="DS131">
        <v>0</v>
      </c>
      <c r="DT131">
        <f t="shared" si="102"/>
        <v>1</v>
      </c>
      <c r="DU131" s="143" t="str">
        <f t="shared" si="103"/>
        <v>external DF used</v>
      </c>
      <c r="DV131">
        <v>0</v>
      </c>
      <c r="DW131">
        <v>1</v>
      </c>
      <c r="DX131">
        <v>1</v>
      </c>
      <c r="DY131">
        <v>1</v>
      </c>
      <c r="DZ131">
        <v>1</v>
      </c>
      <c r="EA131" s="143">
        <v>0</v>
      </c>
      <c r="EB131">
        <v>1</v>
      </c>
      <c r="EC131">
        <v>1</v>
      </c>
      <c r="ED131">
        <v>0</v>
      </c>
      <c r="EE131">
        <v>1</v>
      </c>
      <c r="EF131">
        <v>1</v>
      </c>
      <c r="EG131">
        <v>1</v>
      </c>
      <c r="EH131">
        <v>0</v>
      </c>
      <c r="EI131" s="2">
        <v>0</v>
      </c>
      <c r="EJ131" s="1"/>
      <c r="EK131" t="str">
        <f t="shared" si="93"/>
        <v>Whole sector</v>
      </c>
      <c r="EL131" t="str">
        <f t="shared" si="94"/>
        <v/>
      </c>
      <c r="EM131" s="2" t="str">
        <f t="shared" si="67"/>
        <v/>
      </c>
      <c r="EN131"/>
      <c r="EO131"/>
      <c r="EP131" t="str">
        <f>IF(ISNUMBER(BU131),IF(ABS(BU131-[3]QC_indicators!$B$2)&gt;3*[3]QC_indicators!$C$2,"C ratio",IF(ISNUMBER(BY131),IF(ABS(BY131-[3]QC_indicators!$B$1)&gt;3*[3]QC_indicators!$C$1,"DF","no"))),IF(ISNUMBER(BY131),IF(ABS(BY131-[3]QC_indicators!$B$1)&gt;3*[3]QC_indicators!$C$1,"DF","no")))</f>
        <v>no</v>
      </c>
      <c r="EQ131" t="s">
        <v>286</v>
      </c>
      <c r="ER131"/>
      <c r="ES131"/>
      <c r="ET131" s="264" t="s">
        <v>3272</v>
      </c>
      <c r="EU131"/>
    </row>
    <row r="132" spans="1:151" s="139" customFormat="1" ht="15" hidden="1" customHeight="1">
      <c r="A132" s="1" t="s">
        <v>265</v>
      </c>
      <c r="B132" t="s">
        <v>266</v>
      </c>
      <c r="C132" t="s">
        <v>267</v>
      </c>
      <c r="D132" t="s">
        <v>268</v>
      </c>
      <c r="E132" t="s">
        <v>269</v>
      </c>
      <c r="F132" t="s">
        <v>270</v>
      </c>
      <c r="G132" t="s">
        <v>271</v>
      </c>
      <c r="H132" t="s">
        <v>254</v>
      </c>
      <c r="I132">
        <v>2022</v>
      </c>
      <c r="J132">
        <v>0</v>
      </c>
      <c r="K132" t="s">
        <v>272</v>
      </c>
      <c r="L132"/>
      <c r="M132" t="str">
        <f t="shared" si="95"/>
        <v>Aryapratama_2022</v>
      </c>
      <c r="N132" t="s">
        <v>222</v>
      </c>
      <c r="O132" s="145" t="s">
        <v>274</v>
      </c>
      <c r="P132"/>
      <c r="Q132" t="s">
        <v>224</v>
      </c>
      <c r="R132" s="262" t="s">
        <v>223</v>
      </c>
      <c r="S132" s="263" t="s">
        <v>3104</v>
      </c>
      <c r="T132" t="s">
        <v>293</v>
      </c>
      <c r="U132" t="s">
        <v>275</v>
      </c>
      <c r="V132">
        <v>0</v>
      </c>
      <c r="W132">
        <v>0</v>
      </c>
      <c r="X132">
        <v>0</v>
      </c>
      <c r="Y132">
        <v>0</v>
      </c>
      <c r="Z132">
        <v>0</v>
      </c>
      <c r="AA132">
        <v>0</v>
      </c>
      <c r="AB132">
        <v>0</v>
      </c>
      <c r="AC132">
        <v>0</v>
      </c>
      <c r="AD132">
        <v>0</v>
      </c>
      <c r="AE132">
        <v>0</v>
      </c>
      <c r="AF132">
        <v>0</v>
      </c>
      <c r="AG132">
        <v>0</v>
      </c>
      <c r="AH132">
        <v>0</v>
      </c>
      <c r="AI132">
        <v>0</v>
      </c>
      <c r="AJ132">
        <v>0</v>
      </c>
      <c r="AK132">
        <v>1</v>
      </c>
      <c r="AL132">
        <v>0</v>
      </c>
      <c r="AM132">
        <v>0</v>
      </c>
      <c r="AN132">
        <v>0</v>
      </c>
      <c r="AO132">
        <v>0</v>
      </c>
      <c r="AP132">
        <v>0</v>
      </c>
      <c r="AQ132">
        <v>0</v>
      </c>
      <c r="AR132">
        <v>0</v>
      </c>
      <c r="AS132">
        <v>0</v>
      </c>
      <c r="AT132">
        <v>0</v>
      </c>
      <c r="AU132">
        <v>0</v>
      </c>
      <c r="AV132">
        <v>0</v>
      </c>
      <c r="AW132">
        <v>0</v>
      </c>
      <c r="AX132" s="141">
        <f t="shared" si="70"/>
        <v>1</v>
      </c>
      <c r="AY132" s="141">
        <f t="shared" si="71"/>
        <v>1</v>
      </c>
      <c r="AZ132">
        <f t="shared" si="72"/>
        <v>0</v>
      </c>
      <c r="BA132">
        <f t="shared" si="73"/>
        <v>0</v>
      </c>
      <c r="BB132">
        <f t="shared" si="74"/>
        <v>1</v>
      </c>
      <c r="BC132">
        <f t="shared" si="75"/>
        <v>0</v>
      </c>
      <c r="BD132">
        <f t="shared" si="76"/>
        <v>0</v>
      </c>
      <c r="BE132" t="str">
        <f t="array" ref="BE132">IF(AY132=1,INDEX($V$7:$AL$7,MATCH(TRUE,INDEX($V132:$AW132&lt;&gt;0,),0)),IF(AY132=0,INDEX($AM$7:$AW$7,MATCH(1,$AM132:$AW132,0)),IF(BF132="Multiple strategies","mixed drivers",IF(BF132="Supply chain","multiple supply","multiple silviculture"))))</f>
        <v>technologies/design switch</v>
      </c>
      <c r="BF132" s="2" t="str" cm="1">
        <f t="array" ref="BF132">IF(COUNTIF(AZ132:BB132,"&lt;&gt;0")=1,INDEX($V$4:$AW$4,MATCH(TRUE,INDEX($V132:$AW132&lt;&gt;0,),0)),IF(COUNTIF(AZ132:BB132,"&lt;&gt;0")=0,INDEX($AM$4:$AW$4,MATCH(1,$AM132:$AW132,0)),"Multiple strategies"))</f>
        <v>Technology</v>
      </c>
      <c r="BG132" s="1" t="s">
        <v>229</v>
      </c>
      <c r="BH132" t="s">
        <v>277</v>
      </c>
      <c r="BI132" s="264" t="s">
        <v>3105</v>
      </c>
      <c r="BJ132" t="s">
        <v>278</v>
      </c>
      <c r="BK132">
        <v>0</v>
      </c>
      <c r="BL132">
        <v>135.57962264150939</v>
      </c>
      <c r="BM132"/>
      <c r="BN132">
        <f t="shared" si="77"/>
        <v>135.57962264150939</v>
      </c>
      <c r="BO132">
        <f t="shared" si="78"/>
        <v>588.70873921628049</v>
      </c>
      <c r="BP132" t="s">
        <v>232</v>
      </c>
      <c r="BQ132" s="302" t="s">
        <v>3106</v>
      </c>
      <c r="BR132" t="s">
        <v>279</v>
      </c>
      <c r="BS132">
        <v>-51.111049251716672</v>
      </c>
      <c r="BT132">
        <v>-435.66826611219864</v>
      </c>
      <c r="BU132" s="144">
        <f t="shared" si="79"/>
        <v>8.5239546534561867</v>
      </c>
      <c r="BV132">
        <f t="shared" si="80"/>
        <v>-384.55721686048196</v>
      </c>
      <c r="BW132"/>
      <c r="BX132">
        <f t="shared" si="81"/>
        <v>-384.55721686048196</v>
      </c>
      <c r="BY132">
        <f t="shared" si="51"/>
        <v>-0.65322151896780811</v>
      </c>
      <c r="BZ132">
        <v>0</v>
      </c>
      <c r="CA132">
        <v>0</v>
      </c>
      <c r="CB132">
        <v>0</v>
      </c>
      <c r="CC132">
        <v>0</v>
      </c>
      <c r="CD132">
        <v>0</v>
      </c>
      <c r="CE132">
        <v>0</v>
      </c>
      <c r="CF132">
        <v>0</v>
      </c>
      <c r="CG132">
        <v>0</v>
      </c>
      <c r="CH132">
        <v>0</v>
      </c>
      <c r="CI132">
        <v>0</v>
      </c>
      <c r="CJ132">
        <v>0</v>
      </c>
      <c r="CK132">
        <v>0</v>
      </c>
      <c r="CL132">
        <v>0</v>
      </c>
      <c r="CM132">
        <v>0</v>
      </c>
      <c r="CN132" t="str">
        <f t="shared" si="82"/>
        <v>refOK</v>
      </c>
      <c r="CO132">
        <f t="shared" si="83"/>
        <v>0</v>
      </c>
      <c r="CP132">
        <f t="shared" si="84"/>
        <v>135.57962264150939</v>
      </c>
      <c r="CQ132">
        <f t="shared" si="85"/>
        <v>588.70873921628049</v>
      </c>
      <c r="CR132">
        <f t="shared" si="86"/>
        <v>-51.111049251716672</v>
      </c>
      <c r="CS132">
        <f t="shared" si="87"/>
        <v>-435.66826611219864</v>
      </c>
      <c r="CT132">
        <f t="shared" si="88"/>
        <v>-384.55721686048196</v>
      </c>
      <c r="CU132">
        <f t="shared" si="89"/>
        <v>-0.65322151896780811</v>
      </c>
      <c r="CV132" s="2">
        <f t="shared" si="90"/>
        <v>-7.5239546534561859</v>
      </c>
      <c r="CW132" s="1" t="s">
        <v>234</v>
      </c>
      <c r="CX132" t="str">
        <f t="shared" si="91"/>
        <v>loc</v>
      </c>
      <c r="CY132" t="s">
        <v>280</v>
      </c>
      <c r="CZ132"/>
      <c r="DA132"/>
      <c r="DB132">
        <v>200</v>
      </c>
      <c r="DC132" t="str">
        <f t="shared" si="92"/>
        <v>+100</v>
      </c>
      <c r="DD132">
        <v>0</v>
      </c>
      <c r="DE132">
        <v>0</v>
      </c>
      <c r="DF132">
        <v>0</v>
      </c>
      <c r="DG132">
        <v>1</v>
      </c>
      <c r="DH132"/>
      <c r="DI132">
        <f t="shared" si="96"/>
        <v>1</v>
      </c>
      <c r="DJ132" t="str">
        <f t="shared" si="97"/>
        <v>TimberInput</v>
      </c>
      <c r="DK132">
        <f t="shared" si="98"/>
        <v>0</v>
      </c>
      <c r="DL132">
        <f t="shared" si="99"/>
        <v>0</v>
      </c>
      <c r="DM132">
        <f t="shared" si="100"/>
        <v>0</v>
      </c>
      <c r="DN132" t="str">
        <f t="shared" si="101"/>
        <v>Timber</v>
      </c>
      <c r="DO132">
        <v>0</v>
      </c>
      <c r="DP132">
        <v>1</v>
      </c>
      <c r="DQ132">
        <v>0</v>
      </c>
      <c r="DR132" t="s">
        <v>292</v>
      </c>
      <c r="DS132">
        <v>0</v>
      </c>
      <c r="DT132">
        <f t="shared" si="102"/>
        <v>1</v>
      </c>
      <c r="DU132" s="143" t="str">
        <f t="shared" si="103"/>
        <v>external DF used</v>
      </c>
      <c r="DV132">
        <v>0</v>
      </c>
      <c r="DW132">
        <v>1</v>
      </c>
      <c r="DX132">
        <v>1</v>
      </c>
      <c r="DY132">
        <v>1</v>
      </c>
      <c r="DZ132">
        <v>1</v>
      </c>
      <c r="EA132" s="143">
        <v>0</v>
      </c>
      <c r="EB132">
        <v>1</v>
      </c>
      <c r="EC132">
        <v>1</v>
      </c>
      <c r="ED132">
        <v>0</v>
      </c>
      <c r="EE132">
        <v>1</v>
      </c>
      <c r="EF132">
        <v>1</v>
      </c>
      <c r="EG132">
        <v>1</v>
      </c>
      <c r="EH132">
        <v>0</v>
      </c>
      <c r="EI132" s="2">
        <v>0</v>
      </c>
      <c r="EJ132" s="1"/>
      <c r="EK132" t="str">
        <f t="shared" si="93"/>
        <v>Whole sector</v>
      </c>
      <c r="EL132" t="str">
        <f t="shared" si="94"/>
        <v/>
      </c>
      <c r="EM132" s="2" t="str">
        <f t="shared" si="67"/>
        <v/>
      </c>
      <c r="EN132"/>
      <c r="EO132"/>
      <c r="EP132" t="str">
        <f>IF(ISNUMBER(BU132),IF(ABS(BU132-[3]QC_indicators!$B$2)&gt;3*[3]QC_indicators!$C$2,"C ratio",IF(ISNUMBER(BY132),IF(ABS(BY132-[3]QC_indicators!$B$1)&gt;3*[3]QC_indicators!$C$1,"DF","no"))),IF(ISNUMBER(BY132),IF(ABS(BY132-[3]QC_indicators!$B$1)&gt;3*[3]QC_indicators!$C$1,"DF","no")))</f>
        <v>no</v>
      </c>
      <c r="EQ132" t="s">
        <v>286</v>
      </c>
      <c r="ER132"/>
      <c r="ES132"/>
      <c r="ET132" s="264" t="s">
        <v>3272</v>
      </c>
      <c r="EU132"/>
    </row>
    <row r="133" spans="1:151" s="139" customFormat="1" ht="15" hidden="1" customHeight="1">
      <c r="A133" s="1" t="s">
        <v>265</v>
      </c>
      <c r="B133" t="s">
        <v>266</v>
      </c>
      <c r="C133" t="s">
        <v>267</v>
      </c>
      <c r="D133" t="s">
        <v>268</v>
      </c>
      <c r="E133" t="s">
        <v>269</v>
      </c>
      <c r="F133" t="s">
        <v>270</v>
      </c>
      <c r="G133" t="s">
        <v>271</v>
      </c>
      <c r="H133" t="s">
        <v>254</v>
      </c>
      <c r="I133">
        <v>2022</v>
      </c>
      <c r="J133">
        <v>0</v>
      </c>
      <c r="K133" t="s">
        <v>272</v>
      </c>
      <c r="L133"/>
      <c r="M133" t="str">
        <f t="shared" si="95"/>
        <v>Aryapratama_2022</v>
      </c>
      <c r="N133" t="s">
        <v>222</v>
      </c>
      <c r="O133" s="145" t="s">
        <v>274</v>
      </c>
      <c r="P133"/>
      <c r="Q133" t="s">
        <v>224</v>
      </c>
      <c r="R133" s="262" t="s">
        <v>223</v>
      </c>
      <c r="S133" s="263" t="s">
        <v>3104</v>
      </c>
      <c r="T133" t="s">
        <v>291</v>
      </c>
      <c r="U133" t="s">
        <v>276</v>
      </c>
      <c r="V133">
        <v>0</v>
      </c>
      <c r="W133">
        <v>0</v>
      </c>
      <c r="X133">
        <v>0</v>
      </c>
      <c r="Y133">
        <v>0</v>
      </c>
      <c r="Z133">
        <v>0</v>
      </c>
      <c r="AA133">
        <v>0</v>
      </c>
      <c r="AB133">
        <v>0</v>
      </c>
      <c r="AC133">
        <v>0</v>
      </c>
      <c r="AD133">
        <v>0</v>
      </c>
      <c r="AE133">
        <v>0</v>
      </c>
      <c r="AF133">
        <v>0</v>
      </c>
      <c r="AG133">
        <v>0</v>
      </c>
      <c r="AH133">
        <v>0</v>
      </c>
      <c r="AI133">
        <v>0</v>
      </c>
      <c r="AJ133">
        <v>0</v>
      </c>
      <c r="AK133">
        <v>1</v>
      </c>
      <c r="AL133">
        <v>0</v>
      </c>
      <c r="AM133">
        <v>0</v>
      </c>
      <c r="AN133">
        <v>0</v>
      </c>
      <c r="AO133">
        <v>0</v>
      </c>
      <c r="AP133">
        <v>0</v>
      </c>
      <c r="AQ133">
        <v>0</v>
      </c>
      <c r="AR133">
        <v>0</v>
      </c>
      <c r="AS133">
        <v>0</v>
      </c>
      <c r="AT133">
        <v>0</v>
      </c>
      <c r="AU133">
        <v>0</v>
      </c>
      <c r="AV133">
        <v>0</v>
      </c>
      <c r="AW133">
        <v>0</v>
      </c>
      <c r="AX133" s="141">
        <f t="shared" si="70"/>
        <v>1</v>
      </c>
      <c r="AY133" s="141">
        <f t="shared" si="71"/>
        <v>1</v>
      </c>
      <c r="AZ133">
        <f t="shared" si="72"/>
        <v>0</v>
      </c>
      <c r="BA133">
        <f t="shared" si="73"/>
        <v>0</v>
      </c>
      <c r="BB133">
        <f t="shared" si="74"/>
        <v>1</v>
      </c>
      <c r="BC133">
        <f t="shared" si="75"/>
        <v>0</v>
      </c>
      <c r="BD133">
        <f t="shared" si="76"/>
        <v>0</v>
      </c>
      <c r="BE133" t="str">
        <f t="array" ref="BE133">IF(AY133=1,INDEX($V$7:$AL$7,MATCH(TRUE,INDEX($V133:$AW133&lt;&gt;0,),0)),IF(AY133=0,INDEX($AM$7:$AW$7,MATCH(1,$AM133:$AW133,0)),IF(BF133="Multiple strategies","mixed drivers",IF(BF133="Supply chain","multiple supply","multiple silviculture"))))</f>
        <v>technologies/design switch</v>
      </c>
      <c r="BF133" s="2" t="str" cm="1">
        <f t="array" ref="BF133">IF(COUNTIF(AZ133:BB133,"&lt;&gt;0")=1,INDEX($V$4:$AW$4,MATCH(TRUE,INDEX($V133:$AW133&lt;&gt;0,),0)),IF(COUNTIF(AZ133:BB133,"&lt;&gt;0")=0,INDEX($AM$4:$AW$4,MATCH(1,$AM133:$AW133,0)),"Multiple strategies"))</f>
        <v>Technology</v>
      </c>
      <c r="BG133" s="1" t="s">
        <v>229</v>
      </c>
      <c r="BH133" t="s">
        <v>277</v>
      </c>
      <c r="BI133" s="264" t="s">
        <v>3105</v>
      </c>
      <c r="BJ133" t="s">
        <v>278</v>
      </c>
      <c r="BK133">
        <v>0</v>
      </c>
      <c r="BL133">
        <v>164.91714764150942</v>
      </c>
      <c r="BM133"/>
      <c r="BN133">
        <f t="shared" si="77"/>
        <v>164.91714764150942</v>
      </c>
      <c r="BO133">
        <f t="shared" si="78"/>
        <v>716.09703708862105</v>
      </c>
      <c r="BP133" t="s">
        <v>232</v>
      </c>
      <c r="BQ133" s="302" t="s">
        <v>3106</v>
      </c>
      <c r="BR133" t="s">
        <v>279</v>
      </c>
      <c r="BS133">
        <v>-476.23317385650159</v>
      </c>
      <c r="BT133">
        <v>-922.29525217943831</v>
      </c>
      <c r="BU133" s="144">
        <f t="shared" si="79"/>
        <v>1.9366463799881022</v>
      </c>
      <c r="BV133">
        <f t="shared" si="80"/>
        <v>-446.06207832293671</v>
      </c>
      <c r="BW133"/>
      <c r="BX133">
        <f t="shared" si="81"/>
        <v>-446.06207832293671</v>
      </c>
      <c r="BY133">
        <f t="shared" si="51"/>
        <v>-0.622907308954183</v>
      </c>
      <c r="BZ133">
        <v>0</v>
      </c>
      <c r="CA133">
        <v>0</v>
      </c>
      <c r="CB133">
        <v>0</v>
      </c>
      <c r="CC133">
        <v>0</v>
      </c>
      <c r="CD133">
        <v>0</v>
      </c>
      <c r="CE133">
        <v>0</v>
      </c>
      <c r="CF133">
        <v>0</v>
      </c>
      <c r="CG133">
        <v>0</v>
      </c>
      <c r="CH133">
        <v>0</v>
      </c>
      <c r="CI133">
        <v>0</v>
      </c>
      <c r="CJ133">
        <v>0</v>
      </c>
      <c r="CK133">
        <v>0</v>
      </c>
      <c r="CL133">
        <v>0</v>
      </c>
      <c r="CM133">
        <v>0</v>
      </c>
      <c r="CN133" t="str">
        <f t="shared" si="82"/>
        <v>refOK</v>
      </c>
      <c r="CO133">
        <f t="shared" si="83"/>
        <v>0</v>
      </c>
      <c r="CP133">
        <f t="shared" si="84"/>
        <v>164.91714764150942</v>
      </c>
      <c r="CQ133">
        <f t="shared" si="85"/>
        <v>716.09703708862105</v>
      </c>
      <c r="CR133">
        <f t="shared" si="86"/>
        <v>-476.23317385650159</v>
      </c>
      <c r="CS133">
        <f t="shared" si="87"/>
        <v>-922.29525217943831</v>
      </c>
      <c r="CT133">
        <f t="shared" si="88"/>
        <v>-446.06207832293671</v>
      </c>
      <c r="CU133">
        <f t="shared" si="89"/>
        <v>-0.622907308954183</v>
      </c>
      <c r="CV133" s="2">
        <f t="shared" si="90"/>
        <v>-0.93664637998810218</v>
      </c>
      <c r="CW133" s="1" t="s">
        <v>234</v>
      </c>
      <c r="CX133" t="str">
        <f t="shared" si="91"/>
        <v>loc</v>
      </c>
      <c r="CY133" t="s">
        <v>280</v>
      </c>
      <c r="CZ133"/>
      <c r="DA133"/>
      <c r="DB133">
        <v>100</v>
      </c>
      <c r="DC133" t="str">
        <f t="shared" si="92"/>
        <v>71-100</v>
      </c>
      <c r="DD133">
        <v>0</v>
      </c>
      <c r="DE133">
        <v>0</v>
      </c>
      <c r="DF133">
        <v>0</v>
      </c>
      <c r="DG133">
        <v>1</v>
      </c>
      <c r="DH133"/>
      <c r="DI133">
        <f t="shared" si="96"/>
        <v>1</v>
      </c>
      <c r="DJ133" t="str">
        <f t="shared" si="97"/>
        <v>TimberInput</v>
      </c>
      <c r="DK133">
        <f t="shared" si="98"/>
        <v>0</v>
      </c>
      <c r="DL133">
        <f t="shared" si="99"/>
        <v>0</v>
      </c>
      <c r="DM133">
        <f t="shared" si="100"/>
        <v>0</v>
      </c>
      <c r="DN133" t="str">
        <f t="shared" si="101"/>
        <v>Timber</v>
      </c>
      <c r="DO133">
        <v>0</v>
      </c>
      <c r="DP133">
        <v>1</v>
      </c>
      <c r="DQ133">
        <v>0</v>
      </c>
      <c r="DR133" t="s">
        <v>292</v>
      </c>
      <c r="DS133">
        <v>0</v>
      </c>
      <c r="DT133">
        <f t="shared" si="102"/>
        <v>1</v>
      </c>
      <c r="DU133" s="143" t="str">
        <f t="shared" si="103"/>
        <v>external DF used</v>
      </c>
      <c r="DV133">
        <v>0</v>
      </c>
      <c r="DW133">
        <v>1</v>
      </c>
      <c r="DX133">
        <v>1</v>
      </c>
      <c r="DY133">
        <v>1</v>
      </c>
      <c r="DZ133">
        <v>1</v>
      </c>
      <c r="EA133" s="143">
        <v>0</v>
      </c>
      <c r="EB133">
        <v>1</v>
      </c>
      <c r="EC133">
        <v>1</v>
      </c>
      <c r="ED133">
        <v>0</v>
      </c>
      <c r="EE133">
        <v>1</v>
      </c>
      <c r="EF133">
        <v>1</v>
      </c>
      <c r="EG133">
        <v>1</v>
      </c>
      <c r="EH133">
        <v>0</v>
      </c>
      <c r="EI133" s="2">
        <v>0</v>
      </c>
      <c r="EJ133" s="1"/>
      <c r="EK133" t="str">
        <f t="shared" si="93"/>
        <v>Whole sector</v>
      </c>
      <c r="EL133" t="str">
        <f t="shared" si="94"/>
        <v/>
      </c>
      <c r="EM133" s="2" t="str">
        <f t="shared" si="67"/>
        <v/>
      </c>
      <c r="EN133"/>
      <c r="EO133"/>
      <c r="EP133" t="str">
        <f>IF(ISNUMBER(BU133),IF(ABS(BU133-[3]QC_indicators!$B$2)&gt;3*[3]QC_indicators!$C$2,"C ratio",IF(ISNUMBER(BY133),IF(ABS(BY133-[3]QC_indicators!$B$1)&gt;3*[3]QC_indicators!$C$1,"DF","no"))),IF(ISNUMBER(BY133),IF(ABS(BY133-[3]QC_indicators!$B$1)&gt;3*[3]QC_indicators!$C$1,"DF","no")))</f>
        <v>no</v>
      </c>
      <c r="EQ133" t="s">
        <v>286</v>
      </c>
      <c r="ER133"/>
      <c r="ES133"/>
      <c r="ET133" s="264" t="s">
        <v>3272</v>
      </c>
      <c r="EU133"/>
    </row>
    <row r="134" spans="1:151" s="139" customFormat="1" ht="15" hidden="1" customHeight="1">
      <c r="A134" s="1" t="s">
        <v>265</v>
      </c>
      <c r="B134" t="s">
        <v>266</v>
      </c>
      <c r="C134" t="s">
        <v>267</v>
      </c>
      <c r="D134" t="s">
        <v>268</v>
      </c>
      <c r="E134" t="s">
        <v>269</v>
      </c>
      <c r="F134" t="s">
        <v>270</v>
      </c>
      <c r="G134" t="s">
        <v>271</v>
      </c>
      <c r="H134" t="s">
        <v>254</v>
      </c>
      <c r="I134">
        <v>2022</v>
      </c>
      <c r="J134">
        <v>0</v>
      </c>
      <c r="K134" t="s">
        <v>272</v>
      </c>
      <c r="L134"/>
      <c r="M134" t="str">
        <f t="shared" si="95"/>
        <v>Aryapratama_2022</v>
      </c>
      <c r="N134" t="s">
        <v>222</v>
      </c>
      <c r="O134" s="145" t="s">
        <v>274</v>
      </c>
      <c r="P134"/>
      <c r="Q134" t="s">
        <v>224</v>
      </c>
      <c r="R134" s="262" t="s">
        <v>223</v>
      </c>
      <c r="S134" s="1" t="s">
        <v>314</v>
      </c>
      <c r="T134" t="s">
        <v>317</v>
      </c>
      <c r="U134" t="s">
        <v>318</v>
      </c>
      <c r="V134">
        <v>0</v>
      </c>
      <c r="W134">
        <v>0</v>
      </c>
      <c r="X134">
        <v>1</v>
      </c>
      <c r="Y134">
        <v>0</v>
      </c>
      <c r="Z134">
        <v>0</v>
      </c>
      <c r="AA134">
        <v>0</v>
      </c>
      <c r="AB134">
        <v>0</v>
      </c>
      <c r="AC134">
        <v>0</v>
      </c>
      <c r="AD134">
        <v>0</v>
      </c>
      <c r="AE134">
        <v>0</v>
      </c>
      <c r="AF134">
        <v>0</v>
      </c>
      <c r="AG134">
        <v>0</v>
      </c>
      <c r="AH134">
        <v>0</v>
      </c>
      <c r="AI134">
        <v>2</v>
      </c>
      <c r="AJ134">
        <v>0</v>
      </c>
      <c r="AK134">
        <v>0</v>
      </c>
      <c r="AL134">
        <v>0</v>
      </c>
      <c r="AM134">
        <v>0</v>
      </c>
      <c r="AN134">
        <v>0</v>
      </c>
      <c r="AO134">
        <v>0</v>
      </c>
      <c r="AP134">
        <v>0</v>
      </c>
      <c r="AQ134">
        <v>0</v>
      </c>
      <c r="AR134">
        <v>0</v>
      </c>
      <c r="AS134">
        <v>0</v>
      </c>
      <c r="AT134">
        <v>0</v>
      </c>
      <c r="AU134">
        <v>0</v>
      </c>
      <c r="AV134">
        <v>0</v>
      </c>
      <c r="AW134">
        <v>0</v>
      </c>
      <c r="AX134" s="141">
        <f t="shared" si="70"/>
        <v>2</v>
      </c>
      <c r="AY134" s="141">
        <f t="shared" si="71"/>
        <v>2</v>
      </c>
      <c r="AZ134">
        <f t="shared" si="72"/>
        <v>1</v>
      </c>
      <c r="BA134">
        <f t="shared" si="73"/>
        <v>1</v>
      </c>
      <c r="BB134">
        <f t="shared" si="74"/>
        <v>0</v>
      </c>
      <c r="BC134">
        <f t="shared" si="75"/>
        <v>0</v>
      </c>
      <c r="BD134">
        <f t="shared" si="76"/>
        <v>0</v>
      </c>
      <c r="BE134" t="str">
        <f t="array" ref="BE134">IF(AY134=1,INDEX($V$7:$AL$7,MATCH(TRUE,INDEX($V134:$AW134&lt;&gt;0,),0)),IF(AY134=0,INDEX($AM$7:$AW$7,MATCH(1,$AM134:$AW134,0)),IF(BF134="Multiple strategies","mixed drivers",IF(BF134="Supply chain","multiple supply","multiple silviculture"))))</f>
        <v>mixed drivers</v>
      </c>
      <c r="BF134" s="2" t="str" cm="1">
        <f t="array" ref="BF134">IF(COUNTIF(AZ134:BB134,"&lt;&gt;0")=1,INDEX($V$4:$AW$4,MATCH(TRUE,INDEX($V134:$AW134&lt;&gt;0,),0)),IF(COUNTIF(AZ134:BB134,"&lt;&gt;0")=0,INDEX($AM$4:$AW$4,MATCH(1,$AM134:$AW134,0)),"Multiple strategies"))</f>
        <v>Multiple strategies</v>
      </c>
      <c r="BG134" s="1" t="s">
        <v>229</v>
      </c>
      <c r="BH134" t="s">
        <v>277</v>
      </c>
      <c r="BI134" s="264" t="s">
        <v>3105</v>
      </c>
      <c r="BJ134" t="s">
        <v>278</v>
      </c>
      <c r="BK134">
        <v>91.149512158449113</v>
      </c>
      <c r="BL134">
        <v>164.02627088979997</v>
      </c>
      <c r="BM134">
        <f>BL134/BK134</f>
        <v>1.7995298823395354</v>
      </c>
      <c r="BN134">
        <f t="shared" si="77"/>
        <v>72.876758731350861</v>
      </c>
      <c r="BO134">
        <f t="shared" si="78"/>
        <v>316.44272136930465</v>
      </c>
      <c r="BP134" t="s">
        <v>232</v>
      </c>
      <c r="BQ134" s="302" t="s">
        <v>3106</v>
      </c>
      <c r="BR134" t="s">
        <v>279</v>
      </c>
      <c r="BS134">
        <v>254.21120760929861</v>
      </c>
      <c r="BT134">
        <v>77.331302173432363</v>
      </c>
      <c r="BU134" s="144">
        <f t="shared" si="79"/>
        <v>0.30420099452217747</v>
      </c>
      <c r="BV134">
        <f t="shared" si="80"/>
        <v>-176.87990543586625</v>
      </c>
      <c r="BW134"/>
      <c r="BX134">
        <f t="shared" si="81"/>
        <v>-176.87990543586625</v>
      </c>
      <c r="BY134">
        <f t="shared" si="51"/>
        <v>-0.55896341894190216</v>
      </c>
      <c r="BZ134">
        <v>0</v>
      </c>
      <c r="CA134">
        <v>0</v>
      </c>
      <c r="CB134">
        <v>0</v>
      </c>
      <c r="CC134">
        <v>0</v>
      </c>
      <c r="CD134">
        <v>0</v>
      </c>
      <c r="CE134">
        <v>0</v>
      </c>
      <c r="CF134">
        <v>0</v>
      </c>
      <c r="CG134">
        <v>0</v>
      </c>
      <c r="CH134">
        <v>0</v>
      </c>
      <c r="CI134">
        <v>0</v>
      </c>
      <c r="CJ134">
        <v>0</v>
      </c>
      <c r="CK134">
        <v>0</v>
      </c>
      <c r="CL134">
        <v>0</v>
      </c>
      <c r="CM134">
        <v>0</v>
      </c>
      <c r="CN134" t="str">
        <f t="shared" si="82"/>
        <v>refOK</v>
      </c>
      <c r="CO134">
        <f t="shared" si="83"/>
        <v>91.149512158449113</v>
      </c>
      <c r="CP134">
        <f t="shared" si="84"/>
        <v>164.02627088979997</v>
      </c>
      <c r="CQ134">
        <f t="shared" si="85"/>
        <v>316.44272136930465</v>
      </c>
      <c r="CR134">
        <f t="shared" si="86"/>
        <v>254.21120760929861</v>
      </c>
      <c r="CS134">
        <f t="shared" si="87"/>
        <v>77.331302173432363</v>
      </c>
      <c r="CT134">
        <f t="shared" si="88"/>
        <v>-176.87990543586625</v>
      </c>
      <c r="CU134">
        <f t="shared" si="89"/>
        <v>-0.55896341894190216</v>
      </c>
      <c r="CV134" s="2">
        <f t="shared" si="90"/>
        <v>-0.69579900547782259</v>
      </c>
      <c r="CW134" s="1" t="s">
        <v>234</v>
      </c>
      <c r="CX134" t="str">
        <f t="shared" si="91"/>
        <v>loc</v>
      </c>
      <c r="CY134" t="s">
        <v>280</v>
      </c>
      <c r="CZ134"/>
      <c r="DA134"/>
      <c r="DB134">
        <v>50</v>
      </c>
      <c r="DC134" t="str">
        <f t="shared" si="92"/>
        <v>31-70</v>
      </c>
      <c r="DD134">
        <v>0</v>
      </c>
      <c r="DE134">
        <v>0</v>
      </c>
      <c r="DF134">
        <v>1</v>
      </c>
      <c r="DG134">
        <v>0</v>
      </c>
      <c r="DH134"/>
      <c r="DI134">
        <f t="shared" si="96"/>
        <v>1</v>
      </c>
      <c r="DJ134" t="str">
        <f t="shared" si="97"/>
        <v>PulpPaperInput</v>
      </c>
      <c r="DK134">
        <f t="shared" si="98"/>
        <v>0</v>
      </c>
      <c r="DL134">
        <f t="shared" si="99"/>
        <v>0</v>
      </c>
      <c r="DM134" t="str">
        <f t="shared" si="100"/>
        <v>Pulp/Paper</v>
      </c>
      <c r="DN134">
        <f t="shared" si="101"/>
        <v>0</v>
      </c>
      <c r="DO134">
        <v>0</v>
      </c>
      <c r="DP134">
        <v>1</v>
      </c>
      <c r="DQ134">
        <v>0</v>
      </c>
      <c r="DR134" t="s">
        <v>281</v>
      </c>
      <c r="DS134">
        <v>0</v>
      </c>
      <c r="DT134">
        <f t="shared" si="102"/>
        <v>1</v>
      </c>
      <c r="DU134" s="143" t="str">
        <f t="shared" si="103"/>
        <v>external DF used</v>
      </c>
      <c r="DV134">
        <v>0</v>
      </c>
      <c r="DW134">
        <v>1</v>
      </c>
      <c r="DX134">
        <v>1</v>
      </c>
      <c r="DY134">
        <v>1</v>
      </c>
      <c r="DZ134">
        <v>1</v>
      </c>
      <c r="EA134" s="143">
        <v>0</v>
      </c>
      <c r="EB134">
        <v>1</v>
      </c>
      <c r="EC134">
        <v>1</v>
      </c>
      <c r="ED134">
        <v>0</v>
      </c>
      <c r="EE134">
        <v>1</v>
      </c>
      <c r="EF134">
        <v>1</v>
      </c>
      <c r="EG134">
        <v>1</v>
      </c>
      <c r="EH134">
        <v>0</v>
      </c>
      <c r="EI134" s="2">
        <v>0</v>
      </c>
      <c r="EJ134" s="1"/>
      <c r="EK134" t="str">
        <f t="shared" si="93"/>
        <v>Whole sector</v>
      </c>
      <c r="EL134" t="str">
        <f t="shared" si="94"/>
        <v/>
      </c>
      <c r="EM134" s="2" t="str">
        <f t="shared" si="67"/>
        <v/>
      </c>
      <c r="EN134"/>
      <c r="EO134"/>
      <c r="EP134" t="str">
        <f>IF(ISNUMBER(BU134),IF(ABS(BU134-[3]QC_indicators!$B$2)&gt;3*[3]QC_indicators!$C$2,"C ratio",IF(ISNUMBER(BY134),IF(ABS(BY134-[3]QC_indicators!$B$1)&gt;3*[3]QC_indicators!$C$1,"DF","no"))),IF(ISNUMBER(BY134),IF(ABS(BY134-[3]QC_indicators!$B$1)&gt;3*[3]QC_indicators!$C$1,"DF","no")))</f>
        <v>no</v>
      </c>
      <c r="EQ134" t="s">
        <v>286</v>
      </c>
      <c r="ER134"/>
      <c r="ES134"/>
      <c r="ET134" s="264" t="s">
        <v>3272</v>
      </c>
      <c r="EU134"/>
    </row>
    <row r="135" spans="1:151" s="139" customFormat="1" ht="15" hidden="1" customHeight="1">
      <c r="A135" s="1" t="s">
        <v>265</v>
      </c>
      <c r="B135" t="s">
        <v>266</v>
      </c>
      <c r="C135" t="s">
        <v>267</v>
      </c>
      <c r="D135" t="s">
        <v>268</v>
      </c>
      <c r="E135" t="s">
        <v>269</v>
      </c>
      <c r="F135" t="s">
        <v>270</v>
      </c>
      <c r="G135" t="s">
        <v>271</v>
      </c>
      <c r="H135" t="s">
        <v>254</v>
      </c>
      <c r="I135">
        <v>2022</v>
      </c>
      <c r="J135">
        <v>0</v>
      </c>
      <c r="K135" t="s">
        <v>272</v>
      </c>
      <c r="L135"/>
      <c r="M135" t="str">
        <f t="shared" si="95"/>
        <v>Aryapratama_2022</v>
      </c>
      <c r="N135" t="s">
        <v>222</v>
      </c>
      <c r="O135" s="145" t="s">
        <v>274</v>
      </c>
      <c r="P135"/>
      <c r="Q135" t="s">
        <v>224</v>
      </c>
      <c r="R135" s="262" t="s">
        <v>223</v>
      </c>
      <c r="S135" s="1" t="s">
        <v>314</v>
      </c>
      <c r="T135" t="s">
        <v>317</v>
      </c>
      <c r="U135" t="s">
        <v>318</v>
      </c>
      <c r="V135">
        <v>0</v>
      </c>
      <c r="W135">
        <v>0</v>
      </c>
      <c r="X135">
        <v>1</v>
      </c>
      <c r="Y135">
        <v>0</v>
      </c>
      <c r="Z135">
        <v>0</v>
      </c>
      <c r="AA135">
        <v>0</v>
      </c>
      <c r="AB135">
        <v>0</v>
      </c>
      <c r="AC135">
        <v>0</v>
      </c>
      <c r="AD135">
        <v>0</v>
      </c>
      <c r="AE135">
        <v>0</v>
      </c>
      <c r="AF135">
        <v>0</v>
      </c>
      <c r="AG135">
        <v>0</v>
      </c>
      <c r="AH135">
        <v>0</v>
      </c>
      <c r="AI135">
        <v>2</v>
      </c>
      <c r="AJ135">
        <v>0</v>
      </c>
      <c r="AK135">
        <v>0</v>
      </c>
      <c r="AL135">
        <v>0</v>
      </c>
      <c r="AM135">
        <v>0</v>
      </c>
      <c r="AN135">
        <v>0</v>
      </c>
      <c r="AO135">
        <v>0</v>
      </c>
      <c r="AP135">
        <v>0</v>
      </c>
      <c r="AQ135">
        <v>0</v>
      </c>
      <c r="AR135">
        <v>0</v>
      </c>
      <c r="AS135">
        <v>0</v>
      </c>
      <c r="AT135">
        <v>0</v>
      </c>
      <c r="AU135">
        <v>0</v>
      </c>
      <c r="AV135">
        <v>0</v>
      </c>
      <c r="AW135">
        <v>0</v>
      </c>
      <c r="AX135" s="141">
        <f t="shared" si="70"/>
        <v>2</v>
      </c>
      <c r="AY135" s="141">
        <f t="shared" si="71"/>
        <v>2</v>
      </c>
      <c r="AZ135">
        <f t="shared" si="72"/>
        <v>1</v>
      </c>
      <c r="BA135">
        <f t="shared" si="73"/>
        <v>1</v>
      </c>
      <c r="BB135">
        <f t="shared" si="74"/>
        <v>0</v>
      </c>
      <c r="BC135">
        <f t="shared" si="75"/>
        <v>0</v>
      </c>
      <c r="BD135">
        <f t="shared" si="76"/>
        <v>0</v>
      </c>
      <c r="BE135" t="str">
        <f t="array" ref="BE135">IF(AY135=1,INDEX($V$7:$AL$7,MATCH(TRUE,INDEX($V135:$AW135&lt;&gt;0,),0)),IF(AY135=0,INDEX($AM$7:$AW$7,MATCH(1,$AM135:$AW135,0)),IF(BF135="Multiple strategies","mixed drivers",IF(BF135="Supply chain","multiple supply","multiple silviculture"))))</f>
        <v>mixed drivers</v>
      </c>
      <c r="BF135" s="2" t="str" cm="1">
        <f t="array" ref="BF135">IF(COUNTIF(AZ135:BB135,"&lt;&gt;0")=1,INDEX($V$4:$AW$4,MATCH(TRUE,INDEX($V135:$AW135&lt;&gt;0,),0)),IF(COUNTIF(AZ135:BB135,"&lt;&gt;0")=0,INDEX($AM$4:$AW$4,MATCH(1,$AM135:$AW135,0)),"Multiple strategies"))</f>
        <v>Multiple strategies</v>
      </c>
      <c r="BG135" s="1" t="s">
        <v>229</v>
      </c>
      <c r="BH135" t="s">
        <v>277</v>
      </c>
      <c r="BI135" s="264" t="s">
        <v>3105</v>
      </c>
      <c r="BJ135" t="s">
        <v>278</v>
      </c>
      <c r="BK135">
        <v>227.87378039612278</v>
      </c>
      <c r="BL135">
        <v>328.05254177959995</v>
      </c>
      <c r="BM135">
        <f>BL135/BK135</f>
        <v>1.4396239058716283</v>
      </c>
      <c r="BN135">
        <f t="shared" si="77"/>
        <v>100.17876138347717</v>
      </c>
      <c r="BO135">
        <f t="shared" si="78"/>
        <v>434.99245064471199</v>
      </c>
      <c r="BP135" t="s">
        <v>232</v>
      </c>
      <c r="BQ135" s="302" t="s">
        <v>3106</v>
      </c>
      <c r="BR135" t="s">
        <v>279</v>
      </c>
      <c r="BS135">
        <v>185.53811788022131</v>
      </c>
      <c r="BT135">
        <v>-41.927947193381058</v>
      </c>
      <c r="BU135" s="144">
        <f t="shared" si="79"/>
        <v>-0.22598023345503954</v>
      </c>
      <c r="BV135">
        <f t="shared" si="80"/>
        <v>-227.46606507360235</v>
      </c>
      <c r="BW135"/>
      <c r="BX135">
        <f t="shared" si="81"/>
        <v>-227.46606507360235</v>
      </c>
      <c r="BY135">
        <f t="shared" si="51"/>
        <v>-0.52291956960740316</v>
      </c>
      <c r="BZ135">
        <v>0</v>
      </c>
      <c r="CA135">
        <v>0</v>
      </c>
      <c r="CB135">
        <v>0</v>
      </c>
      <c r="CC135">
        <v>0</v>
      </c>
      <c r="CD135">
        <v>0</v>
      </c>
      <c r="CE135">
        <v>0</v>
      </c>
      <c r="CF135">
        <v>0</v>
      </c>
      <c r="CG135">
        <v>0</v>
      </c>
      <c r="CH135">
        <v>0</v>
      </c>
      <c r="CI135">
        <v>0</v>
      </c>
      <c r="CJ135">
        <v>0</v>
      </c>
      <c r="CK135">
        <v>0</v>
      </c>
      <c r="CL135">
        <v>0</v>
      </c>
      <c r="CM135">
        <v>0</v>
      </c>
      <c r="CN135" t="str">
        <f t="shared" si="82"/>
        <v>refOK</v>
      </c>
      <c r="CO135">
        <f t="shared" si="83"/>
        <v>227.87378039612278</v>
      </c>
      <c r="CP135">
        <f t="shared" si="84"/>
        <v>328.05254177959995</v>
      </c>
      <c r="CQ135">
        <f t="shared" si="85"/>
        <v>434.99245064471199</v>
      </c>
      <c r="CR135">
        <f t="shared" si="86"/>
        <v>185.53811788022131</v>
      </c>
      <c r="CS135">
        <f t="shared" si="87"/>
        <v>-41.927947193381058</v>
      </c>
      <c r="CT135">
        <f t="shared" si="88"/>
        <v>-227.46606507360235</v>
      </c>
      <c r="CU135">
        <f t="shared" si="89"/>
        <v>-0.52291956960740316</v>
      </c>
      <c r="CV135" s="2">
        <f t="shared" si="90"/>
        <v>-1.2259802334550394</v>
      </c>
      <c r="CW135" s="1" t="s">
        <v>234</v>
      </c>
      <c r="CX135" t="str">
        <f t="shared" si="91"/>
        <v>loc</v>
      </c>
      <c r="CY135" t="s">
        <v>280</v>
      </c>
      <c r="CZ135"/>
      <c r="DA135"/>
      <c r="DB135">
        <v>100</v>
      </c>
      <c r="DC135" t="str">
        <f t="shared" si="92"/>
        <v>71-100</v>
      </c>
      <c r="DD135">
        <v>0</v>
      </c>
      <c r="DE135">
        <v>0</v>
      </c>
      <c r="DF135">
        <v>1</v>
      </c>
      <c r="DG135">
        <v>0</v>
      </c>
      <c r="DH135"/>
      <c r="DI135">
        <f t="shared" si="96"/>
        <v>1</v>
      </c>
      <c r="DJ135" t="str">
        <f t="shared" si="97"/>
        <v>PulpPaperInput</v>
      </c>
      <c r="DK135">
        <f t="shared" si="98"/>
        <v>0</v>
      </c>
      <c r="DL135">
        <f t="shared" si="99"/>
        <v>0</v>
      </c>
      <c r="DM135" t="str">
        <f t="shared" si="100"/>
        <v>Pulp/Paper</v>
      </c>
      <c r="DN135">
        <f t="shared" si="101"/>
        <v>0</v>
      </c>
      <c r="DO135">
        <v>0</v>
      </c>
      <c r="DP135">
        <v>1</v>
      </c>
      <c r="DQ135">
        <v>0</v>
      </c>
      <c r="DR135" t="s">
        <v>281</v>
      </c>
      <c r="DS135">
        <v>0</v>
      </c>
      <c r="DT135">
        <f t="shared" si="102"/>
        <v>1</v>
      </c>
      <c r="DU135" s="143" t="str">
        <f t="shared" si="103"/>
        <v>external DF used</v>
      </c>
      <c r="DV135">
        <v>0</v>
      </c>
      <c r="DW135">
        <v>1</v>
      </c>
      <c r="DX135">
        <v>1</v>
      </c>
      <c r="DY135">
        <v>1</v>
      </c>
      <c r="DZ135">
        <v>1</v>
      </c>
      <c r="EA135" s="143">
        <v>0</v>
      </c>
      <c r="EB135">
        <v>1</v>
      </c>
      <c r="EC135">
        <v>1</v>
      </c>
      <c r="ED135">
        <v>0</v>
      </c>
      <c r="EE135">
        <v>1</v>
      </c>
      <c r="EF135">
        <v>1</v>
      </c>
      <c r="EG135">
        <v>1</v>
      </c>
      <c r="EH135">
        <v>0</v>
      </c>
      <c r="EI135" s="2">
        <v>0</v>
      </c>
      <c r="EJ135" s="1"/>
      <c r="EK135" t="str">
        <f t="shared" si="93"/>
        <v>Whole sector</v>
      </c>
      <c r="EL135" t="str">
        <f t="shared" si="94"/>
        <v/>
      </c>
      <c r="EM135" s="2" t="str">
        <f t="shared" si="67"/>
        <v/>
      </c>
      <c r="EN135"/>
      <c r="EO135"/>
      <c r="EP135" t="str">
        <f>IF(ISNUMBER(BU135),IF(ABS(BU135-[3]QC_indicators!$B$2)&gt;3*[3]QC_indicators!$C$2,"C ratio",IF(ISNUMBER(BY135),IF(ABS(BY135-[3]QC_indicators!$B$1)&gt;3*[3]QC_indicators!$C$1,"DF","no"))),IF(ISNUMBER(BY135),IF(ABS(BY135-[3]QC_indicators!$B$1)&gt;3*[3]QC_indicators!$C$1,"DF","no")))</f>
        <v>no</v>
      </c>
      <c r="EQ135" t="s">
        <v>286</v>
      </c>
      <c r="ER135"/>
      <c r="ES135"/>
      <c r="ET135" s="264" t="s">
        <v>3272</v>
      </c>
      <c r="EU135"/>
    </row>
    <row r="136" spans="1:151" s="139" customFormat="1" ht="15" hidden="1" customHeight="1">
      <c r="A136" s="1" t="s">
        <v>265</v>
      </c>
      <c r="B136" t="s">
        <v>266</v>
      </c>
      <c r="C136" t="s">
        <v>267</v>
      </c>
      <c r="D136" t="s">
        <v>268</v>
      </c>
      <c r="E136" t="s">
        <v>269</v>
      </c>
      <c r="F136" t="s">
        <v>270</v>
      </c>
      <c r="G136" t="s">
        <v>271</v>
      </c>
      <c r="H136" t="s">
        <v>254</v>
      </c>
      <c r="I136">
        <v>2022</v>
      </c>
      <c r="J136">
        <v>0</v>
      </c>
      <c r="K136" t="s">
        <v>272</v>
      </c>
      <c r="L136"/>
      <c r="M136" t="str">
        <f t="shared" si="95"/>
        <v>Aryapratama_2022</v>
      </c>
      <c r="N136" t="s">
        <v>222</v>
      </c>
      <c r="O136" s="145" t="s">
        <v>274</v>
      </c>
      <c r="P136"/>
      <c r="Q136" t="s">
        <v>224</v>
      </c>
      <c r="R136" s="262" t="s">
        <v>223</v>
      </c>
      <c r="S136" s="263" t="s">
        <v>3104</v>
      </c>
      <c r="T136" t="s">
        <v>327</v>
      </c>
      <c r="U136" t="s">
        <v>326</v>
      </c>
      <c r="V136">
        <v>0</v>
      </c>
      <c r="W136">
        <v>0</v>
      </c>
      <c r="X136">
        <v>0</v>
      </c>
      <c r="Y136">
        <v>0</v>
      </c>
      <c r="Z136">
        <v>0</v>
      </c>
      <c r="AA136">
        <v>0</v>
      </c>
      <c r="AB136">
        <v>0</v>
      </c>
      <c r="AC136">
        <v>0</v>
      </c>
      <c r="AD136">
        <v>0</v>
      </c>
      <c r="AE136">
        <v>0</v>
      </c>
      <c r="AF136">
        <v>0</v>
      </c>
      <c r="AG136">
        <v>0</v>
      </c>
      <c r="AH136">
        <v>0</v>
      </c>
      <c r="AI136">
        <v>0</v>
      </c>
      <c r="AJ136">
        <v>0</v>
      </c>
      <c r="AK136">
        <v>1</v>
      </c>
      <c r="AL136">
        <v>0</v>
      </c>
      <c r="AM136">
        <v>0</v>
      </c>
      <c r="AN136">
        <v>0</v>
      </c>
      <c r="AO136">
        <v>0</v>
      </c>
      <c r="AP136">
        <v>0</v>
      </c>
      <c r="AQ136">
        <v>0</v>
      </c>
      <c r="AR136">
        <v>0</v>
      </c>
      <c r="AS136">
        <v>0</v>
      </c>
      <c r="AT136">
        <v>0</v>
      </c>
      <c r="AU136">
        <v>0</v>
      </c>
      <c r="AV136">
        <v>0</v>
      </c>
      <c r="AW136">
        <v>0</v>
      </c>
      <c r="AX136" s="141">
        <f t="shared" si="70"/>
        <v>1</v>
      </c>
      <c r="AY136" s="141">
        <f t="shared" si="71"/>
        <v>1</v>
      </c>
      <c r="AZ136">
        <f t="shared" si="72"/>
        <v>0</v>
      </c>
      <c r="BA136">
        <f t="shared" si="73"/>
        <v>0</v>
      </c>
      <c r="BB136">
        <f t="shared" si="74"/>
        <v>1</v>
      </c>
      <c r="BC136">
        <f t="shared" si="75"/>
        <v>0</v>
      </c>
      <c r="BD136">
        <f t="shared" si="76"/>
        <v>0</v>
      </c>
      <c r="BE136" t="str">
        <f t="array" ref="BE136">IF(AY136=1,INDEX($V$7:$AL$7,MATCH(TRUE,INDEX($V136:$AW136&lt;&gt;0,),0)),IF(AY136=0,INDEX($AM$7:$AW$7,MATCH(1,$AM136:$AW136,0)),IF(BF136="Multiple strategies","mixed drivers",IF(BF136="Supply chain","multiple supply","multiple silviculture"))))</f>
        <v>technologies/design switch</v>
      </c>
      <c r="BF136" s="2" t="str" cm="1">
        <f t="array" ref="BF136">IF(COUNTIF(AZ136:BB136,"&lt;&gt;0")=1,INDEX($V$4:$AW$4,MATCH(TRUE,INDEX($V136:$AW136&lt;&gt;0,),0)),IF(COUNTIF(AZ136:BB136,"&lt;&gt;0")=0,INDEX($AM$4:$AW$4,MATCH(1,$AM136:$AW136,0)),"Multiple strategies"))</f>
        <v>Technology</v>
      </c>
      <c r="BG136" s="1" t="s">
        <v>229</v>
      </c>
      <c r="BH136" t="s">
        <v>277</v>
      </c>
      <c r="BI136" s="264" t="s">
        <v>3105</v>
      </c>
      <c r="BJ136" t="s">
        <v>278</v>
      </c>
      <c r="BK136">
        <v>0</v>
      </c>
      <c r="BL136">
        <v>290.2995901886793</v>
      </c>
      <c r="BM136"/>
      <c r="BN136">
        <f t="shared" si="77"/>
        <v>290.2995901886793</v>
      </c>
      <c r="BO136">
        <f t="shared" si="78"/>
        <v>1260.5279643451122</v>
      </c>
      <c r="BP136" t="s">
        <v>232</v>
      </c>
      <c r="BQ136" s="302" t="s">
        <v>3106</v>
      </c>
      <c r="BR136" t="s">
        <v>279</v>
      </c>
      <c r="BS136">
        <v>-719.97535000585367</v>
      </c>
      <c r="BT136">
        <v>-1282.169207878547</v>
      </c>
      <c r="BU136" s="144">
        <f t="shared" si="79"/>
        <v>1.7808515359145594</v>
      </c>
      <c r="BV136">
        <f t="shared" si="80"/>
        <v>-562.19385787269334</v>
      </c>
      <c r="BW136"/>
      <c r="BX136">
        <f t="shared" si="81"/>
        <v>-562.19385787269334</v>
      </c>
      <c r="BY136">
        <f t="shared" si="51"/>
        <v>-0.44599871940546154</v>
      </c>
      <c r="BZ136">
        <v>0</v>
      </c>
      <c r="CA136">
        <v>0</v>
      </c>
      <c r="CB136">
        <v>0</v>
      </c>
      <c r="CC136">
        <v>0</v>
      </c>
      <c r="CD136">
        <v>0</v>
      </c>
      <c r="CE136">
        <v>0</v>
      </c>
      <c r="CF136">
        <v>0</v>
      </c>
      <c r="CG136">
        <v>0</v>
      </c>
      <c r="CH136">
        <v>0</v>
      </c>
      <c r="CI136">
        <v>0</v>
      </c>
      <c r="CJ136">
        <v>0</v>
      </c>
      <c r="CK136">
        <v>0</v>
      </c>
      <c r="CL136">
        <v>0</v>
      </c>
      <c r="CM136">
        <v>0</v>
      </c>
      <c r="CN136" t="str">
        <f t="shared" si="82"/>
        <v>refOK</v>
      </c>
      <c r="CO136">
        <f t="shared" si="83"/>
        <v>0</v>
      </c>
      <c r="CP136">
        <f t="shared" si="84"/>
        <v>290.2995901886793</v>
      </c>
      <c r="CQ136">
        <f t="shared" si="85"/>
        <v>1260.5279643451122</v>
      </c>
      <c r="CR136">
        <f t="shared" si="86"/>
        <v>-719.97535000585367</v>
      </c>
      <c r="CS136">
        <f t="shared" si="87"/>
        <v>-1282.169207878547</v>
      </c>
      <c r="CT136">
        <f t="shared" si="88"/>
        <v>-562.19385787269334</v>
      </c>
      <c r="CU136">
        <f t="shared" si="89"/>
        <v>-0.44599871940546154</v>
      </c>
      <c r="CV136" s="2">
        <f t="shared" si="90"/>
        <v>-0.78085153591455947</v>
      </c>
      <c r="CW136" s="1" t="s">
        <v>234</v>
      </c>
      <c r="CX136" t="str">
        <f t="shared" si="91"/>
        <v>loc</v>
      </c>
      <c r="CY136" t="s">
        <v>280</v>
      </c>
      <c r="CZ136"/>
      <c r="DA136"/>
      <c r="DB136">
        <v>200</v>
      </c>
      <c r="DC136" t="str">
        <f t="shared" si="92"/>
        <v>+100</v>
      </c>
      <c r="DD136">
        <v>0</v>
      </c>
      <c r="DE136">
        <v>1</v>
      </c>
      <c r="DF136">
        <v>0</v>
      </c>
      <c r="DG136">
        <v>0</v>
      </c>
      <c r="DH136"/>
      <c r="DI136">
        <f t="shared" si="96"/>
        <v>1</v>
      </c>
      <c r="DJ136" t="str">
        <f t="shared" si="97"/>
        <v>EnergyInput</v>
      </c>
      <c r="DK136">
        <f t="shared" si="98"/>
        <v>0</v>
      </c>
      <c r="DL136" t="str">
        <f t="shared" si="99"/>
        <v>Energy</v>
      </c>
      <c r="DM136">
        <f t="shared" si="100"/>
        <v>0</v>
      </c>
      <c r="DN136">
        <f t="shared" si="101"/>
        <v>0</v>
      </c>
      <c r="DO136">
        <v>0</v>
      </c>
      <c r="DP136">
        <v>1</v>
      </c>
      <c r="DQ136" t="s">
        <v>304</v>
      </c>
      <c r="DR136">
        <v>0</v>
      </c>
      <c r="DS136">
        <v>0</v>
      </c>
      <c r="DT136">
        <f t="shared" si="102"/>
        <v>1</v>
      </c>
      <c r="DU136" s="143" t="str">
        <f t="shared" si="103"/>
        <v>external DF used</v>
      </c>
      <c r="DV136">
        <v>0</v>
      </c>
      <c r="DW136">
        <v>1</v>
      </c>
      <c r="DX136">
        <v>1</v>
      </c>
      <c r="DY136">
        <v>1</v>
      </c>
      <c r="DZ136">
        <v>1</v>
      </c>
      <c r="EA136" s="143">
        <v>0</v>
      </c>
      <c r="EB136">
        <v>1</v>
      </c>
      <c r="EC136">
        <v>1</v>
      </c>
      <c r="ED136">
        <v>0</v>
      </c>
      <c r="EE136">
        <v>1</v>
      </c>
      <c r="EF136">
        <v>1</v>
      </c>
      <c r="EG136">
        <v>1</v>
      </c>
      <c r="EH136">
        <v>0</v>
      </c>
      <c r="EI136" s="2">
        <v>0</v>
      </c>
      <c r="EJ136" s="1"/>
      <c r="EK136" t="str">
        <f t="shared" si="93"/>
        <v>Whole sector</v>
      </c>
      <c r="EL136" t="str">
        <f t="shared" si="94"/>
        <v/>
      </c>
      <c r="EM136" s="2" t="str">
        <f t="shared" si="67"/>
        <v/>
      </c>
      <c r="EN136"/>
      <c r="EO136"/>
      <c r="EP136" t="str">
        <f>IF(ISNUMBER(BU136),IF(ABS(BU136-[3]QC_indicators!$B$2)&gt;3*[3]QC_indicators!$C$2,"C ratio",IF(ISNUMBER(BY136),IF(ABS(BY136-[3]QC_indicators!$B$1)&gt;3*[3]QC_indicators!$C$1,"DF","no"))),IF(ISNUMBER(BY136),IF(ABS(BY136-[3]QC_indicators!$B$1)&gt;3*[3]QC_indicators!$C$1,"DF","no")))</f>
        <v>no</v>
      </c>
      <c r="EQ136" t="s">
        <v>286</v>
      </c>
      <c r="ER136"/>
      <c r="ES136"/>
      <c r="ET136" s="264" t="s">
        <v>3272</v>
      </c>
      <c r="EU136"/>
    </row>
    <row r="137" spans="1:151" s="139" customFormat="1" ht="15" hidden="1" customHeight="1">
      <c r="A137" s="1" t="s">
        <v>265</v>
      </c>
      <c r="B137" t="s">
        <v>266</v>
      </c>
      <c r="C137" t="s">
        <v>267</v>
      </c>
      <c r="D137" t="s">
        <v>268</v>
      </c>
      <c r="E137" t="s">
        <v>269</v>
      </c>
      <c r="F137" t="s">
        <v>270</v>
      </c>
      <c r="G137" t="s">
        <v>271</v>
      </c>
      <c r="H137" t="s">
        <v>254</v>
      </c>
      <c r="I137">
        <v>2022</v>
      </c>
      <c r="J137">
        <v>0</v>
      </c>
      <c r="K137" t="s">
        <v>272</v>
      </c>
      <c r="L137"/>
      <c r="M137" t="str">
        <f t="shared" si="95"/>
        <v>Aryapratama_2022</v>
      </c>
      <c r="N137" t="s">
        <v>222</v>
      </c>
      <c r="O137" s="145" t="s">
        <v>274</v>
      </c>
      <c r="P137"/>
      <c r="Q137" t="s">
        <v>224</v>
      </c>
      <c r="R137" s="262" t="s">
        <v>223</v>
      </c>
      <c r="S137" s="263" t="s">
        <v>3104</v>
      </c>
      <c r="T137" t="s">
        <v>293</v>
      </c>
      <c r="U137" t="s">
        <v>275</v>
      </c>
      <c r="V137">
        <v>0</v>
      </c>
      <c r="W137">
        <v>0</v>
      </c>
      <c r="X137">
        <v>0</v>
      </c>
      <c r="Y137">
        <v>0</v>
      </c>
      <c r="Z137">
        <v>0</v>
      </c>
      <c r="AA137">
        <v>0</v>
      </c>
      <c r="AB137">
        <v>0</v>
      </c>
      <c r="AC137">
        <v>0</v>
      </c>
      <c r="AD137">
        <v>0</v>
      </c>
      <c r="AE137">
        <v>0</v>
      </c>
      <c r="AF137">
        <v>0</v>
      </c>
      <c r="AG137">
        <v>0</v>
      </c>
      <c r="AH137">
        <v>0</v>
      </c>
      <c r="AI137">
        <v>0</v>
      </c>
      <c r="AJ137">
        <v>0</v>
      </c>
      <c r="AK137">
        <v>1</v>
      </c>
      <c r="AL137">
        <v>0</v>
      </c>
      <c r="AM137">
        <v>0</v>
      </c>
      <c r="AN137">
        <v>0</v>
      </c>
      <c r="AO137">
        <v>0</v>
      </c>
      <c r="AP137">
        <v>0</v>
      </c>
      <c r="AQ137">
        <v>0</v>
      </c>
      <c r="AR137">
        <v>0</v>
      </c>
      <c r="AS137">
        <v>0</v>
      </c>
      <c r="AT137">
        <v>0</v>
      </c>
      <c r="AU137">
        <v>0</v>
      </c>
      <c r="AV137">
        <v>0</v>
      </c>
      <c r="AW137">
        <v>0</v>
      </c>
      <c r="AX137" s="141">
        <f t="shared" si="70"/>
        <v>1</v>
      </c>
      <c r="AY137" s="141">
        <f t="shared" si="71"/>
        <v>1</v>
      </c>
      <c r="AZ137">
        <f t="shared" si="72"/>
        <v>0</v>
      </c>
      <c r="BA137">
        <f t="shared" si="73"/>
        <v>0</v>
      </c>
      <c r="BB137">
        <f t="shared" si="74"/>
        <v>1</v>
      </c>
      <c r="BC137">
        <f t="shared" si="75"/>
        <v>0</v>
      </c>
      <c r="BD137">
        <f t="shared" si="76"/>
        <v>0</v>
      </c>
      <c r="BE137" t="str">
        <f t="array" ref="BE137">IF(AY137=1,INDEX($V$7:$AL$7,MATCH(TRUE,INDEX($V137:$AW137&lt;&gt;0,),0)),IF(AY137=0,INDEX($AM$7:$AW$7,MATCH(1,$AM137:$AW137,0)),IF(BF137="Multiple strategies","mixed drivers",IF(BF137="Supply chain","multiple supply","multiple silviculture"))))</f>
        <v>technologies/design switch</v>
      </c>
      <c r="BF137" s="2" t="str" cm="1">
        <f t="array" ref="BF137">IF(COUNTIF(AZ137:BB137,"&lt;&gt;0")=1,INDEX($V$4:$AW$4,MATCH(TRUE,INDEX($V137:$AW137&lt;&gt;0,),0)),IF(COUNTIF(AZ137:BB137,"&lt;&gt;0")=0,INDEX($AM$4:$AW$4,MATCH(1,$AM137:$AW137,0)),"Multiple strategies"))</f>
        <v>Technology</v>
      </c>
      <c r="BG137" s="1" t="s">
        <v>229</v>
      </c>
      <c r="BH137" t="s">
        <v>277</v>
      </c>
      <c r="BI137" s="264" t="s">
        <v>3105</v>
      </c>
      <c r="BJ137" t="s">
        <v>278</v>
      </c>
      <c r="BK137">
        <v>0</v>
      </c>
      <c r="BL137">
        <v>135.57962264150939</v>
      </c>
      <c r="BM137"/>
      <c r="BN137">
        <f t="shared" si="77"/>
        <v>135.57962264150939</v>
      </c>
      <c r="BO137">
        <f t="shared" si="78"/>
        <v>588.70873921628049</v>
      </c>
      <c r="BP137" t="s">
        <v>232</v>
      </c>
      <c r="BQ137" s="302" t="s">
        <v>3106</v>
      </c>
      <c r="BR137" t="s">
        <v>279</v>
      </c>
      <c r="BS137">
        <v>-256.36341951965699</v>
      </c>
      <c r="BT137">
        <v>-502.68675849347369</v>
      </c>
      <c r="BU137" s="144">
        <f t="shared" si="79"/>
        <v>1.9608365321204866</v>
      </c>
      <c r="BV137">
        <f t="shared" si="80"/>
        <v>-246.3233389738167</v>
      </c>
      <c r="BW137"/>
      <c r="BX137">
        <f t="shared" si="81"/>
        <v>-246.3233389738167</v>
      </c>
      <c r="BY137">
        <f t="shared" si="51"/>
        <v>-0.41841291383194867</v>
      </c>
      <c r="BZ137">
        <v>0</v>
      </c>
      <c r="CA137">
        <v>0</v>
      </c>
      <c r="CB137">
        <v>0</v>
      </c>
      <c r="CC137">
        <v>0</v>
      </c>
      <c r="CD137">
        <v>0</v>
      </c>
      <c r="CE137">
        <v>0</v>
      </c>
      <c r="CF137">
        <v>0</v>
      </c>
      <c r="CG137">
        <v>0</v>
      </c>
      <c r="CH137">
        <v>0</v>
      </c>
      <c r="CI137">
        <v>0</v>
      </c>
      <c r="CJ137">
        <v>0</v>
      </c>
      <c r="CK137">
        <v>0</v>
      </c>
      <c r="CL137">
        <v>0</v>
      </c>
      <c r="CM137">
        <v>0</v>
      </c>
      <c r="CN137" t="str">
        <f t="shared" si="82"/>
        <v>refOK</v>
      </c>
      <c r="CO137">
        <f t="shared" si="83"/>
        <v>0</v>
      </c>
      <c r="CP137">
        <f t="shared" si="84"/>
        <v>135.57962264150939</v>
      </c>
      <c r="CQ137">
        <f t="shared" si="85"/>
        <v>588.70873921628049</v>
      </c>
      <c r="CR137">
        <f t="shared" si="86"/>
        <v>-256.36341951965699</v>
      </c>
      <c r="CS137">
        <f t="shared" si="87"/>
        <v>-502.68675849347369</v>
      </c>
      <c r="CT137">
        <f t="shared" si="88"/>
        <v>-246.3233389738167</v>
      </c>
      <c r="CU137">
        <f t="shared" si="89"/>
        <v>-0.41841291383194867</v>
      </c>
      <c r="CV137" s="2">
        <f t="shared" si="90"/>
        <v>-0.9608365321204867</v>
      </c>
      <c r="CW137" s="1" t="s">
        <v>234</v>
      </c>
      <c r="CX137" t="str">
        <f t="shared" si="91"/>
        <v>loc</v>
      </c>
      <c r="CY137" t="s">
        <v>280</v>
      </c>
      <c r="CZ137"/>
      <c r="DA137"/>
      <c r="DB137">
        <v>100</v>
      </c>
      <c r="DC137" t="str">
        <f t="shared" si="92"/>
        <v>71-100</v>
      </c>
      <c r="DD137">
        <v>0</v>
      </c>
      <c r="DE137">
        <v>0</v>
      </c>
      <c r="DF137">
        <v>0</v>
      </c>
      <c r="DG137">
        <v>1</v>
      </c>
      <c r="DH137"/>
      <c r="DI137">
        <f t="shared" si="96"/>
        <v>1</v>
      </c>
      <c r="DJ137" t="str">
        <f t="shared" si="97"/>
        <v>TimberInput</v>
      </c>
      <c r="DK137">
        <f t="shared" si="98"/>
        <v>0</v>
      </c>
      <c r="DL137">
        <f t="shared" si="99"/>
        <v>0</v>
      </c>
      <c r="DM137">
        <f t="shared" si="100"/>
        <v>0</v>
      </c>
      <c r="DN137" t="str">
        <f t="shared" si="101"/>
        <v>Timber</v>
      </c>
      <c r="DO137">
        <v>0</v>
      </c>
      <c r="DP137">
        <v>1</v>
      </c>
      <c r="DQ137">
        <v>0</v>
      </c>
      <c r="DR137" t="s">
        <v>292</v>
      </c>
      <c r="DS137">
        <v>0</v>
      </c>
      <c r="DT137">
        <f t="shared" si="102"/>
        <v>1</v>
      </c>
      <c r="DU137" s="143" t="str">
        <f t="shared" si="103"/>
        <v>external DF used</v>
      </c>
      <c r="DV137">
        <v>0</v>
      </c>
      <c r="DW137">
        <v>1</v>
      </c>
      <c r="DX137">
        <v>1</v>
      </c>
      <c r="DY137">
        <v>1</v>
      </c>
      <c r="DZ137">
        <v>1</v>
      </c>
      <c r="EA137" s="143">
        <v>0</v>
      </c>
      <c r="EB137">
        <v>1</v>
      </c>
      <c r="EC137">
        <v>1</v>
      </c>
      <c r="ED137">
        <v>0</v>
      </c>
      <c r="EE137">
        <v>1</v>
      </c>
      <c r="EF137">
        <v>1</v>
      </c>
      <c r="EG137">
        <v>1</v>
      </c>
      <c r="EH137">
        <v>0</v>
      </c>
      <c r="EI137" s="2">
        <v>0</v>
      </c>
      <c r="EJ137" s="1"/>
      <c r="EK137" t="str">
        <f t="shared" si="93"/>
        <v>Whole sector</v>
      </c>
      <c r="EL137" t="str">
        <f t="shared" si="94"/>
        <v/>
      </c>
      <c r="EM137" s="2" t="str">
        <f t="shared" si="67"/>
        <v/>
      </c>
      <c r="EN137"/>
      <c r="EO137"/>
      <c r="EP137" t="str">
        <f>IF(ISNUMBER(BU137),IF(ABS(BU137-[3]QC_indicators!$B$2)&gt;3*[3]QC_indicators!$C$2,"C ratio",IF(ISNUMBER(BY137),IF(ABS(BY137-[3]QC_indicators!$B$1)&gt;3*[3]QC_indicators!$C$1,"DF","no"))),IF(ISNUMBER(BY137),IF(ABS(BY137-[3]QC_indicators!$B$1)&gt;3*[3]QC_indicators!$C$1,"DF","no")))</f>
        <v>no</v>
      </c>
      <c r="EQ137" t="s">
        <v>286</v>
      </c>
      <c r="ER137"/>
      <c r="ES137"/>
      <c r="ET137" s="264" t="s">
        <v>3272</v>
      </c>
      <c r="EU137"/>
    </row>
    <row r="138" spans="1:151" s="139" customFormat="1" ht="15" hidden="1" customHeight="1">
      <c r="A138" s="1" t="s">
        <v>265</v>
      </c>
      <c r="B138" t="s">
        <v>266</v>
      </c>
      <c r="C138" t="s">
        <v>267</v>
      </c>
      <c r="D138" t="s">
        <v>268</v>
      </c>
      <c r="E138" t="s">
        <v>269</v>
      </c>
      <c r="F138" t="s">
        <v>270</v>
      </c>
      <c r="G138" t="s">
        <v>271</v>
      </c>
      <c r="H138" t="s">
        <v>254</v>
      </c>
      <c r="I138">
        <v>2022</v>
      </c>
      <c r="J138">
        <v>0</v>
      </c>
      <c r="K138" t="s">
        <v>272</v>
      </c>
      <c r="L138"/>
      <c r="M138" t="str">
        <f t="shared" si="95"/>
        <v>Aryapratama_2022</v>
      </c>
      <c r="N138" t="s">
        <v>222</v>
      </c>
      <c r="O138" s="145" t="s">
        <v>274</v>
      </c>
      <c r="P138"/>
      <c r="Q138" t="s">
        <v>224</v>
      </c>
      <c r="R138" s="262" t="s">
        <v>223</v>
      </c>
      <c r="S138" s="263" t="s">
        <v>3104</v>
      </c>
      <c r="T138" t="s">
        <v>327</v>
      </c>
      <c r="U138" t="s">
        <v>326</v>
      </c>
      <c r="V138">
        <v>0</v>
      </c>
      <c r="W138">
        <v>0</v>
      </c>
      <c r="X138">
        <v>0</v>
      </c>
      <c r="Y138">
        <v>0</v>
      </c>
      <c r="Z138">
        <v>0</v>
      </c>
      <c r="AA138">
        <v>0</v>
      </c>
      <c r="AB138">
        <v>0</v>
      </c>
      <c r="AC138">
        <v>0</v>
      </c>
      <c r="AD138">
        <v>0</v>
      </c>
      <c r="AE138">
        <v>0</v>
      </c>
      <c r="AF138">
        <v>0</v>
      </c>
      <c r="AG138">
        <v>0</v>
      </c>
      <c r="AH138">
        <v>0</v>
      </c>
      <c r="AI138">
        <v>0</v>
      </c>
      <c r="AJ138">
        <v>0</v>
      </c>
      <c r="AK138">
        <v>1</v>
      </c>
      <c r="AL138">
        <v>0</v>
      </c>
      <c r="AM138">
        <v>0</v>
      </c>
      <c r="AN138">
        <v>0</v>
      </c>
      <c r="AO138">
        <v>0</v>
      </c>
      <c r="AP138">
        <v>0</v>
      </c>
      <c r="AQ138">
        <v>0</v>
      </c>
      <c r="AR138">
        <v>0</v>
      </c>
      <c r="AS138">
        <v>0</v>
      </c>
      <c r="AT138">
        <v>0</v>
      </c>
      <c r="AU138">
        <v>0</v>
      </c>
      <c r="AV138">
        <v>0</v>
      </c>
      <c r="AW138">
        <v>0</v>
      </c>
      <c r="AX138" s="141">
        <f t="shared" si="70"/>
        <v>1</v>
      </c>
      <c r="AY138" s="141">
        <f t="shared" si="71"/>
        <v>1</v>
      </c>
      <c r="AZ138">
        <f t="shared" si="72"/>
        <v>0</v>
      </c>
      <c r="BA138">
        <f t="shared" si="73"/>
        <v>0</v>
      </c>
      <c r="BB138">
        <f t="shared" si="74"/>
        <v>1</v>
      </c>
      <c r="BC138">
        <f t="shared" si="75"/>
        <v>0</v>
      </c>
      <c r="BD138">
        <f t="shared" si="76"/>
        <v>0</v>
      </c>
      <c r="BE138" t="str">
        <f t="array" ref="BE138">IF(AY138=1,INDEX($V$7:$AL$7,MATCH(TRUE,INDEX($V138:$AW138&lt;&gt;0,),0)),IF(AY138=0,INDEX($AM$7:$AW$7,MATCH(1,$AM138:$AW138,0)),IF(BF138="Multiple strategies","mixed drivers",IF(BF138="Supply chain","multiple supply","multiple silviculture"))))</f>
        <v>technologies/design switch</v>
      </c>
      <c r="BF138" s="2" t="str" cm="1">
        <f t="array" ref="BF138">IF(COUNTIF(AZ138:BB138,"&lt;&gt;0")=1,INDEX($V$4:$AW$4,MATCH(TRUE,INDEX($V138:$AW138&lt;&gt;0,),0)),IF(COUNTIF(AZ138:BB138,"&lt;&gt;0")=0,INDEX($AM$4:$AW$4,MATCH(1,$AM138:$AW138,0)),"Multiple strategies"))</f>
        <v>Technology</v>
      </c>
      <c r="BG138" s="1" t="s">
        <v>229</v>
      </c>
      <c r="BH138" t="s">
        <v>277</v>
      </c>
      <c r="BI138" s="264" t="s">
        <v>3105</v>
      </c>
      <c r="BJ138" t="s">
        <v>278</v>
      </c>
      <c r="BK138">
        <v>0</v>
      </c>
      <c r="BL138">
        <v>227.71287018867932</v>
      </c>
      <c r="BM138"/>
      <c r="BN138">
        <f t="shared" si="77"/>
        <v>227.71287018867932</v>
      </c>
      <c r="BO138">
        <f t="shared" si="78"/>
        <v>988.76626221745255</v>
      </c>
      <c r="BP138" t="s">
        <v>232</v>
      </c>
      <c r="BQ138" s="302" t="s">
        <v>3106</v>
      </c>
      <c r="BR138" t="s">
        <v>279</v>
      </c>
      <c r="BS138">
        <v>-640.9681065668517</v>
      </c>
      <c r="BT138">
        <v>-1049.6296143500765</v>
      </c>
      <c r="BU138" s="144">
        <f t="shared" si="79"/>
        <v>1.6375691763699356</v>
      </c>
      <c r="BV138">
        <f t="shared" si="80"/>
        <v>-408.66150778322481</v>
      </c>
      <c r="BW138"/>
      <c r="BX138">
        <f t="shared" si="81"/>
        <v>-408.66150778322481</v>
      </c>
      <c r="BY138">
        <f t="shared" si="51"/>
        <v>-0.41330446173066399</v>
      </c>
      <c r="BZ138">
        <v>0</v>
      </c>
      <c r="CA138">
        <v>0</v>
      </c>
      <c r="CB138">
        <v>0</v>
      </c>
      <c r="CC138">
        <v>0</v>
      </c>
      <c r="CD138">
        <v>0</v>
      </c>
      <c r="CE138">
        <v>0</v>
      </c>
      <c r="CF138">
        <v>0</v>
      </c>
      <c r="CG138">
        <v>0</v>
      </c>
      <c r="CH138">
        <v>0</v>
      </c>
      <c r="CI138">
        <v>0</v>
      </c>
      <c r="CJ138">
        <v>0</v>
      </c>
      <c r="CK138">
        <v>0</v>
      </c>
      <c r="CL138">
        <v>0</v>
      </c>
      <c r="CM138">
        <v>0</v>
      </c>
      <c r="CN138" t="str">
        <f t="shared" si="82"/>
        <v>refOK</v>
      </c>
      <c r="CO138">
        <f t="shared" si="83"/>
        <v>0</v>
      </c>
      <c r="CP138">
        <f t="shared" si="84"/>
        <v>227.71287018867932</v>
      </c>
      <c r="CQ138">
        <f t="shared" si="85"/>
        <v>988.76626221745255</v>
      </c>
      <c r="CR138">
        <f t="shared" si="86"/>
        <v>-640.9681065668517</v>
      </c>
      <c r="CS138">
        <f t="shared" si="87"/>
        <v>-1049.6296143500765</v>
      </c>
      <c r="CT138">
        <f t="shared" si="88"/>
        <v>-408.66150778322481</v>
      </c>
      <c r="CU138">
        <f t="shared" si="89"/>
        <v>-0.41330446173066399</v>
      </c>
      <c r="CV138" s="2">
        <f t="shared" si="90"/>
        <v>-0.63756917636993571</v>
      </c>
      <c r="CW138" s="1" t="s">
        <v>234</v>
      </c>
      <c r="CX138" t="str">
        <f t="shared" si="91"/>
        <v>loc</v>
      </c>
      <c r="CY138" t="s">
        <v>280</v>
      </c>
      <c r="CZ138"/>
      <c r="DA138"/>
      <c r="DB138">
        <v>100</v>
      </c>
      <c r="DC138" t="str">
        <f t="shared" si="92"/>
        <v>71-100</v>
      </c>
      <c r="DD138">
        <v>0</v>
      </c>
      <c r="DE138">
        <v>1</v>
      </c>
      <c r="DF138">
        <v>0</v>
      </c>
      <c r="DG138">
        <v>0</v>
      </c>
      <c r="DH138"/>
      <c r="DI138">
        <f t="shared" si="96"/>
        <v>1</v>
      </c>
      <c r="DJ138" t="str">
        <f t="shared" si="97"/>
        <v>EnergyInput</v>
      </c>
      <c r="DK138">
        <f t="shared" si="98"/>
        <v>0</v>
      </c>
      <c r="DL138" t="str">
        <f t="shared" si="99"/>
        <v>Energy</v>
      </c>
      <c r="DM138">
        <f t="shared" si="100"/>
        <v>0</v>
      </c>
      <c r="DN138">
        <f t="shared" si="101"/>
        <v>0</v>
      </c>
      <c r="DO138">
        <v>0</v>
      </c>
      <c r="DP138">
        <v>1</v>
      </c>
      <c r="DQ138" t="s">
        <v>304</v>
      </c>
      <c r="DR138">
        <v>0</v>
      </c>
      <c r="DS138">
        <v>0</v>
      </c>
      <c r="DT138">
        <f t="shared" si="102"/>
        <v>1</v>
      </c>
      <c r="DU138" s="143" t="str">
        <f t="shared" si="103"/>
        <v>external DF used</v>
      </c>
      <c r="DV138">
        <v>0</v>
      </c>
      <c r="DW138">
        <v>1</v>
      </c>
      <c r="DX138">
        <v>1</v>
      </c>
      <c r="DY138">
        <v>1</v>
      </c>
      <c r="DZ138">
        <v>1</v>
      </c>
      <c r="EA138" s="143">
        <v>0</v>
      </c>
      <c r="EB138">
        <v>1</v>
      </c>
      <c r="EC138">
        <v>1</v>
      </c>
      <c r="ED138">
        <v>0</v>
      </c>
      <c r="EE138">
        <v>1</v>
      </c>
      <c r="EF138">
        <v>1</v>
      </c>
      <c r="EG138">
        <v>1</v>
      </c>
      <c r="EH138">
        <v>0</v>
      </c>
      <c r="EI138" s="2">
        <v>0</v>
      </c>
      <c r="EJ138" s="1"/>
      <c r="EK138" t="str">
        <f t="shared" si="93"/>
        <v>Whole sector</v>
      </c>
      <c r="EL138" t="str">
        <f t="shared" si="94"/>
        <v/>
      </c>
      <c r="EM138" s="2" t="str">
        <f t="shared" si="67"/>
        <v/>
      </c>
      <c r="EN138"/>
      <c r="EO138"/>
      <c r="EP138" t="str">
        <f>IF(ISNUMBER(BU138),IF(ABS(BU138-[3]QC_indicators!$B$2)&gt;3*[3]QC_indicators!$C$2,"C ratio",IF(ISNUMBER(BY138),IF(ABS(BY138-[3]QC_indicators!$B$1)&gt;3*[3]QC_indicators!$C$1,"DF","no"))),IF(ISNUMBER(BY138),IF(ABS(BY138-[3]QC_indicators!$B$1)&gt;3*[3]QC_indicators!$C$1,"DF","no")))</f>
        <v>no</v>
      </c>
      <c r="EQ138" t="s">
        <v>286</v>
      </c>
      <c r="ER138"/>
      <c r="ES138"/>
      <c r="ET138" s="264" t="s">
        <v>3272</v>
      </c>
      <c r="EU138"/>
    </row>
    <row r="139" spans="1:151" s="139" customFormat="1" ht="15" hidden="1" customHeight="1">
      <c r="A139" s="1" t="s">
        <v>265</v>
      </c>
      <c r="B139" t="s">
        <v>266</v>
      </c>
      <c r="C139" t="s">
        <v>267</v>
      </c>
      <c r="D139" t="s">
        <v>268</v>
      </c>
      <c r="E139" t="s">
        <v>269</v>
      </c>
      <c r="F139" t="s">
        <v>270</v>
      </c>
      <c r="G139" t="s">
        <v>271</v>
      </c>
      <c r="H139" t="s">
        <v>254</v>
      </c>
      <c r="I139">
        <v>2022</v>
      </c>
      <c r="J139">
        <v>0</v>
      </c>
      <c r="K139" t="s">
        <v>272</v>
      </c>
      <c r="L139"/>
      <c r="M139" t="str">
        <f t="shared" si="95"/>
        <v>Aryapratama_2022</v>
      </c>
      <c r="N139" t="s">
        <v>222</v>
      </c>
      <c r="O139" s="145" t="s">
        <v>274</v>
      </c>
      <c r="P139"/>
      <c r="Q139" t="s">
        <v>224</v>
      </c>
      <c r="R139" s="262" t="s">
        <v>223</v>
      </c>
      <c r="S139" s="263" t="s">
        <v>3104</v>
      </c>
      <c r="T139" t="s">
        <v>327</v>
      </c>
      <c r="U139" t="s">
        <v>326</v>
      </c>
      <c r="V139">
        <v>0</v>
      </c>
      <c r="W139">
        <v>0</v>
      </c>
      <c r="X139">
        <v>0</v>
      </c>
      <c r="Y139">
        <v>0</v>
      </c>
      <c r="Z139">
        <v>0</v>
      </c>
      <c r="AA139">
        <v>0</v>
      </c>
      <c r="AB139">
        <v>0</v>
      </c>
      <c r="AC139">
        <v>0</v>
      </c>
      <c r="AD139">
        <v>0</v>
      </c>
      <c r="AE139">
        <v>0</v>
      </c>
      <c r="AF139">
        <v>0</v>
      </c>
      <c r="AG139">
        <v>0</v>
      </c>
      <c r="AH139">
        <v>0</v>
      </c>
      <c r="AI139">
        <v>0</v>
      </c>
      <c r="AJ139">
        <v>0</v>
      </c>
      <c r="AK139">
        <v>1</v>
      </c>
      <c r="AL139">
        <v>0</v>
      </c>
      <c r="AM139">
        <v>0</v>
      </c>
      <c r="AN139">
        <v>0</v>
      </c>
      <c r="AO139">
        <v>0</v>
      </c>
      <c r="AP139">
        <v>0</v>
      </c>
      <c r="AQ139">
        <v>0</v>
      </c>
      <c r="AR139">
        <v>0</v>
      </c>
      <c r="AS139">
        <v>0</v>
      </c>
      <c r="AT139">
        <v>0</v>
      </c>
      <c r="AU139">
        <v>0</v>
      </c>
      <c r="AV139">
        <v>0</v>
      </c>
      <c r="AW139">
        <v>0</v>
      </c>
      <c r="AX139" s="141">
        <f t="shared" si="70"/>
        <v>1</v>
      </c>
      <c r="AY139" s="141">
        <f t="shared" si="71"/>
        <v>1</v>
      </c>
      <c r="AZ139">
        <f t="shared" si="72"/>
        <v>0</v>
      </c>
      <c r="BA139">
        <f t="shared" si="73"/>
        <v>0</v>
      </c>
      <c r="BB139">
        <f t="shared" si="74"/>
        <v>1</v>
      </c>
      <c r="BC139">
        <f t="shared" si="75"/>
        <v>0</v>
      </c>
      <c r="BD139">
        <f t="shared" si="76"/>
        <v>0</v>
      </c>
      <c r="BE139" t="str">
        <f t="array" ref="BE139">IF(AY139=1,INDEX($V$7:$AL$7,MATCH(TRUE,INDEX($V139:$AW139&lt;&gt;0,),0)),IF(AY139=0,INDEX($AM$7:$AW$7,MATCH(1,$AM139:$AW139,0)),IF(BF139="Multiple strategies","mixed drivers",IF(BF139="Supply chain","multiple supply","multiple silviculture"))))</f>
        <v>technologies/design switch</v>
      </c>
      <c r="BF139" s="2" t="str" cm="1">
        <f t="array" ref="BF139">IF(COUNTIF(AZ139:BB139,"&lt;&gt;0")=1,INDEX($V$4:$AW$4,MATCH(TRUE,INDEX($V139:$AW139&lt;&gt;0,),0)),IF(COUNTIF(AZ139:BB139,"&lt;&gt;0")=0,INDEX($AM$4:$AW$4,MATCH(1,$AM139:$AW139,0)),"Multiple strategies"))</f>
        <v>Technology</v>
      </c>
      <c r="BG139" s="1" t="s">
        <v>229</v>
      </c>
      <c r="BH139" t="s">
        <v>277</v>
      </c>
      <c r="BI139" s="264" t="s">
        <v>3105</v>
      </c>
      <c r="BJ139" t="s">
        <v>278</v>
      </c>
      <c r="BK139">
        <v>0</v>
      </c>
      <c r="BL139">
        <v>196.41951018867931</v>
      </c>
      <c r="BM139"/>
      <c r="BN139">
        <f t="shared" si="77"/>
        <v>196.41951018867931</v>
      </c>
      <c r="BO139">
        <f t="shared" si="78"/>
        <v>852.88541115362273</v>
      </c>
      <c r="BP139" t="s">
        <v>232</v>
      </c>
      <c r="BQ139" s="302" t="s">
        <v>3106</v>
      </c>
      <c r="BR139" t="s">
        <v>279</v>
      </c>
      <c r="BS139">
        <v>-601.12201901040225</v>
      </c>
      <c r="BT139">
        <v>-930.07336759388943</v>
      </c>
      <c r="BU139" s="144">
        <f t="shared" si="79"/>
        <v>1.5472289122348633</v>
      </c>
      <c r="BV139">
        <f t="shared" si="80"/>
        <v>-328.95134858348717</v>
      </c>
      <c r="BW139"/>
      <c r="BX139">
        <f t="shared" si="81"/>
        <v>-328.95134858348717</v>
      </c>
      <c r="BY139">
        <f t="shared" si="51"/>
        <v>-0.38569231491314143</v>
      </c>
      <c r="BZ139">
        <v>0</v>
      </c>
      <c r="CA139">
        <v>0</v>
      </c>
      <c r="CB139">
        <v>0</v>
      </c>
      <c r="CC139">
        <v>0</v>
      </c>
      <c r="CD139">
        <v>0</v>
      </c>
      <c r="CE139">
        <v>0</v>
      </c>
      <c r="CF139">
        <v>0</v>
      </c>
      <c r="CG139">
        <v>0</v>
      </c>
      <c r="CH139">
        <v>0</v>
      </c>
      <c r="CI139">
        <v>0</v>
      </c>
      <c r="CJ139">
        <v>0</v>
      </c>
      <c r="CK139">
        <v>0</v>
      </c>
      <c r="CL139">
        <v>0</v>
      </c>
      <c r="CM139">
        <v>0</v>
      </c>
      <c r="CN139" t="str">
        <f t="shared" si="82"/>
        <v>refOK</v>
      </c>
      <c r="CO139">
        <f t="shared" si="83"/>
        <v>0</v>
      </c>
      <c r="CP139">
        <f t="shared" si="84"/>
        <v>196.41951018867931</v>
      </c>
      <c r="CQ139">
        <f t="shared" si="85"/>
        <v>852.88541115362273</v>
      </c>
      <c r="CR139">
        <f t="shared" si="86"/>
        <v>-601.12201901040225</v>
      </c>
      <c r="CS139">
        <f t="shared" si="87"/>
        <v>-930.07336759388943</v>
      </c>
      <c r="CT139">
        <f t="shared" si="88"/>
        <v>-328.95134858348717</v>
      </c>
      <c r="CU139">
        <f t="shared" si="89"/>
        <v>-0.38569231491314143</v>
      </c>
      <c r="CV139" s="2">
        <f t="shared" si="90"/>
        <v>-0.54722891223486314</v>
      </c>
      <c r="CW139" s="1" t="s">
        <v>234</v>
      </c>
      <c r="CX139" t="str">
        <f t="shared" si="91"/>
        <v>loc</v>
      </c>
      <c r="CY139" t="s">
        <v>280</v>
      </c>
      <c r="CZ139"/>
      <c r="DA139"/>
      <c r="DB139">
        <v>50</v>
      </c>
      <c r="DC139" t="str">
        <f t="shared" si="92"/>
        <v>31-70</v>
      </c>
      <c r="DD139">
        <v>0</v>
      </c>
      <c r="DE139">
        <v>1</v>
      </c>
      <c r="DF139">
        <v>0</v>
      </c>
      <c r="DG139">
        <v>0</v>
      </c>
      <c r="DH139"/>
      <c r="DI139">
        <f t="shared" si="96"/>
        <v>1</v>
      </c>
      <c r="DJ139" t="str">
        <f t="shared" si="97"/>
        <v>EnergyInput</v>
      </c>
      <c r="DK139">
        <f t="shared" si="98"/>
        <v>0</v>
      </c>
      <c r="DL139" t="str">
        <f t="shared" si="99"/>
        <v>Energy</v>
      </c>
      <c r="DM139">
        <f t="shared" si="100"/>
        <v>0</v>
      </c>
      <c r="DN139">
        <f t="shared" si="101"/>
        <v>0</v>
      </c>
      <c r="DO139">
        <v>0</v>
      </c>
      <c r="DP139">
        <v>1</v>
      </c>
      <c r="DQ139" t="s">
        <v>304</v>
      </c>
      <c r="DR139">
        <v>0</v>
      </c>
      <c r="DS139">
        <v>0</v>
      </c>
      <c r="DT139">
        <f t="shared" si="102"/>
        <v>1</v>
      </c>
      <c r="DU139" s="143" t="str">
        <f t="shared" si="103"/>
        <v>external DF used</v>
      </c>
      <c r="DV139">
        <v>0</v>
      </c>
      <c r="DW139">
        <v>1</v>
      </c>
      <c r="DX139">
        <v>1</v>
      </c>
      <c r="DY139">
        <v>1</v>
      </c>
      <c r="DZ139">
        <v>1</v>
      </c>
      <c r="EA139" s="143">
        <v>0</v>
      </c>
      <c r="EB139">
        <v>1</v>
      </c>
      <c r="EC139">
        <v>1</v>
      </c>
      <c r="ED139">
        <v>0</v>
      </c>
      <c r="EE139">
        <v>1</v>
      </c>
      <c r="EF139">
        <v>1</v>
      </c>
      <c r="EG139">
        <v>1</v>
      </c>
      <c r="EH139">
        <v>0</v>
      </c>
      <c r="EI139" s="2">
        <v>0</v>
      </c>
      <c r="EJ139" s="1"/>
      <c r="EK139" t="str">
        <f t="shared" si="93"/>
        <v>Whole sector</v>
      </c>
      <c r="EL139" t="str">
        <f t="shared" si="94"/>
        <v/>
      </c>
      <c r="EM139" s="2" t="str">
        <f t="shared" si="67"/>
        <v/>
      </c>
      <c r="EN139"/>
      <c r="EO139"/>
      <c r="EP139" t="str">
        <f>IF(ISNUMBER(BU139),IF(ABS(BU139-[3]QC_indicators!$B$2)&gt;3*[3]QC_indicators!$C$2,"C ratio",IF(ISNUMBER(BY139),IF(ABS(BY139-[3]QC_indicators!$B$1)&gt;3*[3]QC_indicators!$C$1,"DF","no"))),IF(ISNUMBER(BY139),IF(ABS(BY139-[3]QC_indicators!$B$1)&gt;3*[3]QC_indicators!$C$1,"DF","no")))</f>
        <v>no</v>
      </c>
      <c r="EQ139" t="s">
        <v>286</v>
      </c>
      <c r="ER139"/>
      <c r="ES139"/>
      <c r="ET139" s="264" t="s">
        <v>3272</v>
      </c>
      <c r="EU139"/>
    </row>
    <row r="140" spans="1:151" s="139" customFormat="1" ht="15" hidden="1" customHeight="1">
      <c r="A140" s="1" t="s">
        <v>265</v>
      </c>
      <c r="B140" t="s">
        <v>266</v>
      </c>
      <c r="C140" t="s">
        <v>267</v>
      </c>
      <c r="D140" t="s">
        <v>268</v>
      </c>
      <c r="E140" t="s">
        <v>269</v>
      </c>
      <c r="F140" t="s">
        <v>270</v>
      </c>
      <c r="G140" t="s">
        <v>271</v>
      </c>
      <c r="H140" t="s">
        <v>254</v>
      </c>
      <c r="I140">
        <v>2022</v>
      </c>
      <c r="J140">
        <v>0</v>
      </c>
      <c r="K140" t="s">
        <v>272</v>
      </c>
      <c r="L140"/>
      <c r="M140" t="str">
        <f t="shared" si="95"/>
        <v>Aryapratama_2022</v>
      </c>
      <c r="N140" t="s">
        <v>222</v>
      </c>
      <c r="O140" s="145" t="s">
        <v>274</v>
      </c>
      <c r="P140"/>
      <c r="Q140" t="s">
        <v>224</v>
      </c>
      <c r="R140" s="262" t="s">
        <v>223</v>
      </c>
      <c r="S140" s="263" t="s">
        <v>3104</v>
      </c>
      <c r="T140" t="s">
        <v>328</v>
      </c>
      <c r="U140" t="s">
        <v>320</v>
      </c>
      <c r="V140">
        <v>0</v>
      </c>
      <c r="W140">
        <v>0</v>
      </c>
      <c r="X140">
        <v>0</v>
      </c>
      <c r="Y140">
        <v>0</v>
      </c>
      <c r="Z140">
        <v>0</v>
      </c>
      <c r="AA140">
        <v>0</v>
      </c>
      <c r="AB140">
        <v>0</v>
      </c>
      <c r="AC140">
        <v>0</v>
      </c>
      <c r="AD140">
        <v>0</v>
      </c>
      <c r="AE140">
        <v>0</v>
      </c>
      <c r="AF140">
        <v>0</v>
      </c>
      <c r="AG140">
        <v>0</v>
      </c>
      <c r="AH140">
        <v>0</v>
      </c>
      <c r="AI140">
        <v>0</v>
      </c>
      <c r="AJ140">
        <v>0</v>
      </c>
      <c r="AK140">
        <v>1</v>
      </c>
      <c r="AL140">
        <v>0</v>
      </c>
      <c r="AM140">
        <v>0</v>
      </c>
      <c r="AN140">
        <v>0</v>
      </c>
      <c r="AO140">
        <v>0</v>
      </c>
      <c r="AP140">
        <v>0</v>
      </c>
      <c r="AQ140">
        <v>0</v>
      </c>
      <c r="AR140">
        <v>0</v>
      </c>
      <c r="AS140">
        <v>0</v>
      </c>
      <c r="AT140">
        <v>0</v>
      </c>
      <c r="AU140">
        <v>0</v>
      </c>
      <c r="AV140">
        <v>0</v>
      </c>
      <c r="AW140">
        <v>0</v>
      </c>
      <c r="AX140" s="141">
        <f t="shared" si="70"/>
        <v>1</v>
      </c>
      <c r="AY140" s="141">
        <f t="shared" si="71"/>
        <v>1</v>
      </c>
      <c r="AZ140">
        <f t="shared" si="72"/>
        <v>0</v>
      </c>
      <c r="BA140">
        <f t="shared" si="73"/>
        <v>0</v>
      </c>
      <c r="BB140">
        <f t="shared" si="74"/>
        <v>1</v>
      </c>
      <c r="BC140">
        <f t="shared" si="75"/>
        <v>0</v>
      </c>
      <c r="BD140">
        <f t="shared" si="76"/>
        <v>0</v>
      </c>
      <c r="BE140" t="str">
        <f t="array" ref="BE140">IF(AY140=1,INDEX($V$7:$AL$7,MATCH(TRUE,INDEX($V140:$AW140&lt;&gt;0,),0)),IF(AY140=0,INDEX($AM$7:$AW$7,MATCH(1,$AM140:$AW140,0)),IF(BF140="Multiple strategies","mixed drivers",IF(BF140="Supply chain","multiple supply","multiple silviculture"))))</f>
        <v>technologies/design switch</v>
      </c>
      <c r="BF140" s="2" t="str" cm="1">
        <f t="array" ref="BF140">IF(COUNTIF(AZ140:BB140,"&lt;&gt;0")=1,INDEX($V$4:$AW$4,MATCH(TRUE,INDEX($V140:$AW140&lt;&gt;0,),0)),IF(COUNTIF(AZ140:BB140,"&lt;&gt;0")=0,INDEX($AM$4:$AW$4,MATCH(1,$AM140:$AW140,0)),"Multiple strategies"))</f>
        <v>Technology</v>
      </c>
      <c r="BG140" s="1" t="s">
        <v>229</v>
      </c>
      <c r="BH140" t="s">
        <v>277</v>
      </c>
      <c r="BI140" s="264" t="s">
        <v>3105</v>
      </c>
      <c r="BJ140" t="s">
        <v>278</v>
      </c>
      <c r="BK140">
        <v>0</v>
      </c>
      <c r="BL140">
        <v>180.77283018867931</v>
      </c>
      <c r="BM140"/>
      <c r="BN140">
        <f t="shared" si="77"/>
        <v>180.77283018867931</v>
      </c>
      <c r="BO140">
        <f t="shared" si="78"/>
        <v>784.94498562170781</v>
      </c>
      <c r="BP140" t="s">
        <v>232</v>
      </c>
      <c r="BQ140" s="302" t="s">
        <v>3106</v>
      </c>
      <c r="BR140" t="s">
        <v>279</v>
      </c>
      <c r="BS140">
        <v>-184.68959838926031</v>
      </c>
      <c r="BT140">
        <v>-448.98121307248744</v>
      </c>
      <c r="BU140" s="144">
        <f t="shared" si="79"/>
        <v>2.4310043282794624</v>
      </c>
      <c r="BV140">
        <f t="shared" si="80"/>
        <v>-264.29161468322712</v>
      </c>
      <c r="BW140"/>
      <c r="BX140">
        <f t="shared" si="81"/>
        <v>-264.29161468322712</v>
      </c>
      <c r="BY140">
        <f t="shared" si="51"/>
        <v>-0.33670081282689845</v>
      </c>
      <c r="BZ140">
        <v>0</v>
      </c>
      <c r="CA140">
        <v>0</v>
      </c>
      <c r="CB140">
        <v>0</v>
      </c>
      <c r="CC140">
        <v>0</v>
      </c>
      <c r="CD140">
        <v>0</v>
      </c>
      <c r="CE140">
        <v>0</v>
      </c>
      <c r="CF140">
        <v>0</v>
      </c>
      <c r="CG140">
        <v>0</v>
      </c>
      <c r="CH140">
        <v>0</v>
      </c>
      <c r="CI140">
        <v>0</v>
      </c>
      <c r="CJ140">
        <v>0</v>
      </c>
      <c r="CK140">
        <v>0</v>
      </c>
      <c r="CL140">
        <v>0</v>
      </c>
      <c r="CM140">
        <v>0</v>
      </c>
      <c r="CN140" t="str">
        <f t="shared" si="82"/>
        <v>refOK</v>
      </c>
      <c r="CO140">
        <f t="shared" si="83"/>
        <v>0</v>
      </c>
      <c r="CP140">
        <f t="shared" si="84"/>
        <v>180.77283018867931</v>
      </c>
      <c r="CQ140">
        <f t="shared" si="85"/>
        <v>784.94498562170781</v>
      </c>
      <c r="CR140">
        <f t="shared" si="86"/>
        <v>-184.68959838926031</v>
      </c>
      <c r="CS140">
        <f t="shared" si="87"/>
        <v>-448.98121307248744</v>
      </c>
      <c r="CT140">
        <f t="shared" si="88"/>
        <v>-264.29161468322712</v>
      </c>
      <c r="CU140">
        <f t="shared" si="89"/>
        <v>-0.33670081282689845</v>
      </c>
      <c r="CV140" s="2">
        <f t="shared" si="90"/>
        <v>-1.4310043282794624</v>
      </c>
      <c r="CW140" s="1" t="s">
        <v>234</v>
      </c>
      <c r="CX140" t="str">
        <f t="shared" si="91"/>
        <v>loc</v>
      </c>
      <c r="CY140" t="s">
        <v>280</v>
      </c>
      <c r="CZ140"/>
      <c r="DA140"/>
      <c r="DB140">
        <v>200</v>
      </c>
      <c r="DC140" t="str">
        <f t="shared" si="92"/>
        <v>+100</v>
      </c>
      <c r="DD140">
        <v>0</v>
      </c>
      <c r="DE140">
        <v>1</v>
      </c>
      <c r="DF140">
        <v>0</v>
      </c>
      <c r="DG140">
        <v>0</v>
      </c>
      <c r="DH140"/>
      <c r="DI140">
        <f t="shared" si="96"/>
        <v>1</v>
      </c>
      <c r="DJ140" t="str">
        <f t="shared" si="97"/>
        <v>EnergyInput</v>
      </c>
      <c r="DK140">
        <f t="shared" si="98"/>
        <v>0</v>
      </c>
      <c r="DL140" t="str">
        <f t="shared" si="99"/>
        <v>Energy</v>
      </c>
      <c r="DM140">
        <f t="shared" si="100"/>
        <v>0</v>
      </c>
      <c r="DN140">
        <f t="shared" si="101"/>
        <v>0</v>
      </c>
      <c r="DO140">
        <v>0</v>
      </c>
      <c r="DP140">
        <v>1</v>
      </c>
      <c r="DQ140" t="s">
        <v>304</v>
      </c>
      <c r="DR140">
        <v>0</v>
      </c>
      <c r="DS140">
        <v>0</v>
      </c>
      <c r="DT140">
        <f t="shared" si="102"/>
        <v>1</v>
      </c>
      <c r="DU140" s="143" t="str">
        <f t="shared" si="103"/>
        <v>external DF used</v>
      </c>
      <c r="DV140">
        <v>0</v>
      </c>
      <c r="DW140">
        <v>1</v>
      </c>
      <c r="DX140">
        <v>1</v>
      </c>
      <c r="DY140">
        <v>1</v>
      </c>
      <c r="DZ140">
        <v>1</v>
      </c>
      <c r="EA140" s="143">
        <v>0</v>
      </c>
      <c r="EB140">
        <v>1</v>
      </c>
      <c r="EC140">
        <v>1</v>
      </c>
      <c r="ED140">
        <v>0</v>
      </c>
      <c r="EE140">
        <v>1</v>
      </c>
      <c r="EF140">
        <v>1</v>
      </c>
      <c r="EG140">
        <v>1</v>
      </c>
      <c r="EH140">
        <v>0</v>
      </c>
      <c r="EI140" s="2">
        <v>0</v>
      </c>
      <c r="EJ140" s="1"/>
      <c r="EK140" t="str">
        <f t="shared" si="93"/>
        <v>Whole sector</v>
      </c>
      <c r="EL140" t="str">
        <f t="shared" si="94"/>
        <v/>
      </c>
      <c r="EM140" s="2" t="str">
        <f t="shared" si="67"/>
        <v/>
      </c>
      <c r="EN140"/>
      <c r="EO140"/>
      <c r="EP140" t="str">
        <f>IF(ISNUMBER(BU140),IF(ABS(BU140-[3]QC_indicators!$B$2)&gt;3*[3]QC_indicators!$C$2,"C ratio",IF(ISNUMBER(BY140),IF(ABS(BY140-[3]QC_indicators!$B$1)&gt;3*[3]QC_indicators!$C$1,"DF","no"))),IF(ISNUMBER(BY140),IF(ABS(BY140-[3]QC_indicators!$B$1)&gt;3*[3]QC_indicators!$C$1,"DF","no")))</f>
        <v>no</v>
      </c>
      <c r="EQ140" t="s">
        <v>286</v>
      </c>
      <c r="ER140"/>
      <c r="ES140"/>
      <c r="ET140" s="264" t="s">
        <v>3272</v>
      </c>
      <c r="EU140"/>
    </row>
    <row r="141" spans="1:151" s="139" customFormat="1" ht="15" hidden="1" customHeight="1">
      <c r="A141" s="1" t="s">
        <v>265</v>
      </c>
      <c r="B141" t="s">
        <v>266</v>
      </c>
      <c r="C141" t="s">
        <v>267</v>
      </c>
      <c r="D141" t="s">
        <v>268</v>
      </c>
      <c r="E141" t="s">
        <v>269</v>
      </c>
      <c r="F141" t="s">
        <v>270</v>
      </c>
      <c r="G141" t="s">
        <v>271</v>
      </c>
      <c r="H141" t="s">
        <v>254</v>
      </c>
      <c r="I141">
        <v>2022</v>
      </c>
      <c r="J141">
        <v>0</v>
      </c>
      <c r="K141" t="s">
        <v>272</v>
      </c>
      <c r="L141"/>
      <c r="M141" t="str">
        <f t="shared" si="95"/>
        <v>Aryapratama_2022</v>
      </c>
      <c r="N141" t="s">
        <v>222</v>
      </c>
      <c r="O141" s="145" t="s">
        <v>274</v>
      </c>
      <c r="P141"/>
      <c r="Q141" t="s">
        <v>224</v>
      </c>
      <c r="R141" s="262" t="s">
        <v>223</v>
      </c>
      <c r="S141" s="263" t="s">
        <v>3104</v>
      </c>
      <c r="T141" t="s">
        <v>291</v>
      </c>
      <c r="U141" t="s">
        <v>276</v>
      </c>
      <c r="V141">
        <v>0</v>
      </c>
      <c r="W141">
        <v>0</v>
      </c>
      <c r="X141">
        <v>0</v>
      </c>
      <c r="Y141">
        <v>0</v>
      </c>
      <c r="Z141">
        <v>0</v>
      </c>
      <c r="AA141">
        <v>0</v>
      </c>
      <c r="AB141">
        <v>0</v>
      </c>
      <c r="AC141">
        <v>0</v>
      </c>
      <c r="AD141">
        <v>0</v>
      </c>
      <c r="AE141">
        <v>0</v>
      </c>
      <c r="AF141">
        <v>0</v>
      </c>
      <c r="AG141">
        <v>0</v>
      </c>
      <c r="AH141">
        <v>0</v>
      </c>
      <c r="AI141">
        <v>0</v>
      </c>
      <c r="AJ141">
        <v>0</v>
      </c>
      <c r="AK141">
        <v>1</v>
      </c>
      <c r="AL141">
        <v>0</v>
      </c>
      <c r="AM141">
        <v>0</v>
      </c>
      <c r="AN141">
        <v>0</v>
      </c>
      <c r="AO141">
        <v>0</v>
      </c>
      <c r="AP141">
        <v>0</v>
      </c>
      <c r="AQ141">
        <v>0</v>
      </c>
      <c r="AR141">
        <v>0</v>
      </c>
      <c r="AS141">
        <v>0</v>
      </c>
      <c r="AT141">
        <v>0</v>
      </c>
      <c r="AU141">
        <v>0</v>
      </c>
      <c r="AV141">
        <v>0</v>
      </c>
      <c r="AW141">
        <v>0</v>
      </c>
      <c r="AX141" s="141">
        <f t="shared" si="70"/>
        <v>1</v>
      </c>
      <c r="AY141" s="141">
        <f t="shared" si="71"/>
        <v>1</v>
      </c>
      <c r="AZ141">
        <f t="shared" si="72"/>
        <v>0</v>
      </c>
      <c r="BA141">
        <f t="shared" si="73"/>
        <v>0</v>
      </c>
      <c r="BB141">
        <f t="shared" si="74"/>
        <v>1</v>
      </c>
      <c r="BC141">
        <f t="shared" si="75"/>
        <v>0</v>
      </c>
      <c r="BD141">
        <f t="shared" si="76"/>
        <v>0</v>
      </c>
      <c r="BE141" t="str">
        <f t="array" ref="BE141">IF(AY141=1,INDEX($V$7:$AL$7,MATCH(TRUE,INDEX($V141:$AW141&lt;&gt;0,),0)),IF(AY141=0,INDEX($AM$7:$AW$7,MATCH(1,$AM141:$AW141,0)),IF(BF141="Multiple strategies","mixed drivers",IF(BF141="Supply chain","multiple supply","multiple silviculture"))))</f>
        <v>technologies/design switch</v>
      </c>
      <c r="BF141" s="2" t="str" cm="1">
        <f t="array" ref="BF141">IF(COUNTIF(AZ141:BB141,"&lt;&gt;0")=1,INDEX($V$4:$AW$4,MATCH(TRUE,INDEX($V141:$AW141&lt;&gt;0,),0)),IF(COUNTIF(AZ141:BB141,"&lt;&gt;0")=0,INDEX($AM$4:$AW$4,MATCH(1,$AM141:$AW141,0)),"Multiple strategies"))</f>
        <v>Technology</v>
      </c>
      <c r="BG141" s="1" t="s">
        <v>229</v>
      </c>
      <c r="BH141" t="s">
        <v>277</v>
      </c>
      <c r="BI141" s="264" t="s">
        <v>3105</v>
      </c>
      <c r="BJ141" t="s">
        <v>278</v>
      </c>
      <c r="BK141">
        <v>0</v>
      </c>
      <c r="BL141">
        <v>145.3587976415094</v>
      </c>
      <c r="BM141"/>
      <c r="BN141">
        <f t="shared" si="77"/>
        <v>145.3587976415094</v>
      </c>
      <c r="BO141">
        <f t="shared" si="78"/>
        <v>631.17150517372738</v>
      </c>
      <c r="BP141" t="s">
        <v>232</v>
      </c>
      <c r="BQ141" s="302" t="s">
        <v>3106</v>
      </c>
      <c r="BR141" t="s">
        <v>279</v>
      </c>
      <c r="BS141">
        <v>-456.78692783823215</v>
      </c>
      <c r="BT141">
        <v>-654.85817268246092</v>
      </c>
      <c r="BU141" s="144">
        <f t="shared" si="79"/>
        <v>1.43361846141616</v>
      </c>
      <c r="BV141">
        <f t="shared" si="80"/>
        <v>-198.07124484422877</v>
      </c>
      <c r="BW141"/>
      <c r="BX141">
        <f t="shared" si="81"/>
        <v>-198.07124484422877</v>
      </c>
      <c r="BY141">
        <f t="shared" si="51"/>
        <v>-0.3138152518303412</v>
      </c>
      <c r="BZ141">
        <v>0</v>
      </c>
      <c r="CA141">
        <v>0</v>
      </c>
      <c r="CB141">
        <v>0</v>
      </c>
      <c r="CC141">
        <v>0</v>
      </c>
      <c r="CD141">
        <v>0</v>
      </c>
      <c r="CE141">
        <v>0</v>
      </c>
      <c r="CF141">
        <v>0</v>
      </c>
      <c r="CG141">
        <v>0</v>
      </c>
      <c r="CH141">
        <v>0</v>
      </c>
      <c r="CI141">
        <v>0</v>
      </c>
      <c r="CJ141">
        <v>0</v>
      </c>
      <c r="CK141">
        <v>0</v>
      </c>
      <c r="CL141">
        <v>0</v>
      </c>
      <c r="CM141">
        <v>0</v>
      </c>
      <c r="CN141" t="str">
        <f t="shared" si="82"/>
        <v>refOK</v>
      </c>
      <c r="CO141">
        <f t="shared" si="83"/>
        <v>0</v>
      </c>
      <c r="CP141">
        <f t="shared" si="84"/>
        <v>145.3587976415094</v>
      </c>
      <c r="CQ141">
        <f t="shared" si="85"/>
        <v>631.17150517372738</v>
      </c>
      <c r="CR141">
        <f t="shared" si="86"/>
        <v>-456.78692783823215</v>
      </c>
      <c r="CS141">
        <f t="shared" si="87"/>
        <v>-654.85817268246092</v>
      </c>
      <c r="CT141">
        <f t="shared" si="88"/>
        <v>-198.07124484422877</v>
      </c>
      <c r="CU141">
        <f t="shared" si="89"/>
        <v>-0.3138152518303412</v>
      </c>
      <c r="CV141" s="2">
        <f t="shared" si="90"/>
        <v>-0.43361846141616012</v>
      </c>
      <c r="CW141" s="1" t="s">
        <v>234</v>
      </c>
      <c r="CX141" t="str">
        <f t="shared" si="91"/>
        <v>loc</v>
      </c>
      <c r="CY141" t="s">
        <v>280</v>
      </c>
      <c r="CZ141"/>
      <c r="DA141"/>
      <c r="DB141">
        <v>50</v>
      </c>
      <c r="DC141" t="str">
        <f t="shared" si="92"/>
        <v>31-70</v>
      </c>
      <c r="DD141">
        <v>0</v>
      </c>
      <c r="DE141">
        <v>0</v>
      </c>
      <c r="DF141">
        <v>0</v>
      </c>
      <c r="DG141">
        <v>1</v>
      </c>
      <c r="DH141"/>
      <c r="DI141">
        <f t="shared" si="96"/>
        <v>1</v>
      </c>
      <c r="DJ141" t="str">
        <f t="shared" si="97"/>
        <v>TimberInput</v>
      </c>
      <c r="DK141">
        <f t="shared" si="98"/>
        <v>0</v>
      </c>
      <c r="DL141">
        <f t="shared" si="99"/>
        <v>0</v>
      </c>
      <c r="DM141">
        <f t="shared" si="100"/>
        <v>0</v>
      </c>
      <c r="DN141" t="str">
        <f t="shared" si="101"/>
        <v>Timber</v>
      </c>
      <c r="DO141">
        <v>0</v>
      </c>
      <c r="DP141">
        <v>1</v>
      </c>
      <c r="DQ141">
        <v>0</v>
      </c>
      <c r="DR141" t="s">
        <v>292</v>
      </c>
      <c r="DS141">
        <v>0</v>
      </c>
      <c r="DT141">
        <f t="shared" si="102"/>
        <v>1</v>
      </c>
      <c r="DU141" s="143" t="str">
        <f t="shared" si="103"/>
        <v>external DF used</v>
      </c>
      <c r="DV141">
        <v>0</v>
      </c>
      <c r="DW141">
        <v>1</v>
      </c>
      <c r="DX141">
        <v>1</v>
      </c>
      <c r="DY141">
        <v>1</v>
      </c>
      <c r="DZ141">
        <v>1</v>
      </c>
      <c r="EA141" s="143">
        <v>0</v>
      </c>
      <c r="EB141">
        <v>1</v>
      </c>
      <c r="EC141">
        <v>1</v>
      </c>
      <c r="ED141">
        <v>0</v>
      </c>
      <c r="EE141">
        <v>1</v>
      </c>
      <c r="EF141">
        <v>1</v>
      </c>
      <c r="EG141">
        <v>1</v>
      </c>
      <c r="EH141">
        <v>0</v>
      </c>
      <c r="EI141" s="2">
        <v>0</v>
      </c>
      <c r="EJ141" s="1"/>
      <c r="EK141" t="str">
        <f t="shared" si="93"/>
        <v>Whole sector</v>
      </c>
      <c r="EL141" t="str">
        <f t="shared" si="94"/>
        <v/>
      </c>
      <c r="EM141" s="2" t="str">
        <f t="shared" si="67"/>
        <v/>
      </c>
      <c r="EN141" t="s">
        <v>294</v>
      </c>
      <c r="EO141"/>
      <c r="EP141" t="str">
        <f>IF(ISNUMBER(BU141),IF(ABS(BU141-[3]QC_indicators!$B$2)&gt;3*[3]QC_indicators!$C$2,"C ratio",IF(ISNUMBER(BY141),IF(ABS(BY141-[3]QC_indicators!$B$1)&gt;3*[3]QC_indicators!$C$1,"DF","no"))),IF(ISNUMBER(BY141),IF(ABS(BY141-[3]QC_indicators!$B$1)&gt;3*[3]QC_indicators!$C$1,"DF","no")))</f>
        <v>no</v>
      </c>
      <c r="EQ141" t="s">
        <v>286</v>
      </c>
      <c r="ER141"/>
      <c r="ES141"/>
      <c r="ET141" s="264" t="s">
        <v>3272</v>
      </c>
      <c r="EU141"/>
    </row>
    <row r="142" spans="1:151" s="139" customFormat="1" ht="15" hidden="1" customHeight="1">
      <c r="A142" s="1" t="s">
        <v>265</v>
      </c>
      <c r="B142" t="s">
        <v>266</v>
      </c>
      <c r="C142" t="s">
        <v>267</v>
      </c>
      <c r="D142" t="s">
        <v>268</v>
      </c>
      <c r="E142" t="s">
        <v>269</v>
      </c>
      <c r="F142" t="s">
        <v>270</v>
      </c>
      <c r="G142" t="s">
        <v>271</v>
      </c>
      <c r="H142" t="s">
        <v>254</v>
      </c>
      <c r="I142">
        <v>2022</v>
      </c>
      <c r="J142">
        <v>0</v>
      </c>
      <c r="K142" t="s">
        <v>272</v>
      </c>
      <c r="L142"/>
      <c r="M142" t="str">
        <f t="shared" si="95"/>
        <v>Aryapratama_2022</v>
      </c>
      <c r="N142" t="s">
        <v>222</v>
      </c>
      <c r="O142" s="145" t="s">
        <v>274</v>
      </c>
      <c r="P142"/>
      <c r="Q142" t="s">
        <v>224</v>
      </c>
      <c r="R142" s="262" t="s">
        <v>223</v>
      </c>
      <c r="S142" s="1" t="s">
        <v>314</v>
      </c>
      <c r="T142" t="s">
        <v>317</v>
      </c>
      <c r="U142" t="s">
        <v>318</v>
      </c>
      <c r="V142">
        <v>0</v>
      </c>
      <c r="W142">
        <v>0</v>
      </c>
      <c r="X142">
        <v>1</v>
      </c>
      <c r="Y142">
        <v>0</v>
      </c>
      <c r="Z142">
        <v>0</v>
      </c>
      <c r="AA142">
        <v>0</v>
      </c>
      <c r="AB142">
        <v>0</v>
      </c>
      <c r="AC142">
        <v>0</v>
      </c>
      <c r="AD142">
        <v>0</v>
      </c>
      <c r="AE142">
        <v>0</v>
      </c>
      <c r="AF142">
        <v>0</v>
      </c>
      <c r="AG142">
        <v>0</v>
      </c>
      <c r="AH142">
        <v>0</v>
      </c>
      <c r="AI142">
        <v>2</v>
      </c>
      <c r="AJ142">
        <v>0</v>
      </c>
      <c r="AK142">
        <v>0</v>
      </c>
      <c r="AL142">
        <v>0</v>
      </c>
      <c r="AM142">
        <v>0</v>
      </c>
      <c r="AN142">
        <v>0</v>
      </c>
      <c r="AO142">
        <v>0</v>
      </c>
      <c r="AP142">
        <v>0</v>
      </c>
      <c r="AQ142">
        <v>0</v>
      </c>
      <c r="AR142">
        <v>0</v>
      </c>
      <c r="AS142">
        <v>0</v>
      </c>
      <c r="AT142">
        <v>0</v>
      </c>
      <c r="AU142">
        <v>0</v>
      </c>
      <c r="AV142">
        <v>0</v>
      </c>
      <c r="AW142">
        <v>0</v>
      </c>
      <c r="AX142" s="141">
        <f t="shared" si="70"/>
        <v>2</v>
      </c>
      <c r="AY142" s="141">
        <f t="shared" si="71"/>
        <v>2</v>
      </c>
      <c r="AZ142">
        <f t="shared" si="72"/>
        <v>1</v>
      </c>
      <c r="BA142">
        <f t="shared" si="73"/>
        <v>1</v>
      </c>
      <c r="BB142">
        <f t="shared" si="74"/>
        <v>0</v>
      </c>
      <c r="BC142">
        <f t="shared" si="75"/>
        <v>0</v>
      </c>
      <c r="BD142">
        <f t="shared" si="76"/>
        <v>0</v>
      </c>
      <c r="BE142" t="str">
        <f t="array" ref="BE142">IF(AY142=1,INDEX($V$7:$AL$7,MATCH(TRUE,INDEX($V142:$AW142&lt;&gt;0,),0)),IF(AY142=0,INDEX($AM$7:$AW$7,MATCH(1,$AM142:$AW142,0)),IF(BF142="Multiple strategies","mixed drivers",IF(BF142="Supply chain","multiple supply","multiple silviculture"))))</f>
        <v>mixed drivers</v>
      </c>
      <c r="BF142" s="2" t="str" cm="1">
        <f t="array" ref="BF142">IF(COUNTIF(AZ142:BB142,"&lt;&gt;0")=1,INDEX($V$4:$AW$4,MATCH(TRUE,INDEX($V142:$AW142&lt;&gt;0,),0)),IF(COUNTIF(AZ142:BB142,"&lt;&gt;0")=0,INDEX($AM$4:$AW$4,MATCH(1,$AM142:$AW142,0)),"Multiple strategies"))</f>
        <v>Multiple strategies</v>
      </c>
      <c r="BG142" s="1" t="s">
        <v>229</v>
      </c>
      <c r="BH142" t="s">
        <v>277</v>
      </c>
      <c r="BI142" s="264" t="s">
        <v>3105</v>
      </c>
      <c r="BJ142" t="s">
        <v>278</v>
      </c>
      <c r="BK142">
        <v>455.74756079224562</v>
      </c>
      <c r="BL142">
        <v>656.10508355919967</v>
      </c>
      <c r="BM142">
        <f>BL142/BK142</f>
        <v>1.4396239058716276</v>
      </c>
      <c r="BN142">
        <f t="shared" si="77"/>
        <v>200.35752276695405</v>
      </c>
      <c r="BO142">
        <f t="shared" si="78"/>
        <v>869.98490128942274</v>
      </c>
      <c r="BP142" t="s">
        <v>232</v>
      </c>
      <c r="BQ142" s="302" t="s">
        <v>3106</v>
      </c>
      <c r="BR142" t="s">
        <v>279</v>
      </c>
      <c r="BS142">
        <v>23.49403951814293</v>
      </c>
      <c r="BT142">
        <v>-227.6520247861325</v>
      </c>
      <c r="BU142" s="144">
        <f t="shared" si="79"/>
        <v>-9.6897778949563591</v>
      </c>
      <c r="BV142">
        <f t="shared" si="80"/>
        <v>-251.14606430427543</v>
      </c>
      <c r="BW142"/>
      <c r="BX142">
        <f t="shared" si="81"/>
        <v>-251.14606430427543</v>
      </c>
      <c r="BY142">
        <f t="shared" si="51"/>
        <v>-0.28867864710300906</v>
      </c>
      <c r="BZ142">
        <v>0</v>
      </c>
      <c r="CA142">
        <v>0</v>
      </c>
      <c r="CB142">
        <v>0</v>
      </c>
      <c r="CC142">
        <v>0</v>
      </c>
      <c r="CD142">
        <v>0</v>
      </c>
      <c r="CE142">
        <v>0</v>
      </c>
      <c r="CF142">
        <v>0</v>
      </c>
      <c r="CG142">
        <v>0</v>
      </c>
      <c r="CH142">
        <v>0</v>
      </c>
      <c r="CI142">
        <v>0</v>
      </c>
      <c r="CJ142">
        <v>0</v>
      </c>
      <c r="CK142">
        <v>0</v>
      </c>
      <c r="CL142">
        <v>0</v>
      </c>
      <c r="CM142">
        <v>0</v>
      </c>
      <c r="CN142" t="str">
        <f t="shared" si="82"/>
        <v>refOK</v>
      </c>
      <c r="CO142">
        <f>IF($CN142="refNeedCorrection",BL142,BK142)</f>
        <v>455.74756079224562</v>
      </c>
      <c r="CP142">
        <f>IF($CN142="refNeedCorrection",BK142,BL142)</f>
        <v>656.10508355919967</v>
      </c>
      <c r="CQ142">
        <f t="shared" si="85"/>
        <v>869.98490128942274</v>
      </c>
      <c r="CR142">
        <f t="shared" si="86"/>
        <v>23.49403951814293</v>
      </c>
      <c r="CS142">
        <f t="shared" si="87"/>
        <v>-227.6520247861325</v>
      </c>
      <c r="CT142">
        <f t="shared" si="88"/>
        <v>-251.14606430427543</v>
      </c>
      <c r="CU142">
        <f t="shared" si="89"/>
        <v>-0.28867864710300906</v>
      </c>
      <c r="CV142" s="2">
        <f t="shared" si="90"/>
        <v>-10.689777894956359</v>
      </c>
      <c r="CW142" s="1" t="s">
        <v>234</v>
      </c>
      <c r="CX142" t="str">
        <f t="shared" si="91"/>
        <v>loc</v>
      </c>
      <c r="CY142" t="s">
        <v>280</v>
      </c>
      <c r="CZ142"/>
      <c r="DA142"/>
      <c r="DB142">
        <v>200</v>
      </c>
      <c r="DC142" t="str">
        <f t="shared" si="92"/>
        <v>+100</v>
      </c>
      <c r="DD142">
        <v>0</v>
      </c>
      <c r="DE142">
        <v>0</v>
      </c>
      <c r="DF142">
        <v>1</v>
      </c>
      <c r="DG142">
        <v>0</v>
      </c>
      <c r="DH142"/>
      <c r="DI142">
        <f t="shared" si="96"/>
        <v>1</v>
      </c>
      <c r="DJ142" t="str">
        <f t="shared" si="97"/>
        <v>PulpPaperInput</v>
      </c>
      <c r="DK142">
        <f t="shared" si="98"/>
        <v>0</v>
      </c>
      <c r="DL142">
        <f t="shared" si="99"/>
        <v>0</v>
      </c>
      <c r="DM142" t="str">
        <f t="shared" si="100"/>
        <v>Pulp/Paper</v>
      </c>
      <c r="DN142">
        <f t="shared" si="101"/>
        <v>0</v>
      </c>
      <c r="DO142">
        <v>0</v>
      </c>
      <c r="DP142">
        <v>1</v>
      </c>
      <c r="DQ142">
        <v>0</v>
      </c>
      <c r="DR142" t="s">
        <v>281</v>
      </c>
      <c r="DS142">
        <v>0</v>
      </c>
      <c r="DT142">
        <f t="shared" si="102"/>
        <v>1</v>
      </c>
      <c r="DU142" s="143" t="str">
        <f t="shared" si="103"/>
        <v>external DF used</v>
      </c>
      <c r="DV142">
        <v>0</v>
      </c>
      <c r="DW142">
        <v>1</v>
      </c>
      <c r="DX142">
        <v>1</v>
      </c>
      <c r="DY142">
        <v>1</v>
      </c>
      <c r="DZ142">
        <v>1</v>
      </c>
      <c r="EA142" s="143">
        <v>0</v>
      </c>
      <c r="EB142">
        <v>1</v>
      </c>
      <c r="EC142">
        <v>1</v>
      </c>
      <c r="ED142">
        <v>0</v>
      </c>
      <c r="EE142">
        <v>1</v>
      </c>
      <c r="EF142">
        <v>1</v>
      </c>
      <c r="EG142">
        <v>1</v>
      </c>
      <c r="EH142">
        <v>0</v>
      </c>
      <c r="EI142" s="2">
        <v>0</v>
      </c>
      <c r="EJ142" s="1"/>
      <c r="EK142" t="str">
        <f t="shared" si="93"/>
        <v>Whole sector</v>
      </c>
      <c r="EL142" t="str">
        <f t="shared" si="94"/>
        <v/>
      </c>
      <c r="EM142" s="2" t="str">
        <f t="shared" si="67"/>
        <v/>
      </c>
      <c r="EN142"/>
      <c r="EO142"/>
      <c r="EP142" t="str">
        <f>IF(ISNUMBER(BU142),IF(ABS(BU142-[3]QC_indicators!$B$2)&gt;3*[3]QC_indicators!$C$2,"C ratio",IF(ISNUMBER(BY142),IF(ABS(BY142-[3]QC_indicators!$B$1)&gt;3*[3]QC_indicators!$C$1,"DF","no"))),IF(ISNUMBER(BY142),IF(ABS(BY142-[3]QC_indicators!$B$1)&gt;3*[3]QC_indicators!$C$1,"DF","no")))</f>
        <v>C ratio</v>
      </c>
      <c r="EQ142" t="s">
        <v>286</v>
      </c>
      <c r="ER142"/>
      <c r="ES142"/>
      <c r="ET142" s="264" t="s">
        <v>3272</v>
      </c>
      <c r="EU142"/>
    </row>
    <row r="143" spans="1:151" s="139" customFormat="1" ht="15" hidden="1" customHeight="1">
      <c r="A143" s="1" t="s">
        <v>265</v>
      </c>
      <c r="B143" t="s">
        <v>266</v>
      </c>
      <c r="C143" t="s">
        <v>267</v>
      </c>
      <c r="D143" t="s">
        <v>268</v>
      </c>
      <c r="E143" t="s">
        <v>269</v>
      </c>
      <c r="F143" t="s">
        <v>270</v>
      </c>
      <c r="G143" t="s">
        <v>271</v>
      </c>
      <c r="H143" t="s">
        <v>254</v>
      </c>
      <c r="I143">
        <v>2022</v>
      </c>
      <c r="J143">
        <v>0</v>
      </c>
      <c r="K143" t="s">
        <v>272</v>
      </c>
      <c r="L143"/>
      <c r="M143" t="str">
        <f t="shared" si="95"/>
        <v>Aryapratama_2022</v>
      </c>
      <c r="N143" t="s">
        <v>222</v>
      </c>
      <c r="O143" s="145" t="s">
        <v>274</v>
      </c>
      <c r="P143"/>
      <c r="Q143" t="s">
        <v>224</v>
      </c>
      <c r="R143" s="262" t="s">
        <v>223</v>
      </c>
      <c r="S143" s="1" t="s">
        <v>314</v>
      </c>
      <c r="T143" t="s">
        <v>315</v>
      </c>
      <c r="U143" t="s">
        <v>316</v>
      </c>
      <c r="V143">
        <v>0</v>
      </c>
      <c r="W143">
        <v>0</v>
      </c>
      <c r="X143">
        <v>1</v>
      </c>
      <c r="Y143">
        <v>0</v>
      </c>
      <c r="Z143">
        <v>0</v>
      </c>
      <c r="AA143">
        <v>0</v>
      </c>
      <c r="AB143">
        <v>0</v>
      </c>
      <c r="AC143">
        <v>0</v>
      </c>
      <c r="AD143">
        <v>0</v>
      </c>
      <c r="AE143">
        <v>0</v>
      </c>
      <c r="AF143">
        <v>0</v>
      </c>
      <c r="AG143">
        <v>0</v>
      </c>
      <c r="AH143">
        <v>0</v>
      </c>
      <c r="AI143">
        <v>2</v>
      </c>
      <c r="AJ143">
        <v>0</v>
      </c>
      <c r="AK143">
        <v>0</v>
      </c>
      <c r="AL143">
        <v>0</v>
      </c>
      <c r="AM143">
        <v>0</v>
      </c>
      <c r="AN143">
        <v>0</v>
      </c>
      <c r="AO143">
        <v>0</v>
      </c>
      <c r="AP143">
        <v>0</v>
      </c>
      <c r="AQ143">
        <v>0</v>
      </c>
      <c r="AR143">
        <v>0</v>
      </c>
      <c r="AS143">
        <v>0</v>
      </c>
      <c r="AT143">
        <v>0</v>
      </c>
      <c r="AU143">
        <v>0</v>
      </c>
      <c r="AV143">
        <v>0</v>
      </c>
      <c r="AW143">
        <v>0</v>
      </c>
      <c r="AX143" s="141">
        <f t="shared" si="70"/>
        <v>2</v>
      </c>
      <c r="AY143" s="141">
        <f t="shared" si="71"/>
        <v>2</v>
      </c>
      <c r="AZ143">
        <f t="shared" si="72"/>
        <v>1</v>
      </c>
      <c r="BA143">
        <f t="shared" si="73"/>
        <v>1</v>
      </c>
      <c r="BB143">
        <f t="shared" si="74"/>
        <v>0</v>
      </c>
      <c r="BC143">
        <f t="shared" si="75"/>
        <v>0</v>
      </c>
      <c r="BD143">
        <f t="shared" si="76"/>
        <v>0</v>
      </c>
      <c r="BE143" t="str">
        <f t="array" ref="BE143">IF(AY143=1,INDEX($V$7:$AL$7,MATCH(TRUE,INDEX($V143:$AW143&lt;&gt;0,),0)),IF(AY143=0,INDEX($AM$7:$AW$7,MATCH(1,$AM143:$AW143,0)),IF(BF143="Multiple strategies","mixed drivers",IF(BF143="Supply chain","multiple supply","multiple silviculture"))))</f>
        <v>mixed drivers</v>
      </c>
      <c r="BF143" s="2" t="str" cm="1">
        <f t="array" ref="BF143">IF(COUNTIF(AZ143:BB143,"&lt;&gt;0")=1,INDEX($V$4:$AW$4,MATCH(TRUE,INDEX($V143:$AW143&lt;&gt;0,),0)),IF(COUNTIF(AZ143:BB143,"&lt;&gt;0")=0,INDEX($AM$4:$AW$4,MATCH(1,$AM143:$AW143,0)),"Multiple strategies"))</f>
        <v>Multiple strategies</v>
      </c>
      <c r="BG143" s="1" t="s">
        <v>229</v>
      </c>
      <c r="BH143" t="s">
        <v>277</v>
      </c>
      <c r="BI143" s="264" t="s">
        <v>3105</v>
      </c>
      <c r="BJ143" t="s">
        <v>278</v>
      </c>
      <c r="BK143">
        <v>591.32718343375518</v>
      </c>
      <c r="BL143">
        <v>757.78980054033161</v>
      </c>
      <c r="BM143">
        <f>BL143/BK143</f>
        <v>1.2815067897605368</v>
      </c>
      <c r="BN143">
        <f t="shared" si="77"/>
        <v>166.46261710657643</v>
      </c>
      <c r="BO143">
        <f t="shared" si="78"/>
        <v>722.80771648535142</v>
      </c>
      <c r="BP143" t="s">
        <v>232</v>
      </c>
      <c r="BQ143" s="302" t="s">
        <v>3106</v>
      </c>
      <c r="BR143" t="s">
        <v>279</v>
      </c>
      <c r="BS143">
        <v>-956.54496754124091</v>
      </c>
      <c r="BT143">
        <v>-1160.011828609915</v>
      </c>
      <c r="BU143" s="144">
        <f t="shared" si="79"/>
        <v>1.2127101892466983</v>
      </c>
      <c r="BV143">
        <f t="shared" si="80"/>
        <v>-203.46686106867412</v>
      </c>
      <c r="BW143"/>
      <c r="BX143">
        <f t="shared" si="81"/>
        <v>-203.46686106867412</v>
      </c>
      <c r="BY143">
        <f t="shared" si="51"/>
        <v>-0.2814951423845205</v>
      </c>
      <c r="BZ143">
        <v>0</v>
      </c>
      <c r="CA143">
        <v>0</v>
      </c>
      <c r="CB143">
        <v>0</v>
      </c>
      <c r="CC143">
        <v>0</v>
      </c>
      <c r="CD143">
        <v>0</v>
      </c>
      <c r="CE143">
        <v>0</v>
      </c>
      <c r="CF143">
        <v>0</v>
      </c>
      <c r="CG143">
        <v>0</v>
      </c>
      <c r="CH143">
        <v>0</v>
      </c>
      <c r="CI143">
        <v>0</v>
      </c>
      <c r="CJ143">
        <v>0</v>
      </c>
      <c r="CK143">
        <v>0</v>
      </c>
      <c r="CL143">
        <v>0</v>
      </c>
      <c r="CM143">
        <v>0</v>
      </c>
      <c r="CN143" t="str">
        <f t="shared" si="82"/>
        <v>refOK</v>
      </c>
      <c r="CO143">
        <f>IF($CN143="refNeedCorrection",BL143,BK143)</f>
        <v>591.32718343375518</v>
      </c>
      <c r="CP143">
        <f>IF($CN143="refNeedCorrection",BK143,BL143)</f>
        <v>757.78980054033161</v>
      </c>
      <c r="CQ143">
        <f t="shared" si="85"/>
        <v>722.80771648535142</v>
      </c>
      <c r="CR143">
        <f t="shared" si="86"/>
        <v>-956.54496754124091</v>
      </c>
      <c r="CS143">
        <f t="shared" si="87"/>
        <v>-1160.011828609915</v>
      </c>
      <c r="CT143">
        <f t="shared" si="88"/>
        <v>-203.46686106867412</v>
      </c>
      <c r="CU143">
        <f t="shared" si="89"/>
        <v>-0.2814951423845205</v>
      </c>
      <c r="CV143" s="2">
        <f t="shared" si="90"/>
        <v>-0.21271018924669818</v>
      </c>
      <c r="CW143" s="1" t="s">
        <v>234</v>
      </c>
      <c r="CX143" t="str">
        <f t="shared" si="91"/>
        <v>loc</v>
      </c>
      <c r="CY143" t="s">
        <v>280</v>
      </c>
      <c r="CZ143"/>
      <c r="DA143"/>
      <c r="DB143">
        <v>200</v>
      </c>
      <c r="DC143" t="str">
        <f t="shared" si="92"/>
        <v>+100</v>
      </c>
      <c r="DD143">
        <v>0</v>
      </c>
      <c r="DE143">
        <v>0</v>
      </c>
      <c r="DF143">
        <v>1</v>
      </c>
      <c r="DG143">
        <v>0</v>
      </c>
      <c r="DH143"/>
      <c r="DI143">
        <f t="shared" si="96"/>
        <v>1</v>
      </c>
      <c r="DJ143" t="str">
        <f t="shared" si="97"/>
        <v>PulpPaperInput</v>
      </c>
      <c r="DK143">
        <f t="shared" si="98"/>
        <v>0</v>
      </c>
      <c r="DL143">
        <f t="shared" si="99"/>
        <v>0</v>
      </c>
      <c r="DM143" t="str">
        <f t="shared" si="100"/>
        <v>Pulp/Paper</v>
      </c>
      <c r="DN143">
        <f t="shared" si="101"/>
        <v>0</v>
      </c>
      <c r="DO143">
        <v>0</v>
      </c>
      <c r="DP143">
        <v>1</v>
      </c>
      <c r="DQ143">
        <v>0</v>
      </c>
      <c r="DR143" t="s">
        <v>281</v>
      </c>
      <c r="DS143">
        <v>0</v>
      </c>
      <c r="DT143">
        <f t="shared" si="102"/>
        <v>1</v>
      </c>
      <c r="DU143" s="143" t="str">
        <f t="shared" si="103"/>
        <v>external DF used</v>
      </c>
      <c r="DV143">
        <v>0</v>
      </c>
      <c r="DW143">
        <v>1</v>
      </c>
      <c r="DX143">
        <v>1</v>
      </c>
      <c r="DY143">
        <v>1</v>
      </c>
      <c r="DZ143">
        <v>1</v>
      </c>
      <c r="EA143" s="143">
        <v>0</v>
      </c>
      <c r="EB143">
        <v>1</v>
      </c>
      <c r="EC143">
        <v>1</v>
      </c>
      <c r="ED143">
        <v>0</v>
      </c>
      <c r="EE143">
        <v>1</v>
      </c>
      <c r="EF143">
        <v>1</v>
      </c>
      <c r="EG143">
        <v>1</v>
      </c>
      <c r="EH143">
        <v>0</v>
      </c>
      <c r="EI143" s="2">
        <v>0</v>
      </c>
      <c r="EJ143" s="1"/>
      <c r="EK143" t="str">
        <f t="shared" si="93"/>
        <v>Whole sector</v>
      </c>
      <c r="EL143" t="str">
        <f t="shared" si="94"/>
        <v/>
      </c>
      <c r="EM143" s="2" t="str">
        <f t="shared" si="67"/>
        <v/>
      </c>
      <c r="EN143"/>
      <c r="EO143"/>
      <c r="EP143" t="str">
        <f>IF(ISNUMBER(BU143),IF(ABS(BU143-[3]QC_indicators!$B$2)&gt;3*[3]QC_indicators!$C$2,"C ratio",IF(ISNUMBER(BY143),IF(ABS(BY143-[3]QC_indicators!$B$1)&gt;3*[3]QC_indicators!$C$1,"DF","no"))),IF(ISNUMBER(BY143),IF(ABS(BY143-[3]QC_indicators!$B$1)&gt;3*[3]QC_indicators!$C$1,"DF","no")))</f>
        <v>no</v>
      </c>
      <c r="EQ143" t="s">
        <v>286</v>
      </c>
      <c r="ER143"/>
      <c r="ES143"/>
      <c r="ET143" s="264" t="s">
        <v>3272</v>
      </c>
      <c r="EU143"/>
    </row>
    <row r="144" spans="1:151" s="139" customFormat="1" ht="15" hidden="1" customHeight="1">
      <c r="A144" s="1" t="s">
        <v>265</v>
      </c>
      <c r="B144" t="s">
        <v>266</v>
      </c>
      <c r="C144" t="s">
        <v>267</v>
      </c>
      <c r="D144" t="s">
        <v>268</v>
      </c>
      <c r="E144" t="s">
        <v>269</v>
      </c>
      <c r="F144" t="s">
        <v>270</v>
      </c>
      <c r="G144" t="s">
        <v>271</v>
      </c>
      <c r="H144" t="s">
        <v>254</v>
      </c>
      <c r="I144">
        <v>2022</v>
      </c>
      <c r="J144">
        <v>0</v>
      </c>
      <c r="K144" t="s">
        <v>272</v>
      </c>
      <c r="L144"/>
      <c r="M144" t="str">
        <f t="shared" si="95"/>
        <v>Aryapratama_2022</v>
      </c>
      <c r="N144" t="s">
        <v>222</v>
      </c>
      <c r="O144" s="145" t="s">
        <v>274</v>
      </c>
      <c r="P144"/>
      <c r="Q144" t="s">
        <v>224</v>
      </c>
      <c r="R144" s="262" t="s">
        <v>223</v>
      </c>
      <c r="S144" s="263" t="s">
        <v>3104</v>
      </c>
      <c r="T144" t="s">
        <v>295</v>
      </c>
      <c r="U144" t="s">
        <v>289</v>
      </c>
      <c r="V144">
        <v>0</v>
      </c>
      <c r="W144">
        <v>0</v>
      </c>
      <c r="X144">
        <v>0</v>
      </c>
      <c r="Y144">
        <v>0</v>
      </c>
      <c r="Z144">
        <v>0</v>
      </c>
      <c r="AA144">
        <v>0</v>
      </c>
      <c r="AB144">
        <v>0</v>
      </c>
      <c r="AC144">
        <v>0</v>
      </c>
      <c r="AD144">
        <v>0</v>
      </c>
      <c r="AE144">
        <v>0</v>
      </c>
      <c r="AF144">
        <v>0</v>
      </c>
      <c r="AG144">
        <v>0</v>
      </c>
      <c r="AH144">
        <v>0</v>
      </c>
      <c r="AI144">
        <v>0</v>
      </c>
      <c r="AJ144">
        <v>0</v>
      </c>
      <c r="AK144">
        <v>1</v>
      </c>
      <c r="AL144">
        <v>0</v>
      </c>
      <c r="AM144">
        <v>0</v>
      </c>
      <c r="AN144">
        <v>0</v>
      </c>
      <c r="AO144">
        <v>0</v>
      </c>
      <c r="AP144">
        <v>0</v>
      </c>
      <c r="AQ144">
        <v>0</v>
      </c>
      <c r="AR144">
        <v>0</v>
      </c>
      <c r="AS144">
        <v>0</v>
      </c>
      <c r="AT144">
        <v>0</v>
      </c>
      <c r="AU144">
        <v>0</v>
      </c>
      <c r="AV144">
        <v>0</v>
      </c>
      <c r="AW144">
        <v>0</v>
      </c>
      <c r="AX144" s="141">
        <f t="shared" si="70"/>
        <v>1</v>
      </c>
      <c r="AY144" s="141">
        <f t="shared" si="71"/>
        <v>1</v>
      </c>
      <c r="AZ144">
        <f t="shared" si="72"/>
        <v>0</v>
      </c>
      <c r="BA144">
        <f t="shared" si="73"/>
        <v>0</v>
      </c>
      <c r="BB144">
        <f t="shared" si="74"/>
        <v>1</v>
      </c>
      <c r="BC144">
        <f t="shared" si="75"/>
        <v>0</v>
      </c>
      <c r="BD144">
        <f t="shared" si="76"/>
        <v>0</v>
      </c>
      <c r="BE144" t="str">
        <f t="array" ref="BE144">IF(AY144=1,INDEX($V$7:$AL$7,MATCH(TRUE,INDEX($V144:$AW144&lt;&gt;0,),0)),IF(AY144=0,INDEX($AM$7:$AW$7,MATCH(1,$AM144:$AW144,0)),IF(BF144="Multiple strategies","mixed drivers",IF(BF144="Supply chain","multiple supply","multiple silviculture"))))</f>
        <v>technologies/design switch</v>
      </c>
      <c r="BF144" s="2" t="str" cm="1">
        <f t="array" ref="BF144">IF(COUNTIF(AZ144:BB144,"&lt;&gt;0")=1,INDEX($V$4:$AW$4,MATCH(TRUE,INDEX($V144:$AW144&lt;&gt;0,),0)),IF(COUNTIF(AZ144:BB144,"&lt;&gt;0")=0,INDEX($AM$4:$AW$4,MATCH(1,$AM144:$AW144,0)),"Multiple strategies"))</f>
        <v>Technology</v>
      </c>
      <c r="BG144" s="1" t="s">
        <v>229</v>
      </c>
      <c r="BH144" t="s">
        <v>277</v>
      </c>
      <c r="BI144" s="264" t="s">
        <v>3105</v>
      </c>
      <c r="BJ144" t="s">
        <v>278</v>
      </c>
      <c r="BK144">
        <v>0</v>
      </c>
      <c r="BL144">
        <v>265.71098787093206</v>
      </c>
      <c r="BM144"/>
      <c r="BN144">
        <f t="shared" si="77"/>
        <v>265.71098787093206</v>
      </c>
      <c r="BO144">
        <f t="shared" si="78"/>
        <v>1153.76025996931</v>
      </c>
      <c r="BP144" t="s">
        <v>232</v>
      </c>
      <c r="BQ144" s="302" t="s">
        <v>3106</v>
      </c>
      <c r="BR144" t="s">
        <v>279</v>
      </c>
      <c r="BS144">
        <v>-559.28752781846788</v>
      </c>
      <c r="BT144">
        <v>-870.70033536556764</v>
      </c>
      <c r="BU144" s="144">
        <f t="shared" si="79"/>
        <v>1.556802703542814</v>
      </c>
      <c r="BV144">
        <f t="shared" si="80"/>
        <v>-311.41280754709976</v>
      </c>
      <c r="BW144"/>
      <c r="BX144">
        <f t="shared" si="81"/>
        <v>-311.41280754709976</v>
      </c>
      <c r="BY144">
        <f t="shared" si="51"/>
        <v>-0.26991119243037831</v>
      </c>
      <c r="BZ144">
        <v>0</v>
      </c>
      <c r="CA144">
        <v>0</v>
      </c>
      <c r="CB144">
        <v>0</v>
      </c>
      <c r="CC144">
        <v>0</v>
      </c>
      <c r="CD144">
        <v>0</v>
      </c>
      <c r="CE144">
        <v>0</v>
      </c>
      <c r="CF144">
        <v>0</v>
      </c>
      <c r="CG144">
        <v>0</v>
      </c>
      <c r="CH144">
        <v>0</v>
      </c>
      <c r="CI144">
        <v>0</v>
      </c>
      <c r="CJ144">
        <v>0</v>
      </c>
      <c r="CK144">
        <v>0</v>
      </c>
      <c r="CL144">
        <v>0</v>
      </c>
      <c r="CM144">
        <v>0</v>
      </c>
      <c r="CN144" t="str">
        <f t="shared" si="82"/>
        <v>refOK</v>
      </c>
      <c r="CO144">
        <f t="shared" ref="CO144:CO156" si="104">IF($CN144="refOK",$BK144,$BL144)</f>
        <v>0</v>
      </c>
      <c r="CP144">
        <f t="shared" ref="CP144:CP156" si="105">IF($CN144="refOK",$BL144,$BK144)</f>
        <v>265.71098787093206</v>
      </c>
      <c r="CQ144">
        <f t="shared" si="85"/>
        <v>1153.76025996931</v>
      </c>
      <c r="CR144">
        <f t="shared" si="86"/>
        <v>-559.28752781846788</v>
      </c>
      <c r="CS144">
        <f t="shared" si="87"/>
        <v>-870.70033536556764</v>
      </c>
      <c r="CT144">
        <f t="shared" si="88"/>
        <v>-311.41280754709976</v>
      </c>
      <c r="CU144">
        <f t="shared" si="89"/>
        <v>-0.26991119243037831</v>
      </c>
      <c r="CV144" s="2">
        <f t="shared" si="90"/>
        <v>-0.55680270354281414</v>
      </c>
      <c r="CW144" s="1" t="s">
        <v>234</v>
      </c>
      <c r="CX144" t="str">
        <f t="shared" si="91"/>
        <v>loc</v>
      </c>
      <c r="CY144" t="s">
        <v>280</v>
      </c>
      <c r="CZ144"/>
      <c r="DA144"/>
      <c r="DB144">
        <v>50</v>
      </c>
      <c r="DC144" t="str">
        <f t="shared" si="92"/>
        <v>31-70</v>
      </c>
      <c r="DD144">
        <v>0</v>
      </c>
      <c r="DE144">
        <v>0</v>
      </c>
      <c r="DF144">
        <v>0</v>
      </c>
      <c r="DG144">
        <v>1</v>
      </c>
      <c r="DH144"/>
      <c r="DI144">
        <f t="shared" si="96"/>
        <v>1</v>
      </c>
      <c r="DJ144" t="str">
        <f t="shared" si="97"/>
        <v>TimberInput</v>
      </c>
      <c r="DK144">
        <f t="shared" si="98"/>
        <v>0</v>
      </c>
      <c r="DL144">
        <f t="shared" si="99"/>
        <v>0</v>
      </c>
      <c r="DM144">
        <f t="shared" si="100"/>
        <v>0</v>
      </c>
      <c r="DN144" t="str">
        <f t="shared" si="101"/>
        <v>Timber</v>
      </c>
      <c r="DO144">
        <v>0</v>
      </c>
      <c r="DP144">
        <v>1</v>
      </c>
      <c r="DQ144">
        <v>0</v>
      </c>
      <c r="DR144" t="s">
        <v>292</v>
      </c>
      <c r="DS144">
        <v>0</v>
      </c>
      <c r="DT144">
        <f t="shared" si="102"/>
        <v>1</v>
      </c>
      <c r="DU144" s="143" t="str">
        <f t="shared" si="103"/>
        <v>external DF used</v>
      </c>
      <c r="DV144">
        <v>0</v>
      </c>
      <c r="DW144">
        <v>1</v>
      </c>
      <c r="DX144">
        <v>1</v>
      </c>
      <c r="DY144">
        <v>1</v>
      </c>
      <c r="DZ144">
        <v>1</v>
      </c>
      <c r="EA144" s="143">
        <v>0</v>
      </c>
      <c r="EB144">
        <v>1</v>
      </c>
      <c r="EC144">
        <v>1</v>
      </c>
      <c r="ED144">
        <v>0</v>
      </c>
      <c r="EE144">
        <v>1</v>
      </c>
      <c r="EF144">
        <v>1</v>
      </c>
      <c r="EG144">
        <v>1</v>
      </c>
      <c r="EH144">
        <v>0</v>
      </c>
      <c r="EI144" s="2">
        <v>0</v>
      </c>
      <c r="EJ144" s="1"/>
      <c r="EK144" t="str">
        <f t="shared" si="93"/>
        <v>Whole sector</v>
      </c>
      <c r="EL144" t="str">
        <f t="shared" si="94"/>
        <v/>
      </c>
      <c r="EM144" s="2" t="str">
        <f t="shared" si="67"/>
        <v/>
      </c>
      <c r="EN144"/>
      <c r="EO144"/>
      <c r="EP144" t="str">
        <f>IF(ISNUMBER(BU144),IF(ABS(BU144-[3]QC_indicators!$B$2)&gt;3*[3]QC_indicators!$C$2,"C ratio",IF(ISNUMBER(BY144),IF(ABS(BY144-[3]QC_indicators!$B$1)&gt;3*[3]QC_indicators!$C$1,"DF","no"))),IF(ISNUMBER(BY144),IF(ABS(BY144-[3]QC_indicators!$B$1)&gt;3*[3]QC_indicators!$C$1,"DF","no")))</f>
        <v>no</v>
      </c>
      <c r="EQ144" t="s">
        <v>286</v>
      </c>
      <c r="ER144" t="s">
        <v>296</v>
      </c>
      <c r="ES144"/>
      <c r="ET144" s="264" t="s">
        <v>3272</v>
      </c>
      <c r="EU144"/>
    </row>
    <row r="145" spans="1:151" s="139" customFormat="1" ht="15" hidden="1" customHeight="1">
      <c r="A145" s="1" t="s">
        <v>265</v>
      </c>
      <c r="B145" t="s">
        <v>266</v>
      </c>
      <c r="C145" t="s">
        <v>267</v>
      </c>
      <c r="D145" t="s">
        <v>268</v>
      </c>
      <c r="E145" t="s">
        <v>269</v>
      </c>
      <c r="F145" t="s">
        <v>270</v>
      </c>
      <c r="G145" t="s">
        <v>271</v>
      </c>
      <c r="H145" t="s">
        <v>254</v>
      </c>
      <c r="I145">
        <v>2022</v>
      </c>
      <c r="J145">
        <v>0</v>
      </c>
      <c r="K145" t="s">
        <v>272</v>
      </c>
      <c r="L145"/>
      <c r="M145" t="str">
        <f t="shared" si="95"/>
        <v>Aryapratama_2022</v>
      </c>
      <c r="N145" t="s">
        <v>222</v>
      </c>
      <c r="O145" s="145" t="s">
        <v>274</v>
      </c>
      <c r="P145"/>
      <c r="Q145" t="s">
        <v>224</v>
      </c>
      <c r="R145" s="262" t="s">
        <v>223</v>
      </c>
      <c r="S145" s="263" t="s">
        <v>3104</v>
      </c>
      <c r="T145" t="s">
        <v>297</v>
      </c>
      <c r="U145" t="s">
        <v>298</v>
      </c>
      <c r="V145">
        <v>0</v>
      </c>
      <c r="W145">
        <v>0</v>
      </c>
      <c r="X145">
        <v>0</v>
      </c>
      <c r="Y145">
        <v>0</v>
      </c>
      <c r="Z145">
        <v>0</v>
      </c>
      <c r="AA145">
        <v>0</v>
      </c>
      <c r="AB145">
        <v>0</v>
      </c>
      <c r="AC145">
        <v>0</v>
      </c>
      <c r="AD145">
        <v>0</v>
      </c>
      <c r="AE145">
        <v>0</v>
      </c>
      <c r="AF145">
        <v>0</v>
      </c>
      <c r="AG145">
        <v>0</v>
      </c>
      <c r="AH145">
        <v>0</v>
      </c>
      <c r="AI145">
        <v>0</v>
      </c>
      <c r="AJ145">
        <v>0</v>
      </c>
      <c r="AK145">
        <v>1</v>
      </c>
      <c r="AL145">
        <v>0</v>
      </c>
      <c r="AM145">
        <v>0</v>
      </c>
      <c r="AN145">
        <v>0</v>
      </c>
      <c r="AO145">
        <v>0</v>
      </c>
      <c r="AP145">
        <v>0</v>
      </c>
      <c r="AQ145">
        <v>0</v>
      </c>
      <c r="AR145">
        <v>0</v>
      </c>
      <c r="AS145">
        <v>0</v>
      </c>
      <c r="AT145">
        <v>0</v>
      </c>
      <c r="AU145">
        <v>0</v>
      </c>
      <c r="AV145">
        <v>0</v>
      </c>
      <c r="AW145">
        <v>0</v>
      </c>
      <c r="AX145" s="141">
        <f t="shared" si="70"/>
        <v>1</v>
      </c>
      <c r="AY145" s="141">
        <f t="shared" si="71"/>
        <v>1</v>
      </c>
      <c r="AZ145">
        <f t="shared" si="72"/>
        <v>0</v>
      </c>
      <c r="BA145">
        <f t="shared" si="73"/>
        <v>0</v>
      </c>
      <c r="BB145">
        <f t="shared" si="74"/>
        <v>1</v>
      </c>
      <c r="BC145">
        <f t="shared" si="75"/>
        <v>0</v>
      </c>
      <c r="BD145">
        <f t="shared" si="76"/>
        <v>0</v>
      </c>
      <c r="BE145" t="str">
        <f t="array" ref="BE145">IF(AY145=1,INDEX($V$7:$AL$7,MATCH(TRUE,INDEX($V145:$AW145&lt;&gt;0,),0)),IF(AY145=0,INDEX($AM$7:$AW$7,MATCH(1,$AM145:$AW145,0)),IF(BF145="Multiple strategies","mixed drivers",IF(BF145="Supply chain","multiple supply","multiple silviculture"))))</f>
        <v>technologies/design switch</v>
      </c>
      <c r="BF145" s="2" t="str" cm="1">
        <f t="array" ref="BF145">IF(COUNTIF(AZ145:BB145,"&lt;&gt;0")=1,INDEX($V$4:$AW$4,MATCH(TRUE,INDEX($V145:$AW145&lt;&gt;0,),0)),IF(COUNTIF(AZ145:BB145,"&lt;&gt;0")=0,INDEX($AM$4:$AW$4,MATCH(1,$AM145:$AW145,0)),"Multiple strategies"))</f>
        <v>Technology</v>
      </c>
      <c r="BG145" s="1" t="s">
        <v>229</v>
      </c>
      <c r="BH145" t="s">
        <v>277</v>
      </c>
      <c r="BI145" s="264" t="s">
        <v>3105</v>
      </c>
      <c r="BJ145" t="s">
        <v>278</v>
      </c>
      <c r="BK145">
        <v>0</v>
      </c>
      <c r="BL145">
        <v>193.54702102312467</v>
      </c>
      <c r="BM145"/>
      <c r="BN145">
        <f t="shared" si="77"/>
        <v>193.54702102312467</v>
      </c>
      <c r="BO145">
        <f t="shared" si="78"/>
        <v>840.41259671352441</v>
      </c>
      <c r="BP145" t="s">
        <v>232</v>
      </c>
      <c r="BQ145" s="302" t="s">
        <v>3106</v>
      </c>
      <c r="BR145" t="s">
        <v>279</v>
      </c>
      <c r="BS145">
        <v>-354.25011993341019</v>
      </c>
      <c r="BT145">
        <v>-567.94520592120887</v>
      </c>
      <c r="BU145" s="144">
        <f t="shared" si="79"/>
        <v>1.6032322191675412</v>
      </c>
      <c r="BV145">
        <f t="shared" si="80"/>
        <v>-213.69508598779868</v>
      </c>
      <c r="BW145"/>
      <c r="BX145">
        <f t="shared" si="81"/>
        <v>-213.69508598779868</v>
      </c>
      <c r="BY145">
        <f t="shared" si="51"/>
        <v>-0.25427401591011844</v>
      </c>
      <c r="BZ145">
        <v>0</v>
      </c>
      <c r="CA145">
        <v>0</v>
      </c>
      <c r="CB145">
        <v>0</v>
      </c>
      <c r="CC145">
        <v>0</v>
      </c>
      <c r="CD145">
        <v>0</v>
      </c>
      <c r="CE145">
        <v>0</v>
      </c>
      <c r="CF145">
        <v>0</v>
      </c>
      <c r="CG145">
        <v>0</v>
      </c>
      <c r="CH145">
        <v>0</v>
      </c>
      <c r="CI145">
        <v>0</v>
      </c>
      <c r="CJ145">
        <v>0</v>
      </c>
      <c r="CK145">
        <v>0</v>
      </c>
      <c r="CL145">
        <v>0</v>
      </c>
      <c r="CM145">
        <v>0</v>
      </c>
      <c r="CN145" t="str">
        <f t="shared" si="82"/>
        <v>refOK</v>
      </c>
      <c r="CO145">
        <f t="shared" si="104"/>
        <v>0</v>
      </c>
      <c r="CP145">
        <f t="shared" si="105"/>
        <v>193.54702102312467</v>
      </c>
      <c r="CQ145">
        <f t="shared" si="85"/>
        <v>840.41259671352441</v>
      </c>
      <c r="CR145">
        <f t="shared" si="86"/>
        <v>-354.25011993341019</v>
      </c>
      <c r="CS145">
        <f t="shared" si="87"/>
        <v>-567.94520592120887</v>
      </c>
      <c r="CT145">
        <f t="shared" si="88"/>
        <v>-213.69508598779868</v>
      </c>
      <c r="CU145">
        <f t="shared" si="89"/>
        <v>-0.25427401591011844</v>
      </c>
      <c r="CV145" s="2">
        <f t="shared" si="90"/>
        <v>-0.60323221916754133</v>
      </c>
      <c r="CW145" s="1" t="s">
        <v>234</v>
      </c>
      <c r="CX145" t="str">
        <f t="shared" si="91"/>
        <v>loc</v>
      </c>
      <c r="CY145" t="s">
        <v>280</v>
      </c>
      <c r="CZ145"/>
      <c r="DA145"/>
      <c r="DB145">
        <v>100</v>
      </c>
      <c r="DC145" t="str">
        <f t="shared" si="92"/>
        <v>71-100</v>
      </c>
      <c r="DD145">
        <v>0</v>
      </c>
      <c r="DE145">
        <v>0</v>
      </c>
      <c r="DF145">
        <v>0</v>
      </c>
      <c r="DG145">
        <v>1</v>
      </c>
      <c r="DH145"/>
      <c r="DI145">
        <f t="shared" si="96"/>
        <v>1</v>
      </c>
      <c r="DJ145" t="str">
        <f t="shared" si="97"/>
        <v>TimberInput</v>
      </c>
      <c r="DK145">
        <f t="shared" si="98"/>
        <v>0</v>
      </c>
      <c r="DL145">
        <f t="shared" si="99"/>
        <v>0</v>
      </c>
      <c r="DM145">
        <f t="shared" si="100"/>
        <v>0</v>
      </c>
      <c r="DN145" t="str">
        <f t="shared" si="101"/>
        <v>Timber</v>
      </c>
      <c r="DO145">
        <v>0</v>
      </c>
      <c r="DP145">
        <v>1</v>
      </c>
      <c r="DQ145">
        <v>0</v>
      </c>
      <c r="DR145" t="s">
        <v>281</v>
      </c>
      <c r="DS145">
        <v>0</v>
      </c>
      <c r="DT145">
        <f t="shared" si="102"/>
        <v>1</v>
      </c>
      <c r="DU145" s="143" t="str">
        <f t="shared" si="103"/>
        <v>external DF used</v>
      </c>
      <c r="DV145">
        <v>0</v>
      </c>
      <c r="DW145">
        <v>1</v>
      </c>
      <c r="DX145">
        <v>1</v>
      </c>
      <c r="DY145">
        <v>1</v>
      </c>
      <c r="DZ145">
        <v>1</v>
      </c>
      <c r="EA145" s="143">
        <v>0</v>
      </c>
      <c r="EB145">
        <v>1</v>
      </c>
      <c r="EC145">
        <v>1</v>
      </c>
      <c r="ED145">
        <v>0</v>
      </c>
      <c r="EE145">
        <v>1</v>
      </c>
      <c r="EF145">
        <v>1</v>
      </c>
      <c r="EG145">
        <v>1</v>
      </c>
      <c r="EH145">
        <v>0</v>
      </c>
      <c r="EI145" s="2">
        <v>0</v>
      </c>
      <c r="EJ145" s="1"/>
      <c r="EK145" t="str">
        <f t="shared" si="93"/>
        <v>Whole sector</v>
      </c>
      <c r="EL145" t="str">
        <f t="shared" si="94"/>
        <v/>
      </c>
      <c r="EM145" s="2" t="str">
        <f t="shared" si="67"/>
        <v/>
      </c>
      <c r="EN145"/>
      <c r="EO145"/>
      <c r="EP145" t="str">
        <f>IF(ISNUMBER(BU145),IF(ABS(BU145-[3]QC_indicators!$B$2)&gt;3*[3]QC_indicators!$C$2,"C ratio",IF(ISNUMBER(BY145),IF(ABS(BY145-[3]QC_indicators!$B$1)&gt;3*[3]QC_indicators!$C$1,"DF","no"))),IF(ISNUMBER(BY145),IF(ABS(BY145-[3]QC_indicators!$B$1)&gt;3*[3]QC_indicators!$C$1,"DF","no")))</f>
        <v>no</v>
      </c>
      <c r="EQ145" t="s">
        <v>286</v>
      </c>
      <c r="ER145"/>
      <c r="ES145"/>
      <c r="ET145" s="264" t="s">
        <v>3272</v>
      </c>
      <c r="EU145"/>
    </row>
    <row r="146" spans="1:151" s="139" customFormat="1" ht="15" hidden="1" customHeight="1">
      <c r="A146" s="1" t="s">
        <v>265</v>
      </c>
      <c r="B146" t="s">
        <v>266</v>
      </c>
      <c r="C146" t="s">
        <v>267</v>
      </c>
      <c r="D146" t="s">
        <v>268</v>
      </c>
      <c r="E146" t="s">
        <v>269</v>
      </c>
      <c r="F146" t="s">
        <v>270</v>
      </c>
      <c r="G146" t="s">
        <v>271</v>
      </c>
      <c r="H146" t="s">
        <v>254</v>
      </c>
      <c r="I146">
        <v>2022</v>
      </c>
      <c r="J146">
        <v>0</v>
      </c>
      <c r="K146" t="s">
        <v>272</v>
      </c>
      <c r="L146"/>
      <c r="M146" t="str">
        <f t="shared" si="95"/>
        <v>Aryapratama_2022</v>
      </c>
      <c r="N146" t="s">
        <v>222</v>
      </c>
      <c r="O146" s="145" t="s">
        <v>274</v>
      </c>
      <c r="P146"/>
      <c r="Q146" t="s">
        <v>224</v>
      </c>
      <c r="R146" s="262" t="s">
        <v>223</v>
      </c>
      <c r="S146" s="263" t="s">
        <v>3104</v>
      </c>
      <c r="T146" t="s">
        <v>328</v>
      </c>
      <c r="U146" t="s">
        <v>320</v>
      </c>
      <c r="V146">
        <v>0</v>
      </c>
      <c r="W146">
        <v>0</v>
      </c>
      <c r="X146">
        <v>0</v>
      </c>
      <c r="Y146">
        <v>0</v>
      </c>
      <c r="Z146">
        <v>0</v>
      </c>
      <c r="AA146">
        <v>0</v>
      </c>
      <c r="AB146">
        <v>0</v>
      </c>
      <c r="AC146">
        <v>0</v>
      </c>
      <c r="AD146">
        <v>0</v>
      </c>
      <c r="AE146">
        <v>0</v>
      </c>
      <c r="AF146">
        <v>0</v>
      </c>
      <c r="AG146">
        <v>0</v>
      </c>
      <c r="AH146">
        <v>0</v>
      </c>
      <c r="AI146">
        <v>0</v>
      </c>
      <c r="AJ146">
        <v>0</v>
      </c>
      <c r="AK146">
        <v>1</v>
      </c>
      <c r="AL146">
        <v>0</v>
      </c>
      <c r="AM146">
        <v>0</v>
      </c>
      <c r="AN146">
        <v>0</v>
      </c>
      <c r="AO146">
        <v>0</v>
      </c>
      <c r="AP146">
        <v>0</v>
      </c>
      <c r="AQ146">
        <v>0</v>
      </c>
      <c r="AR146">
        <v>0</v>
      </c>
      <c r="AS146">
        <v>0</v>
      </c>
      <c r="AT146">
        <v>0</v>
      </c>
      <c r="AU146">
        <v>0</v>
      </c>
      <c r="AV146">
        <v>0</v>
      </c>
      <c r="AW146">
        <v>0</v>
      </c>
      <c r="AX146" s="141">
        <f t="shared" si="70"/>
        <v>1</v>
      </c>
      <c r="AY146" s="141">
        <f t="shared" si="71"/>
        <v>1</v>
      </c>
      <c r="AZ146">
        <f t="shared" si="72"/>
        <v>0</v>
      </c>
      <c r="BA146">
        <f t="shared" si="73"/>
        <v>0</v>
      </c>
      <c r="BB146">
        <f t="shared" si="74"/>
        <v>1</v>
      </c>
      <c r="BC146">
        <f t="shared" si="75"/>
        <v>0</v>
      </c>
      <c r="BD146">
        <f t="shared" si="76"/>
        <v>0</v>
      </c>
      <c r="BE146" t="str">
        <f t="array" ref="BE146">IF(AY146=1,INDEX($V$7:$AL$7,MATCH(TRUE,INDEX($V146:$AW146&lt;&gt;0,),0)),IF(AY146=0,INDEX($AM$7:$AW$7,MATCH(1,$AM146:$AW146,0)),IF(BF146="Multiple strategies","mixed drivers",IF(BF146="Supply chain","multiple supply","multiple silviculture"))))</f>
        <v>technologies/design switch</v>
      </c>
      <c r="BF146" s="2" t="str" cm="1">
        <f t="array" ref="BF146">IF(COUNTIF(AZ146:BB146,"&lt;&gt;0")=1,INDEX($V$4:$AW$4,MATCH(TRUE,INDEX($V146:$AW146&lt;&gt;0,),0)),IF(COUNTIF(AZ146:BB146,"&lt;&gt;0")=0,INDEX($AM$4:$AW$4,MATCH(1,$AM146:$AW146,0)),"Multiple strategies"))</f>
        <v>Technology</v>
      </c>
      <c r="BG146" s="1" t="s">
        <v>229</v>
      </c>
      <c r="BH146" t="s">
        <v>277</v>
      </c>
      <c r="BI146" s="264" t="s">
        <v>3105</v>
      </c>
      <c r="BJ146" t="s">
        <v>278</v>
      </c>
      <c r="BK146">
        <v>0</v>
      </c>
      <c r="BL146">
        <v>180.77283018867931</v>
      </c>
      <c r="BM146"/>
      <c r="BN146">
        <f t="shared" si="77"/>
        <v>180.77283018867931</v>
      </c>
      <c r="BO146">
        <f t="shared" si="78"/>
        <v>784.94498562170781</v>
      </c>
      <c r="BP146" t="s">
        <v>232</v>
      </c>
      <c r="BQ146" s="302" t="s">
        <v>3106</v>
      </c>
      <c r="BR146" t="s">
        <v>279</v>
      </c>
      <c r="BS146">
        <v>-389.94196865720068</v>
      </c>
      <c r="BT146">
        <v>-588.42624598329485</v>
      </c>
      <c r="BU146" s="144">
        <f t="shared" si="79"/>
        <v>1.5090097842240273</v>
      </c>
      <c r="BV146">
        <f t="shared" si="80"/>
        <v>-198.48427732609417</v>
      </c>
      <c r="BW146"/>
      <c r="BX146">
        <f t="shared" si="81"/>
        <v>-198.48427732609417</v>
      </c>
      <c r="BY146">
        <f t="shared" si="51"/>
        <v>-0.25286393436717947</v>
      </c>
      <c r="BZ146">
        <v>0</v>
      </c>
      <c r="CA146">
        <v>0</v>
      </c>
      <c r="CB146">
        <v>0</v>
      </c>
      <c r="CC146">
        <v>0</v>
      </c>
      <c r="CD146">
        <v>0</v>
      </c>
      <c r="CE146">
        <v>0</v>
      </c>
      <c r="CF146">
        <v>0</v>
      </c>
      <c r="CG146">
        <v>0</v>
      </c>
      <c r="CH146">
        <v>0</v>
      </c>
      <c r="CI146">
        <v>0</v>
      </c>
      <c r="CJ146">
        <v>0</v>
      </c>
      <c r="CK146">
        <v>0</v>
      </c>
      <c r="CL146">
        <v>0</v>
      </c>
      <c r="CM146">
        <v>0</v>
      </c>
      <c r="CN146" t="str">
        <f t="shared" si="82"/>
        <v>refOK</v>
      </c>
      <c r="CO146">
        <f t="shared" si="104"/>
        <v>0</v>
      </c>
      <c r="CP146">
        <f t="shared" si="105"/>
        <v>180.77283018867931</v>
      </c>
      <c r="CQ146">
        <f t="shared" si="85"/>
        <v>784.94498562170781</v>
      </c>
      <c r="CR146">
        <f t="shared" si="86"/>
        <v>-389.94196865720068</v>
      </c>
      <c r="CS146">
        <f t="shared" si="87"/>
        <v>-588.42624598329485</v>
      </c>
      <c r="CT146">
        <f t="shared" si="88"/>
        <v>-198.48427732609417</v>
      </c>
      <c r="CU146">
        <f t="shared" si="89"/>
        <v>-0.25286393436717947</v>
      </c>
      <c r="CV146" s="2">
        <f t="shared" si="90"/>
        <v>-0.50900978422402743</v>
      </c>
      <c r="CW146" s="1" t="s">
        <v>234</v>
      </c>
      <c r="CX146" t="str">
        <f t="shared" si="91"/>
        <v>loc</v>
      </c>
      <c r="CY146" t="s">
        <v>280</v>
      </c>
      <c r="CZ146"/>
      <c r="DA146"/>
      <c r="DB146">
        <v>100</v>
      </c>
      <c r="DC146" t="str">
        <f t="shared" si="92"/>
        <v>71-100</v>
      </c>
      <c r="DD146">
        <v>0</v>
      </c>
      <c r="DE146">
        <v>1</v>
      </c>
      <c r="DF146">
        <v>0</v>
      </c>
      <c r="DG146">
        <v>0</v>
      </c>
      <c r="DH146"/>
      <c r="DI146">
        <f t="shared" si="96"/>
        <v>1</v>
      </c>
      <c r="DJ146" t="str">
        <f t="shared" si="97"/>
        <v>EnergyInput</v>
      </c>
      <c r="DK146">
        <f t="shared" si="98"/>
        <v>0</v>
      </c>
      <c r="DL146" t="str">
        <f t="shared" si="99"/>
        <v>Energy</v>
      </c>
      <c r="DM146">
        <f t="shared" si="100"/>
        <v>0</v>
      </c>
      <c r="DN146">
        <f t="shared" si="101"/>
        <v>0</v>
      </c>
      <c r="DO146">
        <v>0</v>
      </c>
      <c r="DP146">
        <v>1</v>
      </c>
      <c r="DQ146" t="s">
        <v>304</v>
      </c>
      <c r="DR146">
        <v>0</v>
      </c>
      <c r="DS146">
        <v>0</v>
      </c>
      <c r="DT146">
        <f t="shared" si="102"/>
        <v>1</v>
      </c>
      <c r="DU146" s="143" t="str">
        <f t="shared" si="103"/>
        <v>external DF used</v>
      </c>
      <c r="DV146">
        <v>0</v>
      </c>
      <c r="DW146">
        <v>1</v>
      </c>
      <c r="DX146">
        <v>1</v>
      </c>
      <c r="DY146">
        <v>1</v>
      </c>
      <c r="DZ146">
        <v>1</v>
      </c>
      <c r="EA146" s="143">
        <v>0</v>
      </c>
      <c r="EB146">
        <v>1</v>
      </c>
      <c r="EC146">
        <v>1</v>
      </c>
      <c r="ED146">
        <v>0</v>
      </c>
      <c r="EE146">
        <v>1</v>
      </c>
      <c r="EF146">
        <v>1</v>
      </c>
      <c r="EG146">
        <v>1</v>
      </c>
      <c r="EH146">
        <v>0</v>
      </c>
      <c r="EI146" s="2">
        <v>0</v>
      </c>
      <c r="EJ146" s="1"/>
      <c r="EK146" t="str">
        <f t="shared" si="93"/>
        <v>Whole sector</v>
      </c>
      <c r="EL146" t="str">
        <f t="shared" si="94"/>
        <v/>
      </c>
      <c r="EM146" s="2" t="str">
        <f t="shared" si="67"/>
        <v/>
      </c>
      <c r="EN146"/>
      <c r="EO146"/>
      <c r="EP146" t="str">
        <f>IF(ISNUMBER(BU146),IF(ABS(BU146-[3]QC_indicators!$B$2)&gt;3*[3]QC_indicators!$C$2,"C ratio",IF(ISNUMBER(BY146),IF(ABS(BY146-[3]QC_indicators!$B$1)&gt;3*[3]QC_indicators!$C$1,"DF","no"))),IF(ISNUMBER(BY146),IF(ABS(BY146-[3]QC_indicators!$B$1)&gt;3*[3]QC_indicators!$C$1,"DF","no")))</f>
        <v>no</v>
      </c>
      <c r="EQ146" t="s">
        <v>286</v>
      </c>
      <c r="ER146"/>
      <c r="ES146"/>
      <c r="ET146" s="264" t="s">
        <v>3272</v>
      </c>
      <c r="EU146"/>
    </row>
    <row r="147" spans="1:151" s="139" customFormat="1" ht="15" hidden="1" customHeight="1">
      <c r="A147" s="1" t="s">
        <v>265</v>
      </c>
      <c r="B147" t="s">
        <v>266</v>
      </c>
      <c r="C147" t="s">
        <v>267</v>
      </c>
      <c r="D147" t="s">
        <v>268</v>
      </c>
      <c r="E147" t="s">
        <v>269</v>
      </c>
      <c r="F147" t="s">
        <v>270</v>
      </c>
      <c r="G147" t="s">
        <v>271</v>
      </c>
      <c r="H147" t="s">
        <v>254</v>
      </c>
      <c r="I147">
        <v>2022</v>
      </c>
      <c r="J147">
        <v>0</v>
      </c>
      <c r="K147" t="s">
        <v>272</v>
      </c>
      <c r="L147"/>
      <c r="M147" t="str">
        <f t="shared" si="95"/>
        <v>Aryapratama_2022</v>
      </c>
      <c r="N147" t="s">
        <v>222</v>
      </c>
      <c r="O147" s="145" t="s">
        <v>274</v>
      </c>
      <c r="P147"/>
      <c r="Q147" t="s">
        <v>224</v>
      </c>
      <c r="R147" s="262" t="s">
        <v>223</v>
      </c>
      <c r="S147" s="263" t="s">
        <v>3104</v>
      </c>
      <c r="T147" t="s">
        <v>328</v>
      </c>
      <c r="U147" t="s">
        <v>320</v>
      </c>
      <c r="V147">
        <v>0</v>
      </c>
      <c r="W147">
        <v>0</v>
      </c>
      <c r="X147">
        <v>0</v>
      </c>
      <c r="Y147">
        <v>0</v>
      </c>
      <c r="Z147">
        <v>0</v>
      </c>
      <c r="AA147">
        <v>0</v>
      </c>
      <c r="AB147">
        <v>0</v>
      </c>
      <c r="AC147">
        <v>0</v>
      </c>
      <c r="AD147">
        <v>0</v>
      </c>
      <c r="AE147">
        <v>0</v>
      </c>
      <c r="AF147">
        <v>0</v>
      </c>
      <c r="AG147">
        <v>0</v>
      </c>
      <c r="AH147">
        <v>0</v>
      </c>
      <c r="AI147">
        <v>0</v>
      </c>
      <c r="AJ147">
        <v>0</v>
      </c>
      <c r="AK147">
        <v>1</v>
      </c>
      <c r="AL147">
        <v>0</v>
      </c>
      <c r="AM147">
        <v>0</v>
      </c>
      <c r="AN147">
        <v>0</v>
      </c>
      <c r="AO147">
        <v>0</v>
      </c>
      <c r="AP147">
        <v>0</v>
      </c>
      <c r="AQ147">
        <v>0</v>
      </c>
      <c r="AR147">
        <v>0</v>
      </c>
      <c r="AS147">
        <v>0</v>
      </c>
      <c r="AT147">
        <v>0</v>
      </c>
      <c r="AU147">
        <v>0</v>
      </c>
      <c r="AV147">
        <v>0</v>
      </c>
      <c r="AW147">
        <v>0</v>
      </c>
      <c r="AX147" s="141">
        <f t="shared" si="70"/>
        <v>1</v>
      </c>
      <c r="AY147" s="141">
        <f t="shared" si="71"/>
        <v>1</v>
      </c>
      <c r="AZ147">
        <f t="shared" si="72"/>
        <v>0</v>
      </c>
      <c r="BA147">
        <f t="shared" si="73"/>
        <v>0</v>
      </c>
      <c r="BB147">
        <f t="shared" si="74"/>
        <v>1</v>
      </c>
      <c r="BC147">
        <f t="shared" si="75"/>
        <v>0</v>
      </c>
      <c r="BD147">
        <f t="shared" si="76"/>
        <v>0</v>
      </c>
      <c r="BE147" t="str">
        <f t="array" ref="BE147">IF(AY147=1,INDEX($V$7:$AL$7,MATCH(TRUE,INDEX($V147:$AW147&lt;&gt;0,),0)),IF(AY147=0,INDEX($AM$7:$AW$7,MATCH(1,$AM147:$AW147,0)),IF(BF147="Multiple strategies","mixed drivers",IF(BF147="Supply chain","multiple supply","multiple silviculture"))))</f>
        <v>technologies/design switch</v>
      </c>
      <c r="BF147" s="2" t="str" cm="1">
        <f t="array" ref="BF147">IF(COUNTIF(AZ147:BB147,"&lt;&gt;0")=1,INDEX($V$4:$AW$4,MATCH(TRUE,INDEX($V147:$AW147&lt;&gt;0,),0)),IF(COUNTIF(AZ147:BB147,"&lt;&gt;0")=0,INDEX($AM$4:$AW$4,MATCH(1,$AM147:$AW147,0)),"Multiple strategies"))</f>
        <v>Technology</v>
      </c>
      <c r="BG147" s="1" t="s">
        <v>229</v>
      </c>
      <c r="BH147" t="s">
        <v>277</v>
      </c>
      <c r="BI147" s="264" t="s">
        <v>3105</v>
      </c>
      <c r="BJ147" t="s">
        <v>278</v>
      </c>
      <c r="BK147">
        <v>0</v>
      </c>
      <c r="BL147">
        <v>180.77283018867931</v>
      </c>
      <c r="BM147"/>
      <c r="BN147">
        <f t="shared" si="77"/>
        <v>180.77283018867931</v>
      </c>
      <c r="BO147">
        <f t="shared" si="78"/>
        <v>784.94498562170781</v>
      </c>
      <c r="BP147" t="s">
        <v>232</v>
      </c>
      <c r="BQ147" s="302" t="s">
        <v>3106</v>
      </c>
      <c r="BR147" t="s">
        <v>279</v>
      </c>
      <c r="BS147">
        <v>-492.14170694588267</v>
      </c>
      <c r="BT147">
        <v>-683.46368424028469</v>
      </c>
      <c r="BU147" s="144">
        <f t="shared" si="79"/>
        <v>1.3887538377547837</v>
      </c>
      <c r="BV147">
        <f t="shared" si="80"/>
        <v>-191.32197729440202</v>
      </c>
      <c r="BW147"/>
      <c r="BX147">
        <f t="shared" si="81"/>
        <v>-191.32197729440202</v>
      </c>
      <c r="BY147">
        <f t="shared" si="51"/>
        <v>-0.24373934581270987</v>
      </c>
      <c r="BZ147">
        <v>0</v>
      </c>
      <c r="CA147">
        <v>0</v>
      </c>
      <c r="CB147">
        <v>0</v>
      </c>
      <c r="CC147">
        <v>0</v>
      </c>
      <c r="CD147">
        <v>0</v>
      </c>
      <c r="CE147">
        <v>0</v>
      </c>
      <c r="CF147">
        <v>0</v>
      </c>
      <c r="CG147">
        <v>0</v>
      </c>
      <c r="CH147">
        <v>0</v>
      </c>
      <c r="CI147">
        <v>0</v>
      </c>
      <c r="CJ147">
        <v>0</v>
      </c>
      <c r="CK147">
        <v>0</v>
      </c>
      <c r="CL147">
        <v>0</v>
      </c>
      <c r="CM147">
        <v>0</v>
      </c>
      <c r="CN147" t="str">
        <f t="shared" si="82"/>
        <v>refOK</v>
      </c>
      <c r="CO147">
        <f t="shared" si="104"/>
        <v>0</v>
      </c>
      <c r="CP147">
        <f t="shared" si="105"/>
        <v>180.77283018867931</v>
      </c>
      <c r="CQ147">
        <f t="shared" si="85"/>
        <v>784.94498562170781</v>
      </c>
      <c r="CR147">
        <f t="shared" si="86"/>
        <v>-492.14170694588267</v>
      </c>
      <c r="CS147">
        <f t="shared" si="87"/>
        <v>-683.46368424028469</v>
      </c>
      <c r="CT147">
        <f t="shared" si="88"/>
        <v>-191.32197729440202</v>
      </c>
      <c r="CU147">
        <f t="shared" si="89"/>
        <v>-0.24373934581270987</v>
      </c>
      <c r="CV147" s="2">
        <f t="shared" si="90"/>
        <v>-0.38875383775478378</v>
      </c>
      <c r="CW147" s="1" t="s">
        <v>234</v>
      </c>
      <c r="CX147" t="str">
        <f t="shared" si="91"/>
        <v>loc</v>
      </c>
      <c r="CY147" t="s">
        <v>280</v>
      </c>
      <c r="CZ147"/>
      <c r="DA147"/>
      <c r="DB147">
        <v>50</v>
      </c>
      <c r="DC147" t="str">
        <f t="shared" si="92"/>
        <v>31-70</v>
      </c>
      <c r="DD147">
        <v>0</v>
      </c>
      <c r="DE147">
        <v>1</v>
      </c>
      <c r="DF147">
        <v>0</v>
      </c>
      <c r="DG147">
        <v>0</v>
      </c>
      <c r="DH147"/>
      <c r="DI147">
        <f t="shared" si="96"/>
        <v>1</v>
      </c>
      <c r="DJ147" t="str">
        <f t="shared" si="97"/>
        <v>EnergyInput</v>
      </c>
      <c r="DK147">
        <f t="shared" si="98"/>
        <v>0</v>
      </c>
      <c r="DL147" t="str">
        <f t="shared" si="99"/>
        <v>Energy</v>
      </c>
      <c r="DM147">
        <f t="shared" si="100"/>
        <v>0</v>
      </c>
      <c r="DN147">
        <f t="shared" si="101"/>
        <v>0</v>
      </c>
      <c r="DO147">
        <v>0</v>
      </c>
      <c r="DP147">
        <v>1</v>
      </c>
      <c r="DQ147" t="s">
        <v>304</v>
      </c>
      <c r="DR147">
        <v>0</v>
      </c>
      <c r="DS147">
        <v>0</v>
      </c>
      <c r="DT147">
        <f t="shared" si="102"/>
        <v>1</v>
      </c>
      <c r="DU147" s="143" t="str">
        <f t="shared" si="103"/>
        <v>external DF used</v>
      </c>
      <c r="DV147">
        <v>0</v>
      </c>
      <c r="DW147">
        <v>1</v>
      </c>
      <c r="DX147">
        <v>1</v>
      </c>
      <c r="DY147">
        <v>1</v>
      </c>
      <c r="DZ147">
        <v>1</v>
      </c>
      <c r="EA147" s="143">
        <v>0</v>
      </c>
      <c r="EB147">
        <v>1</v>
      </c>
      <c r="EC147">
        <v>1</v>
      </c>
      <c r="ED147">
        <v>0</v>
      </c>
      <c r="EE147">
        <v>1</v>
      </c>
      <c r="EF147">
        <v>1</v>
      </c>
      <c r="EG147">
        <v>1</v>
      </c>
      <c r="EH147">
        <v>0</v>
      </c>
      <c r="EI147" s="2">
        <v>0</v>
      </c>
      <c r="EJ147" s="1"/>
      <c r="EK147" t="str">
        <f t="shared" si="93"/>
        <v>Whole sector</v>
      </c>
      <c r="EL147" t="str">
        <f t="shared" si="94"/>
        <v/>
      </c>
      <c r="EM147" s="2" t="str">
        <f t="shared" si="67"/>
        <v/>
      </c>
      <c r="EN147"/>
      <c r="EO147"/>
      <c r="EP147" t="str">
        <f>IF(ISNUMBER(BU147),IF(ABS(BU147-[3]QC_indicators!$B$2)&gt;3*[3]QC_indicators!$C$2,"C ratio",IF(ISNUMBER(BY147),IF(ABS(BY147-[3]QC_indicators!$B$1)&gt;3*[3]QC_indicators!$C$1,"DF","no"))),IF(ISNUMBER(BY147),IF(ABS(BY147-[3]QC_indicators!$B$1)&gt;3*[3]QC_indicators!$C$1,"DF","no")))</f>
        <v>no</v>
      </c>
      <c r="EQ147" t="s">
        <v>286</v>
      </c>
      <c r="ER147"/>
      <c r="ES147"/>
      <c r="ET147" s="264" t="s">
        <v>3272</v>
      </c>
      <c r="EU147"/>
    </row>
    <row r="148" spans="1:151" s="139" customFormat="1" ht="15" hidden="1" customHeight="1">
      <c r="A148" s="1" t="s">
        <v>265</v>
      </c>
      <c r="B148" t="s">
        <v>266</v>
      </c>
      <c r="C148" t="s">
        <v>267</v>
      </c>
      <c r="D148" t="s">
        <v>268</v>
      </c>
      <c r="E148" t="s">
        <v>269</v>
      </c>
      <c r="F148" t="s">
        <v>270</v>
      </c>
      <c r="G148" t="s">
        <v>271</v>
      </c>
      <c r="H148" t="s">
        <v>254</v>
      </c>
      <c r="I148">
        <v>2022</v>
      </c>
      <c r="J148">
        <v>0</v>
      </c>
      <c r="K148" t="s">
        <v>272</v>
      </c>
      <c r="L148"/>
      <c r="M148" t="str">
        <f t="shared" si="95"/>
        <v>Aryapratama_2022</v>
      </c>
      <c r="N148" t="s">
        <v>222</v>
      </c>
      <c r="O148" s="145" t="s">
        <v>274</v>
      </c>
      <c r="P148"/>
      <c r="Q148" t="s">
        <v>224</v>
      </c>
      <c r="R148" s="262" t="s">
        <v>223</v>
      </c>
      <c r="S148" s="263" t="s">
        <v>3104</v>
      </c>
      <c r="T148" t="s">
        <v>329</v>
      </c>
      <c r="U148" t="s">
        <v>330</v>
      </c>
      <c r="V148">
        <v>0</v>
      </c>
      <c r="W148">
        <v>0</v>
      </c>
      <c r="X148">
        <v>0</v>
      </c>
      <c r="Y148">
        <v>0</v>
      </c>
      <c r="Z148">
        <v>0</v>
      </c>
      <c r="AA148">
        <v>0</v>
      </c>
      <c r="AB148">
        <v>0</v>
      </c>
      <c r="AC148">
        <v>0</v>
      </c>
      <c r="AD148">
        <v>0</v>
      </c>
      <c r="AE148">
        <v>0</v>
      </c>
      <c r="AF148">
        <v>0</v>
      </c>
      <c r="AG148">
        <v>0</v>
      </c>
      <c r="AH148">
        <v>0</v>
      </c>
      <c r="AI148">
        <v>0</v>
      </c>
      <c r="AJ148">
        <v>0</v>
      </c>
      <c r="AK148">
        <v>1</v>
      </c>
      <c r="AL148">
        <v>0</v>
      </c>
      <c r="AM148">
        <v>0</v>
      </c>
      <c r="AN148">
        <v>0</v>
      </c>
      <c r="AO148">
        <v>0</v>
      </c>
      <c r="AP148">
        <v>0</v>
      </c>
      <c r="AQ148">
        <v>0</v>
      </c>
      <c r="AR148">
        <v>0</v>
      </c>
      <c r="AS148">
        <v>0</v>
      </c>
      <c r="AT148">
        <v>0</v>
      </c>
      <c r="AU148">
        <v>0</v>
      </c>
      <c r="AV148">
        <v>0</v>
      </c>
      <c r="AW148">
        <v>0</v>
      </c>
      <c r="AX148" s="141">
        <f t="shared" si="70"/>
        <v>1</v>
      </c>
      <c r="AY148" s="141">
        <f t="shared" si="71"/>
        <v>1</v>
      </c>
      <c r="AZ148">
        <f t="shared" si="72"/>
        <v>0</v>
      </c>
      <c r="BA148">
        <f t="shared" si="73"/>
        <v>0</v>
      </c>
      <c r="BB148">
        <f t="shared" si="74"/>
        <v>1</v>
      </c>
      <c r="BC148">
        <f t="shared" si="75"/>
        <v>0</v>
      </c>
      <c r="BD148">
        <f t="shared" si="76"/>
        <v>0</v>
      </c>
      <c r="BE148" t="str">
        <f t="array" ref="BE148">IF(AY148=1,INDEX($V$7:$AL$7,MATCH(TRUE,INDEX($V148:$AW148&lt;&gt;0,),0)),IF(AY148=0,INDEX($AM$7:$AW$7,MATCH(1,$AM148:$AW148,0)),IF(BF148="Multiple strategies","mixed drivers",IF(BF148="Supply chain","multiple supply","multiple silviculture"))))</f>
        <v>technologies/design switch</v>
      </c>
      <c r="BF148" s="2" t="str" cm="1">
        <f t="array" ref="BF148">IF(COUNTIF(AZ148:BB148,"&lt;&gt;0")=1,INDEX($V$4:$AW$4,MATCH(TRUE,INDEX($V148:$AW148&lt;&gt;0,),0)),IF(COUNTIF(AZ148:BB148,"&lt;&gt;0")=0,INDEX($AM$4:$AW$4,MATCH(1,$AM148:$AW148,0)),"Multiple strategies"))</f>
        <v>Technology</v>
      </c>
      <c r="BG148" s="1" t="s">
        <v>229</v>
      </c>
      <c r="BH148" t="s">
        <v>277</v>
      </c>
      <c r="BI148" s="264" t="s">
        <v>3105</v>
      </c>
      <c r="BJ148" t="s">
        <v>278</v>
      </c>
      <c r="BK148">
        <v>0</v>
      </c>
      <c r="BL148">
        <v>228.87547169811316</v>
      </c>
      <c r="BM148"/>
      <c r="BN148">
        <f t="shared" si="77"/>
        <v>228.87547169811316</v>
      </c>
      <c r="BO148">
        <f t="shared" si="78"/>
        <v>993.81446677426482</v>
      </c>
      <c r="BP148" t="s">
        <v>232</v>
      </c>
      <c r="BQ148" s="302" t="s">
        <v>3106</v>
      </c>
      <c r="BR148" t="s">
        <v>279</v>
      </c>
      <c r="BS148">
        <v>-574.00406694837011</v>
      </c>
      <c r="BT148">
        <v>-811.16014590587781</v>
      </c>
      <c r="BU148" s="144">
        <f t="shared" si="79"/>
        <v>1.4131609732633466</v>
      </c>
      <c r="BV148">
        <f t="shared" si="80"/>
        <v>-237.1560789575077</v>
      </c>
      <c r="BW148"/>
      <c r="BX148">
        <f t="shared" si="81"/>
        <v>-237.1560789575077</v>
      </c>
      <c r="BY148">
        <f t="shared" si="51"/>
        <v>-0.23863214602547678</v>
      </c>
      <c r="BZ148">
        <v>0</v>
      </c>
      <c r="CA148">
        <v>0</v>
      </c>
      <c r="CB148">
        <v>0</v>
      </c>
      <c r="CC148">
        <v>0</v>
      </c>
      <c r="CD148">
        <v>0</v>
      </c>
      <c r="CE148">
        <v>0</v>
      </c>
      <c r="CF148">
        <v>0</v>
      </c>
      <c r="CG148">
        <v>0</v>
      </c>
      <c r="CH148">
        <v>0</v>
      </c>
      <c r="CI148">
        <v>0</v>
      </c>
      <c r="CJ148">
        <v>0</v>
      </c>
      <c r="CK148">
        <v>0</v>
      </c>
      <c r="CL148">
        <v>0</v>
      </c>
      <c r="CM148">
        <v>0</v>
      </c>
      <c r="CN148" t="str">
        <f t="shared" si="82"/>
        <v>refOK</v>
      </c>
      <c r="CO148">
        <f t="shared" si="104"/>
        <v>0</v>
      </c>
      <c r="CP148">
        <f t="shared" si="105"/>
        <v>228.87547169811316</v>
      </c>
      <c r="CQ148">
        <f t="shared" si="85"/>
        <v>993.81446677426482</v>
      </c>
      <c r="CR148">
        <f t="shared" si="86"/>
        <v>-574.00406694837011</v>
      </c>
      <c r="CS148">
        <f t="shared" si="87"/>
        <v>-811.16014590587781</v>
      </c>
      <c r="CT148">
        <f t="shared" si="88"/>
        <v>-237.1560789575077</v>
      </c>
      <c r="CU148">
        <f t="shared" si="89"/>
        <v>-0.23863214602547678</v>
      </c>
      <c r="CV148" s="2">
        <f t="shared" si="90"/>
        <v>-0.4131609732633465</v>
      </c>
      <c r="CW148" s="1" t="s">
        <v>234</v>
      </c>
      <c r="CX148" t="str">
        <f t="shared" si="91"/>
        <v>loc</v>
      </c>
      <c r="CY148" t="s">
        <v>280</v>
      </c>
      <c r="CZ148"/>
      <c r="DA148"/>
      <c r="DB148">
        <v>50</v>
      </c>
      <c r="DC148" t="str">
        <f t="shared" si="92"/>
        <v>31-70</v>
      </c>
      <c r="DD148">
        <v>0</v>
      </c>
      <c r="DE148">
        <v>1</v>
      </c>
      <c r="DF148">
        <v>0</v>
      </c>
      <c r="DG148">
        <v>0</v>
      </c>
      <c r="DH148"/>
      <c r="DI148">
        <f t="shared" si="96"/>
        <v>1</v>
      </c>
      <c r="DJ148" t="str">
        <f t="shared" si="97"/>
        <v>EnergyInput</v>
      </c>
      <c r="DK148">
        <f t="shared" si="98"/>
        <v>0</v>
      </c>
      <c r="DL148" t="str">
        <f t="shared" si="99"/>
        <v>Energy</v>
      </c>
      <c r="DM148">
        <f t="shared" si="100"/>
        <v>0</v>
      </c>
      <c r="DN148">
        <f t="shared" si="101"/>
        <v>0</v>
      </c>
      <c r="DO148">
        <v>0</v>
      </c>
      <c r="DP148">
        <v>1</v>
      </c>
      <c r="DQ148" t="s">
        <v>304</v>
      </c>
      <c r="DR148">
        <v>0</v>
      </c>
      <c r="DS148">
        <v>0</v>
      </c>
      <c r="DT148">
        <f t="shared" si="102"/>
        <v>1</v>
      </c>
      <c r="DU148" s="143" t="str">
        <f t="shared" si="103"/>
        <v>external DF used</v>
      </c>
      <c r="DV148">
        <v>0</v>
      </c>
      <c r="DW148">
        <v>1</v>
      </c>
      <c r="DX148">
        <v>1</v>
      </c>
      <c r="DY148">
        <v>1</v>
      </c>
      <c r="DZ148">
        <v>1</v>
      </c>
      <c r="EA148" s="143">
        <v>0</v>
      </c>
      <c r="EB148">
        <v>1</v>
      </c>
      <c r="EC148">
        <v>1</v>
      </c>
      <c r="ED148">
        <v>0</v>
      </c>
      <c r="EE148">
        <v>1</v>
      </c>
      <c r="EF148">
        <v>1</v>
      </c>
      <c r="EG148">
        <v>1</v>
      </c>
      <c r="EH148">
        <v>0</v>
      </c>
      <c r="EI148" s="2">
        <v>0</v>
      </c>
      <c r="EJ148" s="1"/>
      <c r="EK148" t="str">
        <f t="shared" si="93"/>
        <v>Whole sector</v>
      </c>
      <c r="EL148" t="str">
        <f t="shared" si="94"/>
        <v/>
      </c>
      <c r="EM148" s="2" t="str">
        <f t="shared" si="67"/>
        <v/>
      </c>
      <c r="EN148"/>
      <c r="EO148"/>
      <c r="EP148" t="str">
        <f>IF(ISNUMBER(BU148),IF(ABS(BU148-[3]QC_indicators!$B$2)&gt;3*[3]QC_indicators!$C$2,"C ratio",IF(ISNUMBER(BY148),IF(ABS(BY148-[3]QC_indicators!$B$1)&gt;3*[3]QC_indicators!$C$1,"DF","no"))),IF(ISNUMBER(BY148),IF(ABS(BY148-[3]QC_indicators!$B$1)&gt;3*[3]QC_indicators!$C$1,"DF","no")))</f>
        <v>no</v>
      </c>
      <c r="EQ148" t="s">
        <v>286</v>
      </c>
      <c r="ER148"/>
      <c r="ES148"/>
      <c r="ET148" s="264" t="s">
        <v>3272</v>
      </c>
      <c r="EU148"/>
    </row>
    <row r="149" spans="1:151" s="139" customFormat="1" ht="15" hidden="1" customHeight="1">
      <c r="A149" s="1" t="s">
        <v>265</v>
      </c>
      <c r="B149" t="s">
        <v>266</v>
      </c>
      <c r="C149" t="s">
        <v>267</v>
      </c>
      <c r="D149" t="s">
        <v>268</v>
      </c>
      <c r="E149" t="s">
        <v>269</v>
      </c>
      <c r="F149" t="s">
        <v>270</v>
      </c>
      <c r="G149" t="s">
        <v>271</v>
      </c>
      <c r="H149" t="s">
        <v>254</v>
      </c>
      <c r="I149">
        <v>2022</v>
      </c>
      <c r="J149">
        <v>0</v>
      </c>
      <c r="K149" t="s">
        <v>272</v>
      </c>
      <c r="L149"/>
      <c r="M149" t="str">
        <f t="shared" si="95"/>
        <v>Aryapratama_2022</v>
      </c>
      <c r="N149" t="s">
        <v>222</v>
      </c>
      <c r="O149" s="145" t="s">
        <v>274</v>
      </c>
      <c r="P149"/>
      <c r="Q149" t="s">
        <v>224</v>
      </c>
      <c r="R149" s="262" t="s">
        <v>223</v>
      </c>
      <c r="S149" s="263" t="s">
        <v>3104</v>
      </c>
      <c r="T149" t="s">
        <v>297</v>
      </c>
      <c r="U149" t="s">
        <v>298</v>
      </c>
      <c r="V149">
        <v>0</v>
      </c>
      <c r="W149">
        <v>0</v>
      </c>
      <c r="X149">
        <v>0</v>
      </c>
      <c r="Y149">
        <v>0</v>
      </c>
      <c r="Z149">
        <v>0</v>
      </c>
      <c r="AA149">
        <v>0</v>
      </c>
      <c r="AB149">
        <v>0</v>
      </c>
      <c r="AC149">
        <v>0</v>
      </c>
      <c r="AD149">
        <v>0</v>
      </c>
      <c r="AE149">
        <v>0</v>
      </c>
      <c r="AF149">
        <v>0</v>
      </c>
      <c r="AG149">
        <v>0</v>
      </c>
      <c r="AH149">
        <v>0</v>
      </c>
      <c r="AI149">
        <v>0</v>
      </c>
      <c r="AJ149">
        <v>0</v>
      </c>
      <c r="AK149">
        <v>1</v>
      </c>
      <c r="AL149">
        <v>0</v>
      </c>
      <c r="AM149">
        <v>0</v>
      </c>
      <c r="AN149">
        <v>0</v>
      </c>
      <c r="AO149">
        <v>0</v>
      </c>
      <c r="AP149">
        <v>0</v>
      </c>
      <c r="AQ149">
        <v>0</v>
      </c>
      <c r="AR149">
        <v>0</v>
      </c>
      <c r="AS149">
        <v>0</v>
      </c>
      <c r="AT149">
        <v>0</v>
      </c>
      <c r="AU149">
        <v>0</v>
      </c>
      <c r="AV149">
        <v>0</v>
      </c>
      <c r="AW149">
        <v>0</v>
      </c>
      <c r="AX149" s="141">
        <f t="shared" si="70"/>
        <v>1</v>
      </c>
      <c r="AY149" s="141">
        <f t="shared" si="71"/>
        <v>1</v>
      </c>
      <c r="AZ149">
        <f t="shared" si="72"/>
        <v>0</v>
      </c>
      <c r="BA149">
        <f t="shared" si="73"/>
        <v>0</v>
      </c>
      <c r="BB149">
        <f t="shared" si="74"/>
        <v>1</v>
      </c>
      <c r="BC149">
        <f t="shared" si="75"/>
        <v>0</v>
      </c>
      <c r="BD149">
        <f t="shared" si="76"/>
        <v>0</v>
      </c>
      <c r="BE149" t="str">
        <f t="array" ref="BE149">IF(AY149=1,INDEX($V$7:$AL$7,MATCH(TRUE,INDEX($V149:$AW149&lt;&gt;0,),0)),IF(AY149=0,INDEX($AM$7:$AW$7,MATCH(1,$AM149:$AW149,0)),IF(BF149="Multiple strategies","mixed drivers",IF(BF149="Supply chain","multiple supply","multiple silviculture"))))</f>
        <v>technologies/design switch</v>
      </c>
      <c r="BF149" s="2" t="str" cm="1">
        <f t="array" ref="BF149">IF(COUNTIF(AZ149:BB149,"&lt;&gt;0")=1,INDEX($V$4:$AW$4,MATCH(TRUE,INDEX($V149:$AW149&lt;&gt;0,),0)),IF(COUNTIF(AZ149:BB149,"&lt;&gt;0")=0,INDEX($AM$4:$AW$4,MATCH(1,$AM149:$AW149,0)),"Multiple strategies"))</f>
        <v>Technology</v>
      </c>
      <c r="BG149" s="1" t="s">
        <v>229</v>
      </c>
      <c r="BH149" t="s">
        <v>277</v>
      </c>
      <c r="BI149" s="264" t="s">
        <v>3105</v>
      </c>
      <c r="BJ149" t="s">
        <v>278</v>
      </c>
      <c r="BK149">
        <v>0</v>
      </c>
      <c r="BL149">
        <v>309.48181778635524</v>
      </c>
      <c r="BM149"/>
      <c r="BN149">
        <f t="shared" si="77"/>
        <v>309.48181778635524</v>
      </c>
      <c r="BO149">
        <f t="shared" si="78"/>
        <v>1343.8203117080125</v>
      </c>
      <c r="BP149" t="s">
        <v>232</v>
      </c>
      <c r="BQ149" s="302" t="s">
        <v>3106</v>
      </c>
      <c r="BR149" t="s">
        <v>279</v>
      </c>
      <c r="BS149">
        <v>-329.48380978417958</v>
      </c>
      <c r="BT149">
        <v>-628.19875545968</v>
      </c>
      <c r="BU149" s="144">
        <f t="shared" si="79"/>
        <v>1.9066149437544941</v>
      </c>
      <c r="BV149">
        <f t="shared" si="80"/>
        <v>-298.71494567550042</v>
      </c>
      <c r="BW149"/>
      <c r="BX149">
        <f t="shared" si="81"/>
        <v>-298.71494567550042</v>
      </c>
      <c r="BY149">
        <f t="shared" si="51"/>
        <v>-0.22228786324551827</v>
      </c>
      <c r="BZ149">
        <v>0</v>
      </c>
      <c r="CA149">
        <v>0</v>
      </c>
      <c r="CB149">
        <v>0</v>
      </c>
      <c r="CC149">
        <v>0</v>
      </c>
      <c r="CD149">
        <v>0</v>
      </c>
      <c r="CE149">
        <v>0</v>
      </c>
      <c r="CF149">
        <v>0</v>
      </c>
      <c r="CG149">
        <v>0</v>
      </c>
      <c r="CH149">
        <v>0</v>
      </c>
      <c r="CI149">
        <v>0</v>
      </c>
      <c r="CJ149">
        <v>0</v>
      </c>
      <c r="CK149">
        <v>0</v>
      </c>
      <c r="CL149">
        <v>0</v>
      </c>
      <c r="CM149">
        <v>0</v>
      </c>
      <c r="CN149" t="str">
        <f t="shared" si="82"/>
        <v>refOK</v>
      </c>
      <c r="CO149">
        <f t="shared" si="104"/>
        <v>0</v>
      </c>
      <c r="CP149">
        <f t="shared" si="105"/>
        <v>309.48181778635524</v>
      </c>
      <c r="CQ149">
        <f t="shared" si="85"/>
        <v>1343.8203117080125</v>
      </c>
      <c r="CR149">
        <f t="shared" si="86"/>
        <v>-329.48380978417958</v>
      </c>
      <c r="CS149">
        <f t="shared" si="87"/>
        <v>-628.19875545968</v>
      </c>
      <c r="CT149">
        <f t="shared" si="88"/>
        <v>-298.71494567550042</v>
      </c>
      <c r="CU149">
        <f t="shared" si="89"/>
        <v>-0.22228786324551827</v>
      </c>
      <c r="CV149" s="2">
        <f t="shared" si="90"/>
        <v>-0.90661494375449414</v>
      </c>
      <c r="CW149" s="1" t="s">
        <v>234</v>
      </c>
      <c r="CX149" t="str">
        <f t="shared" si="91"/>
        <v>loc</v>
      </c>
      <c r="CY149" t="s">
        <v>280</v>
      </c>
      <c r="CZ149"/>
      <c r="DA149"/>
      <c r="DB149">
        <v>200</v>
      </c>
      <c r="DC149" t="str">
        <f t="shared" si="92"/>
        <v>+100</v>
      </c>
      <c r="DD149">
        <v>0</v>
      </c>
      <c r="DE149">
        <v>0</v>
      </c>
      <c r="DF149">
        <v>0</v>
      </c>
      <c r="DG149">
        <v>1</v>
      </c>
      <c r="DH149"/>
      <c r="DI149">
        <f t="shared" si="96"/>
        <v>1</v>
      </c>
      <c r="DJ149" t="str">
        <f t="shared" si="97"/>
        <v>TimberInput</v>
      </c>
      <c r="DK149">
        <f t="shared" si="98"/>
        <v>0</v>
      </c>
      <c r="DL149">
        <f t="shared" si="99"/>
        <v>0</v>
      </c>
      <c r="DM149">
        <f t="shared" si="100"/>
        <v>0</v>
      </c>
      <c r="DN149" t="str">
        <f t="shared" si="101"/>
        <v>Timber</v>
      </c>
      <c r="DO149">
        <v>0</v>
      </c>
      <c r="DP149">
        <v>1</v>
      </c>
      <c r="DQ149">
        <v>0</v>
      </c>
      <c r="DR149" t="s">
        <v>281</v>
      </c>
      <c r="DS149">
        <v>0</v>
      </c>
      <c r="DT149">
        <f t="shared" si="102"/>
        <v>1</v>
      </c>
      <c r="DU149" s="143" t="str">
        <f t="shared" si="103"/>
        <v>external DF used</v>
      </c>
      <c r="DV149">
        <v>0</v>
      </c>
      <c r="DW149">
        <v>1</v>
      </c>
      <c r="DX149">
        <v>1</v>
      </c>
      <c r="DY149">
        <v>1</v>
      </c>
      <c r="DZ149">
        <v>1</v>
      </c>
      <c r="EA149" s="143">
        <v>0</v>
      </c>
      <c r="EB149">
        <v>1</v>
      </c>
      <c r="EC149">
        <v>1</v>
      </c>
      <c r="ED149">
        <v>0</v>
      </c>
      <c r="EE149">
        <v>1</v>
      </c>
      <c r="EF149">
        <v>1</v>
      </c>
      <c r="EG149">
        <v>1</v>
      </c>
      <c r="EH149">
        <v>0</v>
      </c>
      <c r="EI149" s="2">
        <v>0</v>
      </c>
      <c r="EJ149" s="1"/>
      <c r="EK149" t="str">
        <f t="shared" si="93"/>
        <v>Whole sector</v>
      </c>
      <c r="EL149" t="str">
        <f t="shared" si="94"/>
        <v/>
      </c>
      <c r="EM149" s="2" t="str">
        <f t="shared" si="67"/>
        <v/>
      </c>
      <c r="EN149"/>
      <c r="EO149"/>
      <c r="EP149" t="str">
        <f>IF(ISNUMBER(BU149),IF(ABS(BU149-[3]QC_indicators!$B$2)&gt;3*[3]QC_indicators!$C$2,"C ratio",IF(ISNUMBER(BY149),IF(ABS(BY149-[3]QC_indicators!$B$1)&gt;3*[3]QC_indicators!$C$1,"DF","no"))),IF(ISNUMBER(BY149),IF(ABS(BY149-[3]QC_indicators!$B$1)&gt;3*[3]QC_indicators!$C$1,"DF","no")))</f>
        <v>no</v>
      </c>
      <c r="EQ149" t="s">
        <v>286</v>
      </c>
      <c r="ER149"/>
      <c r="ES149"/>
      <c r="ET149" s="264" t="s">
        <v>3272</v>
      </c>
      <c r="EU149"/>
    </row>
    <row r="150" spans="1:151" s="139" customFormat="1" ht="15" hidden="1" customHeight="1">
      <c r="A150" s="1" t="s">
        <v>265</v>
      </c>
      <c r="B150" t="s">
        <v>266</v>
      </c>
      <c r="C150" t="s">
        <v>267</v>
      </c>
      <c r="D150" t="s">
        <v>268</v>
      </c>
      <c r="E150" t="s">
        <v>269</v>
      </c>
      <c r="F150" t="s">
        <v>270</v>
      </c>
      <c r="G150" t="s">
        <v>271</v>
      </c>
      <c r="H150" t="s">
        <v>254</v>
      </c>
      <c r="I150">
        <v>2022</v>
      </c>
      <c r="J150">
        <v>0</v>
      </c>
      <c r="K150" t="s">
        <v>272</v>
      </c>
      <c r="L150"/>
      <c r="M150" t="str">
        <f t="shared" si="95"/>
        <v>Aryapratama_2022</v>
      </c>
      <c r="N150" t="s">
        <v>222</v>
      </c>
      <c r="O150" s="145" t="s">
        <v>274</v>
      </c>
      <c r="P150"/>
      <c r="Q150" t="s">
        <v>224</v>
      </c>
      <c r="R150" s="262" t="s">
        <v>223</v>
      </c>
      <c r="S150" s="263" t="s">
        <v>3104</v>
      </c>
      <c r="T150" t="s">
        <v>329</v>
      </c>
      <c r="U150" t="s">
        <v>330</v>
      </c>
      <c r="V150">
        <v>0</v>
      </c>
      <c r="W150">
        <v>0</v>
      </c>
      <c r="X150">
        <v>0</v>
      </c>
      <c r="Y150">
        <v>0</v>
      </c>
      <c r="Z150">
        <v>0</v>
      </c>
      <c r="AA150">
        <v>0</v>
      </c>
      <c r="AB150">
        <v>0</v>
      </c>
      <c r="AC150">
        <v>0</v>
      </c>
      <c r="AD150">
        <v>0</v>
      </c>
      <c r="AE150">
        <v>0</v>
      </c>
      <c r="AF150">
        <v>0</v>
      </c>
      <c r="AG150">
        <v>0</v>
      </c>
      <c r="AH150">
        <v>0</v>
      </c>
      <c r="AI150">
        <v>0</v>
      </c>
      <c r="AJ150">
        <v>0</v>
      </c>
      <c r="AK150">
        <v>1</v>
      </c>
      <c r="AL150">
        <v>0</v>
      </c>
      <c r="AM150">
        <v>0</v>
      </c>
      <c r="AN150">
        <v>0</v>
      </c>
      <c r="AO150">
        <v>0</v>
      </c>
      <c r="AP150">
        <v>0</v>
      </c>
      <c r="AQ150">
        <v>0</v>
      </c>
      <c r="AR150">
        <v>0</v>
      </c>
      <c r="AS150">
        <v>0</v>
      </c>
      <c r="AT150">
        <v>0</v>
      </c>
      <c r="AU150">
        <v>0</v>
      </c>
      <c r="AV150">
        <v>0</v>
      </c>
      <c r="AW150">
        <v>0</v>
      </c>
      <c r="AX150" s="141">
        <f t="shared" si="70"/>
        <v>1</v>
      </c>
      <c r="AY150" s="141">
        <f t="shared" si="71"/>
        <v>1</v>
      </c>
      <c r="AZ150">
        <f t="shared" si="72"/>
        <v>0</v>
      </c>
      <c r="BA150">
        <f t="shared" si="73"/>
        <v>0</v>
      </c>
      <c r="BB150">
        <f t="shared" si="74"/>
        <v>1</v>
      </c>
      <c r="BC150">
        <f t="shared" si="75"/>
        <v>0</v>
      </c>
      <c r="BD150">
        <f t="shared" si="76"/>
        <v>0</v>
      </c>
      <c r="BE150" t="str">
        <f t="array" ref="BE150">IF(AY150=1,INDEX($V$7:$AL$7,MATCH(TRUE,INDEX($V150:$AW150&lt;&gt;0,),0)),IF(AY150=0,INDEX($AM$7:$AW$7,MATCH(1,$AM150:$AW150,0)),IF(BF150="Multiple strategies","mixed drivers",IF(BF150="Supply chain","multiple supply","multiple silviculture"))))</f>
        <v>technologies/design switch</v>
      </c>
      <c r="BF150" s="2" t="str" cm="1">
        <f t="array" ref="BF150">IF(COUNTIF(AZ150:BB150,"&lt;&gt;0")=1,INDEX($V$4:$AW$4,MATCH(TRUE,INDEX($V150:$AW150&lt;&gt;0,),0)),IF(COUNTIF(AZ150:BB150,"&lt;&gt;0")=0,INDEX($AM$4:$AW$4,MATCH(1,$AM150:$AW150,0)),"Multiple strategies"))</f>
        <v>Technology</v>
      </c>
      <c r="BG150" s="1" t="s">
        <v>229</v>
      </c>
      <c r="BH150" t="s">
        <v>277</v>
      </c>
      <c r="BI150" s="264" t="s">
        <v>3105</v>
      </c>
      <c r="BJ150" t="s">
        <v>278</v>
      </c>
      <c r="BK150">
        <v>0</v>
      </c>
      <c r="BL150">
        <v>276.97811320754715</v>
      </c>
      <c r="BM150"/>
      <c r="BN150">
        <f t="shared" si="77"/>
        <v>276.97811320754715</v>
      </c>
      <c r="BO150">
        <f t="shared" si="78"/>
        <v>1202.6839479268224</v>
      </c>
      <c r="BP150" t="s">
        <v>232</v>
      </c>
      <c r="BQ150" s="302" t="s">
        <v>3106</v>
      </c>
      <c r="BR150" t="s">
        <v>279</v>
      </c>
      <c r="BS150">
        <v>-627.22269789912832</v>
      </c>
      <c r="BT150">
        <v>-832.29941220987405</v>
      </c>
      <c r="BU150" s="144">
        <f t="shared" si="79"/>
        <v>1.3269599697167316</v>
      </c>
      <c r="BV150">
        <f t="shared" si="80"/>
        <v>-205.07671431074573</v>
      </c>
      <c r="BW150"/>
      <c r="BX150">
        <f t="shared" si="81"/>
        <v>-205.07671431074573</v>
      </c>
      <c r="BY150">
        <f t="shared" si="51"/>
        <v>-0.17051588213533192</v>
      </c>
      <c r="BZ150">
        <v>0</v>
      </c>
      <c r="CA150">
        <v>0</v>
      </c>
      <c r="CB150">
        <v>0</v>
      </c>
      <c r="CC150">
        <v>0</v>
      </c>
      <c r="CD150">
        <v>0</v>
      </c>
      <c r="CE150">
        <v>0</v>
      </c>
      <c r="CF150">
        <v>0</v>
      </c>
      <c r="CG150">
        <v>0</v>
      </c>
      <c r="CH150">
        <v>0</v>
      </c>
      <c r="CI150">
        <v>0</v>
      </c>
      <c r="CJ150">
        <v>0</v>
      </c>
      <c r="CK150">
        <v>0</v>
      </c>
      <c r="CL150">
        <v>0</v>
      </c>
      <c r="CM150">
        <v>0</v>
      </c>
      <c r="CN150" t="str">
        <f t="shared" si="82"/>
        <v>refOK</v>
      </c>
      <c r="CO150">
        <f t="shared" si="104"/>
        <v>0</v>
      </c>
      <c r="CP150">
        <f t="shared" si="105"/>
        <v>276.97811320754715</v>
      </c>
      <c r="CQ150">
        <f t="shared" si="85"/>
        <v>1202.6839479268224</v>
      </c>
      <c r="CR150">
        <f t="shared" si="86"/>
        <v>-627.22269789912832</v>
      </c>
      <c r="CS150">
        <f t="shared" si="87"/>
        <v>-832.29941220987405</v>
      </c>
      <c r="CT150">
        <f t="shared" si="88"/>
        <v>-205.07671431074573</v>
      </c>
      <c r="CU150">
        <f t="shared" si="89"/>
        <v>-0.17051588213533192</v>
      </c>
      <c r="CV150" s="2">
        <f t="shared" si="90"/>
        <v>-0.32695996971673169</v>
      </c>
      <c r="CW150" s="1" t="s">
        <v>234</v>
      </c>
      <c r="CX150" t="str">
        <f t="shared" si="91"/>
        <v>loc</v>
      </c>
      <c r="CY150" t="s">
        <v>280</v>
      </c>
      <c r="CZ150"/>
      <c r="DA150"/>
      <c r="DB150">
        <v>100</v>
      </c>
      <c r="DC150" t="str">
        <f t="shared" si="92"/>
        <v>71-100</v>
      </c>
      <c r="DD150">
        <v>0</v>
      </c>
      <c r="DE150">
        <v>1</v>
      </c>
      <c r="DF150">
        <v>0</v>
      </c>
      <c r="DG150">
        <v>0</v>
      </c>
      <c r="DH150"/>
      <c r="DI150">
        <f t="shared" si="96"/>
        <v>1</v>
      </c>
      <c r="DJ150" t="str">
        <f t="shared" si="97"/>
        <v>EnergyInput</v>
      </c>
      <c r="DK150">
        <f t="shared" si="98"/>
        <v>0</v>
      </c>
      <c r="DL150" t="str">
        <f t="shared" si="99"/>
        <v>Energy</v>
      </c>
      <c r="DM150">
        <f t="shared" si="100"/>
        <v>0</v>
      </c>
      <c r="DN150">
        <f t="shared" si="101"/>
        <v>0</v>
      </c>
      <c r="DO150">
        <v>0</v>
      </c>
      <c r="DP150">
        <v>1</v>
      </c>
      <c r="DQ150" t="s">
        <v>304</v>
      </c>
      <c r="DR150">
        <v>0</v>
      </c>
      <c r="DS150">
        <v>0</v>
      </c>
      <c r="DT150">
        <f t="shared" si="102"/>
        <v>1</v>
      </c>
      <c r="DU150" s="143" t="str">
        <f t="shared" si="103"/>
        <v>external DF used</v>
      </c>
      <c r="DV150">
        <v>0</v>
      </c>
      <c r="DW150">
        <v>1</v>
      </c>
      <c r="DX150">
        <v>1</v>
      </c>
      <c r="DY150">
        <v>1</v>
      </c>
      <c r="DZ150">
        <v>1</v>
      </c>
      <c r="EA150" s="143">
        <v>0</v>
      </c>
      <c r="EB150">
        <v>1</v>
      </c>
      <c r="EC150">
        <v>1</v>
      </c>
      <c r="ED150">
        <v>0</v>
      </c>
      <c r="EE150">
        <v>1</v>
      </c>
      <c r="EF150">
        <v>1</v>
      </c>
      <c r="EG150">
        <v>1</v>
      </c>
      <c r="EH150">
        <v>0</v>
      </c>
      <c r="EI150" s="2">
        <v>0</v>
      </c>
      <c r="EJ150" s="1"/>
      <c r="EK150" t="str">
        <f t="shared" si="93"/>
        <v>Whole sector</v>
      </c>
      <c r="EL150" t="str">
        <f t="shared" si="94"/>
        <v/>
      </c>
      <c r="EM150" s="2" t="str">
        <f t="shared" si="67"/>
        <v/>
      </c>
      <c r="EN150"/>
      <c r="EO150"/>
      <c r="EP150" t="str">
        <f>IF(ISNUMBER(BU150),IF(ABS(BU150-[3]QC_indicators!$B$2)&gt;3*[3]QC_indicators!$C$2,"C ratio",IF(ISNUMBER(BY150),IF(ABS(BY150-[3]QC_indicators!$B$1)&gt;3*[3]QC_indicators!$C$1,"DF","no"))),IF(ISNUMBER(BY150),IF(ABS(BY150-[3]QC_indicators!$B$1)&gt;3*[3]QC_indicators!$C$1,"DF","no")))</f>
        <v>no</v>
      </c>
      <c r="EQ150" t="s">
        <v>286</v>
      </c>
      <c r="ER150"/>
      <c r="ES150"/>
      <c r="ET150" s="264" t="s">
        <v>3272</v>
      </c>
      <c r="EU150"/>
    </row>
    <row r="151" spans="1:151" s="139" customFormat="1" ht="15" hidden="1" customHeight="1">
      <c r="A151" s="1" t="s">
        <v>265</v>
      </c>
      <c r="B151" t="s">
        <v>266</v>
      </c>
      <c r="C151" t="s">
        <v>267</v>
      </c>
      <c r="D151" t="s">
        <v>268</v>
      </c>
      <c r="E151" t="s">
        <v>269</v>
      </c>
      <c r="F151" t="s">
        <v>270</v>
      </c>
      <c r="G151" t="s">
        <v>271</v>
      </c>
      <c r="H151" t="s">
        <v>254</v>
      </c>
      <c r="I151">
        <v>2022</v>
      </c>
      <c r="J151">
        <v>0</v>
      </c>
      <c r="K151" t="s">
        <v>272</v>
      </c>
      <c r="L151"/>
      <c r="M151" t="str">
        <f t="shared" si="95"/>
        <v>Aryapratama_2022</v>
      </c>
      <c r="N151" t="s">
        <v>222</v>
      </c>
      <c r="O151" s="145" t="s">
        <v>274</v>
      </c>
      <c r="P151"/>
      <c r="Q151" t="s">
        <v>224</v>
      </c>
      <c r="R151" s="262" t="s">
        <v>223</v>
      </c>
      <c r="S151" s="263" t="s">
        <v>3104</v>
      </c>
      <c r="T151" t="s">
        <v>297</v>
      </c>
      <c r="U151" t="s">
        <v>298</v>
      </c>
      <c r="V151">
        <v>0</v>
      </c>
      <c r="W151">
        <v>0</v>
      </c>
      <c r="X151">
        <v>0</v>
      </c>
      <c r="Y151">
        <v>0</v>
      </c>
      <c r="Z151">
        <v>0</v>
      </c>
      <c r="AA151">
        <v>0</v>
      </c>
      <c r="AB151">
        <v>0</v>
      </c>
      <c r="AC151">
        <v>0</v>
      </c>
      <c r="AD151">
        <v>0</v>
      </c>
      <c r="AE151">
        <v>0</v>
      </c>
      <c r="AF151">
        <v>0</v>
      </c>
      <c r="AG151">
        <v>0</v>
      </c>
      <c r="AH151">
        <v>0</v>
      </c>
      <c r="AI151">
        <v>0</v>
      </c>
      <c r="AJ151">
        <v>0</v>
      </c>
      <c r="AK151">
        <v>1</v>
      </c>
      <c r="AL151">
        <v>0</v>
      </c>
      <c r="AM151">
        <v>0</v>
      </c>
      <c r="AN151">
        <v>0</v>
      </c>
      <c r="AO151">
        <v>0</v>
      </c>
      <c r="AP151">
        <v>0</v>
      </c>
      <c r="AQ151">
        <v>0</v>
      </c>
      <c r="AR151">
        <v>0</v>
      </c>
      <c r="AS151">
        <v>0</v>
      </c>
      <c r="AT151">
        <v>0</v>
      </c>
      <c r="AU151">
        <v>0</v>
      </c>
      <c r="AV151">
        <v>0</v>
      </c>
      <c r="AW151">
        <v>0</v>
      </c>
      <c r="AX151" s="141">
        <f t="shared" si="70"/>
        <v>1</v>
      </c>
      <c r="AY151" s="141">
        <f t="shared" si="71"/>
        <v>1</v>
      </c>
      <c r="AZ151">
        <f t="shared" si="72"/>
        <v>0</v>
      </c>
      <c r="BA151">
        <f t="shared" si="73"/>
        <v>0</v>
      </c>
      <c r="BB151">
        <f t="shared" si="74"/>
        <v>1</v>
      </c>
      <c r="BC151">
        <f t="shared" si="75"/>
        <v>0</v>
      </c>
      <c r="BD151">
        <f t="shared" si="76"/>
        <v>0</v>
      </c>
      <c r="BE151" t="str">
        <f t="array" ref="BE151">IF(AY151=1,INDEX($V$7:$AL$7,MATCH(TRUE,INDEX($V151:$AW151&lt;&gt;0,),0)),IF(AY151=0,INDEX($AM$7:$AW$7,MATCH(1,$AM151:$AW151,0)),IF(BF151="Multiple strategies","mixed drivers",IF(BF151="Supply chain","multiple supply","multiple silviculture"))))</f>
        <v>technologies/design switch</v>
      </c>
      <c r="BF151" s="2" t="str" cm="1">
        <f t="array" ref="BF151">IF(COUNTIF(AZ151:BB151,"&lt;&gt;0")=1,INDEX($V$4:$AW$4,MATCH(TRUE,INDEX($V151:$AW151&lt;&gt;0,),0)),IF(COUNTIF(AZ151:BB151,"&lt;&gt;0")=0,INDEX($AM$4:$AW$4,MATCH(1,$AM151:$AW151,0)),"Multiple strategies"))</f>
        <v>Technology</v>
      </c>
      <c r="BG151" s="1" t="s">
        <v>229</v>
      </c>
      <c r="BH151" t="s">
        <v>277</v>
      </c>
      <c r="BI151" s="264" t="s">
        <v>3105</v>
      </c>
      <c r="BJ151" t="s">
        <v>278</v>
      </c>
      <c r="BK151">
        <v>0</v>
      </c>
      <c r="BL151">
        <v>135.57962264150939</v>
      </c>
      <c r="BM151"/>
      <c r="BN151">
        <f t="shared" si="77"/>
        <v>135.57962264150939</v>
      </c>
      <c r="BO151">
        <f t="shared" si="78"/>
        <v>588.70873921628049</v>
      </c>
      <c r="BP151" t="s">
        <v>232</v>
      </c>
      <c r="BQ151" s="302" t="s">
        <v>3106</v>
      </c>
      <c r="BR151" t="s">
        <v>279</v>
      </c>
      <c r="BS151">
        <v>-360.60902005912311</v>
      </c>
      <c r="BT151">
        <v>-458.81565081209919</v>
      </c>
      <c r="BU151" s="144">
        <f t="shared" si="79"/>
        <v>1.2723354805070455</v>
      </c>
      <c r="BV151">
        <f t="shared" si="80"/>
        <v>-98.206630752976082</v>
      </c>
      <c r="BW151"/>
      <c r="BX151">
        <f t="shared" si="81"/>
        <v>-98.206630752976082</v>
      </c>
      <c r="BY151">
        <f t="shared" si="51"/>
        <v>-0.16681700849848743</v>
      </c>
      <c r="BZ151">
        <v>0</v>
      </c>
      <c r="CA151">
        <v>0</v>
      </c>
      <c r="CB151">
        <v>0</v>
      </c>
      <c r="CC151">
        <v>0</v>
      </c>
      <c r="CD151">
        <v>0</v>
      </c>
      <c r="CE151">
        <v>0</v>
      </c>
      <c r="CF151">
        <v>0</v>
      </c>
      <c r="CG151">
        <v>0</v>
      </c>
      <c r="CH151">
        <v>0</v>
      </c>
      <c r="CI151">
        <v>0</v>
      </c>
      <c r="CJ151">
        <v>0</v>
      </c>
      <c r="CK151">
        <v>0</v>
      </c>
      <c r="CL151">
        <v>0</v>
      </c>
      <c r="CM151">
        <v>0</v>
      </c>
      <c r="CN151" t="str">
        <f t="shared" si="82"/>
        <v>refOK</v>
      </c>
      <c r="CO151">
        <f t="shared" si="104"/>
        <v>0</v>
      </c>
      <c r="CP151">
        <f t="shared" si="105"/>
        <v>135.57962264150939</v>
      </c>
      <c r="CQ151">
        <f t="shared" si="85"/>
        <v>588.70873921628049</v>
      </c>
      <c r="CR151">
        <f t="shared" si="86"/>
        <v>-360.60902005912311</v>
      </c>
      <c r="CS151">
        <f t="shared" si="87"/>
        <v>-458.81565081209919</v>
      </c>
      <c r="CT151">
        <f t="shared" si="88"/>
        <v>-98.206630752976082</v>
      </c>
      <c r="CU151">
        <f t="shared" si="89"/>
        <v>-0.16681700849848743</v>
      </c>
      <c r="CV151" s="2">
        <f t="shared" si="90"/>
        <v>-0.27233548050704542</v>
      </c>
      <c r="CW151" s="1" t="s">
        <v>234</v>
      </c>
      <c r="CX151" t="str">
        <f t="shared" si="91"/>
        <v>loc</v>
      </c>
      <c r="CY151" t="s">
        <v>280</v>
      </c>
      <c r="CZ151"/>
      <c r="DA151"/>
      <c r="DB151">
        <v>50</v>
      </c>
      <c r="DC151" t="str">
        <f t="shared" si="92"/>
        <v>31-70</v>
      </c>
      <c r="DD151">
        <v>0</v>
      </c>
      <c r="DE151">
        <v>0</v>
      </c>
      <c r="DF151">
        <v>0</v>
      </c>
      <c r="DG151">
        <v>1</v>
      </c>
      <c r="DH151"/>
      <c r="DI151">
        <f t="shared" si="96"/>
        <v>1</v>
      </c>
      <c r="DJ151" t="str">
        <f t="shared" si="97"/>
        <v>TimberInput</v>
      </c>
      <c r="DK151">
        <f t="shared" si="98"/>
        <v>0</v>
      </c>
      <c r="DL151">
        <f t="shared" si="99"/>
        <v>0</v>
      </c>
      <c r="DM151">
        <f t="shared" si="100"/>
        <v>0</v>
      </c>
      <c r="DN151" t="str">
        <f t="shared" si="101"/>
        <v>Timber</v>
      </c>
      <c r="DO151">
        <v>0</v>
      </c>
      <c r="DP151">
        <v>1</v>
      </c>
      <c r="DQ151">
        <v>0</v>
      </c>
      <c r="DR151" t="s">
        <v>281</v>
      </c>
      <c r="DS151">
        <v>0</v>
      </c>
      <c r="DT151">
        <f t="shared" si="102"/>
        <v>1</v>
      </c>
      <c r="DU151" s="143" t="str">
        <f t="shared" si="103"/>
        <v>external DF used</v>
      </c>
      <c r="DV151">
        <v>0</v>
      </c>
      <c r="DW151">
        <v>1</v>
      </c>
      <c r="DX151">
        <v>1</v>
      </c>
      <c r="DY151">
        <v>1</v>
      </c>
      <c r="DZ151">
        <v>1</v>
      </c>
      <c r="EA151" s="143">
        <v>0</v>
      </c>
      <c r="EB151">
        <v>1</v>
      </c>
      <c r="EC151">
        <v>1</v>
      </c>
      <c r="ED151">
        <v>0</v>
      </c>
      <c r="EE151">
        <v>1</v>
      </c>
      <c r="EF151">
        <v>1</v>
      </c>
      <c r="EG151">
        <v>1</v>
      </c>
      <c r="EH151">
        <v>0</v>
      </c>
      <c r="EI151" s="2">
        <v>0</v>
      </c>
      <c r="EJ151" s="1"/>
      <c r="EK151" t="str">
        <f t="shared" si="93"/>
        <v>Whole sector</v>
      </c>
      <c r="EL151" t="str">
        <f t="shared" si="94"/>
        <v/>
      </c>
      <c r="EM151" s="2" t="str">
        <f t="shared" si="67"/>
        <v/>
      </c>
      <c r="EN151"/>
      <c r="EO151"/>
      <c r="EP151" t="str">
        <f>IF(ISNUMBER(BU151),IF(ABS(BU151-[3]QC_indicators!$B$2)&gt;3*[3]QC_indicators!$C$2,"C ratio",IF(ISNUMBER(BY151),IF(ABS(BY151-[3]QC_indicators!$B$1)&gt;3*[3]QC_indicators!$C$1,"DF","no"))),IF(ISNUMBER(BY151),IF(ABS(BY151-[3]QC_indicators!$B$1)&gt;3*[3]QC_indicators!$C$1,"DF","no")))</f>
        <v>no</v>
      </c>
      <c r="EQ151" t="s">
        <v>286</v>
      </c>
      <c r="ER151"/>
      <c r="ES151"/>
      <c r="ET151" s="264" t="s">
        <v>3272</v>
      </c>
      <c r="EU151"/>
    </row>
    <row r="152" spans="1:151" s="139" customFormat="1" ht="15" hidden="1" customHeight="1">
      <c r="A152" s="1" t="s">
        <v>265</v>
      </c>
      <c r="B152" t="s">
        <v>266</v>
      </c>
      <c r="C152" t="s">
        <v>267</v>
      </c>
      <c r="D152" t="s">
        <v>268</v>
      </c>
      <c r="E152" t="s">
        <v>269</v>
      </c>
      <c r="F152" t="s">
        <v>270</v>
      </c>
      <c r="G152" t="s">
        <v>271</v>
      </c>
      <c r="H152" t="s">
        <v>254</v>
      </c>
      <c r="I152">
        <v>2022</v>
      </c>
      <c r="J152">
        <v>0</v>
      </c>
      <c r="K152" t="s">
        <v>272</v>
      </c>
      <c r="L152"/>
      <c r="M152" t="str">
        <f t="shared" si="95"/>
        <v>Aryapratama_2022</v>
      </c>
      <c r="N152" t="s">
        <v>222</v>
      </c>
      <c r="O152" s="145" t="s">
        <v>274</v>
      </c>
      <c r="P152"/>
      <c r="Q152" t="s">
        <v>224</v>
      </c>
      <c r="R152" s="262" t="s">
        <v>223</v>
      </c>
      <c r="S152" s="263" t="s">
        <v>3104</v>
      </c>
      <c r="T152" t="s">
        <v>293</v>
      </c>
      <c r="U152" t="s">
        <v>275</v>
      </c>
      <c r="V152">
        <v>0</v>
      </c>
      <c r="W152">
        <v>0</v>
      </c>
      <c r="X152">
        <v>0</v>
      </c>
      <c r="Y152">
        <v>0</v>
      </c>
      <c r="Z152">
        <v>0</v>
      </c>
      <c r="AA152">
        <v>0</v>
      </c>
      <c r="AB152">
        <v>0</v>
      </c>
      <c r="AC152">
        <v>0</v>
      </c>
      <c r="AD152">
        <v>0</v>
      </c>
      <c r="AE152">
        <v>0</v>
      </c>
      <c r="AF152">
        <v>0</v>
      </c>
      <c r="AG152">
        <v>0</v>
      </c>
      <c r="AH152">
        <v>0</v>
      </c>
      <c r="AI152">
        <v>0</v>
      </c>
      <c r="AJ152">
        <v>0</v>
      </c>
      <c r="AK152">
        <v>1</v>
      </c>
      <c r="AL152">
        <v>0</v>
      </c>
      <c r="AM152">
        <v>0</v>
      </c>
      <c r="AN152">
        <v>0</v>
      </c>
      <c r="AO152">
        <v>0</v>
      </c>
      <c r="AP152">
        <v>0</v>
      </c>
      <c r="AQ152">
        <v>0</v>
      </c>
      <c r="AR152">
        <v>0</v>
      </c>
      <c r="AS152">
        <v>0</v>
      </c>
      <c r="AT152">
        <v>0</v>
      </c>
      <c r="AU152">
        <v>0</v>
      </c>
      <c r="AV152">
        <v>0</v>
      </c>
      <c r="AW152">
        <v>0</v>
      </c>
      <c r="AX152" s="141">
        <f t="shared" si="70"/>
        <v>1</v>
      </c>
      <c r="AY152" s="141">
        <f t="shared" si="71"/>
        <v>1</v>
      </c>
      <c r="AZ152">
        <f t="shared" si="72"/>
        <v>0</v>
      </c>
      <c r="BA152">
        <f t="shared" si="73"/>
        <v>0</v>
      </c>
      <c r="BB152">
        <f t="shared" si="74"/>
        <v>1</v>
      </c>
      <c r="BC152">
        <f t="shared" si="75"/>
        <v>0</v>
      </c>
      <c r="BD152">
        <f t="shared" si="76"/>
        <v>0</v>
      </c>
      <c r="BE152" t="str">
        <f t="array" ref="BE152">IF(AY152=1,INDEX($V$7:$AL$7,MATCH(TRUE,INDEX($V152:$AW152&lt;&gt;0,),0)),IF(AY152=0,INDEX($AM$7:$AW$7,MATCH(1,$AM152:$AW152,0)),IF(BF152="Multiple strategies","mixed drivers",IF(BF152="Supply chain","multiple supply","multiple silviculture"))))</f>
        <v>technologies/design switch</v>
      </c>
      <c r="BF152" s="2" t="str" cm="1">
        <f t="array" ref="BF152">IF(COUNTIF(AZ152:BB152,"&lt;&gt;0")=1,INDEX($V$4:$AW$4,MATCH(TRUE,INDEX($V152:$AW152&lt;&gt;0,),0)),IF(COUNTIF(AZ152:BB152,"&lt;&gt;0")=0,INDEX($AM$4:$AW$4,MATCH(1,$AM152:$AW152,0)),"Multiple strategies"))</f>
        <v>Technology</v>
      </c>
      <c r="BG152" s="1" t="s">
        <v>229</v>
      </c>
      <c r="BH152" t="s">
        <v>277</v>
      </c>
      <c r="BI152" s="264" t="s">
        <v>3105</v>
      </c>
      <c r="BJ152" t="s">
        <v>278</v>
      </c>
      <c r="BK152">
        <v>0</v>
      </c>
      <c r="BL152">
        <v>135.57962264150939</v>
      </c>
      <c r="BM152"/>
      <c r="BN152">
        <f t="shared" si="77"/>
        <v>135.57962264150939</v>
      </c>
      <c r="BO152">
        <f t="shared" si="78"/>
        <v>588.70873921628049</v>
      </c>
      <c r="BP152" t="s">
        <v>232</v>
      </c>
      <c r="BQ152" s="302" t="s">
        <v>3106</v>
      </c>
      <c r="BR152" t="s">
        <v>279</v>
      </c>
      <c r="BS152">
        <v>-358.5631578083391</v>
      </c>
      <c r="BT152">
        <v>-430.22235574765915</v>
      </c>
      <c r="BU152" s="144">
        <f t="shared" si="79"/>
        <v>1.1998509784923963</v>
      </c>
      <c r="BV152">
        <f t="shared" si="80"/>
        <v>-71.659197939320052</v>
      </c>
      <c r="BW152"/>
      <c r="BX152">
        <f t="shared" si="81"/>
        <v>-71.659197939320052</v>
      </c>
      <c r="BY152">
        <f t="shared" si="51"/>
        <v>-0.12172266719654354</v>
      </c>
      <c r="BZ152">
        <v>0</v>
      </c>
      <c r="CA152">
        <v>0</v>
      </c>
      <c r="CB152">
        <v>0</v>
      </c>
      <c r="CC152">
        <v>0</v>
      </c>
      <c r="CD152">
        <v>0</v>
      </c>
      <c r="CE152">
        <v>0</v>
      </c>
      <c r="CF152">
        <v>0</v>
      </c>
      <c r="CG152">
        <v>0</v>
      </c>
      <c r="CH152">
        <v>0</v>
      </c>
      <c r="CI152">
        <v>0</v>
      </c>
      <c r="CJ152">
        <v>0</v>
      </c>
      <c r="CK152">
        <v>0</v>
      </c>
      <c r="CL152">
        <v>0</v>
      </c>
      <c r="CM152">
        <v>0</v>
      </c>
      <c r="CN152" t="str">
        <f t="shared" si="82"/>
        <v>refOK</v>
      </c>
      <c r="CO152">
        <f t="shared" si="104"/>
        <v>0</v>
      </c>
      <c r="CP152">
        <f t="shared" si="105"/>
        <v>135.57962264150939</v>
      </c>
      <c r="CQ152">
        <f t="shared" si="85"/>
        <v>588.70873921628049</v>
      </c>
      <c r="CR152">
        <f t="shared" si="86"/>
        <v>-358.5631578083391</v>
      </c>
      <c r="CS152">
        <f t="shared" si="87"/>
        <v>-430.22235574765915</v>
      </c>
      <c r="CT152">
        <f t="shared" si="88"/>
        <v>-71.659197939320052</v>
      </c>
      <c r="CU152">
        <f t="shared" si="89"/>
        <v>-0.12172266719654354</v>
      </c>
      <c r="CV152" s="2">
        <f t="shared" si="90"/>
        <v>-0.19985097849239622</v>
      </c>
      <c r="CW152" s="1" t="s">
        <v>234</v>
      </c>
      <c r="CX152" t="str">
        <f t="shared" si="91"/>
        <v>loc</v>
      </c>
      <c r="CY152" t="s">
        <v>280</v>
      </c>
      <c r="CZ152"/>
      <c r="DA152"/>
      <c r="DB152">
        <v>50</v>
      </c>
      <c r="DC152" t="str">
        <f t="shared" si="92"/>
        <v>31-70</v>
      </c>
      <c r="DD152">
        <v>0</v>
      </c>
      <c r="DE152">
        <v>0</v>
      </c>
      <c r="DF152">
        <v>0</v>
      </c>
      <c r="DG152">
        <v>1</v>
      </c>
      <c r="DH152"/>
      <c r="DI152">
        <f t="shared" si="96"/>
        <v>1</v>
      </c>
      <c r="DJ152" t="str">
        <f t="shared" si="97"/>
        <v>TimberInput</v>
      </c>
      <c r="DK152">
        <f t="shared" si="98"/>
        <v>0</v>
      </c>
      <c r="DL152">
        <f t="shared" si="99"/>
        <v>0</v>
      </c>
      <c r="DM152">
        <f t="shared" si="100"/>
        <v>0</v>
      </c>
      <c r="DN152" t="str">
        <f t="shared" si="101"/>
        <v>Timber</v>
      </c>
      <c r="DO152">
        <v>0</v>
      </c>
      <c r="DP152">
        <v>1</v>
      </c>
      <c r="DQ152">
        <v>0</v>
      </c>
      <c r="DR152" t="s">
        <v>292</v>
      </c>
      <c r="DS152">
        <v>0</v>
      </c>
      <c r="DT152">
        <f t="shared" si="102"/>
        <v>1</v>
      </c>
      <c r="DU152" s="143" t="str">
        <f t="shared" si="103"/>
        <v>external DF used</v>
      </c>
      <c r="DV152">
        <v>0</v>
      </c>
      <c r="DW152">
        <v>1</v>
      </c>
      <c r="DX152">
        <v>1</v>
      </c>
      <c r="DY152">
        <v>1</v>
      </c>
      <c r="DZ152">
        <v>1</v>
      </c>
      <c r="EA152" s="143">
        <v>0</v>
      </c>
      <c r="EB152">
        <v>1</v>
      </c>
      <c r="EC152">
        <v>1</v>
      </c>
      <c r="ED152">
        <v>0</v>
      </c>
      <c r="EE152">
        <v>1</v>
      </c>
      <c r="EF152">
        <v>1</v>
      </c>
      <c r="EG152">
        <v>1</v>
      </c>
      <c r="EH152">
        <v>0</v>
      </c>
      <c r="EI152" s="2">
        <v>0</v>
      </c>
      <c r="EJ152" s="1"/>
      <c r="EK152" t="str">
        <f t="shared" si="93"/>
        <v>Whole sector</v>
      </c>
      <c r="EL152" t="str">
        <f t="shared" si="94"/>
        <v/>
      </c>
      <c r="EM152" s="2" t="str">
        <f t="shared" si="67"/>
        <v/>
      </c>
      <c r="EN152"/>
      <c r="EO152"/>
      <c r="EP152" t="str">
        <f>IF(ISNUMBER(BU152),IF(ABS(BU152-[3]QC_indicators!$B$2)&gt;3*[3]QC_indicators!$C$2,"C ratio",IF(ISNUMBER(BY152),IF(ABS(BY152-[3]QC_indicators!$B$1)&gt;3*[3]QC_indicators!$C$1,"DF","no"))),IF(ISNUMBER(BY152),IF(ABS(BY152-[3]QC_indicators!$B$1)&gt;3*[3]QC_indicators!$C$1,"DF","no")))</f>
        <v>no</v>
      </c>
      <c r="EQ152" t="s">
        <v>286</v>
      </c>
      <c r="ER152"/>
      <c r="ES152"/>
      <c r="ET152" s="264" t="s">
        <v>3272</v>
      </c>
      <c r="EU152"/>
    </row>
    <row r="153" spans="1:151" s="139" customFormat="1" ht="15" hidden="1" customHeight="1">
      <c r="A153" s="1" t="s">
        <v>265</v>
      </c>
      <c r="B153" t="s">
        <v>266</v>
      </c>
      <c r="C153" t="s">
        <v>267</v>
      </c>
      <c r="D153" t="s">
        <v>268</v>
      </c>
      <c r="E153" t="s">
        <v>269</v>
      </c>
      <c r="F153" t="s">
        <v>270</v>
      </c>
      <c r="G153" t="s">
        <v>271</v>
      </c>
      <c r="H153" t="s">
        <v>254</v>
      </c>
      <c r="I153">
        <v>2022</v>
      </c>
      <c r="J153">
        <v>0</v>
      </c>
      <c r="K153" t="s">
        <v>272</v>
      </c>
      <c r="L153"/>
      <c r="M153" t="str">
        <f t="shared" si="95"/>
        <v>Aryapratama_2022</v>
      </c>
      <c r="N153" t="s">
        <v>222</v>
      </c>
      <c r="O153" s="145" t="s">
        <v>274</v>
      </c>
      <c r="P153"/>
      <c r="Q153" t="s">
        <v>224</v>
      </c>
      <c r="R153" s="262" t="s">
        <v>223</v>
      </c>
      <c r="S153" s="263" t="s">
        <v>3104</v>
      </c>
      <c r="T153" t="s">
        <v>299</v>
      </c>
      <c r="U153" t="s">
        <v>300</v>
      </c>
      <c r="V153">
        <v>0</v>
      </c>
      <c r="W153">
        <v>0</v>
      </c>
      <c r="X153">
        <v>0</v>
      </c>
      <c r="Y153">
        <v>0</v>
      </c>
      <c r="Z153">
        <v>0</v>
      </c>
      <c r="AA153">
        <v>0</v>
      </c>
      <c r="AB153">
        <v>0</v>
      </c>
      <c r="AC153">
        <v>0</v>
      </c>
      <c r="AD153">
        <v>0</v>
      </c>
      <c r="AE153">
        <v>0</v>
      </c>
      <c r="AF153">
        <v>0</v>
      </c>
      <c r="AG153">
        <v>0</v>
      </c>
      <c r="AH153">
        <v>0</v>
      </c>
      <c r="AI153">
        <v>0</v>
      </c>
      <c r="AJ153">
        <v>0</v>
      </c>
      <c r="AK153">
        <v>1</v>
      </c>
      <c r="AL153">
        <v>0</v>
      </c>
      <c r="AM153">
        <v>0</v>
      </c>
      <c r="AN153">
        <v>0</v>
      </c>
      <c r="AO153">
        <v>0</v>
      </c>
      <c r="AP153">
        <v>0</v>
      </c>
      <c r="AQ153">
        <v>0</v>
      </c>
      <c r="AR153">
        <v>0</v>
      </c>
      <c r="AS153">
        <v>0</v>
      </c>
      <c r="AT153">
        <v>0</v>
      </c>
      <c r="AU153">
        <v>0</v>
      </c>
      <c r="AV153">
        <v>0</v>
      </c>
      <c r="AW153">
        <v>0</v>
      </c>
      <c r="AX153" s="141">
        <f t="shared" si="70"/>
        <v>1</v>
      </c>
      <c r="AY153" s="141">
        <f t="shared" si="71"/>
        <v>1</v>
      </c>
      <c r="AZ153">
        <f t="shared" si="72"/>
        <v>0</v>
      </c>
      <c r="BA153">
        <f t="shared" si="73"/>
        <v>0</v>
      </c>
      <c r="BB153">
        <f t="shared" si="74"/>
        <v>1</v>
      </c>
      <c r="BC153">
        <f t="shared" si="75"/>
        <v>0</v>
      </c>
      <c r="BD153">
        <f t="shared" si="76"/>
        <v>0</v>
      </c>
      <c r="BE153" t="str">
        <f t="array" ref="BE153">IF(AY153=1,INDEX($V$7:$AL$7,MATCH(TRUE,INDEX($V153:$AW153&lt;&gt;0,),0)),IF(AY153=0,INDEX($AM$7:$AW$7,MATCH(1,$AM153:$AW153,0)),IF(BF153="Multiple strategies","mixed drivers",IF(BF153="Supply chain","multiple supply","multiple silviculture"))))</f>
        <v>technologies/design switch</v>
      </c>
      <c r="BF153" s="2" t="str" cm="1">
        <f t="array" ref="BF153">IF(COUNTIF(AZ153:BB153,"&lt;&gt;0")=1,INDEX($V$4:$AW$4,MATCH(TRUE,INDEX($V153:$AW153&lt;&gt;0,),0)),IF(COUNTIF(AZ153:BB153,"&lt;&gt;0")=0,INDEX($AM$4:$AW$4,MATCH(1,$AM153:$AW153,0)),"Multiple strategies"))</f>
        <v>Technology</v>
      </c>
      <c r="BG153" s="1" t="s">
        <v>229</v>
      </c>
      <c r="BH153" t="s">
        <v>277</v>
      </c>
      <c r="BI153" s="264" t="s">
        <v>3105</v>
      </c>
      <c r="BJ153" t="s">
        <v>278</v>
      </c>
      <c r="BK153">
        <v>0</v>
      </c>
      <c r="BL153">
        <v>226.7291347999585</v>
      </c>
      <c r="BM153"/>
      <c r="BN153">
        <f t="shared" si="77"/>
        <v>226.7291347999585</v>
      </c>
      <c r="BO153">
        <f t="shared" si="78"/>
        <v>984.49472340407522</v>
      </c>
      <c r="BP153" t="s">
        <v>232</v>
      </c>
      <c r="BQ153" s="302" t="s">
        <v>3106</v>
      </c>
      <c r="BR153" t="s">
        <v>279</v>
      </c>
      <c r="BS153">
        <v>-515.07151116792033</v>
      </c>
      <c r="BT153">
        <v>-617.93246272463909</v>
      </c>
      <c r="BU153" s="144">
        <f t="shared" si="79"/>
        <v>1.1997022730367719</v>
      </c>
      <c r="BV153">
        <f t="shared" si="80"/>
        <v>-102.86095155671876</v>
      </c>
      <c r="BW153"/>
      <c r="BX153">
        <f t="shared" si="81"/>
        <v>-102.86095155671876</v>
      </c>
      <c r="BY153">
        <f t="shared" si="51"/>
        <v>-0.10448095770494099</v>
      </c>
      <c r="BZ153">
        <v>0</v>
      </c>
      <c r="CA153">
        <v>0</v>
      </c>
      <c r="CB153">
        <v>0</v>
      </c>
      <c r="CC153">
        <v>0</v>
      </c>
      <c r="CD153">
        <v>0</v>
      </c>
      <c r="CE153">
        <v>0</v>
      </c>
      <c r="CF153">
        <v>0</v>
      </c>
      <c r="CG153">
        <v>0</v>
      </c>
      <c r="CH153">
        <v>0</v>
      </c>
      <c r="CI153">
        <v>0</v>
      </c>
      <c r="CJ153">
        <v>0</v>
      </c>
      <c r="CK153">
        <v>0</v>
      </c>
      <c r="CL153">
        <v>0</v>
      </c>
      <c r="CM153">
        <v>0</v>
      </c>
      <c r="CN153" t="str">
        <f t="shared" si="82"/>
        <v>refOK</v>
      </c>
      <c r="CO153">
        <f t="shared" si="104"/>
        <v>0</v>
      </c>
      <c r="CP153">
        <f t="shared" si="105"/>
        <v>226.7291347999585</v>
      </c>
      <c r="CQ153">
        <f t="shared" si="85"/>
        <v>984.49472340407522</v>
      </c>
      <c r="CR153">
        <f t="shared" si="86"/>
        <v>-515.07151116792033</v>
      </c>
      <c r="CS153">
        <f t="shared" si="87"/>
        <v>-617.93246272463909</v>
      </c>
      <c r="CT153">
        <f t="shared" si="88"/>
        <v>-102.86095155671876</v>
      </c>
      <c r="CU153">
        <f t="shared" si="89"/>
        <v>-0.10448095770494099</v>
      </c>
      <c r="CV153" s="2">
        <f t="shared" si="90"/>
        <v>-0.19970227303677196</v>
      </c>
      <c r="CW153" s="1" t="s">
        <v>234</v>
      </c>
      <c r="CX153" t="str">
        <f t="shared" si="91"/>
        <v>loc</v>
      </c>
      <c r="CY153" t="s">
        <v>280</v>
      </c>
      <c r="CZ153"/>
      <c r="DA153"/>
      <c r="DB153">
        <v>50</v>
      </c>
      <c r="DC153" t="str">
        <f t="shared" si="92"/>
        <v>31-70</v>
      </c>
      <c r="DD153">
        <v>0</v>
      </c>
      <c r="DE153">
        <v>0</v>
      </c>
      <c r="DF153">
        <v>0</v>
      </c>
      <c r="DG153">
        <v>1</v>
      </c>
      <c r="DH153"/>
      <c r="DI153">
        <f t="shared" si="96"/>
        <v>1</v>
      </c>
      <c r="DJ153" t="str">
        <f t="shared" si="97"/>
        <v>TimberInput</v>
      </c>
      <c r="DK153">
        <f t="shared" si="98"/>
        <v>0</v>
      </c>
      <c r="DL153">
        <f t="shared" si="99"/>
        <v>0</v>
      </c>
      <c r="DM153">
        <f t="shared" si="100"/>
        <v>0</v>
      </c>
      <c r="DN153" t="str">
        <f t="shared" si="101"/>
        <v>Timber</v>
      </c>
      <c r="DO153">
        <v>0</v>
      </c>
      <c r="DP153">
        <v>1</v>
      </c>
      <c r="DQ153">
        <v>0</v>
      </c>
      <c r="DR153" t="s">
        <v>301</v>
      </c>
      <c r="DS153">
        <v>0</v>
      </c>
      <c r="DT153">
        <f t="shared" si="102"/>
        <v>1</v>
      </c>
      <c r="DU153" s="143" t="str">
        <f t="shared" si="103"/>
        <v>external DF used</v>
      </c>
      <c r="DV153">
        <v>0</v>
      </c>
      <c r="DW153">
        <v>1</v>
      </c>
      <c r="DX153">
        <v>1</v>
      </c>
      <c r="DY153">
        <v>1</v>
      </c>
      <c r="DZ153">
        <v>1</v>
      </c>
      <c r="EA153" s="143">
        <v>0</v>
      </c>
      <c r="EB153">
        <v>1</v>
      </c>
      <c r="EC153">
        <v>1</v>
      </c>
      <c r="ED153">
        <v>0</v>
      </c>
      <c r="EE153">
        <v>1</v>
      </c>
      <c r="EF153">
        <v>1</v>
      </c>
      <c r="EG153">
        <v>1</v>
      </c>
      <c r="EH153">
        <v>0</v>
      </c>
      <c r="EI153" s="2">
        <v>0</v>
      </c>
      <c r="EJ153" s="1"/>
      <c r="EK153" t="str">
        <f t="shared" si="93"/>
        <v>Whole sector</v>
      </c>
      <c r="EL153" t="str">
        <f t="shared" si="94"/>
        <v/>
      </c>
      <c r="EM153" s="2" t="str">
        <f t="shared" si="67"/>
        <v/>
      </c>
      <c r="EN153"/>
      <c r="EO153"/>
      <c r="EP153" t="str">
        <f>IF(ISNUMBER(BU153),IF(ABS(BU153-[3]QC_indicators!$B$2)&gt;3*[3]QC_indicators!$C$2,"C ratio",IF(ISNUMBER(BY153),IF(ABS(BY153-[3]QC_indicators!$B$1)&gt;3*[3]QC_indicators!$C$1,"DF","no"))),IF(ISNUMBER(BY153),IF(ABS(BY153-[3]QC_indicators!$B$1)&gt;3*[3]QC_indicators!$C$1,"DF","no")))</f>
        <v>no</v>
      </c>
      <c r="EQ153" t="s">
        <v>286</v>
      </c>
      <c r="ER153" t="s">
        <v>296</v>
      </c>
      <c r="ES153"/>
      <c r="ET153" s="264" t="s">
        <v>3272</v>
      </c>
      <c r="EU153"/>
    </row>
    <row r="154" spans="1:151" s="139" customFormat="1" ht="15" hidden="1" customHeight="1">
      <c r="A154" s="1" t="s">
        <v>265</v>
      </c>
      <c r="B154" t="s">
        <v>266</v>
      </c>
      <c r="C154" t="s">
        <v>267</v>
      </c>
      <c r="D154" t="s">
        <v>268</v>
      </c>
      <c r="E154" t="s">
        <v>269</v>
      </c>
      <c r="F154" t="s">
        <v>270</v>
      </c>
      <c r="G154" t="s">
        <v>271</v>
      </c>
      <c r="H154" t="s">
        <v>254</v>
      </c>
      <c r="I154">
        <v>2022</v>
      </c>
      <c r="J154">
        <v>0</v>
      </c>
      <c r="K154" t="s">
        <v>272</v>
      </c>
      <c r="L154"/>
      <c r="M154" t="str">
        <f t="shared" si="95"/>
        <v>Aryapratama_2022</v>
      </c>
      <c r="N154" t="s">
        <v>222</v>
      </c>
      <c r="O154" s="145" t="s">
        <v>274</v>
      </c>
      <c r="P154"/>
      <c r="Q154" t="s">
        <v>224</v>
      </c>
      <c r="R154" s="262" t="s">
        <v>223</v>
      </c>
      <c r="S154" s="263" t="s">
        <v>3104</v>
      </c>
      <c r="T154" t="s">
        <v>295</v>
      </c>
      <c r="U154" t="s">
        <v>289</v>
      </c>
      <c r="V154">
        <v>0</v>
      </c>
      <c r="W154">
        <v>0</v>
      </c>
      <c r="X154">
        <v>0</v>
      </c>
      <c r="Y154">
        <v>0</v>
      </c>
      <c r="Z154">
        <v>0</v>
      </c>
      <c r="AA154">
        <v>0</v>
      </c>
      <c r="AB154">
        <v>0</v>
      </c>
      <c r="AC154">
        <v>0</v>
      </c>
      <c r="AD154">
        <v>0</v>
      </c>
      <c r="AE154">
        <v>0</v>
      </c>
      <c r="AF154">
        <v>0</v>
      </c>
      <c r="AG154">
        <v>0</v>
      </c>
      <c r="AH154">
        <v>0</v>
      </c>
      <c r="AI154">
        <v>0</v>
      </c>
      <c r="AJ154">
        <v>0</v>
      </c>
      <c r="AK154">
        <v>1</v>
      </c>
      <c r="AL154">
        <v>0</v>
      </c>
      <c r="AM154">
        <v>0</v>
      </c>
      <c r="AN154">
        <v>0</v>
      </c>
      <c r="AO154">
        <v>0</v>
      </c>
      <c r="AP154">
        <v>0</v>
      </c>
      <c r="AQ154">
        <v>0</v>
      </c>
      <c r="AR154">
        <v>0</v>
      </c>
      <c r="AS154">
        <v>0</v>
      </c>
      <c r="AT154">
        <v>0</v>
      </c>
      <c r="AU154">
        <v>0</v>
      </c>
      <c r="AV154">
        <v>0</v>
      </c>
      <c r="AW154">
        <v>0</v>
      </c>
      <c r="AX154" s="141">
        <f t="shared" si="70"/>
        <v>1</v>
      </c>
      <c r="AY154" s="141">
        <f t="shared" si="71"/>
        <v>1</v>
      </c>
      <c r="AZ154">
        <f t="shared" si="72"/>
        <v>0</v>
      </c>
      <c r="BA154">
        <f t="shared" si="73"/>
        <v>0</v>
      </c>
      <c r="BB154">
        <f t="shared" si="74"/>
        <v>1</v>
      </c>
      <c r="BC154">
        <f t="shared" si="75"/>
        <v>0</v>
      </c>
      <c r="BD154">
        <f t="shared" si="76"/>
        <v>0</v>
      </c>
      <c r="BE154" t="str">
        <f t="array" ref="BE154">IF(AY154=1,INDEX($V$7:$AL$7,MATCH(TRUE,INDEX($V154:$AW154&lt;&gt;0,),0)),IF(AY154=0,INDEX($AM$7:$AW$7,MATCH(1,$AM154:$AW154,0)),IF(BF154="Multiple strategies","mixed drivers",IF(BF154="Supply chain","multiple supply","multiple silviculture"))))</f>
        <v>technologies/design switch</v>
      </c>
      <c r="BF154" s="2" t="str" cm="1">
        <f t="array" ref="BF154">IF(COUNTIF(AZ154:BB154,"&lt;&gt;0")=1,INDEX($V$4:$AW$4,MATCH(TRUE,INDEX($V154:$AW154&lt;&gt;0,),0)),IF(COUNTIF(AZ154:BB154,"&lt;&gt;0")=0,INDEX($AM$4:$AW$4,MATCH(1,$AM154:$AW154,0)),"Multiple strategies"))</f>
        <v>Technology</v>
      </c>
      <c r="BG154" s="1" t="s">
        <v>229</v>
      </c>
      <c r="BH154" t="s">
        <v>277</v>
      </c>
      <c r="BI154" s="264" t="s">
        <v>3105</v>
      </c>
      <c r="BJ154" t="s">
        <v>278</v>
      </c>
      <c r="BK154">
        <v>0</v>
      </c>
      <c r="BL154">
        <v>429.73725876073206</v>
      </c>
      <c r="BM154"/>
      <c r="BN154">
        <f t="shared" si="77"/>
        <v>429.73725876073206</v>
      </c>
      <c r="BO154">
        <f t="shared" si="78"/>
        <v>1865.9889655264094</v>
      </c>
      <c r="BP154" t="s">
        <v>232</v>
      </c>
      <c r="BQ154" s="302" t="s">
        <v>3106</v>
      </c>
      <c r="BR154" t="s">
        <v>279</v>
      </c>
      <c r="BS154">
        <v>-808.82207371160791</v>
      </c>
      <c r="BT154">
        <v>-990.65809626676389</v>
      </c>
      <c r="BU154" s="144">
        <f t="shared" si="79"/>
        <v>1.224815850686082</v>
      </c>
      <c r="BV154">
        <f t="shared" si="80"/>
        <v>-181.83602255515598</v>
      </c>
      <c r="BW154"/>
      <c r="BX154">
        <f t="shared" si="81"/>
        <v>-181.83602255515598</v>
      </c>
      <c r="BY154">
        <f t="shared" si="51"/>
        <v>-9.7447533674915751E-2</v>
      </c>
      <c r="BZ154">
        <v>0</v>
      </c>
      <c r="CA154">
        <v>0</v>
      </c>
      <c r="CB154">
        <v>0</v>
      </c>
      <c r="CC154">
        <v>0</v>
      </c>
      <c r="CD154">
        <v>0</v>
      </c>
      <c r="CE154">
        <v>0</v>
      </c>
      <c r="CF154">
        <v>0</v>
      </c>
      <c r="CG154">
        <v>0</v>
      </c>
      <c r="CH154">
        <v>0</v>
      </c>
      <c r="CI154">
        <v>0</v>
      </c>
      <c r="CJ154">
        <v>0</v>
      </c>
      <c r="CK154">
        <v>0</v>
      </c>
      <c r="CL154">
        <v>0</v>
      </c>
      <c r="CM154">
        <v>0</v>
      </c>
      <c r="CN154" t="str">
        <f t="shared" si="82"/>
        <v>refOK</v>
      </c>
      <c r="CO154">
        <f t="shared" si="104"/>
        <v>0</v>
      </c>
      <c r="CP154">
        <f t="shared" si="105"/>
        <v>429.73725876073206</v>
      </c>
      <c r="CQ154">
        <f t="shared" si="85"/>
        <v>1865.9889655264094</v>
      </c>
      <c r="CR154">
        <f t="shared" si="86"/>
        <v>-808.82207371160791</v>
      </c>
      <c r="CS154">
        <f t="shared" si="87"/>
        <v>-990.65809626676389</v>
      </c>
      <c r="CT154">
        <f t="shared" si="88"/>
        <v>-181.83602255515598</v>
      </c>
      <c r="CU154">
        <f t="shared" si="89"/>
        <v>-9.7447533674915751E-2</v>
      </c>
      <c r="CV154" s="2">
        <f t="shared" si="90"/>
        <v>-0.2248158506860819</v>
      </c>
      <c r="CW154" s="1" t="s">
        <v>234</v>
      </c>
      <c r="CX154" t="str">
        <f t="shared" si="91"/>
        <v>loc</v>
      </c>
      <c r="CY154" t="s">
        <v>280</v>
      </c>
      <c r="CZ154"/>
      <c r="DA154"/>
      <c r="DB154">
        <v>100</v>
      </c>
      <c r="DC154" t="str">
        <f t="shared" si="92"/>
        <v>71-100</v>
      </c>
      <c r="DD154">
        <v>0</v>
      </c>
      <c r="DE154">
        <v>0</v>
      </c>
      <c r="DF154">
        <v>0</v>
      </c>
      <c r="DG154">
        <v>1</v>
      </c>
      <c r="DH154"/>
      <c r="DI154">
        <f t="shared" si="96"/>
        <v>1</v>
      </c>
      <c r="DJ154" t="str">
        <f t="shared" si="97"/>
        <v>TimberInput</v>
      </c>
      <c r="DK154">
        <f t="shared" si="98"/>
        <v>0</v>
      </c>
      <c r="DL154">
        <f t="shared" si="99"/>
        <v>0</v>
      </c>
      <c r="DM154">
        <f t="shared" si="100"/>
        <v>0</v>
      </c>
      <c r="DN154" t="str">
        <f t="shared" si="101"/>
        <v>Timber</v>
      </c>
      <c r="DO154">
        <v>0</v>
      </c>
      <c r="DP154">
        <v>1</v>
      </c>
      <c r="DQ154">
        <v>0</v>
      </c>
      <c r="DR154" t="s">
        <v>292</v>
      </c>
      <c r="DS154">
        <v>0</v>
      </c>
      <c r="DT154">
        <f t="shared" si="102"/>
        <v>1</v>
      </c>
      <c r="DU154" s="143" t="str">
        <f t="shared" si="103"/>
        <v>external DF used</v>
      </c>
      <c r="DV154">
        <v>0</v>
      </c>
      <c r="DW154">
        <v>1</v>
      </c>
      <c r="DX154">
        <v>1</v>
      </c>
      <c r="DY154">
        <v>1</v>
      </c>
      <c r="DZ154">
        <v>1</v>
      </c>
      <c r="EA154" s="143">
        <v>0</v>
      </c>
      <c r="EB154">
        <v>1</v>
      </c>
      <c r="EC154">
        <v>1</v>
      </c>
      <c r="ED154">
        <v>0</v>
      </c>
      <c r="EE154">
        <v>1</v>
      </c>
      <c r="EF154">
        <v>1</v>
      </c>
      <c r="EG154">
        <v>1</v>
      </c>
      <c r="EH154">
        <v>0</v>
      </c>
      <c r="EI154" s="2">
        <v>0</v>
      </c>
      <c r="EJ154" s="1"/>
      <c r="EK154" t="str">
        <f t="shared" si="93"/>
        <v>Whole sector</v>
      </c>
      <c r="EL154" t="str">
        <f t="shared" si="94"/>
        <v/>
      </c>
      <c r="EM154" s="2" t="str">
        <f t="shared" si="67"/>
        <v/>
      </c>
      <c r="EN154"/>
      <c r="EO154"/>
      <c r="EP154" t="str">
        <f>IF(ISNUMBER(BU154),IF(ABS(BU154-[3]QC_indicators!$B$2)&gt;3*[3]QC_indicators!$C$2,"C ratio",IF(ISNUMBER(BY154),IF(ABS(BY154-[3]QC_indicators!$B$1)&gt;3*[3]QC_indicators!$C$1,"DF","no"))),IF(ISNUMBER(BY154),IF(ABS(BY154-[3]QC_indicators!$B$1)&gt;3*[3]QC_indicators!$C$1,"DF","no")))</f>
        <v>no</v>
      </c>
      <c r="EQ154" t="s">
        <v>286</v>
      </c>
      <c r="ER154" t="s">
        <v>296</v>
      </c>
      <c r="ES154"/>
      <c r="ET154" s="264" t="s">
        <v>3272</v>
      </c>
      <c r="EU154"/>
    </row>
    <row r="155" spans="1:151" s="139" customFormat="1" ht="15" hidden="1" customHeight="1">
      <c r="A155" s="1" t="s">
        <v>265</v>
      </c>
      <c r="B155" t="s">
        <v>266</v>
      </c>
      <c r="C155" t="s">
        <v>267</v>
      </c>
      <c r="D155" t="s">
        <v>268</v>
      </c>
      <c r="E155" t="s">
        <v>269</v>
      </c>
      <c r="F155" t="s">
        <v>270</v>
      </c>
      <c r="G155" t="s">
        <v>271</v>
      </c>
      <c r="H155" t="s">
        <v>254</v>
      </c>
      <c r="I155">
        <v>2022</v>
      </c>
      <c r="J155">
        <v>0</v>
      </c>
      <c r="K155" t="s">
        <v>272</v>
      </c>
      <c r="L155"/>
      <c r="M155" t="str">
        <f t="shared" si="95"/>
        <v>Aryapratama_2022</v>
      </c>
      <c r="N155" t="s">
        <v>222</v>
      </c>
      <c r="O155" s="145" t="s">
        <v>274</v>
      </c>
      <c r="P155"/>
      <c r="Q155" t="s">
        <v>224</v>
      </c>
      <c r="R155" s="262" t="s">
        <v>223</v>
      </c>
      <c r="S155" s="263" t="s">
        <v>3104</v>
      </c>
      <c r="T155" t="s">
        <v>299</v>
      </c>
      <c r="U155" t="s">
        <v>300</v>
      </c>
      <c r="V155">
        <v>0</v>
      </c>
      <c r="W155">
        <v>0</v>
      </c>
      <c r="X155">
        <v>0</v>
      </c>
      <c r="Y155">
        <v>0</v>
      </c>
      <c r="Z155">
        <v>0</v>
      </c>
      <c r="AA155">
        <v>0</v>
      </c>
      <c r="AB155">
        <v>0</v>
      </c>
      <c r="AC155">
        <v>0</v>
      </c>
      <c r="AD155">
        <v>0</v>
      </c>
      <c r="AE155">
        <v>0</v>
      </c>
      <c r="AF155">
        <v>0</v>
      </c>
      <c r="AG155">
        <v>0</v>
      </c>
      <c r="AH155">
        <v>0</v>
      </c>
      <c r="AI155">
        <v>0</v>
      </c>
      <c r="AJ155">
        <v>0</v>
      </c>
      <c r="AK155">
        <v>1</v>
      </c>
      <c r="AL155">
        <v>0</v>
      </c>
      <c r="AM155">
        <v>0</v>
      </c>
      <c r="AN155">
        <v>0</v>
      </c>
      <c r="AO155">
        <v>0</v>
      </c>
      <c r="AP155">
        <v>0</v>
      </c>
      <c r="AQ155">
        <v>0</v>
      </c>
      <c r="AR155">
        <v>0</v>
      </c>
      <c r="AS155">
        <v>0</v>
      </c>
      <c r="AT155">
        <v>0</v>
      </c>
      <c r="AU155">
        <v>0</v>
      </c>
      <c r="AV155">
        <v>0</v>
      </c>
      <c r="AW155">
        <v>0</v>
      </c>
      <c r="AX155" s="141">
        <f t="shared" si="70"/>
        <v>1</v>
      </c>
      <c r="AY155" s="141">
        <f t="shared" si="71"/>
        <v>1</v>
      </c>
      <c r="AZ155">
        <f t="shared" si="72"/>
        <v>0</v>
      </c>
      <c r="BA155">
        <f t="shared" si="73"/>
        <v>0</v>
      </c>
      <c r="BB155">
        <f t="shared" si="74"/>
        <v>1</v>
      </c>
      <c r="BC155">
        <f t="shared" si="75"/>
        <v>0</v>
      </c>
      <c r="BD155">
        <f t="shared" si="76"/>
        <v>0</v>
      </c>
      <c r="BE155" t="str">
        <f t="array" ref="BE155">IF(AY155=1,INDEX($V$7:$AL$7,MATCH(TRUE,INDEX($V155:$AW155&lt;&gt;0,),0)),IF(AY155=0,INDEX($AM$7:$AW$7,MATCH(1,$AM155:$AW155,0)),IF(BF155="Multiple strategies","mixed drivers",IF(BF155="Supply chain","multiple supply","multiple silviculture"))))</f>
        <v>technologies/design switch</v>
      </c>
      <c r="BF155" s="2" t="str" cm="1">
        <f t="array" ref="BF155">IF(COUNTIF(AZ155:BB155,"&lt;&gt;0")=1,INDEX($V$4:$AW$4,MATCH(TRUE,INDEX($V155:$AW155&lt;&gt;0,),0)),IF(COUNTIF(AZ155:BB155,"&lt;&gt;0")=0,INDEX($AM$4:$AW$4,MATCH(1,$AM155:$AW155,0)),"Multiple strategies"))</f>
        <v>Technology</v>
      </c>
      <c r="BG155" s="1" t="s">
        <v>229</v>
      </c>
      <c r="BH155" t="s">
        <v>277</v>
      </c>
      <c r="BI155" s="264" t="s">
        <v>3105</v>
      </c>
      <c r="BJ155" t="s">
        <v>278</v>
      </c>
      <c r="BK155">
        <v>0</v>
      </c>
      <c r="BL155">
        <v>363.45340303763226</v>
      </c>
      <c r="BM155"/>
      <c r="BN155">
        <f t="shared" si="77"/>
        <v>363.45340303763226</v>
      </c>
      <c r="BO155">
        <f t="shared" si="78"/>
        <v>1578.1736996857676</v>
      </c>
      <c r="BP155" t="s">
        <v>232</v>
      </c>
      <c r="BQ155" s="302" t="s">
        <v>3106</v>
      </c>
      <c r="BR155" t="s">
        <v>279</v>
      </c>
      <c r="BS155">
        <v>-642.71245617211093</v>
      </c>
      <c r="BT155">
        <v>-768.12774512252213</v>
      </c>
      <c r="BU155" s="144">
        <f t="shared" si="79"/>
        <v>1.1951343680148412</v>
      </c>
      <c r="BV155">
        <f t="shared" si="80"/>
        <v>-125.4152889504112</v>
      </c>
      <c r="BW155"/>
      <c r="BX155">
        <f t="shared" si="81"/>
        <v>-125.4152889504112</v>
      </c>
      <c r="BY155">
        <f t="shared" si="51"/>
        <v>-7.9468621847761628E-2</v>
      </c>
      <c r="BZ155">
        <v>0</v>
      </c>
      <c r="CA155">
        <v>0</v>
      </c>
      <c r="CB155">
        <v>0</v>
      </c>
      <c r="CC155">
        <v>0</v>
      </c>
      <c r="CD155">
        <v>0</v>
      </c>
      <c r="CE155">
        <v>0</v>
      </c>
      <c r="CF155">
        <v>0</v>
      </c>
      <c r="CG155">
        <v>0</v>
      </c>
      <c r="CH155">
        <v>0</v>
      </c>
      <c r="CI155">
        <v>0</v>
      </c>
      <c r="CJ155">
        <v>0</v>
      </c>
      <c r="CK155">
        <v>0</v>
      </c>
      <c r="CL155">
        <v>0</v>
      </c>
      <c r="CM155">
        <v>0</v>
      </c>
      <c r="CN155" t="str">
        <f t="shared" si="82"/>
        <v>refOK</v>
      </c>
      <c r="CO155">
        <f t="shared" si="104"/>
        <v>0</v>
      </c>
      <c r="CP155">
        <f t="shared" si="105"/>
        <v>363.45340303763226</v>
      </c>
      <c r="CQ155">
        <f t="shared" si="85"/>
        <v>1578.1736996857676</v>
      </c>
      <c r="CR155">
        <f t="shared" si="86"/>
        <v>-642.71245617211093</v>
      </c>
      <c r="CS155">
        <f t="shared" si="87"/>
        <v>-768.12774512252213</v>
      </c>
      <c r="CT155">
        <f t="shared" si="88"/>
        <v>-125.4152889504112</v>
      </c>
      <c r="CU155">
        <f t="shared" si="89"/>
        <v>-7.9468621847761628E-2</v>
      </c>
      <c r="CV155" s="2">
        <f t="shared" si="90"/>
        <v>-0.19513436801484121</v>
      </c>
      <c r="CW155" s="1" t="s">
        <v>234</v>
      </c>
      <c r="CX155" t="str">
        <f t="shared" si="91"/>
        <v>loc</v>
      </c>
      <c r="CY155" t="s">
        <v>280</v>
      </c>
      <c r="CZ155"/>
      <c r="DA155"/>
      <c r="DB155">
        <v>100</v>
      </c>
      <c r="DC155" t="str">
        <f t="shared" si="92"/>
        <v>71-100</v>
      </c>
      <c r="DD155">
        <v>0</v>
      </c>
      <c r="DE155">
        <v>0</v>
      </c>
      <c r="DF155">
        <v>0</v>
      </c>
      <c r="DG155">
        <v>1</v>
      </c>
      <c r="DH155"/>
      <c r="DI155">
        <f t="shared" si="96"/>
        <v>1</v>
      </c>
      <c r="DJ155" t="str">
        <f t="shared" si="97"/>
        <v>TimberInput</v>
      </c>
      <c r="DK155">
        <f t="shared" si="98"/>
        <v>0</v>
      </c>
      <c r="DL155">
        <f t="shared" si="99"/>
        <v>0</v>
      </c>
      <c r="DM155">
        <f t="shared" si="100"/>
        <v>0</v>
      </c>
      <c r="DN155" t="str">
        <f t="shared" si="101"/>
        <v>Timber</v>
      </c>
      <c r="DO155">
        <v>0</v>
      </c>
      <c r="DP155">
        <v>1</v>
      </c>
      <c r="DQ155">
        <v>0</v>
      </c>
      <c r="DR155" t="s">
        <v>301</v>
      </c>
      <c r="DS155">
        <v>0</v>
      </c>
      <c r="DT155">
        <f t="shared" si="102"/>
        <v>1</v>
      </c>
      <c r="DU155" s="143" t="str">
        <f t="shared" si="103"/>
        <v>external DF used</v>
      </c>
      <c r="DV155">
        <v>0</v>
      </c>
      <c r="DW155">
        <v>1</v>
      </c>
      <c r="DX155">
        <v>1</v>
      </c>
      <c r="DY155">
        <v>1</v>
      </c>
      <c r="DZ155">
        <v>1</v>
      </c>
      <c r="EA155" s="143">
        <v>0</v>
      </c>
      <c r="EB155">
        <v>1</v>
      </c>
      <c r="EC155">
        <v>1</v>
      </c>
      <c r="ED155">
        <v>0</v>
      </c>
      <c r="EE155">
        <v>1</v>
      </c>
      <c r="EF155">
        <v>1</v>
      </c>
      <c r="EG155">
        <v>1</v>
      </c>
      <c r="EH155">
        <v>0</v>
      </c>
      <c r="EI155" s="2">
        <v>0</v>
      </c>
      <c r="EJ155" s="1"/>
      <c r="EK155" t="str">
        <f t="shared" si="93"/>
        <v>Whole sector</v>
      </c>
      <c r="EL155" t="str">
        <f t="shared" si="94"/>
        <v/>
      </c>
      <c r="EM155" s="2" t="str">
        <f t="shared" si="67"/>
        <v/>
      </c>
      <c r="EN155"/>
      <c r="EO155"/>
      <c r="EP155" t="str">
        <f>IF(ISNUMBER(BU155),IF(ABS(BU155-[3]QC_indicators!$B$2)&gt;3*[3]QC_indicators!$C$2,"C ratio",IF(ISNUMBER(BY155),IF(ABS(BY155-[3]QC_indicators!$B$1)&gt;3*[3]QC_indicators!$C$1,"DF","no"))),IF(ISNUMBER(BY155),IF(ABS(BY155-[3]QC_indicators!$B$1)&gt;3*[3]QC_indicators!$C$1,"DF","no")))</f>
        <v>no</v>
      </c>
      <c r="EQ155" t="s">
        <v>286</v>
      </c>
      <c r="ER155" t="s">
        <v>296</v>
      </c>
      <c r="ES155"/>
      <c r="ET155" s="264" t="s">
        <v>3272</v>
      </c>
      <c r="EU155"/>
    </row>
    <row r="156" spans="1:151" s="139" customFormat="1" ht="15" hidden="1" customHeight="1">
      <c r="A156" s="1" t="s">
        <v>265</v>
      </c>
      <c r="B156" t="s">
        <v>266</v>
      </c>
      <c r="C156" t="s">
        <v>267</v>
      </c>
      <c r="D156" t="s">
        <v>268</v>
      </c>
      <c r="E156" t="s">
        <v>269</v>
      </c>
      <c r="F156" t="s">
        <v>270</v>
      </c>
      <c r="G156" t="s">
        <v>271</v>
      </c>
      <c r="H156" t="s">
        <v>254</v>
      </c>
      <c r="I156">
        <v>2022</v>
      </c>
      <c r="J156">
        <v>0</v>
      </c>
      <c r="K156" t="s">
        <v>272</v>
      </c>
      <c r="L156"/>
      <c r="M156" t="str">
        <f t="shared" si="95"/>
        <v>Aryapratama_2022</v>
      </c>
      <c r="N156" t="s">
        <v>222</v>
      </c>
      <c r="O156" s="145" t="s">
        <v>274</v>
      </c>
      <c r="P156"/>
      <c r="Q156" t="s">
        <v>224</v>
      </c>
      <c r="R156" s="262" t="s">
        <v>223</v>
      </c>
      <c r="S156" s="263" t="s">
        <v>3104</v>
      </c>
      <c r="T156" t="s">
        <v>329</v>
      </c>
      <c r="U156" t="s">
        <v>330</v>
      </c>
      <c r="V156">
        <v>0</v>
      </c>
      <c r="W156">
        <v>0</v>
      </c>
      <c r="X156">
        <v>0</v>
      </c>
      <c r="Y156">
        <v>0</v>
      </c>
      <c r="Z156">
        <v>0</v>
      </c>
      <c r="AA156">
        <v>0</v>
      </c>
      <c r="AB156">
        <v>0</v>
      </c>
      <c r="AC156">
        <v>0</v>
      </c>
      <c r="AD156">
        <v>0</v>
      </c>
      <c r="AE156">
        <v>0</v>
      </c>
      <c r="AF156">
        <v>0</v>
      </c>
      <c r="AG156">
        <v>0</v>
      </c>
      <c r="AH156">
        <v>0</v>
      </c>
      <c r="AI156">
        <v>0</v>
      </c>
      <c r="AJ156">
        <v>0</v>
      </c>
      <c r="AK156">
        <v>1</v>
      </c>
      <c r="AL156">
        <v>0</v>
      </c>
      <c r="AM156">
        <v>0</v>
      </c>
      <c r="AN156">
        <v>0</v>
      </c>
      <c r="AO156">
        <v>0</v>
      </c>
      <c r="AP156">
        <v>0</v>
      </c>
      <c r="AQ156">
        <v>0</v>
      </c>
      <c r="AR156">
        <v>0</v>
      </c>
      <c r="AS156">
        <v>0</v>
      </c>
      <c r="AT156">
        <v>0</v>
      </c>
      <c r="AU156">
        <v>0</v>
      </c>
      <c r="AV156">
        <v>0</v>
      </c>
      <c r="AW156">
        <v>0</v>
      </c>
      <c r="AX156" s="141">
        <f t="shared" si="70"/>
        <v>1</v>
      </c>
      <c r="AY156" s="141">
        <f t="shared" si="71"/>
        <v>1</v>
      </c>
      <c r="AZ156">
        <f t="shared" si="72"/>
        <v>0</v>
      </c>
      <c r="BA156">
        <f t="shared" si="73"/>
        <v>0</v>
      </c>
      <c r="BB156">
        <f t="shared" si="74"/>
        <v>1</v>
      </c>
      <c r="BC156">
        <f t="shared" si="75"/>
        <v>0</v>
      </c>
      <c r="BD156">
        <f t="shared" si="76"/>
        <v>0</v>
      </c>
      <c r="BE156" t="str">
        <f t="array" ref="BE156">IF(AY156=1,INDEX($V$7:$AL$7,MATCH(TRUE,INDEX($V156:$AW156&lt;&gt;0,),0)),IF(AY156=0,INDEX($AM$7:$AW$7,MATCH(1,$AM156:$AW156,0)),IF(BF156="Multiple strategies","mixed drivers",IF(BF156="Supply chain","multiple supply","multiple silviculture"))))</f>
        <v>technologies/design switch</v>
      </c>
      <c r="BF156" s="2" t="str" cm="1">
        <f t="array" ref="BF156">IF(COUNTIF(AZ156:BB156,"&lt;&gt;0")=1,INDEX($V$4:$AW$4,MATCH(TRUE,INDEX($V156:$AW156&lt;&gt;0,),0)),IF(COUNTIF(AZ156:BB156,"&lt;&gt;0")=0,INDEX($AM$4:$AW$4,MATCH(1,$AM156:$AW156,0)),"Multiple strategies"))</f>
        <v>Technology</v>
      </c>
      <c r="BG156" s="1" t="s">
        <v>229</v>
      </c>
      <c r="BH156" t="s">
        <v>277</v>
      </c>
      <c r="BI156" s="264" t="s">
        <v>3105</v>
      </c>
      <c r="BJ156" t="s">
        <v>278</v>
      </c>
      <c r="BK156">
        <v>0</v>
      </c>
      <c r="BL156">
        <v>373.18339622641508</v>
      </c>
      <c r="BM156"/>
      <c r="BN156">
        <f t="shared" si="77"/>
        <v>373.18339622641508</v>
      </c>
      <c r="BO156">
        <f t="shared" si="78"/>
        <v>1620.4229102319371</v>
      </c>
      <c r="BP156" t="s">
        <v>232</v>
      </c>
      <c r="BQ156" s="302" t="s">
        <v>3106</v>
      </c>
      <c r="BR156" t="s">
        <v>279</v>
      </c>
      <c r="BS156">
        <v>-729.83506452863935</v>
      </c>
      <c r="BT156">
        <v>-858.14682671510911</v>
      </c>
      <c r="BU156" s="144">
        <f t="shared" si="79"/>
        <v>1.1758092594103291</v>
      </c>
      <c r="BV156">
        <f t="shared" si="80"/>
        <v>-128.31176218646976</v>
      </c>
      <c r="BW156"/>
      <c r="BX156">
        <f t="shared" si="81"/>
        <v>-128.31176218646976</v>
      </c>
      <c r="BY156">
        <f t="shared" si="51"/>
        <v>-7.9184120007352921E-2</v>
      </c>
      <c r="BZ156">
        <v>0</v>
      </c>
      <c r="CA156">
        <v>0</v>
      </c>
      <c r="CB156">
        <v>0</v>
      </c>
      <c r="CC156">
        <v>0</v>
      </c>
      <c r="CD156">
        <v>0</v>
      </c>
      <c r="CE156">
        <v>0</v>
      </c>
      <c r="CF156">
        <v>0</v>
      </c>
      <c r="CG156">
        <v>0</v>
      </c>
      <c r="CH156">
        <v>0</v>
      </c>
      <c r="CI156">
        <v>0</v>
      </c>
      <c r="CJ156">
        <v>0</v>
      </c>
      <c r="CK156">
        <v>0</v>
      </c>
      <c r="CL156">
        <v>0</v>
      </c>
      <c r="CM156">
        <v>0</v>
      </c>
      <c r="CN156" t="str">
        <f t="shared" si="82"/>
        <v>refOK</v>
      </c>
      <c r="CO156">
        <f t="shared" si="104"/>
        <v>0</v>
      </c>
      <c r="CP156">
        <f t="shared" si="105"/>
        <v>373.18339622641508</v>
      </c>
      <c r="CQ156">
        <f t="shared" si="85"/>
        <v>1620.4229102319371</v>
      </c>
      <c r="CR156">
        <f t="shared" si="86"/>
        <v>-729.83506452863935</v>
      </c>
      <c r="CS156">
        <f t="shared" si="87"/>
        <v>-858.14682671510911</v>
      </c>
      <c r="CT156">
        <f t="shared" si="88"/>
        <v>-128.31176218646976</v>
      </c>
      <c r="CU156">
        <f t="shared" si="89"/>
        <v>-7.9184120007352921E-2</v>
      </c>
      <c r="CV156" s="2">
        <f t="shared" si="90"/>
        <v>-0.17580925941032902</v>
      </c>
      <c r="CW156" s="1" t="s">
        <v>234</v>
      </c>
      <c r="CX156" t="str">
        <f t="shared" si="91"/>
        <v>loc</v>
      </c>
      <c r="CY156" t="s">
        <v>280</v>
      </c>
      <c r="CZ156"/>
      <c r="DA156"/>
      <c r="DB156">
        <v>200</v>
      </c>
      <c r="DC156" t="str">
        <f t="shared" si="92"/>
        <v>+100</v>
      </c>
      <c r="DD156">
        <v>0</v>
      </c>
      <c r="DE156">
        <v>1</v>
      </c>
      <c r="DF156">
        <v>0</v>
      </c>
      <c r="DG156">
        <v>0</v>
      </c>
      <c r="DH156"/>
      <c r="DI156">
        <f t="shared" si="96"/>
        <v>1</v>
      </c>
      <c r="DJ156" t="str">
        <f t="shared" si="97"/>
        <v>EnergyInput</v>
      </c>
      <c r="DK156">
        <f t="shared" si="98"/>
        <v>0</v>
      </c>
      <c r="DL156" t="str">
        <f t="shared" si="99"/>
        <v>Energy</v>
      </c>
      <c r="DM156">
        <f t="shared" si="100"/>
        <v>0</v>
      </c>
      <c r="DN156">
        <f t="shared" si="101"/>
        <v>0</v>
      </c>
      <c r="DO156">
        <v>0</v>
      </c>
      <c r="DP156">
        <v>1</v>
      </c>
      <c r="DQ156" t="s">
        <v>304</v>
      </c>
      <c r="DR156">
        <v>0</v>
      </c>
      <c r="DS156">
        <v>0</v>
      </c>
      <c r="DT156">
        <f t="shared" si="102"/>
        <v>1</v>
      </c>
      <c r="DU156" s="143" t="str">
        <f t="shared" si="103"/>
        <v>external DF used</v>
      </c>
      <c r="DV156">
        <v>0</v>
      </c>
      <c r="DW156">
        <v>1</v>
      </c>
      <c r="DX156">
        <v>1</v>
      </c>
      <c r="DY156">
        <v>1</v>
      </c>
      <c r="DZ156">
        <v>1</v>
      </c>
      <c r="EA156" s="143">
        <v>0</v>
      </c>
      <c r="EB156">
        <v>1</v>
      </c>
      <c r="EC156">
        <v>1</v>
      </c>
      <c r="ED156">
        <v>0</v>
      </c>
      <c r="EE156">
        <v>1</v>
      </c>
      <c r="EF156">
        <v>1</v>
      </c>
      <c r="EG156">
        <v>1</v>
      </c>
      <c r="EH156">
        <v>0</v>
      </c>
      <c r="EI156" s="2">
        <v>0</v>
      </c>
      <c r="EJ156" s="1"/>
      <c r="EK156" t="str">
        <f t="shared" si="93"/>
        <v>Whole sector</v>
      </c>
      <c r="EL156" t="str">
        <f t="shared" si="94"/>
        <v/>
      </c>
      <c r="EM156" s="2" t="str">
        <f t="shared" si="67"/>
        <v/>
      </c>
      <c r="EN156"/>
      <c r="EO156"/>
      <c r="EP156" t="str">
        <f>IF(ISNUMBER(BU156),IF(ABS(BU156-[3]QC_indicators!$B$2)&gt;3*[3]QC_indicators!$C$2,"C ratio",IF(ISNUMBER(BY156),IF(ABS(BY156-[3]QC_indicators!$B$1)&gt;3*[3]QC_indicators!$C$1,"DF","no"))),IF(ISNUMBER(BY156),IF(ABS(BY156-[3]QC_indicators!$B$1)&gt;3*[3]QC_indicators!$C$1,"DF","no")))</f>
        <v>no</v>
      </c>
      <c r="EQ156" t="s">
        <v>286</v>
      </c>
      <c r="ER156"/>
      <c r="ES156"/>
      <c r="ET156" s="264" t="s">
        <v>3272</v>
      </c>
      <c r="EU156"/>
    </row>
    <row r="157" spans="1:151" s="139" customFormat="1" ht="15" hidden="1" customHeight="1">
      <c r="A157" s="1" t="s">
        <v>265</v>
      </c>
      <c r="B157" t="s">
        <v>266</v>
      </c>
      <c r="C157" t="s">
        <v>267</v>
      </c>
      <c r="D157" t="s">
        <v>268</v>
      </c>
      <c r="E157" t="s">
        <v>269</v>
      </c>
      <c r="F157" t="s">
        <v>270</v>
      </c>
      <c r="G157" t="s">
        <v>271</v>
      </c>
      <c r="H157" t="s">
        <v>254</v>
      </c>
      <c r="I157">
        <v>2022</v>
      </c>
      <c r="J157">
        <v>0</v>
      </c>
      <c r="K157" t="s">
        <v>272</v>
      </c>
      <c r="L157"/>
      <c r="M157" t="str">
        <f t="shared" si="95"/>
        <v>Aryapratama_2022</v>
      </c>
      <c r="N157" t="s">
        <v>222</v>
      </c>
      <c r="O157" s="145" t="s">
        <v>274</v>
      </c>
      <c r="P157"/>
      <c r="Q157" t="s">
        <v>224</v>
      </c>
      <c r="R157" s="262" t="s">
        <v>223</v>
      </c>
      <c r="S157" s="263" t="s">
        <v>3104</v>
      </c>
      <c r="T157" t="s">
        <v>299</v>
      </c>
      <c r="U157" t="s">
        <v>300</v>
      </c>
      <c r="V157">
        <v>0</v>
      </c>
      <c r="W157">
        <v>0</v>
      </c>
      <c r="X157">
        <v>0</v>
      </c>
      <c r="Y157">
        <v>0</v>
      </c>
      <c r="Z157">
        <v>0</v>
      </c>
      <c r="AA157">
        <v>0</v>
      </c>
      <c r="AB157">
        <v>0</v>
      </c>
      <c r="AC157">
        <v>0</v>
      </c>
      <c r="AD157">
        <v>0</v>
      </c>
      <c r="AE157">
        <v>0</v>
      </c>
      <c r="AF157">
        <v>0</v>
      </c>
      <c r="AG157">
        <v>0</v>
      </c>
      <c r="AH157">
        <v>0</v>
      </c>
      <c r="AI157">
        <v>0</v>
      </c>
      <c r="AJ157">
        <v>0</v>
      </c>
      <c r="AK157">
        <v>1</v>
      </c>
      <c r="AL157">
        <v>0</v>
      </c>
      <c r="AM157">
        <v>0</v>
      </c>
      <c r="AN157">
        <v>0</v>
      </c>
      <c r="AO157">
        <v>0</v>
      </c>
      <c r="AP157">
        <v>0</v>
      </c>
      <c r="AQ157">
        <v>0</v>
      </c>
      <c r="AR157">
        <v>0</v>
      </c>
      <c r="AS157">
        <v>0</v>
      </c>
      <c r="AT157">
        <v>0</v>
      </c>
      <c r="AU157">
        <v>0</v>
      </c>
      <c r="AV157">
        <v>0</v>
      </c>
      <c r="AW157">
        <v>0</v>
      </c>
      <c r="AX157" s="141">
        <f t="shared" si="70"/>
        <v>1</v>
      </c>
      <c r="AY157" s="141">
        <f t="shared" si="71"/>
        <v>1</v>
      </c>
      <c r="AZ157">
        <f t="shared" si="72"/>
        <v>0</v>
      </c>
      <c r="BA157">
        <f t="shared" si="73"/>
        <v>0</v>
      </c>
      <c r="BB157">
        <f t="shared" si="74"/>
        <v>1</v>
      </c>
      <c r="BC157">
        <f t="shared" si="75"/>
        <v>0</v>
      </c>
      <c r="BD157">
        <f t="shared" si="76"/>
        <v>0</v>
      </c>
      <c r="BE157" t="str">
        <f t="array" ref="BE157">IF(AY157=1,INDEX($V$7:$AL$7,MATCH(TRUE,INDEX($V157:$AW157&lt;&gt;0,),0)),IF(AY157=0,INDEX($AM$7:$AW$7,MATCH(1,$AM157:$AW157,0)),IF(BF157="Multiple strategies","mixed drivers",IF(BF157="Supply chain","multiple supply","multiple silviculture"))))</f>
        <v>technologies/design switch</v>
      </c>
      <c r="BF157" s="2" t="str" cm="1">
        <f t="array" ref="BF157">IF(COUNTIF(AZ157:BB157,"&lt;&gt;0")=1,INDEX($V$4:$AW$4,MATCH(TRUE,INDEX($V157:$AW157&lt;&gt;0,),0)),IF(COUNTIF(AZ157:BB157,"&lt;&gt;0")=0,INDEX($AM$4:$AW$4,MATCH(1,$AM157:$AW157,0)),"Multiple strategies"))</f>
        <v>Technology</v>
      </c>
      <c r="BG157" s="1" t="s">
        <v>229</v>
      </c>
      <c r="BH157" t="s">
        <v>277</v>
      </c>
      <c r="BI157" s="264" t="s">
        <v>3105</v>
      </c>
      <c r="BJ157" t="s">
        <v>278</v>
      </c>
      <c r="BK157">
        <v>0</v>
      </c>
      <c r="BL157">
        <v>591.32718343375518</v>
      </c>
      <c r="BM157"/>
      <c r="BN157">
        <f t="shared" si="77"/>
        <v>591.32718343375518</v>
      </c>
      <c r="BO157">
        <f t="shared" si="78"/>
        <v>2567.6386601552549</v>
      </c>
      <c r="BP157" t="s">
        <v>232</v>
      </c>
      <c r="BQ157" s="302" t="s">
        <v>3106</v>
      </c>
      <c r="BR157" t="s">
        <v>279</v>
      </c>
      <c r="BS157">
        <v>-904.95784112113733</v>
      </c>
      <c r="BT157">
        <v>-956.54496754124091</v>
      </c>
      <c r="BU157" s="144">
        <f t="shared" si="79"/>
        <v>1.0570050051792392</v>
      </c>
      <c r="BV157">
        <f t="shared" si="80"/>
        <v>-51.587126420103573</v>
      </c>
      <c r="BW157"/>
      <c r="BX157">
        <f t="shared" si="81"/>
        <v>-51.587126420103573</v>
      </c>
      <c r="BY157">
        <f t="shared" si="51"/>
        <v>-2.0091271883631908E-2</v>
      </c>
      <c r="BZ157">
        <v>0</v>
      </c>
      <c r="CA157">
        <v>0</v>
      </c>
      <c r="CB157">
        <v>0</v>
      </c>
      <c r="CC157">
        <v>0</v>
      </c>
      <c r="CD157">
        <v>0</v>
      </c>
      <c r="CE157">
        <v>0</v>
      </c>
      <c r="CF157">
        <v>0</v>
      </c>
      <c r="CG157">
        <v>0</v>
      </c>
      <c r="CH157">
        <v>0</v>
      </c>
      <c r="CI157">
        <v>0</v>
      </c>
      <c r="CJ157">
        <v>0</v>
      </c>
      <c r="CK157">
        <v>0</v>
      </c>
      <c r="CL157">
        <v>0</v>
      </c>
      <c r="CM157">
        <v>0</v>
      </c>
      <c r="CN157" t="str">
        <f t="shared" si="82"/>
        <v>refOK</v>
      </c>
      <c r="CO157">
        <f>IF($CN157="refNeedCorrection",BL157,BK157)</f>
        <v>0</v>
      </c>
      <c r="CP157">
        <f>IF($CN157="refNeedCorrection",BK157,BL157)</f>
        <v>591.32718343375518</v>
      </c>
      <c r="CQ157">
        <f t="shared" si="85"/>
        <v>2567.6386601552549</v>
      </c>
      <c r="CR157">
        <f t="shared" si="86"/>
        <v>-904.95784112113733</v>
      </c>
      <c r="CS157">
        <f t="shared" si="87"/>
        <v>-956.54496754124091</v>
      </c>
      <c r="CT157">
        <f t="shared" si="88"/>
        <v>-51.587126420103573</v>
      </c>
      <c r="CU157">
        <f t="shared" si="89"/>
        <v>-2.0091271883631908E-2</v>
      </c>
      <c r="CV157" s="2">
        <f t="shared" si="90"/>
        <v>-5.7005005179239218E-2</v>
      </c>
      <c r="CW157" s="1" t="s">
        <v>234</v>
      </c>
      <c r="CX157" t="str">
        <f t="shared" si="91"/>
        <v>loc</v>
      </c>
      <c r="CY157" t="s">
        <v>280</v>
      </c>
      <c r="CZ157"/>
      <c r="DA157"/>
      <c r="DB157">
        <v>200</v>
      </c>
      <c r="DC157" t="str">
        <f t="shared" si="92"/>
        <v>+100</v>
      </c>
      <c r="DD157">
        <v>0</v>
      </c>
      <c r="DE157">
        <v>0</v>
      </c>
      <c r="DF157">
        <v>0</v>
      </c>
      <c r="DG157">
        <v>1</v>
      </c>
      <c r="DH157"/>
      <c r="DI157">
        <f t="shared" si="96"/>
        <v>1</v>
      </c>
      <c r="DJ157" t="str">
        <f t="shared" si="97"/>
        <v>TimberInput</v>
      </c>
      <c r="DK157">
        <f t="shared" si="98"/>
        <v>0</v>
      </c>
      <c r="DL157">
        <f t="shared" si="99"/>
        <v>0</v>
      </c>
      <c r="DM157">
        <f t="shared" si="100"/>
        <v>0</v>
      </c>
      <c r="DN157" t="str">
        <f t="shared" si="101"/>
        <v>Timber</v>
      </c>
      <c r="DO157">
        <v>0</v>
      </c>
      <c r="DP157">
        <v>1</v>
      </c>
      <c r="DQ157">
        <v>0</v>
      </c>
      <c r="DR157" t="s">
        <v>301</v>
      </c>
      <c r="DS157">
        <v>0</v>
      </c>
      <c r="DT157">
        <f t="shared" si="102"/>
        <v>1</v>
      </c>
      <c r="DU157" s="143" t="str">
        <f t="shared" si="103"/>
        <v>external DF used</v>
      </c>
      <c r="DV157">
        <v>0</v>
      </c>
      <c r="DW157">
        <v>1</v>
      </c>
      <c r="DX157">
        <v>1</v>
      </c>
      <c r="DY157">
        <v>1</v>
      </c>
      <c r="DZ157">
        <v>1</v>
      </c>
      <c r="EA157" s="143">
        <v>0</v>
      </c>
      <c r="EB157">
        <v>1</v>
      </c>
      <c r="EC157">
        <v>1</v>
      </c>
      <c r="ED157">
        <v>0</v>
      </c>
      <c r="EE157">
        <v>1</v>
      </c>
      <c r="EF157">
        <v>1</v>
      </c>
      <c r="EG157">
        <v>1</v>
      </c>
      <c r="EH157">
        <v>0</v>
      </c>
      <c r="EI157" s="2">
        <v>0</v>
      </c>
      <c r="EJ157" s="1"/>
      <c r="EK157" t="str">
        <f t="shared" si="93"/>
        <v>Whole sector</v>
      </c>
      <c r="EL157" t="str">
        <f t="shared" si="94"/>
        <v/>
      </c>
      <c r="EM157" s="2" t="str">
        <f t="shared" si="67"/>
        <v/>
      </c>
      <c r="EN157"/>
      <c r="EO157"/>
      <c r="EP157" t="str">
        <f>IF(ISNUMBER(BU157),IF(ABS(BU157-[3]QC_indicators!$B$2)&gt;3*[3]QC_indicators!$C$2,"C ratio",IF(ISNUMBER(BY157),IF(ABS(BY157-[3]QC_indicators!$B$1)&gt;3*[3]QC_indicators!$C$1,"DF","no"))),IF(ISNUMBER(BY157),IF(ABS(BY157-[3]QC_indicators!$B$1)&gt;3*[3]QC_indicators!$C$1,"DF","no")))</f>
        <v>no</v>
      </c>
      <c r="EQ157" t="s">
        <v>286</v>
      </c>
      <c r="ER157" t="s">
        <v>296</v>
      </c>
      <c r="ES157"/>
      <c r="ET157" s="264" t="s">
        <v>3272</v>
      </c>
      <c r="EU157"/>
    </row>
    <row r="158" spans="1:151" s="139" customFormat="1" ht="15" hidden="1" customHeight="1">
      <c r="A158" s="1" t="s">
        <v>265</v>
      </c>
      <c r="B158" t="s">
        <v>266</v>
      </c>
      <c r="C158" t="s">
        <v>267</v>
      </c>
      <c r="D158" t="s">
        <v>268</v>
      </c>
      <c r="E158" t="s">
        <v>269</v>
      </c>
      <c r="F158" t="s">
        <v>270</v>
      </c>
      <c r="G158" t="s">
        <v>271</v>
      </c>
      <c r="H158" t="s">
        <v>254</v>
      </c>
      <c r="I158">
        <v>2022</v>
      </c>
      <c r="J158">
        <v>0</v>
      </c>
      <c r="K158" t="s">
        <v>272</v>
      </c>
      <c r="L158"/>
      <c r="M158" t="str">
        <f t="shared" si="95"/>
        <v>Aryapratama_2022</v>
      </c>
      <c r="N158" t="s">
        <v>222</v>
      </c>
      <c r="O158" s="145" t="s">
        <v>274</v>
      </c>
      <c r="P158"/>
      <c r="Q158" t="s">
        <v>224</v>
      </c>
      <c r="R158" s="262" t="s">
        <v>223</v>
      </c>
      <c r="S158" s="263" t="s">
        <v>3104</v>
      </c>
      <c r="T158" t="s">
        <v>295</v>
      </c>
      <c r="U158" t="s">
        <v>289</v>
      </c>
      <c r="V158">
        <v>0</v>
      </c>
      <c r="W158">
        <v>0</v>
      </c>
      <c r="X158">
        <v>0</v>
      </c>
      <c r="Y158">
        <v>0</v>
      </c>
      <c r="Z158">
        <v>0</v>
      </c>
      <c r="AA158">
        <v>0</v>
      </c>
      <c r="AB158">
        <v>0</v>
      </c>
      <c r="AC158">
        <v>0</v>
      </c>
      <c r="AD158">
        <v>0</v>
      </c>
      <c r="AE158">
        <v>0</v>
      </c>
      <c r="AF158">
        <v>0</v>
      </c>
      <c r="AG158">
        <v>0</v>
      </c>
      <c r="AH158">
        <v>0</v>
      </c>
      <c r="AI158">
        <v>0</v>
      </c>
      <c r="AJ158">
        <v>0</v>
      </c>
      <c r="AK158">
        <v>1</v>
      </c>
      <c r="AL158">
        <v>0</v>
      </c>
      <c r="AM158">
        <v>0</v>
      </c>
      <c r="AN158">
        <v>0</v>
      </c>
      <c r="AO158">
        <v>0</v>
      </c>
      <c r="AP158">
        <v>0</v>
      </c>
      <c r="AQ158">
        <v>0</v>
      </c>
      <c r="AR158">
        <v>0</v>
      </c>
      <c r="AS158">
        <v>0</v>
      </c>
      <c r="AT158">
        <v>0</v>
      </c>
      <c r="AU158">
        <v>0</v>
      </c>
      <c r="AV158">
        <v>0</v>
      </c>
      <c r="AW158">
        <v>0</v>
      </c>
      <c r="AX158" s="141">
        <f t="shared" si="70"/>
        <v>1</v>
      </c>
      <c r="AY158" s="141">
        <f t="shared" si="71"/>
        <v>1</v>
      </c>
      <c r="AZ158">
        <f t="shared" si="72"/>
        <v>0</v>
      </c>
      <c r="BA158">
        <f t="shared" si="73"/>
        <v>0</v>
      </c>
      <c r="BB158">
        <f t="shared" si="74"/>
        <v>1</v>
      </c>
      <c r="BC158">
        <f t="shared" si="75"/>
        <v>0</v>
      </c>
      <c r="BD158">
        <f t="shared" si="76"/>
        <v>0</v>
      </c>
      <c r="BE158" t="str">
        <f t="array" ref="BE158">IF(AY158=1,INDEX($V$7:$AL$7,MATCH(TRUE,INDEX($V158:$AW158&lt;&gt;0,),0)),IF(AY158=0,INDEX($AM$7:$AW$7,MATCH(1,$AM158:$AW158,0)),IF(BF158="Multiple strategies","mixed drivers",IF(BF158="Supply chain","multiple supply","multiple silviculture"))))</f>
        <v>technologies/design switch</v>
      </c>
      <c r="BF158" s="2" t="str" cm="1">
        <f t="array" ref="BF158">IF(COUNTIF(AZ158:BB158,"&lt;&gt;0")=1,INDEX($V$4:$AW$4,MATCH(TRUE,INDEX($V158:$AW158&lt;&gt;0,),0)),IF(COUNTIF(AZ158:BB158,"&lt;&gt;0")=0,INDEX($AM$4:$AW$4,MATCH(1,$AM158:$AW158,0)),"Multiple strategies"))</f>
        <v>Technology</v>
      </c>
      <c r="BG158" s="1" t="s">
        <v>229</v>
      </c>
      <c r="BH158" t="s">
        <v>277</v>
      </c>
      <c r="BI158" s="264" t="s">
        <v>3105</v>
      </c>
      <c r="BJ158" t="s">
        <v>278</v>
      </c>
      <c r="BK158">
        <v>0</v>
      </c>
      <c r="BL158">
        <v>757.78980054033161</v>
      </c>
      <c r="BM158"/>
      <c r="BN158">
        <f t="shared" si="77"/>
        <v>757.78980054033161</v>
      </c>
      <c r="BO158">
        <f t="shared" si="78"/>
        <v>3290.4463766406066</v>
      </c>
      <c r="BP158" t="s">
        <v>232</v>
      </c>
      <c r="BQ158" s="302" t="s">
        <v>3106</v>
      </c>
      <c r="BR158" t="s">
        <v>279</v>
      </c>
      <c r="BS158">
        <v>-1308.953389930055</v>
      </c>
      <c r="BT158">
        <v>-1160.011828609915</v>
      </c>
      <c r="BU158" s="144">
        <f t="shared" si="79"/>
        <v>0.88621324298789683</v>
      </c>
      <c r="BV158">
        <f t="shared" si="80"/>
        <v>148.94156132013995</v>
      </c>
      <c r="BW158"/>
      <c r="BX158">
        <f t="shared" si="81"/>
        <v>148.94156132013995</v>
      </c>
      <c r="BY158">
        <f t="shared" si="51"/>
        <v>4.5264849893163248E-2</v>
      </c>
      <c r="BZ158">
        <v>0</v>
      </c>
      <c r="CA158">
        <v>0</v>
      </c>
      <c r="CB158">
        <v>0</v>
      </c>
      <c r="CC158">
        <v>0</v>
      </c>
      <c r="CD158">
        <v>0</v>
      </c>
      <c r="CE158">
        <v>0</v>
      </c>
      <c r="CF158">
        <v>0</v>
      </c>
      <c r="CG158">
        <v>0</v>
      </c>
      <c r="CH158">
        <v>0</v>
      </c>
      <c r="CI158">
        <v>0</v>
      </c>
      <c r="CJ158">
        <v>0</v>
      </c>
      <c r="CK158">
        <v>0</v>
      </c>
      <c r="CL158">
        <v>0</v>
      </c>
      <c r="CM158">
        <v>0</v>
      </c>
      <c r="CN158" t="str">
        <f t="shared" si="82"/>
        <v>refOK</v>
      </c>
      <c r="CO158">
        <f>IF($CN158="refNeedCorrection",BL158,BK158)</f>
        <v>0</v>
      </c>
      <c r="CP158">
        <f>IF($CN158="refNeedCorrection",BK158,BL158)</f>
        <v>757.78980054033161</v>
      </c>
      <c r="CQ158">
        <f t="shared" si="85"/>
        <v>3290.4463766406066</v>
      </c>
      <c r="CR158">
        <f t="shared" si="86"/>
        <v>-1308.953389930055</v>
      </c>
      <c r="CS158">
        <f t="shared" si="87"/>
        <v>-1160.011828609915</v>
      </c>
      <c r="CT158">
        <f t="shared" si="88"/>
        <v>148.94156132013995</v>
      </c>
      <c r="CU158">
        <f t="shared" si="89"/>
        <v>4.5264849893163248E-2</v>
      </c>
      <c r="CV158" s="2">
        <f t="shared" si="90"/>
        <v>0.11378675701210321</v>
      </c>
      <c r="CW158" s="1" t="s">
        <v>234</v>
      </c>
      <c r="CX158" t="str">
        <f t="shared" si="91"/>
        <v>loc</v>
      </c>
      <c r="CY158" t="s">
        <v>280</v>
      </c>
      <c r="CZ158"/>
      <c r="DA158"/>
      <c r="DB158">
        <v>200</v>
      </c>
      <c r="DC158" t="str">
        <f t="shared" si="92"/>
        <v>+100</v>
      </c>
      <c r="DD158">
        <v>0</v>
      </c>
      <c r="DE158">
        <v>0</v>
      </c>
      <c r="DF158">
        <v>0</v>
      </c>
      <c r="DG158">
        <v>1</v>
      </c>
      <c r="DH158"/>
      <c r="DI158">
        <f t="shared" si="96"/>
        <v>1</v>
      </c>
      <c r="DJ158" t="str">
        <f t="shared" si="97"/>
        <v>TimberInput</v>
      </c>
      <c r="DK158">
        <f t="shared" si="98"/>
        <v>0</v>
      </c>
      <c r="DL158">
        <f t="shared" si="99"/>
        <v>0</v>
      </c>
      <c r="DM158">
        <f t="shared" si="100"/>
        <v>0</v>
      </c>
      <c r="DN158" t="str">
        <f t="shared" si="101"/>
        <v>Timber</v>
      </c>
      <c r="DO158">
        <v>0</v>
      </c>
      <c r="DP158">
        <v>1</v>
      </c>
      <c r="DQ158">
        <v>0</v>
      </c>
      <c r="DR158" t="s">
        <v>292</v>
      </c>
      <c r="DS158">
        <v>0</v>
      </c>
      <c r="DT158">
        <f t="shared" si="102"/>
        <v>1</v>
      </c>
      <c r="DU158" s="143" t="str">
        <f t="shared" si="103"/>
        <v>external DF used</v>
      </c>
      <c r="DV158">
        <v>0</v>
      </c>
      <c r="DW158">
        <v>1</v>
      </c>
      <c r="DX158">
        <v>1</v>
      </c>
      <c r="DY158">
        <v>1</v>
      </c>
      <c r="DZ158">
        <v>1</v>
      </c>
      <c r="EA158" s="143">
        <v>0</v>
      </c>
      <c r="EB158">
        <v>1</v>
      </c>
      <c r="EC158">
        <v>1</v>
      </c>
      <c r="ED158">
        <v>0</v>
      </c>
      <c r="EE158">
        <v>1</v>
      </c>
      <c r="EF158">
        <v>1</v>
      </c>
      <c r="EG158">
        <v>1</v>
      </c>
      <c r="EH158">
        <v>0</v>
      </c>
      <c r="EI158" s="2">
        <v>0</v>
      </c>
      <c r="EJ158" s="1"/>
      <c r="EK158" t="str">
        <f t="shared" si="93"/>
        <v>Whole sector</v>
      </c>
      <c r="EL158" t="str">
        <f t="shared" si="94"/>
        <v/>
      </c>
      <c r="EM158" s="2" t="str">
        <f t="shared" si="67"/>
        <v/>
      </c>
      <c r="EN158"/>
      <c r="EO158"/>
      <c r="EP158" t="str">
        <f>IF(ISNUMBER(BU158),IF(ABS(BU158-[3]QC_indicators!$B$2)&gt;3*[3]QC_indicators!$C$2,"C ratio",IF(ISNUMBER(BY158),IF(ABS(BY158-[3]QC_indicators!$B$1)&gt;3*[3]QC_indicators!$C$1,"DF","no"))),IF(ISNUMBER(BY158),IF(ABS(BY158-[3]QC_indicators!$B$1)&gt;3*[3]QC_indicators!$C$1,"DF","no")))</f>
        <v>no</v>
      </c>
      <c r="EQ158" t="s">
        <v>286</v>
      </c>
      <c r="ER158" t="s">
        <v>296</v>
      </c>
      <c r="ES158"/>
      <c r="ET158" s="264" t="s">
        <v>3272</v>
      </c>
      <c r="EU158"/>
    </row>
    <row r="159" spans="1:151" s="139" customFormat="1" ht="15" hidden="1" customHeight="1">
      <c r="A159" s="1" t="s">
        <v>265</v>
      </c>
      <c r="B159" t="s">
        <v>266</v>
      </c>
      <c r="C159" t="s">
        <v>267</v>
      </c>
      <c r="D159" t="s">
        <v>268</v>
      </c>
      <c r="E159" t="s">
        <v>269</v>
      </c>
      <c r="F159" t="s">
        <v>270</v>
      </c>
      <c r="G159" t="s">
        <v>271</v>
      </c>
      <c r="H159" t="s">
        <v>254</v>
      </c>
      <c r="I159">
        <v>2022</v>
      </c>
      <c r="J159">
        <v>0</v>
      </c>
      <c r="K159" t="s">
        <v>272</v>
      </c>
      <c r="L159"/>
      <c r="M159" t="str">
        <f t="shared" si="95"/>
        <v>Aryapratama_2022</v>
      </c>
      <c r="N159" t="s">
        <v>222</v>
      </c>
      <c r="O159" s="145" t="s">
        <v>274</v>
      </c>
      <c r="P159"/>
      <c r="Q159" t="s">
        <v>224</v>
      </c>
      <c r="R159" s="262" t="s">
        <v>223</v>
      </c>
      <c r="S159" s="263" t="s">
        <v>3104</v>
      </c>
      <c r="T159" t="s">
        <v>302</v>
      </c>
      <c r="U159" t="s">
        <v>303</v>
      </c>
      <c r="V159">
        <v>0</v>
      </c>
      <c r="W159">
        <v>0</v>
      </c>
      <c r="X159">
        <v>0</v>
      </c>
      <c r="Y159">
        <v>0</v>
      </c>
      <c r="Z159">
        <v>0</v>
      </c>
      <c r="AA159">
        <v>0</v>
      </c>
      <c r="AB159">
        <v>0</v>
      </c>
      <c r="AC159">
        <v>0</v>
      </c>
      <c r="AD159">
        <v>0</v>
      </c>
      <c r="AE159">
        <v>0</v>
      </c>
      <c r="AF159">
        <v>0</v>
      </c>
      <c r="AG159">
        <v>0</v>
      </c>
      <c r="AH159">
        <v>0</v>
      </c>
      <c r="AI159">
        <v>0</v>
      </c>
      <c r="AJ159">
        <v>0</v>
      </c>
      <c r="AK159">
        <v>1</v>
      </c>
      <c r="AL159">
        <v>0</v>
      </c>
      <c r="AM159">
        <v>0</v>
      </c>
      <c r="AN159">
        <v>0</v>
      </c>
      <c r="AO159">
        <v>0</v>
      </c>
      <c r="AP159">
        <v>0</v>
      </c>
      <c r="AQ159">
        <v>0</v>
      </c>
      <c r="AR159">
        <v>0</v>
      </c>
      <c r="AS159">
        <v>0</v>
      </c>
      <c r="AT159">
        <v>0</v>
      </c>
      <c r="AU159">
        <v>0</v>
      </c>
      <c r="AV159">
        <v>0</v>
      </c>
      <c r="AW159">
        <v>0</v>
      </c>
      <c r="AX159" s="141">
        <f t="shared" ref="AX159:AX190" si="106">COUNTIF(V159:AW159,"&lt;&gt;0")</f>
        <v>1</v>
      </c>
      <c r="AY159" s="141">
        <f t="shared" ref="AY159:AY190" si="107">COUNTIF(V159:AL159,"&lt;&gt;0")</f>
        <v>1</v>
      </c>
      <c r="AZ159">
        <f t="shared" ref="AZ159:AZ190" si="108">COUNTIF(V159:AC159,"&lt;&gt;0")</f>
        <v>0</v>
      </c>
      <c r="BA159">
        <f t="shared" ref="BA159:BA190" si="109">COUNTIF(AD159:AI159,"&lt;&gt;0")</f>
        <v>0</v>
      </c>
      <c r="BB159">
        <f t="shared" ref="BB159:BB190" si="110">COUNTIF(AJ159:AL159,"&lt;&gt;0")</f>
        <v>1</v>
      </c>
      <c r="BC159">
        <f t="shared" ref="BC159:BC190" si="111">COUNTIF(AS159:AW159,"&lt;&gt;0")</f>
        <v>0</v>
      </c>
      <c r="BD159">
        <f t="shared" ref="BD159:BD190" si="112">COUNTIF(AM159:AR159,"&lt;&gt;0")</f>
        <v>0</v>
      </c>
      <c r="BE159" t="str">
        <f t="array" ref="BE159">IF(AY159=1,INDEX($V$7:$AL$7,MATCH(TRUE,INDEX($V159:$AW159&lt;&gt;0,),0)),IF(AY159=0,INDEX($AM$7:$AW$7,MATCH(1,$AM159:$AW159,0)),IF(BF159="Multiple strategies","mixed drivers",IF(BF159="Supply chain","multiple supply","multiple silviculture"))))</f>
        <v>technologies/design switch</v>
      </c>
      <c r="BF159" s="2" t="str" cm="1">
        <f t="array" ref="BF159">IF(COUNTIF(AZ159:BB159,"&lt;&gt;0")=1,INDEX($V$4:$AW$4,MATCH(TRUE,INDEX($V159:$AW159&lt;&gt;0,),0)),IF(COUNTIF(AZ159:BB159,"&lt;&gt;0")=0,INDEX($AM$4:$AW$4,MATCH(1,$AM159:$AW159,0)),"Multiple strategies"))</f>
        <v>Technology</v>
      </c>
      <c r="BG159" s="1" t="s">
        <v>229</v>
      </c>
      <c r="BH159" t="s">
        <v>277</v>
      </c>
      <c r="BI159" s="264" t="s">
        <v>3105</v>
      </c>
      <c r="BJ159" t="s">
        <v>278</v>
      </c>
      <c r="BK159">
        <v>0</v>
      </c>
      <c r="BL159">
        <v>15.419381264639073</v>
      </c>
      <c r="BM159"/>
      <c r="BN159">
        <f t="shared" ref="BN159:BN190" si="113">BL159-BK159</f>
        <v>15.419381264639073</v>
      </c>
      <c r="BO159">
        <f t="shared" ref="BO159:BO190" si="114">BN159*tC_to_m3</f>
        <v>66.953457510373752</v>
      </c>
      <c r="BP159" t="s">
        <v>232</v>
      </c>
      <c r="BQ159" s="302" t="s">
        <v>3106</v>
      </c>
      <c r="BR159" t="s">
        <v>279</v>
      </c>
      <c r="BS159">
        <v>68.167571816623862</v>
      </c>
      <c r="BT159">
        <v>82.450615050179124</v>
      </c>
      <c r="BU159" s="144">
        <f t="shared" ref="BU159:BU190" si="115">IFERROR(BT159/BS159,"")</f>
        <v>1.2095284143606841</v>
      </c>
      <c r="BV159">
        <f t="shared" ref="BV159:BV182" si="116">BT159-BS159</f>
        <v>14.283043233555262</v>
      </c>
      <c r="BW159"/>
      <c r="BX159">
        <f t="shared" ref="BX159:BX190" si="117">BV159</f>
        <v>14.283043233555262</v>
      </c>
      <c r="BY159">
        <f t="shared" si="51"/>
        <v>0.21332794100054131</v>
      </c>
      <c r="BZ159">
        <v>0</v>
      </c>
      <c r="CA159">
        <v>0</v>
      </c>
      <c r="CB159">
        <v>0</v>
      </c>
      <c r="CC159">
        <v>0</v>
      </c>
      <c r="CD159">
        <v>0</v>
      </c>
      <c r="CE159">
        <v>0</v>
      </c>
      <c r="CF159">
        <v>0</v>
      </c>
      <c r="CG159">
        <v>0</v>
      </c>
      <c r="CH159">
        <v>0</v>
      </c>
      <c r="CI159">
        <v>0</v>
      </c>
      <c r="CJ159">
        <v>0</v>
      </c>
      <c r="CK159">
        <v>0</v>
      </c>
      <c r="CL159">
        <v>0</v>
      </c>
      <c r="CM159">
        <v>0</v>
      </c>
      <c r="CN159" t="str">
        <f t="shared" ref="CN159:CN190" si="118">IF($BL159&lt;$BK159,"refNeedCorrection","refOK")</f>
        <v>refOK</v>
      </c>
      <c r="CO159">
        <f>IF($CN159="refOK",$BK159,$BL159)</f>
        <v>0</v>
      </c>
      <c r="CP159">
        <f>IF($CN159="refOK",$BL159,$BK159)</f>
        <v>15.419381264639073</v>
      </c>
      <c r="CQ159">
        <f t="shared" ref="CQ159:CQ190" si="119">IF($CN159="refOK",$BO159,-$BO159)</f>
        <v>66.953457510373752</v>
      </c>
      <c r="CR159">
        <f t="shared" ref="CR159:CR182" si="120">IF($CN159="refOK",$BS159,$BT159)*IF($BP159="Emissions positive",-1,1)</f>
        <v>68.167571816623862</v>
      </c>
      <c r="CS159">
        <f t="shared" ref="CS159:CS182" si="121">IF($CN159="refOK",$BT159,$BS159)*IF($BP159="Emissions positive",-1,1)</f>
        <v>82.450615050179124</v>
      </c>
      <c r="CT159">
        <f t="shared" ref="CT159:CT190" si="122">IF($CN159="refNeedCorrection",-BX159,BX159)*IF($BP159="Emissions positive",-1,1)</f>
        <v>14.283043233555262</v>
      </c>
      <c r="CU159">
        <f t="shared" ref="CU159:CU190" si="123">IFERROR(CT159/CQ159,"")</f>
        <v>0.21332794100054131</v>
      </c>
      <c r="CV159" s="2">
        <f t="shared" ref="CV159:CV190" si="124">IFERROR((CS159-CR159)/ABS(CR159),"")</f>
        <v>0.20952841436068417</v>
      </c>
      <c r="CW159" s="1" t="s">
        <v>234</v>
      </c>
      <c r="CX159" t="str">
        <f t="shared" ref="CX159:CX190" si="125">IF(OR($CW159="prd",$CW159="std",$CW159="cit"),"loc",IF(OR($CW159="eur",$CW159="reg",$CW159="coy"),"reg",$CW159))</f>
        <v>loc</v>
      </c>
      <c r="CY159" t="s">
        <v>280</v>
      </c>
      <c r="CZ159"/>
      <c r="DA159"/>
      <c r="DB159">
        <v>50</v>
      </c>
      <c r="DC159" t="str">
        <f t="shared" ref="DC159:DC190" si="126">IF(DB159=0,"0",IF(AND(DB159&gt;=1,DB159&lt;=30),"1-30",IF(AND(DB159&gt;30,DB159&lt;=70),"31-70",IF(AND(DB159&gt;70,DB159&lt;=100),"71-100",IF(DB159&gt;100,"+100")))))</f>
        <v>31-70</v>
      </c>
      <c r="DD159">
        <v>0</v>
      </c>
      <c r="DE159">
        <v>0</v>
      </c>
      <c r="DF159">
        <v>0</v>
      </c>
      <c r="DG159">
        <v>1</v>
      </c>
      <c r="DH159"/>
      <c r="DI159">
        <f t="shared" si="96"/>
        <v>1</v>
      </c>
      <c r="DJ159" t="str">
        <f t="shared" si="97"/>
        <v>TimberInput</v>
      </c>
      <c r="DK159">
        <f t="shared" si="98"/>
        <v>0</v>
      </c>
      <c r="DL159">
        <f t="shared" si="99"/>
        <v>0</v>
      </c>
      <c r="DM159">
        <f t="shared" si="100"/>
        <v>0</v>
      </c>
      <c r="DN159" t="str">
        <f t="shared" si="101"/>
        <v>Timber</v>
      </c>
      <c r="DO159">
        <v>0</v>
      </c>
      <c r="DP159">
        <v>1</v>
      </c>
      <c r="DQ159" t="s">
        <v>304</v>
      </c>
      <c r="DR159">
        <v>0</v>
      </c>
      <c r="DS159">
        <v>0</v>
      </c>
      <c r="DT159">
        <f t="shared" si="102"/>
        <v>1</v>
      </c>
      <c r="DU159" s="143" t="str">
        <f t="shared" si="103"/>
        <v>external DF used</v>
      </c>
      <c r="DV159">
        <v>0</v>
      </c>
      <c r="DW159">
        <v>1</v>
      </c>
      <c r="DX159">
        <v>1</v>
      </c>
      <c r="DY159">
        <v>1</v>
      </c>
      <c r="DZ159">
        <v>1</v>
      </c>
      <c r="EA159" s="143">
        <v>0</v>
      </c>
      <c r="EB159">
        <v>1</v>
      </c>
      <c r="EC159">
        <v>1</v>
      </c>
      <c r="ED159">
        <v>0</v>
      </c>
      <c r="EE159">
        <v>1</v>
      </c>
      <c r="EF159">
        <v>1</v>
      </c>
      <c r="EG159">
        <v>1</v>
      </c>
      <c r="EH159">
        <v>0</v>
      </c>
      <c r="EI159" s="2">
        <v>0</v>
      </c>
      <c r="EJ159" s="1"/>
      <c r="EK159" t="str">
        <f t="shared" ref="EK159:EK190" si="127">IF(AND(AND(AND(OR($DX159=1,$DW159=1),OR($EC159=1,$EA159=1)),SUM($DV159:$DZ159,$EF159)&gt;=4),SUM($EA159:$EE159)&gt;=2),"Whole sector","")</f>
        <v>Whole sector</v>
      </c>
      <c r="EL159" t="str">
        <f t="shared" ref="EL159:EL190" si="128">IF(AND(AND(OR($DX159=1,$DW159=1),AND($EC159=0,$EA159=0)),SUM($DV159:$DZ159,$EF159)&gt;=4),"Ecosystem approach","")</f>
        <v/>
      </c>
      <c r="EM159" s="2" t="str">
        <f t="shared" si="67"/>
        <v/>
      </c>
      <c r="EN159"/>
      <c r="EO159"/>
      <c r="EP159" t="str">
        <f>IF(ISNUMBER(BU159),IF(ABS(BU159-[3]QC_indicators!$B$2)&gt;3*[3]QC_indicators!$C$2,"C ratio",IF(ISNUMBER(BY159),IF(ABS(BY159-[3]QC_indicators!$B$1)&gt;3*[3]QC_indicators!$C$1,"DF","no"))),IF(ISNUMBER(BY159),IF(ABS(BY159-[3]QC_indicators!$B$1)&gt;3*[3]QC_indicators!$C$1,"DF","no")))</f>
        <v>no</v>
      </c>
      <c r="EQ159" t="s">
        <v>286</v>
      </c>
      <c r="ER159"/>
      <c r="ES159"/>
      <c r="ET159" s="264" t="s">
        <v>3272</v>
      </c>
      <c r="EU159"/>
    </row>
    <row r="160" spans="1:151" s="139" customFormat="1" ht="15" hidden="1" customHeight="1">
      <c r="A160" s="1" t="s">
        <v>265</v>
      </c>
      <c r="B160" t="s">
        <v>266</v>
      </c>
      <c r="C160" t="s">
        <v>267</v>
      </c>
      <c r="D160" t="s">
        <v>268</v>
      </c>
      <c r="E160" t="s">
        <v>269</v>
      </c>
      <c r="F160" t="s">
        <v>270</v>
      </c>
      <c r="G160" t="s">
        <v>271</v>
      </c>
      <c r="H160" t="s">
        <v>254</v>
      </c>
      <c r="I160">
        <v>2022</v>
      </c>
      <c r="J160">
        <v>0</v>
      </c>
      <c r="K160" t="s">
        <v>272</v>
      </c>
      <c r="L160"/>
      <c r="M160" t="str">
        <f t="shared" si="95"/>
        <v>Aryapratama_2022</v>
      </c>
      <c r="N160" t="s">
        <v>222</v>
      </c>
      <c r="O160" s="145" t="s">
        <v>274</v>
      </c>
      <c r="P160"/>
      <c r="Q160" t="s">
        <v>224</v>
      </c>
      <c r="R160" s="262" t="s">
        <v>223</v>
      </c>
      <c r="S160" s="263" t="s">
        <v>3104</v>
      </c>
      <c r="T160" t="s">
        <v>302</v>
      </c>
      <c r="U160" t="s">
        <v>303</v>
      </c>
      <c r="V160">
        <v>0</v>
      </c>
      <c r="W160">
        <v>0</v>
      </c>
      <c r="X160">
        <v>0</v>
      </c>
      <c r="Y160">
        <v>0</v>
      </c>
      <c r="Z160">
        <v>0</v>
      </c>
      <c r="AA160">
        <v>0</v>
      </c>
      <c r="AB160">
        <v>0</v>
      </c>
      <c r="AC160">
        <v>0</v>
      </c>
      <c r="AD160">
        <v>0</v>
      </c>
      <c r="AE160">
        <v>0</v>
      </c>
      <c r="AF160">
        <v>0</v>
      </c>
      <c r="AG160">
        <v>0</v>
      </c>
      <c r="AH160">
        <v>0</v>
      </c>
      <c r="AI160">
        <v>0</v>
      </c>
      <c r="AJ160">
        <v>0</v>
      </c>
      <c r="AK160">
        <v>1</v>
      </c>
      <c r="AL160">
        <v>0</v>
      </c>
      <c r="AM160">
        <v>0</v>
      </c>
      <c r="AN160">
        <v>0</v>
      </c>
      <c r="AO160">
        <v>0</v>
      </c>
      <c r="AP160">
        <v>0</v>
      </c>
      <c r="AQ160">
        <v>0</v>
      </c>
      <c r="AR160">
        <v>0</v>
      </c>
      <c r="AS160">
        <v>0</v>
      </c>
      <c r="AT160">
        <v>0</v>
      </c>
      <c r="AU160">
        <v>0</v>
      </c>
      <c r="AV160">
        <v>0</v>
      </c>
      <c r="AW160">
        <v>0</v>
      </c>
      <c r="AX160" s="141">
        <f t="shared" si="106"/>
        <v>1</v>
      </c>
      <c r="AY160" s="141">
        <f t="shared" si="107"/>
        <v>1</v>
      </c>
      <c r="AZ160">
        <f t="shared" si="108"/>
        <v>0</v>
      </c>
      <c r="BA160">
        <f t="shared" si="109"/>
        <v>0</v>
      </c>
      <c r="BB160">
        <f t="shared" si="110"/>
        <v>1</v>
      </c>
      <c r="BC160">
        <f t="shared" si="111"/>
        <v>0</v>
      </c>
      <c r="BD160">
        <f t="shared" si="112"/>
        <v>0</v>
      </c>
      <c r="BE160" t="str">
        <f t="array" ref="BE160">IF(AY160=1,INDEX($V$7:$AL$7,MATCH(TRUE,INDEX($V160:$AW160&lt;&gt;0,),0)),IF(AY160=0,INDEX($AM$7:$AW$7,MATCH(1,$AM160:$AW160,0)),IF(BF160="Multiple strategies","mixed drivers",IF(BF160="Supply chain","multiple supply","multiple silviculture"))))</f>
        <v>technologies/design switch</v>
      </c>
      <c r="BF160" s="2" t="str" cm="1">
        <f t="array" ref="BF160">IF(COUNTIF(AZ160:BB160,"&lt;&gt;0")=1,INDEX($V$4:$AW$4,MATCH(TRUE,INDEX($V160:$AW160&lt;&gt;0,),0)),IF(COUNTIF(AZ160:BB160,"&lt;&gt;0")=0,INDEX($AM$4:$AW$4,MATCH(1,$AM160:$AW160,0)),"Multiple strategies"))</f>
        <v>Technology</v>
      </c>
      <c r="BG160" s="1" t="s">
        <v>229</v>
      </c>
      <c r="BH160" t="s">
        <v>277</v>
      </c>
      <c r="BI160" s="264" t="s">
        <v>3105</v>
      </c>
      <c r="BJ160" t="s">
        <v>278</v>
      </c>
      <c r="BK160">
        <v>0</v>
      </c>
      <c r="BL160">
        <v>46.25814379391722</v>
      </c>
      <c r="BM160"/>
      <c r="BN160">
        <f t="shared" si="113"/>
        <v>46.25814379391722</v>
      </c>
      <c r="BO160">
        <f t="shared" si="114"/>
        <v>200.86037253112124</v>
      </c>
      <c r="BP160" t="s">
        <v>232</v>
      </c>
      <c r="BQ160" s="302" t="s">
        <v>3106</v>
      </c>
      <c r="BR160" t="s">
        <v>279</v>
      </c>
      <c r="BS160">
        <v>316.56191500133059</v>
      </c>
      <c r="BT160">
        <v>365.10563504552567</v>
      </c>
      <c r="BU160" s="144">
        <f t="shared" si="115"/>
        <v>1.1533466843097377</v>
      </c>
      <c r="BV160">
        <f t="shared" si="116"/>
        <v>48.543720044195084</v>
      </c>
      <c r="BW160"/>
      <c r="BX160">
        <f t="shared" si="117"/>
        <v>48.543720044195084</v>
      </c>
      <c r="BY160">
        <f t="shared" si="51"/>
        <v>0.24167893065454579</v>
      </c>
      <c r="BZ160">
        <v>0</v>
      </c>
      <c r="CA160">
        <v>0</v>
      </c>
      <c r="CB160">
        <v>0</v>
      </c>
      <c r="CC160">
        <v>0</v>
      </c>
      <c r="CD160">
        <v>0</v>
      </c>
      <c r="CE160">
        <v>0</v>
      </c>
      <c r="CF160">
        <v>0</v>
      </c>
      <c r="CG160">
        <v>0</v>
      </c>
      <c r="CH160">
        <v>0</v>
      </c>
      <c r="CI160">
        <v>0</v>
      </c>
      <c r="CJ160">
        <v>0</v>
      </c>
      <c r="CK160">
        <v>0</v>
      </c>
      <c r="CL160">
        <v>0</v>
      </c>
      <c r="CM160">
        <v>0</v>
      </c>
      <c r="CN160" t="str">
        <f t="shared" si="118"/>
        <v>refOK</v>
      </c>
      <c r="CO160">
        <f>IF($CN160="refOK",$BK160,$BL160)</f>
        <v>0</v>
      </c>
      <c r="CP160">
        <f>IF($CN160="refOK",$BL160,$BK160)</f>
        <v>46.25814379391722</v>
      </c>
      <c r="CQ160">
        <f t="shared" si="119"/>
        <v>200.86037253112124</v>
      </c>
      <c r="CR160">
        <f t="shared" si="120"/>
        <v>316.56191500133059</v>
      </c>
      <c r="CS160">
        <f t="shared" si="121"/>
        <v>365.10563504552567</v>
      </c>
      <c r="CT160">
        <f t="shared" si="122"/>
        <v>48.543720044195084</v>
      </c>
      <c r="CU160">
        <f t="shared" si="123"/>
        <v>0.24167893065454579</v>
      </c>
      <c r="CV160" s="2">
        <f t="shared" si="124"/>
        <v>0.15334668430973777</v>
      </c>
      <c r="CW160" s="1" t="s">
        <v>234</v>
      </c>
      <c r="CX160" t="str">
        <f t="shared" si="125"/>
        <v>loc</v>
      </c>
      <c r="CY160" t="s">
        <v>280</v>
      </c>
      <c r="CZ160"/>
      <c r="DA160"/>
      <c r="DB160">
        <v>200</v>
      </c>
      <c r="DC160" t="str">
        <f t="shared" si="126"/>
        <v>+100</v>
      </c>
      <c r="DD160">
        <v>0</v>
      </c>
      <c r="DE160">
        <v>0</v>
      </c>
      <c r="DF160">
        <v>0</v>
      </c>
      <c r="DG160">
        <v>1</v>
      </c>
      <c r="DH160"/>
      <c r="DI160">
        <f t="shared" si="96"/>
        <v>1</v>
      </c>
      <c r="DJ160" t="str">
        <f t="shared" si="97"/>
        <v>TimberInput</v>
      </c>
      <c r="DK160">
        <f t="shared" si="98"/>
        <v>0</v>
      </c>
      <c r="DL160">
        <f t="shared" si="99"/>
        <v>0</v>
      </c>
      <c r="DM160">
        <f t="shared" si="100"/>
        <v>0</v>
      </c>
      <c r="DN160" t="str">
        <f t="shared" si="101"/>
        <v>Timber</v>
      </c>
      <c r="DO160">
        <v>0</v>
      </c>
      <c r="DP160">
        <v>1</v>
      </c>
      <c r="DQ160" t="s">
        <v>304</v>
      </c>
      <c r="DR160">
        <v>0</v>
      </c>
      <c r="DS160">
        <v>0</v>
      </c>
      <c r="DT160">
        <f t="shared" si="102"/>
        <v>1</v>
      </c>
      <c r="DU160" s="143" t="str">
        <f t="shared" si="103"/>
        <v>external DF used</v>
      </c>
      <c r="DV160">
        <v>0</v>
      </c>
      <c r="DW160">
        <v>1</v>
      </c>
      <c r="DX160">
        <v>1</v>
      </c>
      <c r="DY160">
        <v>1</v>
      </c>
      <c r="DZ160">
        <v>1</v>
      </c>
      <c r="EA160" s="143">
        <v>0</v>
      </c>
      <c r="EB160">
        <v>1</v>
      </c>
      <c r="EC160">
        <v>1</v>
      </c>
      <c r="ED160">
        <v>0</v>
      </c>
      <c r="EE160">
        <v>1</v>
      </c>
      <c r="EF160">
        <v>1</v>
      </c>
      <c r="EG160">
        <v>1</v>
      </c>
      <c r="EH160">
        <v>0</v>
      </c>
      <c r="EI160" s="2">
        <v>0</v>
      </c>
      <c r="EJ160" s="1"/>
      <c r="EK160" t="str">
        <f t="shared" si="127"/>
        <v>Whole sector</v>
      </c>
      <c r="EL160" t="str">
        <f t="shared" si="128"/>
        <v/>
      </c>
      <c r="EM160" s="2" t="str">
        <f t="shared" si="67"/>
        <v/>
      </c>
      <c r="EN160"/>
      <c r="EO160"/>
      <c r="EP160" t="str">
        <f>IF(ISNUMBER(BU160),IF(ABS(BU160-[3]QC_indicators!$B$2)&gt;3*[3]QC_indicators!$C$2,"C ratio",IF(ISNUMBER(BY160),IF(ABS(BY160-[3]QC_indicators!$B$1)&gt;3*[3]QC_indicators!$C$1,"DF","no"))),IF(ISNUMBER(BY160),IF(ABS(BY160-[3]QC_indicators!$B$1)&gt;3*[3]QC_indicators!$C$1,"DF","no")))</f>
        <v>no</v>
      </c>
      <c r="EQ160" t="s">
        <v>286</v>
      </c>
      <c r="ER160"/>
      <c r="ES160"/>
      <c r="ET160" s="264" t="s">
        <v>3272</v>
      </c>
      <c r="EU160"/>
    </row>
    <row r="161" spans="1:151" s="139" customFormat="1" ht="15" hidden="1" customHeight="1">
      <c r="A161" s="1" t="s">
        <v>265</v>
      </c>
      <c r="B161" t="s">
        <v>266</v>
      </c>
      <c r="C161" t="s">
        <v>267</v>
      </c>
      <c r="D161" t="s">
        <v>268</v>
      </c>
      <c r="E161" t="s">
        <v>269</v>
      </c>
      <c r="F161" t="s">
        <v>270</v>
      </c>
      <c r="G161" t="s">
        <v>271</v>
      </c>
      <c r="H161" t="s">
        <v>254</v>
      </c>
      <c r="I161">
        <v>2022</v>
      </c>
      <c r="J161">
        <v>0</v>
      </c>
      <c r="K161" t="s">
        <v>272</v>
      </c>
      <c r="L161"/>
      <c r="M161" t="str">
        <f t="shared" si="95"/>
        <v>Aryapratama_2022</v>
      </c>
      <c r="N161" t="s">
        <v>222</v>
      </c>
      <c r="O161" s="145" t="s">
        <v>274</v>
      </c>
      <c r="P161"/>
      <c r="Q161" t="s">
        <v>224</v>
      </c>
      <c r="R161" s="262" t="s">
        <v>223</v>
      </c>
      <c r="S161" s="263" t="s">
        <v>3104</v>
      </c>
      <c r="T161" t="s">
        <v>302</v>
      </c>
      <c r="U161" t="s">
        <v>303</v>
      </c>
      <c r="V161">
        <v>0</v>
      </c>
      <c r="W161">
        <v>0</v>
      </c>
      <c r="X161">
        <v>0</v>
      </c>
      <c r="Y161">
        <v>0</v>
      </c>
      <c r="Z161">
        <v>0</v>
      </c>
      <c r="AA161">
        <v>0</v>
      </c>
      <c r="AB161">
        <v>0</v>
      </c>
      <c r="AC161">
        <v>0</v>
      </c>
      <c r="AD161">
        <v>0</v>
      </c>
      <c r="AE161">
        <v>0</v>
      </c>
      <c r="AF161">
        <v>0</v>
      </c>
      <c r="AG161">
        <v>0</v>
      </c>
      <c r="AH161">
        <v>0</v>
      </c>
      <c r="AI161">
        <v>0</v>
      </c>
      <c r="AJ161">
        <v>0</v>
      </c>
      <c r="AK161">
        <v>1</v>
      </c>
      <c r="AL161">
        <v>0</v>
      </c>
      <c r="AM161">
        <v>0</v>
      </c>
      <c r="AN161">
        <v>0</v>
      </c>
      <c r="AO161">
        <v>0</v>
      </c>
      <c r="AP161">
        <v>0</v>
      </c>
      <c r="AQ161">
        <v>0</v>
      </c>
      <c r="AR161">
        <v>0</v>
      </c>
      <c r="AS161">
        <v>0</v>
      </c>
      <c r="AT161">
        <v>0</v>
      </c>
      <c r="AU161">
        <v>0</v>
      </c>
      <c r="AV161">
        <v>0</v>
      </c>
      <c r="AW161">
        <v>0</v>
      </c>
      <c r="AX161" s="141">
        <f t="shared" si="106"/>
        <v>1</v>
      </c>
      <c r="AY161" s="141">
        <f t="shared" si="107"/>
        <v>1</v>
      </c>
      <c r="AZ161">
        <f t="shared" si="108"/>
        <v>0</v>
      </c>
      <c r="BA161">
        <f t="shared" si="109"/>
        <v>0</v>
      </c>
      <c r="BB161">
        <f t="shared" si="110"/>
        <v>1</v>
      </c>
      <c r="BC161">
        <f t="shared" si="111"/>
        <v>0</v>
      </c>
      <c r="BD161">
        <f t="shared" si="112"/>
        <v>0</v>
      </c>
      <c r="BE161" t="str">
        <f t="array" ref="BE161">IF(AY161=1,INDEX($V$7:$AL$7,MATCH(TRUE,INDEX($V161:$AW161&lt;&gt;0,),0)),IF(AY161=0,INDEX($AM$7:$AW$7,MATCH(1,$AM161:$AW161,0)),IF(BF161="Multiple strategies","mixed drivers",IF(BF161="Supply chain","multiple supply","multiple silviculture"))))</f>
        <v>technologies/design switch</v>
      </c>
      <c r="BF161" s="2" t="str" cm="1">
        <f t="array" ref="BF161">IF(COUNTIF(AZ161:BB161,"&lt;&gt;0")=1,INDEX($V$4:$AW$4,MATCH(TRUE,INDEX($V161:$AW161&lt;&gt;0,),0)),IF(COUNTIF(AZ161:BB161,"&lt;&gt;0")=0,INDEX($AM$4:$AW$4,MATCH(1,$AM161:$AW161,0)),"Multiple strategies"))</f>
        <v>Technology</v>
      </c>
      <c r="BG161" s="1" t="s">
        <v>229</v>
      </c>
      <c r="BH161" t="s">
        <v>277</v>
      </c>
      <c r="BI161" s="264" t="s">
        <v>3105</v>
      </c>
      <c r="BJ161" t="s">
        <v>278</v>
      </c>
      <c r="BK161">
        <v>0</v>
      </c>
      <c r="BL161">
        <v>23.12907189695861</v>
      </c>
      <c r="BM161"/>
      <c r="BN161">
        <f t="shared" si="113"/>
        <v>23.12907189695861</v>
      </c>
      <c r="BO161">
        <f t="shared" si="114"/>
        <v>100.43018626556062</v>
      </c>
      <c r="BP161" t="s">
        <v>232</v>
      </c>
      <c r="BQ161" s="302" t="s">
        <v>3106</v>
      </c>
      <c r="BR161" t="s">
        <v>279</v>
      </c>
      <c r="BS161">
        <v>152.02211024415089</v>
      </c>
      <c r="BT161">
        <v>176.62110895178901</v>
      </c>
      <c r="BU161" s="144">
        <f t="shared" si="115"/>
        <v>1.161811980297679</v>
      </c>
      <c r="BV161">
        <f t="shared" si="116"/>
        <v>24.598998707638117</v>
      </c>
      <c r="BW161"/>
      <c r="BX161">
        <f t="shared" si="117"/>
        <v>24.598998707638117</v>
      </c>
      <c r="BY161">
        <f t="shared" si="51"/>
        <v>0.2449363047340436</v>
      </c>
      <c r="BZ161">
        <v>0</v>
      </c>
      <c r="CA161">
        <v>0</v>
      </c>
      <c r="CB161">
        <v>0</v>
      </c>
      <c r="CC161">
        <v>0</v>
      </c>
      <c r="CD161">
        <v>0</v>
      </c>
      <c r="CE161">
        <v>0</v>
      </c>
      <c r="CF161">
        <v>0</v>
      </c>
      <c r="CG161">
        <v>0</v>
      </c>
      <c r="CH161">
        <v>0</v>
      </c>
      <c r="CI161">
        <v>0</v>
      </c>
      <c r="CJ161">
        <v>0</v>
      </c>
      <c r="CK161">
        <v>0</v>
      </c>
      <c r="CL161">
        <v>0</v>
      </c>
      <c r="CM161">
        <v>0</v>
      </c>
      <c r="CN161" t="str">
        <f t="shared" si="118"/>
        <v>refOK</v>
      </c>
      <c r="CO161">
        <f>IF($CN161="refOK",$BK161,$BL161)</f>
        <v>0</v>
      </c>
      <c r="CP161">
        <f>IF($CN161="refOK",$BL161,$BK161)</f>
        <v>23.12907189695861</v>
      </c>
      <c r="CQ161">
        <f t="shared" si="119"/>
        <v>100.43018626556062</v>
      </c>
      <c r="CR161">
        <f t="shared" si="120"/>
        <v>152.02211024415089</v>
      </c>
      <c r="CS161">
        <f t="shared" si="121"/>
        <v>176.62110895178901</v>
      </c>
      <c r="CT161">
        <f t="shared" si="122"/>
        <v>24.598998707638117</v>
      </c>
      <c r="CU161">
        <f t="shared" si="123"/>
        <v>0.2449363047340436</v>
      </c>
      <c r="CV161" s="2">
        <f t="shared" si="124"/>
        <v>0.16181198029767893</v>
      </c>
      <c r="CW161" s="1" t="s">
        <v>234</v>
      </c>
      <c r="CX161" t="str">
        <f t="shared" si="125"/>
        <v>loc</v>
      </c>
      <c r="CY161" t="s">
        <v>280</v>
      </c>
      <c r="CZ161"/>
      <c r="DA161"/>
      <c r="DB161">
        <v>100</v>
      </c>
      <c r="DC161" t="str">
        <f t="shared" si="126"/>
        <v>71-100</v>
      </c>
      <c r="DD161">
        <v>0</v>
      </c>
      <c r="DE161">
        <v>0</v>
      </c>
      <c r="DF161">
        <v>0</v>
      </c>
      <c r="DG161">
        <v>1</v>
      </c>
      <c r="DH161"/>
      <c r="DI161">
        <f t="shared" ref="DI161:DI192" si="129">SUM(DD161:DG161)</f>
        <v>1</v>
      </c>
      <c r="DJ161" t="str">
        <f t="shared" ref="DJ161:DJ192" si="130">IF(DI161=1,INDEX($DD$7:$DG$7,MATCH(1,$DD161:$DG161,0)),"mixedProduct")</f>
        <v>TimberInput</v>
      </c>
      <c r="DK161">
        <f t="shared" ref="DK161:DK192" si="131">IF(DD161=1,DK$7,0)</f>
        <v>0</v>
      </c>
      <c r="DL161">
        <f t="shared" ref="DL161:DL192" si="132">IF(DE161=1,DL$7,0)</f>
        <v>0</v>
      </c>
      <c r="DM161">
        <f t="shared" ref="DM161:DM192" si="133">IF(DF161=1,DM$7,0)</f>
        <v>0</v>
      </c>
      <c r="DN161" t="str">
        <f t="shared" ref="DN161:DN192" si="134">IF(DG161=1,DN$7,0)</f>
        <v>Timber</v>
      </c>
      <c r="DO161">
        <v>0</v>
      </c>
      <c r="DP161">
        <v>1</v>
      </c>
      <c r="DQ161" t="s">
        <v>304</v>
      </c>
      <c r="DR161">
        <v>0</v>
      </c>
      <c r="DS161">
        <v>0</v>
      </c>
      <c r="DT161">
        <f t="shared" ref="DT161:DT192" si="135">SUM(DO161:DP161)</f>
        <v>1</v>
      </c>
      <c r="DU161" s="143" t="str">
        <f t="shared" ref="DU161:DU192" si="136">IF(DO161=1,"self-calculated DF",IF(DP161=1,"external DF used","explicit C balance"))</f>
        <v>external DF used</v>
      </c>
      <c r="DV161">
        <v>0</v>
      </c>
      <c r="DW161">
        <v>1</v>
      </c>
      <c r="DX161">
        <v>1</v>
      </c>
      <c r="DY161">
        <v>1</v>
      </c>
      <c r="DZ161">
        <v>1</v>
      </c>
      <c r="EA161" s="143">
        <v>0</v>
      </c>
      <c r="EB161">
        <v>1</v>
      </c>
      <c r="EC161">
        <v>1</v>
      </c>
      <c r="ED161">
        <v>0</v>
      </c>
      <c r="EE161">
        <v>1</v>
      </c>
      <c r="EF161">
        <v>1</v>
      </c>
      <c r="EG161">
        <v>1</v>
      </c>
      <c r="EH161">
        <v>0</v>
      </c>
      <c r="EI161" s="2">
        <v>0</v>
      </c>
      <c r="EJ161" s="1"/>
      <c r="EK161" t="str">
        <f t="shared" si="127"/>
        <v>Whole sector</v>
      </c>
      <c r="EL161" t="str">
        <f t="shared" si="128"/>
        <v/>
      </c>
      <c r="EM161" s="2" t="str">
        <f t="shared" si="67"/>
        <v/>
      </c>
      <c r="EN161"/>
      <c r="EO161"/>
      <c r="EP161" t="str">
        <f>IF(ISNUMBER(BU161),IF(ABS(BU161-[3]QC_indicators!$B$2)&gt;3*[3]QC_indicators!$C$2,"C ratio",IF(ISNUMBER(BY161),IF(ABS(BY161-[3]QC_indicators!$B$1)&gt;3*[3]QC_indicators!$C$1,"DF","no"))),IF(ISNUMBER(BY161),IF(ABS(BY161-[3]QC_indicators!$B$1)&gt;3*[3]QC_indicators!$C$1,"DF","no")))</f>
        <v>no</v>
      </c>
      <c r="EQ161" t="s">
        <v>286</v>
      </c>
      <c r="ER161"/>
      <c r="ES161"/>
      <c r="ET161" s="264" t="s">
        <v>3272</v>
      </c>
      <c r="EU161"/>
    </row>
    <row r="162" spans="1:151" s="139" customFormat="1" ht="15" hidden="1" customHeight="1">
      <c r="A162" s="1" t="s">
        <v>265</v>
      </c>
      <c r="B162" t="s">
        <v>266</v>
      </c>
      <c r="C162" t="s">
        <v>267</v>
      </c>
      <c r="D162" t="s">
        <v>268</v>
      </c>
      <c r="E162" t="s">
        <v>269</v>
      </c>
      <c r="F162" t="s">
        <v>270</v>
      </c>
      <c r="G162" t="s">
        <v>271</v>
      </c>
      <c r="H162" t="s">
        <v>254</v>
      </c>
      <c r="I162">
        <v>2022</v>
      </c>
      <c r="J162">
        <v>0</v>
      </c>
      <c r="K162" t="s">
        <v>272</v>
      </c>
      <c r="L162"/>
      <c r="M162" t="str">
        <f t="shared" si="95"/>
        <v>Aryapratama_2022</v>
      </c>
      <c r="N162" t="s">
        <v>222</v>
      </c>
      <c r="O162" s="145" t="s">
        <v>274</v>
      </c>
      <c r="P162"/>
      <c r="Q162" t="s">
        <v>224</v>
      </c>
      <c r="R162" s="262" t="s">
        <v>223</v>
      </c>
      <c r="S162" s="263" t="s">
        <v>3104</v>
      </c>
      <c r="T162" t="s">
        <v>305</v>
      </c>
      <c r="U162" t="s">
        <v>284</v>
      </c>
      <c r="V162">
        <v>0</v>
      </c>
      <c r="W162">
        <v>0</v>
      </c>
      <c r="X162">
        <v>0</v>
      </c>
      <c r="Y162">
        <v>0</v>
      </c>
      <c r="Z162">
        <v>0</v>
      </c>
      <c r="AA162">
        <v>0</v>
      </c>
      <c r="AB162">
        <v>0</v>
      </c>
      <c r="AC162">
        <v>0</v>
      </c>
      <c r="AD162">
        <v>0</v>
      </c>
      <c r="AE162">
        <v>0</v>
      </c>
      <c r="AF162">
        <v>0</v>
      </c>
      <c r="AG162">
        <v>0</v>
      </c>
      <c r="AH162">
        <v>0</v>
      </c>
      <c r="AI162">
        <v>0</v>
      </c>
      <c r="AJ162">
        <v>0</v>
      </c>
      <c r="AK162">
        <v>1</v>
      </c>
      <c r="AL162">
        <v>0</v>
      </c>
      <c r="AM162">
        <v>0</v>
      </c>
      <c r="AN162">
        <v>0</v>
      </c>
      <c r="AO162">
        <v>0</v>
      </c>
      <c r="AP162">
        <v>0</v>
      </c>
      <c r="AQ162">
        <v>0</v>
      </c>
      <c r="AR162">
        <v>0</v>
      </c>
      <c r="AS162">
        <v>0</v>
      </c>
      <c r="AT162">
        <v>0</v>
      </c>
      <c r="AU162">
        <v>0</v>
      </c>
      <c r="AV162">
        <v>0</v>
      </c>
      <c r="AW162">
        <v>0</v>
      </c>
      <c r="AX162" s="141">
        <f t="shared" si="106"/>
        <v>1</v>
      </c>
      <c r="AY162" s="141">
        <f t="shared" si="107"/>
        <v>1</v>
      </c>
      <c r="AZ162">
        <f t="shared" si="108"/>
        <v>0</v>
      </c>
      <c r="BA162">
        <f t="shared" si="109"/>
        <v>0</v>
      </c>
      <c r="BB162">
        <f t="shared" si="110"/>
        <v>1</v>
      </c>
      <c r="BC162">
        <f t="shared" si="111"/>
        <v>0</v>
      </c>
      <c r="BD162">
        <f t="shared" si="112"/>
        <v>0</v>
      </c>
      <c r="BE162" t="str">
        <f t="array" ref="BE162">IF(AY162=1,INDEX($V$7:$AL$7,MATCH(TRUE,INDEX($V162:$AW162&lt;&gt;0,),0)),IF(AY162=0,INDEX($AM$7:$AW$7,MATCH(1,$AM162:$AW162,0)),IF(BF162="Multiple strategies","mixed drivers",IF(BF162="Supply chain","multiple supply","multiple silviculture"))))</f>
        <v>technologies/design switch</v>
      </c>
      <c r="BF162" s="2" t="str" cm="1">
        <f t="array" ref="BF162">IF(COUNTIF(AZ162:BB162,"&lt;&gt;0")=1,INDEX($V$4:$AW$4,MATCH(TRUE,INDEX($V162:$AW162&lt;&gt;0,),0)),IF(COUNTIF(AZ162:BB162,"&lt;&gt;0")=0,INDEX($AM$4:$AW$4,MATCH(1,$AM162:$AW162,0)),"Multiple strategies"))</f>
        <v>Technology</v>
      </c>
      <c r="BG162" s="1" t="s">
        <v>229</v>
      </c>
      <c r="BH162" t="s">
        <v>277</v>
      </c>
      <c r="BI162" s="264" t="s">
        <v>3105</v>
      </c>
      <c r="BJ162" t="s">
        <v>278</v>
      </c>
      <c r="BK162">
        <v>0</v>
      </c>
      <c r="BL162">
        <v>34.69360784543791</v>
      </c>
      <c r="BM162"/>
      <c r="BN162">
        <f t="shared" si="113"/>
        <v>34.69360784543791</v>
      </c>
      <c r="BO162">
        <f t="shared" si="114"/>
        <v>150.6452793983409</v>
      </c>
      <c r="BP162" t="s">
        <v>232</v>
      </c>
      <c r="BQ162" s="302" t="s">
        <v>3106</v>
      </c>
      <c r="BR162" t="s">
        <v>279</v>
      </c>
      <c r="BS162">
        <v>337.64037255698202</v>
      </c>
      <c r="BT162">
        <v>377.50107760210591</v>
      </c>
      <c r="BU162" s="144">
        <f t="shared" si="115"/>
        <v>1.1180566907424461</v>
      </c>
      <c r="BV162">
        <f t="shared" si="116"/>
        <v>39.860705045123893</v>
      </c>
      <c r="BW162"/>
      <c r="BX162">
        <f t="shared" si="117"/>
        <v>39.860705045123893</v>
      </c>
      <c r="BY162">
        <f t="shared" si="51"/>
        <v>0.26459976180018879</v>
      </c>
      <c r="BZ162">
        <v>0</v>
      </c>
      <c r="CA162">
        <v>0</v>
      </c>
      <c r="CB162">
        <v>0</v>
      </c>
      <c r="CC162">
        <v>0</v>
      </c>
      <c r="CD162">
        <v>0</v>
      </c>
      <c r="CE162">
        <v>0</v>
      </c>
      <c r="CF162">
        <v>0</v>
      </c>
      <c r="CG162">
        <v>0</v>
      </c>
      <c r="CH162">
        <v>0</v>
      </c>
      <c r="CI162">
        <v>0</v>
      </c>
      <c r="CJ162">
        <v>0</v>
      </c>
      <c r="CK162">
        <v>0</v>
      </c>
      <c r="CL162">
        <v>0</v>
      </c>
      <c r="CM162">
        <v>0</v>
      </c>
      <c r="CN162" t="str">
        <f t="shared" si="118"/>
        <v>refOK</v>
      </c>
      <c r="CO162">
        <f>IF($CN162="refOK",$BK162,$BL162)</f>
        <v>0</v>
      </c>
      <c r="CP162">
        <f>IF($CN162="refOK",$BL162,$BK162)</f>
        <v>34.69360784543791</v>
      </c>
      <c r="CQ162">
        <f t="shared" si="119"/>
        <v>150.6452793983409</v>
      </c>
      <c r="CR162">
        <f t="shared" si="120"/>
        <v>337.64037255698202</v>
      </c>
      <c r="CS162">
        <f t="shared" si="121"/>
        <v>377.50107760210591</v>
      </c>
      <c r="CT162">
        <f t="shared" si="122"/>
        <v>39.860705045123893</v>
      </c>
      <c r="CU162">
        <f t="shared" si="123"/>
        <v>0.26459976180018879</v>
      </c>
      <c r="CV162" s="2">
        <f t="shared" si="124"/>
        <v>0.11805669074244604</v>
      </c>
      <c r="CW162" s="1" t="s">
        <v>234</v>
      </c>
      <c r="CX162" t="str">
        <f t="shared" si="125"/>
        <v>loc</v>
      </c>
      <c r="CY162" t="s">
        <v>280</v>
      </c>
      <c r="CZ162"/>
      <c r="DA162"/>
      <c r="DB162">
        <v>200</v>
      </c>
      <c r="DC162" t="str">
        <f t="shared" si="126"/>
        <v>+100</v>
      </c>
      <c r="DD162">
        <v>0</v>
      </c>
      <c r="DE162">
        <v>0</v>
      </c>
      <c r="DF162">
        <v>0</v>
      </c>
      <c r="DG162">
        <v>1</v>
      </c>
      <c r="DH162"/>
      <c r="DI162">
        <f t="shared" si="129"/>
        <v>1</v>
      </c>
      <c r="DJ162" t="str">
        <f t="shared" si="130"/>
        <v>TimberInput</v>
      </c>
      <c r="DK162">
        <f t="shared" si="131"/>
        <v>0</v>
      </c>
      <c r="DL162">
        <f t="shared" si="132"/>
        <v>0</v>
      </c>
      <c r="DM162">
        <f t="shared" si="133"/>
        <v>0</v>
      </c>
      <c r="DN162" t="str">
        <f t="shared" si="134"/>
        <v>Timber</v>
      </c>
      <c r="DO162">
        <v>0</v>
      </c>
      <c r="DP162">
        <v>1</v>
      </c>
      <c r="DQ162">
        <v>0</v>
      </c>
      <c r="DR162" t="s">
        <v>281</v>
      </c>
      <c r="DS162">
        <v>0</v>
      </c>
      <c r="DT162">
        <f t="shared" si="135"/>
        <v>1</v>
      </c>
      <c r="DU162" s="143" t="str">
        <f t="shared" si="136"/>
        <v>external DF used</v>
      </c>
      <c r="DV162">
        <v>0</v>
      </c>
      <c r="DW162">
        <v>1</v>
      </c>
      <c r="DX162">
        <v>1</v>
      </c>
      <c r="DY162">
        <v>1</v>
      </c>
      <c r="DZ162">
        <v>1</v>
      </c>
      <c r="EA162" s="143">
        <v>0</v>
      </c>
      <c r="EB162">
        <v>1</v>
      </c>
      <c r="EC162">
        <v>1</v>
      </c>
      <c r="ED162">
        <v>0</v>
      </c>
      <c r="EE162">
        <v>1</v>
      </c>
      <c r="EF162">
        <v>1</v>
      </c>
      <c r="EG162">
        <v>1</v>
      </c>
      <c r="EH162">
        <v>0</v>
      </c>
      <c r="EI162" s="2">
        <v>0</v>
      </c>
      <c r="EJ162" s="1"/>
      <c r="EK162" t="str">
        <f t="shared" si="127"/>
        <v>Whole sector</v>
      </c>
      <c r="EL162" t="str">
        <f t="shared" si="128"/>
        <v/>
      </c>
      <c r="EM162" s="2" t="str">
        <f t="shared" si="67"/>
        <v/>
      </c>
      <c r="EN162"/>
      <c r="EO162"/>
      <c r="EP162" t="str">
        <f>IF(ISNUMBER(BU162),IF(ABS(BU162-[3]QC_indicators!$B$2)&gt;3*[3]QC_indicators!$C$2,"C ratio",IF(ISNUMBER(BY162),IF(ABS(BY162-[3]QC_indicators!$B$1)&gt;3*[3]QC_indicators!$C$1,"DF","no"))),IF(ISNUMBER(BY162),IF(ABS(BY162-[3]QC_indicators!$B$1)&gt;3*[3]QC_indicators!$C$1,"DF","no")))</f>
        <v>no</v>
      </c>
      <c r="EQ162" t="s">
        <v>286</v>
      </c>
      <c r="ER162"/>
      <c r="ES162"/>
      <c r="ET162" s="264" t="s">
        <v>3272</v>
      </c>
      <c r="EU162"/>
    </row>
    <row r="163" spans="1:151" s="139" customFormat="1" ht="15" hidden="1" customHeight="1">
      <c r="A163" s="1" t="s">
        <v>265</v>
      </c>
      <c r="B163" t="s">
        <v>266</v>
      </c>
      <c r="C163" t="s">
        <v>267</v>
      </c>
      <c r="D163" t="s">
        <v>268</v>
      </c>
      <c r="E163" t="s">
        <v>269</v>
      </c>
      <c r="F163" t="s">
        <v>270</v>
      </c>
      <c r="G163" t="s">
        <v>271</v>
      </c>
      <c r="H163" t="s">
        <v>254</v>
      </c>
      <c r="I163">
        <v>2022</v>
      </c>
      <c r="J163">
        <v>0</v>
      </c>
      <c r="K163" t="s">
        <v>272</v>
      </c>
      <c r="L163"/>
      <c r="M163" t="str">
        <f t="shared" si="95"/>
        <v>Aryapratama_2022</v>
      </c>
      <c r="N163" t="s">
        <v>222</v>
      </c>
      <c r="O163" s="145" t="s">
        <v>274</v>
      </c>
      <c r="P163"/>
      <c r="Q163" t="s">
        <v>224</v>
      </c>
      <c r="R163" s="262" t="s">
        <v>223</v>
      </c>
      <c r="S163" s="263" t="s">
        <v>3104</v>
      </c>
      <c r="T163" t="s">
        <v>305</v>
      </c>
      <c r="U163" t="s">
        <v>284</v>
      </c>
      <c r="V163">
        <v>0</v>
      </c>
      <c r="W163">
        <v>0</v>
      </c>
      <c r="X163">
        <v>0</v>
      </c>
      <c r="Y163">
        <v>0</v>
      </c>
      <c r="Z163">
        <v>0</v>
      </c>
      <c r="AA163">
        <v>0</v>
      </c>
      <c r="AB163">
        <v>0</v>
      </c>
      <c r="AC163">
        <v>0</v>
      </c>
      <c r="AD163">
        <v>0</v>
      </c>
      <c r="AE163">
        <v>0</v>
      </c>
      <c r="AF163">
        <v>0</v>
      </c>
      <c r="AG163">
        <v>0</v>
      </c>
      <c r="AH163">
        <v>0</v>
      </c>
      <c r="AI163">
        <v>0</v>
      </c>
      <c r="AJ163">
        <v>0</v>
      </c>
      <c r="AK163">
        <v>1</v>
      </c>
      <c r="AL163">
        <v>0</v>
      </c>
      <c r="AM163">
        <v>0</v>
      </c>
      <c r="AN163">
        <v>0</v>
      </c>
      <c r="AO163">
        <v>0</v>
      </c>
      <c r="AP163">
        <v>0</v>
      </c>
      <c r="AQ163">
        <v>0</v>
      </c>
      <c r="AR163">
        <v>0</v>
      </c>
      <c r="AS163">
        <v>0</v>
      </c>
      <c r="AT163">
        <v>0</v>
      </c>
      <c r="AU163">
        <v>0</v>
      </c>
      <c r="AV163">
        <v>0</v>
      </c>
      <c r="AW163">
        <v>0</v>
      </c>
      <c r="AX163" s="141">
        <f t="shared" si="106"/>
        <v>1</v>
      </c>
      <c r="AY163" s="141">
        <f t="shared" si="107"/>
        <v>1</v>
      </c>
      <c r="AZ163">
        <f t="shared" si="108"/>
        <v>0</v>
      </c>
      <c r="BA163">
        <f t="shared" si="109"/>
        <v>0</v>
      </c>
      <c r="BB163">
        <f t="shared" si="110"/>
        <v>1</v>
      </c>
      <c r="BC163">
        <f t="shared" si="111"/>
        <v>0</v>
      </c>
      <c r="BD163">
        <f t="shared" si="112"/>
        <v>0</v>
      </c>
      <c r="BE163" t="str">
        <f t="array" ref="BE163">IF(AY163=1,INDEX($V$7:$AL$7,MATCH(TRUE,INDEX($V163:$AW163&lt;&gt;0,),0)),IF(AY163=0,INDEX($AM$7:$AW$7,MATCH(1,$AM163:$AW163,0)),IF(BF163="Multiple strategies","mixed drivers",IF(BF163="Supply chain","multiple supply","multiple silviculture"))))</f>
        <v>technologies/design switch</v>
      </c>
      <c r="BF163" s="2" t="str" cm="1">
        <f t="array" ref="BF163">IF(COUNTIF(AZ163:BB163,"&lt;&gt;0")=1,INDEX($V$4:$AW$4,MATCH(TRUE,INDEX($V163:$AW163&lt;&gt;0,),0)),IF(COUNTIF(AZ163:BB163,"&lt;&gt;0")=0,INDEX($AM$4:$AW$4,MATCH(1,$AM163:$AW163,0)),"Multiple strategies"))</f>
        <v>Technology</v>
      </c>
      <c r="BG163" s="1" t="s">
        <v>229</v>
      </c>
      <c r="BH163" t="s">
        <v>277</v>
      </c>
      <c r="BI163" s="264" t="s">
        <v>3105</v>
      </c>
      <c r="BJ163" t="s">
        <v>278</v>
      </c>
      <c r="BK163">
        <v>0</v>
      </c>
      <c r="BL163">
        <v>17.346803922718955</v>
      </c>
      <c r="BM163"/>
      <c r="BN163">
        <f t="shared" si="113"/>
        <v>17.346803922718955</v>
      </c>
      <c r="BO163">
        <f t="shared" si="114"/>
        <v>75.322639699170452</v>
      </c>
      <c r="BP163" t="s">
        <v>232</v>
      </c>
      <c r="BQ163" s="302" t="s">
        <v>3106</v>
      </c>
      <c r="BR163" t="s">
        <v>279</v>
      </c>
      <c r="BS163">
        <v>163.96310441836951</v>
      </c>
      <c r="BT163">
        <v>192.24097622198209</v>
      </c>
      <c r="BU163" s="144">
        <f t="shared" si="115"/>
        <v>1.1724648475272739</v>
      </c>
      <c r="BV163">
        <f t="shared" si="116"/>
        <v>28.277871803612584</v>
      </c>
      <c r="BW163"/>
      <c r="BX163">
        <f t="shared" si="117"/>
        <v>28.277871803612584</v>
      </c>
      <c r="BY163">
        <f t="shared" si="51"/>
        <v>0.37542327136370945</v>
      </c>
      <c r="BZ163">
        <v>0</v>
      </c>
      <c r="CA163">
        <v>0</v>
      </c>
      <c r="CB163">
        <v>0</v>
      </c>
      <c r="CC163">
        <v>0</v>
      </c>
      <c r="CD163">
        <v>0</v>
      </c>
      <c r="CE163">
        <v>0</v>
      </c>
      <c r="CF163">
        <v>0</v>
      </c>
      <c r="CG163">
        <v>0</v>
      </c>
      <c r="CH163">
        <v>0</v>
      </c>
      <c r="CI163">
        <v>0</v>
      </c>
      <c r="CJ163">
        <v>0</v>
      </c>
      <c r="CK163">
        <v>0</v>
      </c>
      <c r="CL163">
        <v>0</v>
      </c>
      <c r="CM163">
        <v>0</v>
      </c>
      <c r="CN163" t="str">
        <f t="shared" si="118"/>
        <v>refOK</v>
      </c>
      <c r="CO163">
        <f>IF($CN163="refOK",$BK163,$BL163)</f>
        <v>0</v>
      </c>
      <c r="CP163">
        <f>IF($CN163="refOK",$BL163,$BK163)</f>
        <v>17.346803922718955</v>
      </c>
      <c r="CQ163">
        <f t="shared" si="119"/>
        <v>75.322639699170452</v>
      </c>
      <c r="CR163">
        <f t="shared" si="120"/>
        <v>163.96310441836951</v>
      </c>
      <c r="CS163">
        <f t="shared" si="121"/>
        <v>192.24097622198209</v>
      </c>
      <c r="CT163">
        <f t="shared" si="122"/>
        <v>28.277871803612584</v>
      </c>
      <c r="CU163">
        <f t="shared" si="123"/>
        <v>0.37542327136370945</v>
      </c>
      <c r="CV163" s="2">
        <f t="shared" si="124"/>
        <v>0.17246484752727387</v>
      </c>
      <c r="CW163" s="1" t="s">
        <v>234</v>
      </c>
      <c r="CX163" t="str">
        <f t="shared" si="125"/>
        <v>loc</v>
      </c>
      <c r="CY163" t="s">
        <v>280</v>
      </c>
      <c r="CZ163"/>
      <c r="DA163"/>
      <c r="DB163">
        <v>100</v>
      </c>
      <c r="DC163" t="str">
        <f t="shared" si="126"/>
        <v>71-100</v>
      </c>
      <c r="DD163">
        <v>0</v>
      </c>
      <c r="DE163">
        <v>0</v>
      </c>
      <c r="DF163">
        <v>0</v>
      </c>
      <c r="DG163">
        <v>1</v>
      </c>
      <c r="DH163"/>
      <c r="DI163">
        <f t="shared" si="129"/>
        <v>1</v>
      </c>
      <c r="DJ163" t="str">
        <f t="shared" si="130"/>
        <v>TimberInput</v>
      </c>
      <c r="DK163">
        <f t="shared" si="131"/>
        <v>0</v>
      </c>
      <c r="DL163">
        <f t="shared" si="132"/>
        <v>0</v>
      </c>
      <c r="DM163">
        <f t="shared" si="133"/>
        <v>0</v>
      </c>
      <c r="DN163" t="str">
        <f t="shared" si="134"/>
        <v>Timber</v>
      </c>
      <c r="DO163">
        <v>0</v>
      </c>
      <c r="DP163">
        <v>1</v>
      </c>
      <c r="DQ163">
        <v>0</v>
      </c>
      <c r="DR163" t="s">
        <v>281</v>
      </c>
      <c r="DS163">
        <v>0</v>
      </c>
      <c r="DT163">
        <f t="shared" si="135"/>
        <v>1</v>
      </c>
      <c r="DU163" s="143" t="str">
        <f t="shared" si="136"/>
        <v>external DF used</v>
      </c>
      <c r="DV163">
        <v>0</v>
      </c>
      <c r="DW163">
        <v>1</v>
      </c>
      <c r="DX163">
        <v>1</v>
      </c>
      <c r="DY163">
        <v>1</v>
      </c>
      <c r="DZ163">
        <v>1</v>
      </c>
      <c r="EA163" s="143">
        <v>0</v>
      </c>
      <c r="EB163">
        <v>1</v>
      </c>
      <c r="EC163">
        <v>1</v>
      </c>
      <c r="ED163">
        <v>0</v>
      </c>
      <c r="EE163">
        <v>1</v>
      </c>
      <c r="EF163">
        <v>1</v>
      </c>
      <c r="EG163">
        <v>1</v>
      </c>
      <c r="EH163">
        <v>0</v>
      </c>
      <c r="EI163" s="2">
        <v>0</v>
      </c>
      <c r="EJ163" s="1"/>
      <c r="EK163" t="str">
        <f t="shared" si="127"/>
        <v>Whole sector</v>
      </c>
      <c r="EL163" t="str">
        <f t="shared" si="128"/>
        <v/>
      </c>
      <c r="EM163" s="2" t="str">
        <f t="shared" si="67"/>
        <v/>
      </c>
      <c r="EN163"/>
      <c r="EO163"/>
      <c r="EP163" t="str">
        <f>IF(ISNUMBER(BU163),IF(ABS(BU163-[3]QC_indicators!$B$2)&gt;3*[3]QC_indicators!$C$2,"C ratio",IF(ISNUMBER(BY163),IF(ABS(BY163-[3]QC_indicators!$B$1)&gt;3*[3]QC_indicators!$C$1,"DF","no"))),IF(ISNUMBER(BY163),IF(ABS(BY163-[3]QC_indicators!$B$1)&gt;3*[3]QC_indicators!$C$1,"DF","no")))</f>
        <v>no</v>
      </c>
      <c r="EQ163" t="s">
        <v>286</v>
      </c>
      <c r="ER163"/>
      <c r="ES163"/>
      <c r="ET163" s="264" t="s">
        <v>3272</v>
      </c>
      <c r="EU163"/>
    </row>
    <row r="164" spans="1:151" s="139" customFormat="1" ht="15" hidden="1" customHeight="1">
      <c r="A164" s="1" t="s">
        <v>265</v>
      </c>
      <c r="B164" t="s">
        <v>266</v>
      </c>
      <c r="C164" t="s">
        <v>267</v>
      </c>
      <c r="D164" t="s">
        <v>268</v>
      </c>
      <c r="E164" t="s">
        <v>269</v>
      </c>
      <c r="F164" t="s">
        <v>270</v>
      </c>
      <c r="G164" t="s">
        <v>271</v>
      </c>
      <c r="H164" t="s">
        <v>254</v>
      </c>
      <c r="I164">
        <v>2022</v>
      </c>
      <c r="J164">
        <v>0</v>
      </c>
      <c r="K164" t="s">
        <v>272</v>
      </c>
      <c r="L164"/>
      <c r="M164" t="str">
        <f t="shared" si="95"/>
        <v>Aryapratama_2022</v>
      </c>
      <c r="N164" t="s">
        <v>222</v>
      </c>
      <c r="O164" s="145" t="s">
        <v>274</v>
      </c>
      <c r="P164"/>
      <c r="Q164" t="s">
        <v>224</v>
      </c>
      <c r="R164" s="262" t="s">
        <v>223</v>
      </c>
      <c r="S164" s="263" t="s">
        <v>3104</v>
      </c>
      <c r="T164" t="s">
        <v>306</v>
      </c>
      <c r="U164" t="s">
        <v>288</v>
      </c>
      <c r="V164">
        <v>0</v>
      </c>
      <c r="W164">
        <v>0</v>
      </c>
      <c r="X164">
        <v>0</v>
      </c>
      <c r="Y164">
        <v>0</v>
      </c>
      <c r="Z164">
        <v>0</v>
      </c>
      <c r="AA164">
        <v>0</v>
      </c>
      <c r="AB164">
        <v>0</v>
      </c>
      <c r="AC164">
        <v>0</v>
      </c>
      <c r="AD164">
        <v>0</v>
      </c>
      <c r="AE164">
        <v>0</v>
      </c>
      <c r="AF164">
        <v>0</v>
      </c>
      <c r="AG164">
        <v>0</v>
      </c>
      <c r="AH164">
        <v>0</v>
      </c>
      <c r="AI164">
        <v>0</v>
      </c>
      <c r="AJ164">
        <v>0</v>
      </c>
      <c r="AK164">
        <v>1</v>
      </c>
      <c r="AL164">
        <v>0</v>
      </c>
      <c r="AM164">
        <v>0</v>
      </c>
      <c r="AN164">
        <v>0</v>
      </c>
      <c r="AO164">
        <v>0</v>
      </c>
      <c r="AP164">
        <v>0</v>
      </c>
      <c r="AQ164">
        <v>0</v>
      </c>
      <c r="AR164">
        <v>0</v>
      </c>
      <c r="AS164">
        <v>0</v>
      </c>
      <c r="AT164">
        <v>0</v>
      </c>
      <c r="AU164">
        <v>0</v>
      </c>
      <c r="AV164">
        <v>0</v>
      </c>
      <c r="AW164">
        <v>0</v>
      </c>
      <c r="AX164" s="141">
        <f t="shared" si="106"/>
        <v>1</v>
      </c>
      <c r="AY164" s="141">
        <f t="shared" si="107"/>
        <v>1</v>
      </c>
      <c r="AZ164">
        <f t="shared" si="108"/>
        <v>0</v>
      </c>
      <c r="BA164">
        <f t="shared" si="109"/>
        <v>0</v>
      </c>
      <c r="BB164">
        <f t="shared" si="110"/>
        <v>1</v>
      </c>
      <c r="BC164">
        <f t="shared" si="111"/>
        <v>0</v>
      </c>
      <c r="BD164">
        <f t="shared" si="112"/>
        <v>0</v>
      </c>
      <c r="BE164" t="str">
        <f t="array" ref="BE164">IF(AY164=1,INDEX($V$7:$AL$7,MATCH(TRUE,INDEX($V164:$AW164&lt;&gt;0,),0)),IF(AY164=0,INDEX($AM$7:$AW$7,MATCH(1,$AM164:$AW164,0)),IF(BF164="Multiple strategies","mixed drivers",IF(BF164="Supply chain","multiple supply","multiple silviculture"))))</f>
        <v>technologies/design switch</v>
      </c>
      <c r="BF164" s="2" t="str" cm="1">
        <f t="array" ref="BF164">IF(COUNTIF(AZ164:BB164,"&lt;&gt;0")=1,INDEX($V$4:$AW$4,MATCH(TRUE,INDEX($V164:$AW164&lt;&gt;0,),0)),IF(COUNTIF(AZ164:BB164,"&lt;&gt;0")=0,INDEX($AM$4:$AW$4,MATCH(1,$AM164:$AW164,0)),"Multiple strategies"))</f>
        <v>Technology</v>
      </c>
      <c r="BG164" s="1" t="s">
        <v>229</v>
      </c>
      <c r="BH164" t="s">
        <v>277</v>
      </c>
      <c r="BI164" s="264" t="s">
        <v>3105</v>
      </c>
      <c r="BJ164" t="s">
        <v>278</v>
      </c>
      <c r="BK164">
        <v>0</v>
      </c>
      <c r="BL164">
        <v>656.10508355919967</v>
      </c>
      <c r="BM164"/>
      <c r="BN164">
        <f t="shared" si="113"/>
        <v>656.10508355919967</v>
      </c>
      <c r="BO164">
        <f t="shared" si="114"/>
        <v>2848.9148222283966</v>
      </c>
      <c r="BP164" t="s">
        <v>232</v>
      </c>
      <c r="BQ164" s="302" t="s">
        <v>3106</v>
      </c>
      <c r="BR164" t="s">
        <v>279</v>
      </c>
      <c r="BS164">
        <v>-1351.032773953493</v>
      </c>
      <c r="BT164">
        <v>-227.6520247861325</v>
      </c>
      <c r="BU164" s="144">
        <f t="shared" si="115"/>
        <v>0.16850222228137379</v>
      </c>
      <c r="BV164">
        <f t="shared" si="116"/>
        <v>1123.3807491673606</v>
      </c>
      <c r="BW164"/>
      <c r="BX164">
        <f t="shared" si="117"/>
        <v>1123.3807491673606</v>
      </c>
      <c r="BY164">
        <f t="shared" si="51"/>
        <v>0.39431882638339527</v>
      </c>
      <c r="BZ164">
        <v>0</v>
      </c>
      <c r="CA164">
        <v>0</v>
      </c>
      <c r="CB164">
        <v>0</v>
      </c>
      <c r="CC164">
        <v>0</v>
      </c>
      <c r="CD164">
        <v>0</v>
      </c>
      <c r="CE164">
        <v>0</v>
      </c>
      <c r="CF164">
        <v>0</v>
      </c>
      <c r="CG164">
        <v>0</v>
      </c>
      <c r="CH164">
        <v>0</v>
      </c>
      <c r="CI164">
        <v>0</v>
      </c>
      <c r="CJ164">
        <v>0</v>
      </c>
      <c r="CK164">
        <v>0</v>
      </c>
      <c r="CL164">
        <v>0</v>
      </c>
      <c r="CM164">
        <v>0</v>
      </c>
      <c r="CN164" t="str">
        <f t="shared" si="118"/>
        <v>refOK</v>
      </c>
      <c r="CO164">
        <f>IF($CN164="refNeedCorrection",BL164,BK164)</f>
        <v>0</v>
      </c>
      <c r="CP164">
        <f>IF($CN164="refNeedCorrection",BK164,BL164)</f>
        <v>656.10508355919967</v>
      </c>
      <c r="CQ164">
        <f t="shared" si="119"/>
        <v>2848.9148222283966</v>
      </c>
      <c r="CR164">
        <f t="shared" si="120"/>
        <v>-1351.032773953493</v>
      </c>
      <c r="CS164">
        <f t="shared" si="121"/>
        <v>-227.6520247861325</v>
      </c>
      <c r="CT164">
        <f t="shared" si="122"/>
        <v>1123.3807491673606</v>
      </c>
      <c r="CU164">
        <f t="shared" si="123"/>
        <v>0.39431882638339527</v>
      </c>
      <c r="CV164" s="2">
        <f t="shared" si="124"/>
        <v>0.83149777771862632</v>
      </c>
      <c r="CW164" s="1" t="s">
        <v>234</v>
      </c>
      <c r="CX164" t="str">
        <f t="shared" si="125"/>
        <v>loc</v>
      </c>
      <c r="CY164" t="s">
        <v>280</v>
      </c>
      <c r="CZ164"/>
      <c r="DA164"/>
      <c r="DB164">
        <v>200</v>
      </c>
      <c r="DC164" t="str">
        <f t="shared" si="126"/>
        <v>+100</v>
      </c>
      <c r="DD164">
        <v>0</v>
      </c>
      <c r="DE164">
        <v>0</v>
      </c>
      <c r="DF164">
        <v>0</v>
      </c>
      <c r="DG164">
        <v>1</v>
      </c>
      <c r="DH164"/>
      <c r="DI164">
        <f t="shared" si="129"/>
        <v>1</v>
      </c>
      <c r="DJ164" t="str">
        <f t="shared" si="130"/>
        <v>TimberInput</v>
      </c>
      <c r="DK164">
        <f t="shared" si="131"/>
        <v>0</v>
      </c>
      <c r="DL164">
        <f t="shared" si="132"/>
        <v>0</v>
      </c>
      <c r="DM164">
        <f t="shared" si="133"/>
        <v>0</v>
      </c>
      <c r="DN164" t="str">
        <f t="shared" si="134"/>
        <v>Timber</v>
      </c>
      <c r="DO164">
        <v>0</v>
      </c>
      <c r="DP164">
        <v>1</v>
      </c>
      <c r="DQ164">
        <v>0</v>
      </c>
      <c r="DR164" t="s">
        <v>281</v>
      </c>
      <c r="DS164">
        <v>0</v>
      </c>
      <c r="DT164">
        <f t="shared" si="135"/>
        <v>1</v>
      </c>
      <c r="DU164" s="143" t="str">
        <f t="shared" si="136"/>
        <v>external DF used</v>
      </c>
      <c r="DV164">
        <v>0</v>
      </c>
      <c r="DW164">
        <v>1</v>
      </c>
      <c r="DX164">
        <v>1</v>
      </c>
      <c r="DY164">
        <v>1</v>
      </c>
      <c r="DZ164">
        <v>1</v>
      </c>
      <c r="EA164" s="143">
        <v>0</v>
      </c>
      <c r="EB164">
        <v>1</v>
      </c>
      <c r="EC164">
        <v>1</v>
      </c>
      <c r="ED164">
        <v>0</v>
      </c>
      <c r="EE164">
        <v>1</v>
      </c>
      <c r="EF164">
        <v>1</v>
      </c>
      <c r="EG164">
        <v>1</v>
      </c>
      <c r="EH164">
        <v>0</v>
      </c>
      <c r="EI164" s="2">
        <v>0</v>
      </c>
      <c r="EJ164" s="1"/>
      <c r="EK164" t="str">
        <f t="shared" si="127"/>
        <v>Whole sector</v>
      </c>
      <c r="EL164" t="str">
        <f t="shared" si="128"/>
        <v/>
      </c>
      <c r="EM164" s="2" t="str">
        <f t="shared" si="67"/>
        <v/>
      </c>
      <c r="EN164"/>
      <c r="EO164"/>
      <c r="EP164" t="str">
        <f>IF(ISNUMBER(BU164),IF(ABS(BU164-[3]QC_indicators!$B$2)&gt;3*[3]QC_indicators!$C$2,"C ratio",IF(ISNUMBER(BY164),IF(ABS(BY164-[3]QC_indicators!$B$1)&gt;3*[3]QC_indicators!$C$1,"DF","no"))),IF(ISNUMBER(BY164),IF(ABS(BY164-[3]QC_indicators!$B$1)&gt;3*[3]QC_indicators!$C$1,"DF","no")))</f>
        <v>no</v>
      </c>
      <c r="EQ164" t="s">
        <v>286</v>
      </c>
      <c r="ER164" t="s">
        <v>296</v>
      </c>
      <c r="ES164"/>
      <c r="ET164" s="264" t="s">
        <v>3272</v>
      </c>
      <c r="EU164"/>
    </row>
    <row r="165" spans="1:151" s="139" customFormat="1" ht="15" hidden="1" customHeight="1">
      <c r="A165" s="1" t="s">
        <v>265</v>
      </c>
      <c r="B165" t="s">
        <v>266</v>
      </c>
      <c r="C165" t="s">
        <v>267</v>
      </c>
      <c r="D165" t="s">
        <v>268</v>
      </c>
      <c r="E165" t="s">
        <v>269</v>
      </c>
      <c r="F165" t="s">
        <v>270</v>
      </c>
      <c r="G165" t="s">
        <v>271</v>
      </c>
      <c r="H165" t="s">
        <v>254</v>
      </c>
      <c r="I165">
        <v>2022</v>
      </c>
      <c r="J165">
        <v>0</v>
      </c>
      <c r="K165" t="s">
        <v>272</v>
      </c>
      <c r="L165"/>
      <c r="M165" t="str">
        <f t="shared" si="95"/>
        <v>Aryapratama_2022</v>
      </c>
      <c r="N165" t="s">
        <v>222</v>
      </c>
      <c r="O165" s="145" t="s">
        <v>274</v>
      </c>
      <c r="P165"/>
      <c r="Q165" t="s">
        <v>224</v>
      </c>
      <c r="R165" s="262" t="s">
        <v>223</v>
      </c>
      <c r="S165" s="263" t="s">
        <v>3104</v>
      </c>
      <c r="T165" t="s">
        <v>306</v>
      </c>
      <c r="U165" t="s">
        <v>288</v>
      </c>
      <c r="V165">
        <v>0</v>
      </c>
      <c r="W165">
        <v>0</v>
      </c>
      <c r="X165">
        <v>0</v>
      </c>
      <c r="Y165">
        <v>0</v>
      </c>
      <c r="Z165">
        <v>0</v>
      </c>
      <c r="AA165">
        <v>0</v>
      </c>
      <c r="AB165">
        <v>0</v>
      </c>
      <c r="AC165">
        <v>0</v>
      </c>
      <c r="AD165">
        <v>0</v>
      </c>
      <c r="AE165">
        <v>0</v>
      </c>
      <c r="AF165">
        <v>0</v>
      </c>
      <c r="AG165">
        <v>0</v>
      </c>
      <c r="AH165">
        <v>0</v>
      </c>
      <c r="AI165">
        <v>0</v>
      </c>
      <c r="AJ165">
        <v>0</v>
      </c>
      <c r="AK165">
        <v>1</v>
      </c>
      <c r="AL165">
        <v>0</v>
      </c>
      <c r="AM165">
        <v>0</v>
      </c>
      <c r="AN165">
        <v>0</v>
      </c>
      <c r="AO165">
        <v>0</v>
      </c>
      <c r="AP165">
        <v>0</v>
      </c>
      <c r="AQ165">
        <v>0</v>
      </c>
      <c r="AR165">
        <v>0</v>
      </c>
      <c r="AS165">
        <v>0</v>
      </c>
      <c r="AT165">
        <v>0</v>
      </c>
      <c r="AU165">
        <v>0</v>
      </c>
      <c r="AV165">
        <v>0</v>
      </c>
      <c r="AW165">
        <v>0</v>
      </c>
      <c r="AX165" s="141">
        <f t="shared" si="106"/>
        <v>1</v>
      </c>
      <c r="AY165" s="141">
        <f t="shared" si="107"/>
        <v>1</v>
      </c>
      <c r="AZ165">
        <f t="shared" si="108"/>
        <v>0</v>
      </c>
      <c r="BA165">
        <f t="shared" si="109"/>
        <v>0</v>
      </c>
      <c r="BB165">
        <f t="shared" si="110"/>
        <v>1</v>
      </c>
      <c r="BC165">
        <f t="shared" si="111"/>
        <v>0</v>
      </c>
      <c r="BD165">
        <f t="shared" si="112"/>
        <v>0</v>
      </c>
      <c r="BE165" t="str">
        <f t="array" ref="BE165">IF(AY165=1,INDEX($V$7:$AL$7,MATCH(TRUE,INDEX($V165:$AW165&lt;&gt;0,),0)),IF(AY165=0,INDEX($AM$7:$AW$7,MATCH(1,$AM165:$AW165,0)),IF(BF165="Multiple strategies","mixed drivers",IF(BF165="Supply chain","multiple supply","multiple silviculture"))))</f>
        <v>technologies/design switch</v>
      </c>
      <c r="BF165" s="2" t="str" cm="1">
        <f t="array" ref="BF165">IF(COUNTIF(AZ165:BB165,"&lt;&gt;0")=1,INDEX($V$4:$AW$4,MATCH(TRUE,INDEX($V165:$AW165&lt;&gt;0,),0)),IF(COUNTIF(AZ165:BB165,"&lt;&gt;0")=0,INDEX($AM$4:$AW$4,MATCH(1,$AM165:$AW165,0)),"Multiple strategies"))</f>
        <v>Technology</v>
      </c>
      <c r="BG165" s="1" t="s">
        <v>229</v>
      </c>
      <c r="BH165" t="s">
        <v>277</v>
      </c>
      <c r="BI165" s="264" t="s">
        <v>3105</v>
      </c>
      <c r="BJ165" t="s">
        <v>278</v>
      </c>
      <c r="BK165">
        <v>0</v>
      </c>
      <c r="BL165">
        <v>328.05254177959995</v>
      </c>
      <c r="BM165"/>
      <c r="BN165">
        <f t="shared" si="113"/>
        <v>328.05254177959995</v>
      </c>
      <c r="BO165">
        <f t="shared" si="114"/>
        <v>1424.4574111141987</v>
      </c>
      <c r="BP165" t="s">
        <v>232</v>
      </c>
      <c r="BQ165" s="302" t="s">
        <v>3106</v>
      </c>
      <c r="BR165" t="s">
        <v>279</v>
      </c>
      <c r="BS165">
        <v>-645.67518499586413</v>
      </c>
      <c r="BT165">
        <v>-41.927947193381058</v>
      </c>
      <c r="BU165" s="144">
        <f t="shared" si="115"/>
        <v>6.4936593766801845E-2</v>
      </c>
      <c r="BV165">
        <f t="shared" si="116"/>
        <v>603.74723780248303</v>
      </c>
      <c r="BW165"/>
      <c r="BX165">
        <f t="shared" si="117"/>
        <v>603.74723780248303</v>
      </c>
      <c r="BY165">
        <f t="shared" si="51"/>
        <v>0.42384365660341994</v>
      </c>
      <c r="BZ165">
        <v>0</v>
      </c>
      <c r="CA165">
        <v>0</v>
      </c>
      <c r="CB165">
        <v>0</v>
      </c>
      <c r="CC165">
        <v>0</v>
      </c>
      <c r="CD165">
        <v>0</v>
      </c>
      <c r="CE165">
        <v>0</v>
      </c>
      <c r="CF165">
        <v>0</v>
      </c>
      <c r="CG165">
        <v>0</v>
      </c>
      <c r="CH165">
        <v>0</v>
      </c>
      <c r="CI165">
        <v>0</v>
      </c>
      <c r="CJ165">
        <v>0</v>
      </c>
      <c r="CK165">
        <v>0</v>
      </c>
      <c r="CL165">
        <v>0</v>
      </c>
      <c r="CM165">
        <v>0</v>
      </c>
      <c r="CN165" t="str">
        <f t="shared" si="118"/>
        <v>refOK</v>
      </c>
      <c r="CO165">
        <f t="shared" ref="CO165:CO200" si="137">IF($CN165="refOK",$BK165,$BL165)</f>
        <v>0</v>
      </c>
      <c r="CP165">
        <f t="shared" ref="CP165:CP200" si="138">IF($CN165="refOK",$BL165,$BK165)</f>
        <v>328.05254177959995</v>
      </c>
      <c r="CQ165">
        <f t="shared" si="119"/>
        <v>1424.4574111141987</v>
      </c>
      <c r="CR165">
        <f t="shared" si="120"/>
        <v>-645.67518499586413</v>
      </c>
      <c r="CS165">
        <f t="shared" si="121"/>
        <v>-41.927947193381058</v>
      </c>
      <c r="CT165">
        <f t="shared" si="122"/>
        <v>603.74723780248303</v>
      </c>
      <c r="CU165">
        <f t="shared" si="123"/>
        <v>0.42384365660341994</v>
      </c>
      <c r="CV165" s="2">
        <f t="shared" si="124"/>
        <v>0.93506340623319806</v>
      </c>
      <c r="CW165" s="1" t="s">
        <v>234</v>
      </c>
      <c r="CX165" t="str">
        <f t="shared" si="125"/>
        <v>loc</v>
      </c>
      <c r="CY165" t="s">
        <v>280</v>
      </c>
      <c r="CZ165"/>
      <c r="DA165"/>
      <c r="DB165">
        <v>100</v>
      </c>
      <c r="DC165" t="str">
        <f t="shared" si="126"/>
        <v>71-100</v>
      </c>
      <c r="DD165">
        <v>0</v>
      </c>
      <c r="DE165">
        <v>0</v>
      </c>
      <c r="DF165">
        <v>0</v>
      </c>
      <c r="DG165">
        <v>1</v>
      </c>
      <c r="DH165"/>
      <c r="DI165">
        <f t="shared" si="129"/>
        <v>1</v>
      </c>
      <c r="DJ165" t="str">
        <f t="shared" si="130"/>
        <v>TimberInput</v>
      </c>
      <c r="DK165">
        <f t="shared" si="131"/>
        <v>0</v>
      </c>
      <c r="DL165">
        <f t="shared" si="132"/>
        <v>0</v>
      </c>
      <c r="DM165">
        <f t="shared" si="133"/>
        <v>0</v>
      </c>
      <c r="DN165" t="str">
        <f t="shared" si="134"/>
        <v>Timber</v>
      </c>
      <c r="DO165">
        <v>0</v>
      </c>
      <c r="DP165">
        <v>1</v>
      </c>
      <c r="DQ165">
        <v>0</v>
      </c>
      <c r="DR165" t="s">
        <v>281</v>
      </c>
      <c r="DS165">
        <v>0</v>
      </c>
      <c r="DT165">
        <f t="shared" si="135"/>
        <v>1</v>
      </c>
      <c r="DU165" s="143" t="str">
        <f t="shared" si="136"/>
        <v>external DF used</v>
      </c>
      <c r="DV165">
        <v>0</v>
      </c>
      <c r="DW165">
        <v>1</v>
      </c>
      <c r="DX165">
        <v>1</v>
      </c>
      <c r="DY165">
        <v>1</v>
      </c>
      <c r="DZ165">
        <v>1</v>
      </c>
      <c r="EA165" s="143">
        <v>0</v>
      </c>
      <c r="EB165">
        <v>1</v>
      </c>
      <c r="EC165">
        <v>1</v>
      </c>
      <c r="ED165">
        <v>0</v>
      </c>
      <c r="EE165">
        <v>1</v>
      </c>
      <c r="EF165">
        <v>1</v>
      </c>
      <c r="EG165">
        <v>1</v>
      </c>
      <c r="EH165">
        <v>0</v>
      </c>
      <c r="EI165" s="2">
        <v>0</v>
      </c>
      <c r="EJ165" s="1"/>
      <c r="EK165" t="str">
        <f t="shared" si="127"/>
        <v>Whole sector</v>
      </c>
      <c r="EL165" t="str">
        <f t="shared" si="128"/>
        <v/>
      </c>
      <c r="EM165" s="2" t="str">
        <f t="shared" si="67"/>
        <v/>
      </c>
      <c r="EN165"/>
      <c r="EO165"/>
      <c r="EP165" t="str">
        <f>IF(ISNUMBER(BU165),IF(ABS(BU165-[3]QC_indicators!$B$2)&gt;3*[3]QC_indicators!$C$2,"C ratio",IF(ISNUMBER(BY165),IF(ABS(BY165-[3]QC_indicators!$B$1)&gt;3*[3]QC_indicators!$C$1,"DF","no"))),IF(ISNUMBER(BY165),IF(ABS(BY165-[3]QC_indicators!$B$1)&gt;3*[3]QC_indicators!$C$1,"DF","no")))</f>
        <v>no</v>
      </c>
      <c r="EQ165" t="s">
        <v>286</v>
      </c>
      <c r="ER165" t="s">
        <v>296</v>
      </c>
      <c r="ES165"/>
      <c r="ET165" s="264" t="s">
        <v>3272</v>
      </c>
      <c r="EU165"/>
    </row>
    <row r="166" spans="1:151" s="139" customFormat="1" ht="15" hidden="1" customHeight="1">
      <c r="A166" s="1" t="s">
        <v>265</v>
      </c>
      <c r="B166" t="s">
        <v>266</v>
      </c>
      <c r="C166" t="s">
        <v>267</v>
      </c>
      <c r="D166" t="s">
        <v>268</v>
      </c>
      <c r="E166" t="s">
        <v>269</v>
      </c>
      <c r="F166" t="s">
        <v>270</v>
      </c>
      <c r="G166" t="s">
        <v>271</v>
      </c>
      <c r="H166" t="s">
        <v>254</v>
      </c>
      <c r="I166">
        <v>2022</v>
      </c>
      <c r="J166">
        <v>0</v>
      </c>
      <c r="K166" t="s">
        <v>272</v>
      </c>
      <c r="L166"/>
      <c r="M166" t="str">
        <f t="shared" si="95"/>
        <v>Aryapratama_2022</v>
      </c>
      <c r="N166" t="s">
        <v>222</v>
      </c>
      <c r="O166" s="145" t="s">
        <v>274</v>
      </c>
      <c r="P166"/>
      <c r="Q166" t="s">
        <v>224</v>
      </c>
      <c r="R166" s="262" t="s">
        <v>223</v>
      </c>
      <c r="S166" s="263" t="s">
        <v>3104</v>
      </c>
      <c r="T166" t="s">
        <v>307</v>
      </c>
      <c r="U166" t="s">
        <v>308</v>
      </c>
      <c r="V166">
        <v>0</v>
      </c>
      <c r="W166">
        <v>0</v>
      </c>
      <c r="X166">
        <v>0</v>
      </c>
      <c r="Y166">
        <v>0</v>
      </c>
      <c r="Z166">
        <v>0</v>
      </c>
      <c r="AA166">
        <v>0</v>
      </c>
      <c r="AB166">
        <v>0</v>
      </c>
      <c r="AC166">
        <v>0</v>
      </c>
      <c r="AD166">
        <v>0</v>
      </c>
      <c r="AE166">
        <v>0</v>
      </c>
      <c r="AF166">
        <v>0</v>
      </c>
      <c r="AG166">
        <v>0</v>
      </c>
      <c r="AH166">
        <v>0</v>
      </c>
      <c r="AI166">
        <v>0</v>
      </c>
      <c r="AJ166">
        <v>0</v>
      </c>
      <c r="AK166">
        <v>1</v>
      </c>
      <c r="AL166">
        <v>0</v>
      </c>
      <c r="AM166">
        <v>0</v>
      </c>
      <c r="AN166">
        <v>0</v>
      </c>
      <c r="AO166">
        <v>0</v>
      </c>
      <c r="AP166">
        <v>0</v>
      </c>
      <c r="AQ166">
        <v>0</v>
      </c>
      <c r="AR166">
        <v>0</v>
      </c>
      <c r="AS166">
        <v>0</v>
      </c>
      <c r="AT166">
        <v>0</v>
      </c>
      <c r="AU166">
        <v>0</v>
      </c>
      <c r="AV166">
        <v>0</v>
      </c>
      <c r="AW166">
        <v>0</v>
      </c>
      <c r="AX166" s="141">
        <f t="shared" si="106"/>
        <v>1</v>
      </c>
      <c r="AY166" s="141">
        <f t="shared" si="107"/>
        <v>1</v>
      </c>
      <c r="AZ166">
        <f t="shared" si="108"/>
        <v>0</v>
      </c>
      <c r="BA166">
        <f t="shared" si="109"/>
        <v>0</v>
      </c>
      <c r="BB166">
        <f t="shared" si="110"/>
        <v>1</v>
      </c>
      <c r="BC166">
        <f t="shared" si="111"/>
        <v>0</v>
      </c>
      <c r="BD166">
        <f t="shared" si="112"/>
        <v>0</v>
      </c>
      <c r="BE166" t="str">
        <f t="array" ref="BE166">IF(AY166=1,INDEX($V$7:$AL$7,MATCH(TRUE,INDEX($V166:$AW166&lt;&gt;0,),0)),IF(AY166=0,INDEX($AM$7:$AW$7,MATCH(1,$AM166:$AW166,0)),IF(BF166="Multiple strategies","mixed drivers",IF(BF166="Supply chain","multiple supply","multiple silviculture"))))</f>
        <v>technologies/design switch</v>
      </c>
      <c r="BF166" s="2" t="str" cm="1">
        <f t="array" ref="BF166">IF(COUNTIF(AZ166:BB166,"&lt;&gt;0")=1,INDEX($V$4:$AW$4,MATCH(TRUE,INDEX($V166:$AW166&lt;&gt;0,),0)),IF(COUNTIF(AZ166:BB166,"&lt;&gt;0")=0,INDEX($AM$4:$AW$4,MATCH(1,$AM166:$AW166,0)),"Multiple strategies"))</f>
        <v>Technology</v>
      </c>
      <c r="BG166" s="1" t="s">
        <v>229</v>
      </c>
      <c r="BH166" t="s">
        <v>277</v>
      </c>
      <c r="BI166" s="264" t="s">
        <v>3105</v>
      </c>
      <c r="BJ166" t="s">
        <v>278</v>
      </c>
      <c r="BK166">
        <v>0</v>
      </c>
      <c r="BL166">
        <v>455.74756079224562</v>
      </c>
      <c r="BM166"/>
      <c r="BN166">
        <f t="shared" si="113"/>
        <v>455.74756079224562</v>
      </c>
      <c r="BO166">
        <f t="shared" si="114"/>
        <v>1978.9299209389737</v>
      </c>
      <c r="BP166" t="s">
        <v>232</v>
      </c>
      <c r="BQ166" s="302" t="s">
        <v>3106</v>
      </c>
      <c r="BR166" t="s">
        <v>279</v>
      </c>
      <c r="BS166">
        <v>-852.47323414734842</v>
      </c>
      <c r="BT166">
        <v>23.49403951814293</v>
      </c>
      <c r="BU166" s="144">
        <f t="shared" si="115"/>
        <v>-2.7559855931009829E-2</v>
      </c>
      <c r="BV166">
        <f t="shared" si="116"/>
        <v>875.96727366549135</v>
      </c>
      <c r="BW166"/>
      <c r="BX166">
        <f t="shared" si="117"/>
        <v>875.96727366549135</v>
      </c>
      <c r="BY166">
        <f t="shared" si="51"/>
        <v>0.44264693984204223</v>
      </c>
      <c r="BZ166">
        <v>0</v>
      </c>
      <c r="CA166">
        <v>0</v>
      </c>
      <c r="CB166">
        <v>0</v>
      </c>
      <c r="CC166">
        <v>0</v>
      </c>
      <c r="CD166">
        <v>0</v>
      </c>
      <c r="CE166">
        <v>0</v>
      </c>
      <c r="CF166">
        <v>0</v>
      </c>
      <c r="CG166">
        <v>0</v>
      </c>
      <c r="CH166">
        <v>0</v>
      </c>
      <c r="CI166">
        <v>0</v>
      </c>
      <c r="CJ166">
        <v>0</v>
      </c>
      <c r="CK166">
        <v>0</v>
      </c>
      <c r="CL166">
        <v>0</v>
      </c>
      <c r="CM166">
        <v>0</v>
      </c>
      <c r="CN166" t="str">
        <f t="shared" si="118"/>
        <v>refOK</v>
      </c>
      <c r="CO166">
        <f t="shared" si="137"/>
        <v>0</v>
      </c>
      <c r="CP166">
        <f t="shared" si="138"/>
        <v>455.74756079224562</v>
      </c>
      <c r="CQ166">
        <f t="shared" si="119"/>
        <v>1978.9299209389737</v>
      </c>
      <c r="CR166">
        <f t="shared" si="120"/>
        <v>-852.47323414734842</v>
      </c>
      <c r="CS166">
        <f t="shared" si="121"/>
        <v>23.49403951814293</v>
      </c>
      <c r="CT166">
        <f t="shared" si="122"/>
        <v>875.96727366549135</v>
      </c>
      <c r="CU166">
        <f t="shared" si="123"/>
        <v>0.44264693984204223</v>
      </c>
      <c r="CV166" s="2">
        <f t="shared" si="124"/>
        <v>1.0275598559310097</v>
      </c>
      <c r="CW166" s="1" t="s">
        <v>234</v>
      </c>
      <c r="CX166" t="str">
        <f t="shared" si="125"/>
        <v>loc</v>
      </c>
      <c r="CY166" t="s">
        <v>280</v>
      </c>
      <c r="CZ166"/>
      <c r="DA166"/>
      <c r="DB166">
        <v>200</v>
      </c>
      <c r="DC166" t="str">
        <f t="shared" si="126"/>
        <v>+100</v>
      </c>
      <c r="DD166">
        <v>0</v>
      </c>
      <c r="DE166">
        <v>0</v>
      </c>
      <c r="DF166">
        <v>0</v>
      </c>
      <c r="DG166">
        <v>1</v>
      </c>
      <c r="DH166"/>
      <c r="DI166">
        <f t="shared" si="129"/>
        <v>1</v>
      </c>
      <c r="DJ166" t="str">
        <f t="shared" si="130"/>
        <v>TimberInput</v>
      </c>
      <c r="DK166">
        <f t="shared" si="131"/>
        <v>0</v>
      </c>
      <c r="DL166">
        <f t="shared" si="132"/>
        <v>0</v>
      </c>
      <c r="DM166">
        <f t="shared" si="133"/>
        <v>0</v>
      </c>
      <c r="DN166" t="str">
        <f t="shared" si="134"/>
        <v>Timber</v>
      </c>
      <c r="DO166">
        <v>0</v>
      </c>
      <c r="DP166">
        <v>1</v>
      </c>
      <c r="DQ166" t="s">
        <v>304</v>
      </c>
      <c r="DR166">
        <v>0</v>
      </c>
      <c r="DS166">
        <v>0</v>
      </c>
      <c r="DT166">
        <f t="shared" si="135"/>
        <v>1</v>
      </c>
      <c r="DU166" s="143" t="str">
        <f t="shared" si="136"/>
        <v>external DF used</v>
      </c>
      <c r="DV166">
        <v>0</v>
      </c>
      <c r="DW166">
        <v>1</v>
      </c>
      <c r="DX166">
        <v>1</v>
      </c>
      <c r="DY166">
        <v>1</v>
      </c>
      <c r="DZ166">
        <v>1</v>
      </c>
      <c r="EA166" s="143">
        <v>0</v>
      </c>
      <c r="EB166">
        <v>1</v>
      </c>
      <c r="EC166">
        <v>1</v>
      </c>
      <c r="ED166">
        <v>0</v>
      </c>
      <c r="EE166">
        <v>1</v>
      </c>
      <c r="EF166">
        <v>1</v>
      </c>
      <c r="EG166">
        <v>1</v>
      </c>
      <c r="EH166">
        <v>0</v>
      </c>
      <c r="EI166" s="2">
        <v>0</v>
      </c>
      <c r="EJ166" s="1"/>
      <c r="EK166" t="str">
        <f t="shared" si="127"/>
        <v>Whole sector</v>
      </c>
      <c r="EL166" t="str">
        <f t="shared" si="128"/>
        <v/>
      </c>
      <c r="EM166" s="2" t="str">
        <f t="shared" si="67"/>
        <v/>
      </c>
      <c r="EN166"/>
      <c r="EO166"/>
      <c r="EP166" t="str">
        <f>IF(ISNUMBER(BU166),IF(ABS(BU166-[3]QC_indicators!$B$2)&gt;3*[3]QC_indicators!$C$2,"C ratio",IF(ISNUMBER(BY166),IF(ABS(BY166-[3]QC_indicators!$B$1)&gt;3*[3]QC_indicators!$C$1,"DF","no"))),IF(ISNUMBER(BY166),IF(ABS(BY166-[3]QC_indicators!$B$1)&gt;3*[3]QC_indicators!$C$1,"DF","no")))</f>
        <v>no</v>
      </c>
      <c r="EQ166" t="s">
        <v>286</v>
      </c>
      <c r="ER166" t="s">
        <v>296</v>
      </c>
      <c r="ES166"/>
      <c r="ET166" s="264" t="s">
        <v>3272</v>
      </c>
      <c r="EU166"/>
    </row>
    <row r="167" spans="1:151" s="139" customFormat="1" ht="15" hidden="1" customHeight="1">
      <c r="A167" s="1" t="s">
        <v>265</v>
      </c>
      <c r="B167" t="s">
        <v>266</v>
      </c>
      <c r="C167" t="s">
        <v>267</v>
      </c>
      <c r="D167" t="s">
        <v>268</v>
      </c>
      <c r="E167" t="s">
        <v>269</v>
      </c>
      <c r="F167" t="s">
        <v>270</v>
      </c>
      <c r="G167" t="s">
        <v>271</v>
      </c>
      <c r="H167" t="s">
        <v>254</v>
      </c>
      <c r="I167">
        <v>2022</v>
      </c>
      <c r="J167">
        <v>0</v>
      </c>
      <c r="K167" t="s">
        <v>272</v>
      </c>
      <c r="L167"/>
      <c r="M167" t="str">
        <f t="shared" si="95"/>
        <v>Aryapratama_2022</v>
      </c>
      <c r="N167" t="s">
        <v>222</v>
      </c>
      <c r="O167" s="145" t="s">
        <v>274</v>
      </c>
      <c r="P167"/>
      <c r="Q167" t="s">
        <v>224</v>
      </c>
      <c r="R167" s="262" t="s">
        <v>223</v>
      </c>
      <c r="S167" s="263" t="s">
        <v>3104</v>
      </c>
      <c r="T167" t="s">
        <v>305</v>
      </c>
      <c r="U167" t="s">
        <v>284</v>
      </c>
      <c r="V167">
        <v>0</v>
      </c>
      <c r="W167">
        <v>0</v>
      </c>
      <c r="X167">
        <v>0</v>
      </c>
      <c r="Y167">
        <v>0</v>
      </c>
      <c r="Z167">
        <v>0</v>
      </c>
      <c r="AA167">
        <v>0</v>
      </c>
      <c r="AB167">
        <v>0</v>
      </c>
      <c r="AC167">
        <v>0</v>
      </c>
      <c r="AD167">
        <v>0</v>
      </c>
      <c r="AE167">
        <v>0</v>
      </c>
      <c r="AF167">
        <v>0</v>
      </c>
      <c r="AG167">
        <v>0</v>
      </c>
      <c r="AH167">
        <v>0</v>
      </c>
      <c r="AI167">
        <v>0</v>
      </c>
      <c r="AJ167">
        <v>0</v>
      </c>
      <c r="AK167">
        <v>1</v>
      </c>
      <c r="AL167">
        <v>0</v>
      </c>
      <c r="AM167">
        <v>0</v>
      </c>
      <c r="AN167">
        <v>0</v>
      </c>
      <c r="AO167">
        <v>0</v>
      </c>
      <c r="AP167">
        <v>0</v>
      </c>
      <c r="AQ167">
        <v>0</v>
      </c>
      <c r="AR167">
        <v>0</v>
      </c>
      <c r="AS167">
        <v>0</v>
      </c>
      <c r="AT167">
        <v>0</v>
      </c>
      <c r="AU167">
        <v>0</v>
      </c>
      <c r="AV167">
        <v>0</v>
      </c>
      <c r="AW167">
        <v>0</v>
      </c>
      <c r="AX167" s="141">
        <f t="shared" si="106"/>
        <v>1</v>
      </c>
      <c r="AY167" s="141">
        <f t="shared" si="107"/>
        <v>1</v>
      </c>
      <c r="AZ167">
        <f t="shared" si="108"/>
        <v>0</v>
      </c>
      <c r="BA167">
        <f t="shared" si="109"/>
        <v>0</v>
      </c>
      <c r="BB167">
        <f t="shared" si="110"/>
        <v>1</v>
      </c>
      <c r="BC167">
        <f t="shared" si="111"/>
        <v>0</v>
      </c>
      <c r="BD167">
        <f t="shared" si="112"/>
        <v>0</v>
      </c>
      <c r="BE167" t="str">
        <f t="array" ref="BE167">IF(AY167=1,INDEX($V$7:$AL$7,MATCH(TRUE,INDEX($V167:$AW167&lt;&gt;0,),0)),IF(AY167=0,INDEX($AM$7:$AW$7,MATCH(1,$AM167:$AW167,0)),IF(BF167="Multiple strategies","mixed drivers",IF(BF167="Supply chain","multiple supply","multiple silviculture"))))</f>
        <v>technologies/design switch</v>
      </c>
      <c r="BF167" s="2" t="str" cm="1">
        <f t="array" ref="BF167">IF(COUNTIF(AZ167:BB167,"&lt;&gt;0")=1,INDEX($V$4:$AW$4,MATCH(TRUE,INDEX($V167:$AW167&lt;&gt;0,),0)),IF(COUNTIF(AZ167:BB167,"&lt;&gt;0")=0,INDEX($AM$4:$AW$4,MATCH(1,$AM167:$AW167,0)),"Multiple strategies"))</f>
        <v>Technology</v>
      </c>
      <c r="BG167" s="1" t="s">
        <v>229</v>
      </c>
      <c r="BH167" t="s">
        <v>277</v>
      </c>
      <c r="BI167" s="264" t="s">
        <v>3105</v>
      </c>
      <c r="BJ167" t="s">
        <v>278</v>
      </c>
      <c r="BK167">
        <v>0</v>
      </c>
      <c r="BL167">
        <v>11.564535948479303</v>
      </c>
      <c r="BM167"/>
      <c r="BN167">
        <f t="shared" si="113"/>
        <v>11.564535948479303</v>
      </c>
      <c r="BO167">
        <f t="shared" si="114"/>
        <v>50.215093132780304</v>
      </c>
      <c r="BP167" t="s">
        <v>232</v>
      </c>
      <c r="BQ167" s="302" t="s">
        <v>3106</v>
      </c>
      <c r="BR167" t="s">
        <v>279</v>
      </c>
      <c r="BS167">
        <v>75.991198542896527</v>
      </c>
      <c r="BT167">
        <v>100.2569126004381</v>
      </c>
      <c r="BU167" s="144">
        <f t="shared" si="115"/>
        <v>1.3193226916120258</v>
      </c>
      <c r="BV167">
        <f t="shared" si="116"/>
        <v>24.265714057541572</v>
      </c>
      <c r="BW167"/>
      <c r="BX167">
        <f t="shared" si="117"/>
        <v>24.265714057541572</v>
      </c>
      <c r="BY167">
        <f t="shared" si="51"/>
        <v>0.48323546853487698</v>
      </c>
      <c r="BZ167">
        <v>0</v>
      </c>
      <c r="CA167">
        <v>0</v>
      </c>
      <c r="CB167">
        <v>0</v>
      </c>
      <c r="CC167">
        <v>0</v>
      </c>
      <c r="CD167">
        <v>0</v>
      </c>
      <c r="CE167">
        <v>0</v>
      </c>
      <c r="CF167">
        <v>0</v>
      </c>
      <c r="CG167">
        <v>0</v>
      </c>
      <c r="CH167">
        <v>0</v>
      </c>
      <c r="CI167">
        <v>0</v>
      </c>
      <c r="CJ167">
        <v>0</v>
      </c>
      <c r="CK167">
        <v>0</v>
      </c>
      <c r="CL167">
        <v>0</v>
      </c>
      <c r="CM167">
        <v>0</v>
      </c>
      <c r="CN167" t="str">
        <f t="shared" si="118"/>
        <v>refOK</v>
      </c>
      <c r="CO167">
        <f t="shared" si="137"/>
        <v>0</v>
      </c>
      <c r="CP167">
        <f t="shared" si="138"/>
        <v>11.564535948479303</v>
      </c>
      <c r="CQ167">
        <f t="shared" si="119"/>
        <v>50.215093132780304</v>
      </c>
      <c r="CR167">
        <f t="shared" si="120"/>
        <v>75.991198542896527</v>
      </c>
      <c r="CS167">
        <f t="shared" si="121"/>
        <v>100.2569126004381</v>
      </c>
      <c r="CT167">
        <f t="shared" si="122"/>
        <v>24.265714057541572</v>
      </c>
      <c r="CU167">
        <f t="shared" si="123"/>
        <v>0.48323546853487698</v>
      </c>
      <c r="CV167" s="2">
        <f t="shared" si="124"/>
        <v>0.31932269161202581</v>
      </c>
      <c r="CW167" s="1" t="s">
        <v>234</v>
      </c>
      <c r="CX167" t="str">
        <f t="shared" si="125"/>
        <v>loc</v>
      </c>
      <c r="CY167" t="s">
        <v>280</v>
      </c>
      <c r="CZ167"/>
      <c r="DA167"/>
      <c r="DB167">
        <v>50</v>
      </c>
      <c r="DC167" t="str">
        <f t="shared" si="126"/>
        <v>31-70</v>
      </c>
      <c r="DD167">
        <v>0</v>
      </c>
      <c r="DE167">
        <v>0</v>
      </c>
      <c r="DF167">
        <v>0</v>
      </c>
      <c r="DG167">
        <v>1</v>
      </c>
      <c r="DH167"/>
      <c r="DI167">
        <f t="shared" si="129"/>
        <v>1</v>
      </c>
      <c r="DJ167" t="str">
        <f t="shared" si="130"/>
        <v>TimberInput</v>
      </c>
      <c r="DK167">
        <f t="shared" si="131"/>
        <v>0</v>
      </c>
      <c r="DL167">
        <f t="shared" si="132"/>
        <v>0</v>
      </c>
      <c r="DM167">
        <f t="shared" si="133"/>
        <v>0</v>
      </c>
      <c r="DN167" t="str">
        <f t="shared" si="134"/>
        <v>Timber</v>
      </c>
      <c r="DO167">
        <v>0</v>
      </c>
      <c r="DP167">
        <v>1</v>
      </c>
      <c r="DQ167">
        <v>0</v>
      </c>
      <c r="DR167" t="s">
        <v>281</v>
      </c>
      <c r="DS167">
        <v>0</v>
      </c>
      <c r="DT167">
        <f t="shared" si="135"/>
        <v>1</v>
      </c>
      <c r="DU167" s="143" t="str">
        <f t="shared" si="136"/>
        <v>external DF used</v>
      </c>
      <c r="DV167">
        <v>0</v>
      </c>
      <c r="DW167">
        <v>1</v>
      </c>
      <c r="DX167">
        <v>1</v>
      </c>
      <c r="DY167">
        <v>1</v>
      </c>
      <c r="DZ167">
        <v>1</v>
      </c>
      <c r="EA167" s="143">
        <v>0</v>
      </c>
      <c r="EB167">
        <v>1</v>
      </c>
      <c r="EC167">
        <v>1</v>
      </c>
      <c r="ED167">
        <v>0</v>
      </c>
      <c r="EE167">
        <v>1</v>
      </c>
      <c r="EF167">
        <v>1</v>
      </c>
      <c r="EG167">
        <v>1</v>
      </c>
      <c r="EH167">
        <v>0</v>
      </c>
      <c r="EI167" s="2">
        <v>0</v>
      </c>
      <c r="EJ167" s="1"/>
      <c r="EK167" t="str">
        <f t="shared" si="127"/>
        <v>Whole sector</v>
      </c>
      <c r="EL167" t="str">
        <f t="shared" si="128"/>
        <v/>
      </c>
      <c r="EM167" s="2" t="str">
        <f t="shared" si="67"/>
        <v/>
      </c>
      <c r="EN167"/>
      <c r="EO167"/>
      <c r="EP167" t="str">
        <f>IF(ISNUMBER(BU167),IF(ABS(BU167-[3]QC_indicators!$B$2)&gt;3*[3]QC_indicators!$C$2,"C ratio",IF(ISNUMBER(BY167),IF(ABS(BY167-[3]QC_indicators!$B$1)&gt;3*[3]QC_indicators!$C$1,"DF","no"))),IF(ISNUMBER(BY167),IF(ABS(BY167-[3]QC_indicators!$B$1)&gt;3*[3]QC_indicators!$C$1,"DF","no")))</f>
        <v>no</v>
      </c>
      <c r="EQ167" t="s">
        <v>286</v>
      </c>
      <c r="ER167"/>
      <c r="ES167"/>
      <c r="ET167" s="264" t="s">
        <v>3272</v>
      </c>
      <c r="EU167"/>
    </row>
    <row r="168" spans="1:151" s="139" customFormat="1" ht="15" hidden="1" customHeight="1">
      <c r="A168" s="1" t="s">
        <v>265</v>
      </c>
      <c r="B168" t="s">
        <v>266</v>
      </c>
      <c r="C168" t="s">
        <v>267</v>
      </c>
      <c r="D168" t="s">
        <v>268</v>
      </c>
      <c r="E168" t="s">
        <v>269</v>
      </c>
      <c r="F168" t="s">
        <v>270</v>
      </c>
      <c r="G168" t="s">
        <v>271</v>
      </c>
      <c r="H168" t="s">
        <v>254</v>
      </c>
      <c r="I168">
        <v>2022</v>
      </c>
      <c r="J168">
        <v>0</v>
      </c>
      <c r="K168" t="s">
        <v>272</v>
      </c>
      <c r="L168"/>
      <c r="M168" t="str">
        <f t="shared" si="95"/>
        <v>Aryapratama_2022</v>
      </c>
      <c r="N168" t="s">
        <v>222</v>
      </c>
      <c r="O168" s="145" t="s">
        <v>274</v>
      </c>
      <c r="P168"/>
      <c r="Q168" t="s">
        <v>224</v>
      </c>
      <c r="R168" s="262" t="s">
        <v>223</v>
      </c>
      <c r="S168" s="263" t="s">
        <v>3104</v>
      </c>
      <c r="T168" t="s">
        <v>306</v>
      </c>
      <c r="U168" t="s">
        <v>288</v>
      </c>
      <c r="V168">
        <v>0</v>
      </c>
      <c r="W168">
        <v>0</v>
      </c>
      <c r="X168">
        <v>0</v>
      </c>
      <c r="Y168">
        <v>0</v>
      </c>
      <c r="Z168">
        <v>0</v>
      </c>
      <c r="AA168">
        <v>0</v>
      </c>
      <c r="AB168">
        <v>0</v>
      </c>
      <c r="AC168">
        <v>0</v>
      </c>
      <c r="AD168">
        <v>0</v>
      </c>
      <c r="AE168">
        <v>0</v>
      </c>
      <c r="AF168">
        <v>0</v>
      </c>
      <c r="AG168">
        <v>0</v>
      </c>
      <c r="AH168">
        <v>0</v>
      </c>
      <c r="AI168">
        <v>0</v>
      </c>
      <c r="AJ168">
        <v>0</v>
      </c>
      <c r="AK168">
        <v>1</v>
      </c>
      <c r="AL168">
        <v>0</v>
      </c>
      <c r="AM168">
        <v>0</v>
      </c>
      <c r="AN168">
        <v>0</v>
      </c>
      <c r="AO168">
        <v>0</v>
      </c>
      <c r="AP168">
        <v>0</v>
      </c>
      <c r="AQ168">
        <v>0</v>
      </c>
      <c r="AR168">
        <v>0</v>
      </c>
      <c r="AS168">
        <v>0</v>
      </c>
      <c r="AT168">
        <v>0</v>
      </c>
      <c r="AU168">
        <v>0</v>
      </c>
      <c r="AV168">
        <v>0</v>
      </c>
      <c r="AW168">
        <v>0</v>
      </c>
      <c r="AX168" s="141">
        <f t="shared" si="106"/>
        <v>1</v>
      </c>
      <c r="AY168" s="141">
        <f t="shared" si="107"/>
        <v>1</v>
      </c>
      <c r="AZ168">
        <f t="shared" si="108"/>
        <v>0</v>
      </c>
      <c r="BA168">
        <f t="shared" si="109"/>
        <v>0</v>
      </c>
      <c r="BB168">
        <f t="shared" si="110"/>
        <v>1</v>
      </c>
      <c r="BC168">
        <f t="shared" si="111"/>
        <v>0</v>
      </c>
      <c r="BD168">
        <f t="shared" si="112"/>
        <v>0</v>
      </c>
      <c r="BE168" t="str">
        <f t="array" ref="BE168">IF(AY168=1,INDEX($V$7:$AL$7,MATCH(TRUE,INDEX($V168:$AW168&lt;&gt;0,),0)),IF(AY168=0,INDEX($AM$7:$AW$7,MATCH(1,$AM168:$AW168,0)),IF(BF168="Multiple strategies","mixed drivers",IF(BF168="Supply chain","multiple supply","multiple silviculture"))))</f>
        <v>technologies/design switch</v>
      </c>
      <c r="BF168" s="2" t="str" cm="1">
        <f t="array" ref="BF168">IF(COUNTIF(AZ168:BB168,"&lt;&gt;0")=1,INDEX($V$4:$AW$4,MATCH(TRUE,INDEX($V168:$AW168&lt;&gt;0,),0)),IF(COUNTIF(AZ168:BB168,"&lt;&gt;0")=0,INDEX($AM$4:$AW$4,MATCH(1,$AM168:$AW168,0)),"Multiple strategies"))</f>
        <v>Technology</v>
      </c>
      <c r="BG168" s="1" t="s">
        <v>229</v>
      </c>
      <c r="BH168" t="s">
        <v>277</v>
      </c>
      <c r="BI168" s="264" t="s">
        <v>3105</v>
      </c>
      <c r="BJ168" t="s">
        <v>278</v>
      </c>
      <c r="BK168">
        <v>0</v>
      </c>
      <c r="BL168">
        <v>164.02627088979997</v>
      </c>
      <c r="BM168"/>
      <c r="BN168">
        <f t="shared" si="113"/>
        <v>164.02627088979997</v>
      </c>
      <c r="BO168">
        <f t="shared" si="114"/>
        <v>712.22870555709937</v>
      </c>
      <c r="BP168" t="s">
        <v>232</v>
      </c>
      <c r="BQ168" s="302" t="s">
        <v>3106</v>
      </c>
      <c r="BR168" t="s">
        <v>279</v>
      </c>
      <c r="BS168">
        <v>-293.93651380696792</v>
      </c>
      <c r="BT168">
        <v>77.331302173432363</v>
      </c>
      <c r="BU168" s="144">
        <f t="shared" si="115"/>
        <v>-0.26308845121643126</v>
      </c>
      <c r="BV168">
        <f t="shared" si="116"/>
        <v>371.26781598040031</v>
      </c>
      <c r="BW168"/>
      <c r="BX168">
        <f t="shared" si="117"/>
        <v>371.26781598040031</v>
      </c>
      <c r="BY168">
        <f t="shared" si="51"/>
        <v>0.52127611971213339</v>
      </c>
      <c r="BZ168">
        <v>0</v>
      </c>
      <c r="CA168">
        <v>0</v>
      </c>
      <c r="CB168">
        <v>0</v>
      </c>
      <c r="CC168">
        <v>0</v>
      </c>
      <c r="CD168">
        <v>0</v>
      </c>
      <c r="CE168">
        <v>0</v>
      </c>
      <c r="CF168">
        <v>0</v>
      </c>
      <c r="CG168">
        <v>0</v>
      </c>
      <c r="CH168">
        <v>0</v>
      </c>
      <c r="CI168">
        <v>0</v>
      </c>
      <c r="CJ168">
        <v>0</v>
      </c>
      <c r="CK168">
        <v>0</v>
      </c>
      <c r="CL168">
        <v>0</v>
      </c>
      <c r="CM168">
        <v>0</v>
      </c>
      <c r="CN168" t="str">
        <f t="shared" si="118"/>
        <v>refOK</v>
      </c>
      <c r="CO168">
        <f t="shared" si="137"/>
        <v>0</v>
      </c>
      <c r="CP168">
        <f t="shared" si="138"/>
        <v>164.02627088979997</v>
      </c>
      <c r="CQ168">
        <f t="shared" si="119"/>
        <v>712.22870555709937</v>
      </c>
      <c r="CR168">
        <f t="shared" si="120"/>
        <v>-293.93651380696792</v>
      </c>
      <c r="CS168">
        <f t="shared" si="121"/>
        <v>77.331302173432363</v>
      </c>
      <c r="CT168">
        <f t="shared" si="122"/>
        <v>371.26781598040031</v>
      </c>
      <c r="CU168">
        <f t="shared" si="123"/>
        <v>0.52127611971213339</v>
      </c>
      <c r="CV168" s="2">
        <f t="shared" si="124"/>
        <v>1.2630884512164313</v>
      </c>
      <c r="CW168" s="1" t="s">
        <v>234</v>
      </c>
      <c r="CX168" t="str">
        <f t="shared" si="125"/>
        <v>loc</v>
      </c>
      <c r="CY168" t="s">
        <v>280</v>
      </c>
      <c r="CZ168"/>
      <c r="DA168"/>
      <c r="DB168">
        <v>50</v>
      </c>
      <c r="DC168" t="str">
        <f t="shared" si="126"/>
        <v>31-70</v>
      </c>
      <c r="DD168">
        <v>0</v>
      </c>
      <c r="DE168">
        <v>0</v>
      </c>
      <c r="DF168">
        <v>0</v>
      </c>
      <c r="DG168">
        <v>1</v>
      </c>
      <c r="DH168"/>
      <c r="DI168">
        <f t="shared" si="129"/>
        <v>1</v>
      </c>
      <c r="DJ168" t="str">
        <f t="shared" si="130"/>
        <v>TimberInput</v>
      </c>
      <c r="DK168">
        <f t="shared" si="131"/>
        <v>0</v>
      </c>
      <c r="DL168">
        <f t="shared" si="132"/>
        <v>0</v>
      </c>
      <c r="DM168">
        <f t="shared" si="133"/>
        <v>0</v>
      </c>
      <c r="DN168" t="str">
        <f t="shared" si="134"/>
        <v>Timber</v>
      </c>
      <c r="DO168">
        <v>0</v>
      </c>
      <c r="DP168">
        <v>1</v>
      </c>
      <c r="DQ168">
        <v>0</v>
      </c>
      <c r="DR168" t="s">
        <v>281</v>
      </c>
      <c r="DS168">
        <v>0</v>
      </c>
      <c r="DT168">
        <f t="shared" si="135"/>
        <v>1</v>
      </c>
      <c r="DU168" s="143" t="str">
        <f t="shared" si="136"/>
        <v>external DF used</v>
      </c>
      <c r="DV168">
        <v>0</v>
      </c>
      <c r="DW168">
        <v>1</v>
      </c>
      <c r="DX168">
        <v>1</v>
      </c>
      <c r="DY168">
        <v>1</v>
      </c>
      <c r="DZ168">
        <v>1</v>
      </c>
      <c r="EA168" s="143">
        <v>0</v>
      </c>
      <c r="EB168">
        <v>1</v>
      </c>
      <c r="EC168">
        <v>1</v>
      </c>
      <c r="ED168">
        <v>0</v>
      </c>
      <c r="EE168">
        <v>1</v>
      </c>
      <c r="EF168">
        <v>1</v>
      </c>
      <c r="EG168">
        <v>1</v>
      </c>
      <c r="EH168">
        <v>0</v>
      </c>
      <c r="EI168" s="2">
        <v>0</v>
      </c>
      <c r="EJ168" s="1"/>
      <c r="EK168" t="str">
        <f t="shared" si="127"/>
        <v>Whole sector</v>
      </c>
      <c r="EL168" t="str">
        <f t="shared" si="128"/>
        <v/>
      </c>
      <c r="EM168" s="2" t="str">
        <f t="shared" si="67"/>
        <v/>
      </c>
      <c r="EN168"/>
      <c r="EO168"/>
      <c r="EP168" t="str">
        <f>IF(ISNUMBER(BU168),IF(ABS(BU168-[3]QC_indicators!$B$2)&gt;3*[3]QC_indicators!$C$2,"C ratio",IF(ISNUMBER(BY168),IF(ABS(BY168-[3]QC_indicators!$B$1)&gt;3*[3]QC_indicators!$C$1,"DF","no"))),IF(ISNUMBER(BY168),IF(ABS(BY168-[3]QC_indicators!$B$1)&gt;3*[3]QC_indicators!$C$1,"DF","no")))</f>
        <v>no</v>
      </c>
      <c r="EQ168" t="s">
        <v>286</v>
      </c>
      <c r="ER168" t="s">
        <v>296</v>
      </c>
      <c r="ES168"/>
      <c r="ET168" s="264" t="s">
        <v>3272</v>
      </c>
      <c r="EU168"/>
    </row>
    <row r="169" spans="1:151" s="139" customFormat="1" ht="68" hidden="1">
      <c r="A169" s="1" t="s">
        <v>265</v>
      </c>
      <c r="B169" t="s">
        <v>266</v>
      </c>
      <c r="C169" t="s">
        <v>267</v>
      </c>
      <c r="D169" t="s">
        <v>268</v>
      </c>
      <c r="E169" t="s">
        <v>269</v>
      </c>
      <c r="F169" t="s">
        <v>270</v>
      </c>
      <c r="G169" t="s">
        <v>271</v>
      </c>
      <c r="H169" t="s">
        <v>254</v>
      </c>
      <c r="I169">
        <v>2022</v>
      </c>
      <c r="J169">
        <v>0</v>
      </c>
      <c r="K169" t="s">
        <v>272</v>
      </c>
      <c r="L169"/>
      <c r="M169" t="str">
        <f t="shared" si="95"/>
        <v>Aryapratama_2022</v>
      </c>
      <c r="N169" t="s">
        <v>222</v>
      </c>
      <c r="O169" s="145" t="s">
        <v>274</v>
      </c>
      <c r="P169"/>
      <c r="Q169" t="s">
        <v>224</v>
      </c>
      <c r="R169" s="262" t="s">
        <v>223</v>
      </c>
      <c r="S169" s="263" t="s">
        <v>3104</v>
      </c>
      <c r="T169" t="s">
        <v>307</v>
      </c>
      <c r="U169" t="s">
        <v>308</v>
      </c>
      <c r="V169">
        <v>0</v>
      </c>
      <c r="W169">
        <v>0</v>
      </c>
      <c r="X169">
        <v>0</v>
      </c>
      <c r="Y169">
        <v>0</v>
      </c>
      <c r="Z169">
        <v>0</v>
      </c>
      <c r="AA169">
        <v>0</v>
      </c>
      <c r="AB169">
        <v>0</v>
      </c>
      <c r="AC169">
        <v>0</v>
      </c>
      <c r="AD169">
        <v>0</v>
      </c>
      <c r="AE169">
        <v>0</v>
      </c>
      <c r="AF169">
        <v>0</v>
      </c>
      <c r="AG169">
        <v>0</v>
      </c>
      <c r="AH169">
        <v>0</v>
      </c>
      <c r="AI169">
        <v>0</v>
      </c>
      <c r="AJ169">
        <v>0</v>
      </c>
      <c r="AK169">
        <v>1</v>
      </c>
      <c r="AL169">
        <v>0</v>
      </c>
      <c r="AM169">
        <v>0</v>
      </c>
      <c r="AN169">
        <v>0</v>
      </c>
      <c r="AO169">
        <v>0</v>
      </c>
      <c r="AP169">
        <v>0</v>
      </c>
      <c r="AQ169">
        <v>0</v>
      </c>
      <c r="AR169">
        <v>0</v>
      </c>
      <c r="AS169">
        <v>0</v>
      </c>
      <c r="AT169">
        <v>0</v>
      </c>
      <c r="AU169">
        <v>0</v>
      </c>
      <c r="AV169">
        <v>0</v>
      </c>
      <c r="AW169">
        <v>0</v>
      </c>
      <c r="AX169" s="141">
        <f t="shared" si="106"/>
        <v>1</v>
      </c>
      <c r="AY169" s="141">
        <f t="shared" si="107"/>
        <v>1</v>
      </c>
      <c r="AZ169">
        <f t="shared" si="108"/>
        <v>0</v>
      </c>
      <c r="BA169">
        <f t="shared" si="109"/>
        <v>0</v>
      </c>
      <c r="BB169">
        <f t="shared" si="110"/>
        <v>1</v>
      </c>
      <c r="BC169">
        <f t="shared" si="111"/>
        <v>0</v>
      </c>
      <c r="BD169">
        <f t="shared" si="112"/>
        <v>0</v>
      </c>
      <c r="BE169" t="str">
        <f t="array" ref="BE169">IF(AY169=1,INDEX($V$7:$AL$7,MATCH(TRUE,INDEX($V169:$AW169&lt;&gt;0,),0)),IF(AY169=0,INDEX($AM$7:$AW$7,MATCH(1,$AM169:$AW169,0)),IF(BF169="Multiple strategies","mixed drivers",IF(BF169="Supply chain","multiple supply","multiple silviculture"))))</f>
        <v>technologies/design switch</v>
      </c>
      <c r="BF169" s="2" t="str" cm="1">
        <f t="array" ref="BF169">IF(COUNTIF(AZ169:BB169,"&lt;&gt;0")=1,INDEX($V$4:$AW$4,MATCH(TRUE,INDEX($V169:$AW169&lt;&gt;0,),0)),IF(COUNTIF(AZ169:BB169,"&lt;&gt;0")=0,INDEX($AM$4:$AW$4,MATCH(1,$AM169:$AW169,0)),"Multiple strategies"))</f>
        <v>Technology</v>
      </c>
      <c r="BG169" s="1" t="s">
        <v>229</v>
      </c>
      <c r="BH169" t="s">
        <v>277</v>
      </c>
      <c r="BI169" s="264" t="s">
        <v>3105</v>
      </c>
      <c r="BJ169" t="s">
        <v>278</v>
      </c>
      <c r="BK169">
        <v>0</v>
      </c>
      <c r="BL169">
        <v>227.87378039612278</v>
      </c>
      <c r="BM169"/>
      <c r="BN169">
        <f t="shared" si="113"/>
        <v>227.87378039612278</v>
      </c>
      <c r="BO169">
        <f t="shared" si="114"/>
        <v>989.46496046948675</v>
      </c>
      <c r="BP169" t="s">
        <v>232</v>
      </c>
      <c r="BQ169" s="302" t="s">
        <v>3106</v>
      </c>
      <c r="BR169" t="s">
        <v>279</v>
      </c>
      <c r="BS169">
        <v>-385.00157645914061</v>
      </c>
      <c r="BT169">
        <v>185.53811788022131</v>
      </c>
      <c r="BU169" s="144">
        <f t="shared" si="115"/>
        <v>-0.48191521600149101</v>
      </c>
      <c r="BV169">
        <f t="shared" si="116"/>
        <v>570.53969433936186</v>
      </c>
      <c r="BW169"/>
      <c r="BX169">
        <f t="shared" si="117"/>
        <v>570.53969433936186</v>
      </c>
      <c r="BY169">
        <f t="shared" si="51"/>
        <v>0.57661434930313149</v>
      </c>
      <c r="BZ169">
        <v>0</v>
      </c>
      <c r="CA169">
        <v>0</v>
      </c>
      <c r="CB169">
        <v>0</v>
      </c>
      <c r="CC169">
        <v>0</v>
      </c>
      <c r="CD169">
        <v>0</v>
      </c>
      <c r="CE169">
        <v>0</v>
      </c>
      <c r="CF169">
        <v>0</v>
      </c>
      <c r="CG169">
        <v>0</v>
      </c>
      <c r="CH169">
        <v>0</v>
      </c>
      <c r="CI169">
        <v>0</v>
      </c>
      <c r="CJ169">
        <v>0</v>
      </c>
      <c r="CK169">
        <v>0</v>
      </c>
      <c r="CL169">
        <v>0</v>
      </c>
      <c r="CM169">
        <v>0</v>
      </c>
      <c r="CN169" t="str">
        <f t="shared" si="118"/>
        <v>refOK</v>
      </c>
      <c r="CO169">
        <f t="shared" si="137"/>
        <v>0</v>
      </c>
      <c r="CP169">
        <f t="shared" si="138"/>
        <v>227.87378039612278</v>
      </c>
      <c r="CQ169">
        <f t="shared" si="119"/>
        <v>989.46496046948675</v>
      </c>
      <c r="CR169">
        <f t="shared" si="120"/>
        <v>-385.00157645914061</v>
      </c>
      <c r="CS169">
        <f t="shared" si="121"/>
        <v>185.53811788022131</v>
      </c>
      <c r="CT169">
        <f t="shared" si="122"/>
        <v>570.53969433936186</v>
      </c>
      <c r="CU169">
        <f t="shared" si="123"/>
        <v>0.57661434930313149</v>
      </c>
      <c r="CV169" s="2">
        <f t="shared" si="124"/>
        <v>1.4819152160014908</v>
      </c>
      <c r="CW169" s="1" t="s">
        <v>234</v>
      </c>
      <c r="CX169" t="str">
        <f t="shared" si="125"/>
        <v>loc</v>
      </c>
      <c r="CY169" t="s">
        <v>280</v>
      </c>
      <c r="CZ169"/>
      <c r="DA169"/>
      <c r="DB169">
        <v>100</v>
      </c>
      <c r="DC169" t="str">
        <f t="shared" si="126"/>
        <v>71-100</v>
      </c>
      <c r="DD169">
        <v>0</v>
      </c>
      <c r="DE169">
        <v>0</v>
      </c>
      <c r="DF169">
        <v>0</v>
      </c>
      <c r="DG169">
        <v>1</v>
      </c>
      <c r="DH169"/>
      <c r="DI169">
        <f t="shared" si="129"/>
        <v>1</v>
      </c>
      <c r="DJ169" t="str">
        <f t="shared" si="130"/>
        <v>TimberInput</v>
      </c>
      <c r="DK169">
        <f t="shared" si="131"/>
        <v>0</v>
      </c>
      <c r="DL169">
        <f t="shared" si="132"/>
        <v>0</v>
      </c>
      <c r="DM169">
        <f t="shared" si="133"/>
        <v>0</v>
      </c>
      <c r="DN169" t="str">
        <f t="shared" si="134"/>
        <v>Timber</v>
      </c>
      <c r="DO169">
        <v>0</v>
      </c>
      <c r="DP169">
        <v>1</v>
      </c>
      <c r="DQ169" t="s">
        <v>304</v>
      </c>
      <c r="DR169">
        <v>0</v>
      </c>
      <c r="DS169">
        <v>0</v>
      </c>
      <c r="DT169">
        <f t="shared" si="135"/>
        <v>1</v>
      </c>
      <c r="DU169" s="143" t="str">
        <f t="shared" si="136"/>
        <v>external DF used</v>
      </c>
      <c r="DV169">
        <v>0</v>
      </c>
      <c r="DW169">
        <v>1</v>
      </c>
      <c r="DX169">
        <v>1</v>
      </c>
      <c r="DY169">
        <v>1</v>
      </c>
      <c r="DZ169">
        <v>1</v>
      </c>
      <c r="EA169" s="143">
        <v>0</v>
      </c>
      <c r="EB169">
        <v>1</v>
      </c>
      <c r="EC169">
        <v>1</v>
      </c>
      <c r="ED169">
        <v>0</v>
      </c>
      <c r="EE169">
        <v>1</v>
      </c>
      <c r="EF169">
        <v>1</v>
      </c>
      <c r="EG169">
        <v>1</v>
      </c>
      <c r="EH169">
        <v>0</v>
      </c>
      <c r="EI169" s="2">
        <v>0</v>
      </c>
      <c r="EJ169" s="1"/>
      <c r="EK169" t="str">
        <f t="shared" si="127"/>
        <v>Whole sector</v>
      </c>
      <c r="EL169" t="str">
        <f t="shared" si="128"/>
        <v/>
      </c>
      <c r="EM169" s="2" t="str">
        <f t="shared" si="67"/>
        <v/>
      </c>
      <c r="EN169"/>
      <c r="EO169"/>
      <c r="EP169" t="str">
        <f>IF(ISNUMBER(BU169),IF(ABS(BU169-[3]QC_indicators!$B$2)&gt;3*[3]QC_indicators!$C$2,"C ratio",IF(ISNUMBER(BY169),IF(ABS(BY169-[3]QC_indicators!$B$1)&gt;3*[3]QC_indicators!$C$1,"DF","no"))),IF(ISNUMBER(BY169),IF(ABS(BY169-[3]QC_indicators!$B$1)&gt;3*[3]QC_indicators!$C$1,"DF","no")))</f>
        <v>no</v>
      </c>
      <c r="EQ169" t="s">
        <v>286</v>
      </c>
      <c r="ER169" t="s">
        <v>296</v>
      </c>
      <c r="ES169"/>
      <c r="ET169" s="264" t="s">
        <v>3272</v>
      </c>
      <c r="EU169"/>
    </row>
    <row r="170" spans="1:151" s="139" customFormat="1" ht="15" hidden="1" customHeight="1">
      <c r="A170" s="1" t="s">
        <v>265</v>
      </c>
      <c r="B170" t="s">
        <v>266</v>
      </c>
      <c r="C170" t="s">
        <v>267</v>
      </c>
      <c r="D170" t="s">
        <v>268</v>
      </c>
      <c r="E170" t="s">
        <v>269</v>
      </c>
      <c r="F170" t="s">
        <v>270</v>
      </c>
      <c r="G170" t="s">
        <v>271</v>
      </c>
      <c r="H170" t="s">
        <v>254</v>
      </c>
      <c r="I170">
        <v>2022</v>
      </c>
      <c r="J170">
        <v>0</v>
      </c>
      <c r="K170" t="s">
        <v>272</v>
      </c>
      <c r="L170"/>
      <c r="M170" t="str">
        <f t="shared" si="95"/>
        <v>Aryapratama_2022</v>
      </c>
      <c r="N170" t="s">
        <v>222</v>
      </c>
      <c r="O170" s="145" t="s">
        <v>274</v>
      </c>
      <c r="P170"/>
      <c r="Q170" t="s">
        <v>224</v>
      </c>
      <c r="R170" s="262" t="s">
        <v>223</v>
      </c>
      <c r="S170" s="263" t="s">
        <v>3104</v>
      </c>
      <c r="T170" t="s">
        <v>331</v>
      </c>
      <c r="U170" t="s">
        <v>332</v>
      </c>
      <c r="V170">
        <v>0</v>
      </c>
      <c r="W170">
        <v>0</v>
      </c>
      <c r="X170">
        <v>0</v>
      </c>
      <c r="Y170">
        <v>0</v>
      </c>
      <c r="Z170">
        <v>0</v>
      </c>
      <c r="AA170">
        <v>0</v>
      </c>
      <c r="AB170">
        <v>0</v>
      </c>
      <c r="AC170">
        <v>0</v>
      </c>
      <c r="AD170">
        <v>0</v>
      </c>
      <c r="AE170">
        <v>0</v>
      </c>
      <c r="AF170">
        <v>0</v>
      </c>
      <c r="AG170">
        <v>0</v>
      </c>
      <c r="AH170">
        <v>0</v>
      </c>
      <c r="AI170">
        <v>0</v>
      </c>
      <c r="AJ170">
        <v>0</v>
      </c>
      <c r="AK170">
        <v>1</v>
      </c>
      <c r="AL170">
        <v>0</v>
      </c>
      <c r="AM170">
        <v>0</v>
      </c>
      <c r="AN170">
        <v>0</v>
      </c>
      <c r="AO170">
        <v>0</v>
      </c>
      <c r="AP170">
        <v>0</v>
      </c>
      <c r="AQ170">
        <v>0</v>
      </c>
      <c r="AR170">
        <v>0</v>
      </c>
      <c r="AS170">
        <v>0</v>
      </c>
      <c r="AT170">
        <v>0</v>
      </c>
      <c r="AU170">
        <v>0</v>
      </c>
      <c r="AV170">
        <v>0</v>
      </c>
      <c r="AW170">
        <v>0</v>
      </c>
      <c r="AX170" s="141">
        <f t="shared" si="106"/>
        <v>1</v>
      </c>
      <c r="AY170" s="141">
        <f t="shared" si="107"/>
        <v>1</v>
      </c>
      <c r="AZ170">
        <f t="shared" si="108"/>
        <v>0</v>
      </c>
      <c r="BA170">
        <f t="shared" si="109"/>
        <v>0</v>
      </c>
      <c r="BB170">
        <f t="shared" si="110"/>
        <v>1</v>
      </c>
      <c r="BC170">
        <f t="shared" si="111"/>
        <v>0</v>
      </c>
      <c r="BD170">
        <f t="shared" si="112"/>
        <v>0</v>
      </c>
      <c r="BE170" t="str">
        <f t="array" ref="BE170">IF(AY170=1,INDEX($V$7:$AL$7,MATCH(TRUE,INDEX($V170:$AW170&lt;&gt;0,),0)),IF(AY170=0,INDEX($AM$7:$AW$7,MATCH(1,$AM170:$AW170,0)),IF(BF170="Multiple strategies","mixed drivers",IF(BF170="Supply chain","multiple supply","multiple silviculture"))))</f>
        <v>technologies/design switch</v>
      </c>
      <c r="BF170" s="2" t="str" cm="1">
        <f t="array" ref="BF170">IF(COUNTIF(AZ170:BB170,"&lt;&gt;0")=1,INDEX($V$4:$AW$4,MATCH(TRUE,INDEX($V170:$AW170&lt;&gt;0,),0)),IF(COUNTIF(AZ170:BB170,"&lt;&gt;0")=0,INDEX($AM$4:$AW$4,MATCH(1,$AM170:$AW170,0)),"Multiple strategies"))</f>
        <v>Technology</v>
      </c>
      <c r="BG170" s="1" t="s">
        <v>229</v>
      </c>
      <c r="BH170" t="s">
        <v>277</v>
      </c>
      <c r="BI170" s="264" t="s">
        <v>3105</v>
      </c>
      <c r="BJ170" t="s">
        <v>278</v>
      </c>
      <c r="BK170">
        <v>0</v>
      </c>
      <c r="BL170">
        <v>192.41056603773589</v>
      </c>
      <c r="BM170"/>
      <c r="BN170">
        <f t="shared" si="113"/>
        <v>192.41056603773589</v>
      </c>
      <c r="BO170">
        <f t="shared" si="114"/>
        <v>835.47792461022971</v>
      </c>
      <c r="BP170" t="s">
        <v>232</v>
      </c>
      <c r="BQ170" s="302" t="s">
        <v>3106</v>
      </c>
      <c r="BR170" t="s">
        <v>279</v>
      </c>
      <c r="BS170">
        <v>-543.07789336691178</v>
      </c>
      <c r="BT170">
        <v>2.2086925350061422</v>
      </c>
      <c r="BU170" s="144">
        <f t="shared" si="115"/>
        <v>-4.0669903194050939E-3</v>
      </c>
      <c r="BV170">
        <f t="shared" si="116"/>
        <v>545.28658590191787</v>
      </c>
      <c r="BW170"/>
      <c r="BX170">
        <f t="shared" si="117"/>
        <v>545.28658590191787</v>
      </c>
      <c r="BY170">
        <f t="shared" si="51"/>
        <v>0.65266426537398581</v>
      </c>
      <c r="BZ170">
        <v>0</v>
      </c>
      <c r="CA170">
        <v>0</v>
      </c>
      <c r="CB170">
        <v>0</v>
      </c>
      <c r="CC170">
        <v>0</v>
      </c>
      <c r="CD170">
        <v>0</v>
      </c>
      <c r="CE170">
        <v>0</v>
      </c>
      <c r="CF170">
        <v>0</v>
      </c>
      <c r="CG170">
        <v>0</v>
      </c>
      <c r="CH170">
        <v>0</v>
      </c>
      <c r="CI170">
        <v>0</v>
      </c>
      <c r="CJ170">
        <v>0</v>
      </c>
      <c r="CK170">
        <v>0</v>
      </c>
      <c r="CL170">
        <v>0</v>
      </c>
      <c r="CM170">
        <v>0</v>
      </c>
      <c r="CN170" t="str">
        <f t="shared" si="118"/>
        <v>refOK</v>
      </c>
      <c r="CO170">
        <f t="shared" si="137"/>
        <v>0</v>
      </c>
      <c r="CP170">
        <f t="shared" si="138"/>
        <v>192.41056603773589</v>
      </c>
      <c r="CQ170">
        <f t="shared" si="119"/>
        <v>835.47792461022971</v>
      </c>
      <c r="CR170">
        <f t="shared" si="120"/>
        <v>-543.07789336691178</v>
      </c>
      <c r="CS170">
        <f t="shared" si="121"/>
        <v>2.2086925350061422</v>
      </c>
      <c r="CT170">
        <f t="shared" si="122"/>
        <v>545.28658590191787</v>
      </c>
      <c r="CU170">
        <f t="shared" si="123"/>
        <v>0.65266426537398581</v>
      </c>
      <c r="CV170" s="2">
        <f t="shared" si="124"/>
        <v>1.0040669903194051</v>
      </c>
      <c r="CW170" s="1" t="s">
        <v>234</v>
      </c>
      <c r="CX170" t="str">
        <f t="shared" si="125"/>
        <v>loc</v>
      </c>
      <c r="CY170" t="s">
        <v>280</v>
      </c>
      <c r="CZ170"/>
      <c r="DA170"/>
      <c r="DB170">
        <v>200</v>
      </c>
      <c r="DC170" t="str">
        <f t="shared" si="126"/>
        <v>+100</v>
      </c>
      <c r="DD170">
        <v>0</v>
      </c>
      <c r="DE170">
        <v>1</v>
      </c>
      <c r="DF170">
        <v>0</v>
      </c>
      <c r="DG170">
        <v>0</v>
      </c>
      <c r="DH170"/>
      <c r="DI170">
        <f t="shared" si="129"/>
        <v>1</v>
      </c>
      <c r="DJ170" t="str">
        <f t="shared" si="130"/>
        <v>EnergyInput</v>
      </c>
      <c r="DK170">
        <f t="shared" si="131"/>
        <v>0</v>
      </c>
      <c r="DL170" t="str">
        <f t="shared" si="132"/>
        <v>Energy</v>
      </c>
      <c r="DM170">
        <f t="shared" si="133"/>
        <v>0</v>
      </c>
      <c r="DN170">
        <f t="shared" si="134"/>
        <v>0</v>
      </c>
      <c r="DO170">
        <v>0</v>
      </c>
      <c r="DP170">
        <v>1</v>
      </c>
      <c r="DQ170" t="s">
        <v>304</v>
      </c>
      <c r="DR170">
        <v>0</v>
      </c>
      <c r="DS170">
        <v>0</v>
      </c>
      <c r="DT170">
        <f t="shared" si="135"/>
        <v>1</v>
      </c>
      <c r="DU170" s="143" t="str">
        <f t="shared" si="136"/>
        <v>external DF used</v>
      </c>
      <c r="DV170">
        <v>0</v>
      </c>
      <c r="DW170">
        <v>1</v>
      </c>
      <c r="DX170">
        <v>1</v>
      </c>
      <c r="DY170">
        <v>1</v>
      </c>
      <c r="DZ170">
        <v>1</v>
      </c>
      <c r="EA170" s="143">
        <v>0</v>
      </c>
      <c r="EB170">
        <v>1</v>
      </c>
      <c r="EC170">
        <v>1</v>
      </c>
      <c r="ED170">
        <v>0</v>
      </c>
      <c r="EE170">
        <v>1</v>
      </c>
      <c r="EF170">
        <v>1</v>
      </c>
      <c r="EG170">
        <v>1</v>
      </c>
      <c r="EH170">
        <v>0</v>
      </c>
      <c r="EI170" s="2">
        <v>0</v>
      </c>
      <c r="EJ170" s="1"/>
      <c r="EK170" t="str">
        <f t="shared" si="127"/>
        <v>Whole sector</v>
      </c>
      <c r="EL170" t="str">
        <f t="shared" si="128"/>
        <v/>
      </c>
      <c r="EM170" s="2" t="str">
        <f t="shared" si="67"/>
        <v/>
      </c>
      <c r="EN170"/>
      <c r="EO170"/>
      <c r="EP170" t="str">
        <f>IF(ISNUMBER(BU170),IF(ABS(BU170-[3]QC_indicators!$B$2)&gt;3*[3]QC_indicators!$C$2,"C ratio",IF(ISNUMBER(BY170),IF(ABS(BY170-[3]QC_indicators!$B$1)&gt;3*[3]QC_indicators!$C$1,"DF","no"))),IF(ISNUMBER(BY170),IF(ABS(BY170-[3]QC_indicators!$B$1)&gt;3*[3]QC_indicators!$C$1,"DF","no")))</f>
        <v>no</v>
      </c>
      <c r="EQ170" t="s">
        <v>286</v>
      </c>
      <c r="ER170"/>
      <c r="ES170"/>
      <c r="ET170" s="264" t="s">
        <v>3272</v>
      </c>
      <c r="EU170"/>
    </row>
    <row r="171" spans="1:151" s="139" customFormat="1" ht="15" hidden="1" customHeight="1">
      <c r="A171" s="1" t="s">
        <v>265</v>
      </c>
      <c r="B171" t="s">
        <v>266</v>
      </c>
      <c r="C171" t="s">
        <v>267</v>
      </c>
      <c r="D171" t="s">
        <v>268</v>
      </c>
      <c r="E171" t="s">
        <v>269</v>
      </c>
      <c r="F171" t="s">
        <v>270</v>
      </c>
      <c r="G171" t="s">
        <v>271</v>
      </c>
      <c r="H171" t="s">
        <v>254</v>
      </c>
      <c r="I171">
        <v>2022</v>
      </c>
      <c r="J171">
        <v>0</v>
      </c>
      <c r="K171" t="s">
        <v>272</v>
      </c>
      <c r="L171"/>
      <c r="M171" t="str">
        <f t="shared" si="95"/>
        <v>Aryapratama_2022</v>
      </c>
      <c r="N171" t="s">
        <v>222</v>
      </c>
      <c r="O171" s="145" t="s">
        <v>274</v>
      </c>
      <c r="P171"/>
      <c r="Q171" t="s">
        <v>224</v>
      </c>
      <c r="R171" s="262" t="s">
        <v>223</v>
      </c>
      <c r="S171" s="263" t="s">
        <v>3104</v>
      </c>
      <c r="T171" t="s">
        <v>309</v>
      </c>
      <c r="U171" t="s">
        <v>310</v>
      </c>
      <c r="V171">
        <v>0</v>
      </c>
      <c r="W171">
        <v>0</v>
      </c>
      <c r="X171">
        <v>0</v>
      </c>
      <c r="Y171">
        <v>0</v>
      </c>
      <c r="Z171">
        <v>0</v>
      </c>
      <c r="AA171">
        <v>0</v>
      </c>
      <c r="AB171">
        <v>0</v>
      </c>
      <c r="AC171">
        <v>0</v>
      </c>
      <c r="AD171">
        <v>0</v>
      </c>
      <c r="AE171">
        <v>0</v>
      </c>
      <c r="AF171">
        <v>0</v>
      </c>
      <c r="AG171">
        <v>0</v>
      </c>
      <c r="AH171">
        <v>0</v>
      </c>
      <c r="AI171">
        <v>0</v>
      </c>
      <c r="AJ171">
        <v>0</v>
      </c>
      <c r="AK171">
        <v>1</v>
      </c>
      <c r="AL171">
        <v>0</v>
      </c>
      <c r="AM171">
        <v>0</v>
      </c>
      <c r="AN171">
        <v>0</v>
      </c>
      <c r="AO171">
        <v>0</v>
      </c>
      <c r="AP171">
        <v>0</v>
      </c>
      <c r="AQ171">
        <v>0</v>
      </c>
      <c r="AR171">
        <v>0</v>
      </c>
      <c r="AS171">
        <v>0</v>
      </c>
      <c r="AT171">
        <v>0</v>
      </c>
      <c r="AU171">
        <v>0</v>
      </c>
      <c r="AV171">
        <v>0</v>
      </c>
      <c r="AW171">
        <v>0</v>
      </c>
      <c r="AX171" s="141">
        <f t="shared" si="106"/>
        <v>1</v>
      </c>
      <c r="AY171" s="141">
        <f t="shared" si="107"/>
        <v>1</v>
      </c>
      <c r="AZ171">
        <f t="shared" si="108"/>
        <v>0</v>
      </c>
      <c r="BA171">
        <f t="shared" si="109"/>
        <v>0</v>
      </c>
      <c r="BB171">
        <f t="shared" si="110"/>
        <v>1</v>
      </c>
      <c r="BC171">
        <f t="shared" si="111"/>
        <v>0</v>
      </c>
      <c r="BD171">
        <f t="shared" si="112"/>
        <v>0</v>
      </c>
      <c r="BE171" t="str">
        <f t="array" ref="BE171">IF(AY171=1,INDEX($V$7:$AL$7,MATCH(TRUE,INDEX($V171:$AW171&lt;&gt;0,),0)),IF(AY171=0,INDEX($AM$7:$AW$7,MATCH(1,$AM171:$AW171,0)),IF(BF171="Multiple strategies","mixed drivers",IF(BF171="Supply chain","multiple supply","multiple silviculture"))))</f>
        <v>technologies/design switch</v>
      </c>
      <c r="BF171" s="2" t="str" cm="1">
        <f t="array" ref="BF171">IF(COUNTIF(AZ171:BB171,"&lt;&gt;0")=1,INDEX($V$4:$AW$4,MATCH(TRUE,INDEX($V171:$AW171&lt;&gt;0,),0)),IF(COUNTIF(AZ171:BB171,"&lt;&gt;0")=0,INDEX($AM$4:$AW$4,MATCH(1,$AM171:$AW171,0)),"Multiple strategies"))</f>
        <v>Technology</v>
      </c>
      <c r="BG171" s="1" t="s">
        <v>229</v>
      </c>
      <c r="BH171" t="s">
        <v>277</v>
      </c>
      <c r="BI171" s="264" t="s">
        <v>3105</v>
      </c>
      <c r="BJ171" t="s">
        <v>278</v>
      </c>
      <c r="BK171">
        <v>0</v>
      </c>
      <c r="BL171">
        <v>173.90219514484585</v>
      </c>
      <c r="BM171"/>
      <c r="BN171">
        <f t="shared" si="113"/>
        <v>173.90219514484585</v>
      </c>
      <c r="BO171">
        <f t="shared" si="114"/>
        <v>755.11157249173186</v>
      </c>
      <c r="BP171" t="s">
        <v>232</v>
      </c>
      <c r="BQ171" s="302" t="s">
        <v>3106</v>
      </c>
      <c r="BR171" t="s">
        <v>279</v>
      </c>
      <c r="BS171">
        <v>-276.3051877599944</v>
      </c>
      <c r="BT171">
        <v>218.48492658306861</v>
      </c>
      <c r="BU171" s="144">
        <f t="shared" si="115"/>
        <v>-0.79073769245639391</v>
      </c>
      <c r="BV171">
        <f t="shared" si="116"/>
        <v>494.79011434306301</v>
      </c>
      <c r="BW171"/>
      <c r="BX171">
        <f t="shared" si="117"/>
        <v>494.79011434306301</v>
      </c>
      <c r="BY171">
        <f t="shared" si="51"/>
        <v>0.65525431256515509</v>
      </c>
      <c r="BZ171">
        <v>0</v>
      </c>
      <c r="CA171">
        <v>0</v>
      </c>
      <c r="CB171">
        <v>0</v>
      </c>
      <c r="CC171">
        <v>0</v>
      </c>
      <c r="CD171">
        <v>0</v>
      </c>
      <c r="CE171">
        <v>0</v>
      </c>
      <c r="CF171">
        <v>0</v>
      </c>
      <c r="CG171">
        <v>0</v>
      </c>
      <c r="CH171">
        <v>0</v>
      </c>
      <c r="CI171">
        <v>0</v>
      </c>
      <c r="CJ171">
        <v>0</v>
      </c>
      <c r="CK171">
        <v>0</v>
      </c>
      <c r="CL171">
        <v>0</v>
      </c>
      <c r="CM171">
        <v>0</v>
      </c>
      <c r="CN171" t="str">
        <f t="shared" si="118"/>
        <v>refOK</v>
      </c>
      <c r="CO171">
        <f t="shared" si="137"/>
        <v>0</v>
      </c>
      <c r="CP171">
        <f t="shared" si="138"/>
        <v>173.90219514484585</v>
      </c>
      <c r="CQ171">
        <f t="shared" si="119"/>
        <v>755.11157249173186</v>
      </c>
      <c r="CR171">
        <f t="shared" si="120"/>
        <v>-276.3051877599944</v>
      </c>
      <c r="CS171">
        <f t="shared" si="121"/>
        <v>218.48492658306861</v>
      </c>
      <c r="CT171">
        <f t="shared" si="122"/>
        <v>494.79011434306301</v>
      </c>
      <c r="CU171">
        <f t="shared" si="123"/>
        <v>0.65525431256515509</v>
      </c>
      <c r="CV171" s="2">
        <f t="shared" si="124"/>
        <v>1.7907376924563938</v>
      </c>
      <c r="CW171" s="1" t="s">
        <v>234</v>
      </c>
      <c r="CX171" t="str">
        <f t="shared" si="125"/>
        <v>loc</v>
      </c>
      <c r="CY171" t="s">
        <v>280</v>
      </c>
      <c r="CZ171"/>
      <c r="DA171"/>
      <c r="DB171">
        <v>200</v>
      </c>
      <c r="DC171" t="str">
        <f t="shared" si="126"/>
        <v>+100</v>
      </c>
      <c r="DD171">
        <v>0</v>
      </c>
      <c r="DE171">
        <v>0</v>
      </c>
      <c r="DF171">
        <v>0</v>
      </c>
      <c r="DG171">
        <v>1</v>
      </c>
      <c r="DH171"/>
      <c r="DI171">
        <f t="shared" si="129"/>
        <v>1</v>
      </c>
      <c r="DJ171" t="str">
        <f t="shared" si="130"/>
        <v>TimberInput</v>
      </c>
      <c r="DK171">
        <f t="shared" si="131"/>
        <v>0</v>
      </c>
      <c r="DL171">
        <f t="shared" si="132"/>
        <v>0</v>
      </c>
      <c r="DM171">
        <f t="shared" si="133"/>
        <v>0</v>
      </c>
      <c r="DN171" t="str">
        <f t="shared" si="134"/>
        <v>Timber</v>
      </c>
      <c r="DO171">
        <v>0</v>
      </c>
      <c r="DP171">
        <v>1</v>
      </c>
      <c r="DQ171" t="s">
        <v>304</v>
      </c>
      <c r="DR171">
        <v>0</v>
      </c>
      <c r="DS171">
        <v>0</v>
      </c>
      <c r="DT171">
        <f t="shared" si="135"/>
        <v>1</v>
      </c>
      <c r="DU171" s="143" t="str">
        <f t="shared" si="136"/>
        <v>external DF used</v>
      </c>
      <c r="DV171">
        <v>0</v>
      </c>
      <c r="DW171">
        <v>1</v>
      </c>
      <c r="DX171">
        <v>1</v>
      </c>
      <c r="DY171">
        <v>1</v>
      </c>
      <c r="DZ171">
        <v>1</v>
      </c>
      <c r="EA171" s="143">
        <v>0</v>
      </c>
      <c r="EB171">
        <v>1</v>
      </c>
      <c r="EC171">
        <v>1</v>
      </c>
      <c r="ED171">
        <v>0</v>
      </c>
      <c r="EE171">
        <v>1</v>
      </c>
      <c r="EF171">
        <v>1</v>
      </c>
      <c r="EG171">
        <v>1</v>
      </c>
      <c r="EH171">
        <v>0</v>
      </c>
      <c r="EI171" s="2">
        <v>0</v>
      </c>
      <c r="EJ171" s="1"/>
      <c r="EK171" t="str">
        <f t="shared" si="127"/>
        <v>Whole sector</v>
      </c>
      <c r="EL171" t="str">
        <f t="shared" si="128"/>
        <v/>
      </c>
      <c r="EM171" s="2" t="str">
        <f t="shared" si="67"/>
        <v/>
      </c>
      <c r="EN171"/>
      <c r="EO171"/>
      <c r="EP171" t="str">
        <f>IF(ISNUMBER(BU171),IF(ABS(BU171-[3]QC_indicators!$B$2)&gt;3*[3]QC_indicators!$C$2,"C ratio",IF(ISNUMBER(BY171),IF(ABS(BY171-[3]QC_indicators!$B$1)&gt;3*[3]QC_indicators!$C$1,"DF","no"))),IF(ISNUMBER(BY171),IF(ABS(BY171-[3]QC_indicators!$B$1)&gt;3*[3]QC_indicators!$C$1,"DF","no")))</f>
        <v>no</v>
      </c>
      <c r="EQ171" t="s">
        <v>286</v>
      </c>
      <c r="ER171"/>
      <c r="ES171"/>
      <c r="ET171" s="264" t="s">
        <v>3272</v>
      </c>
      <c r="EU171"/>
    </row>
    <row r="172" spans="1:151" s="139" customFormat="1" ht="15" hidden="1" customHeight="1">
      <c r="A172" s="1" t="s">
        <v>265</v>
      </c>
      <c r="B172" t="s">
        <v>266</v>
      </c>
      <c r="C172" t="s">
        <v>267</v>
      </c>
      <c r="D172" t="s">
        <v>268</v>
      </c>
      <c r="E172" t="s">
        <v>269</v>
      </c>
      <c r="F172" t="s">
        <v>270</v>
      </c>
      <c r="G172" t="s">
        <v>271</v>
      </c>
      <c r="H172" t="s">
        <v>254</v>
      </c>
      <c r="I172">
        <v>2022</v>
      </c>
      <c r="J172">
        <v>0</v>
      </c>
      <c r="K172" t="s">
        <v>272</v>
      </c>
      <c r="L172"/>
      <c r="M172" t="str">
        <f t="shared" si="95"/>
        <v>Aryapratama_2022</v>
      </c>
      <c r="N172" t="s">
        <v>222</v>
      </c>
      <c r="O172" s="145" t="s">
        <v>274</v>
      </c>
      <c r="P172"/>
      <c r="Q172" t="s">
        <v>224</v>
      </c>
      <c r="R172" s="262" t="s">
        <v>223</v>
      </c>
      <c r="S172" s="263" t="s">
        <v>3104</v>
      </c>
      <c r="T172" t="s">
        <v>331</v>
      </c>
      <c r="U172" t="s">
        <v>332</v>
      </c>
      <c r="V172">
        <v>0</v>
      </c>
      <c r="W172">
        <v>0</v>
      </c>
      <c r="X172">
        <v>0</v>
      </c>
      <c r="Y172">
        <v>0</v>
      </c>
      <c r="Z172">
        <v>0</v>
      </c>
      <c r="AA172">
        <v>0</v>
      </c>
      <c r="AB172">
        <v>0</v>
      </c>
      <c r="AC172">
        <v>0</v>
      </c>
      <c r="AD172">
        <v>0</v>
      </c>
      <c r="AE172">
        <v>0</v>
      </c>
      <c r="AF172">
        <v>0</v>
      </c>
      <c r="AG172">
        <v>0</v>
      </c>
      <c r="AH172">
        <v>0</v>
      </c>
      <c r="AI172">
        <v>0</v>
      </c>
      <c r="AJ172">
        <v>0</v>
      </c>
      <c r="AK172">
        <v>1</v>
      </c>
      <c r="AL172">
        <v>0</v>
      </c>
      <c r="AM172">
        <v>0</v>
      </c>
      <c r="AN172">
        <v>0</v>
      </c>
      <c r="AO172">
        <v>0</v>
      </c>
      <c r="AP172">
        <v>0</v>
      </c>
      <c r="AQ172">
        <v>0</v>
      </c>
      <c r="AR172">
        <v>0</v>
      </c>
      <c r="AS172">
        <v>0</v>
      </c>
      <c r="AT172">
        <v>0</v>
      </c>
      <c r="AU172">
        <v>0</v>
      </c>
      <c r="AV172">
        <v>0</v>
      </c>
      <c r="AW172">
        <v>0</v>
      </c>
      <c r="AX172" s="141">
        <f t="shared" si="106"/>
        <v>1</v>
      </c>
      <c r="AY172" s="141">
        <f t="shared" si="107"/>
        <v>1</v>
      </c>
      <c r="AZ172">
        <f t="shared" si="108"/>
        <v>0</v>
      </c>
      <c r="BA172">
        <f t="shared" si="109"/>
        <v>0</v>
      </c>
      <c r="BB172">
        <f t="shared" si="110"/>
        <v>1</v>
      </c>
      <c r="BC172">
        <f t="shared" si="111"/>
        <v>0</v>
      </c>
      <c r="BD172">
        <f t="shared" si="112"/>
        <v>0</v>
      </c>
      <c r="BE172" t="str">
        <f t="array" ref="BE172">IF(AY172=1,INDEX($V$7:$AL$7,MATCH(TRUE,INDEX($V172:$AW172&lt;&gt;0,),0)),IF(AY172=0,INDEX($AM$7:$AW$7,MATCH(1,$AM172:$AW172,0)),IF(BF172="Multiple strategies","mixed drivers",IF(BF172="Supply chain","multiple supply","multiple silviculture"))))</f>
        <v>technologies/design switch</v>
      </c>
      <c r="BF172" s="2" t="str" cm="1">
        <f t="array" ref="BF172">IF(COUNTIF(AZ172:BB172,"&lt;&gt;0")=1,INDEX($V$4:$AW$4,MATCH(TRUE,INDEX($V172:$AW172&lt;&gt;0,),0)),IF(COUNTIF(AZ172:BB172,"&lt;&gt;0")=0,INDEX($AM$4:$AW$4,MATCH(1,$AM172:$AW172,0)),"Multiple strategies"))</f>
        <v>Technology</v>
      </c>
      <c r="BG172" s="1" t="s">
        <v>229</v>
      </c>
      <c r="BH172" t="s">
        <v>277</v>
      </c>
      <c r="BI172" s="264" t="s">
        <v>3105</v>
      </c>
      <c r="BJ172" t="s">
        <v>278</v>
      </c>
      <c r="BK172">
        <v>0</v>
      </c>
      <c r="BL172">
        <v>96.205283018867945</v>
      </c>
      <c r="BM172"/>
      <c r="BN172">
        <f t="shared" si="113"/>
        <v>96.205283018867945</v>
      </c>
      <c r="BO172">
        <f t="shared" si="114"/>
        <v>417.73896230511485</v>
      </c>
      <c r="BP172" t="s">
        <v>232</v>
      </c>
      <c r="BQ172" s="302" t="s">
        <v>3106</v>
      </c>
      <c r="BR172" t="s">
        <v>279</v>
      </c>
      <c r="BS172">
        <v>-235.2392539982188</v>
      </c>
      <c r="BT172">
        <v>42.123869249720393</v>
      </c>
      <c r="BU172" s="144">
        <f t="shared" si="115"/>
        <v>-0.17906819773386695</v>
      </c>
      <c r="BV172">
        <f t="shared" si="116"/>
        <v>277.3631232479392</v>
      </c>
      <c r="BW172"/>
      <c r="BX172">
        <f t="shared" si="117"/>
        <v>277.3631232479392</v>
      </c>
      <c r="BY172">
        <f t="shared" ref="BY172:BY235" si="139">IFERROR(BX172/BO172,"")</f>
        <v>0.663962781248435</v>
      </c>
      <c r="BZ172">
        <v>0</v>
      </c>
      <c r="CA172">
        <v>0</v>
      </c>
      <c r="CB172">
        <v>0</v>
      </c>
      <c r="CC172">
        <v>0</v>
      </c>
      <c r="CD172">
        <v>0</v>
      </c>
      <c r="CE172">
        <v>0</v>
      </c>
      <c r="CF172">
        <v>0</v>
      </c>
      <c r="CG172">
        <v>0</v>
      </c>
      <c r="CH172">
        <v>0</v>
      </c>
      <c r="CI172">
        <v>0</v>
      </c>
      <c r="CJ172">
        <v>0</v>
      </c>
      <c r="CK172">
        <v>0</v>
      </c>
      <c r="CL172">
        <v>0</v>
      </c>
      <c r="CM172">
        <v>0</v>
      </c>
      <c r="CN172" t="str">
        <f t="shared" si="118"/>
        <v>refOK</v>
      </c>
      <c r="CO172">
        <f t="shared" si="137"/>
        <v>0</v>
      </c>
      <c r="CP172">
        <f t="shared" si="138"/>
        <v>96.205283018867945</v>
      </c>
      <c r="CQ172">
        <f t="shared" si="119"/>
        <v>417.73896230511485</v>
      </c>
      <c r="CR172">
        <f t="shared" si="120"/>
        <v>-235.2392539982188</v>
      </c>
      <c r="CS172">
        <f t="shared" si="121"/>
        <v>42.123869249720393</v>
      </c>
      <c r="CT172">
        <f t="shared" si="122"/>
        <v>277.3631232479392</v>
      </c>
      <c r="CU172">
        <f t="shared" si="123"/>
        <v>0.663962781248435</v>
      </c>
      <c r="CV172" s="2">
        <f t="shared" si="124"/>
        <v>1.1790681977338671</v>
      </c>
      <c r="CW172" s="1" t="s">
        <v>234</v>
      </c>
      <c r="CX172" t="str">
        <f t="shared" si="125"/>
        <v>loc</v>
      </c>
      <c r="CY172" t="s">
        <v>280</v>
      </c>
      <c r="CZ172"/>
      <c r="DA172"/>
      <c r="DB172">
        <v>100</v>
      </c>
      <c r="DC172" t="str">
        <f t="shared" si="126"/>
        <v>71-100</v>
      </c>
      <c r="DD172">
        <v>0</v>
      </c>
      <c r="DE172">
        <v>1</v>
      </c>
      <c r="DF172">
        <v>0</v>
      </c>
      <c r="DG172">
        <v>0</v>
      </c>
      <c r="DH172"/>
      <c r="DI172">
        <f t="shared" si="129"/>
        <v>1</v>
      </c>
      <c r="DJ172" t="str">
        <f t="shared" si="130"/>
        <v>EnergyInput</v>
      </c>
      <c r="DK172">
        <f t="shared" si="131"/>
        <v>0</v>
      </c>
      <c r="DL172" t="str">
        <f t="shared" si="132"/>
        <v>Energy</v>
      </c>
      <c r="DM172">
        <f t="shared" si="133"/>
        <v>0</v>
      </c>
      <c r="DN172">
        <f t="shared" si="134"/>
        <v>0</v>
      </c>
      <c r="DO172">
        <v>0</v>
      </c>
      <c r="DP172">
        <v>1</v>
      </c>
      <c r="DQ172" t="s">
        <v>304</v>
      </c>
      <c r="DR172">
        <v>0</v>
      </c>
      <c r="DS172">
        <v>0</v>
      </c>
      <c r="DT172">
        <f t="shared" si="135"/>
        <v>1</v>
      </c>
      <c r="DU172" s="143" t="str">
        <f t="shared" si="136"/>
        <v>external DF used</v>
      </c>
      <c r="DV172">
        <v>0</v>
      </c>
      <c r="DW172">
        <v>1</v>
      </c>
      <c r="DX172">
        <v>1</v>
      </c>
      <c r="DY172">
        <v>1</v>
      </c>
      <c r="DZ172">
        <v>1</v>
      </c>
      <c r="EA172" s="143">
        <v>0</v>
      </c>
      <c r="EB172">
        <v>1</v>
      </c>
      <c r="EC172">
        <v>1</v>
      </c>
      <c r="ED172">
        <v>0</v>
      </c>
      <c r="EE172">
        <v>1</v>
      </c>
      <c r="EF172">
        <v>1</v>
      </c>
      <c r="EG172">
        <v>1</v>
      </c>
      <c r="EH172">
        <v>0</v>
      </c>
      <c r="EI172" s="2">
        <v>0</v>
      </c>
      <c r="EJ172" s="1"/>
      <c r="EK172" t="str">
        <f t="shared" si="127"/>
        <v>Whole sector</v>
      </c>
      <c r="EL172" t="str">
        <f t="shared" si="128"/>
        <v/>
      </c>
      <c r="EM172" s="2" t="str">
        <f t="shared" ref="EM172:EM235" si="140">IF(AND(AND(AND($DX172=0,$DW172=0),OR($EC172=1,$EA172=1)),SUM($EB172:$EE172)&gt;=2),"Technology approach","")</f>
        <v/>
      </c>
      <c r="EN172"/>
      <c r="EO172"/>
      <c r="EP172" t="str">
        <f>IF(ISNUMBER(BU172),IF(ABS(BU172-[3]QC_indicators!$B$2)&gt;3*[3]QC_indicators!$C$2,"C ratio",IF(ISNUMBER(BY172),IF(ABS(BY172-[3]QC_indicators!$B$1)&gt;3*[3]QC_indicators!$C$1,"DF","no"))),IF(ISNUMBER(BY172),IF(ABS(BY172-[3]QC_indicators!$B$1)&gt;3*[3]QC_indicators!$C$1,"DF","no")))</f>
        <v>no</v>
      </c>
      <c r="EQ172" t="s">
        <v>286</v>
      </c>
      <c r="ER172"/>
      <c r="ES172"/>
      <c r="ET172" s="264" t="s">
        <v>3272</v>
      </c>
      <c r="EU172"/>
    </row>
    <row r="173" spans="1:151" s="139" customFormat="1" ht="15" hidden="1" customHeight="1">
      <c r="A173" s="1" t="s">
        <v>265</v>
      </c>
      <c r="B173" t="s">
        <v>266</v>
      </c>
      <c r="C173" t="s">
        <v>267</v>
      </c>
      <c r="D173" t="s">
        <v>268</v>
      </c>
      <c r="E173" t="s">
        <v>269</v>
      </c>
      <c r="F173" t="s">
        <v>270</v>
      </c>
      <c r="G173" t="s">
        <v>271</v>
      </c>
      <c r="H173" t="s">
        <v>254</v>
      </c>
      <c r="I173">
        <v>2022</v>
      </c>
      <c r="J173">
        <v>0</v>
      </c>
      <c r="K173" t="s">
        <v>272</v>
      </c>
      <c r="L173"/>
      <c r="M173" t="str">
        <f t="shared" si="95"/>
        <v>Aryapratama_2022</v>
      </c>
      <c r="N173" t="s">
        <v>222</v>
      </c>
      <c r="O173" s="145" t="s">
        <v>274</v>
      </c>
      <c r="P173"/>
      <c r="Q173" t="s">
        <v>224</v>
      </c>
      <c r="R173" s="262" t="s">
        <v>223</v>
      </c>
      <c r="S173" s="263" t="s">
        <v>3104</v>
      </c>
      <c r="T173" t="s">
        <v>331</v>
      </c>
      <c r="U173" t="s">
        <v>332</v>
      </c>
      <c r="V173">
        <v>0</v>
      </c>
      <c r="W173">
        <v>0</v>
      </c>
      <c r="X173">
        <v>0</v>
      </c>
      <c r="Y173">
        <v>0</v>
      </c>
      <c r="Z173">
        <v>0</v>
      </c>
      <c r="AA173">
        <v>0</v>
      </c>
      <c r="AB173">
        <v>0</v>
      </c>
      <c r="AC173">
        <v>0</v>
      </c>
      <c r="AD173">
        <v>0</v>
      </c>
      <c r="AE173">
        <v>0</v>
      </c>
      <c r="AF173">
        <v>0</v>
      </c>
      <c r="AG173">
        <v>0</v>
      </c>
      <c r="AH173">
        <v>0</v>
      </c>
      <c r="AI173">
        <v>0</v>
      </c>
      <c r="AJ173">
        <v>0</v>
      </c>
      <c r="AK173">
        <v>1</v>
      </c>
      <c r="AL173">
        <v>0</v>
      </c>
      <c r="AM173">
        <v>0</v>
      </c>
      <c r="AN173">
        <v>0</v>
      </c>
      <c r="AO173">
        <v>0</v>
      </c>
      <c r="AP173">
        <v>0</v>
      </c>
      <c r="AQ173">
        <v>0</v>
      </c>
      <c r="AR173">
        <v>0</v>
      </c>
      <c r="AS173">
        <v>0</v>
      </c>
      <c r="AT173">
        <v>0</v>
      </c>
      <c r="AU173">
        <v>0</v>
      </c>
      <c r="AV173">
        <v>0</v>
      </c>
      <c r="AW173">
        <v>0</v>
      </c>
      <c r="AX173" s="141">
        <f t="shared" si="106"/>
        <v>1</v>
      </c>
      <c r="AY173" s="141">
        <f t="shared" si="107"/>
        <v>1</v>
      </c>
      <c r="AZ173">
        <f t="shared" si="108"/>
        <v>0</v>
      </c>
      <c r="BA173">
        <f t="shared" si="109"/>
        <v>0</v>
      </c>
      <c r="BB173">
        <f t="shared" si="110"/>
        <v>1</v>
      </c>
      <c r="BC173">
        <f t="shared" si="111"/>
        <v>0</v>
      </c>
      <c r="BD173">
        <f t="shared" si="112"/>
        <v>0</v>
      </c>
      <c r="BE173" t="str">
        <f t="array" ref="BE173">IF(AY173=1,INDEX($V$7:$AL$7,MATCH(TRUE,INDEX($V173:$AW173&lt;&gt;0,),0)),IF(AY173=0,INDEX($AM$7:$AW$7,MATCH(1,$AM173:$AW173,0)),IF(BF173="Multiple strategies","mixed drivers",IF(BF173="Supply chain","multiple supply","multiple silviculture"))))</f>
        <v>technologies/design switch</v>
      </c>
      <c r="BF173" s="2" t="str" cm="1">
        <f t="array" ref="BF173">IF(COUNTIF(AZ173:BB173,"&lt;&gt;0")=1,INDEX($V$4:$AW$4,MATCH(TRUE,INDEX($V173:$AW173&lt;&gt;0,),0)),IF(COUNTIF(AZ173:BB173,"&lt;&gt;0")=0,INDEX($AM$4:$AW$4,MATCH(1,$AM173:$AW173,0)),"Multiple strategies"))</f>
        <v>Technology</v>
      </c>
      <c r="BG173" s="1" t="s">
        <v>229</v>
      </c>
      <c r="BH173" t="s">
        <v>277</v>
      </c>
      <c r="BI173" s="264" t="s">
        <v>3105</v>
      </c>
      <c r="BJ173" t="s">
        <v>278</v>
      </c>
      <c r="BK173">
        <v>0</v>
      </c>
      <c r="BL173">
        <v>48.102641509433973</v>
      </c>
      <c r="BM173"/>
      <c r="BN173">
        <f t="shared" si="113"/>
        <v>48.102641509433973</v>
      </c>
      <c r="BO173">
        <f t="shared" si="114"/>
        <v>208.86948115255743</v>
      </c>
      <c r="BP173" t="s">
        <v>232</v>
      </c>
      <c r="BQ173" s="302" t="s">
        <v>3106</v>
      </c>
      <c r="BR173" t="s">
        <v>279</v>
      </c>
      <c r="BS173">
        <v>-79.816497751704446</v>
      </c>
      <c r="BT173">
        <v>69.07494766906801</v>
      </c>
      <c r="BU173" s="144">
        <f t="shared" si="115"/>
        <v>-0.86542193174083415</v>
      </c>
      <c r="BV173">
        <f t="shared" si="116"/>
        <v>148.89144542077247</v>
      </c>
      <c r="BW173"/>
      <c r="BX173">
        <f t="shared" si="117"/>
        <v>148.89144542077247</v>
      </c>
      <c r="BY173">
        <f t="shared" si="139"/>
        <v>0.71284442609412502</v>
      </c>
      <c r="BZ173">
        <v>0</v>
      </c>
      <c r="CA173">
        <v>0</v>
      </c>
      <c r="CB173">
        <v>0</v>
      </c>
      <c r="CC173">
        <v>0</v>
      </c>
      <c r="CD173">
        <v>0</v>
      </c>
      <c r="CE173">
        <v>0</v>
      </c>
      <c r="CF173">
        <v>0</v>
      </c>
      <c r="CG173">
        <v>0</v>
      </c>
      <c r="CH173">
        <v>0</v>
      </c>
      <c r="CI173">
        <v>0</v>
      </c>
      <c r="CJ173">
        <v>0</v>
      </c>
      <c r="CK173">
        <v>0</v>
      </c>
      <c r="CL173">
        <v>0</v>
      </c>
      <c r="CM173">
        <v>0</v>
      </c>
      <c r="CN173" t="str">
        <f t="shared" si="118"/>
        <v>refOK</v>
      </c>
      <c r="CO173">
        <f t="shared" si="137"/>
        <v>0</v>
      </c>
      <c r="CP173">
        <f t="shared" si="138"/>
        <v>48.102641509433973</v>
      </c>
      <c r="CQ173">
        <f t="shared" si="119"/>
        <v>208.86948115255743</v>
      </c>
      <c r="CR173">
        <f t="shared" si="120"/>
        <v>-79.816497751704446</v>
      </c>
      <c r="CS173">
        <f t="shared" si="121"/>
        <v>69.07494766906801</v>
      </c>
      <c r="CT173">
        <f t="shared" si="122"/>
        <v>148.89144542077247</v>
      </c>
      <c r="CU173">
        <f t="shared" si="123"/>
        <v>0.71284442609412502</v>
      </c>
      <c r="CV173" s="2">
        <f t="shared" si="124"/>
        <v>1.8654219317408343</v>
      </c>
      <c r="CW173" s="1" t="s">
        <v>234</v>
      </c>
      <c r="CX173" t="str">
        <f t="shared" si="125"/>
        <v>loc</v>
      </c>
      <c r="CY173" t="s">
        <v>280</v>
      </c>
      <c r="CZ173"/>
      <c r="DA173"/>
      <c r="DB173">
        <v>50</v>
      </c>
      <c r="DC173" t="str">
        <f t="shared" si="126"/>
        <v>31-70</v>
      </c>
      <c r="DD173">
        <v>0</v>
      </c>
      <c r="DE173">
        <v>1</v>
      </c>
      <c r="DF173">
        <v>0</v>
      </c>
      <c r="DG173">
        <v>0</v>
      </c>
      <c r="DH173"/>
      <c r="DI173">
        <f t="shared" si="129"/>
        <v>1</v>
      </c>
      <c r="DJ173" t="str">
        <f t="shared" si="130"/>
        <v>EnergyInput</v>
      </c>
      <c r="DK173">
        <f t="shared" si="131"/>
        <v>0</v>
      </c>
      <c r="DL173" t="str">
        <f t="shared" si="132"/>
        <v>Energy</v>
      </c>
      <c r="DM173">
        <f t="shared" si="133"/>
        <v>0</v>
      </c>
      <c r="DN173">
        <f t="shared" si="134"/>
        <v>0</v>
      </c>
      <c r="DO173">
        <v>0</v>
      </c>
      <c r="DP173">
        <v>1</v>
      </c>
      <c r="DQ173" t="s">
        <v>304</v>
      </c>
      <c r="DR173">
        <v>0</v>
      </c>
      <c r="DS173">
        <v>0</v>
      </c>
      <c r="DT173">
        <f t="shared" si="135"/>
        <v>1</v>
      </c>
      <c r="DU173" s="143" t="str">
        <f t="shared" si="136"/>
        <v>external DF used</v>
      </c>
      <c r="DV173">
        <v>0</v>
      </c>
      <c r="DW173">
        <v>1</v>
      </c>
      <c r="DX173">
        <v>1</v>
      </c>
      <c r="DY173">
        <v>1</v>
      </c>
      <c r="DZ173">
        <v>1</v>
      </c>
      <c r="EA173" s="143">
        <v>0</v>
      </c>
      <c r="EB173">
        <v>1</v>
      </c>
      <c r="EC173">
        <v>1</v>
      </c>
      <c r="ED173">
        <v>0</v>
      </c>
      <c r="EE173">
        <v>1</v>
      </c>
      <c r="EF173">
        <v>1</v>
      </c>
      <c r="EG173">
        <v>1</v>
      </c>
      <c r="EH173">
        <v>0</v>
      </c>
      <c r="EI173" s="2">
        <v>0</v>
      </c>
      <c r="EJ173" s="1"/>
      <c r="EK173" t="str">
        <f t="shared" si="127"/>
        <v>Whole sector</v>
      </c>
      <c r="EL173" t="str">
        <f t="shared" si="128"/>
        <v/>
      </c>
      <c r="EM173" s="2" t="str">
        <f t="shared" si="140"/>
        <v/>
      </c>
      <c r="EN173"/>
      <c r="EO173"/>
      <c r="EP173" t="str">
        <f>IF(ISNUMBER(BU173),IF(ABS(BU173-[3]QC_indicators!$B$2)&gt;3*[3]QC_indicators!$C$2,"C ratio",IF(ISNUMBER(BY173),IF(ABS(BY173-[3]QC_indicators!$B$1)&gt;3*[3]QC_indicators!$C$1,"DF","no"))),IF(ISNUMBER(BY173),IF(ABS(BY173-[3]QC_indicators!$B$1)&gt;3*[3]QC_indicators!$C$1,"DF","no")))</f>
        <v>no</v>
      </c>
      <c r="EQ173" t="s">
        <v>286</v>
      </c>
      <c r="ER173"/>
      <c r="ES173"/>
      <c r="ET173" s="264" t="s">
        <v>3272</v>
      </c>
      <c r="EU173"/>
    </row>
    <row r="174" spans="1:151" s="139" customFormat="1" ht="15" hidden="1" customHeight="1">
      <c r="A174" s="1" t="s">
        <v>265</v>
      </c>
      <c r="B174" t="s">
        <v>266</v>
      </c>
      <c r="C174" t="s">
        <v>267</v>
      </c>
      <c r="D174" t="s">
        <v>268</v>
      </c>
      <c r="E174" t="s">
        <v>269</v>
      </c>
      <c r="F174" t="s">
        <v>270</v>
      </c>
      <c r="G174" t="s">
        <v>271</v>
      </c>
      <c r="H174" t="s">
        <v>254</v>
      </c>
      <c r="I174">
        <v>2022</v>
      </c>
      <c r="J174">
        <v>0</v>
      </c>
      <c r="K174" t="s">
        <v>272</v>
      </c>
      <c r="L174"/>
      <c r="M174" t="str">
        <f t="shared" si="95"/>
        <v>Aryapratama_2022</v>
      </c>
      <c r="N174" t="s">
        <v>222</v>
      </c>
      <c r="O174" s="145" t="s">
        <v>274</v>
      </c>
      <c r="P174"/>
      <c r="Q174" t="s">
        <v>224</v>
      </c>
      <c r="R174" s="262" t="s">
        <v>223</v>
      </c>
      <c r="S174" s="263" t="s">
        <v>3104</v>
      </c>
      <c r="T174" t="s">
        <v>307</v>
      </c>
      <c r="U174" t="s">
        <v>308</v>
      </c>
      <c r="V174">
        <v>0</v>
      </c>
      <c r="W174">
        <v>0</v>
      </c>
      <c r="X174">
        <v>0</v>
      </c>
      <c r="Y174">
        <v>0</v>
      </c>
      <c r="Z174">
        <v>0</v>
      </c>
      <c r="AA174">
        <v>0</v>
      </c>
      <c r="AB174">
        <v>0</v>
      </c>
      <c r="AC174">
        <v>0</v>
      </c>
      <c r="AD174">
        <v>0</v>
      </c>
      <c r="AE174">
        <v>0</v>
      </c>
      <c r="AF174">
        <v>0</v>
      </c>
      <c r="AG174">
        <v>0</v>
      </c>
      <c r="AH174">
        <v>0</v>
      </c>
      <c r="AI174">
        <v>0</v>
      </c>
      <c r="AJ174">
        <v>0</v>
      </c>
      <c r="AK174">
        <v>1</v>
      </c>
      <c r="AL174">
        <v>0</v>
      </c>
      <c r="AM174">
        <v>0</v>
      </c>
      <c r="AN174">
        <v>0</v>
      </c>
      <c r="AO174">
        <v>0</v>
      </c>
      <c r="AP174">
        <v>0</v>
      </c>
      <c r="AQ174">
        <v>0</v>
      </c>
      <c r="AR174">
        <v>0</v>
      </c>
      <c r="AS174">
        <v>0</v>
      </c>
      <c r="AT174">
        <v>0</v>
      </c>
      <c r="AU174">
        <v>0</v>
      </c>
      <c r="AV174">
        <v>0</v>
      </c>
      <c r="AW174">
        <v>0</v>
      </c>
      <c r="AX174" s="141">
        <f t="shared" si="106"/>
        <v>1</v>
      </c>
      <c r="AY174" s="141">
        <f t="shared" si="107"/>
        <v>1</v>
      </c>
      <c r="AZ174">
        <f t="shared" si="108"/>
        <v>0</v>
      </c>
      <c r="BA174">
        <f t="shared" si="109"/>
        <v>0</v>
      </c>
      <c r="BB174">
        <f t="shared" si="110"/>
        <v>1</v>
      </c>
      <c r="BC174">
        <f t="shared" si="111"/>
        <v>0</v>
      </c>
      <c r="BD174">
        <f t="shared" si="112"/>
        <v>0</v>
      </c>
      <c r="BE174" t="str">
        <f t="array" ref="BE174">IF(AY174=1,INDEX($V$7:$AL$7,MATCH(TRUE,INDEX($V174:$AW174&lt;&gt;0,),0)),IF(AY174=0,INDEX($AM$7:$AW$7,MATCH(1,$AM174:$AW174,0)),IF(BF174="Multiple strategies","mixed drivers",IF(BF174="Supply chain","multiple supply","multiple silviculture"))))</f>
        <v>technologies/design switch</v>
      </c>
      <c r="BF174" s="2" t="str" cm="1">
        <f t="array" ref="BF174">IF(COUNTIF(AZ174:BB174,"&lt;&gt;0")=1,INDEX($V$4:$AW$4,MATCH(TRUE,INDEX($V174:$AW174&lt;&gt;0,),0)),IF(COUNTIF(AZ174:BB174,"&lt;&gt;0")=0,INDEX($AM$4:$AW$4,MATCH(1,$AM174:$AW174,0)),"Multiple strategies"))</f>
        <v>Technology</v>
      </c>
      <c r="BG174" s="1" t="s">
        <v>229</v>
      </c>
      <c r="BH174" t="s">
        <v>277</v>
      </c>
      <c r="BI174" s="264" t="s">
        <v>3105</v>
      </c>
      <c r="BJ174" t="s">
        <v>278</v>
      </c>
      <c r="BK174">
        <v>0</v>
      </c>
      <c r="BL174">
        <v>91.149512158449113</v>
      </c>
      <c r="BM174"/>
      <c r="BN174">
        <f t="shared" si="113"/>
        <v>91.149512158449113</v>
      </c>
      <c r="BO174">
        <f t="shared" si="114"/>
        <v>395.78598418779472</v>
      </c>
      <c r="BP174" t="s">
        <v>232</v>
      </c>
      <c r="BQ174" s="302" t="s">
        <v>3106</v>
      </c>
      <c r="BR174" t="s">
        <v>279</v>
      </c>
      <c r="BS174">
        <v>-155.15650615919409</v>
      </c>
      <c r="BT174">
        <v>254.21120760929861</v>
      </c>
      <c r="BU174" s="144">
        <f t="shared" si="115"/>
        <v>-1.6384179684251987</v>
      </c>
      <c r="BV174">
        <f t="shared" si="116"/>
        <v>409.36771376849271</v>
      </c>
      <c r="BW174"/>
      <c r="BX174">
        <f t="shared" si="117"/>
        <v>409.36771376849271</v>
      </c>
      <c r="BY174">
        <f t="shared" si="139"/>
        <v>1.0343158427112307</v>
      </c>
      <c r="BZ174">
        <v>0</v>
      </c>
      <c r="CA174">
        <v>0</v>
      </c>
      <c r="CB174">
        <v>0</v>
      </c>
      <c r="CC174">
        <v>0</v>
      </c>
      <c r="CD174">
        <v>0</v>
      </c>
      <c r="CE174">
        <v>0</v>
      </c>
      <c r="CF174">
        <v>0</v>
      </c>
      <c r="CG174">
        <v>0</v>
      </c>
      <c r="CH174">
        <v>0</v>
      </c>
      <c r="CI174">
        <v>0</v>
      </c>
      <c r="CJ174">
        <v>0</v>
      </c>
      <c r="CK174">
        <v>0</v>
      </c>
      <c r="CL174">
        <v>0</v>
      </c>
      <c r="CM174">
        <v>0</v>
      </c>
      <c r="CN174" t="str">
        <f t="shared" si="118"/>
        <v>refOK</v>
      </c>
      <c r="CO174">
        <f t="shared" si="137"/>
        <v>0</v>
      </c>
      <c r="CP174">
        <f t="shared" si="138"/>
        <v>91.149512158449113</v>
      </c>
      <c r="CQ174">
        <f t="shared" si="119"/>
        <v>395.78598418779472</v>
      </c>
      <c r="CR174">
        <f t="shared" si="120"/>
        <v>-155.15650615919409</v>
      </c>
      <c r="CS174">
        <f t="shared" si="121"/>
        <v>254.21120760929861</v>
      </c>
      <c r="CT174">
        <f t="shared" si="122"/>
        <v>409.36771376849271</v>
      </c>
      <c r="CU174">
        <f t="shared" si="123"/>
        <v>1.0343158427112307</v>
      </c>
      <c r="CV174" s="2">
        <f t="shared" si="124"/>
        <v>2.6384179684251987</v>
      </c>
      <c r="CW174" s="1" t="s">
        <v>234</v>
      </c>
      <c r="CX174" t="str">
        <f t="shared" si="125"/>
        <v>loc</v>
      </c>
      <c r="CY174" t="s">
        <v>280</v>
      </c>
      <c r="CZ174"/>
      <c r="DA174"/>
      <c r="DB174">
        <v>50</v>
      </c>
      <c r="DC174" t="str">
        <f t="shared" si="126"/>
        <v>31-70</v>
      </c>
      <c r="DD174">
        <v>0</v>
      </c>
      <c r="DE174">
        <v>0</v>
      </c>
      <c r="DF174">
        <v>0</v>
      </c>
      <c r="DG174">
        <v>1</v>
      </c>
      <c r="DH174"/>
      <c r="DI174">
        <f t="shared" si="129"/>
        <v>1</v>
      </c>
      <c r="DJ174" t="str">
        <f t="shared" si="130"/>
        <v>TimberInput</v>
      </c>
      <c r="DK174">
        <f t="shared" si="131"/>
        <v>0</v>
      </c>
      <c r="DL174">
        <f t="shared" si="132"/>
        <v>0</v>
      </c>
      <c r="DM174">
        <f t="shared" si="133"/>
        <v>0</v>
      </c>
      <c r="DN174" t="str">
        <f t="shared" si="134"/>
        <v>Timber</v>
      </c>
      <c r="DO174">
        <v>0</v>
      </c>
      <c r="DP174">
        <v>1</v>
      </c>
      <c r="DQ174" t="s">
        <v>304</v>
      </c>
      <c r="DR174">
        <v>0</v>
      </c>
      <c r="DS174">
        <v>0</v>
      </c>
      <c r="DT174">
        <f t="shared" si="135"/>
        <v>1</v>
      </c>
      <c r="DU174" s="143" t="str">
        <f t="shared" si="136"/>
        <v>external DF used</v>
      </c>
      <c r="DV174">
        <v>0</v>
      </c>
      <c r="DW174">
        <v>1</v>
      </c>
      <c r="DX174">
        <v>1</v>
      </c>
      <c r="DY174">
        <v>1</v>
      </c>
      <c r="DZ174">
        <v>1</v>
      </c>
      <c r="EA174" s="143">
        <v>0</v>
      </c>
      <c r="EB174">
        <v>1</v>
      </c>
      <c r="EC174">
        <v>1</v>
      </c>
      <c r="ED174">
        <v>0</v>
      </c>
      <c r="EE174">
        <v>1</v>
      </c>
      <c r="EF174">
        <v>1</v>
      </c>
      <c r="EG174">
        <v>1</v>
      </c>
      <c r="EH174">
        <v>0</v>
      </c>
      <c r="EI174" s="2">
        <v>0</v>
      </c>
      <c r="EJ174" s="1"/>
      <c r="EK174" t="str">
        <f t="shared" si="127"/>
        <v>Whole sector</v>
      </c>
      <c r="EL174" t="str">
        <f t="shared" si="128"/>
        <v/>
      </c>
      <c r="EM174" s="2" t="str">
        <f t="shared" si="140"/>
        <v/>
      </c>
      <c r="EN174"/>
      <c r="EO174"/>
      <c r="EP174" t="str">
        <f>IF(ISNUMBER(BU174),IF(ABS(BU174-[3]QC_indicators!$B$2)&gt;3*[3]QC_indicators!$C$2,"C ratio",IF(ISNUMBER(BY174),IF(ABS(BY174-[3]QC_indicators!$B$1)&gt;3*[3]QC_indicators!$C$1,"DF","no"))),IF(ISNUMBER(BY174),IF(ABS(BY174-[3]QC_indicators!$B$1)&gt;3*[3]QC_indicators!$C$1,"DF","no")))</f>
        <v>no</v>
      </c>
      <c r="EQ174" t="s">
        <v>286</v>
      </c>
      <c r="ER174" t="s">
        <v>296</v>
      </c>
      <c r="ES174"/>
      <c r="ET174" s="264" t="s">
        <v>3272</v>
      </c>
      <c r="EU174"/>
    </row>
    <row r="175" spans="1:151" s="139" customFormat="1" ht="15" hidden="1" customHeight="1">
      <c r="A175" s="1" t="s">
        <v>265</v>
      </c>
      <c r="B175" t="s">
        <v>266</v>
      </c>
      <c r="C175" t="s">
        <v>267</v>
      </c>
      <c r="D175" t="s">
        <v>268</v>
      </c>
      <c r="E175" t="s">
        <v>269</v>
      </c>
      <c r="F175" t="s">
        <v>270</v>
      </c>
      <c r="G175" t="s">
        <v>271</v>
      </c>
      <c r="H175" t="s">
        <v>254</v>
      </c>
      <c r="I175">
        <v>2022</v>
      </c>
      <c r="J175">
        <v>0</v>
      </c>
      <c r="K175" t="s">
        <v>272</v>
      </c>
      <c r="L175"/>
      <c r="M175" t="str">
        <f t="shared" si="95"/>
        <v>Aryapratama_2022</v>
      </c>
      <c r="N175" t="s">
        <v>222</v>
      </c>
      <c r="O175" s="145" t="s">
        <v>274</v>
      </c>
      <c r="P175"/>
      <c r="Q175" t="s">
        <v>224</v>
      </c>
      <c r="R175" s="262" t="s">
        <v>223</v>
      </c>
      <c r="S175" s="263" t="s">
        <v>3104</v>
      </c>
      <c r="T175" t="s">
        <v>309</v>
      </c>
      <c r="U175" t="s">
        <v>310</v>
      </c>
      <c r="V175">
        <v>0</v>
      </c>
      <c r="W175">
        <v>0</v>
      </c>
      <c r="X175">
        <v>0</v>
      </c>
      <c r="Y175">
        <v>0</v>
      </c>
      <c r="Z175">
        <v>0</v>
      </c>
      <c r="AA175">
        <v>0</v>
      </c>
      <c r="AB175">
        <v>0</v>
      </c>
      <c r="AC175">
        <v>0</v>
      </c>
      <c r="AD175">
        <v>0</v>
      </c>
      <c r="AE175">
        <v>0</v>
      </c>
      <c r="AF175">
        <v>0</v>
      </c>
      <c r="AG175">
        <v>0</v>
      </c>
      <c r="AH175">
        <v>0</v>
      </c>
      <c r="AI175">
        <v>0</v>
      </c>
      <c r="AJ175">
        <v>0</v>
      </c>
      <c r="AK175">
        <v>1</v>
      </c>
      <c r="AL175">
        <v>0</v>
      </c>
      <c r="AM175">
        <v>0</v>
      </c>
      <c r="AN175">
        <v>0</v>
      </c>
      <c r="AO175">
        <v>0</v>
      </c>
      <c r="AP175">
        <v>0</v>
      </c>
      <c r="AQ175">
        <v>0</v>
      </c>
      <c r="AR175">
        <v>0</v>
      </c>
      <c r="AS175">
        <v>0</v>
      </c>
      <c r="AT175">
        <v>0</v>
      </c>
      <c r="AU175">
        <v>0</v>
      </c>
      <c r="AV175">
        <v>0</v>
      </c>
      <c r="AW175">
        <v>0</v>
      </c>
      <c r="AX175" s="141">
        <f t="shared" si="106"/>
        <v>1</v>
      </c>
      <c r="AY175" s="141">
        <f t="shared" si="107"/>
        <v>1</v>
      </c>
      <c r="AZ175">
        <f t="shared" si="108"/>
        <v>0</v>
      </c>
      <c r="BA175">
        <f t="shared" si="109"/>
        <v>0</v>
      </c>
      <c r="BB175">
        <f t="shared" si="110"/>
        <v>1</v>
      </c>
      <c r="BC175">
        <f t="shared" si="111"/>
        <v>0</v>
      </c>
      <c r="BD175">
        <f t="shared" si="112"/>
        <v>0</v>
      </c>
      <c r="BE175" t="str">
        <f t="array" ref="BE175">IF(AY175=1,INDEX($V$7:$AL$7,MATCH(TRUE,INDEX($V175:$AW175&lt;&gt;0,),0)),IF(AY175=0,INDEX($AM$7:$AW$7,MATCH(1,$AM175:$AW175,0)),IF(BF175="Multiple strategies","mixed drivers",IF(BF175="Supply chain","multiple supply","multiple silviculture"))))</f>
        <v>technologies/design switch</v>
      </c>
      <c r="BF175" s="2" t="str" cm="1">
        <f t="array" ref="BF175">IF(COUNTIF(AZ175:BB175,"&lt;&gt;0")=1,INDEX($V$4:$AW$4,MATCH(TRUE,INDEX($V175:$AW175&lt;&gt;0,),0)),IF(COUNTIF(AZ175:BB175,"&lt;&gt;0")=0,INDEX($AM$4:$AW$4,MATCH(1,$AM175:$AW175,0)),"Multiple strategies"))</f>
        <v>Technology</v>
      </c>
      <c r="BG175" s="1" t="s">
        <v>229</v>
      </c>
      <c r="BH175" t="s">
        <v>277</v>
      </c>
      <c r="BI175" s="264" t="s">
        <v>3105</v>
      </c>
      <c r="BJ175" t="s">
        <v>278</v>
      </c>
      <c r="BK175">
        <v>0</v>
      </c>
      <c r="BL175">
        <v>57.967398381615283</v>
      </c>
      <c r="BM175"/>
      <c r="BN175">
        <f t="shared" si="113"/>
        <v>57.967398381615283</v>
      </c>
      <c r="BO175">
        <f t="shared" si="114"/>
        <v>251.70385749724397</v>
      </c>
      <c r="BP175" t="s">
        <v>232</v>
      </c>
      <c r="BQ175" s="302" t="s">
        <v>3106</v>
      </c>
      <c r="BR175" t="s">
        <v>279</v>
      </c>
      <c r="BS175">
        <v>-95.845225170043378</v>
      </c>
      <c r="BT175">
        <v>219.23948667931481</v>
      </c>
      <c r="BU175" s="144">
        <f t="shared" si="115"/>
        <v>-2.287432538140028</v>
      </c>
      <c r="BV175">
        <f t="shared" si="116"/>
        <v>315.0847118493582</v>
      </c>
      <c r="BW175"/>
      <c r="BX175">
        <f t="shared" si="117"/>
        <v>315.0847118493582</v>
      </c>
      <c r="BY175">
        <f t="shared" si="139"/>
        <v>1.2518072427746094</v>
      </c>
      <c r="BZ175">
        <v>0</v>
      </c>
      <c r="CA175">
        <v>0</v>
      </c>
      <c r="CB175">
        <v>0</v>
      </c>
      <c r="CC175">
        <v>0</v>
      </c>
      <c r="CD175">
        <v>0</v>
      </c>
      <c r="CE175">
        <v>0</v>
      </c>
      <c r="CF175">
        <v>0</v>
      </c>
      <c r="CG175">
        <v>0</v>
      </c>
      <c r="CH175">
        <v>0</v>
      </c>
      <c r="CI175">
        <v>0</v>
      </c>
      <c r="CJ175">
        <v>0</v>
      </c>
      <c r="CK175">
        <v>0</v>
      </c>
      <c r="CL175">
        <v>0</v>
      </c>
      <c r="CM175">
        <v>0</v>
      </c>
      <c r="CN175" t="str">
        <f t="shared" si="118"/>
        <v>refOK</v>
      </c>
      <c r="CO175">
        <f t="shared" si="137"/>
        <v>0</v>
      </c>
      <c r="CP175">
        <f t="shared" si="138"/>
        <v>57.967398381615283</v>
      </c>
      <c r="CQ175">
        <f t="shared" si="119"/>
        <v>251.70385749724397</v>
      </c>
      <c r="CR175">
        <f t="shared" si="120"/>
        <v>-95.845225170043378</v>
      </c>
      <c r="CS175">
        <f t="shared" si="121"/>
        <v>219.23948667931481</v>
      </c>
      <c r="CT175">
        <f t="shared" si="122"/>
        <v>315.0847118493582</v>
      </c>
      <c r="CU175">
        <f t="shared" si="123"/>
        <v>1.2518072427746094</v>
      </c>
      <c r="CV175" s="2">
        <f t="shared" si="124"/>
        <v>3.287432538140028</v>
      </c>
      <c r="CW175" s="1" t="s">
        <v>234</v>
      </c>
      <c r="CX175" t="str">
        <f t="shared" si="125"/>
        <v>loc</v>
      </c>
      <c r="CY175" t="s">
        <v>280</v>
      </c>
      <c r="CZ175"/>
      <c r="DA175"/>
      <c r="DB175">
        <v>100</v>
      </c>
      <c r="DC175" t="str">
        <f t="shared" si="126"/>
        <v>71-100</v>
      </c>
      <c r="DD175">
        <v>0</v>
      </c>
      <c r="DE175">
        <v>0</v>
      </c>
      <c r="DF175">
        <v>0</v>
      </c>
      <c r="DG175">
        <v>1</v>
      </c>
      <c r="DH175"/>
      <c r="DI175">
        <f t="shared" si="129"/>
        <v>1</v>
      </c>
      <c r="DJ175" t="str">
        <f t="shared" si="130"/>
        <v>TimberInput</v>
      </c>
      <c r="DK175">
        <f t="shared" si="131"/>
        <v>0</v>
      </c>
      <c r="DL175">
        <f t="shared" si="132"/>
        <v>0</v>
      </c>
      <c r="DM175">
        <f t="shared" si="133"/>
        <v>0</v>
      </c>
      <c r="DN175" t="str">
        <f t="shared" si="134"/>
        <v>Timber</v>
      </c>
      <c r="DO175">
        <v>0</v>
      </c>
      <c r="DP175">
        <v>1</v>
      </c>
      <c r="DQ175" t="s">
        <v>304</v>
      </c>
      <c r="DR175">
        <v>0</v>
      </c>
      <c r="DS175">
        <v>0</v>
      </c>
      <c r="DT175">
        <f t="shared" si="135"/>
        <v>1</v>
      </c>
      <c r="DU175" s="143" t="str">
        <f t="shared" si="136"/>
        <v>external DF used</v>
      </c>
      <c r="DV175">
        <v>0</v>
      </c>
      <c r="DW175">
        <v>1</v>
      </c>
      <c r="DX175">
        <v>1</v>
      </c>
      <c r="DY175">
        <v>1</v>
      </c>
      <c r="DZ175">
        <v>1</v>
      </c>
      <c r="EA175" s="143">
        <v>0</v>
      </c>
      <c r="EB175">
        <v>1</v>
      </c>
      <c r="EC175">
        <v>1</v>
      </c>
      <c r="ED175">
        <v>0</v>
      </c>
      <c r="EE175">
        <v>1</v>
      </c>
      <c r="EF175">
        <v>1</v>
      </c>
      <c r="EG175">
        <v>1</v>
      </c>
      <c r="EH175">
        <v>0</v>
      </c>
      <c r="EI175" s="2">
        <v>0</v>
      </c>
      <c r="EJ175" s="1"/>
      <c r="EK175" t="str">
        <f t="shared" si="127"/>
        <v>Whole sector</v>
      </c>
      <c r="EL175" t="str">
        <f t="shared" si="128"/>
        <v/>
      </c>
      <c r="EM175" s="2" t="str">
        <f t="shared" si="140"/>
        <v/>
      </c>
      <c r="EN175"/>
      <c r="EO175"/>
      <c r="EP175" t="str">
        <f>IF(ISNUMBER(BU175),IF(ABS(BU175-[3]QC_indicators!$B$2)&gt;3*[3]QC_indicators!$C$2,"C ratio",IF(ISNUMBER(BY175),IF(ABS(BY175-[3]QC_indicators!$B$1)&gt;3*[3]QC_indicators!$C$1,"DF","no"))),IF(ISNUMBER(BY175),IF(ABS(BY175-[3]QC_indicators!$B$1)&gt;3*[3]QC_indicators!$C$1,"DF","no")))</f>
        <v>no</v>
      </c>
      <c r="EQ175" t="s">
        <v>286</v>
      </c>
      <c r="ER175"/>
      <c r="ES175"/>
      <c r="ET175" s="264" t="s">
        <v>3272</v>
      </c>
      <c r="EU175"/>
    </row>
    <row r="176" spans="1:151" s="139" customFormat="1" ht="15" hidden="1" customHeight="1">
      <c r="A176" s="1" t="s">
        <v>265</v>
      </c>
      <c r="B176" t="s">
        <v>266</v>
      </c>
      <c r="C176" t="s">
        <v>267</v>
      </c>
      <c r="D176" t="s">
        <v>268</v>
      </c>
      <c r="E176" t="s">
        <v>269</v>
      </c>
      <c r="F176" t="s">
        <v>270</v>
      </c>
      <c r="G176" t="s">
        <v>271</v>
      </c>
      <c r="H176" t="s">
        <v>254</v>
      </c>
      <c r="I176">
        <v>2022</v>
      </c>
      <c r="J176">
        <v>0</v>
      </c>
      <c r="K176" t="s">
        <v>272</v>
      </c>
      <c r="L176"/>
      <c r="M176" t="str">
        <f t="shared" si="95"/>
        <v>Aryapratama_2022</v>
      </c>
      <c r="N176" t="s">
        <v>222</v>
      </c>
      <c r="O176" s="145" t="s">
        <v>274</v>
      </c>
      <c r="P176"/>
      <c r="Q176" t="s">
        <v>224</v>
      </c>
      <c r="R176" s="262" t="s">
        <v>223</v>
      </c>
      <c r="S176" s="263" t="s">
        <v>3104</v>
      </c>
      <c r="T176" t="s">
        <v>311</v>
      </c>
      <c r="U176" t="s">
        <v>312</v>
      </c>
      <c r="V176">
        <v>0</v>
      </c>
      <c r="W176">
        <v>0</v>
      </c>
      <c r="X176">
        <v>0</v>
      </c>
      <c r="Y176">
        <v>0</v>
      </c>
      <c r="Z176">
        <v>0</v>
      </c>
      <c r="AA176">
        <v>0</v>
      </c>
      <c r="AB176">
        <v>0</v>
      </c>
      <c r="AC176">
        <v>0</v>
      </c>
      <c r="AD176">
        <v>0</v>
      </c>
      <c r="AE176">
        <v>0</v>
      </c>
      <c r="AF176">
        <v>0</v>
      </c>
      <c r="AG176">
        <v>0</v>
      </c>
      <c r="AH176">
        <v>0</v>
      </c>
      <c r="AI176">
        <v>0</v>
      </c>
      <c r="AJ176">
        <v>0</v>
      </c>
      <c r="AK176">
        <v>1</v>
      </c>
      <c r="AL176">
        <v>0</v>
      </c>
      <c r="AM176">
        <v>0</v>
      </c>
      <c r="AN176">
        <v>0</v>
      </c>
      <c r="AO176">
        <v>0</v>
      </c>
      <c r="AP176">
        <v>0</v>
      </c>
      <c r="AQ176">
        <v>0</v>
      </c>
      <c r="AR176">
        <v>0</v>
      </c>
      <c r="AS176">
        <v>0</v>
      </c>
      <c r="AT176">
        <v>0</v>
      </c>
      <c r="AU176">
        <v>0</v>
      </c>
      <c r="AV176">
        <v>0</v>
      </c>
      <c r="AW176">
        <v>0</v>
      </c>
      <c r="AX176" s="141">
        <f t="shared" si="106"/>
        <v>1</v>
      </c>
      <c r="AY176" s="141">
        <f t="shared" si="107"/>
        <v>1</v>
      </c>
      <c r="AZ176">
        <f t="shared" si="108"/>
        <v>0</v>
      </c>
      <c r="BA176">
        <f t="shared" si="109"/>
        <v>0</v>
      </c>
      <c r="BB176">
        <f t="shared" si="110"/>
        <v>1</v>
      </c>
      <c r="BC176">
        <f t="shared" si="111"/>
        <v>0</v>
      </c>
      <c r="BD176">
        <f t="shared" si="112"/>
        <v>0</v>
      </c>
      <c r="BE176" t="str">
        <f t="array" ref="BE176">IF(AY176=1,INDEX($V$7:$AL$7,MATCH(TRUE,INDEX($V176:$AW176&lt;&gt;0,),0)),IF(AY176=0,INDEX($AM$7:$AW$7,MATCH(1,$AM176:$AW176,0)),IF(BF176="Multiple strategies","mixed drivers",IF(BF176="Supply chain","multiple supply","multiple silviculture"))))</f>
        <v>technologies/design switch</v>
      </c>
      <c r="BF176" s="2" t="str" cm="1">
        <f t="array" ref="BF176">IF(COUNTIF(AZ176:BB176,"&lt;&gt;0")=1,INDEX($V$4:$AW$4,MATCH(TRUE,INDEX($V176:$AW176&lt;&gt;0,),0)),IF(COUNTIF(AZ176:BB176,"&lt;&gt;0")=0,INDEX($AM$4:$AW$4,MATCH(1,$AM176:$AW176,0)),"Multiple strategies"))</f>
        <v>Technology</v>
      </c>
      <c r="BG176" s="1" t="s">
        <v>229</v>
      </c>
      <c r="BH176" t="s">
        <v>277</v>
      </c>
      <c r="BI176" s="264" t="s">
        <v>3105</v>
      </c>
      <c r="BJ176" t="s">
        <v>278</v>
      </c>
      <c r="BK176">
        <v>0</v>
      </c>
      <c r="BL176">
        <v>15.419381264639073</v>
      </c>
      <c r="BM176"/>
      <c r="BN176">
        <f t="shared" si="113"/>
        <v>15.419381264639073</v>
      </c>
      <c r="BO176">
        <f t="shared" si="114"/>
        <v>66.953457510373752</v>
      </c>
      <c r="BP176" t="s">
        <v>232</v>
      </c>
      <c r="BQ176" s="302" t="s">
        <v>3106</v>
      </c>
      <c r="BR176" t="s">
        <v>279</v>
      </c>
      <c r="BS176">
        <v>68.167571816623862</v>
      </c>
      <c r="BT176">
        <v>167.28412809039341</v>
      </c>
      <c r="BU176" s="144">
        <f t="shared" si="115"/>
        <v>2.4540133032815206</v>
      </c>
      <c r="BV176">
        <f t="shared" si="116"/>
        <v>99.116556273769547</v>
      </c>
      <c r="BW176"/>
      <c r="BX176">
        <f t="shared" si="117"/>
        <v>99.116556273769547</v>
      </c>
      <c r="BY176">
        <f t="shared" si="139"/>
        <v>1.4803799528711785</v>
      </c>
      <c r="BZ176">
        <v>0</v>
      </c>
      <c r="CA176">
        <v>0</v>
      </c>
      <c r="CB176">
        <v>0</v>
      </c>
      <c r="CC176">
        <v>0</v>
      </c>
      <c r="CD176">
        <v>0</v>
      </c>
      <c r="CE176">
        <v>0</v>
      </c>
      <c r="CF176">
        <v>0</v>
      </c>
      <c r="CG176">
        <v>0</v>
      </c>
      <c r="CH176">
        <v>0</v>
      </c>
      <c r="CI176">
        <v>0</v>
      </c>
      <c r="CJ176">
        <v>0</v>
      </c>
      <c r="CK176">
        <v>0</v>
      </c>
      <c r="CL176">
        <v>0</v>
      </c>
      <c r="CM176">
        <v>0</v>
      </c>
      <c r="CN176" t="str">
        <f t="shared" si="118"/>
        <v>refOK</v>
      </c>
      <c r="CO176">
        <f t="shared" si="137"/>
        <v>0</v>
      </c>
      <c r="CP176">
        <f t="shared" si="138"/>
        <v>15.419381264639073</v>
      </c>
      <c r="CQ176">
        <f t="shared" si="119"/>
        <v>66.953457510373752</v>
      </c>
      <c r="CR176">
        <f t="shared" si="120"/>
        <v>68.167571816623862</v>
      </c>
      <c r="CS176">
        <f t="shared" si="121"/>
        <v>167.28412809039341</v>
      </c>
      <c r="CT176">
        <f t="shared" si="122"/>
        <v>99.116556273769547</v>
      </c>
      <c r="CU176">
        <f t="shared" si="123"/>
        <v>1.4803799528711785</v>
      </c>
      <c r="CV176" s="2">
        <f t="shared" si="124"/>
        <v>1.4540133032815206</v>
      </c>
      <c r="CW176" s="1" t="s">
        <v>234</v>
      </c>
      <c r="CX176" t="str">
        <f t="shared" si="125"/>
        <v>loc</v>
      </c>
      <c r="CY176" t="s">
        <v>280</v>
      </c>
      <c r="CZ176"/>
      <c r="DA176"/>
      <c r="DB176">
        <v>50</v>
      </c>
      <c r="DC176" t="str">
        <f t="shared" si="126"/>
        <v>31-70</v>
      </c>
      <c r="DD176">
        <v>0</v>
      </c>
      <c r="DE176">
        <v>0</v>
      </c>
      <c r="DF176">
        <v>0</v>
      </c>
      <c r="DG176">
        <v>1</v>
      </c>
      <c r="DH176"/>
      <c r="DI176">
        <f t="shared" si="129"/>
        <v>1</v>
      </c>
      <c r="DJ176" t="str">
        <f t="shared" si="130"/>
        <v>TimberInput</v>
      </c>
      <c r="DK176">
        <f t="shared" si="131"/>
        <v>0</v>
      </c>
      <c r="DL176">
        <f t="shared" si="132"/>
        <v>0</v>
      </c>
      <c r="DM176">
        <f t="shared" si="133"/>
        <v>0</v>
      </c>
      <c r="DN176" t="str">
        <f t="shared" si="134"/>
        <v>Timber</v>
      </c>
      <c r="DO176">
        <v>0</v>
      </c>
      <c r="DP176">
        <v>1</v>
      </c>
      <c r="DQ176" t="s">
        <v>304</v>
      </c>
      <c r="DR176">
        <v>0</v>
      </c>
      <c r="DS176">
        <v>0</v>
      </c>
      <c r="DT176">
        <f t="shared" si="135"/>
        <v>1</v>
      </c>
      <c r="DU176" s="143" t="str">
        <f t="shared" si="136"/>
        <v>external DF used</v>
      </c>
      <c r="DV176">
        <v>0</v>
      </c>
      <c r="DW176">
        <v>1</v>
      </c>
      <c r="DX176">
        <v>1</v>
      </c>
      <c r="DY176">
        <v>1</v>
      </c>
      <c r="DZ176">
        <v>1</v>
      </c>
      <c r="EA176" s="143">
        <v>0</v>
      </c>
      <c r="EB176">
        <v>1</v>
      </c>
      <c r="EC176">
        <v>1</v>
      </c>
      <c r="ED176">
        <v>0</v>
      </c>
      <c r="EE176">
        <v>1</v>
      </c>
      <c r="EF176">
        <v>1</v>
      </c>
      <c r="EG176">
        <v>1</v>
      </c>
      <c r="EH176">
        <v>0</v>
      </c>
      <c r="EI176" s="2">
        <v>0</v>
      </c>
      <c r="EJ176" s="1"/>
      <c r="EK176" t="str">
        <f t="shared" si="127"/>
        <v>Whole sector</v>
      </c>
      <c r="EL176" t="str">
        <f t="shared" si="128"/>
        <v/>
      </c>
      <c r="EM176" s="2" t="str">
        <f t="shared" si="140"/>
        <v/>
      </c>
      <c r="EN176"/>
      <c r="EO176"/>
      <c r="EP176" t="str">
        <f>IF(ISNUMBER(BU176),IF(ABS(BU176-[3]QC_indicators!$B$2)&gt;3*[3]QC_indicators!$C$2,"C ratio",IF(ISNUMBER(BY176),IF(ABS(BY176-[3]QC_indicators!$B$1)&gt;3*[3]QC_indicators!$C$1,"DF","no"))),IF(ISNUMBER(BY176),IF(ABS(BY176-[3]QC_indicators!$B$1)&gt;3*[3]QC_indicators!$C$1,"DF","no")))</f>
        <v>no</v>
      </c>
      <c r="EQ176" t="s">
        <v>286</v>
      </c>
      <c r="ER176"/>
      <c r="ES176"/>
      <c r="ET176" s="264" t="s">
        <v>3272</v>
      </c>
      <c r="EU176"/>
    </row>
    <row r="177" spans="1:151" s="139" customFormat="1" ht="15" hidden="1" customHeight="1">
      <c r="A177" s="1" t="s">
        <v>265</v>
      </c>
      <c r="B177" t="s">
        <v>266</v>
      </c>
      <c r="C177" t="s">
        <v>267</v>
      </c>
      <c r="D177" t="s">
        <v>268</v>
      </c>
      <c r="E177" t="s">
        <v>269</v>
      </c>
      <c r="F177" t="s">
        <v>270</v>
      </c>
      <c r="G177" t="s">
        <v>271</v>
      </c>
      <c r="H177" t="s">
        <v>254</v>
      </c>
      <c r="I177">
        <v>2022</v>
      </c>
      <c r="J177">
        <v>0</v>
      </c>
      <c r="K177" t="s">
        <v>272</v>
      </c>
      <c r="L177"/>
      <c r="M177" t="str">
        <f t="shared" si="95"/>
        <v>Aryapratama_2022</v>
      </c>
      <c r="N177" t="s">
        <v>222</v>
      </c>
      <c r="O177" s="145" t="s">
        <v>274</v>
      </c>
      <c r="P177"/>
      <c r="Q177" t="s">
        <v>224</v>
      </c>
      <c r="R177" s="262" t="s">
        <v>223</v>
      </c>
      <c r="S177" s="263" t="s">
        <v>3104</v>
      </c>
      <c r="T177" t="s">
        <v>311</v>
      </c>
      <c r="U177" t="s">
        <v>312</v>
      </c>
      <c r="V177">
        <v>0</v>
      </c>
      <c r="W177">
        <v>0</v>
      </c>
      <c r="X177">
        <v>0</v>
      </c>
      <c r="Y177">
        <v>0</v>
      </c>
      <c r="Z177">
        <v>0</v>
      </c>
      <c r="AA177">
        <v>0</v>
      </c>
      <c r="AB177">
        <v>0</v>
      </c>
      <c r="AC177">
        <v>0</v>
      </c>
      <c r="AD177">
        <v>0</v>
      </c>
      <c r="AE177">
        <v>0</v>
      </c>
      <c r="AF177">
        <v>0</v>
      </c>
      <c r="AG177">
        <v>0</v>
      </c>
      <c r="AH177">
        <v>0</v>
      </c>
      <c r="AI177">
        <v>0</v>
      </c>
      <c r="AJ177">
        <v>0</v>
      </c>
      <c r="AK177">
        <v>1</v>
      </c>
      <c r="AL177">
        <v>0</v>
      </c>
      <c r="AM177">
        <v>0</v>
      </c>
      <c r="AN177">
        <v>0</v>
      </c>
      <c r="AO177">
        <v>0</v>
      </c>
      <c r="AP177">
        <v>0</v>
      </c>
      <c r="AQ177">
        <v>0</v>
      </c>
      <c r="AR177">
        <v>0</v>
      </c>
      <c r="AS177">
        <v>0</v>
      </c>
      <c r="AT177">
        <v>0</v>
      </c>
      <c r="AU177">
        <v>0</v>
      </c>
      <c r="AV177">
        <v>0</v>
      </c>
      <c r="AW177">
        <v>0</v>
      </c>
      <c r="AX177" s="141">
        <f t="shared" si="106"/>
        <v>1</v>
      </c>
      <c r="AY177" s="141">
        <f t="shared" si="107"/>
        <v>1</v>
      </c>
      <c r="AZ177">
        <f t="shared" si="108"/>
        <v>0</v>
      </c>
      <c r="BA177">
        <f t="shared" si="109"/>
        <v>0</v>
      </c>
      <c r="BB177">
        <f t="shared" si="110"/>
        <v>1</v>
      </c>
      <c r="BC177">
        <f t="shared" si="111"/>
        <v>0</v>
      </c>
      <c r="BD177">
        <f t="shared" si="112"/>
        <v>0</v>
      </c>
      <c r="BE177" t="str">
        <f t="array" ref="BE177">IF(AY177=1,INDEX($V$7:$AL$7,MATCH(TRUE,INDEX($V177:$AW177&lt;&gt;0,),0)),IF(AY177=0,INDEX($AM$7:$AW$7,MATCH(1,$AM177:$AW177,0)),IF(BF177="Multiple strategies","mixed drivers",IF(BF177="Supply chain","multiple supply","multiple silviculture"))))</f>
        <v>technologies/design switch</v>
      </c>
      <c r="BF177" s="2" t="str" cm="1">
        <f t="array" ref="BF177">IF(COUNTIF(AZ177:BB177,"&lt;&gt;0")=1,INDEX($V$4:$AW$4,MATCH(TRUE,INDEX($V177:$AW177&lt;&gt;0,),0)),IF(COUNTIF(AZ177:BB177,"&lt;&gt;0")=0,INDEX($AM$4:$AW$4,MATCH(1,$AM177:$AW177,0)),"Multiple strategies"))</f>
        <v>Technology</v>
      </c>
      <c r="BG177" s="1" t="s">
        <v>229</v>
      </c>
      <c r="BH177" t="s">
        <v>277</v>
      </c>
      <c r="BI177" s="264" t="s">
        <v>3105</v>
      </c>
      <c r="BJ177" t="s">
        <v>278</v>
      </c>
      <c r="BK177">
        <v>0</v>
      </c>
      <c r="BL177">
        <v>23.12907189695861</v>
      </c>
      <c r="BM177"/>
      <c r="BN177">
        <f t="shared" si="113"/>
        <v>23.12907189695861</v>
      </c>
      <c r="BO177">
        <f t="shared" si="114"/>
        <v>100.43018626556062</v>
      </c>
      <c r="BP177" t="s">
        <v>232</v>
      </c>
      <c r="BQ177" s="302" t="s">
        <v>3106</v>
      </c>
      <c r="BR177" t="s">
        <v>279</v>
      </c>
      <c r="BS177">
        <v>152.02211024415089</v>
      </c>
      <c r="BT177">
        <v>354.30409954781243</v>
      </c>
      <c r="BU177" s="144">
        <f t="shared" si="115"/>
        <v>2.3306090079843789</v>
      </c>
      <c r="BV177">
        <f t="shared" si="116"/>
        <v>202.28198930366153</v>
      </c>
      <c r="BW177"/>
      <c r="BX177">
        <f t="shared" si="117"/>
        <v>202.28198930366153</v>
      </c>
      <c r="BY177">
        <f t="shared" si="139"/>
        <v>2.0141552736821695</v>
      </c>
      <c r="BZ177">
        <v>0</v>
      </c>
      <c r="CA177">
        <v>0</v>
      </c>
      <c r="CB177">
        <v>0</v>
      </c>
      <c r="CC177">
        <v>0</v>
      </c>
      <c r="CD177">
        <v>0</v>
      </c>
      <c r="CE177">
        <v>0</v>
      </c>
      <c r="CF177">
        <v>0</v>
      </c>
      <c r="CG177">
        <v>0</v>
      </c>
      <c r="CH177">
        <v>0</v>
      </c>
      <c r="CI177">
        <v>0</v>
      </c>
      <c r="CJ177">
        <v>0</v>
      </c>
      <c r="CK177">
        <v>0</v>
      </c>
      <c r="CL177">
        <v>0</v>
      </c>
      <c r="CM177">
        <v>0</v>
      </c>
      <c r="CN177" t="str">
        <f t="shared" si="118"/>
        <v>refOK</v>
      </c>
      <c r="CO177">
        <f t="shared" si="137"/>
        <v>0</v>
      </c>
      <c r="CP177">
        <f t="shared" si="138"/>
        <v>23.12907189695861</v>
      </c>
      <c r="CQ177">
        <f t="shared" si="119"/>
        <v>100.43018626556062</v>
      </c>
      <c r="CR177">
        <f t="shared" si="120"/>
        <v>152.02211024415089</v>
      </c>
      <c r="CS177">
        <f t="shared" si="121"/>
        <v>354.30409954781243</v>
      </c>
      <c r="CT177">
        <f t="shared" si="122"/>
        <v>202.28198930366153</v>
      </c>
      <c r="CU177">
        <f t="shared" si="123"/>
        <v>2.0141552736821695</v>
      </c>
      <c r="CV177" s="2">
        <f t="shared" si="124"/>
        <v>1.3306090079843791</v>
      </c>
      <c r="CW177" s="1" t="s">
        <v>234</v>
      </c>
      <c r="CX177" t="str">
        <f t="shared" si="125"/>
        <v>loc</v>
      </c>
      <c r="CY177" t="s">
        <v>280</v>
      </c>
      <c r="CZ177"/>
      <c r="DA177"/>
      <c r="DB177">
        <v>100</v>
      </c>
      <c r="DC177" t="str">
        <f t="shared" si="126"/>
        <v>71-100</v>
      </c>
      <c r="DD177">
        <v>0</v>
      </c>
      <c r="DE177">
        <v>0</v>
      </c>
      <c r="DF177">
        <v>0</v>
      </c>
      <c r="DG177">
        <v>1</v>
      </c>
      <c r="DH177"/>
      <c r="DI177">
        <f t="shared" si="129"/>
        <v>1</v>
      </c>
      <c r="DJ177" t="str">
        <f t="shared" si="130"/>
        <v>TimberInput</v>
      </c>
      <c r="DK177">
        <f t="shared" si="131"/>
        <v>0</v>
      </c>
      <c r="DL177">
        <f t="shared" si="132"/>
        <v>0</v>
      </c>
      <c r="DM177">
        <f t="shared" si="133"/>
        <v>0</v>
      </c>
      <c r="DN177" t="str">
        <f t="shared" si="134"/>
        <v>Timber</v>
      </c>
      <c r="DO177">
        <v>0</v>
      </c>
      <c r="DP177">
        <v>1</v>
      </c>
      <c r="DQ177" t="s">
        <v>304</v>
      </c>
      <c r="DR177">
        <v>0</v>
      </c>
      <c r="DS177">
        <v>0</v>
      </c>
      <c r="DT177">
        <f t="shared" si="135"/>
        <v>1</v>
      </c>
      <c r="DU177" s="143" t="str">
        <f t="shared" si="136"/>
        <v>external DF used</v>
      </c>
      <c r="DV177">
        <v>0</v>
      </c>
      <c r="DW177">
        <v>1</v>
      </c>
      <c r="DX177">
        <v>1</v>
      </c>
      <c r="DY177">
        <v>1</v>
      </c>
      <c r="DZ177">
        <v>1</v>
      </c>
      <c r="EA177" s="143">
        <v>0</v>
      </c>
      <c r="EB177">
        <v>1</v>
      </c>
      <c r="EC177">
        <v>1</v>
      </c>
      <c r="ED177">
        <v>0</v>
      </c>
      <c r="EE177">
        <v>1</v>
      </c>
      <c r="EF177">
        <v>1</v>
      </c>
      <c r="EG177">
        <v>1</v>
      </c>
      <c r="EH177">
        <v>0</v>
      </c>
      <c r="EI177" s="2">
        <v>0</v>
      </c>
      <c r="EJ177" s="1"/>
      <c r="EK177" t="str">
        <f t="shared" si="127"/>
        <v>Whole sector</v>
      </c>
      <c r="EL177" t="str">
        <f t="shared" si="128"/>
        <v/>
      </c>
      <c r="EM177" s="2" t="str">
        <f t="shared" si="140"/>
        <v/>
      </c>
      <c r="EN177"/>
      <c r="EO177"/>
      <c r="EP177" t="str">
        <f>IF(ISNUMBER(BU177),IF(ABS(BU177-[3]QC_indicators!$B$2)&gt;3*[3]QC_indicators!$C$2,"C ratio",IF(ISNUMBER(BY177),IF(ABS(BY177-[3]QC_indicators!$B$1)&gt;3*[3]QC_indicators!$C$1,"DF","no"))),IF(ISNUMBER(BY177),IF(ABS(BY177-[3]QC_indicators!$B$1)&gt;3*[3]QC_indicators!$C$1,"DF","no")))</f>
        <v>no</v>
      </c>
      <c r="EQ177" t="s">
        <v>286</v>
      </c>
      <c r="ER177"/>
      <c r="ES177"/>
      <c r="ET177" s="264" t="s">
        <v>3272</v>
      </c>
      <c r="EU177"/>
    </row>
    <row r="178" spans="1:151" s="139" customFormat="1" ht="15" hidden="1" customHeight="1">
      <c r="A178" s="1" t="s">
        <v>265</v>
      </c>
      <c r="B178" t="s">
        <v>266</v>
      </c>
      <c r="C178" t="s">
        <v>267</v>
      </c>
      <c r="D178" t="s">
        <v>268</v>
      </c>
      <c r="E178" t="s">
        <v>269</v>
      </c>
      <c r="F178" t="s">
        <v>270</v>
      </c>
      <c r="G178" t="s">
        <v>271</v>
      </c>
      <c r="H178" t="s">
        <v>254</v>
      </c>
      <c r="I178">
        <v>2022</v>
      </c>
      <c r="J178">
        <v>0</v>
      </c>
      <c r="K178" t="s">
        <v>272</v>
      </c>
      <c r="L178"/>
      <c r="M178" t="str">
        <f t="shared" si="95"/>
        <v>Aryapratama_2022</v>
      </c>
      <c r="N178" t="s">
        <v>222</v>
      </c>
      <c r="O178" s="145" t="s">
        <v>274</v>
      </c>
      <c r="P178"/>
      <c r="Q178" t="s">
        <v>224</v>
      </c>
      <c r="R178" s="262" t="s">
        <v>223</v>
      </c>
      <c r="S178" s="263" t="s">
        <v>3104</v>
      </c>
      <c r="T178" t="s">
        <v>311</v>
      </c>
      <c r="U178" t="s">
        <v>312</v>
      </c>
      <c r="V178">
        <v>0</v>
      </c>
      <c r="W178">
        <v>0</v>
      </c>
      <c r="X178">
        <v>0</v>
      </c>
      <c r="Y178">
        <v>0</v>
      </c>
      <c r="Z178">
        <v>0</v>
      </c>
      <c r="AA178">
        <v>0</v>
      </c>
      <c r="AB178">
        <v>0</v>
      </c>
      <c r="AC178">
        <v>0</v>
      </c>
      <c r="AD178">
        <v>0</v>
      </c>
      <c r="AE178">
        <v>0</v>
      </c>
      <c r="AF178">
        <v>0</v>
      </c>
      <c r="AG178">
        <v>0</v>
      </c>
      <c r="AH178">
        <v>0</v>
      </c>
      <c r="AI178">
        <v>0</v>
      </c>
      <c r="AJ178">
        <v>0</v>
      </c>
      <c r="AK178">
        <v>1</v>
      </c>
      <c r="AL178">
        <v>0</v>
      </c>
      <c r="AM178">
        <v>0</v>
      </c>
      <c r="AN178">
        <v>0</v>
      </c>
      <c r="AO178">
        <v>0</v>
      </c>
      <c r="AP178">
        <v>0</v>
      </c>
      <c r="AQ178">
        <v>0</v>
      </c>
      <c r="AR178">
        <v>0</v>
      </c>
      <c r="AS178">
        <v>0</v>
      </c>
      <c r="AT178">
        <v>0</v>
      </c>
      <c r="AU178">
        <v>0</v>
      </c>
      <c r="AV178">
        <v>0</v>
      </c>
      <c r="AW178">
        <v>0</v>
      </c>
      <c r="AX178" s="141">
        <f t="shared" si="106"/>
        <v>1</v>
      </c>
      <c r="AY178" s="141">
        <f t="shared" si="107"/>
        <v>1</v>
      </c>
      <c r="AZ178">
        <f t="shared" si="108"/>
        <v>0</v>
      </c>
      <c r="BA178">
        <f t="shared" si="109"/>
        <v>0</v>
      </c>
      <c r="BB178">
        <f t="shared" si="110"/>
        <v>1</v>
      </c>
      <c r="BC178">
        <f t="shared" si="111"/>
        <v>0</v>
      </c>
      <c r="BD178">
        <f t="shared" si="112"/>
        <v>0</v>
      </c>
      <c r="BE178" t="str">
        <f t="array" ref="BE178">IF(AY178=1,INDEX($V$7:$AL$7,MATCH(TRUE,INDEX($V178:$AW178&lt;&gt;0,),0)),IF(AY178=0,INDEX($AM$7:$AW$7,MATCH(1,$AM178:$AW178,0)),IF(BF178="Multiple strategies","mixed drivers",IF(BF178="Supply chain","multiple supply","multiple silviculture"))))</f>
        <v>technologies/design switch</v>
      </c>
      <c r="BF178" s="2" t="str" cm="1">
        <f t="array" ref="BF178">IF(COUNTIF(AZ178:BB178,"&lt;&gt;0")=1,INDEX($V$4:$AW$4,MATCH(TRUE,INDEX($V178:$AW178&lt;&gt;0,),0)),IF(COUNTIF(AZ178:BB178,"&lt;&gt;0")=0,INDEX($AM$4:$AW$4,MATCH(1,$AM178:$AW178,0)),"Multiple strategies"))</f>
        <v>Technology</v>
      </c>
      <c r="BG178" s="1" t="s">
        <v>229</v>
      </c>
      <c r="BH178" t="s">
        <v>277</v>
      </c>
      <c r="BI178" s="264" t="s">
        <v>3105</v>
      </c>
      <c r="BJ178" t="s">
        <v>278</v>
      </c>
      <c r="BK178">
        <v>0</v>
      </c>
      <c r="BL178">
        <v>46.25814379391722</v>
      </c>
      <c r="BM178"/>
      <c r="BN178">
        <f t="shared" si="113"/>
        <v>46.25814379391722</v>
      </c>
      <c r="BO178">
        <f t="shared" si="114"/>
        <v>200.86037253112124</v>
      </c>
      <c r="BP178" t="s">
        <v>232</v>
      </c>
      <c r="BQ178" s="302" t="s">
        <v>3106</v>
      </c>
      <c r="BR178" t="s">
        <v>279</v>
      </c>
      <c r="BS178">
        <v>316.56191500133059</v>
      </c>
      <c r="BT178">
        <v>726.845318289901</v>
      </c>
      <c r="BU178" s="144">
        <f t="shared" si="115"/>
        <v>2.2960605298551022</v>
      </c>
      <c r="BV178">
        <f t="shared" si="116"/>
        <v>410.28340328857041</v>
      </c>
      <c r="BW178"/>
      <c r="BX178">
        <f t="shared" si="117"/>
        <v>410.28340328857041</v>
      </c>
      <c r="BY178">
        <f t="shared" si="139"/>
        <v>2.0426299031432955</v>
      </c>
      <c r="BZ178">
        <v>0</v>
      </c>
      <c r="CA178">
        <v>0</v>
      </c>
      <c r="CB178">
        <v>0</v>
      </c>
      <c r="CC178">
        <v>0</v>
      </c>
      <c r="CD178">
        <v>0</v>
      </c>
      <c r="CE178">
        <v>0</v>
      </c>
      <c r="CF178">
        <v>0</v>
      </c>
      <c r="CG178">
        <v>0</v>
      </c>
      <c r="CH178">
        <v>0</v>
      </c>
      <c r="CI178">
        <v>0</v>
      </c>
      <c r="CJ178">
        <v>0</v>
      </c>
      <c r="CK178">
        <v>0</v>
      </c>
      <c r="CL178">
        <v>0</v>
      </c>
      <c r="CM178">
        <v>0</v>
      </c>
      <c r="CN178" t="str">
        <f t="shared" si="118"/>
        <v>refOK</v>
      </c>
      <c r="CO178">
        <f t="shared" si="137"/>
        <v>0</v>
      </c>
      <c r="CP178">
        <f t="shared" si="138"/>
        <v>46.25814379391722</v>
      </c>
      <c r="CQ178">
        <f t="shared" si="119"/>
        <v>200.86037253112124</v>
      </c>
      <c r="CR178">
        <f t="shared" si="120"/>
        <v>316.56191500133059</v>
      </c>
      <c r="CS178">
        <f t="shared" si="121"/>
        <v>726.845318289901</v>
      </c>
      <c r="CT178">
        <f t="shared" si="122"/>
        <v>410.28340328857041</v>
      </c>
      <c r="CU178">
        <f t="shared" si="123"/>
        <v>2.0426299031432955</v>
      </c>
      <c r="CV178" s="2">
        <f t="shared" si="124"/>
        <v>1.2960605298551025</v>
      </c>
      <c r="CW178" s="1" t="s">
        <v>234</v>
      </c>
      <c r="CX178" t="str">
        <f t="shared" si="125"/>
        <v>loc</v>
      </c>
      <c r="CY178" t="s">
        <v>280</v>
      </c>
      <c r="CZ178"/>
      <c r="DA178"/>
      <c r="DB178">
        <v>200</v>
      </c>
      <c r="DC178" t="str">
        <f t="shared" si="126"/>
        <v>+100</v>
      </c>
      <c r="DD178">
        <v>0</v>
      </c>
      <c r="DE178">
        <v>0</v>
      </c>
      <c r="DF178">
        <v>0</v>
      </c>
      <c r="DG178">
        <v>1</v>
      </c>
      <c r="DH178"/>
      <c r="DI178">
        <f t="shared" si="129"/>
        <v>1</v>
      </c>
      <c r="DJ178" t="str">
        <f t="shared" si="130"/>
        <v>TimberInput</v>
      </c>
      <c r="DK178">
        <f t="shared" si="131"/>
        <v>0</v>
      </c>
      <c r="DL178">
        <f t="shared" si="132"/>
        <v>0</v>
      </c>
      <c r="DM178">
        <f t="shared" si="133"/>
        <v>0</v>
      </c>
      <c r="DN178" t="str">
        <f t="shared" si="134"/>
        <v>Timber</v>
      </c>
      <c r="DO178">
        <v>0</v>
      </c>
      <c r="DP178">
        <v>1</v>
      </c>
      <c r="DQ178" t="s">
        <v>304</v>
      </c>
      <c r="DR178">
        <v>0</v>
      </c>
      <c r="DS178">
        <v>0</v>
      </c>
      <c r="DT178">
        <f t="shared" si="135"/>
        <v>1</v>
      </c>
      <c r="DU178" s="143" t="str">
        <f t="shared" si="136"/>
        <v>external DF used</v>
      </c>
      <c r="DV178">
        <v>0</v>
      </c>
      <c r="DW178">
        <v>1</v>
      </c>
      <c r="DX178">
        <v>1</v>
      </c>
      <c r="DY178">
        <v>1</v>
      </c>
      <c r="DZ178">
        <v>1</v>
      </c>
      <c r="EA178" s="143">
        <v>0</v>
      </c>
      <c r="EB178">
        <v>1</v>
      </c>
      <c r="EC178">
        <v>1</v>
      </c>
      <c r="ED178">
        <v>0</v>
      </c>
      <c r="EE178">
        <v>1</v>
      </c>
      <c r="EF178">
        <v>1</v>
      </c>
      <c r="EG178">
        <v>1</v>
      </c>
      <c r="EH178">
        <v>0</v>
      </c>
      <c r="EI178" s="2">
        <v>0</v>
      </c>
      <c r="EJ178" s="1"/>
      <c r="EK178" t="str">
        <f t="shared" si="127"/>
        <v>Whole sector</v>
      </c>
      <c r="EL178" t="str">
        <f t="shared" si="128"/>
        <v/>
      </c>
      <c r="EM178" s="2" t="str">
        <f t="shared" si="140"/>
        <v/>
      </c>
      <c r="EN178"/>
      <c r="EO178"/>
      <c r="EP178" t="str">
        <f>IF(ISNUMBER(BU178),IF(ABS(BU178-[3]QC_indicators!$B$2)&gt;3*[3]QC_indicators!$C$2,"C ratio",IF(ISNUMBER(BY178),IF(ABS(BY178-[3]QC_indicators!$B$1)&gt;3*[3]QC_indicators!$C$1,"DF","no"))),IF(ISNUMBER(BY178),IF(ABS(BY178-[3]QC_indicators!$B$1)&gt;3*[3]QC_indicators!$C$1,"DF","no")))</f>
        <v>no</v>
      </c>
      <c r="EQ178" t="s">
        <v>286</v>
      </c>
      <c r="ER178"/>
      <c r="ES178"/>
      <c r="ET178" s="264" t="s">
        <v>3272</v>
      </c>
      <c r="EU178"/>
    </row>
    <row r="179" spans="1:151" s="139" customFormat="1" ht="15" hidden="1" customHeight="1">
      <c r="A179" s="1" t="s">
        <v>265</v>
      </c>
      <c r="B179" t="s">
        <v>266</v>
      </c>
      <c r="C179" t="s">
        <v>267</v>
      </c>
      <c r="D179" t="s">
        <v>268</v>
      </c>
      <c r="E179" t="s">
        <v>269</v>
      </c>
      <c r="F179" t="s">
        <v>270</v>
      </c>
      <c r="G179" t="s">
        <v>271</v>
      </c>
      <c r="H179" t="s">
        <v>254</v>
      </c>
      <c r="I179">
        <v>2022</v>
      </c>
      <c r="J179">
        <v>0</v>
      </c>
      <c r="K179" t="s">
        <v>272</v>
      </c>
      <c r="L179"/>
      <c r="M179" t="str">
        <f t="shared" si="95"/>
        <v>Aryapratama_2022</v>
      </c>
      <c r="N179" t="s">
        <v>222</v>
      </c>
      <c r="O179" s="145" t="s">
        <v>274</v>
      </c>
      <c r="P179"/>
      <c r="Q179" t="s">
        <v>224</v>
      </c>
      <c r="R179" s="262" t="s">
        <v>223</v>
      </c>
      <c r="S179" s="263" t="s">
        <v>3104</v>
      </c>
      <c r="T179" t="s">
        <v>313</v>
      </c>
      <c r="U179" t="s">
        <v>283</v>
      </c>
      <c r="V179">
        <v>0</v>
      </c>
      <c r="W179">
        <v>0</v>
      </c>
      <c r="X179">
        <v>0</v>
      </c>
      <c r="Y179">
        <v>0</v>
      </c>
      <c r="Z179">
        <v>0</v>
      </c>
      <c r="AA179">
        <v>0</v>
      </c>
      <c r="AB179">
        <v>0</v>
      </c>
      <c r="AC179">
        <v>0</v>
      </c>
      <c r="AD179">
        <v>0</v>
      </c>
      <c r="AE179">
        <v>0</v>
      </c>
      <c r="AF179">
        <v>0</v>
      </c>
      <c r="AG179">
        <v>0</v>
      </c>
      <c r="AH179">
        <v>0</v>
      </c>
      <c r="AI179">
        <v>0</v>
      </c>
      <c r="AJ179">
        <v>0</v>
      </c>
      <c r="AK179">
        <v>1</v>
      </c>
      <c r="AL179">
        <v>0</v>
      </c>
      <c r="AM179">
        <v>0</v>
      </c>
      <c r="AN179">
        <v>0</v>
      </c>
      <c r="AO179">
        <v>0</v>
      </c>
      <c r="AP179">
        <v>0</v>
      </c>
      <c r="AQ179">
        <v>0</v>
      </c>
      <c r="AR179">
        <v>0</v>
      </c>
      <c r="AS179">
        <v>0</v>
      </c>
      <c r="AT179">
        <v>0</v>
      </c>
      <c r="AU179">
        <v>0</v>
      </c>
      <c r="AV179">
        <v>0</v>
      </c>
      <c r="AW179">
        <v>0</v>
      </c>
      <c r="AX179" s="141">
        <f t="shared" si="106"/>
        <v>1</v>
      </c>
      <c r="AY179" s="141">
        <f t="shared" si="107"/>
        <v>1</v>
      </c>
      <c r="AZ179">
        <f t="shared" si="108"/>
        <v>0</v>
      </c>
      <c r="BA179">
        <f t="shared" si="109"/>
        <v>0</v>
      </c>
      <c r="BB179">
        <f t="shared" si="110"/>
        <v>1</v>
      </c>
      <c r="BC179">
        <f t="shared" si="111"/>
        <v>0</v>
      </c>
      <c r="BD179">
        <f t="shared" si="112"/>
        <v>0</v>
      </c>
      <c r="BE179" t="str">
        <f t="array" ref="BE179">IF(AY179=1,INDEX($V$7:$AL$7,MATCH(TRUE,INDEX($V179:$AW179&lt;&gt;0,),0)),IF(AY179=0,INDEX($AM$7:$AW$7,MATCH(1,$AM179:$AW179,0)),IF(BF179="Multiple strategies","mixed drivers",IF(BF179="Supply chain","multiple supply","multiple silviculture"))))</f>
        <v>technologies/design switch</v>
      </c>
      <c r="BF179" s="2" t="str" cm="1">
        <f t="array" ref="BF179">IF(COUNTIF(AZ179:BB179,"&lt;&gt;0")=1,INDEX($V$4:$AW$4,MATCH(TRUE,INDEX($V179:$AW179&lt;&gt;0,),0)),IF(COUNTIF(AZ179:BB179,"&lt;&gt;0")=0,INDEX($AM$4:$AW$4,MATCH(1,$AM179:$AW179,0)),"Multiple strategies"))</f>
        <v>Technology</v>
      </c>
      <c r="BG179" s="1" t="s">
        <v>229</v>
      </c>
      <c r="BH179" t="s">
        <v>277</v>
      </c>
      <c r="BI179" s="264" t="s">
        <v>3105</v>
      </c>
      <c r="BJ179" t="s">
        <v>278</v>
      </c>
      <c r="BK179">
        <v>0</v>
      </c>
      <c r="BL179">
        <v>11.564535948479303</v>
      </c>
      <c r="BM179"/>
      <c r="BN179">
        <f t="shared" si="113"/>
        <v>11.564535948479303</v>
      </c>
      <c r="BO179">
        <f t="shared" si="114"/>
        <v>50.215093132780304</v>
      </c>
      <c r="BP179" t="s">
        <v>232</v>
      </c>
      <c r="BQ179" s="302" t="s">
        <v>3106</v>
      </c>
      <c r="BR179" t="s">
        <v>279</v>
      </c>
      <c r="BS179">
        <v>75.991198542896527</v>
      </c>
      <c r="BT179">
        <v>185.09042564065231</v>
      </c>
      <c r="BU179" s="144">
        <f t="shared" si="115"/>
        <v>2.4356824104592851</v>
      </c>
      <c r="BV179">
        <f t="shared" si="116"/>
        <v>109.09922709775579</v>
      </c>
      <c r="BW179"/>
      <c r="BX179">
        <f t="shared" si="117"/>
        <v>109.09922709775579</v>
      </c>
      <c r="BY179">
        <f t="shared" si="139"/>
        <v>2.1726381510290587</v>
      </c>
      <c r="BZ179">
        <v>0</v>
      </c>
      <c r="CA179">
        <v>0</v>
      </c>
      <c r="CB179">
        <v>0</v>
      </c>
      <c r="CC179">
        <v>0</v>
      </c>
      <c r="CD179">
        <v>0</v>
      </c>
      <c r="CE179">
        <v>0</v>
      </c>
      <c r="CF179">
        <v>0</v>
      </c>
      <c r="CG179">
        <v>0</v>
      </c>
      <c r="CH179">
        <v>0</v>
      </c>
      <c r="CI179">
        <v>0</v>
      </c>
      <c r="CJ179">
        <v>0</v>
      </c>
      <c r="CK179">
        <v>0</v>
      </c>
      <c r="CL179">
        <v>0</v>
      </c>
      <c r="CM179">
        <v>0</v>
      </c>
      <c r="CN179" t="str">
        <f t="shared" si="118"/>
        <v>refOK</v>
      </c>
      <c r="CO179">
        <f t="shared" si="137"/>
        <v>0</v>
      </c>
      <c r="CP179">
        <f t="shared" si="138"/>
        <v>11.564535948479303</v>
      </c>
      <c r="CQ179">
        <f t="shared" si="119"/>
        <v>50.215093132780304</v>
      </c>
      <c r="CR179">
        <f t="shared" si="120"/>
        <v>75.991198542896527</v>
      </c>
      <c r="CS179">
        <f t="shared" si="121"/>
        <v>185.09042564065231</v>
      </c>
      <c r="CT179">
        <f t="shared" si="122"/>
        <v>109.09922709775579</v>
      </c>
      <c r="CU179">
        <f t="shared" si="123"/>
        <v>2.1726381510290587</v>
      </c>
      <c r="CV179" s="2">
        <f t="shared" si="124"/>
        <v>1.4356824104592849</v>
      </c>
      <c r="CW179" s="1" t="s">
        <v>234</v>
      </c>
      <c r="CX179" t="str">
        <f t="shared" si="125"/>
        <v>loc</v>
      </c>
      <c r="CY179" t="s">
        <v>280</v>
      </c>
      <c r="CZ179"/>
      <c r="DA179"/>
      <c r="DB179">
        <v>50</v>
      </c>
      <c r="DC179" t="str">
        <f t="shared" si="126"/>
        <v>31-70</v>
      </c>
      <c r="DD179">
        <v>0</v>
      </c>
      <c r="DE179">
        <v>0</v>
      </c>
      <c r="DF179">
        <v>0</v>
      </c>
      <c r="DG179">
        <v>1</v>
      </c>
      <c r="DH179"/>
      <c r="DI179">
        <f t="shared" si="129"/>
        <v>1</v>
      </c>
      <c r="DJ179" t="str">
        <f t="shared" si="130"/>
        <v>TimberInput</v>
      </c>
      <c r="DK179">
        <f t="shared" si="131"/>
        <v>0</v>
      </c>
      <c r="DL179">
        <f t="shared" si="132"/>
        <v>0</v>
      </c>
      <c r="DM179">
        <f t="shared" si="133"/>
        <v>0</v>
      </c>
      <c r="DN179" t="str">
        <f t="shared" si="134"/>
        <v>Timber</v>
      </c>
      <c r="DO179">
        <v>0</v>
      </c>
      <c r="DP179">
        <v>1</v>
      </c>
      <c r="DQ179">
        <v>0</v>
      </c>
      <c r="DR179" t="s">
        <v>281</v>
      </c>
      <c r="DS179">
        <v>0</v>
      </c>
      <c r="DT179">
        <f t="shared" si="135"/>
        <v>1</v>
      </c>
      <c r="DU179" s="143" t="str">
        <f t="shared" si="136"/>
        <v>external DF used</v>
      </c>
      <c r="DV179">
        <v>0</v>
      </c>
      <c r="DW179">
        <v>1</v>
      </c>
      <c r="DX179">
        <v>1</v>
      </c>
      <c r="DY179">
        <v>1</v>
      </c>
      <c r="DZ179">
        <v>1</v>
      </c>
      <c r="EA179" s="143">
        <v>0</v>
      </c>
      <c r="EB179">
        <v>1</v>
      </c>
      <c r="EC179">
        <v>1</v>
      </c>
      <c r="ED179">
        <v>0</v>
      </c>
      <c r="EE179">
        <v>1</v>
      </c>
      <c r="EF179">
        <v>1</v>
      </c>
      <c r="EG179">
        <v>1</v>
      </c>
      <c r="EH179">
        <v>0</v>
      </c>
      <c r="EI179" s="2">
        <v>0</v>
      </c>
      <c r="EJ179" s="1"/>
      <c r="EK179" t="str">
        <f t="shared" si="127"/>
        <v>Whole sector</v>
      </c>
      <c r="EL179" t="str">
        <f t="shared" si="128"/>
        <v/>
      </c>
      <c r="EM179" s="2" t="str">
        <f t="shared" si="140"/>
        <v/>
      </c>
      <c r="EN179"/>
      <c r="EO179"/>
      <c r="EP179" t="str">
        <f>IF(ISNUMBER(BU179),IF(ABS(BU179-[3]QC_indicators!$B$2)&gt;3*[3]QC_indicators!$C$2,"C ratio",IF(ISNUMBER(BY179),IF(ABS(BY179-[3]QC_indicators!$B$1)&gt;3*[3]QC_indicators!$C$1,"DF","no"))),IF(ISNUMBER(BY179),IF(ABS(BY179-[3]QC_indicators!$B$1)&gt;3*[3]QC_indicators!$C$1,"DF","no")))</f>
        <v>no</v>
      </c>
      <c r="EQ179" t="s">
        <v>286</v>
      </c>
      <c r="ER179"/>
      <c r="ES179"/>
      <c r="ET179" s="264" t="s">
        <v>3272</v>
      </c>
      <c r="EU179"/>
    </row>
    <row r="180" spans="1:151" s="139" customFormat="1" ht="15" hidden="1" customHeight="1">
      <c r="A180" s="1" t="s">
        <v>265</v>
      </c>
      <c r="B180" t="s">
        <v>266</v>
      </c>
      <c r="C180" t="s">
        <v>267</v>
      </c>
      <c r="D180" t="s">
        <v>268</v>
      </c>
      <c r="E180" t="s">
        <v>269</v>
      </c>
      <c r="F180" t="s">
        <v>270</v>
      </c>
      <c r="G180" t="s">
        <v>271</v>
      </c>
      <c r="H180" t="s">
        <v>254</v>
      </c>
      <c r="I180">
        <v>2022</v>
      </c>
      <c r="J180">
        <v>0</v>
      </c>
      <c r="K180" t="s">
        <v>272</v>
      </c>
      <c r="L180"/>
      <c r="M180" t="str">
        <f t="shared" si="95"/>
        <v>Aryapratama_2022</v>
      </c>
      <c r="N180" t="s">
        <v>222</v>
      </c>
      <c r="O180" s="145" t="s">
        <v>274</v>
      </c>
      <c r="P180"/>
      <c r="Q180" t="s">
        <v>224</v>
      </c>
      <c r="R180" s="262" t="s">
        <v>223</v>
      </c>
      <c r="S180" s="263" t="s">
        <v>3104</v>
      </c>
      <c r="T180" t="s">
        <v>313</v>
      </c>
      <c r="U180" t="s">
        <v>283</v>
      </c>
      <c r="V180">
        <v>0</v>
      </c>
      <c r="W180">
        <v>0</v>
      </c>
      <c r="X180">
        <v>0</v>
      </c>
      <c r="Y180">
        <v>0</v>
      </c>
      <c r="Z180">
        <v>0</v>
      </c>
      <c r="AA180">
        <v>0</v>
      </c>
      <c r="AB180">
        <v>0</v>
      </c>
      <c r="AC180">
        <v>0</v>
      </c>
      <c r="AD180">
        <v>0</v>
      </c>
      <c r="AE180">
        <v>0</v>
      </c>
      <c r="AF180">
        <v>0</v>
      </c>
      <c r="AG180">
        <v>0</v>
      </c>
      <c r="AH180">
        <v>0</v>
      </c>
      <c r="AI180">
        <v>0</v>
      </c>
      <c r="AJ180">
        <v>0</v>
      </c>
      <c r="AK180">
        <v>1</v>
      </c>
      <c r="AL180">
        <v>0</v>
      </c>
      <c r="AM180">
        <v>0</v>
      </c>
      <c r="AN180">
        <v>0</v>
      </c>
      <c r="AO180">
        <v>0</v>
      </c>
      <c r="AP180">
        <v>0</v>
      </c>
      <c r="AQ180">
        <v>0</v>
      </c>
      <c r="AR180">
        <v>0</v>
      </c>
      <c r="AS180">
        <v>0</v>
      </c>
      <c r="AT180">
        <v>0</v>
      </c>
      <c r="AU180">
        <v>0</v>
      </c>
      <c r="AV180">
        <v>0</v>
      </c>
      <c r="AW180">
        <v>0</v>
      </c>
      <c r="AX180" s="141">
        <f t="shared" si="106"/>
        <v>1</v>
      </c>
      <c r="AY180" s="141">
        <f t="shared" si="107"/>
        <v>1</v>
      </c>
      <c r="AZ180">
        <f t="shared" si="108"/>
        <v>0</v>
      </c>
      <c r="BA180">
        <f t="shared" si="109"/>
        <v>0</v>
      </c>
      <c r="BB180">
        <f t="shared" si="110"/>
        <v>1</v>
      </c>
      <c r="BC180">
        <f t="shared" si="111"/>
        <v>0</v>
      </c>
      <c r="BD180">
        <f t="shared" si="112"/>
        <v>0</v>
      </c>
      <c r="BE180" t="str">
        <f t="array" ref="BE180">IF(AY180=1,INDEX($V$7:$AL$7,MATCH(TRUE,INDEX($V180:$AW180&lt;&gt;0,),0)),IF(AY180=0,INDEX($AM$7:$AW$7,MATCH(1,$AM180:$AW180,0)),IF(BF180="Multiple strategies","mixed drivers",IF(BF180="Supply chain","multiple supply","multiple silviculture"))))</f>
        <v>technologies/design switch</v>
      </c>
      <c r="BF180" s="2" t="str" cm="1">
        <f t="array" ref="BF180">IF(COUNTIF(AZ180:BB180,"&lt;&gt;0")=1,INDEX($V$4:$AW$4,MATCH(TRUE,INDEX($V180:$AW180&lt;&gt;0,),0)),IF(COUNTIF(AZ180:BB180,"&lt;&gt;0")=0,INDEX($AM$4:$AW$4,MATCH(1,$AM180:$AW180,0)),"Multiple strategies"))</f>
        <v>Technology</v>
      </c>
      <c r="BG180" s="1" t="s">
        <v>229</v>
      </c>
      <c r="BH180" t="s">
        <v>277</v>
      </c>
      <c r="BI180" s="264" t="s">
        <v>3105</v>
      </c>
      <c r="BJ180" t="s">
        <v>278</v>
      </c>
      <c r="BK180">
        <v>0</v>
      </c>
      <c r="BL180">
        <v>34.69360784543791</v>
      </c>
      <c r="BM180"/>
      <c r="BN180">
        <f t="shared" si="113"/>
        <v>34.69360784543791</v>
      </c>
      <c r="BO180">
        <f t="shared" si="114"/>
        <v>150.6452793983409</v>
      </c>
      <c r="BP180" t="s">
        <v>232</v>
      </c>
      <c r="BQ180" s="302" t="s">
        <v>3106</v>
      </c>
      <c r="BR180" t="s">
        <v>279</v>
      </c>
      <c r="BS180">
        <v>337.64037255698202</v>
      </c>
      <c r="BT180">
        <v>739.24076084648095</v>
      </c>
      <c r="BU180" s="144">
        <f t="shared" si="115"/>
        <v>2.1894323692636095</v>
      </c>
      <c r="BV180">
        <f t="shared" si="116"/>
        <v>401.60038828949894</v>
      </c>
      <c r="BW180"/>
      <c r="BX180">
        <f t="shared" si="117"/>
        <v>401.60038828949894</v>
      </c>
      <c r="BY180">
        <f t="shared" si="139"/>
        <v>2.6658677251185203</v>
      </c>
      <c r="BZ180">
        <v>0</v>
      </c>
      <c r="CA180">
        <v>0</v>
      </c>
      <c r="CB180">
        <v>0</v>
      </c>
      <c r="CC180">
        <v>0</v>
      </c>
      <c r="CD180">
        <v>0</v>
      </c>
      <c r="CE180">
        <v>0</v>
      </c>
      <c r="CF180">
        <v>0</v>
      </c>
      <c r="CG180">
        <v>0</v>
      </c>
      <c r="CH180">
        <v>0</v>
      </c>
      <c r="CI180">
        <v>0</v>
      </c>
      <c r="CJ180">
        <v>0</v>
      </c>
      <c r="CK180">
        <v>0</v>
      </c>
      <c r="CL180">
        <v>0</v>
      </c>
      <c r="CM180">
        <v>0</v>
      </c>
      <c r="CN180" t="str">
        <f t="shared" si="118"/>
        <v>refOK</v>
      </c>
      <c r="CO180">
        <f t="shared" si="137"/>
        <v>0</v>
      </c>
      <c r="CP180">
        <f t="shared" si="138"/>
        <v>34.69360784543791</v>
      </c>
      <c r="CQ180">
        <f t="shared" si="119"/>
        <v>150.6452793983409</v>
      </c>
      <c r="CR180">
        <f t="shared" si="120"/>
        <v>337.64037255698202</v>
      </c>
      <c r="CS180">
        <f t="shared" si="121"/>
        <v>739.24076084648095</v>
      </c>
      <c r="CT180">
        <f t="shared" si="122"/>
        <v>401.60038828949894</v>
      </c>
      <c r="CU180">
        <f t="shared" si="123"/>
        <v>2.6658677251185203</v>
      </c>
      <c r="CV180" s="2">
        <f t="shared" si="124"/>
        <v>1.1894323692636095</v>
      </c>
      <c r="CW180" s="1" t="s">
        <v>234</v>
      </c>
      <c r="CX180" t="str">
        <f t="shared" si="125"/>
        <v>loc</v>
      </c>
      <c r="CY180" t="s">
        <v>280</v>
      </c>
      <c r="CZ180"/>
      <c r="DA180"/>
      <c r="DB180">
        <v>200</v>
      </c>
      <c r="DC180" t="str">
        <f t="shared" si="126"/>
        <v>+100</v>
      </c>
      <c r="DD180">
        <v>0</v>
      </c>
      <c r="DE180">
        <v>0</v>
      </c>
      <c r="DF180">
        <v>0</v>
      </c>
      <c r="DG180">
        <v>1</v>
      </c>
      <c r="DH180"/>
      <c r="DI180">
        <f t="shared" si="129"/>
        <v>1</v>
      </c>
      <c r="DJ180" t="str">
        <f t="shared" si="130"/>
        <v>TimberInput</v>
      </c>
      <c r="DK180">
        <f t="shared" si="131"/>
        <v>0</v>
      </c>
      <c r="DL180">
        <f t="shared" si="132"/>
        <v>0</v>
      </c>
      <c r="DM180">
        <f t="shared" si="133"/>
        <v>0</v>
      </c>
      <c r="DN180" t="str">
        <f t="shared" si="134"/>
        <v>Timber</v>
      </c>
      <c r="DO180">
        <v>0</v>
      </c>
      <c r="DP180">
        <v>1</v>
      </c>
      <c r="DQ180">
        <v>0</v>
      </c>
      <c r="DR180" t="s">
        <v>281</v>
      </c>
      <c r="DS180">
        <v>0</v>
      </c>
      <c r="DT180">
        <f t="shared" si="135"/>
        <v>1</v>
      </c>
      <c r="DU180" s="143" t="str">
        <f t="shared" si="136"/>
        <v>external DF used</v>
      </c>
      <c r="DV180">
        <v>0</v>
      </c>
      <c r="DW180">
        <v>1</v>
      </c>
      <c r="DX180">
        <v>1</v>
      </c>
      <c r="DY180">
        <v>1</v>
      </c>
      <c r="DZ180">
        <v>1</v>
      </c>
      <c r="EA180" s="143">
        <v>0</v>
      </c>
      <c r="EB180">
        <v>1</v>
      </c>
      <c r="EC180">
        <v>1</v>
      </c>
      <c r="ED180">
        <v>0</v>
      </c>
      <c r="EE180">
        <v>1</v>
      </c>
      <c r="EF180">
        <v>1</v>
      </c>
      <c r="EG180">
        <v>1</v>
      </c>
      <c r="EH180">
        <v>0</v>
      </c>
      <c r="EI180" s="2">
        <v>0</v>
      </c>
      <c r="EJ180" s="1"/>
      <c r="EK180" t="str">
        <f t="shared" si="127"/>
        <v>Whole sector</v>
      </c>
      <c r="EL180" t="str">
        <f t="shared" si="128"/>
        <v/>
      </c>
      <c r="EM180" s="2" t="str">
        <f t="shared" si="140"/>
        <v/>
      </c>
      <c r="EN180"/>
      <c r="EO180"/>
      <c r="EP180" t="str">
        <f>IF(ISNUMBER(BU180),IF(ABS(BU180-[3]QC_indicators!$B$2)&gt;3*[3]QC_indicators!$C$2,"C ratio",IF(ISNUMBER(BY180),IF(ABS(BY180-[3]QC_indicators!$B$1)&gt;3*[3]QC_indicators!$C$1,"DF","no"))),IF(ISNUMBER(BY180),IF(ABS(BY180-[3]QC_indicators!$B$1)&gt;3*[3]QC_indicators!$C$1,"DF","no")))</f>
        <v>no</v>
      </c>
      <c r="EQ180" t="s">
        <v>286</v>
      </c>
      <c r="ER180"/>
      <c r="ES180"/>
      <c r="ET180" s="264" t="s">
        <v>3272</v>
      </c>
      <c r="EU180"/>
    </row>
    <row r="181" spans="1:151" s="139" customFormat="1" ht="15" hidden="1" customHeight="1">
      <c r="A181" s="1" t="s">
        <v>265</v>
      </c>
      <c r="B181" t="s">
        <v>266</v>
      </c>
      <c r="C181" t="s">
        <v>267</v>
      </c>
      <c r="D181" t="s">
        <v>268</v>
      </c>
      <c r="E181" t="s">
        <v>269</v>
      </c>
      <c r="F181" t="s">
        <v>270</v>
      </c>
      <c r="G181" t="s">
        <v>271</v>
      </c>
      <c r="H181" t="s">
        <v>254</v>
      </c>
      <c r="I181">
        <v>2022</v>
      </c>
      <c r="J181">
        <v>0</v>
      </c>
      <c r="K181" t="s">
        <v>272</v>
      </c>
      <c r="L181"/>
      <c r="M181" t="str">
        <f t="shared" si="95"/>
        <v>Aryapratama_2022</v>
      </c>
      <c r="N181" t="s">
        <v>222</v>
      </c>
      <c r="O181" s="145" t="s">
        <v>274</v>
      </c>
      <c r="P181"/>
      <c r="Q181" t="s">
        <v>224</v>
      </c>
      <c r="R181" s="262" t="s">
        <v>223</v>
      </c>
      <c r="S181" s="263" t="s">
        <v>3104</v>
      </c>
      <c r="T181" t="s">
        <v>313</v>
      </c>
      <c r="U181" t="s">
        <v>283</v>
      </c>
      <c r="V181">
        <v>0</v>
      </c>
      <c r="W181">
        <v>0</v>
      </c>
      <c r="X181">
        <v>0</v>
      </c>
      <c r="Y181">
        <v>0</v>
      </c>
      <c r="Z181">
        <v>0</v>
      </c>
      <c r="AA181">
        <v>0</v>
      </c>
      <c r="AB181">
        <v>0</v>
      </c>
      <c r="AC181">
        <v>0</v>
      </c>
      <c r="AD181">
        <v>0</v>
      </c>
      <c r="AE181">
        <v>0</v>
      </c>
      <c r="AF181">
        <v>0</v>
      </c>
      <c r="AG181">
        <v>0</v>
      </c>
      <c r="AH181">
        <v>0</v>
      </c>
      <c r="AI181">
        <v>0</v>
      </c>
      <c r="AJ181">
        <v>0</v>
      </c>
      <c r="AK181">
        <v>1</v>
      </c>
      <c r="AL181">
        <v>0</v>
      </c>
      <c r="AM181">
        <v>0</v>
      </c>
      <c r="AN181">
        <v>0</v>
      </c>
      <c r="AO181">
        <v>0</v>
      </c>
      <c r="AP181">
        <v>0</v>
      </c>
      <c r="AQ181">
        <v>0</v>
      </c>
      <c r="AR181">
        <v>0</v>
      </c>
      <c r="AS181">
        <v>0</v>
      </c>
      <c r="AT181">
        <v>0</v>
      </c>
      <c r="AU181">
        <v>0</v>
      </c>
      <c r="AV181">
        <v>0</v>
      </c>
      <c r="AW181">
        <v>0</v>
      </c>
      <c r="AX181" s="141">
        <f t="shared" si="106"/>
        <v>1</v>
      </c>
      <c r="AY181" s="141">
        <f t="shared" si="107"/>
        <v>1</v>
      </c>
      <c r="AZ181">
        <f t="shared" si="108"/>
        <v>0</v>
      </c>
      <c r="BA181">
        <f t="shared" si="109"/>
        <v>0</v>
      </c>
      <c r="BB181">
        <f t="shared" si="110"/>
        <v>1</v>
      </c>
      <c r="BC181">
        <f t="shared" si="111"/>
        <v>0</v>
      </c>
      <c r="BD181">
        <f t="shared" si="112"/>
        <v>0</v>
      </c>
      <c r="BE181" t="str">
        <f t="array" ref="BE181">IF(AY181=1,INDEX($V$7:$AL$7,MATCH(TRUE,INDEX($V181:$AW181&lt;&gt;0,),0)),IF(AY181=0,INDEX($AM$7:$AW$7,MATCH(1,$AM181:$AW181,0)),IF(BF181="Multiple strategies","mixed drivers",IF(BF181="Supply chain","multiple supply","multiple silviculture"))))</f>
        <v>technologies/design switch</v>
      </c>
      <c r="BF181" s="2" t="str" cm="1">
        <f t="array" ref="BF181">IF(COUNTIF(AZ181:BB181,"&lt;&gt;0")=1,INDEX($V$4:$AW$4,MATCH(TRUE,INDEX($V181:$AW181&lt;&gt;0,),0)),IF(COUNTIF(AZ181:BB181,"&lt;&gt;0")=0,INDEX($AM$4:$AW$4,MATCH(1,$AM181:$AW181,0)),"Multiple strategies"))</f>
        <v>Technology</v>
      </c>
      <c r="BG181" s="1" t="s">
        <v>229</v>
      </c>
      <c r="BH181" t="s">
        <v>277</v>
      </c>
      <c r="BI181" s="264" t="s">
        <v>3105</v>
      </c>
      <c r="BJ181" t="s">
        <v>278</v>
      </c>
      <c r="BK181">
        <v>0</v>
      </c>
      <c r="BL181">
        <v>17.346803922718955</v>
      </c>
      <c r="BM181"/>
      <c r="BN181">
        <f t="shared" si="113"/>
        <v>17.346803922718955</v>
      </c>
      <c r="BO181">
        <f t="shared" si="114"/>
        <v>75.322639699170452</v>
      </c>
      <c r="BP181" t="s">
        <v>232</v>
      </c>
      <c r="BQ181" s="302" t="s">
        <v>3106</v>
      </c>
      <c r="BR181" t="s">
        <v>279</v>
      </c>
      <c r="BS181">
        <v>163.96310441836951</v>
      </c>
      <c r="BT181">
        <v>369.9239668180054</v>
      </c>
      <c r="BU181" s="144">
        <f t="shared" si="115"/>
        <v>2.2561415150697841</v>
      </c>
      <c r="BV181">
        <f t="shared" si="116"/>
        <v>205.96086239963589</v>
      </c>
      <c r="BW181"/>
      <c r="BX181">
        <f t="shared" si="117"/>
        <v>205.96086239963589</v>
      </c>
      <c r="BY181">
        <f t="shared" si="139"/>
        <v>2.7343818966278763</v>
      </c>
      <c r="BZ181">
        <v>0</v>
      </c>
      <c r="CA181">
        <v>0</v>
      </c>
      <c r="CB181">
        <v>0</v>
      </c>
      <c r="CC181">
        <v>0</v>
      </c>
      <c r="CD181">
        <v>0</v>
      </c>
      <c r="CE181">
        <v>0</v>
      </c>
      <c r="CF181">
        <v>0</v>
      </c>
      <c r="CG181">
        <v>0</v>
      </c>
      <c r="CH181">
        <v>0</v>
      </c>
      <c r="CI181">
        <v>0</v>
      </c>
      <c r="CJ181">
        <v>0</v>
      </c>
      <c r="CK181">
        <v>0</v>
      </c>
      <c r="CL181">
        <v>0</v>
      </c>
      <c r="CM181">
        <v>0</v>
      </c>
      <c r="CN181" t="str">
        <f t="shared" si="118"/>
        <v>refOK</v>
      </c>
      <c r="CO181">
        <f t="shared" si="137"/>
        <v>0</v>
      </c>
      <c r="CP181">
        <f t="shared" si="138"/>
        <v>17.346803922718955</v>
      </c>
      <c r="CQ181">
        <f t="shared" si="119"/>
        <v>75.322639699170452</v>
      </c>
      <c r="CR181">
        <f t="shared" si="120"/>
        <v>163.96310441836951</v>
      </c>
      <c r="CS181">
        <f t="shared" si="121"/>
        <v>369.9239668180054</v>
      </c>
      <c r="CT181">
        <f t="shared" si="122"/>
        <v>205.96086239963589</v>
      </c>
      <c r="CU181">
        <f t="shared" si="123"/>
        <v>2.7343818966278763</v>
      </c>
      <c r="CV181" s="2">
        <f t="shared" si="124"/>
        <v>1.2561415150697841</v>
      </c>
      <c r="CW181" s="1" t="s">
        <v>234</v>
      </c>
      <c r="CX181" t="str">
        <f t="shared" si="125"/>
        <v>loc</v>
      </c>
      <c r="CY181" t="s">
        <v>280</v>
      </c>
      <c r="CZ181"/>
      <c r="DA181"/>
      <c r="DB181">
        <v>100</v>
      </c>
      <c r="DC181" t="str">
        <f t="shared" si="126"/>
        <v>71-100</v>
      </c>
      <c r="DD181">
        <v>0</v>
      </c>
      <c r="DE181">
        <v>0</v>
      </c>
      <c r="DF181">
        <v>0</v>
      </c>
      <c r="DG181">
        <v>1</v>
      </c>
      <c r="DH181"/>
      <c r="DI181">
        <f t="shared" si="129"/>
        <v>1</v>
      </c>
      <c r="DJ181" t="str">
        <f t="shared" si="130"/>
        <v>TimberInput</v>
      </c>
      <c r="DK181">
        <f t="shared" si="131"/>
        <v>0</v>
      </c>
      <c r="DL181">
        <f t="shared" si="132"/>
        <v>0</v>
      </c>
      <c r="DM181">
        <f t="shared" si="133"/>
        <v>0</v>
      </c>
      <c r="DN181" t="str">
        <f t="shared" si="134"/>
        <v>Timber</v>
      </c>
      <c r="DO181">
        <v>0</v>
      </c>
      <c r="DP181">
        <v>1</v>
      </c>
      <c r="DQ181">
        <v>0</v>
      </c>
      <c r="DR181" t="s">
        <v>281</v>
      </c>
      <c r="DS181">
        <v>0</v>
      </c>
      <c r="DT181">
        <f t="shared" si="135"/>
        <v>1</v>
      </c>
      <c r="DU181" s="143" t="str">
        <f t="shared" si="136"/>
        <v>external DF used</v>
      </c>
      <c r="DV181">
        <v>0</v>
      </c>
      <c r="DW181">
        <v>1</v>
      </c>
      <c r="DX181">
        <v>1</v>
      </c>
      <c r="DY181">
        <v>1</v>
      </c>
      <c r="DZ181">
        <v>1</v>
      </c>
      <c r="EA181" s="143">
        <v>0</v>
      </c>
      <c r="EB181">
        <v>1</v>
      </c>
      <c r="EC181">
        <v>1</v>
      </c>
      <c r="ED181">
        <v>0</v>
      </c>
      <c r="EE181">
        <v>1</v>
      </c>
      <c r="EF181">
        <v>1</v>
      </c>
      <c r="EG181">
        <v>1</v>
      </c>
      <c r="EH181">
        <v>0</v>
      </c>
      <c r="EI181" s="2">
        <v>0</v>
      </c>
      <c r="EJ181" s="1"/>
      <c r="EK181" t="str">
        <f t="shared" si="127"/>
        <v>Whole sector</v>
      </c>
      <c r="EL181" t="str">
        <f t="shared" si="128"/>
        <v/>
      </c>
      <c r="EM181" s="2" t="str">
        <f t="shared" si="140"/>
        <v/>
      </c>
      <c r="EN181"/>
      <c r="EO181"/>
      <c r="EP181" t="str">
        <f>IF(ISNUMBER(BU181),IF(ABS(BU181-[3]QC_indicators!$B$2)&gt;3*[3]QC_indicators!$C$2,"C ratio",IF(ISNUMBER(BY181),IF(ABS(BY181-[3]QC_indicators!$B$1)&gt;3*[3]QC_indicators!$C$1,"DF","no"))),IF(ISNUMBER(BY181),IF(ABS(BY181-[3]QC_indicators!$B$1)&gt;3*[3]QC_indicators!$C$1,"DF","no")))</f>
        <v>no</v>
      </c>
      <c r="EQ181" t="s">
        <v>286</v>
      </c>
      <c r="ER181"/>
      <c r="ES181"/>
      <c r="ET181" s="264" t="s">
        <v>3272</v>
      </c>
      <c r="EU181"/>
    </row>
    <row r="182" spans="1:151" s="139" customFormat="1" ht="15" hidden="1" customHeight="1">
      <c r="A182" s="1" t="s">
        <v>265</v>
      </c>
      <c r="B182" t="s">
        <v>266</v>
      </c>
      <c r="C182" t="s">
        <v>267</v>
      </c>
      <c r="D182" t="s">
        <v>268</v>
      </c>
      <c r="E182" t="s">
        <v>269</v>
      </c>
      <c r="F182" t="s">
        <v>270</v>
      </c>
      <c r="G182" t="s">
        <v>271</v>
      </c>
      <c r="H182" t="s">
        <v>254</v>
      </c>
      <c r="I182">
        <v>2022</v>
      </c>
      <c r="J182">
        <v>0</v>
      </c>
      <c r="K182" t="s">
        <v>272</v>
      </c>
      <c r="L182"/>
      <c r="M182" t="str">
        <f t="shared" si="95"/>
        <v>Aryapratama_2022</v>
      </c>
      <c r="N182" t="s">
        <v>222</v>
      </c>
      <c r="O182" s="145" t="s">
        <v>274</v>
      </c>
      <c r="P182"/>
      <c r="Q182" t="s">
        <v>224</v>
      </c>
      <c r="R182" s="262" t="s">
        <v>223</v>
      </c>
      <c r="S182" s="263" t="s">
        <v>3107</v>
      </c>
      <c r="T182" t="s">
        <v>312</v>
      </c>
      <c r="U182" t="s">
        <v>303</v>
      </c>
      <c r="V182">
        <v>0</v>
      </c>
      <c r="W182">
        <v>0</v>
      </c>
      <c r="X182">
        <v>0</v>
      </c>
      <c r="Y182">
        <v>0</v>
      </c>
      <c r="Z182">
        <v>0</v>
      </c>
      <c r="AA182">
        <v>0</v>
      </c>
      <c r="AB182">
        <v>0</v>
      </c>
      <c r="AC182">
        <v>0</v>
      </c>
      <c r="AD182">
        <v>1</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s="141">
        <f t="shared" si="106"/>
        <v>1</v>
      </c>
      <c r="AY182" s="141">
        <f t="shared" si="107"/>
        <v>1</v>
      </c>
      <c r="AZ182">
        <f t="shared" si="108"/>
        <v>0</v>
      </c>
      <c r="BA182">
        <f t="shared" si="109"/>
        <v>1</v>
      </c>
      <c r="BB182">
        <f t="shared" si="110"/>
        <v>0</v>
      </c>
      <c r="BC182">
        <f t="shared" si="111"/>
        <v>0</v>
      </c>
      <c r="BD182">
        <f t="shared" si="112"/>
        <v>0</v>
      </c>
      <c r="BE182" t="str">
        <f t="array" ref="BE182">IF(AY182=1,INDEX($V$7:$AL$7,MATCH(TRUE,INDEX($V182:$AW182&lt;&gt;0,),0)),IF(AY182=0,INDEX($AM$7:$AW$7,MATCH(1,$AM182:$AW182,0)),IF(BF182="Multiple strategies","mixed drivers",IF(BF182="Supply chain","multiple supply","multiple silviculture"))))</f>
        <v>harvesting system</v>
      </c>
      <c r="BF182" s="2" t="str" cm="1">
        <f t="array" ref="BF182">IF(COUNTIF(AZ182:BB182,"&lt;&gt;0")=1,INDEX($V$4:$AW$4,MATCH(TRUE,INDEX($V182:$AW182&lt;&gt;0,),0)),IF(COUNTIF(AZ182:BB182,"&lt;&gt;0")=0,INDEX($AM$4:$AW$4,MATCH(1,$AM182:$AW182,0)),"Multiple strategies"))</f>
        <v>Supply chain</v>
      </c>
      <c r="BG182" s="1" t="s">
        <v>229</v>
      </c>
      <c r="BH182" t="s">
        <v>285</v>
      </c>
      <c r="BI182"/>
      <c r="BJ182" t="s">
        <v>278</v>
      </c>
      <c r="BK182">
        <v>23.12907189695861</v>
      </c>
      <c r="BL182">
        <v>23.12907189695861</v>
      </c>
      <c r="BM182">
        <f t="shared" ref="BM182:BM199" si="141">BL182/BK182</f>
        <v>1</v>
      </c>
      <c r="BN182">
        <f t="shared" si="113"/>
        <v>0</v>
      </c>
      <c r="BO182">
        <f t="shared" si="114"/>
        <v>0</v>
      </c>
      <c r="BP182" t="s">
        <v>232</v>
      </c>
      <c r="BQ182" s="302" t="s">
        <v>3106</v>
      </c>
      <c r="BR182" t="s">
        <v>279</v>
      </c>
      <c r="BS182">
        <v>354.30409954781243</v>
      </c>
      <c r="BT182">
        <v>176.62110895178901</v>
      </c>
      <c r="BU182" s="144">
        <f t="shared" si="115"/>
        <v>0.49850145447711491</v>
      </c>
      <c r="BV182">
        <f t="shared" si="116"/>
        <v>-177.68299059602342</v>
      </c>
      <c r="BW182"/>
      <c r="BX182">
        <f t="shared" si="117"/>
        <v>-177.68299059602342</v>
      </c>
      <c r="BY182" t="str">
        <f t="shared" si="139"/>
        <v/>
      </c>
      <c r="BZ182">
        <v>0</v>
      </c>
      <c r="CA182">
        <v>0</v>
      </c>
      <c r="CB182">
        <v>0</v>
      </c>
      <c r="CC182">
        <v>0</v>
      </c>
      <c r="CD182">
        <v>0</v>
      </c>
      <c r="CE182">
        <v>0</v>
      </c>
      <c r="CF182">
        <v>0</v>
      </c>
      <c r="CG182">
        <v>0</v>
      </c>
      <c r="CH182">
        <v>0</v>
      </c>
      <c r="CI182">
        <v>0</v>
      </c>
      <c r="CJ182">
        <v>0</v>
      </c>
      <c r="CK182">
        <v>0</v>
      </c>
      <c r="CL182">
        <v>0</v>
      </c>
      <c r="CM182">
        <v>0</v>
      </c>
      <c r="CN182" t="str">
        <f t="shared" si="118"/>
        <v>refOK</v>
      </c>
      <c r="CO182">
        <f t="shared" si="137"/>
        <v>23.12907189695861</v>
      </c>
      <c r="CP182">
        <f t="shared" si="138"/>
        <v>23.12907189695861</v>
      </c>
      <c r="CQ182">
        <f t="shared" si="119"/>
        <v>0</v>
      </c>
      <c r="CR182">
        <f t="shared" si="120"/>
        <v>354.30409954781243</v>
      </c>
      <c r="CS182">
        <f t="shared" si="121"/>
        <v>176.62110895178901</v>
      </c>
      <c r="CT182">
        <f t="shared" si="122"/>
        <v>-177.68299059602342</v>
      </c>
      <c r="CU182" t="str">
        <f t="shared" si="123"/>
        <v/>
      </c>
      <c r="CV182" s="2">
        <f t="shared" si="124"/>
        <v>-0.50149854552288509</v>
      </c>
      <c r="CW182" s="1" t="s">
        <v>234</v>
      </c>
      <c r="CX182" t="str">
        <f t="shared" si="125"/>
        <v>loc</v>
      </c>
      <c r="CY182" t="s">
        <v>280</v>
      </c>
      <c r="CZ182"/>
      <c r="DA182"/>
      <c r="DB182">
        <v>100</v>
      </c>
      <c r="DC182" t="str">
        <f t="shared" si="126"/>
        <v>71-100</v>
      </c>
      <c r="DD182">
        <v>0</v>
      </c>
      <c r="DE182">
        <v>1</v>
      </c>
      <c r="DF182">
        <v>0</v>
      </c>
      <c r="DG182">
        <v>0</v>
      </c>
      <c r="DH182"/>
      <c r="DI182">
        <f t="shared" si="129"/>
        <v>1</v>
      </c>
      <c r="DJ182" t="str">
        <f t="shared" si="130"/>
        <v>EnergyInput</v>
      </c>
      <c r="DK182">
        <f t="shared" si="131"/>
        <v>0</v>
      </c>
      <c r="DL182" t="str">
        <f t="shared" si="132"/>
        <v>Energy</v>
      </c>
      <c r="DM182">
        <f t="shared" si="133"/>
        <v>0</v>
      </c>
      <c r="DN182">
        <f t="shared" si="134"/>
        <v>0</v>
      </c>
      <c r="DO182">
        <v>0</v>
      </c>
      <c r="DP182">
        <v>1</v>
      </c>
      <c r="DQ182" t="s">
        <v>304</v>
      </c>
      <c r="DR182" t="s">
        <v>281</v>
      </c>
      <c r="DS182">
        <v>0</v>
      </c>
      <c r="DT182">
        <f t="shared" si="135"/>
        <v>1</v>
      </c>
      <c r="DU182" s="143" t="str">
        <f t="shared" si="136"/>
        <v>external DF used</v>
      </c>
      <c r="DV182">
        <v>0</v>
      </c>
      <c r="DW182">
        <v>1</v>
      </c>
      <c r="DX182">
        <v>1</v>
      </c>
      <c r="DY182">
        <v>1</v>
      </c>
      <c r="DZ182">
        <v>1</v>
      </c>
      <c r="EA182" s="143">
        <v>0</v>
      </c>
      <c r="EB182">
        <v>1</v>
      </c>
      <c r="EC182">
        <v>1</v>
      </c>
      <c r="ED182">
        <v>0</v>
      </c>
      <c r="EE182">
        <v>1</v>
      </c>
      <c r="EF182">
        <v>1</v>
      </c>
      <c r="EG182">
        <v>1</v>
      </c>
      <c r="EH182">
        <v>0</v>
      </c>
      <c r="EI182" s="2">
        <v>0</v>
      </c>
      <c r="EJ182" s="1"/>
      <c r="EK182" t="str">
        <f t="shared" si="127"/>
        <v>Whole sector</v>
      </c>
      <c r="EL182" t="str">
        <f t="shared" si="128"/>
        <v/>
      </c>
      <c r="EM182" s="2" t="str">
        <f t="shared" si="140"/>
        <v/>
      </c>
      <c r="EN182"/>
      <c r="EO182"/>
      <c r="EP182" t="b">
        <f>IF(ISNUMBER(BU182),IF(ABS(BU182-[3]QC_indicators!$B$2)&gt;3*[3]QC_indicators!$C$2,"C ratio",IF(ISNUMBER(BY182),IF(ABS(BY182-[3]QC_indicators!$B$1)&gt;3*[3]QC_indicators!$C$1,"DF","no"))),IF(ISNUMBER(BY182),IF(ABS(BY182-[3]QC_indicators!$B$1)&gt;3*[3]QC_indicators!$C$1,"DF","no")))</f>
        <v>0</v>
      </c>
      <c r="EQ182" t="s">
        <v>286</v>
      </c>
      <c r="ER182"/>
      <c r="ES182"/>
      <c r="ET182" s="264" t="s">
        <v>3272</v>
      </c>
      <c r="EU182"/>
    </row>
    <row r="183" spans="1:151" s="139" customFormat="1" ht="15" hidden="1" customHeight="1">
      <c r="A183" s="1" t="s">
        <v>265</v>
      </c>
      <c r="B183" t="s">
        <v>266</v>
      </c>
      <c r="C183" t="s">
        <v>267</v>
      </c>
      <c r="D183" t="s">
        <v>268</v>
      </c>
      <c r="E183" t="s">
        <v>269</v>
      </c>
      <c r="F183" t="s">
        <v>270</v>
      </c>
      <c r="G183" t="s">
        <v>271</v>
      </c>
      <c r="H183" t="s">
        <v>254</v>
      </c>
      <c r="I183">
        <v>2022</v>
      </c>
      <c r="J183">
        <v>0</v>
      </c>
      <c r="K183" t="s">
        <v>272</v>
      </c>
      <c r="L183"/>
      <c r="M183" t="str">
        <f t="shared" si="95"/>
        <v>Aryapratama_2022</v>
      </c>
      <c r="N183" t="s">
        <v>222</v>
      </c>
      <c r="O183" s="145" t="s">
        <v>274</v>
      </c>
      <c r="P183"/>
      <c r="Q183" t="s">
        <v>224</v>
      </c>
      <c r="R183" s="262" t="s">
        <v>223</v>
      </c>
      <c r="S183" s="1" t="s">
        <v>319</v>
      </c>
      <c r="T183" t="s">
        <v>320</v>
      </c>
      <c r="U183" t="s">
        <v>275</v>
      </c>
      <c r="V183">
        <v>0</v>
      </c>
      <c r="W183">
        <v>0</v>
      </c>
      <c r="X183">
        <v>0</v>
      </c>
      <c r="Y183">
        <v>0</v>
      </c>
      <c r="Z183">
        <v>0</v>
      </c>
      <c r="AA183">
        <v>0</v>
      </c>
      <c r="AB183">
        <v>0</v>
      </c>
      <c r="AC183">
        <v>0</v>
      </c>
      <c r="AD183">
        <v>0</v>
      </c>
      <c r="AE183">
        <v>0</v>
      </c>
      <c r="AF183">
        <v>1</v>
      </c>
      <c r="AG183">
        <v>0</v>
      </c>
      <c r="AH183">
        <v>0</v>
      </c>
      <c r="AI183">
        <v>0</v>
      </c>
      <c r="AJ183">
        <v>0</v>
      </c>
      <c r="AK183">
        <v>0</v>
      </c>
      <c r="AL183">
        <v>0</v>
      </c>
      <c r="AM183">
        <v>0</v>
      </c>
      <c r="AN183">
        <v>0</v>
      </c>
      <c r="AO183">
        <v>0</v>
      </c>
      <c r="AP183">
        <v>0</v>
      </c>
      <c r="AQ183">
        <v>0</v>
      </c>
      <c r="AR183">
        <v>0</v>
      </c>
      <c r="AS183">
        <v>0</v>
      </c>
      <c r="AT183">
        <v>0</v>
      </c>
      <c r="AU183">
        <v>0</v>
      </c>
      <c r="AV183">
        <v>0</v>
      </c>
      <c r="AW183">
        <v>0</v>
      </c>
      <c r="AX183" s="141">
        <f t="shared" si="106"/>
        <v>1</v>
      </c>
      <c r="AY183" s="141">
        <f t="shared" si="107"/>
        <v>1</v>
      </c>
      <c r="AZ183">
        <f t="shared" si="108"/>
        <v>0</v>
      </c>
      <c r="BA183">
        <f t="shared" si="109"/>
        <v>1</v>
      </c>
      <c r="BB183">
        <f t="shared" si="110"/>
        <v>0</v>
      </c>
      <c r="BC183">
        <f t="shared" si="111"/>
        <v>0</v>
      </c>
      <c r="BD183">
        <f t="shared" si="112"/>
        <v>0</v>
      </c>
      <c r="BE183" t="str">
        <f t="array" ref="BE183">IF(AY183=1,INDEX($V$7:$AL$7,MATCH(TRUE,INDEX($V183:$AW183&lt;&gt;0,),0)),IF(AY183=0,INDEX($AM$7:$AW$7,MATCH(1,$AM183:$AW183,0)),IF(BF183="Multiple strategies","mixed drivers",IF(BF183="Supply chain","multiple supply","multiple silviculture"))))</f>
        <v>supply chain organization</v>
      </c>
      <c r="BF183" s="2" t="str" cm="1">
        <f t="array" ref="BF183">IF(COUNTIF(AZ183:BB183,"&lt;&gt;0")=1,INDEX($V$4:$AW$4,MATCH(TRUE,INDEX($V183:$AW183&lt;&gt;0,),0)),IF(COUNTIF(AZ183:BB183,"&lt;&gt;0")=0,INDEX($AM$4:$AW$4,MATCH(1,$AM183:$AW183,0)),"Multiple strategies"))</f>
        <v>Supply chain</v>
      </c>
      <c r="BG183" s="1" t="s">
        <v>321</v>
      </c>
      <c r="BH183" s="146" t="s">
        <v>322</v>
      </c>
      <c r="BI183" t="s">
        <v>323</v>
      </c>
      <c r="BJ183" t="s">
        <v>278</v>
      </c>
      <c r="BK183">
        <v>225.96603773584911</v>
      </c>
      <c r="BL183">
        <v>225.96603773584911</v>
      </c>
      <c r="BM183">
        <f t="shared" si="141"/>
        <v>1</v>
      </c>
      <c r="BN183">
        <f t="shared" si="113"/>
        <v>0</v>
      </c>
      <c r="BO183">
        <f t="shared" si="114"/>
        <v>0</v>
      </c>
      <c r="BP183" t="s">
        <v>232</v>
      </c>
      <c r="BQ183" s="302" t="s">
        <v>3106</v>
      </c>
      <c r="BR183" t="s">
        <v>279</v>
      </c>
      <c r="BS183">
        <v>-588.42624598329485</v>
      </c>
      <c r="BT183">
        <v>-502.68675849347369</v>
      </c>
      <c r="BU183" s="144">
        <f>IFERROR(BS183/BT183,"")</f>
        <v>1.1705624547318054</v>
      </c>
      <c r="BV183">
        <f>BS183-BT183</f>
        <v>-85.739487489821158</v>
      </c>
      <c r="BW183"/>
      <c r="BX183">
        <f t="shared" si="117"/>
        <v>-85.739487489821158</v>
      </c>
      <c r="BY183" t="str">
        <f t="shared" si="139"/>
        <v/>
      </c>
      <c r="BZ183">
        <v>0</v>
      </c>
      <c r="CA183">
        <v>0</v>
      </c>
      <c r="CB183">
        <v>0</v>
      </c>
      <c r="CC183">
        <v>0</v>
      </c>
      <c r="CD183">
        <v>0</v>
      </c>
      <c r="CE183">
        <v>0</v>
      </c>
      <c r="CF183">
        <v>0</v>
      </c>
      <c r="CG183">
        <v>0</v>
      </c>
      <c r="CH183">
        <v>0</v>
      </c>
      <c r="CI183">
        <v>0</v>
      </c>
      <c r="CJ183">
        <v>0</v>
      </c>
      <c r="CK183">
        <v>0</v>
      </c>
      <c r="CL183">
        <v>0</v>
      </c>
      <c r="CM183">
        <v>0</v>
      </c>
      <c r="CN183" t="str">
        <f t="shared" si="118"/>
        <v>refOK</v>
      </c>
      <c r="CO183">
        <f t="shared" si="137"/>
        <v>225.96603773584911</v>
      </c>
      <c r="CP183">
        <f t="shared" si="138"/>
        <v>225.96603773584911</v>
      </c>
      <c r="CQ183">
        <f t="shared" si="119"/>
        <v>0</v>
      </c>
      <c r="CR183">
        <f>IF($CN183="refOK",$BT183,$BS183)*IF($BP183="Emissions positive",-1,1)</f>
        <v>-502.68675849347369</v>
      </c>
      <c r="CS183">
        <f>IF($CN183="refOK",$BS183,$BT183)*IF($BP183="Emissions positive",-1,1)</f>
        <v>-588.42624598329485</v>
      </c>
      <c r="CT183">
        <f t="shared" si="122"/>
        <v>-85.739487489821158</v>
      </c>
      <c r="CU183" t="str">
        <f t="shared" si="123"/>
        <v/>
      </c>
      <c r="CV183" s="2">
        <f t="shared" si="124"/>
        <v>-0.17056245473180551</v>
      </c>
      <c r="CW183" s="1" t="s">
        <v>234</v>
      </c>
      <c r="CX183" t="str">
        <f t="shared" si="125"/>
        <v>loc</v>
      </c>
      <c r="CY183" t="s">
        <v>280</v>
      </c>
      <c r="CZ183"/>
      <c r="DA183"/>
      <c r="DB183">
        <v>100</v>
      </c>
      <c r="DC183" t="str">
        <f t="shared" si="126"/>
        <v>71-100</v>
      </c>
      <c r="DD183">
        <v>0</v>
      </c>
      <c r="DE183">
        <v>1</v>
      </c>
      <c r="DF183">
        <v>0</v>
      </c>
      <c r="DG183">
        <v>1</v>
      </c>
      <c r="DH183"/>
      <c r="DI183">
        <f t="shared" si="129"/>
        <v>2</v>
      </c>
      <c r="DJ183" t="str">
        <f t="shared" si="130"/>
        <v>mixedProduct</v>
      </c>
      <c r="DK183">
        <f t="shared" si="131"/>
        <v>0</v>
      </c>
      <c r="DL183" t="str">
        <f t="shared" si="132"/>
        <v>Energy</v>
      </c>
      <c r="DM183">
        <f t="shared" si="133"/>
        <v>0</v>
      </c>
      <c r="DN183" t="str">
        <f t="shared" si="134"/>
        <v>Timber</v>
      </c>
      <c r="DO183">
        <v>0</v>
      </c>
      <c r="DP183">
        <v>1</v>
      </c>
      <c r="DQ183" t="s">
        <v>304</v>
      </c>
      <c r="DR183" t="s">
        <v>281</v>
      </c>
      <c r="DS183">
        <v>0</v>
      </c>
      <c r="DT183">
        <f t="shared" si="135"/>
        <v>1</v>
      </c>
      <c r="DU183" s="143" t="str">
        <f t="shared" si="136"/>
        <v>external DF used</v>
      </c>
      <c r="DV183">
        <v>0</v>
      </c>
      <c r="DW183">
        <v>1</v>
      </c>
      <c r="DX183">
        <v>1</v>
      </c>
      <c r="DY183">
        <v>1</v>
      </c>
      <c r="DZ183">
        <v>1</v>
      </c>
      <c r="EA183" s="143">
        <v>0</v>
      </c>
      <c r="EB183">
        <v>1</v>
      </c>
      <c r="EC183">
        <v>1</v>
      </c>
      <c r="ED183">
        <v>0</v>
      </c>
      <c r="EE183">
        <v>1</v>
      </c>
      <c r="EF183">
        <v>1</v>
      </c>
      <c r="EG183">
        <v>1</v>
      </c>
      <c r="EH183">
        <v>0</v>
      </c>
      <c r="EI183" s="2">
        <v>0</v>
      </c>
      <c r="EJ183" s="1"/>
      <c r="EK183" t="str">
        <f t="shared" si="127"/>
        <v>Whole sector</v>
      </c>
      <c r="EL183" t="str">
        <f t="shared" si="128"/>
        <v/>
      </c>
      <c r="EM183" s="2" t="str">
        <f t="shared" si="140"/>
        <v/>
      </c>
      <c r="EN183" t="s">
        <v>324</v>
      </c>
      <c r="EO183"/>
      <c r="EP183" t="b">
        <f>IF(ISNUMBER(BU183),IF(ABS(BU183-[3]QC_indicators!$B$2)&gt;3*[3]QC_indicators!$C$2,"C ratio",IF(ISNUMBER(BY183),IF(ABS(BY183-[3]QC_indicators!$B$1)&gt;3*[3]QC_indicators!$C$1,"DF","no"))),IF(ISNUMBER(BY183),IF(ABS(BY183-[3]QC_indicators!$B$1)&gt;3*[3]QC_indicators!$C$1,"DF","no")))</f>
        <v>0</v>
      </c>
      <c r="EQ183" t="s">
        <v>286</v>
      </c>
      <c r="ER183" s="147" t="s">
        <v>325</v>
      </c>
      <c r="ES183"/>
      <c r="ET183" s="264" t="s">
        <v>3272</v>
      </c>
      <c r="EU183"/>
    </row>
    <row r="184" spans="1:151" s="139" customFormat="1" ht="15" hidden="1" customHeight="1">
      <c r="A184" s="1" t="s">
        <v>265</v>
      </c>
      <c r="B184" t="s">
        <v>266</v>
      </c>
      <c r="C184" t="s">
        <v>267</v>
      </c>
      <c r="D184" t="s">
        <v>268</v>
      </c>
      <c r="E184" t="s">
        <v>269</v>
      </c>
      <c r="F184" t="s">
        <v>270</v>
      </c>
      <c r="G184" t="s">
        <v>271</v>
      </c>
      <c r="H184" t="s">
        <v>254</v>
      </c>
      <c r="I184">
        <v>2022</v>
      </c>
      <c r="J184">
        <v>0</v>
      </c>
      <c r="K184" t="s">
        <v>272</v>
      </c>
      <c r="L184"/>
      <c r="M184" t="str">
        <f t="shared" si="95"/>
        <v>Aryapratama_2022</v>
      </c>
      <c r="N184" t="s">
        <v>222</v>
      </c>
      <c r="O184" s="145" t="s">
        <v>274</v>
      </c>
      <c r="P184"/>
      <c r="Q184" t="s">
        <v>224</v>
      </c>
      <c r="R184" s="262" t="s">
        <v>223</v>
      </c>
      <c r="S184" s="1" t="s">
        <v>319</v>
      </c>
      <c r="T184" t="s">
        <v>326</v>
      </c>
      <c r="U184" t="s">
        <v>276</v>
      </c>
      <c r="V184">
        <v>0</v>
      </c>
      <c r="W184">
        <v>0</v>
      </c>
      <c r="X184">
        <v>0</v>
      </c>
      <c r="Y184">
        <v>0</v>
      </c>
      <c r="Z184">
        <v>0</v>
      </c>
      <c r="AA184">
        <v>0</v>
      </c>
      <c r="AB184">
        <v>0</v>
      </c>
      <c r="AC184">
        <v>0</v>
      </c>
      <c r="AD184">
        <v>0</v>
      </c>
      <c r="AE184">
        <v>0</v>
      </c>
      <c r="AF184">
        <v>1</v>
      </c>
      <c r="AG184">
        <v>0</v>
      </c>
      <c r="AH184">
        <v>0</v>
      </c>
      <c r="AI184">
        <v>0</v>
      </c>
      <c r="AJ184">
        <v>0</v>
      </c>
      <c r="AK184">
        <v>0</v>
      </c>
      <c r="AL184">
        <v>0</v>
      </c>
      <c r="AM184">
        <v>0</v>
      </c>
      <c r="AN184">
        <v>0</v>
      </c>
      <c r="AO184">
        <v>0</v>
      </c>
      <c r="AP184">
        <v>0</v>
      </c>
      <c r="AQ184">
        <v>0</v>
      </c>
      <c r="AR184">
        <v>0</v>
      </c>
      <c r="AS184">
        <v>0</v>
      </c>
      <c r="AT184">
        <v>0</v>
      </c>
      <c r="AU184">
        <v>0</v>
      </c>
      <c r="AV184">
        <v>0</v>
      </c>
      <c r="AW184">
        <v>0</v>
      </c>
      <c r="AX184" s="141">
        <f t="shared" si="106"/>
        <v>1</v>
      </c>
      <c r="AY184" s="141">
        <f t="shared" si="107"/>
        <v>1</v>
      </c>
      <c r="AZ184">
        <f t="shared" si="108"/>
        <v>0</v>
      </c>
      <c r="BA184">
        <f t="shared" si="109"/>
        <v>1</v>
      </c>
      <c r="BB184">
        <f t="shared" si="110"/>
        <v>0</v>
      </c>
      <c r="BC184">
        <f t="shared" si="111"/>
        <v>0</v>
      </c>
      <c r="BD184">
        <f t="shared" si="112"/>
        <v>0</v>
      </c>
      <c r="BE184" t="str">
        <f t="array" ref="BE184">IF(AY184=1,INDEX($V$7:$AL$7,MATCH(TRUE,INDEX($V184:$AW184&lt;&gt;0,),0)),IF(AY184=0,INDEX($AM$7:$AW$7,MATCH(1,$AM184:$AW184,0)),IF(BF184="Multiple strategies","mixed drivers",IF(BF184="Supply chain","multiple supply","multiple silviculture"))))</f>
        <v>supply chain organization</v>
      </c>
      <c r="BF184" s="2" t="str" cm="1">
        <f t="array" ref="BF184">IF(COUNTIF(AZ184:BB184,"&lt;&gt;0")=1,INDEX($V$4:$AW$4,MATCH(TRUE,INDEX($V184:$AW184&lt;&gt;0,),0)),IF(COUNTIF(AZ184:BB184,"&lt;&gt;0")=0,INDEX($AM$4:$AW$4,MATCH(1,$AM184:$AW184,0)),"Multiple strategies"))</f>
        <v>Supply chain</v>
      </c>
      <c r="BG184" s="1" t="s">
        <v>321</v>
      </c>
      <c r="BH184" s="146" t="s">
        <v>322</v>
      </c>
      <c r="BI184" t="s">
        <v>323</v>
      </c>
      <c r="BJ184" t="s">
        <v>278</v>
      </c>
      <c r="BK184" s="148">
        <v>225.96603773584911</v>
      </c>
      <c r="BL184" s="148">
        <v>225.96603773584911</v>
      </c>
      <c r="BM184">
        <f t="shared" si="141"/>
        <v>1</v>
      </c>
      <c r="BN184">
        <f t="shared" si="113"/>
        <v>0</v>
      </c>
      <c r="BO184">
        <f t="shared" si="114"/>
        <v>0</v>
      </c>
      <c r="BP184" t="s">
        <v>232</v>
      </c>
      <c r="BQ184" s="302" t="s">
        <v>3106</v>
      </c>
      <c r="BR184" t="s">
        <v>279</v>
      </c>
      <c r="BS184">
        <v>-1049.6296143500765</v>
      </c>
      <c r="BT184">
        <v>-922.29525217943831</v>
      </c>
      <c r="BU184" s="144">
        <f>IFERROR(BS184/BT184,"")</f>
        <v>1.1380624717190504</v>
      </c>
      <c r="BV184">
        <f>BS184-BT184</f>
        <v>-127.3343621706382</v>
      </c>
      <c r="BW184"/>
      <c r="BX184">
        <f t="shared" si="117"/>
        <v>-127.3343621706382</v>
      </c>
      <c r="BY184" t="str">
        <f t="shared" si="139"/>
        <v/>
      </c>
      <c r="BZ184">
        <v>0</v>
      </c>
      <c r="CA184">
        <v>0</v>
      </c>
      <c r="CB184">
        <v>0</v>
      </c>
      <c r="CC184">
        <v>0</v>
      </c>
      <c r="CD184">
        <v>0</v>
      </c>
      <c r="CE184">
        <v>0</v>
      </c>
      <c r="CF184">
        <v>0</v>
      </c>
      <c r="CG184">
        <v>0</v>
      </c>
      <c r="CH184">
        <v>0</v>
      </c>
      <c r="CI184">
        <v>0</v>
      </c>
      <c r="CJ184">
        <v>0</v>
      </c>
      <c r="CK184">
        <v>0</v>
      </c>
      <c r="CL184">
        <v>0</v>
      </c>
      <c r="CM184">
        <v>0</v>
      </c>
      <c r="CN184" t="str">
        <f t="shared" si="118"/>
        <v>refOK</v>
      </c>
      <c r="CO184">
        <f t="shared" si="137"/>
        <v>225.96603773584911</v>
      </c>
      <c r="CP184">
        <f t="shared" si="138"/>
        <v>225.96603773584911</v>
      </c>
      <c r="CQ184">
        <f t="shared" si="119"/>
        <v>0</v>
      </c>
      <c r="CR184">
        <f>IF($CN184="refOK",$BT184,$BS184)*IF($BP184="Emissions positive",-1,1)</f>
        <v>-922.29525217943831</v>
      </c>
      <c r="CS184">
        <f>IF($CN184="refOK",$BS184,$BT184)*IF($BP184="Emissions positive",-1,1)</f>
        <v>-1049.6296143500765</v>
      </c>
      <c r="CT184">
        <f t="shared" si="122"/>
        <v>-127.3343621706382</v>
      </c>
      <c r="CU184" t="str">
        <f t="shared" si="123"/>
        <v/>
      </c>
      <c r="CV184" s="2">
        <f t="shared" si="124"/>
        <v>-0.13806247171905045</v>
      </c>
      <c r="CW184" s="1" t="s">
        <v>234</v>
      </c>
      <c r="CX184" t="str">
        <f t="shared" si="125"/>
        <v>loc</v>
      </c>
      <c r="CY184" t="s">
        <v>280</v>
      </c>
      <c r="CZ184"/>
      <c r="DA184"/>
      <c r="DB184">
        <v>100</v>
      </c>
      <c r="DC184" t="str">
        <f t="shared" si="126"/>
        <v>71-100</v>
      </c>
      <c r="DD184">
        <v>0</v>
      </c>
      <c r="DE184">
        <v>1</v>
      </c>
      <c r="DF184">
        <v>0</v>
      </c>
      <c r="DG184">
        <v>1</v>
      </c>
      <c r="DH184"/>
      <c r="DI184">
        <f t="shared" si="129"/>
        <v>2</v>
      </c>
      <c r="DJ184" t="str">
        <f t="shared" si="130"/>
        <v>mixedProduct</v>
      </c>
      <c r="DK184">
        <f t="shared" si="131"/>
        <v>0</v>
      </c>
      <c r="DL184" t="str">
        <f t="shared" si="132"/>
        <v>Energy</v>
      </c>
      <c r="DM184">
        <f t="shared" si="133"/>
        <v>0</v>
      </c>
      <c r="DN184" t="str">
        <f t="shared" si="134"/>
        <v>Timber</v>
      </c>
      <c r="DO184">
        <v>0</v>
      </c>
      <c r="DP184">
        <v>1</v>
      </c>
      <c r="DQ184" t="s">
        <v>304</v>
      </c>
      <c r="DR184" t="s">
        <v>281</v>
      </c>
      <c r="DS184">
        <v>0</v>
      </c>
      <c r="DT184">
        <f t="shared" si="135"/>
        <v>1</v>
      </c>
      <c r="DU184" s="143" t="str">
        <f t="shared" si="136"/>
        <v>external DF used</v>
      </c>
      <c r="DV184">
        <v>0</v>
      </c>
      <c r="DW184">
        <v>1</v>
      </c>
      <c r="DX184">
        <v>1</v>
      </c>
      <c r="DY184">
        <v>1</v>
      </c>
      <c r="DZ184">
        <v>1</v>
      </c>
      <c r="EA184" s="143">
        <v>0</v>
      </c>
      <c r="EB184">
        <v>1</v>
      </c>
      <c r="EC184">
        <v>1</v>
      </c>
      <c r="ED184">
        <v>0</v>
      </c>
      <c r="EE184">
        <v>1</v>
      </c>
      <c r="EF184">
        <v>1</v>
      </c>
      <c r="EG184">
        <v>1</v>
      </c>
      <c r="EH184">
        <v>0</v>
      </c>
      <c r="EI184" s="2">
        <v>0</v>
      </c>
      <c r="EJ184" s="1"/>
      <c r="EK184" t="str">
        <f t="shared" si="127"/>
        <v>Whole sector</v>
      </c>
      <c r="EL184" t="str">
        <f t="shared" si="128"/>
        <v/>
      </c>
      <c r="EM184" s="2" t="str">
        <f t="shared" si="140"/>
        <v/>
      </c>
      <c r="EN184" t="s">
        <v>324</v>
      </c>
      <c r="EO184"/>
      <c r="EP184" t="b">
        <f>IF(ISNUMBER(BU184),IF(ABS(BU184-[3]QC_indicators!$B$2)&gt;3*[3]QC_indicators!$C$2,"C ratio",IF(ISNUMBER(BY184),IF(ABS(BY184-[3]QC_indicators!$B$1)&gt;3*[3]QC_indicators!$C$1,"DF","no"))),IF(ISNUMBER(BY184),IF(ABS(BY184-[3]QC_indicators!$B$1)&gt;3*[3]QC_indicators!$C$1,"DF","no")))</f>
        <v>0</v>
      </c>
      <c r="EQ184" t="s">
        <v>286</v>
      </c>
      <c r="ER184" s="147" t="s">
        <v>325</v>
      </c>
      <c r="ES184"/>
      <c r="ET184" s="264" t="s">
        <v>3272</v>
      </c>
      <c r="EU184"/>
    </row>
    <row r="185" spans="1:151" s="139" customFormat="1" ht="15" hidden="1" customHeight="1">
      <c r="A185" s="1" t="s">
        <v>265</v>
      </c>
      <c r="B185" t="s">
        <v>266</v>
      </c>
      <c r="C185" t="s">
        <v>267</v>
      </c>
      <c r="D185" t="s">
        <v>268</v>
      </c>
      <c r="E185" t="s">
        <v>269</v>
      </c>
      <c r="F185" t="s">
        <v>270</v>
      </c>
      <c r="G185" t="s">
        <v>271</v>
      </c>
      <c r="H185" t="s">
        <v>254</v>
      </c>
      <c r="I185">
        <v>2022</v>
      </c>
      <c r="J185">
        <v>0</v>
      </c>
      <c r="K185" t="s">
        <v>272</v>
      </c>
      <c r="L185"/>
      <c r="M185" t="str">
        <f t="shared" si="95"/>
        <v>Aryapratama_2022</v>
      </c>
      <c r="N185" t="s">
        <v>222</v>
      </c>
      <c r="O185" s="145" t="s">
        <v>274</v>
      </c>
      <c r="P185"/>
      <c r="Q185" t="s">
        <v>224</v>
      </c>
      <c r="R185" s="262" t="s">
        <v>223</v>
      </c>
      <c r="S185" s="1" t="s">
        <v>319</v>
      </c>
      <c r="T185" t="s">
        <v>303</v>
      </c>
      <c r="U185" t="s">
        <v>284</v>
      </c>
      <c r="V185">
        <v>0</v>
      </c>
      <c r="W185">
        <v>0</v>
      </c>
      <c r="X185">
        <v>0</v>
      </c>
      <c r="Y185">
        <v>0</v>
      </c>
      <c r="Z185">
        <v>0</v>
      </c>
      <c r="AA185">
        <v>0</v>
      </c>
      <c r="AB185">
        <v>0</v>
      </c>
      <c r="AC185">
        <v>0</v>
      </c>
      <c r="AD185">
        <v>0</v>
      </c>
      <c r="AE185">
        <v>0</v>
      </c>
      <c r="AF185">
        <v>1</v>
      </c>
      <c r="AG185">
        <v>0</v>
      </c>
      <c r="AH185">
        <v>0</v>
      </c>
      <c r="AI185">
        <v>0</v>
      </c>
      <c r="AJ185">
        <v>0</v>
      </c>
      <c r="AK185">
        <v>0</v>
      </c>
      <c r="AL185">
        <v>0</v>
      </c>
      <c r="AM185">
        <v>0</v>
      </c>
      <c r="AN185">
        <v>0</v>
      </c>
      <c r="AO185">
        <v>0</v>
      </c>
      <c r="AP185">
        <v>0</v>
      </c>
      <c r="AQ185">
        <v>0</v>
      </c>
      <c r="AR185">
        <v>0</v>
      </c>
      <c r="AS185">
        <v>0</v>
      </c>
      <c r="AT185">
        <v>0</v>
      </c>
      <c r="AU185">
        <v>0</v>
      </c>
      <c r="AV185">
        <v>0</v>
      </c>
      <c r="AW185">
        <v>0</v>
      </c>
      <c r="AX185" s="141">
        <f t="shared" si="106"/>
        <v>1</v>
      </c>
      <c r="AY185" s="141">
        <f t="shared" si="107"/>
        <v>1</v>
      </c>
      <c r="AZ185">
        <f t="shared" si="108"/>
        <v>0</v>
      </c>
      <c r="BA185">
        <f t="shared" si="109"/>
        <v>1</v>
      </c>
      <c r="BB185">
        <f t="shared" si="110"/>
        <v>0</v>
      </c>
      <c r="BC185">
        <f t="shared" si="111"/>
        <v>0</v>
      </c>
      <c r="BD185">
        <f t="shared" si="112"/>
        <v>0</v>
      </c>
      <c r="BE185" t="str">
        <f t="array" ref="BE185">IF(AY185=1,INDEX($V$7:$AL$7,MATCH(TRUE,INDEX($V185:$AW185&lt;&gt;0,),0)),IF(AY185=0,INDEX($AM$7:$AW$7,MATCH(1,$AM185:$AW185,0)),IF(BF185="Multiple strategies","mixed drivers",IF(BF185="Supply chain","multiple supply","multiple silviculture"))))</f>
        <v>supply chain organization</v>
      </c>
      <c r="BF185" s="2" t="str" cm="1">
        <f t="array" ref="BF185">IF(COUNTIF(AZ185:BB185,"&lt;&gt;0")=1,INDEX($V$4:$AW$4,MATCH(TRUE,INDEX($V185:$AW185&lt;&gt;0,),0)),IF(COUNTIF(AZ185:BB185,"&lt;&gt;0")=0,INDEX($AM$4:$AW$4,MATCH(1,$AM185:$AW185,0)),"Multiple strategies"))</f>
        <v>Supply chain</v>
      </c>
      <c r="BG185" s="1" t="s">
        <v>321</v>
      </c>
      <c r="BH185" s="146" t="s">
        <v>322</v>
      </c>
      <c r="BI185" t="s">
        <v>323</v>
      </c>
      <c r="BJ185" t="s">
        <v>278</v>
      </c>
      <c r="BK185" s="148">
        <v>9.6371132903994159</v>
      </c>
      <c r="BL185" s="148">
        <v>9.6371132903994159</v>
      </c>
      <c r="BM185">
        <f t="shared" si="141"/>
        <v>1</v>
      </c>
      <c r="BN185">
        <f t="shared" si="113"/>
        <v>0</v>
      </c>
      <c r="BO185">
        <f t="shared" si="114"/>
        <v>0</v>
      </c>
      <c r="BP185" t="s">
        <v>232</v>
      </c>
      <c r="BQ185" s="302" t="s">
        <v>3106</v>
      </c>
      <c r="BR185" t="s">
        <v>279</v>
      </c>
      <c r="BS185">
        <v>176.62110895178901</v>
      </c>
      <c r="BT185">
        <v>192.24097622198209</v>
      </c>
      <c r="BU185" s="144">
        <f>IFERROR(BS185/BT185,"")</f>
        <v>0.91874850212913661</v>
      </c>
      <c r="BV185">
        <f>BS185-BT185</f>
        <v>-15.619867270193083</v>
      </c>
      <c r="BW185"/>
      <c r="BX185">
        <f t="shared" si="117"/>
        <v>-15.619867270193083</v>
      </c>
      <c r="BY185" t="str">
        <f t="shared" si="139"/>
        <v/>
      </c>
      <c r="BZ185">
        <v>0</v>
      </c>
      <c r="CA185">
        <v>0</v>
      </c>
      <c r="CB185">
        <v>0</v>
      </c>
      <c r="CC185">
        <v>0</v>
      </c>
      <c r="CD185">
        <v>0</v>
      </c>
      <c r="CE185">
        <v>0</v>
      </c>
      <c r="CF185">
        <v>0</v>
      </c>
      <c r="CG185">
        <v>0</v>
      </c>
      <c r="CH185">
        <v>0</v>
      </c>
      <c r="CI185">
        <v>0</v>
      </c>
      <c r="CJ185">
        <v>0</v>
      </c>
      <c r="CK185">
        <v>0</v>
      </c>
      <c r="CL185">
        <v>0</v>
      </c>
      <c r="CM185">
        <v>0</v>
      </c>
      <c r="CN185" t="str">
        <f t="shared" si="118"/>
        <v>refOK</v>
      </c>
      <c r="CO185">
        <f t="shared" si="137"/>
        <v>9.6371132903994159</v>
      </c>
      <c r="CP185">
        <f t="shared" si="138"/>
        <v>9.6371132903994159</v>
      </c>
      <c r="CQ185">
        <f t="shared" si="119"/>
        <v>0</v>
      </c>
      <c r="CR185">
        <f>IF($CN185="refOK",$BT185,$BS185)*IF($BP185="Emissions positive",-1,1)</f>
        <v>192.24097622198209</v>
      </c>
      <c r="CS185">
        <f>IF($CN185="refOK",$BS185,$BT185)*IF($BP185="Emissions positive",-1,1)</f>
        <v>176.62110895178901</v>
      </c>
      <c r="CT185">
        <f t="shared" si="122"/>
        <v>-15.619867270193083</v>
      </c>
      <c r="CU185" t="str">
        <f t="shared" si="123"/>
        <v/>
      </c>
      <c r="CV185" s="2">
        <f t="shared" si="124"/>
        <v>-8.1251497870863415E-2</v>
      </c>
      <c r="CW185" s="1" t="s">
        <v>234</v>
      </c>
      <c r="CX185" t="str">
        <f t="shared" si="125"/>
        <v>loc</v>
      </c>
      <c r="CY185" t="s">
        <v>280</v>
      </c>
      <c r="CZ185"/>
      <c r="DA185"/>
      <c r="DB185">
        <v>100</v>
      </c>
      <c r="DC185" t="str">
        <f t="shared" si="126"/>
        <v>71-100</v>
      </c>
      <c r="DD185">
        <v>0</v>
      </c>
      <c r="DE185">
        <v>1</v>
      </c>
      <c r="DF185">
        <v>0</v>
      </c>
      <c r="DG185">
        <v>1</v>
      </c>
      <c r="DH185"/>
      <c r="DI185">
        <f t="shared" si="129"/>
        <v>2</v>
      </c>
      <c r="DJ185" t="str">
        <f t="shared" si="130"/>
        <v>mixedProduct</v>
      </c>
      <c r="DK185">
        <f t="shared" si="131"/>
        <v>0</v>
      </c>
      <c r="DL185" t="str">
        <f t="shared" si="132"/>
        <v>Energy</v>
      </c>
      <c r="DM185">
        <f t="shared" si="133"/>
        <v>0</v>
      </c>
      <c r="DN185" t="str">
        <f t="shared" si="134"/>
        <v>Timber</v>
      </c>
      <c r="DO185">
        <v>0</v>
      </c>
      <c r="DP185">
        <v>1</v>
      </c>
      <c r="DQ185" t="s">
        <v>304</v>
      </c>
      <c r="DR185" t="s">
        <v>281</v>
      </c>
      <c r="DS185">
        <v>0</v>
      </c>
      <c r="DT185">
        <f t="shared" si="135"/>
        <v>1</v>
      </c>
      <c r="DU185" s="143" t="str">
        <f t="shared" si="136"/>
        <v>external DF used</v>
      </c>
      <c r="DV185">
        <v>0</v>
      </c>
      <c r="DW185">
        <v>1</v>
      </c>
      <c r="DX185">
        <v>1</v>
      </c>
      <c r="DY185">
        <v>1</v>
      </c>
      <c r="DZ185">
        <v>1</v>
      </c>
      <c r="EA185" s="143">
        <v>0</v>
      </c>
      <c r="EB185">
        <v>1</v>
      </c>
      <c r="EC185">
        <v>1</v>
      </c>
      <c r="ED185">
        <v>0</v>
      </c>
      <c r="EE185">
        <v>1</v>
      </c>
      <c r="EF185">
        <v>1</v>
      </c>
      <c r="EG185">
        <v>1</v>
      </c>
      <c r="EH185">
        <v>0</v>
      </c>
      <c r="EI185" s="2">
        <v>0</v>
      </c>
      <c r="EJ185" s="1"/>
      <c r="EK185" t="str">
        <f t="shared" si="127"/>
        <v>Whole sector</v>
      </c>
      <c r="EL185" t="str">
        <f t="shared" si="128"/>
        <v/>
      </c>
      <c r="EM185" s="2" t="str">
        <f t="shared" si="140"/>
        <v/>
      </c>
      <c r="EN185" t="s">
        <v>324</v>
      </c>
      <c r="EO185"/>
      <c r="EP185" t="b">
        <f>IF(ISNUMBER(BU185),IF(ABS(BU185-[3]QC_indicators!$B$2)&gt;3*[3]QC_indicators!$C$2,"C ratio",IF(ISNUMBER(BY185),IF(ABS(BY185-[3]QC_indicators!$B$1)&gt;3*[3]QC_indicators!$C$1,"DF","no"))),IF(ISNUMBER(BY185),IF(ABS(BY185-[3]QC_indicators!$B$1)&gt;3*[3]QC_indicators!$C$1,"DF","no")))</f>
        <v>0</v>
      </c>
      <c r="EQ185" t="s">
        <v>286</v>
      </c>
      <c r="ER185" s="147" t="s">
        <v>325</v>
      </c>
      <c r="ES185"/>
      <c r="ET185" s="264" t="s">
        <v>3272</v>
      </c>
      <c r="EU185"/>
    </row>
    <row r="186" spans="1:151" s="139" customFormat="1" ht="15" hidden="1" customHeight="1">
      <c r="A186" s="1" t="s">
        <v>265</v>
      </c>
      <c r="B186" t="s">
        <v>266</v>
      </c>
      <c r="C186" t="s">
        <v>267</v>
      </c>
      <c r="D186" t="s">
        <v>268</v>
      </c>
      <c r="E186" t="s">
        <v>269</v>
      </c>
      <c r="F186" t="s">
        <v>270</v>
      </c>
      <c r="G186" t="s">
        <v>271</v>
      </c>
      <c r="H186" t="s">
        <v>254</v>
      </c>
      <c r="I186">
        <v>2022</v>
      </c>
      <c r="J186">
        <v>0</v>
      </c>
      <c r="K186" t="s">
        <v>272</v>
      </c>
      <c r="L186"/>
      <c r="M186" t="str">
        <f t="shared" si="95"/>
        <v>Aryapratama_2022</v>
      </c>
      <c r="N186" t="s">
        <v>222</v>
      </c>
      <c r="O186" s="145" t="s">
        <v>274</v>
      </c>
      <c r="P186"/>
      <c r="Q186" t="s">
        <v>224</v>
      </c>
      <c r="R186" s="262" t="s">
        <v>223</v>
      </c>
      <c r="S186" s="1" t="s">
        <v>319</v>
      </c>
      <c r="T186" t="s">
        <v>312</v>
      </c>
      <c r="U186" t="s">
        <v>283</v>
      </c>
      <c r="V186">
        <v>0</v>
      </c>
      <c r="W186">
        <v>0</v>
      </c>
      <c r="X186">
        <v>0</v>
      </c>
      <c r="Y186">
        <v>0</v>
      </c>
      <c r="Z186">
        <v>0</v>
      </c>
      <c r="AA186">
        <v>0</v>
      </c>
      <c r="AB186">
        <v>0</v>
      </c>
      <c r="AC186">
        <v>0</v>
      </c>
      <c r="AD186">
        <v>0</v>
      </c>
      <c r="AE186">
        <v>0</v>
      </c>
      <c r="AF186">
        <v>1</v>
      </c>
      <c r="AG186">
        <v>0</v>
      </c>
      <c r="AH186">
        <v>0</v>
      </c>
      <c r="AI186">
        <v>0</v>
      </c>
      <c r="AJ186">
        <v>0</v>
      </c>
      <c r="AK186">
        <v>0</v>
      </c>
      <c r="AL186">
        <v>0</v>
      </c>
      <c r="AM186">
        <v>0</v>
      </c>
      <c r="AN186">
        <v>0</v>
      </c>
      <c r="AO186">
        <v>0</v>
      </c>
      <c r="AP186">
        <v>0</v>
      </c>
      <c r="AQ186">
        <v>0</v>
      </c>
      <c r="AR186">
        <v>0</v>
      </c>
      <c r="AS186">
        <v>0</v>
      </c>
      <c r="AT186">
        <v>0</v>
      </c>
      <c r="AU186">
        <v>0</v>
      </c>
      <c r="AV186">
        <v>0</v>
      </c>
      <c r="AW186">
        <v>0</v>
      </c>
      <c r="AX186" s="141">
        <f t="shared" si="106"/>
        <v>1</v>
      </c>
      <c r="AY186" s="141">
        <f t="shared" si="107"/>
        <v>1</v>
      </c>
      <c r="AZ186">
        <f t="shared" si="108"/>
        <v>0</v>
      </c>
      <c r="BA186">
        <f t="shared" si="109"/>
        <v>1</v>
      </c>
      <c r="BB186">
        <f t="shared" si="110"/>
        <v>0</v>
      </c>
      <c r="BC186">
        <f t="shared" si="111"/>
        <v>0</v>
      </c>
      <c r="BD186">
        <f t="shared" si="112"/>
        <v>0</v>
      </c>
      <c r="BE186" t="str">
        <f t="array" ref="BE186">IF(AY186=1,INDEX($V$7:$AL$7,MATCH(TRUE,INDEX($V186:$AW186&lt;&gt;0,),0)),IF(AY186=0,INDEX($AM$7:$AW$7,MATCH(1,$AM186:$AW186,0)),IF(BF186="Multiple strategies","mixed drivers",IF(BF186="Supply chain","multiple supply","multiple silviculture"))))</f>
        <v>supply chain organization</v>
      </c>
      <c r="BF186" s="2" t="str" cm="1">
        <f t="array" ref="BF186">IF(COUNTIF(AZ186:BB186,"&lt;&gt;0")=1,INDEX($V$4:$AW$4,MATCH(TRUE,INDEX($V186:$AW186&lt;&gt;0,),0)),IF(COUNTIF(AZ186:BB186,"&lt;&gt;0")=0,INDEX($AM$4:$AW$4,MATCH(1,$AM186:$AW186,0)),"Multiple strategies"))</f>
        <v>Supply chain</v>
      </c>
      <c r="BG186" s="1" t="s">
        <v>321</v>
      </c>
      <c r="BH186" s="146" t="s">
        <v>322</v>
      </c>
      <c r="BI186" t="s">
        <v>323</v>
      </c>
      <c r="BJ186" t="s">
        <v>278</v>
      </c>
      <c r="BK186" s="148">
        <v>9.6371132903994159</v>
      </c>
      <c r="BL186" s="148">
        <v>9.6371132903994159</v>
      </c>
      <c r="BM186">
        <f t="shared" si="141"/>
        <v>1</v>
      </c>
      <c r="BN186">
        <f t="shared" si="113"/>
        <v>0</v>
      </c>
      <c r="BO186">
        <f t="shared" si="114"/>
        <v>0</v>
      </c>
      <c r="BP186" t="s">
        <v>232</v>
      </c>
      <c r="BQ186" s="302" t="s">
        <v>3106</v>
      </c>
      <c r="BR186" t="s">
        <v>279</v>
      </c>
      <c r="BS186">
        <v>354.30409954781243</v>
      </c>
      <c r="BT186">
        <v>369.9239668180054</v>
      </c>
      <c r="BU186" s="144">
        <f>IFERROR(BS186/BT186,"")</f>
        <v>0.9577754655786398</v>
      </c>
      <c r="BV186">
        <f>BS186-BT186</f>
        <v>-15.619867270192969</v>
      </c>
      <c r="BW186"/>
      <c r="BX186">
        <f t="shared" si="117"/>
        <v>-15.619867270192969</v>
      </c>
      <c r="BY186" t="str">
        <f t="shared" si="139"/>
        <v/>
      </c>
      <c r="BZ186">
        <v>0</v>
      </c>
      <c r="CA186">
        <v>0</v>
      </c>
      <c r="CB186">
        <v>0</v>
      </c>
      <c r="CC186">
        <v>0</v>
      </c>
      <c r="CD186">
        <v>0</v>
      </c>
      <c r="CE186">
        <v>0</v>
      </c>
      <c r="CF186">
        <v>0</v>
      </c>
      <c r="CG186">
        <v>0</v>
      </c>
      <c r="CH186">
        <v>0</v>
      </c>
      <c r="CI186">
        <v>0</v>
      </c>
      <c r="CJ186">
        <v>0</v>
      </c>
      <c r="CK186">
        <v>0</v>
      </c>
      <c r="CL186">
        <v>0</v>
      </c>
      <c r="CM186">
        <v>0</v>
      </c>
      <c r="CN186" t="str">
        <f t="shared" si="118"/>
        <v>refOK</v>
      </c>
      <c r="CO186">
        <f t="shared" si="137"/>
        <v>9.6371132903994159</v>
      </c>
      <c r="CP186">
        <f t="shared" si="138"/>
        <v>9.6371132903994159</v>
      </c>
      <c r="CQ186">
        <f t="shared" si="119"/>
        <v>0</v>
      </c>
      <c r="CR186">
        <f>IF($CN186="refOK",$BT186,$BS186)*IF($BP186="Emissions positive",-1,1)</f>
        <v>369.9239668180054</v>
      </c>
      <c r="CS186">
        <f>IF($CN186="refOK",$BS186,$BT186)*IF($BP186="Emissions positive",-1,1)</f>
        <v>354.30409954781243</v>
      </c>
      <c r="CT186">
        <f t="shared" si="122"/>
        <v>-15.619867270192969</v>
      </c>
      <c r="CU186" t="str">
        <f t="shared" si="123"/>
        <v/>
      </c>
      <c r="CV186" s="2">
        <f t="shared" si="124"/>
        <v>-4.2224534421360177E-2</v>
      </c>
      <c r="CW186" s="1" t="s">
        <v>234</v>
      </c>
      <c r="CX186" t="str">
        <f t="shared" si="125"/>
        <v>loc</v>
      </c>
      <c r="CY186" t="s">
        <v>280</v>
      </c>
      <c r="CZ186"/>
      <c r="DA186"/>
      <c r="DB186">
        <v>100</v>
      </c>
      <c r="DC186" t="str">
        <f t="shared" si="126"/>
        <v>71-100</v>
      </c>
      <c r="DD186">
        <v>0</v>
      </c>
      <c r="DE186">
        <v>1</v>
      </c>
      <c r="DF186">
        <v>0</v>
      </c>
      <c r="DG186">
        <v>1</v>
      </c>
      <c r="DH186"/>
      <c r="DI186">
        <f t="shared" si="129"/>
        <v>2</v>
      </c>
      <c r="DJ186" t="str">
        <f t="shared" si="130"/>
        <v>mixedProduct</v>
      </c>
      <c r="DK186">
        <f t="shared" si="131"/>
        <v>0</v>
      </c>
      <c r="DL186" t="str">
        <f t="shared" si="132"/>
        <v>Energy</v>
      </c>
      <c r="DM186">
        <f t="shared" si="133"/>
        <v>0</v>
      </c>
      <c r="DN186" t="str">
        <f t="shared" si="134"/>
        <v>Timber</v>
      </c>
      <c r="DO186">
        <v>0</v>
      </c>
      <c r="DP186">
        <v>1</v>
      </c>
      <c r="DQ186" t="s">
        <v>304</v>
      </c>
      <c r="DR186" t="s">
        <v>281</v>
      </c>
      <c r="DS186">
        <v>0</v>
      </c>
      <c r="DT186">
        <f t="shared" si="135"/>
        <v>1</v>
      </c>
      <c r="DU186" s="143" t="str">
        <f t="shared" si="136"/>
        <v>external DF used</v>
      </c>
      <c r="DV186">
        <v>0</v>
      </c>
      <c r="DW186">
        <v>1</v>
      </c>
      <c r="DX186">
        <v>1</v>
      </c>
      <c r="DY186">
        <v>1</v>
      </c>
      <c r="DZ186">
        <v>1</v>
      </c>
      <c r="EA186" s="143">
        <v>0</v>
      </c>
      <c r="EB186">
        <v>1</v>
      </c>
      <c r="EC186">
        <v>1</v>
      </c>
      <c r="ED186">
        <v>0</v>
      </c>
      <c r="EE186">
        <v>1</v>
      </c>
      <c r="EF186">
        <v>1</v>
      </c>
      <c r="EG186">
        <v>1</v>
      </c>
      <c r="EH186">
        <v>0</v>
      </c>
      <c r="EI186" s="2">
        <v>0</v>
      </c>
      <c r="EJ186" s="1"/>
      <c r="EK186" t="str">
        <f t="shared" si="127"/>
        <v>Whole sector</v>
      </c>
      <c r="EL186" t="str">
        <f t="shared" si="128"/>
        <v/>
      </c>
      <c r="EM186" s="2" t="str">
        <f t="shared" si="140"/>
        <v/>
      </c>
      <c r="EN186" t="s">
        <v>324</v>
      </c>
      <c r="EO186"/>
      <c r="EP186" t="b">
        <f>IF(ISNUMBER(BU186),IF(ABS(BU186-[3]QC_indicators!$B$2)&gt;3*[3]QC_indicators!$C$2,"C ratio",IF(ISNUMBER(BY186),IF(ABS(BY186-[3]QC_indicators!$B$1)&gt;3*[3]QC_indicators!$C$1,"DF","no"))),IF(ISNUMBER(BY186),IF(ABS(BY186-[3]QC_indicators!$B$1)&gt;3*[3]QC_indicators!$C$1,"DF","no")))</f>
        <v>0</v>
      </c>
      <c r="EQ186" t="s">
        <v>286</v>
      </c>
      <c r="ER186" s="147" t="s">
        <v>325</v>
      </c>
      <c r="ES186"/>
      <c r="ET186" s="264" t="s">
        <v>3272</v>
      </c>
      <c r="EU186"/>
    </row>
    <row r="187" spans="1:151" s="139" customFormat="1" ht="15" hidden="1" customHeight="1">
      <c r="A187" s="1" t="s">
        <v>265</v>
      </c>
      <c r="B187" t="s">
        <v>266</v>
      </c>
      <c r="C187" t="s">
        <v>267</v>
      </c>
      <c r="D187" t="s">
        <v>268</v>
      </c>
      <c r="E187" t="s">
        <v>269</v>
      </c>
      <c r="F187" t="s">
        <v>270</v>
      </c>
      <c r="G187" t="s">
        <v>271</v>
      </c>
      <c r="H187" t="s">
        <v>254</v>
      </c>
      <c r="I187">
        <v>2022</v>
      </c>
      <c r="J187">
        <v>0</v>
      </c>
      <c r="K187" t="s">
        <v>272</v>
      </c>
      <c r="L187"/>
      <c r="M187" t="str">
        <f t="shared" si="95"/>
        <v>Aryapratama_2022</v>
      </c>
      <c r="N187" t="s">
        <v>222</v>
      </c>
      <c r="O187" s="145" t="s">
        <v>274</v>
      </c>
      <c r="P187"/>
      <c r="Q187" t="s">
        <v>224</v>
      </c>
      <c r="R187" s="262" t="s">
        <v>223</v>
      </c>
      <c r="S187" s="263" t="s">
        <v>3107</v>
      </c>
      <c r="T187" t="s">
        <v>283</v>
      </c>
      <c r="U187" t="s">
        <v>284</v>
      </c>
      <c r="V187">
        <v>0</v>
      </c>
      <c r="W187">
        <v>0</v>
      </c>
      <c r="X187">
        <v>0</v>
      </c>
      <c r="Y187">
        <v>0</v>
      </c>
      <c r="Z187">
        <v>0</v>
      </c>
      <c r="AA187">
        <v>0</v>
      </c>
      <c r="AB187">
        <v>0</v>
      </c>
      <c r="AC187">
        <v>0</v>
      </c>
      <c r="AD187">
        <v>1</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s="141">
        <f t="shared" si="106"/>
        <v>1</v>
      </c>
      <c r="AY187" s="141">
        <f t="shared" si="107"/>
        <v>1</v>
      </c>
      <c r="AZ187">
        <f t="shared" si="108"/>
        <v>0</v>
      </c>
      <c r="BA187">
        <f t="shared" si="109"/>
        <v>1</v>
      </c>
      <c r="BB187">
        <f t="shared" si="110"/>
        <v>0</v>
      </c>
      <c r="BC187">
        <f t="shared" si="111"/>
        <v>0</v>
      </c>
      <c r="BD187">
        <f t="shared" si="112"/>
        <v>0</v>
      </c>
      <c r="BE187" t="str">
        <f t="array" ref="BE187">IF(AY187=1,INDEX($V$7:$AL$7,MATCH(TRUE,INDEX($V187:$AW187&lt;&gt;0,),0)),IF(AY187=0,INDEX($AM$7:$AW$7,MATCH(1,$AM187:$AW187,0)),IF(BF187="Multiple strategies","mixed drivers",IF(BF187="Supply chain","multiple supply","multiple silviculture"))))</f>
        <v>harvesting system</v>
      </c>
      <c r="BF187" s="2" t="str" cm="1">
        <f t="array" ref="BF187">IF(COUNTIF(AZ187:BB187,"&lt;&gt;0")=1,INDEX($V$4:$AW$4,MATCH(TRUE,INDEX($V187:$AW187&lt;&gt;0,),0)),IF(COUNTIF(AZ187:BB187,"&lt;&gt;0")=0,INDEX($AM$4:$AW$4,MATCH(1,$AM187:$AW187,0)),"Multiple strategies"))</f>
        <v>Supply chain</v>
      </c>
      <c r="BG187" s="1" t="s">
        <v>229</v>
      </c>
      <c r="BH187" t="s">
        <v>285</v>
      </c>
      <c r="BI187"/>
      <c r="BJ187" t="s">
        <v>278</v>
      </c>
      <c r="BK187">
        <v>17.346803922718955</v>
      </c>
      <c r="BL187">
        <v>17.346803922718955</v>
      </c>
      <c r="BM187">
        <f t="shared" si="141"/>
        <v>1</v>
      </c>
      <c r="BN187">
        <f t="shared" si="113"/>
        <v>0</v>
      </c>
      <c r="BO187">
        <f t="shared" si="114"/>
        <v>0</v>
      </c>
      <c r="BP187" t="s">
        <v>232</v>
      </c>
      <c r="BQ187" s="302" t="s">
        <v>3106</v>
      </c>
      <c r="BR187" t="s">
        <v>279</v>
      </c>
      <c r="BS187">
        <v>369.9239668180054</v>
      </c>
      <c r="BT187">
        <v>192.24097622198209</v>
      </c>
      <c r="BU187" s="144">
        <f>IFERROR(BT187/BS187,"")</f>
        <v>0.51967699707480841</v>
      </c>
      <c r="BV187">
        <f>BT187-BS187</f>
        <v>-177.6829905960233</v>
      </c>
      <c r="BW187"/>
      <c r="BX187">
        <f t="shared" si="117"/>
        <v>-177.6829905960233</v>
      </c>
      <c r="BY187" t="str">
        <f t="shared" si="139"/>
        <v/>
      </c>
      <c r="BZ187">
        <v>0</v>
      </c>
      <c r="CA187">
        <v>0</v>
      </c>
      <c r="CB187">
        <v>0</v>
      </c>
      <c r="CC187">
        <v>0</v>
      </c>
      <c r="CD187">
        <v>0</v>
      </c>
      <c r="CE187">
        <v>0</v>
      </c>
      <c r="CF187">
        <v>0</v>
      </c>
      <c r="CG187">
        <v>0</v>
      </c>
      <c r="CH187">
        <v>0</v>
      </c>
      <c r="CI187">
        <v>0</v>
      </c>
      <c r="CJ187">
        <v>0</v>
      </c>
      <c r="CK187">
        <v>0</v>
      </c>
      <c r="CL187">
        <v>0</v>
      </c>
      <c r="CM187">
        <v>0</v>
      </c>
      <c r="CN187" t="str">
        <f t="shared" si="118"/>
        <v>refOK</v>
      </c>
      <c r="CO187">
        <f t="shared" si="137"/>
        <v>17.346803922718955</v>
      </c>
      <c r="CP187">
        <f t="shared" si="138"/>
        <v>17.346803922718955</v>
      </c>
      <c r="CQ187">
        <f t="shared" si="119"/>
        <v>0</v>
      </c>
      <c r="CR187">
        <f>IF($CN187="refOK",$BS187,$BT187)*IF($BP187="Emissions positive",-1,1)</f>
        <v>369.9239668180054</v>
      </c>
      <c r="CS187">
        <f>IF($CN187="refOK",$BT187,$BS187)*IF($BP187="Emissions positive",-1,1)</f>
        <v>192.24097622198209</v>
      </c>
      <c r="CT187">
        <f t="shared" si="122"/>
        <v>-177.6829905960233</v>
      </c>
      <c r="CU187" t="str">
        <f t="shared" si="123"/>
        <v/>
      </c>
      <c r="CV187" s="2">
        <f t="shared" si="124"/>
        <v>-0.48032300292519164</v>
      </c>
      <c r="CW187" s="1" t="s">
        <v>234</v>
      </c>
      <c r="CX187" t="str">
        <f t="shared" si="125"/>
        <v>loc</v>
      </c>
      <c r="CY187" t="s">
        <v>280</v>
      </c>
      <c r="CZ187"/>
      <c r="DA187"/>
      <c r="DB187">
        <v>100</v>
      </c>
      <c r="DC187" t="str">
        <f t="shared" si="126"/>
        <v>71-100</v>
      </c>
      <c r="DD187">
        <v>0</v>
      </c>
      <c r="DE187">
        <v>0</v>
      </c>
      <c r="DF187">
        <v>0</v>
      </c>
      <c r="DG187">
        <v>1</v>
      </c>
      <c r="DH187"/>
      <c r="DI187">
        <f t="shared" si="129"/>
        <v>1</v>
      </c>
      <c r="DJ187" t="str">
        <f t="shared" si="130"/>
        <v>TimberInput</v>
      </c>
      <c r="DK187">
        <f t="shared" si="131"/>
        <v>0</v>
      </c>
      <c r="DL187">
        <f t="shared" si="132"/>
        <v>0</v>
      </c>
      <c r="DM187">
        <f t="shared" si="133"/>
        <v>0</v>
      </c>
      <c r="DN187" t="str">
        <f t="shared" si="134"/>
        <v>Timber</v>
      </c>
      <c r="DO187">
        <v>0</v>
      </c>
      <c r="DP187">
        <v>1</v>
      </c>
      <c r="DQ187">
        <v>0</v>
      </c>
      <c r="DR187" t="s">
        <v>281</v>
      </c>
      <c r="DS187">
        <v>0</v>
      </c>
      <c r="DT187">
        <f t="shared" si="135"/>
        <v>1</v>
      </c>
      <c r="DU187" s="143" t="str">
        <f t="shared" si="136"/>
        <v>external DF used</v>
      </c>
      <c r="DV187">
        <v>0</v>
      </c>
      <c r="DW187">
        <v>1</v>
      </c>
      <c r="DX187">
        <v>1</v>
      </c>
      <c r="DY187">
        <v>1</v>
      </c>
      <c r="DZ187">
        <v>1</v>
      </c>
      <c r="EA187" s="143">
        <v>0</v>
      </c>
      <c r="EB187">
        <v>1</v>
      </c>
      <c r="EC187">
        <v>1</v>
      </c>
      <c r="ED187">
        <v>0</v>
      </c>
      <c r="EE187">
        <v>1</v>
      </c>
      <c r="EF187">
        <v>1</v>
      </c>
      <c r="EG187">
        <v>1</v>
      </c>
      <c r="EH187">
        <v>0</v>
      </c>
      <c r="EI187" s="2">
        <v>0</v>
      </c>
      <c r="EJ187" s="1"/>
      <c r="EK187" t="str">
        <f t="shared" si="127"/>
        <v>Whole sector</v>
      </c>
      <c r="EL187" t="str">
        <f t="shared" si="128"/>
        <v/>
      </c>
      <c r="EM187" s="2" t="str">
        <f t="shared" si="140"/>
        <v/>
      </c>
      <c r="EN187"/>
      <c r="EO187"/>
      <c r="EP187" t="b">
        <f>IF(ISNUMBER(BU187),IF(ABS(BU187-[3]QC_indicators!$B$2)&gt;3*[3]QC_indicators!$C$2,"C ratio",IF(ISNUMBER(BY187),IF(ABS(BY187-[3]QC_indicators!$B$1)&gt;3*[3]QC_indicators!$C$1,"DF","no"))),IF(ISNUMBER(BY187),IF(ABS(BY187-[3]QC_indicators!$B$1)&gt;3*[3]QC_indicators!$C$1,"DF","no")))</f>
        <v>0</v>
      </c>
      <c r="EQ187" t="s">
        <v>286</v>
      </c>
      <c r="ER187"/>
      <c r="ES187"/>
      <c r="ET187" s="264" t="s">
        <v>3272</v>
      </c>
      <c r="EU187"/>
    </row>
    <row r="188" spans="1:151" s="139" customFormat="1" ht="15" hidden="1" customHeight="1">
      <c r="A188" s="1" t="s">
        <v>265</v>
      </c>
      <c r="B188" t="s">
        <v>266</v>
      </c>
      <c r="C188" t="s">
        <v>267</v>
      </c>
      <c r="D188" t="s">
        <v>268</v>
      </c>
      <c r="E188" t="s">
        <v>269</v>
      </c>
      <c r="F188" t="s">
        <v>270</v>
      </c>
      <c r="G188" t="s">
        <v>271</v>
      </c>
      <c r="H188" t="s">
        <v>254</v>
      </c>
      <c r="I188">
        <v>2022</v>
      </c>
      <c r="J188">
        <v>0</v>
      </c>
      <c r="K188" t="s">
        <v>272</v>
      </c>
      <c r="L188"/>
      <c r="M188" t="str">
        <f t="shared" si="95"/>
        <v>Aryapratama_2022</v>
      </c>
      <c r="N188" t="s">
        <v>222</v>
      </c>
      <c r="O188" s="145" t="s">
        <v>274</v>
      </c>
      <c r="P188"/>
      <c r="Q188" t="s">
        <v>224</v>
      </c>
      <c r="R188" s="262" t="s">
        <v>223</v>
      </c>
      <c r="S188" s="263" t="s">
        <v>3107</v>
      </c>
      <c r="T188" t="s">
        <v>312</v>
      </c>
      <c r="U188" t="s">
        <v>303</v>
      </c>
      <c r="V188">
        <v>0</v>
      </c>
      <c r="W188">
        <v>0</v>
      </c>
      <c r="X188">
        <v>0</v>
      </c>
      <c r="Y188">
        <v>0</v>
      </c>
      <c r="Z188">
        <v>0</v>
      </c>
      <c r="AA188">
        <v>0</v>
      </c>
      <c r="AB188">
        <v>0</v>
      </c>
      <c r="AC188">
        <v>0</v>
      </c>
      <c r="AD188">
        <v>1</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s="141">
        <f t="shared" si="106"/>
        <v>1</v>
      </c>
      <c r="AY188" s="141">
        <f t="shared" si="107"/>
        <v>1</v>
      </c>
      <c r="AZ188">
        <f t="shared" si="108"/>
        <v>0</v>
      </c>
      <c r="BA188">
        <f t="shared" si="109"/>
        <v>1</v>
      </c>
      <c r="BB188">
        <f t="shared" si="110"/>
        <v>0</v>
      </c>
      <c r="BC188">
        <f t="shared" si="111"/>
        <v>0</v>
      </c>
      <c r="BD188">
        <f t="shared" si="112"/>
        <v>0</v>
      </c>
      <c r="BE188" t="str">
        <f t="array" ref="BE188">IF(AY188=1,INDEX($V$7:$AL$7,MATCH(TRUE,INDEX($V188:$AW188&lt;&gt;0,),0)),IF(AY188=0,INDEX($AM$7:$AW$7,MATCH(1,$AM188:$AW188,0)),IF(BF188="Multiple strategies","mixed drivers",IF(BF188="Supply chain","multiple supply","multiple silviculture"))))</f>
        <v>harvesting system</v>
      </c>
      <c r="BF188" s="2" t="str" cm="1">
        <f t="array" ref="BF188">IF(COUNTIF(AZ188:BB188,"&lt;&gt;0")=1,INDEX($V$4:$AW$4,MATCH(TRUE,INDEX($V188:$AW188&lt;&gt;0,),0)),IF(COUNTIF(AZ188:BB188,"&lt;&gt;0")=0,INDEX($AM$4:$AW$4,MATCH(1,$AM188:$AW188,0)),"Multiple strategies"))</f>
        <v>Supply chain</v>
      </c>
      <c r="BG188" s="1" t="s">
        <v>229</v>
      </c>
      <c r="BH188" t="s">
        <v>285</v>
      </c>
      <c r="BI188"/>
      <c r="BJ188" t="s">
        <v>278</v>
      </c>
      <c r="BK188">
        <v>15.419381264639073</v>
      </c>
      <c r="BL188">
        <v>15.419381264639073</v>
      </c>
      <c r="BM188">
        <f t="shared" si="141"/>
        <v>1</v>
      </c>
      <c r="BN188">
        <f t="shared" si="113"/>
        <v>0</v>
      </c>
      <c r="BO188">
        <f t="shared" si="114"/>
        <v>0</v>
      </c>
      <c r="BP188" t="s">
        <v>232</v>
      </c>
      <c r="BQ188" s="302" t="s">
        <v>3106</v>
      </c>
      <c r="BR188" t="s">
        <v>279</v>
      </c>
      <c r="BS188">
        <v>167.28412809039341</v>
      </c>
      <c r="BT188">
        <v>82.450615050179124</v>
      </c>
      <c r="BU188" s="144">
        <f>IFERROR(BT188/BS188,"")</f>
        <v>0.49287769253055635</v>
      </c>
      <c r="BV188">
        <f>BT188-BS188</f>
        <v>-84.833513040214285</v>
      </c>
      <c r="BW188"/>
      <c r="BX188">
        <f t="shared" si="117"/>
        <v>-84.833513040214285</v>
      </c>
      <c r="BY188" t="str">
        <f t="shared" si="139"/>
        <v/>
      </c>
      <c r="BZ188">
        <v>0</v>
      </c>
      <c r="CA188">
        <v>0</v>
      </c>
      <c r="CB188">
        <v>0</v>
      </c>
      <c r="CC188">
        <v>0</v>
      </c>
      <c r="CD188">
        <v>0</v>
      </c>
      <c r="CE188">
        <v>0</v>
      </c>
      <c r="CF188">
        <v>0</v>
      </c>
      <c r="CG188">
        <v>0</v>
      </c>
      <c r="CH188">
        <v>0</v>
      </c>
      <c r="CI188">
        <v>0</v>
      </c>
      <c r="CJ188">
        <v>0</v>
      </c>
      <c r="CK188">
        <v>0</v>
      </c>
      <c r="CL188">
        <v>0</v>
      </c>
      <c r="CM188">
        <v>0</v>
      </c>
      <c r="CN188" t="str">
        <f t="shared" si="118"/>
        <v>refOK</v>
      </c>
      <c r="CO188">
        <f t="shared" si="137"/>
        <v>15.419381264639073</v>
      </c>
      <c r="CP188">
        <f t="shared" si="138"/>
        <v>15.419381264639073</v>
      </c>
      <c r="CQ188">
        <f t="shared" si="119"/>
        <v>0</v>
      </c>
      <c r="CR188">
        <f>IF($CN188="refOK",$BS188,$BT188)*IF($BP188="Emissions positive",-1,1)</f>
        <v>167.28412809039341</v>
      </c>
      <c r="CS188">
        <f>IF($CN188="refOK",$BT188,$BS188)*IF($BP188="Emissions positive",-1,1)</f>
        <v>82.450615050179124</v>
      </c>
      <c r="CT188">
        <f t="shared" si="122"/>
        <v>-84.833513040214285</v>
      </c>
      <c r="CU188" t="str">
        <f t="shared" si="123"/>
        <v/>
      </c>
      <c r="CV188" s="2">
        <f t="shared" si="124"/>
        <v>-0.50712230746944365</v>
      </c>
      <c r="CW188" s="1" t="s">
        <v>234</v>
      </c>
      <c r="CX188" t="str">
        <f t="shared" si="125"/>
        <v>loc</v>
      </c>
      <c r="CY188" t="s">
        <v>280</v>
      </c>
      <c r="CZ188"/>
      <c r="DA188"/>
      <c r="DB188">
        <v>50</v>
      </c>
      <c r="DC188" t="str">
        <f t="shared" si="126"/>
        <v>31-70</v>
      </c>
      <c r="DD188">
        <v>0</v>
      </c>
      <c r="DE188">
        <v>1</v>
      </c>
      <c r="DF188">
        <v>0</v>
      </c>
      <c r="DG188">
        <v>0</v>
      </c>
      <c r="DH188"/>
      <c r="DI188">
        <f t="shared" si="129"/>
        <v>1</v>
      </c>
      <c r="DJ188" t="str">
        <f t="shared" si="130"/>
        <v>EnergyInput</v>
      </c>
      <c r="DK188">
        <f t="shared" si="131"/>
        <v>0</v>
      </c>
      <c r="DL188" t="str">
        <f t="shared" si="132"/>
        <v>Energy</v>
      </c>
      <c r="DM188">
        <f t="shared" si="133"/>
        <v>0</v>
      </c>
      <c r="DN188">
        <f t="shared" si="134"/>
        <v>0</v>
      </c>
      <c r="DO188">
        <v>0</v>
      </c>
      <c r="DP188">
        <v>1</v>
      </c>
      <c r="DQ188" t="s">
        <v>304</v>
      </c>
      <c r="DR188" t="s">
        <v>281</v>
      </c>
      <c r="DS188">
        <v>0</v>
      </c>
      <c r="DT188">
        <f t="shared" si="135"/>
        <v>1</v>
      </c>
      <c r="DU188" s="143" t="str">
        <f t="shared" si="136"/>
        <v>external DF used</v>
      </c>
      <c r="DV188">
        <v>0</v>
      </c>
      <c r="DW188">
        <v>1</v>
      </c>
      <c r="DX188">
        <v>1</v>
      </c>
      <c r="DY188">
        <v>1</v>
      </c>
      <c r="DZ188">
        <v>1</v>
      </c>
      <c r="EA188" s="143">
        <v>0</v>
      </c>
      <c r="EB188">
        <v>1</v>
      </c>
      <c r="EC188">
        <v>1</v>
      </c>
      <c r="ED188">
        <v>0</v>
      </c>
      <c r="EE188">
        <v>1</v>
      </c>
      <c r="EF188">
        <v>1</v>
      </c>
      <c r="EG188">
        <v>1</v>
      </c>
      <c r="EH188">
        <v>0</v>
      </c>
      <c r="EI188" s="2">
        <v>0</v>
      </c>
      <c r="EJ188" s="1"/>
      <c r="EK188" t="str">
        <f t="shared" si="127"/>
        <v>Whole sector</v>
      </c>
      <c r="EL188" t="str">
        <f t="shared" si="128"/>
        <v/>
      </c>
      <c r="EM188" s="2" t="str">
        <f t="shared" si="140"/>
        <v/>
      </c>
      <c r="EN188"/>
      <c r="EO188"/>
      <c r="EP188" t="b">
        <f>IF(ISNUMBER(BU188),IF(ABS(BU188-[3]QC_indicators!$B$2)&gt;3*[3]QC_indicators!$C$2,"C ratio",IF(ISNUMBER(BY188),IF(ABS(BY188-[3]QC_indicators!$B$1)&gt;3*[3]QC_indicators!$C$1,"DF","no"))),IF(ISNUMBER(BY188),IF(ABS(BY188-[3]QC_indicators!$B$1)&gt;3*[3]QC_indicators!$C$1,"DF","no")))</f>
        <v>0</v>
      </c>
      <c r="EQ188" t="s">
        <v>286</v>
      </c>
      <c r="ER188"/>
      <c r="ES188"/>
      <c r="ET188" s="264" t="s">
        <v>3272</v>
      </c>
      <c r="EU188"/>
    </row>
    <row r="189" spans="1:151" s="139" customFormat="1" ht="15" hidden="1" customHeight="1">
      <c r="A189" s="1" t="s">
        <v>265</v>
      </c>
      <c r="B189" t="s">
        <v>266</v>
      </c>
      <c r="C189" t="s">
        <v>267</v>
      </c>
      <c r="D189" t="s">
        <v>268</v>
      </c>
      <c r="E189" t="s">
        <v>269</v>
      </c>
      <c r="F189" t="s">
        <v>270</v>
      </c>
      <c r="G189" t="s">
        <v>271</v>
      </c>
      <c r="H189" t="s">
        <v>254</v>
      </c>
      <c r="I189">
        <v>2022</v>
      </c>
      <c r="J189">
        <v>0</v>
      </c>
      <c r="K189" t="s">
        <v>272</v>
      </c>
      <c r="L189"/>
      <c r="M189" t="str">
        <f t="shared" si="95"/>
        <v>Aryapratama_2022</v>
      </c>
      <c r="N189" t="s">
        <v>222</v>
      </c>
      <c r="O189" s="145" t="s">
        <v>274</v>
      </c>
      <c r="P189"/>
      <c r="Q189" t="s">
        <v>224</v>
      </c>
      <c r="R189" s="262" t="s">
        <v>223</v>
      </c>
      <c r="S189" s="263" t="s">
        <v>319</v>
      </c>
      <c r="T189" t="s">
        <v>320</v>
      </c>
      <c r="U189" t="s">
        <v>275</v>
      </c>
      <c r="V189">
        <v>0</v>
      </c>
      <c r="W189">
        <v>0</v>
      </c>
      <c r="X189">
        <v>0</v>
      </c>
      <c r="Y189">
        <v>0</v>
      </c>
      <c r="Z189">
        <v>0</v>
      </c>
      <c r="AA189">
        <v>0</v>
      </c>
      <c r="AB189">
        <v>0</v>
      </c>
      <c r="AC189">
        <v>0</v>
      </c>
      <c r="AD189">
        <v>0</v>
      </c>
      <c r="AE189">
        <v>0</v>
      </c>
      <c r="AF189">
        <v>1</v>
      </c>
      <c r="AG189">
        <v>0</v>
      </c>
      <c r="AH189">
        <v>0</v>
      </c>
      <c r="AI189">
        <v>0</v>
      </c>
      <c r="AJ189">
        <v>0</v>
      </c>
      <c r="AK189">
        <v>0</v>
      </c>
      <c r="AL189">
        <v>0</v>
      </c>
      <c r="AM189">
        <v>0</v>
      </c>
      <c r="AN189">
        <v>0</v>
      </c>
      <c r="AO189">
        <v>0</v>
      </c>
      <c r="AP189">
        <v>0</v>
      </c>
      <c r="AQ189">
        <v>0</v>
      </c>
      <c r="AR189">
        <v>0</v>
      </c>
      <c r="AS189">
        <v>0</v>
      </c>
      <c r="AT189">
        <v>0</v>
      </c>
      <c r="AU189">
        <v>0</v>
      </c>
      <c r="AV189">
        <v>0</v>
      </c>
      <c r="AW189">
        <v>0</v>
      </c>
      <c r="AX189" s="141">
        <f t="shared" si="106"/>
        <v>1</v>
      </c>
      <c r="AY189" s="141">
        <f t="shared" si="107"/>
        <v>1</v>
      </c>
      <c r="AZ189">
        <f t="shared" si="108"/>
        <v>0</v>
      </c>
      <c r="BA189">
        <f t="shared" si="109"/>
        <v>1</v>
      </c>
      <c r="BB189">
        <f t="shared" si="110"/>
        <v>0</v>
      </c>
      <c r="BC189">
        <f t="shared" si="111"/>
        <v>0</v>
      </c>
      <c r="BD189">
        <f t="shared" si="112"/>
        <v>0</v>
      </c>
      <c r="BE189" t="str">
        <f t="array" ref="BE189">IF(AY189=1,INDEX($V$7:$AL$7,MATCH(TRUE,INDEX($V189:$AW189&lt;&gt;0,),0)),IF(AY189=0,INDEX($AM$7:$AW$7,MATCH(1,$AM189:$AW189,0)),IF(BF189="Multiple strategies","mixed drivers",IF(BF189="Supply chain","multiple supply","multiple silviculture"))))</f>
        <v>supply chain organization</v>
      </c>
      <c r="BF189" s="2" t="str" cm="1">
        <f t="array" ref="BF189">IF(COUNTIF(AZ189:BB189,"&lt;&gt;0")=1,INDEX($V$4:$AW$4,MATCH(TRUE,INDEX($V189:$AW189&lt;&gt;0,),0)),IF(COUNTIF(AZ189:BB189,"&lt;&gt;0")=0,INDEX($AM$4:$AW$4,MATCH(1,$AM189:$AW189,0)),"Multiple strategies"))</f>
        <v>Supply chain</v>
      </c>
      <c r="BG189" s="1" t="s">
        <v>321</v>
      </c>
      <c r="BH189" s="146" t="s">
        <v>322</v>
      </c>
      <c r="BI189" t="s">
        <v>323</v>
      </c>
      <c r="BJ189" t="s">
        <v>278</v>
      </c>
      <c r="BK189">
        <v>225.96603773584911</v>
      </c>
      <c r="BL189">
        <v>225.96603773584911</v>
      </c>
      <c r="BM189">
        <f t="shared" si="141"/>
        <v>1</v>
      </c>
      <c r="BN189">
        <f t="shared" si="113"/>
        <v>0</v>
      </c>
      <c r="BO189">
        <f t="shared" si="114"/>
        <v>0</v>
      </c>
      <c r="BP189" t="s">
        <v>232</v>
      </c>
      <c r="BQ189" s="302" t="s">
        <v>3106</v>
      </c>
      <c r="BR189" t="s">
        <v>279</v>
      </c>
      <c r="BS189">
        <v>-683.46368424028469</v>
      </c>
      <c r="BT189">
        <v>-430.22235574765915</v>
      </c>
      <c r="BU189" s="144">
        <f>IFERROR(BS189/BT189,"")</f>
        <v>1.5886289382906003</v>
      </c>
      <c r="BV189">
        <f>BS189-BT189</f>
        <v>-253.24132849262554</v>
      </c>
      <c r="BW189"/>
      <c r="BX189">
        <f t="shared" si="117"/>
        <v>-253.24132849262554</v>
      </c>
      <c r="BY189" t="str">
        <f t="shared" si="139"/>
        <v/>
      </c>
      <c r="BZ189">
        <v>0</v>
      </c>
      <c r="CA189">
        <v>0</v>
      </c>
      <c r="CB189">
        <v>0</v>
      </c>
      <c r="CC189">
        <v>0</v>
      </c>
      <c r="CD189">
        <v>0</v>
      </c>
      <c r="CE189">
        <v>0</v>
      </c>
      <c r="CF189">
        <v>0</v>
      </c>
      <c r="CG189">
        <v>0</v>
      </c>
      <c r="CH189">
        <v>0</v>
      </c>
      <c r="CI189">
        <v>0</v>
      </c>
      <c r="CJ189">
        <v>0</v>
      </c>
      <c r="CK189">
        <v>0</v>
      </c>
      <c r="CL189">
        <v>0</v>
      </c>
      <c r="CM189">
        <v>0</v>
      </c>
      <c r="CN189" t="str">
        <f t="shared" si="118"/>
        <v>refOK</v>
      </c>
      <c r="CO189">
        <f t="shared" si="137"/>
        <v>225.96603773584911</v>
      </c>
      <c r="CP189">
        <f t="shared" si="138"/>
        <v>225.96603773584911</v>
      </c>
      <c r="CQ189">
        <f t="shared" si="119"/>
        <v>0</v>
      </c>
      <c r="CR189">
        <f>IF($CN189="refOK",$BT189,$BS189)*IF($BP189="Emissions positive",-1,1)</f>
        <v>-430.22235574765915</v>
      </c>
      <c r="CS189">
        <f>IF($CN189="refOK",$BS189,$BT189)*IF($BP189="Emissions positive",-1,1)</f>
        <v>-683.46368424028469</v>
      </c>
      <c r="CT189">
        <f t="shared" si="122"/>
        <v>-253.24132849262554</v>
      </c>
      <c r="CU189" t="str">
        <f t="shared" si="123"/>
        <v/>
      </c>
      <c r="CV189" s="2">
        <f t="shared" si="124"/>
        <v>-0.58862893829060026</v>
      </c>
      <c r="CW189" s="1" t="s">
        <v>234</v>
      </c>
      <c r="CX189" t="str">
        <f t="shared" si="125"/>
        <v>loc</v>
      </c>
      <c r="CY189" t="s">
        <v>280</v>
      </c>
      <c r="CZ189"/>
      <c r="DA189"/>
      <c r="DB189">
        <v>50</v>
      </c>
      <c r="DC189" t="str">
        <f t="shared" si="126"/>
        <v>31-70</v>
      </c>
      <c r="DD189">
        <v>0</v>
      </c>
      <c r="DE189">
        <v>1</v>
      </c>
      <c r="DF189">
        <v>0</v>
      </c>
      <c r="DG189">
        <v>1</v>
      </c>
      <c r="DH189"/>
      <c r="DI189">
        <f t="shared" si="129"/>
        <v>2</v>
      </c>
      <c r="DJ189" t="str">
        <f t="shared" si="130"/>
        <v>mixedProduct</v>
      </c>
      <c r="DK189">
        <f t="shared" si="131"/>
        <v>0</v>
      </c>
      <c r="DL189" t="str">
        <f t="shared" si="132"/>
        <v>Energy</v>
      </c>
      <c r="DM189">
        <f t="shared" si="133"/>
        <v>0</v>
      </c>
      <c r="DN189" t="str">
        <f t="shared" si="134"/>
        <v>Timber</v>
      </c>
      <c r="DO189">
        <v>0</v>
      </c>
      <c r="DP189">
        <v>1</v>
      </c>
      <c r="DQ189" t="s">
        <v>304</v>
      </c>
      <c r="DR189" t="s">
        <v>281</v>
      </c>
      <c r="DS189">
        <v>0</v>
      </c>
      <c r="DT189">
        <f t="shared" si="135"/>
        <v>1</v>
      </c>
      <c r="DU189" s="143" t="str">
        <f t="shared" si="136"/>
        <v>external DF used</v>
      </c>
      <c r="DV189">
        <v>0</v>
      </c>
      <c r="DW189">
        <v>1</v>
      </c>
      <c r="DX189">
        <v>1</v>
      </c>
      <c r="DY189">
        <v>1</v>
      </c>
      <c r="DZ189">
        <v>1</v>
      </c>
      <c r="EA189" s="143">
        <v>0</v>
      </c>
      <c r="EB189">
        <v>1</v>
      </c>
      <c r="EC189">
        <v>1</v>
      </c>
      <c r="ED189">
        <v>0</v>
      </c>
      <c r="EE189">
        <v>1</v>
      </c>
      <c r="EF189">
        <v>1</v>
      </c>
      <c r="EG189">
        <v>1</v>
      </c>
      <c r="EH189">
        <v>0</v>
      </c>
      <c r="EI189" s="2">
        <v>0</v>
      </c>
      <c r="EJ189" s="1"/>
      <c r="EK189" t="str">
        <f t="shared" si="127"/>
        <v>Whole sector</v>
      </c>
      <c r="EL189" t="str">
        <f t="shared" si="128"/>
        <v/>
      </c>
      <c r="EM189" s="2" t="str">
        <f t="shared" si="140"/>
        <v/>
      </c>
      <c r="EN189" t="s">
        <v>324</v>
      </c>
      <c r="EO189"/>
      <c r="EP189" t="b">
        <f>IF(ISNUMBER(BU189),IF(ABS(BU189-[3]QC_indicators!$B$2)&gt;3*[3]QC_indicators!$C$2,"C ratio",IF(ISNUMBER(BY189),IF(ABS(BY189-[3]QC_indicators!$B$1)&gt;3*[3]QC_indicators!$C$1,"DF","no"))),IF(ISNUMBER(BY189),IF(ABS(BY189-[3]QC_indicators!$B$1)&gt;3*[3]QC_indicators!$C$1,"DF","no")))</f>
        <v>0</v>
      </c>
      <c r="EQ189" t="s">
        <v>286</v>
      </c>
      <c r="ER189" s="147" t="s">
        <v>325</v>
      </c>
      <c r="ES189"/>
      <c r="ET189" s="264" t="s">
        <v>3272</v>
      </c>
      <c r="EU189"/>
    </row>
    <row r="190" spans="1:151" s="139" customFormat="1" ht="15" hidden="1" customHeight="1">
      <c r="A190" s="1" t="s">
        <v>265</v>
      </c>
      <c r="B190" t="s">
        <v>266</v>
      </c>
      <c r="C190" t="s">
        <v>267</v>
      </c>
      <c r="D190" t="s">
        <v>268</v>
      </c>
      <c r="E190" t="s">
        <v>269</v>
      </c>
      <c r="F190" t="s">
        <v>270</v>
      </c>
      <c r="G190" t="s">
        <v>271</v>
      </c>
      <c r="H190" t="s">
        <v>254</v>
      </c>
      <c r="I190">
        <v>2022</v>
      </c>
      <c r="J190">
        <v>0</v>
      </c>
      <c r="K190" t="s">
        <v>272</v>
      </c>
      <c r="L190"/>
      <c r="M190" t="str">
        <f t="shared" si="95"/>
        <v>Aryapratama_2022</v>
      </c>
      <c r="N190" t="s">
        <v>222</v>
      </c>
      <c r="O190" s="145" t="s">
        <v>274</v>
      </c>
      <c r="P190"/>
      <c r="Q190" t="s">
        <v>224</v>
      </c>
      <c r="R190" s="262" t="s">
        <v>223</v>
      </c>
      <c r="S190" s="1" t="s">
        <v>319</v>
      </c>
      <c r="T190" t="s">
        <v>326</v>
      </c>
      <c r="U190" t="s">
        <v>276</v>
      </c>
      <c r="V190">
        <v>0</v>
      </c>
      <c r="W190">
        <v>0</v>
      </c>
      <c r="X190">
        <v>0</v>
      </c>
      <c r="Y190">
        <v>0</v>
      </c>
      <c r="Z190">
        <v>0</v>
      </c>
      <c r="AA190">
        <v>0</v>
      </c>
      <c r="AB190">
        <v>0</v>
      </c>
      <c r="AC190">
        <v>0</v>
      </c>
      <c r="AD190">
        <v>0</v>
      </c>
      <c r="AE190">
        <v>0</v>
      </c>
      <c r="AF190">
        <v>1</v>
      </c>
      <c r="AG190">
        <v>0</v>
      </c>
      <c r="AH190">
        <v>0</v>
      </c>
      <c r="AI190">
        <v>0</v>
      </c>
      <c r="AJ190">
        <v>0</v>
      </c>
      <c r="AK190">
        <v>0</v>
      </c>
      <c r="AL190">
        <v>0</v>
      </c>
      <c r="AM190">
        <v>0</v>
      </c>
      <c r="AN190">
        <v>0</v>
      </c>
      <c r="AO190">
        <v>0</v>
      </c>
      <c r="AP190">
        <v>0</v>
      </c>
      <c r="AQ190">
        <v>0</v>
      </c>
      <c r="AR190">
        <v>0</v>
      </c>
      <c r="AS190">
        <v>0</v>
      </c>
      <c r="AT190">
        <v>0</v>
      </c>
      <c r="AU190">
        <v>0</v>
      </c>
      <c r="AV190">
        <v>0</v>
      </c>
      <c r="AW190">
        <v>0</v>
      </c>
      <c r="AX190" s="141">
        <f t="shared" si="106"/>
        <v>1</v>
      </c>
      <c r="AY190" s="141">
        <f t="shared" si="107"/>
        <v>1</v>
      </c>
      <c r="AZ190">
        <f t="shared" si="108"/>
        <v>0</v>
      </c>
      <c r="BA190">
        <f t="shared" si="109"/>
        <v>1</v>
      </c>
      <c r="BB190">
        <f t="shared" si="110"/>
        <v>0</v>
      </c>
      <c r="BC190">
        <f t="shared" si="111"/>
        <v>0</v>
      </c>
      <c r="BD190">
        <f t="shared" si="112"/>
        <v>0</v>
      </c>
      <c r="BE190" t="str">
        <f t="array" ref="BE190">IF(AY190=1,INDEX($V$7:$AL$7,MATCH(TRUE,INDEX($V190:$AW190&lt;&gt;0,),0)),IF(AY190=0,INDEX($AM$7:$AW$7,MATCH(1,$AM190:$AW190,0)),IF(BF190="Multiple strategies","mixed drivers",IF(BF190="Supply chain","multiple supply","multiple silviculture"))))</f>
        <v>supply chain organization</v>
      </c>
      <c r="BF190" s="2" t="str" cm="1">
        <f t="array" ref="BF190">IF(COUNTIF(AZ190:BB190,"&lt;&gt;0")=1,INDEX($V$4:$AW$4,MATCH(TRUE,INDEX($V190:$AW190&lt;&gt;0,),0)),IF(COUNTIF(AZ190:BB190,"&lt;&gt;0")=0,INDEX($AM$4:$AW$4,MATCH(1,$AM190:$AW190,0)),"Multiple strategies"))</f>
        <v>Supply chain</v>
      </c>
      <c r="BG190" s="1" t="s">
        <v>321</v>
      </c>
      <c r="BH190" s="146" t="s">
        <v>322</v>
      </c>
      <c r="BI190" t="s">
        <v>323</v>
      </c>
      <c r="BJ190" t="s">
        <v>278</v>
      </c>
      <c r="BK190" s="148">
        <v>225.96603773584911</v>
      </c>
      <c r="BL190" s="148">
        <v>225.96603773584911</v>
      </c>
      <c r="BM190">
        <f t="shared" si="141"/>
        <v>1</v>
      </c>
      <c r="BN190">
        <f t="shared" si="113"/>
        <v>0</v>
      </c>
      <c r="BO190">
        <f t="shared" si="114"/>
        <v>0</v>
      </c>
      <c r="BP190" t="s">
        <v>232</v>
      </c>
      <c r="BQ190" s="302" t="s">
        <v>3106</v>
      </c>
      <c r="BR190" t="s">
        <v>279</v>
      </c>
      <c r="BS190">
        <v>-930.07336759388943</v>
      </c>
      <c r="BT190">
        <v>-654.85817268246092</v>
      </c>
      <c r="BU190" s="144">
        <f>IFERROR(BS190/BT190,"")</f>
        <v>1.42026687058677</v>
      </c>
      <c r="BV190">
        <f>BS190-BT190</f>
        <v>-275.21519491142851</v>
      </c>
      <c r="BW190"/>
      <c r="BX190">
        <f t="shared" si="117"/>
        <v>-275.21519491142851</v>
      </c>
      <c r="BY190" t="str">
        <f t="shared" si="139"/>
        <v/>
      </c>
      <c r="BZ190">
        <v>0</v>
      </c>
      <c r="CA190">
        <v>0</v>
      </c>
      <c r="CB190">
        <v>0</v>
      </c>
      <c r="CC190">
        <v>0</v>
      </c>
      <c r="CD190">
        <v>0</v>
      </c>
      <c r="CE190">
        <v>0</v>
      </c>
      <c r="CF190">
        <v>0</v>
      </c>
      <c r="CG190">
        <v>0</v>
      </c>
      <c r="CH190">
        <v>0</v>
      </c>
      <c r="CI190">
        <v>0</v>
      </c>
      <c r="CJ190">
        <v>0</v>
      </c>
      <c r="CK190">
        <v>0</v>
      </c>
      <c r="CL190">
        <v>0</v>
      </c>
      <c r="CM190">
        <v>0</v>
      </c>
      <c r="CN190" t="str">
        <f t="shared" si="118"/>
        <v>refOK</v>
      </c>
      <c r="CO190">
        <f t="shared" si="137"/>
        <v>225.96603773584911</v>
      </c>
      <c r="CP190">
        <f t="shared" si="138"/>
        <v>225.96603773584911</v>
      </c>
      <c r="CQ190">
        <f t="shared" si="119"/>
        <v>0</v>
      </c>
      <c r="CR190">
        <f>IF($CN190="refOK",$BT190,$BS190)*IF($BP190="Emissions positive",-1,1)</f>
        <v>-654.85817268246092</v>
      </c>
      <c r="CS190">
        <f>IF($CN190="refOK",$BS190,$BT190)*IF($BP190="Emissions positive",-1,1)</f>
        <v>-930.07336759388943</v>
      </c>
      <c r="CT190">
        <f t="shared" si="122"/>
        <v>-275.21519491142851</v>
      </c>
      <c r="CU190" t="str">
        <f t="shared" si="123"/>
        <v/>
      </c>
      <c r="CV190" s="2">
        <f t="shared" si="124"/>
        <v>-0.42026687058677004</v>
      </c>
      <c r="CW190" s="1" t="s">
        <v>234</v>
      </c>
      <c r="CX190" t="str">
        <f t="shared" si="125"/>
        <v>loc</v>
      </c>
      <c r="CY190" t="s">
        <v>280</v>
      </c>
      <c r="CZ190"/>
      <c r="DA190"/>
      <c r="DB190">
        <v>50</v>
      </c>
      <c r="DC190" t="str">
        <f t="shared" si="126"/>
        <v>31-70</v>
      </c>
      <c r="DD190">
        <v>0</v>
      </c>
      <c r="DE190">
        <v>1</v>
      </c>
      <c r="DF190">
        <v>0</v>
      </c>
      <c r="DG190">
        <v>1</v>
      </c>
      <c r="DH190"/>
      <c r="DI190">
        <f t="shared" si="129"/>
        <v>2</v>
      </c>
      <c r="DJ190" t="str">
        <f t="shared" si="130"/>
        <v>mixedProduct</v>
      </c>
      <c r="DK190">
        <f t="shared" si="131"/>
        <v>0</v>
      </c>
      <c r="DL190" t="str">
        <f t="shared" si="132"/>
        <v>Energy</v>
      </c>
      <c r="DM190">
        <f t="shared" si="133"/>
        <v>0</v>
      </c>
      <c r="DN190" t="str">
        <f t="shared" si="134"/>
        <v>Timber</v>
      </c>
      <c r="DO190">
        <v>0</v>
      </c>
      <c r="DP190">
        <v>1</v>
      </c>
      <c r="DQ190" t="s">
        <v>304</v>
      </c>
      <c r="DR190" t="s">
        <v>281</v>
      </c>
      <c r="DS190">
        <v>0</v>
      </c>
      <c r="DT190">
        <f t="shared" si="135"/>
        <v>1</v>
      </c>
      <c r="DU190" s="143" t="str">
        <f t="shared" si="136"/>
        <v>external DF used</v>
      </c>
      <c r="DV190">
        <v>0</v>
      </c>
      <c r="DW190">
        <v>1</v>
      </c>
      <c r="DX190">
        <v>1</v>
      </c>
      <c r="DY190">
        <v>1</v>
      </c>
      <c r="DZ190">
        <v>1</v>
      </c>
      <c r="EA190" s="143">
        <v>0</v>
      </c>
      <c r="EB190">
        <v>1</v>
      </c>
      <c r="EC190">
        <v>1</v>
      </c>
      <c r="ED190">
        <v>0</v>
      </c>
      <c r="EE190">
        <v>1</v>
      </c>
      <c r="EF190">
        <v>1</v>
      </c>
      <c r="EG190">
        <v>1</v>
      </c>
      <c r="EH190">
        <v>0</v>
      </c>
      <c r="EI190" s="2">
        <v>0</v>
      </c>
      <c r="EJ190" s="1"/>
      <c r="EK190" t="str">
        <f t="shared" si="127"/>
        <v>Whole sector</v>
      </c>
      <c r="EL190" t="str">
        <f t="shared" si="128"/>
        <v/>
      </c>
      <c r="EM190" s="2" t="str">
        <f t="shared" si="140"/>
        <v/>
      </c>
      <c r="EN190" t="s">
        <v>324</v>
      </c>
      <c r="EO190"/>
      <c r="EP190" t="b">
        <f>IF(ISNUMBER(BU190),IF(ABS(BU190-[3]QC_indicators!$B$2)&gt;3*[3]QC_indicators!$C$2,"C ratio",IF(ISNUMBER(BY190),IF(ABS(BY190-[3]QC_indicators!$B$1)&gt;3*[3]QC_indicators!$C$1,"DF","no"))),IF(ISNUMBER(BY190),IF(ABS(BY190-[3]QC_indicators!$B$1)&gt;3*[3]QC_indicators!$C$1,"DF","no")))</f>
        <v>0</v>
      </c>
      <c r="EQ190" t="s">
        <v>286</v>
      </c>
      <c r="ER190" s="147" t="s">
        <v>325</v>
      </c>
      <c r="ES190"/>
      <c r="ET190" s="264" t="s">
        <v>3272</v>
      </c>
      <c r="EU190"/>
    </row>
    <row r="191" spans="1:151" s="139" customFormat="1" ht="15" hidden="1" customHeight="1">
      <c r="A191" s="1" t="s">
        <v>265</v>
      </c>
      <c r="B191" t="s">
        <v>266</v>
      </c>
      <c r="C191" t="s">
        <v>267</v>
      </c>
      <c r="D191" t="s">
        <v>268</v>
      </c>
      <c r="E191" t="s">
        <v>269</v>
      </c>
      <c r="F191" t="s">
        <v>270</v>
      </c>
      <c r="G191" t="s">
        <v>271</v>
      </c>
      <c r="H191" t="s">
        <v>254</v>
      </c>
      <c r="I191">
        <v>2022</v>
      </c>
      <c r="J191">
        <v>0</v>
      </c>
      <c r="K191" t="s">
        <v>272</v>
      </c>
      <c r="L191"/>
      <c r="M191" t="str">
        <f t="shared" si="95"/>
        <v>Aryapratama_2022</v>
      </c>
      <c r="N191" t="s">
        <v>222</v>
      </c>
      <c r="O191" s="145" t="s">
        <v>274</v>
      </c>
      <c r="P191"/>
      <c r="Q191" t="s">
        <v>224</v>
      </c>
      <c r="R191" s="262" t="s">
        <v>223</v>
      </c>
      <c r="S191" s="1" t="s">
        <v>319</v>
      </c>
      <c r="T191" t="s">
        <v>303</v>
      </c>
      <c r="U191" t="s">
        <v>284</v>
      </c>
      <c r="V191">
        <v>0</v>
      </c>
      <c r="W191">
        <v>0</v>
      </c>
      <c r="X191">
        <v>0</v>
      </c>
      <c r="Y191">
        <v>0</v>
      </c>
      <c r="Z191">
        <v>0</v>
      </c>
      <c r="AA191">
        <v>0</v>
      </c>
      <c r="AB191">
        <v>0</v>
      </c>
      <c r="AC191">
        <v>0</v>
      </c>
      <c r="AD191">
        <v>0</v>
      </c>
      <c r="AE191">
        <v>0</v>
      </c>
      <c r="AF191">
        <v>1</v>
      </c>
      <c r="AG191">
        <v>0</v>
      </c>
      <c r="AH191">
        <v>0</v>
      </c>
      <c r="AI191">
        <v>0</v>
      </c>
      <c r="AJ191">
        <v>0</v>
      </c>
      <c r="AK191">
        <v>0</v>
      </c>
      <c r="AL191">
        <v>0</v>
      </c>
      <c r="AM191">
        <v>0</v>
      </c>
      <c r="AN191">
        <v>0</v>
      </c>
      <c r="AO191">
        <v>0</v>
      </c>
      <c r="AP191">
        <v>0</v>
      </c>
      <c r="AQ191">
        <v>0</v>
      </c>
      <c r="AR191">
        <v>0</v>
      </c>
      <c r="AS191">
        <v>0</v>
      </c>
      <c r="AT191">
        <v>0</v>
      </c>
      <c r="AU191">
        <v>0</v>
      </c>
      <c r="AV191">
        <v>0</v>
      </c>
      <c r="AW191">
        <v>0</v>
      </c>
      <c r="AX191" s="141">
        <f t="shared" ref="AX191:AX222" si="142">COUNTIF(V191:AW191,"&lt;&gt;0")</f>
        <v>1</v>
      </c>
      <c r="AY191" s="141">
        <f t="shared" ref="AY191:AY200" si="143">COUNTIF(V191:AL191,"&lt;&gt;0")</f>
        <v>1</v>
      </c>
      <c r="AZ191">
        <f t="shared" ref="AZ191:AZ200" si="144">COUNTIF(V191:AC191,"&lt;&gt;0")</f>
        <v>0</v>
      </c>
      <c r="BA191">
        <f t="shared" ref="BA191:BA200" si="145">COUNTIF(AD191:AI191,"&lt;&gt;0")</f>
        <v>1</v>
      </c>
      <c r="BB191">
        <f t="shared" ref="BB191:BB200" si="146">COUNTIF(AJ191:AL191,"&lt;&gt;0")</f>
        <v>0</v>
      </c>
      <c r="BC191">
        <f t="shared" ref="BC191:BC200" si="147">COUNTIF(AS191:AW191,"&lt;&gt;0")</f>
        <v>0</v>
      </c>
      <c r="BD191">
        <f t="shared" ref="BD191:BD200" si="148">COUNTIF(AM191:AR191,"&lt;&gt;0")</f>
        <v>0</v>
      </c>
      <c r="BE191" t="str">
        <f t="array" ref="BE191">IF(AY191=1,INDEX($V$7:$AL$7,MATCH(TRUE,INDEX($V191:$AW191&lt;&gt;0,),0)),IF(AY191=0,INDEX($AM$7:$AW$7,MATCH(1,$AM191:$AW191,0)),IF(BF191="Multiple strategies","mixed drivers",IF(BF191="Supply chain","multiple supply","multiple silviculture"))))</f>
        <v>supply chain organization</v>
      </c>
      <c r="BF191" s="2" t="str" cm="1">
        <f t="array" ref="BF191">IF(COUNTIF(AZ191:BB191,"&lt;&gt;0")=1,INDEX($V$4:$AW$4,MATCH(TRUE,INDEX($V191:$AW191&lt;&gt;0,),0)),IF(COUNTIF(AZ191:BB191,"&lt;&gt;0")=0,INDEX($AM$4:$AW$4,MATCH(1,$AM191:$AW191,0)),"Multiple strategies"))</f>
        <v>Supply chain</v>
      </c>
      <c r="BG191" s="1" t="s">
        <v>321</v>
      </c>
      <c r="BH191" s="146" t="s">
        <v>322</v>
      </c>
      <c r="BI191" t="s">
        <v>323</v>
      </c>
      <c r="BJ191" t="s">
        <v>278</v>
      </c>
      <c r="BK191" s="148">
        <v>9.6371132903994159</v>
      </c>
      <c r="BL191" s="148">
        <v>9.6371132903994159</v>
      </c>
      <c r="BM191">
        <f t="shared" si="141"/>
        <v>1</v>
      </c>
      <c r="BN191">
        <f t="shared" ref="BN191:BN200" si="149">BL191-BK191</f>
        <v>0</v>
      </c>
      <c r="BO191">
        <f t="shared" ref="BO191:BO222" si="150">BN191*tC_to_m3</f>
        <v>0</v>
      </c>
      <c r="BP191" t="s">
        <v>232</v>
      </c>
      <c r="BQ191" s="302" t="s">
        <v>3106</v>
      </c>
      <c r="BR191" t="s">
        <v>279</v>
      </c>
      <c r="BS191">
        <v>82.450615050179124</v>
      </c>
      <c r="BT191">
        <v>100.2569126004381</v>
      </c>
      <c r="BU191" s="144">
        <f>IFERROR(BS191/BT191,"")</f>
        <v>0.82239331844155383</v>
      </c>
      <c r="BV191">
        <f>BS191-BT191</f>
        <v>-17.806297550258975</v>
      </c>
      <c r="BW191"/>
      <c r="BX191">
        <f t="shared" ref="BX191:BX200" si="151">BV191</f>
        <v>-17.806297550258975</v>
      </c>
      <c r="BY191" t="str">
        <f t="shared" si="139"/>
        <v/>
      </c>
      <c r="BZ191">
        <v>0</v>
      </c>
      <c r="CA191">
        <v>0</v>
      </c>
      <c r="CB191">
        <v>0</v>
      </c>
      <c r="CC191">
        <v>0</v>
      </c>
      <c r="CD191">
        <v>0</v>
      </c>
      <c r="CE191">
        <v>0</v>
      </c>
      <c r="CF191">
        <v>0</v>
      </c>
      <c r="CG191">
        <v>0</v>
      </c>
      <c r="CH191">
        <v>0</v>
      </c>
      <c r="CI191">
        <v>0</v>
      </c>
      <c r="CJ191">
        <v>0</v>
      </c>
      <c r="CK191">
        <v>0</v>
      </c>
      <c r="CL191">
        <v>0</v>
      </c>
      <c r="CM191">
        <v>0</v>
      </c>
      <c r="CN191" t="str">
        <f t="shared" ref="CN191:CN199" si="152">IF($BL191&lt;$BK191,"refNeedCorrection","refOK")</f>
        <v>refOK</v>
      </c>
      <c r="CO191">
        <f t="shared" si="137"/>
        <v>9.6371132903994159</v>
      </c>
      <c r="CP191">
        <f t="shared" si="138"/>
        <v>9.6371132903994159</v>
      </c>
      <c r="CQ191">
        <f t="shared" ref="CQ191:CQ200" si="153">IF($CN191="refOK",$BO191,-$BO191)</f>
        <v>0</v>
      </c>
      <c r="CR191">
        <f>IF($CN191="refOK",$BT191,$BS191)*IF($BP191="Emissions positive",-1,1)</f>
        <v>100.2569126004381</v>
      </c>
      <c r="CS191">
        <f>IF($CN191="refOK",$BS191,$BT191)*IF($BP191="Emissions positive",-1,1)</f>
        <v>82.450615050179124</v>
      </c>
      <c r="CT191">
        <f t="shared" ref="CT191:CT200" si="154">IF($CN191="refNeedCorrection",-BX191,BX191)*IF($BP191="Emissions positive",-1,1)</f>
        <v>-17.806297550258975</v>
      </c>
      <c r="CU191" t="str">
        <f t="shared" ref="CU191:CU222" si="155">IFERROR(CT191/CQ191,"")</f>
        <v/>
      </c>
      <c r="CV191" s="2">
        <f t="shared" ref="CV191:CV200" si="156">IFERROR((CS191-CR191)/ABS(CR191),"")</f>
        <v>-0.17760668155844614</v>
      </c>
      <c r="CW191" s="1" t="s">
        <v>234</v>
      </c>
      <c r="CX191" t="str">
        <f t="shared" ref="CX191:CX200" si="157">IF(OR($CW191="prd",$CW191="std",$CW191="cit"),"loc",IF(OR($CW191="eur",$CW191="reg",$CW191="coy"),"reg",$CW191))</f>
        <v>loc</v>
      </c>
      <c r="CY191" t="s">
        <v>280</v>
      </c>
      <c r="CZ191"/>
      <c r="DA191"/>
      <c r="DB191">
        <v>50</v>
      </c>
      <c r="DC191" t="str">
        <f t="shared" ref="DC191:DC222" si="158">IF(DB191=0,"0",IF(AND(DB191&gt;=1,DB191&lt;=30),"1-30",IF(AND(DB191&gt;30,DB191&lt;=70),"31-70",IF(AND(DB191&gt;70,DB191&lt;=100),"71-100",IF(DB191&gt;100,"+100")))))</f>
        <v>31-70</v>
      </c>
      <c r="DD191">
        <v>0</v>
      </c>
      <c r="DE191">
        <v>1</v>
      </c>
      <c r="DF191">
        <v>0</v>
      </c>
      <c r="DG191">
        <v>1</v>
      </c>
      <c r="DH191"/>
      <c r="DI191">
        <f t="shared" si="129"/>
        <v>2</v>
      </c>
      <c r="DJ191" t="str">
        <f t="shared" si="130"/>
        <v>mixedProduct</v>
      </c>
      <c r="DK191">
        <f t="shared" si="131"/>
        <v>0</v>
      </c>
      <c r="DL191" t="str">
        <f t="shared" si="132"/>
        <v>Energy</v>
      </c>
      <c r="DM191">
        <f t="shared" si="133"/>
        <v>0</v>
      </c>
      <c r="DN191" t="str">
        <f t="shared" si="134"/>
        <v>Timber</v>
      </c>
      <c r="DO191">
        <v>0</v>
      </c>
      <c r="DP191">
        <v>1</v>
      </c>
      <c r="DQ191" t="s">
        <v>304</v>
      </c>
      <c r="DR191" t="s">
        <v>281</v>
      </c>
      <c r="DS191">
        <v>0</v>
      </c>
      <c r="DT191">
        <f t="shared" si="135"/>
        <v>1</v>
      </c>
      <c r="DU191" s="143" t="str">
        <f t="shared" si="136"/>
        <v>external DF used</v>
      </c>
      <c r="DV191">
        <v>0</v>
      </c>
      <c r="DW191">
        <v>1</v>
      </c>
      <c r="DX191">
        <v>1</v>
      </c>
      <c r="DY191">
        <v>1</v>
      </c>
      <c r="DZ191">
        <v>1</v>
      </c>
      <c r="EA191" s="143">
        <v>0</v>
      </c>
      <c r="EB191">
        <v>1</v>
      </c>
      <c r="EC191">
        <v>1</v>
      </c>
      <c r="ED191">
        <v>0</v>
      </c>
      <c r="EE191">
        <v>1</v>
      </c>
      <c r="EF191">
        <v>1</v>
      </c>
      <c r="EG191">
        <v>1</v>
      </c>
      <c r="EH191">
        <v>0</v>
      </c>
      <c r="EI191" s="2">
        <v>0</v>
      </c>
      <c r="EJ191" s="1"/>
      <c r="EK191" t="str">
        <f t="shared" ref="EK191:EK200" si="159">IF(AND(AND(AND(OR($DX191=1,$DW191=1),OR($EC191=1,$EA191=1)),SUM($DV191:$DZ191,$EF191)&gt;=4),SUM($EA191:$EE191)&gt;=2),"Whole sector","")</f>
        <v>Whole sector</v>
      </c>
      <c r="EL191" t="str">
        <f t="shared" ref="EL191:EL200" si="160">IF(AND(AND(OR($DX191=1,$DW191=1),AND($EC191=0,$EA191=0)),SUM($DV191:$DZ191,$EF191)&gt;=4),"Ecosystem approach","")</f>
        <v/>
      </c>
      <c r="EM191" s="2" t="str">
        <f t="shared" si="140"/>
        <v/>
      </c>
      <c r="EN191" t="s">
        <v>324</v>
      </c>
      <c r="EO191"/>
      <c r="EP191" t="b">
        <f>IF(ISNUMBER(BU191),IF(ABS(BU191-[3]QC_indicators!$B$2)&gt;3*[3]QC_indicators!$C$2,"C ratio",IF(ISNUMBER(BY191),IF(ABS(BY191-[3]QC_indicators!$B$1)&gt;3*[3]QC_indicators!$C$1,"DF","no"))),IF(ISNUMBER(BY191),IF(ABS(BY191-[3]QC_indicators!$B$1)&gt;3*[3]QC_indicators!$C$1,"DF","no")))</f>
        <v>0</v>
      </c>
      <c r="EQ191" t="s">
        <v>286</v>
      </c>
      <c r="ER191" s="147" t="s">
        <v>325</v>
      </c>
      <c r="ES191"/>
      <c r="ET191" s="264" t="s">
        <v>3272</v>
      </c>
      <c r="EU191"/>
    </row>
    <row r="192" spans="1:151" s="139" customFormat="1" ht="15" hidden="1" customHeight="1">
      <c r="A192" s="1" t="s">
        <v>265</v>
      </c>
      <c r="B192" t="s">
        <v>266</v>
      </c>
      <c r="C192" t="s">
        <v>267</v>
      </c>
      <c r="D192" t="s">
        <v>268</v>
      </c>
      <c r="E192" t="s">
        <v>269</v>
      </c>
      <c r="F192" t="s">
        <v>270</v>
      </c>
      <c r="G192" t="s">
        <v>271</v>
      </c>
      <c r="H192" t="s">
        <v>254</v>
      </c>
      <c r="I192">
        <v>2022</v>
      </c>
      <c r="J192">
        <v>0</v>
      </c>
      <c r="K192" t="s">
        <v>272</v>
      </c>
      <c r="L192"/>
      <c r="M192" t="str">
        <f t="shared" si="95"/>
        <v>Aryapratama_2022</v>
      </c>
      <c r="N192" t="s">
        <v>222</v>
      </c>
      <c r="O192" s="145" t="s">
        <v>274</v>
      </c>
      <c r="P192"/>
      <c r="Q192" t="s">
        <v>224</v>
      </c>
      <c r="R192" s="262" t="s">
        <v>223</v>
      </c>
      <c r="S192" s="1" t="s">
        <v>319</v>
      </c>
      <c r="T192" t="s">
        <v>312</v>
      </c>
      <c r="U192" t="s">
        <v>283</v>
      </c>
      <c r="V192">
        <v>0</v>
      </c>
      <c r="W192">
        <v>0</v>
      </c>
      <c r="X192">
        <v>0</v>
      </c>
      <c r="Y192">
        <v>0</v>
      </c>
      <c r="Z192">
        <v>0</v>
      </c>
      <c r="AA192">
        <v>0</v>
      </c>
      <c r="AB192">
        <v>0</v>
      </c>
      <c r="AC192">
        <v>0</v>
      </c>
      <c r="AD192">
        <v>0</v>
      </c>
      <c r="AE192">
        <v>0</v>
      </c>
      <c r="AF192">
        <v>1</v>
      </c>
      <c r="AG192">
        <v>0</v>
      </c>
      <c r="AH192">
        <v>0</v>
      </c>
      <c r="AI192">
        <v>0</v>
      </c>
      <c r="AJ192">
        <v>0</v>
      </c>
      <c r="AK192">
        <v>0</v>
      </c>
      <c r="AL192">
        <v>0</v>
      </c>
      <c r="AM192">
        <v>0</v>
      </c>
      <c r="AN192">
        <v>0</v>
      </c>
      <c r="AO192">
        <v>0</v>
      </c>
      <c r="AP192">
        <v>0</v>
      </c>
      <c r="AQ192">
        <v>0</v>
      </c>
      <c r="AR192">
        <v>0</v>
      </c>
      <c r="AS192">
        <v>0</v>
      </c>
      <c r="AT192">
        <v>0</v>
      </c>
      <c r="AU192">
        <v>0</v>
      </c>
      <c r="AV192">
        <v>0</v>
      </c>
      <c r="AW192">
        <v>0</v>
      </c>
      <c r="AX192" s="141">
        <f t="shared" si="142"/>
        <v>1</v>
      </c>
      <c r="AY192" s="141">
        <f t="shared" si="143"/>
        <v>1</v>
      </c>
      <c r="AZ192">
        <f t="shared" si="144"/>
        <v>0</v>
      </c>
      <c r="BA192">
        <f t="shared" si="145"/>
        <v>1</v>
      </c>
      <c r="BB192">
        <f t="shared" si="146"/>
        <v>0</v>
      </c>
      <c r="BC192">
        <f t="shared" si="147"/>
        <v>0</v>
      </c>
      <c r="BD192">
        <f t="shared" si="148"/>
        <v>0</v>
      </c>
      <c r="BE192" t="str">
        <f t="array" ref="BE192">IF(AY192=1,INDEX($V$7:$AL$7,MATCH(TRUE,INDEX($V192:$AW192&lt;&gt;0,),0)),IF(AY192=0,INDEX($AM$7:$AW$7,MATCH(1,$AM192:$AW192,0)),IF(BF192="Multiple strategies","mixed drivers",IF(BF192="Supply chain","multiple supply","multiple silviculture"))))</f>
        <v>supply chain organization</v>
      </c>
      <c r="BF192" s="2" t="str" cm="1">
        <f t="array" ref="BF192">IF(COUNTIF(AZ192:BB192,"&lt;&gt;0")=1,INDEX($V$4:$AW$4,MATCH(TRUE,INDEX($V192:$AW192&lt;&gt;0,),0)),IF(COUNTIF(AZ192:BB192,"&lt;&gt;0")=0,INDEX($AM$4:$AW$4,MATCH(1,$AM192:$AW192,0)),"Multiple strategies"))</f>
        <v>Supply chain</v>
      </c>
      <c r="BG192" s="1" t="s">
        <v>321</v>
      </c>
      <c r="BH192" s="146" t="s">
        <v>322</v>
      </c>
      <c r="BI192" t="s">
        <v>323</v>
      </c>
      <c r="BJ192" t="s">
        <v>278</v>
      </c>
      <c r="BK192" s="148">
        <v>9.6371132903994159</v>
      </c>
      <c r="BL192" s="148">
        <v>9.6371132903994159</v>
      </c>
      <c r="BM192">
        <f t="shared" si="141"/>
        <v>1</v>
      </c>
      <c r="BN192">
        <f t="shared" si="149"/>
        <v>0</v>
      </c>
      <c r="BO192">
        <f t="shared" si="150"/>
        <v>0</v>
      </c>
      <c r="BP192" t="s">
        <v>232</v>
      </c>
      <c r="BQ192" s="302" t="s">
        <v>3106</v>
      </c>
      <c r="BR192" t="s">
        <v>279</v>
      </c>
      <c r="BS192">
        <v>167.28412809039341</v>
      </c>
      <c r="BT192">
        <v>185.09042564065231</v>
      </c>
      <c r="BU192" s="144">
        <f>IFERROR(BS192/BT192,"")</f>
        <v>0.90379676588550661</v>
      </c>
      <c r="BV192">
        <f>BS192-BT192</f>
        <v>-17.806297550258904</v>
      </c>
      <c r="BW192"/>
      <c r="BX192">
        <f t="shared" si="151"/>
        <v>-17.806297550258904</v>
      </c>
      <c r="BY192" t="str">
        <f t="shared" si="139"/>
        <v/>
      </c>
      <c r="BZ192">
        <v>0</v>
      </c>
      <c r="CA192">
        <v>0</v>
      </c>
      <c r="CB192">
        <v>0</v>
      </c>
      <c r="CC192">
        <v>0</v>
      </c>
      <c r="CD192">
        <v>0</v>
      </c>
      <c r="CE192">
        <v>0</v>
      </c>
      <c r="CF192">
        <v>0</v>
      </c>
      <c r="CG192">
        <v>0</v>
      </c>
      <c r="CH192">
        <v>0</v>
      </c>
      <c r="CI192">
        <v>0</v>
      </c>
      <c r="CJ192">
        <v>0</v>
      </c>
      <c r="CK192">
        <v>0</v>
      </c>
      <c r="CL192">
        <v>0</v>
      </c>
      <c r="CM192">
        <v>0</v>
      </c>
      <c r="CN192" t="str">
        <f t="shared" si="152"/>
        <v>refOK</v>
      </c>
      <c r="CO192">
        <f t="shared" si="137"/>
        <v>9.6371132903994159</v>
      </c>
      <c r="CP192">
        <f t="shared" si="138"/>
        <v>9.6371132903994159</v>
      </c>
      <c r="CQ192">
        <f t="shared" si="153"/>
        <v>0</v>
      </c>
      <c r="CR192">
        <f>IF($CN192="refOK",$BT192,$BS192)*IF($BP192="Emissions positive",-1,1)</f>
        <v>185.09042564065231</v>
      </c>
      <c r="CS192">
        <f>IF($CN192="refOK",$BS192,$BT192)*IF($BP192="Emissions positive",-1,1)</f>
        <v>167.28412809039341</v>
      </c>
      <c r="CT192">
        <f t="shared" si="154"/>
        <v>-17.806297550258904</v>
      </c>
      <c r="CU192" t="str">
        <f t="shared" si="155"/>
        <v/>
      </c>
      <c r="CV192" s="2">
        <f t="shared" si="156"/>
        <v>-9.6203234114493386E-2</v>
      </c>
      <c r="CW192" s="1" t="s">
        <v>234</v>
      </c>
      <c r="CX192" t="str">
        <f t="shared" si="157"/>
        <v>loc</v>
      </c>
      <c r="CY192" t="s">
        <v>280</v>
      </c>
      <c r="CZ192"/>
      <c r="DA192"/>
      <c r="DB192">
        <v>50</v>
      </c>
      <c r="DC192" t="str">
        <f t="shared" si="158"/>
        <v>31-70</v>
      </c>
      <c r="DD192">
        <v>0</v>
      </c>
      <c r="DE192">
        <v>1</v>
      </c>
      <c r="DF192">
        <v>0</v>
      </c>
      <c r="DG192">
        <v>1</v>
      </c>
      <c r="DH192"/>
      <c r="DI192">
        <f t="shared" si="129"/>
        <v>2</v>
      </c>
      <c r="DJ192" t="str">
        <f t="shared" si="130"/>
        <v>mixedProduct</v>
      </c>
      <c r="DK192">
        <f t="shared" si="131"/>
        <v>0</v>
      </c>
      <c r="DL192" t="str">
        <f t="shared" si="132"/>
        <v>Energy</v>
      </c>
      <c r="DM192">
        <f t="shared" si="133"/>
        <v>0</v>
      </c>
      <c r="DN192" t="str">
        <f t="shared" si="134"/>
        <v>Timber</v>
      </c>
      <c r="DO192">
        <v>0</v>
      </c>
      <c r="DP192">
        <v>1</v>
      </c>
      <c r="DQ192" t="s">
        <v>304</v>
      </c>
      <c r="DR192" t="s">
        <v>281</v>
      </c>
      <c r="DS192">
        <v>0</v>
      </c>
      <c r="DT192">
        <f t="shared" si="135"/>
        <v>1</v>
      </c>
      <c r="DU192" s="143" t="str">
        <f t="shared" si="136"/>
        <v>external DF used</v>
      </c>
      <c r="DV192">
        <v>0</v>
      </c>
      <c r="DW192">
        <v>1</v>
      </c>
      <c r="DX192">
        <v>1</v>
      </c>
      <c r="DY192">
        <v>1</v>
      </c>
      <c r="DZ192">
        <v>1</v>
      </c>
      <c r="EA192" s="143">
        <v>0</v>
      </c>
      <c r="EB192">
        <v>1</v>
      </c>
      <c r="EC192">
        <v>1</v>
      </c>
      <c r="ED192">
        <v>0</v>
      </c>
      <c r="EE192">
        <v>1</v>
      </c>
      <c r="EF192">
        <v>1</v>
      </c>
      <c r="EG192">
        <v>1</v>
      </c>
      <c r="EH192">
        <v>0</v>
      </c>
      <c r="EI192" s="2">
        <v>0</v>
      </c>
      <c r="EJ192" s="1"/>
      <c r="EK192" t="str">
        <f t="shared" si="159"/>
        <v>Whole sector</v>
      </c>
      <c r="EL192" t="str">
        <f t="shared" si="160"/>
        <v/>
      </c>
      <c r="EM192" s="2" t="str">
        <f t="shared" si="140"/>
        <v/>
      </c>
      <c r="EN192" t="s">
        <v>324</v>
      </c>
      <c r="EO192"/>
      <c r="EP192" t="b">
        <f>IF(ISNUMBER(BU192),IF(ABS(BU192-[3]QC_indicators!$B$2)&gt;3*[3]QC_indicators!$C$2,"C ratio",IF(ISNUMBER(BY192),IF(ABS(BY192-[3]QC_indicators!$B$1)&gt;3*[3]QC_indicators!$C$1,"DF","no"))),IF(ISNUMBER(BY192),IF(ABS(BY192-[3]QC_indicators!$B$1)&gt;3*[3]QC_indicators!$C$1,"DF","no")))</f>
        <v>0</v>
      </c>
      <c r="EQ192" t="s">
        <v>286</v>
      </c>
      <c r="ER192" s="147" t="s">
        <v>325</v>
      </c>
      <c r="ES192"/>
      <c r="ET192" s="264" t="s">
        <v>3272</v>
      </c>
      <c r="EU192"/>
    </row>
    <row r="193" spans="1:151" s="139" customFormat="1" ht="15" hidden="1" customHeight="1">
      <c r="A193" s="1" t="s">
        <v>265</v>
      </c>
      <c r="B193" t="s">
        <v>266</v>
      </c>
      <c r="C193" t="s">
        <v>267</v>
      </c>
      <c r="D193" t="s">
        <v>268</v>
      </c>
      <c r="E193" t="s">
        <v>269</v>
      </c>
      <c r="F193" t="s">
        <v>270</v>
      </c>
      <c r="G193" t="s">
        <v>271</v>
      </c>
      <c r="H193" t="s">
        <v>254</v>
      </c>
      <c r="I193">
        <v>2022</v>
      </c>
      <c r="J193">
        <v>0</v>
      </c>
      <c r="K193" t="s">
        <v>272</v>
      </c>
      <c r="L193"/>
      <c r="M193" t="str">
        <f t="shared" ref="M193:M256" si="161">LEFT($D193,FIND(",",$D193)-1)&amp;"_"&amp;I193&amp;L193</f>
        <v>Aryapratama_2022</v>
      </c>
      <c r="N193" t="s">
        <v>222</v>
      </c>
      <c r="O193" s="145" t="s">
        <v>274</v>
      </c>
      <c r="P193"/>
      <c r="Q193" t="s">
        <v>224</v>
      </c>
      <c r="R193" s="262" t="s">
        <v>223</v>
      </c>
      <c r="S193" s="263" t="s">
        <v>3107</v>
      </c>
      <c r="T193" t="s">
        <v>283</v>
      </c>
      <c r="U193" t="s">
        <v>284</v>
      </c>
      <c r="V193">
        <v>0</v>
      </c>
      <c r="W193">
        <v>0</v>
      </c>
      <c r="X193">
        <v>0</v>
      </c>
      <c r="Y193">
        <v>0</v>
      </c>
      <c r="Z193">
        <v>0</v>
      </c>
      <c r="AA193">
        <v>0</v>
      </c>
      <c r="AB193">
        <v>0</v>
      </c>
      <c r="AC193">
        <v>0</v>
      </c>
      <c r="AD193">
        <v>1</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s="141">
        <f t="shared" si="142"/>
        <v>1</v>
      </c>
      <c r="AY193" s="141">
        <f t="shared" si="143"/>
        <v>1</v>
      </c>
      <c r="AZ193">
        <f t="shared" si="144"/>
        <v>0</v>
      </c>
      <c r="BA193">
        <f t="shared" si="145"/>
        <v>1</v>
      </c>
      <c r="BB193">
        <f t="shared" si="146"/>
        <v>0</v>
      </c>
      <c r="BC193">
        <f t="shared" si="147"/>
        <v>0</v>
      </c>
      <c r="BD193">
        <f t="shared" si="148"/>
        <v>0</v>
      </c>
      <c r="BE193" t="str">
        <f t="array" ref="BE193">IF(AY193=1,INDEX($V$7:$AL$7,MATCH(TRUE,INDEX($V193:$AW193&lt;&gt;0,),0)),IF(AY193=0,INDEX($AM$7:$AW$7,MATCH(1,$AM193:$AW193,0)),IF(BF193="Multiple strategies","mixed drivers",IF(BF193="Supply chain","multiple supply","multiple silviculture"))))</f>
        <v>harvesting system</v>
      </c>
      <c r="BF193" s="2" t="str" cm="1">
        <f t="array" ref="BF193">IF(COUNTIF(AZ193:BB193,"&lt;&gt;0")=1,INDEX($V$4:$AW$4,MATCH(TRUE,INDEX($V193:$AW193&lt;&gt;0,),0)),IF(COUNTIF(AZ193:BB193,"&lt;&gt;0")=0,INDEX($AM$4:$AW$4,MATCH(1,$AM193:$AW193,0)),"Multiple strategies"))</f>
        <v>Supply chain</v>
      </c>
      <c r="BG193" s="1" t="s">
        <v>229</v>
      </c>
      <c r="BH193" t="s">
        <v>285</v>
      </c>
      <c r="BI193"/>
      <c r="BJ193" t="s">
        <v>278</v>
      </c>
      <c r="BK193">
        <v>11.564535948479303</v>
      </c>
      <c r="BL193">
        <v>11.564535948479303</v>
      </c>
      <c r="BM193">
        <f t="shared" si="141"/>
        <v>1</v>
      </c>
      <c r="BN193">
        <f t="shared" si="149"/>
        <v>0</v>
      </c>
      <c r="BO193">
        <f t="shared" si="150"/>
        <v>0</v>
      </c>
      <c r="BP193" t="s">
        <v>232</v>
      </c>
      <c r="BQ193" s="302" t="s">
        <v>3106</v>
      </c>
      <c r="BR193" t="s">
        <v>279</v>
      </c>
      <c r="BS193">
        <v>185.09042564065231</v>
      </c>
      <c r="BT193">
        <v>100.2569126004381</v>
      </c>
      <c r="BU193" s="144">
        <f>IFERROR(BT193/BS193,"")</f>
        <v>0.54166449860072174</v>
      </c>
      <c r="BV193">
        <f>BT193-BS193</f>
        <v>-84.833513040214214</v>
      </c>
      <c r="BW193"/>
      <c r="BX193">
        <f t="shared" si="151"/>
        <v>-84.833513040214214</v>
      </c>
      <c r="BY193" t="str">
        <f t="shared" si="139"/>
        <v/>
      </c>
      <c r="BZ193">
        <v>0</v>
      </c>
      <c r="CA193">
        <v>0</v>
      </c>
      <c r="CB193">
        <v>0</v>
      </c>
      <c r="CC193">
        <v>0</v>
      </c>
      <c r="CD193">
        <v>0</v>
      </c>
      <c r="CE193">
        <v>0</v>
      </c>
      <c r="CF193">
        <v>0</v>
      </c>
      <c r="CG193">
        <v>0</v>
      </c>
      <c r="CH193">
        <v>0</v>
      </c>
      <c r="CI193">
        <v>0</v>
      </c>
      <c r="CJ193">
        <v>0</v>
      </c>
      <c r="CK193">
        <v>0</v>
      </c>
      <c r="CL193">
        <v>0</v>
      </c>
      <c r="CM193">
        <v>0</v>
      </c>
      <c r="CN193" t="str">
        <f t="shared" si="152"/>
        <v>refOK</v>
      </c>
      <c r="CO193">
        <f t="shared" si="137"/>
        <v>11.564535948479303</v>
      </c>
      <c r="CP193">
        <f t="shared" si="138"/>
        <v>11.564535948479303</v>
      </c>
      <c r="CQ193">
        <f t="shared" si="153"/>
        <v>0</v>
      </c>
      <c r="CR193">
        <f>IF($CN193="refOK",$BS193,$BT193)*IF($BP193="Emissions positive",-1,1)</f>
        <v>185.09042564065231</v>
      </c>
      <c r="CS193">
        <f>IF($CN193="refOK",$BT193,$BS193)*IF($BP193="Emissions positive",-1,1)</f>
        <v>100.2569126004381</v>
      </c>
      <c r="CT193">
        <f t="shared" si="154"/>
        <v>-84.833513040214214</v>
      </c>
      <c r="CU193" t="str">
        <f t="shared" si="155"/>
        <v/>
      </c>
      <c r="CV193" s="2">
        <f t="shared" si="156"/>
        <v>-0.45833550139927831</v>
      </c>
      <c r="CW193" s="1" t="s">
        <v>234</v>
      </c>
      <c r="CX193" t="str">
        <f t="shared" si="157"/>
        <v>loc</v>
      </c>
      <c r="CY193" t="s">
        <v>280</v>
      </c>
      <c r="CZ193"/>
      <c r="DA193"/>
      <c r="DB193">
        <v>50</v>
      </c>
      <c r="DC193" t="str">
        <f t="shared" si="158"/>
        <v>31-70</v>
      </c>
      <c r="DD193">
        <v>0</v>
      </c>
      <c r="DE193">
        <v>0</v>
      </c>
      <c r="DF193">
        <v>0</v>
      </c>
      <c r="DG193">
        <v>1</v>
      </c>
      <c r="DH193"/>
      <c r="DI193">
        <f t="shared" ref="DI193:DI200" si="162">SUM(DD193:DG193)</f>
        <v>1</v>
      </c>
      <c r="DJ193" t="str">
        <f t="shared" ref="DJ193:DJ224" si="163">IF(DI193=1,INDEX($DD$7:$DG$7,MATCH(1,$DD193:$DG193,0)),"mixedProduct")</f>
        <v>TimberInput</v>
      </c>
      <c r="DK193">
        <f t="shared" ref="DK193:DK200" si="164">IF(DD193=1,DK$7,0)</f>
        <v>0</v>
      </c>
      <c r="DL193">
        <f t="shared" ref="DL193:DL200" si="165">IF(DE193=1,DL$7,0)</f>
        <v>0</v>
      </c>
      <c r="DM193">
        <f t="shared" ref="DM193:DM200" si="166">IF(DF193=1,DM$7,0)</f>
        <v>0</v>
      </c>
      <c r="DN193" t="str">
        <f t="shared" ref="DN193:DN200" si="167">IF(DG193=1,DN$7,0)</f>
        <v>Timber</v>
      </c>
      <c r="DO193">
        <v>0</v>
      </c>
      <c r="DP193">
        <v>1</v>
      </c>
      <c r="DQ193">
        <v>0</v>
      </c>
      <c r="DR193" t="s">
        <v>281</v>
      </c>
      <c r="DS193">
        <v>0</v>
      </c>
      <c r="DT193">
        <f t="shared" ref="DT193:DT200" si="168">SUM(DO193:DP193)</f>
        <v>1</v>
      </c>
      <c r="DU193" s="143" t="str">
        <f t="shared" ref="DU193:DU200" si="169">IF(DO193=1,"self-calculated DF",IF(DP193=1,"external DF used","explicit C balance"))</f>
        <v>external DF used</v>
      </c>
      <c r="DV193">
        <v>0</v>
      </c>
      <c r="DW193">
        <v>1</v>
      </c>
      <c r="DX193">
        <v>1</v>
      </c>
      <c r="DY193">
        <v>1</v>
      </c>
      <c r="DZ193">
        <v>1</v>
      </c>
      <c r="EA193" s="143">
        <v>0</v>
      </c>
      <c r="EB193">
        <v>1</v>
      </c>
      <c r="EC193">
        <v>1</v>
      </c>
      <c r="ED193">
        <v>0</v>
      </c>
      <c r="EE193">
        <v>1</v>
      </c>
      <c r="EF193">
        <v>1</v>
      </c>
      <c r="EG193">
        <v>1</v>
      </c>
      <c r="EH193">
        <v>0</v>
      </c>
      <c r="EI193" s="2">
        <v>0</v>
      </c>
      <c r="EJ193" s="1"/>
      <c r="EK193" t="str">
        <f t="shared" si="159"/>
        <v>Whole sector</v>
      </c>
      <c r="EL193" t="str">
        <f t="shared" si="160"/>
        <v/>
      </c>
      <c r="EM193" s="2" t="str">
        <f t="shared" si="140"/>
        <v/>
      </c>
      <c r="EN193"/>
      <c r="EO193"/>
      <c r="EP193" t="b">
        <f>IF(ISNUMBER(BU193),IF(ABS(BU193-[3]QC_indicators!$B$2)&gt;3*[3]QC_indicators!$C$2,"C ratio",IF(ISNUMBER(BY193),IF(ABS(BY193-[3]QC_indicators!$B$1)&gt;3*[3]QC_indicators!$C$1,"DF","no"))),IF(ISNUMBER(BY193),IF(ABS(BY193-[3]QC_indicators!$B$1)&gt;3*[3]QC_indicators!$C$1,"DF","no")))</f>
        <v>0</v>
      </c>
      <c r="EQ193" t="s">
        <v>286</v>
      </c>
      <c r="ER193"/>
      <c r="ES193"/>
      <c r="ET193" s="264" t="s">
        <v>3272</v>
      </c>
      <c r="EU193"/>
    </row>
    <row r="194" spans="1:151" s="139" customFormat="1" ht="15" hidden="1" customHeight="1">
      <c r="A194" s="1" t="s">
        <v>265</v>
      </c>
      <c r="B194" t="s">
        <v>266</v>
      </c>
      <c r="C194" t="s">
        <v>267</v>
      </c>
      <c r="D194" t="s">
        <v>268</v>
      </c>
      <c r="E194" t="s">
        <v>269</v>
      </c>
      <c r="F194" t="s">
        <v>270</v>
      </c>
      <c r="G194" t="s">
        <v>271</v>
      </c>
      <c r="H194" t="s">
        <v>254</v>
      </c>
      <c r="I194">
        <v>2022</v>
      </c>
      <c r="J194">
        <v>0</v>
      </c>
      <c r="K194" t="s">
        <v>272</v>
      </c>
      <c r="L194"/>
      <c r="M194" t="str">
        <f t="shared" si="161"/>
        <v>Aryapratama_2022</v>
      </c>
      <c r="N194" t="s">
        <v>222</v>
      </c>
      <c r="O194" s="145" t="s">
        <v>274</v>
      </c>
      <c r="P194"/>
      <c r="Q194" t="s">
        <v>224</v>
      </c>
      <c r="R194" s="262" t="s">
        <v>223</v>
      </c>
      <c r="S194" s="263" t="s">
        <v>3107</v>
      </c>
      <c r="T194" t="s">
        <v>312</v>
      </c>
      <c r="U194" t="s">
        <v>303</v>
      </c>
      <c r="V194">
        <v>0</v>
      </c>
      <c r="W194">
        <v>0</v>
      </c>
      <c r="X194">
        <v>0</v>
      </c>
      <c r="Y194">
        <v>0</v>
      </c>
      <c r="Z194">
        <v>0</v>
      </c>
      <c r="AA194">
        <v>0</v>
      </c>
      <c r="AB194">
        <v>0</v>
      </c>
      <c r="AC194">
        <v>0</v>
      </c>
      <c r="AD194">
        <v>1</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s="141">
        <f t="shared" si="142"/>
        <v>1</v>
      </c>
      <c r="AY194" s="141">
        <f t="shared" si="143"/>
        <v>1</v>
      </c>
      <c r="AZ194">
        <f t="shared" si="144"/>
        <v>0</v>
      </c>
      <c r="BA194">
        <f t="shared" si="145"/>
        <v>1</v>
      </c>
      <c r="BB194">
        <f t="shared" si="146"/>
        <v>0</v>
      </c>
      <c r="BC194">
        <f t="shared" si="147"/>
        <v>0</v>
      </c>
      <c r="BD194">
        <f t="shared" si="148"/>
        <v>0</v>
      </c>
      <c r="BE194" t="str">
        <f t="array" ref="BE194">IF(AY194=1,INDEX($V$7:$AL$7,MATCH(TRUE,INDEX($V194:$AW194&lt;&gt;0,),0)),IF(AY194=0,INDEX($AM$7:$AW$7,MATCH(1,$AM194:$AW194,0)),IF(BF194="Multiple strategies","mixed drivers",IF(BF194="Supply chain","multiple supply","multiple silviculture"))))</f>
        <v>harvesting system</v>
      </c>
      <c r="BF194" s="2" t="str" cm="1">
        <f t="array" ref="BF194">IF(COUNTIF(AZ194:BB194,"&lt;&gt;0")=1,INDEX($V$4:$AW$4,MATCH(TRUE,INDEX($V194:$AW194&lt;&gt;0,),0)),IF(COUNTIF(AZ194:BB194,"&lt;&gt;0")=0,INDEX($AM$4:$AW$4,MATCH(1,$AM194:$AW194,0)),"Multiple strategies"))</f>
        <v>Supply chain</v>
      </c>
      <c r="BG194" s="1" t="s">
        <v>229</v>
      </c>
      <c r="BH194" t="s">
        <v>285</v>
      </c>
      <c r="BI194"/>
      <c r="BJ194" t="s">
        <v>278</v>
      </c>
      <c r="BK194">
        <v>46.25814379391722</v>
      </c>
      <c r="BL194">
        <v>46.25814379391722</v>
      </c>
      <c r="BM194">
        <f t="shared" si="141"/>
        <v>1</v>
      </c>
      <c r="BN194">
        <f t="shared" si="149"/>
        <v>0</v>
      </c>
      <c r="BO194">
        <f t="shared" si="150"/>
        <v>0</v>
      </c>
      <c r="BP194" t="s">
        <v>232</v>
      </c>
      <c r="BQ194" s="302" t="s">
        <v>3106</v>
      </c>
      <c r="BR194" t="s">
        <v>279</v>
      </c>
      <c r="BS194">
        <v>726.845318289901</v>
      </c>
      <c r="BT194">
        <v>365.10563504552567</v>
      </c>
      <c r="BU194" s="144">
        <f>IFERROR(BT194/BS194,"")</f>
        <v>0.50231545262551158</v>
      </c>
      <c r="BV194">
        <f>BT194-BS194</f>
        <v>-361.73968324437533</v>
      </c>
      <c r="BW194"/>
      <c r="BX194">
        <f t="shared" si="151"/>
        <v>-361.73968324437533</v>
      </c>
      <c r="BY194" t="str">
        <f t="shared" si="139"/>
        <v/>
      </c>
      <c r="BZ194">
        <v>0</v>
      </c>
      <c r="CA194">
        <v>0</v>
      </c>
      <c r="CB194">
        <v>0</v>
      </c>
      <c r="CC194">
        <v>0</v>
      </c>
      <c r="CD194">
        <v>0</v>
      </c>
      <c r="CE194">
        <v>0</v>
      </c>
      <c r="CF194">
        <v>0</v>
      </c>
      <c r="CG194">
        <v>0</v>
      </c>
      <c r="CH194">
        <v>0</v>
      </c>
      <c r="CI194">
        <v>0</v>
      </c>
      <c r="CJ194">
        <v>0</v>
      </c>
      <c r="CK194">
        <v>0</v>
      </c>
      <c r="CL194">
        <v>0</v>
      </c>
      <c r="CM194">
        <v>0</v>
      </c>
      <c r="CN194" t="str">
        <f t="shared" si="152"/>
        <v>refOK</v>
      </c>
      <c r="CO194">
        <f t="shared" si="137"/>
        <v>46.25814379391722</v>
      </c>
      <c r="CP194">
        <f t="shared" si="138"/>
        <v>46.25814379391722</v>
      </c>
      <c r="CQ194">
        <f t="shared" si="153"/>
        <v>0</v>
      </c>
      <c r="CR194">
        <f>IF($CN194="refOK",$BS194,$BT194)*IF($BP194="Emissions positive",-1,1)</f>
        <v>726.845318289901</v>
      </c>
      <c r="CS194">
        <f>IF($CN194="refOK",$BT194,$BS194)*IF($BP194="Emissions positive",-1,1)</f>
        <v>365.10563504552567</v>
      </c>
      <c r="CT194">
        <f t="shared" si="154"/>
        <v>-361.73968324437533</v>
      </c>
      <c r="CU194" t="str">
        <f t="shared" si="155"/>
        <v/>
      </c>
      <c r="CV194" s="2">
        <f t="shared" si="156"/>
        <v>-0.49768454737448842</v>
      </c>
      <c r="CW194" s="1" t="s">
        <v>234</v>
      </c>
      <c r="CX194" t="str">
        <f t="shared" si="157"/>
        <v>loc</v>
      </c>
      <c r="CY194" t="s">
        <v>280</v>
      </c>
      <c r="CZ194"/>
      <c r="DA194"/>
      <c r="DB194">
        <v>200</v>
      </c>
      <c r="DC194" t="str">
        <f t="shared" si="158"/>
        <v>+100</v>
      </c>
      <c r="DD194">
        <v>0</v>
      </c>
      <c r="DE194">
        <v>1</v>
      </c>
      <c r="DF194">
        <v>0</v>
      </c>
      <c r="DG194">
        <v>0</v>
      </c>
      <c r="DH194"/>
      <c r="DI194">
        <f t="shared" si="162"/>
        <v>1</v>
      </c>
      <c r="DJ194" t="str">
        <f t="shared" si="163"/>
        <v>EnergyInput</v>
      </c>
      <c r="DK194">
        <f t="shared" si="164"/>
        <v>0</v>
      </c>
      <c r="DL194" t="str">
        <f t="shared" si="165"/>
        <v>Energy</v>
      </c>
      <c r="DM194">
        <f t="shared" si="166"/>
        <v>0</v>
      </c>
      <c r="DN194">
        <f t="shared" si="167"/>
        <v>0</v>
      </c>
      <c r="DO194">
        <v>0</v>
      </c>
      <c r="DP194">
        <v>1</v>
      </c>
      <c r="DQ194" t="s">
        <v>304</v>
      </c>
      <c r="DR194" t="s">
        <v>281</v>
      </c>
      <c r="DS194">
        <v>0</v>
      </c>
      <c r="DT194">
        <f t="shared" si="168"/>
        <v>1</v>
      </c>
      <c r="DU194" s="143" t="str">
        <f t="shared" si="169"/>
        <v>external DF used</v>
      </c>
      <c r="DV194">
        <v>0</v>
      </c>
      <c r="DW194">
        <v>1</v>
      </c>
      <c r="DX194">
        <v>1</v>
      </c>
      <c r="DY194">
        <v>1</v>
      </c>
      <c r="DZ194">
        <v>1</v>
      </c>
      <c r="EA194" s="143">
        <v>0</v>
      </c>
      <c r="EB194">
        <v>1</v>
      </c>
      <c r="EC194">
        <v>1</v>
      </c>
      <c r="ED194">
        <v>0</v>
      </c>
      <c r="EE194">
        <v>1</v>
      </c>
      <c r="EF194">
        <v>1</v>
      </c>
      <c r="EG194">
        <v>1</v>
      </c>
      <c r="EH194">
        <v>0</v>
      </c>
      <c r="EI194" s="2">
        <v>0</v>
      </c>
      <c r="EJ194" s="1"/>
      <c r="EK194" t="str">
        <f t="shared" si="159"/>
        <v>Whole sector</v>
      </c>
      <c r="EL194" t="str">
        <f t="shared" si="160"/>
        <v/>
      </c>
      <c r="EM194" s="2" t="str">
        <f t="shared" si="140"/>
        <v/>
      </c>
      <c r="EN194"/>
      <c r="EO194"/>
      <c r="EP194" t="b">
        <f>IF(ISNUMBER(BU194),IF(ABS(BU194-[3]QC_indicators!$B$2)&gt;3*[3]QC_indicators!$C$2,"C ratio",IF(ISNUMBER(BY194),IF(ABS(BY194-[3]QC_indicators!$B$1)&gt;3*[3]QC_indicators!$C$1,"DF","no"))),IF(ISNUMBER(BY194),IF(ABS(BY194-[3]QC_indicators!$B$1)&gt;3*[3]QC_indicators!$C$1,"DF","no")))</f>
        <v>0</v>
      </c>
      <c r="EQ194" t="s">
        <v>286</v>
      </c>
      <c r="ER194"/>
      <c r="ES194"/>
      <c r="ET194" s="264" t="s">
        <v>3272</v>
      </c>
      <c r="EU194"/>
    </row>
    <row r="195" spans="1:151" s="139" customFormat="1" ht="15" hidden="1" customHeight="1">
      <c r="A195" s="1" t="s">
        <v>265</v>
      </c>
      <c r="B195" t="s">
        <v>266</v>
      </c>
      <c r="C195" t="s">
        <v>267</v>
      </c>
      <c r="D195" t="s">
        <v>268</v>
      </c>
      <c r="E195" t="s">
        <v>269</v>
      </c>
      <c r="F195" t="s">
        <v>270</v>
      </c>
      <c r="G195" t="s">
        <v>271</v>
      </c>
      <c r="H195" t="s">
        <v>254</v>
      </c>
      <c r="I195">
        <v>2022</v>
      </c>
      <c r="J195">
        <v>0</v>
      </c>
      <c r="K195" t="s">
        <v>272</v>
      </c>
      <c r="L195"/>
      <c r="M195" t="str">
        <f t="shared" si="161"/>
        <v>Aryapratama_2022</v>
      </c>
      <c r="N195" t="s">
        <v>222</v>
      </c>
      <c r="O195" s="145" t="s">
        <v>274</v>
      </c>
      <c r="P195"/>
      <c r="Q195" t="s">
        <v>224</v>
      </c>
      <c r="R195" s="262" t="s">
        <v>223</v>
      </c>
      <c r="S195" s="1" t="s">
        <v>319</v>
      </c>
      <c r="T195" t="s">
        <v>326</v>
      </c>
      <c r="U195" t="s">
        <v>276</v>
      </c>
      <c r="V195">
        <v>0</v>
      </c>
      <c r="W195">
        <v>0</v>
      </c>
      <c r="X195">
        <v>0</v>
      </c>
      <c r="Y195">
        <v>0</v>
      </c>
      <c r="Z195">
        <v>0</v>
      </c>
      <c r="AA195">
        <v>0</v>
      </c>
      <c r="AB195">
        <v>0</v>
      </c>
      <c r="AC195">
        <v>0</v>
      </c>
      <c r="AD195">
        <v>0</v>
      </c>
      <c r="AE195">
        <v>0</v>
      </c>
      <c r="AF195">
        <v>1</v>
      </c>
      <c r="AG195">
        <v>0</v>
      </c>
      <c r="AH195">
        <v>0</v>
      </c>
      <c r="AI195">
        <v>0</v>
      </c>
      <c r="AJ195">
        <v>0</v>
      </c>
      <c r="AK195">
        <v>0</v>
      </c>
      <c r="AL195">
        <v>0</v>
      </c>
      <c r="AM195">
        <v>0</v>
      </c>
      <c r="AN195">
        <v>0</v>
      </c>
      <c r="AO195">
        <v>0</v>
      </c>
      <c r="AP195">
        <v>0</v>
      </c>
      <c r="AQ195">
        <v>0</v>
      </c>
      <c r="AR195">
        <v>0</v>
      </c>
      <c r="AS195">
        <v>0</v>
      </c>
      <c r="AT195">
        <v>0</v>
      </c>
      <c r="AU195">
        <v>0</v>
      </c>
      <c r="AV195">
        <v>0</v>
      </c>
      <c r="AW195">
        <v>0</v>
      </c>
      <c r="AX195" s="141">
        <f t="shared" si="142"/>
        <v>1</v>
      </c>
      <c r="AY195" s="141">
        <f t="shared" si="143"/>
        <v>1</v>
      </c>
      <c r="AZ195">
        <f t="shared" si="144"/>
        <v>0</v>
      </c>
      <c r="BA195">
        <f t="shared" si="145"/>
        <v>1</v>
      </c>
      <c r="BB195">
        <f t="shared" si="146"/>
        <v>0</v>
      </c>
      <c r="BC195">
        <f t="shared" si="147"/>
        <v>0</v>
      </c>
      <c r="BD195">
        <f t="shared" si="148"/>
        <v>0</v>
      </c>
      <c r="BE195" t="str">
        <f t="array" ref="BE195">IF(AY195=1,INDEX($V$7:$AL$7,MATCH(TRUE,INDEX($V195:$AW195&lt;&gt;0,),0)),IF(AY195=0,INDEX($AM$7:$AW$7,MATCH(1,$AM195:$AW195,0)),IF(BF195="Multiple strategies","mixed drivers",IF(BF195="Supply chain","multiple supply","multiple silviculture"))))</f>
        <v>supply chain organization</v>
      </c>
      <c r="BF195" s="2" t="str" cm="1">
        <f t="array" ref="BF195">IF(COUNTIF(AZ195:BB195,"&lt;&gt;0")=1,INDEX($V$4:$AW$4,MATCH(TRUE,INDEX($V195:$AW195&lt;&gt;0,),0)),IF(COUNTIF(AZ195:BB195,"&lt;&gt;0")=0,INDEX($AM$4:$AW$4,MATCH(1,$AM195:$AW195,0)),"Multiple strategies"))</f>
        <v>Supply chain</v>
      </c>
      <c r="BG195" s="1" t="s">
        <v>321</v>
      </c>
      <c r="BH195" s="146" t="s">
        <v>322</v>
      </c>
      <c r="BI195" t="s">
        <v>323</v>
      </c>
      <c r="BJ195" t="s">
        <v>278</v>
      </c>
      <c r="BK195" s="148">
        <v>225.96603773584911</v>
      </c>
      <c r="BL195" s="148">
        <v>225.96603773584911</v>
      </c>
      <c r="BM195">
        <f t="shared" si="141"/>
        <v>1</v>
      </c>
      <c r="BN195">
        <f t="shared" si="149"/>
        <v>0</v>
      </c>
      <c r="BO195">
        <f t="shared" si="150"/>
        <v>0</v>
      </c>
      <c r="BP195" t="s">
        <v>232</v>
      </c>
      <c r="BQ195" s="302" t="s">
        <v>3106</v>
      </c>
      <c r="BR195" t="s">
        <v>279</v>
      </c>
      <c r="BS195">
        <v>-1282.169207878547</v>
      </c>
      <c r="BT195">
        <v>-1206.3347109067272</v>
      </c>
      <c r="BU195" s="144">
        <f>IFERROR(BS195/BT195,"")</f>
        <v>1.0628635620663023</v>
      </c>
      <c r="BV195">
        <f>BS195-BT195</f>
        <v>-75.834496971819817</v>
      </c>
      <c r="BW195"/>
      <c r="BX195">
        <f t="shared" si="151"/>
        <v>-75.834496971819817</v>
      </c>
      <c r="BY195" t="str">
        <f t="shared" si="139"/>
        <v/>
      </c>
      <c r="BZ195">
        <v>0</v>
      </c>
      <c r="CA195">
        <v>0</v>
      </c>
      <c r="CB195">
        <v>0</v>
      </c>
      <c r="CC195">
        <v>0</v>
      </c>
      <c r="CD195">
        <v>0</v>
      </c>
      <c r="CE195">
        <v>0</v>
      </c>
      <c r="CF195">
        <v>0</v>
      </c>
      <c r="CG195">
        <v>0</v>
      </c>
      <c r="CH195">
        <v>0</v>
      </c>
      <c r="CI195">
        <v>0</v>
      </c>
      <c r="CJ195">
        <v>0</v>
      </c>
      <c r="CK195">
        <v>0</v>
      </c>
      <c r="CL195">
        <v>0</v>
      </c>
      <c r="CM195">
        <v>0</v>
      </c>
      <c r="CN195" t="str">
        <f t="shared" si="152"/>
        <v>refOK</v>
      </c>
      <c r="CO195">
        <f t="shared" si="137"/>
        <v>225.96603773584911</v>
      </c>
      <c r="CP195">
        <f t="shared" si="138"/>
        <v>225.96603773584911</v>
      </c>
      <c r="CQ195">
        <f t="shared" si="153"/>
        <v>0</v>
      </c>
      <c r="CR195">
        <f>IF($CN195="refOK",$BT195,$BS195)*IF($BP195="Emissions positive",-1,1)</f>
        <v>-1206.3347109067272</v>
      </c>
      <c r="CS195">
        <f>IF($CN195="refOK",$BS195,$BT195)*IF($BP195="Emissions positive",-1,1)</f>
        <v>-1282.169207878547</v>
      </c>
      <c r="CT195">
        <f t="shared" si="154"/>
        <v>-75.834496971819817</v>
      </c>
      <c r="CU195" t="str">
        <f t="shared" si="155"/>
        <v/>
      </c>
      <c r="CV195" s="2">
        <f t="shared" si="156"/>
        <v>-6.2863562066302239E-2</v>
      </c>
      <c r="CW195" s="1" t="s">
        <v>234</v>
      </c>
      <c r="CX195" t="str">
        <f t="shared" si="157"/>
        <v>loc</v>
      </c>
      <c r="CY195" t="s">
        <v>280</v>
      </c>
      <c r="CZ195"/>
      <c r="DA195"/>
      <c r="DB195">
        <v>200</v>
      </c>
      <c r="DC195" t="str">
        <f t="shared" si="158"/>
        <v>+100</v>
      </c>
      <c r="DD195">
        <v>0</v>
      </c>
      <c r="DE195">
        <v>1</v>
      </c>
      <c r="DF195">
        <v>0</v>
      </c>
      <c r="DG195">
        <v>1</v>
      </c>
      <c r="DH195"/>
      <c r="DI195">
        <f t="shared" si="162"/>
        <v>2</v>
      </c>
      <c r="DJ195" t="str">
        <f t="shared" si="163"/>
        <v>mixedProduct</v>
      </c>
      <c r="DK195">
        <f t="shared" si="164"/>
        <v>0</v>
      </c>
      <c r="DL195" t="str">
        <f t="shared" si="165"/>
        <v>Energy</v>
      </c>
      <c r="DM195">
        <f t="shared" si="166"/>
        <v>0</v>
      </c>
      <c r="DN195" t="str">
        <f t="shared" si="167"/>
        <v>Timber</v>
      </c>
      <c r="DO195">
        <v>0</v>
      </c>
      <c r="DP195">
        <v>1</v>
      </c>
      <c r="DQ195" t="s">
        <v>304</v>
      </c>
      <c r="DR195" t="s">
        <v>281</v>
      </c>
      <c r="DS195">
        <v>0</v>
      </c>
      <c r="DT195">
        <f t="shared" si="168"/>
        <v>1</v>
      </c>
      <c r="DU195" s="143" t="str">
        <f t="shared" si="169"/>
        <v>external DF used</v>
      </c>
      <c r="DV195">
        <v>0</v>
      </c>
      <c r="DW195">
        <v>1</v>
      </c>
      <c r="DX195">
        <v>1</v>
      </c>
      <c r="DY195">
        <v>1</v>
      </c>
      <c r="DZ195">
        <v>1</v>
      </c>
      <c r="EA195" s="143">
        <v>0</v>
      </c>
      <c r="EB195">
        <v>1</v>
      </c>
      <c r="EC195">
        <v>1</v>
      </c>
      <c r="ED195">
        <v>0</v>
      </c>
      <c r="EE195">
        <v>1</v>
      </c>
      <c r="EF195">
        <v>1</v>
      </c>
      <c r="EG195">
        <v>1</v>
      </c>
      <c r="EH195">
        <v>0</v>
      </c>
      <c r="EI195" s="2">
        <v>0</v>
      </c>
      <c r="EJ195" s="1"/>
      <c r="EK195" t="str">
        <f t="shared" si="159"/>
        <v>Whole sector</v>
      </c>
      <c r="EL195" t="str">
        <f t="shared" si="160"/>
        <v/>
      </c>
      <c r="EM195" s="2" t="str">
        <f t="shared" si="140"/>
        <v/>
      </c>
      <c r="EN195" t="s">
        <v>324</v>
      </c>
      <c r="EO195"/>
      <c r="EP195" t="b">
        <f>IF(ISNUMBER(BU195),IF(ABS(BU195-[3]QC_indicators!$B$2)&gt;3*[3]QC_indicators!$C$2,"C ratio",IF(ISNUMBER(BY195),IF(ABS(BY195-[3]QC_indicators!$B$1)&gt;3*[3]QC_indicators!$C$1,"DF","no"))),IF(ISNUMBER(BY195),IF(ABS(BY195-[3]QC_indicators!$B$1)&gt;3*[3]QC_indicators!$C$1,"DF","no")))</f>
        <v>0</v>
      </c>
      <c r="EQ195" t="s">
        <v>286</v>
      </c>
      <c r="ER195" s="147" t="s">
        <v>325</v>
      </c>
      <c r="ES195"/>
      <c r="ET195" s="264" t="s">
        <v>3272</v>
      </c>
      <c r="EU195"/>
    </row>
    <row r="196" spans="1:151" s="139" customFormat="1" ht="15" hidden="1" customHeight="1">
      <c r="A196" s="1" t="s">
        <v>265</v>
      </c>
      <c r="B196" t="s">
        <v>266</v>
      </c>
      <c r="C196" t="s">
        <v>267</v>
      </c>
      <c r="D196" t="s">
        <v>268</v>
      </c>
      <c r="E196" t="s">
        <v>269</v>
      </c>
      <c r="F196" t="s">
        <v>270</v>
      </c>
      <c r="G196" t="s">
        <v>271</v>
      </c>
      <c r="H196" t="s">
        <v>254</v>
      </c>
      <c r="I196">
        <v>2022</v>
      </c>
      <c r="J196">
        <v>0</v>
      </c>
      <c r="K196" t="s">
        <v>272</v>
      </c>
      <c r="L196"/>
      <c r="M196" t="str">
        <f t="shared" si="161"/>
        <v>Aryapratama_2022</v>
      </c>
      <c r="N196" t="s">
        <v>222</v>
      </c>
      <c r="O196" s="145" t="s">
        <v>274</v>
      </c>
      <c r="P196"/>
      <c r="Q196" t="s">
        <v>224</v>
      </c>
      <c r="R196" s="262" t="s">
        <v>223</v>
      </c>
      <c r="S196" s="1" t="s">
        <v>319</v>
      </c>
      <c r="T196" t="s">
        <v>303</v>
      </c>
      <c r="U196" t="s">
        <v>284</v>
      </c>
      <c r="V196">
        <v>0</v>
      </c>
      <c r="W196">
        <v>0</v>
      </c>
      <c r="X196">
        <v>0</v>
      </c>
      <c r="Y196">
        <v>0</v>
      </c>
      <c r="Z196">
        <v>0</v>
      </c>
      <c r="AA196">
        <v>0</v>
      </c>
      <c r="AB196">
        <v>0</v>
      </c>
      <c r="AC196">
        <v>0</v>
      </c>
      <c r="AD196">
        <v>0</v>
      </c>
      <c r="AE196">
        <v>0</v>
      </c>
      <c r="AF196">
        <v>1</v>
      </c>
      <c r="AG196">
        <v>0</v>
      </c>
      <c r="AH196">
        <v>0</v>
      </c>
      <c r="AI196">
        <v>0</v>
      </c>
      <c r="AJ196">
        <v>0</v>
      </c>
      <c r="AK196">
        <v>0</v>
      </c>
      <c r="AL196">
        <v>0</v>
      </c>
      <c r="AM196">
        <v>0</v>
      </c>
      <c r="AN196">
        <v>0</v>
      </c>
      <c r="AO196">
        <v>0</v>
      </c>
      <c r="AP196">
        <v>0</v>
      </c>
      <c r="AQ196">
        <v>0</v>
      </c>
      <c r="AR196">
        <v>0</v>
      </c>
      <c r="AS196">
        <v>0</v>
      </c>
      <c r="AT196">
        <v>0</v>
      </c>
      <c r="AU196">
        <v>0</v>
      </c>
      <c r="AV196">
        <v>0</v>
      </c>
      <c r="AW196">
        <v>0</v>
      </c>
      <c r="AX196" s="141">
        <f t="shared" si="142"/>
        <v>1</v>
      </c>
      <c r="AY196" s="141">
        <f t="shared" si="143"/>
        <v>1</v>
      </c>
      <c r="AZ196">
        <f t="shared" si="144"/>
        <v>0</v>
      </c>
      <c r="BA196">
        <f t="shared" si="145"/>
        <v>1</v>
      </c>
      <c r="BB196">
        <f t="shared" si="146"/>
        <v>0</v>
      </c>
      <c r="BC196">
        <f t="shared" si="147"/>
        <v>0</v>
      </c>
      <c r="BD196">
        <f t="shared" si="148"/>
        <v>0</v>
      </c>
      <c r="BE196" t="str">
        <f t="array" ref="BE196">IF(AY196=1,INDEX($V$7:$AL$7,MATCH(TRUE,INDEX($V196:$AW196&lt;&gt;0,),0)),IF(AY196=0,INDEX($AM$7:$AW$7,MATCH(1,$AM196:$AW196,0)),IF(BF196="Multiple strategies","mixed drivers",IF(BF196="Supply chain","multiple supply","multiple silviculture"))))</f>
        <v>supply chain organization</v>
      </c>
      <c r="BF196" s="2" t="str" cm="1">
        <f t="array" ref="BF196">IF(COUNTIF(AZ196:BB196,"&lt;&gt;0")=1,INDEX($V$4:$AW$4,MATCH(TRUE,INDEX($V196:$AW196&lt;&gt;0,),0)),IF(COUNTIF(AZ196:BB196,"&lt;&gt;0")=0,INDEX($AM$4:$AW$4,MATCH(1,$AM196:$AW196,0)),"Multiple strategies"))</f>
        <v>Supply chain</v>
      </c>
      <c r="BG196" s="1" t="s">
        <v>321</v>
      </c>
      <c r="BH196" s="146" t="s">
        <v>322</v>
      </c>
      <c r="BI196" t="s">
        <v>323</v>
      </c>
      <c r="BJ196" t="s">
        <v>278</v>
      </c>
      <c r="BK196" s="148">
        <v>9.6371132903994159</v>
      </c>
      <c r="BL196" s="148">
        <v>9.6371132903994159</v>
      </c>
      <c r="BM196">
        <f t="shared" si="141"/>
        <v>1</v>
      </c>
      <c r="BN196">
        <f t="shared" si="149"/>
        <v>0</v>
      </c>
      <c r="BO196">
        <f t="shared" si="150"/>
        <v>0</v>
      </c>
      <c r="BP196" t="s">
        <v>232</v>
      </c>
      <c r="BQ196" s="302" t="s">
        <v>3106</v>
      </c>
      <c r="BR196" t="s">
        <v>279</v>
      </c>
      <c r="BS196">
        <v>365.10563504552567</v>
      </c>
      <c r="BT196">
        <v>377.50107760210591</v>
      </c>
      <c r="BU196" s="144">
        <f>IFERROR(BS196/BT196,"")</f>
        <v>0.96716448431004143</v>
      </c>
      <c r="BV196">
        <f>BS196-BT196</f>
        <v>-12.395442556580235</v>
      </c>
      <c r="BW196"/>
      <c r="BX196">
        <f t="shared" si="151"/>
        <v>-12.395442556580235</v>
      </c>
      <c r="BY196" t="str">
        <f t="shared" si="139"/>
        <v/>
      </c>
      <c r="BZ196">
        <v>0</v>
      </c>
      <c r="CA196">
        <v>0</v>
      </c>
      <c r="CB196">
        <v>0</v>
      </c>
      <c r="CC196">
        <v>0</v>
      </c>
      <c r="CD196">
        <v>0</v>
      </c>
      <c r="CE196">
        <v>0</v>
      </c>
      <c r="CF196">
        <v>0</v>
      </c>
      <c r="CG196">
        <v>0</v>
      </c>
      <c r="CH196">
        <v>0</v>
      </c>
      <c r="CI196">
        <v>0</v>
      </c>
      <c r="CJ196">
        <v>0</v>
      </c>
      <c r="CK196">
        <v>0</v>
      </c>
      <c r="CL196">
        <v>0</v>
      </c>
      <c r="CM196">
        <v>0</v>
      </c>
      <c r="CN196" t="str">
        <f t="shared" si="152"/>
        <v>refOK</v>
      </c>
      <c r="CO196">
        <f t="shared" si="137"/>
        <v>9.6371132903994159</v>
      </c>
      <c r="CP196">
        <f t="shared" si="138"/>
        <v>9.6371132903994159</v>
      </c>
      <c r="CQ196">
        <f t="shared" si="153"/>
        <v>0</v>
      </c>
      <c r="CR196">
        <f>IF($CN196="refOK",$BT196,$BS196)*IF($BP196="Emissions positive",-1,1)</f>
        <v>377.50107760210591</v>
      </c>
      <c r="CS196">
        <f>IF($CN196="refOK",$BS196,$BT196)*IF($BP196="Emissions positive",-1,1)</f>
        <v>365.10563504552567</v>
      </c>
      <c r="CT196">
        <f t="shared" si="154"/>
        <v>-12.395442556580235</v>
      </c>
      <c r="CU196" t="str">
        <f t="shared" si="155"/>
        <v/>
      </c>
      <c r="CV196" s="2">
        <f t="shared" si="156"/>
        <v>-3.2835515689958621E-2</v>
      </c>
      <c r="CW196" s="1" t="s">
        <v>234</v>
      </c>
      <c r="CX196" t="str">
        <f t="shared" si="157"/>
        <v>loc</v>
      </c>
      <c r="CY196" t="s">
        <v>280</v>
      </c>
      <c r="CZ196"/>
      <c r="DA196"/>
      <c r="DB196">
        <v>200</v>
      </c>
      <c r="DC196" t="str">
        <f t="shared" si="158"/>
        <v>+100</v>
      </c>
      <c r="DD196">
        <v>0</v>
      </c>
      <c r="DE196">
        <v>1</v>
      </c>
      <c r="DF196">
        <v>0</v>
      </c>
      <c r="DG196">
        <v>1</v>
      </c>
      <c r="DH196"/>
      <c r="DI196">
        <f t="shared" si="162"/>
        <v>2</v>
      </c>
      <c r="DJ196" t="str">
        <f t="shared" si="163"/>
        <v>mixedProduct</v>
      </c>
      <c r="DK196">
        <f t="shared" si="164"/>
        <v>0</v>
      </c>
      <c r="DL196" t="str">
        <f t="shared" si="165"/>
        <v>Energy</v>
      </c>
      <c r="DM196">
        <f t="shared" si="166"/>
        <v>0</v>
      </c>
      <c r="DN196" t="str">
        <f t="shared" si="167"/>
        <v>Timber</v>
      </c>
      <c r="DO196">
        <v>0</v>
      </c>
      <c r="DP196">
        <v>1</v>
      </c>
      <c r="DQ196" t="s">
        <v>304</v>
      </c>
      <c r="DR196" t="s">
        <v>281</v>
      </c>
      <c r="DS196">
        <v>0</v>
      </c>
      <c r="DT196">
        <f t="shared" si="168"/>
        <v>1</v>
      </c>
      <c r="DU196" s="143" t="str">
        <f t="shared" si="169"/>
        <v>external DF used</v>
      </c>
      <c r="DV196">
        <v>0</v>
      </c>
      <c r="DW196">
        <v>1</v>
      </c>
      <c r="DX196">
        <v>1</v>
      </c>
      <c r="DY196">
        <v>1</v>
      </c>
      <c r="DZ196">
        <v>1</v>
      </c>
      <c r="EA196" s="143">
        <v>0</v>
      </c>
      <c r="EB196">
        <v>1</v>
      </c>
      <c r="EC196">
        <v>1</v>
      </c>
      <c r="ED196">
        <v>0</v>
      </c>
      <c r="EE196">
        <v>1</v>
      </c>
      <c r="EF196">
        <v>1</v>
      </c>
      <c r="EG196">
        <v>1</v>
      </c>
      <c r="EH196">
        <v>0</v>
      </c>
      <c r="EI196" s="2">
        <v>0</v>
      </c>
      <c r="EJ196" s="1"/>
      <c r="EK196" t="str">
        <f t="shared" si="159"/>
        <v>Whole sector</v>
      </c>
      <c r="EL196" t="str">
        <f t="shared" si="160"/>
        <v/>
      </c>
      <c r="EM196" s="2" t="str">
        <f t="shared" si="140"/>
        <v/>
      </c>
      <c r="EN196" t="s">
        <v>324</v>
      </c>
      <c r="EO196"/>
      <c r="EP196" t="b">
        <f>IF(ISNUMBER(BU196),IF(ABS(BU196-[3]QC_indicators!$B$2)&gt;3*[3]QC_indicators!$C$2,"C ratio",IF(ISNUMBER(BY196),IF(ABS(BY196-[3]QC_indicators!$B$1)&gt;3*[3]QC_indicators!$C$1,"DF","no"))),IF(ISNUMBER(BY196),IF(ABS(BY196-[3]QC_indicators!$B$1)&gt;3*[3]QC_indicators!$C$1,"DF","no")))</f>
        <v>0</v>
      </c>
      <c r="EQ196" t="s">
        <v>286</v>
      </c>
      <c r="ER196" s="147" t="s">
        <v>325</v>
      </c>
      <c r="ES196"/>
      <c r="ET196" s="264" t="s">
        <v>3272</v>
      </c>
      <c r="EU196"/>
    </row>
    <row r="197" spans="1:151" s="139" customFormat="1" ht="15" hidden="1" customHeight="1">
      <c r="A197" s="1" t="s">
        <v>265</v>
      </c>
      <c r="B197" t="s">
        <v>266</v>
      </c>
      <c r="C197" t="s">
        <v>267</v>
      </c>
      <c r="D197" t="s">
        <v>268</v>
      </c>
      <c r="E197" t="s">
        <v>269</v>
      </c>
      <c r="F197" t="s">
        <v>270</v>
      </c>
      <c r="G197" t="s">
        <v>271</v>
      </c>
      <c r="H197" t="s">
        <v>254</v>
      </c>
      <c r="I197">
        <v>2022</v>
      </c>
      <c r="J197">
        <v>0</v>
      </c>
      <c r="K197" t="s">
        <v>272</v>
      </c>
      <c r="L197"/>
      <c r="M197" t="str">
        <f t="shared" si="161"/>
        <v>Aryapratama_2022</v>
      </c>
      <c r="N197" t="s">
        <v>222</v>
      </c>
      <c r="O197" s="145" t="s">
        <v>274</v>
      </c>
      <c r="P197"/>
      <c r="Q197" t="s">
        <v>224</v>
      </c>
      <c r="R197" s="262" t="s">
        <v>223</v>
      </c>
      <c r="S197" s="1" t="s">
        <v>319</v>
      </c>
      <c r="T197" t="s">
        <v>320</v>
      </c>
      <c r="U197" t="s">
        <v>275</v>
      </c>
      <c r="V197">
        <v>0</v>
      </c>
      <c r="W197">
        <v>0</v>
      </c>
      <c r="X197">
        <v>0</v>
      </c>
      <c r="Y197">
        <v>0</v>
      </c>
      <c r="Z197">
        <v>0</v>
      </c>
      <c r="AA197">
        <v>0</v>
      </c>
      <c r="AB197">
        <v>0</v>
      </c>
      <c r="AC197">
        <v>0</v>
      </c>
      <c r="AD197">
        <v>0</v>
      </c>
      <c r="AE197">
        <v>0</v>
      </c>
      <c r="AF197">
        <v>1</v>
      </c>
      <c r="AG197">
        <v>0</v>
      </c>
      <c r="AH197">
        <v>0</v>
      </c>
      <c r="AI197">
        <v>0</v>
      </c>
      <c r="AJ197">
        <v>0</v>
      </c>
      <c r="AK197">
        <v>0</v>
      </c>
      <c r="AL197">
        <v>0</v>
      </c>
      <c r="AM197">
        <v>0</v>
      </c>
      <c r="AN197">
        <v>0</v>
      </c>
      <c r="AO197">
        <v>0</v>
      </c>
      <c r="AP197">
        <v>0</v>
      </c>
      <c r="AQ197">
        <v>0</v>
      </c>
      <c r="AR197">
        <v>0</v>
      </c>
      <c r="AS197">
        <v>0</v>
      </c>
      <c r="AT197">
        <v>0</v>
      </c>
      <c r="AU197">
        <v>0</v>
      </c>
      <c r="AV197">
        <v>0</v>
      </c>
      <c r="AW197">
        <v>0</v>
      </c>
      <c r="AX197" s="141">
        <f t="shared" si="142"/>
        <v>1</v>
      </c>
      <c r="AY197" s="141">
        <f t="shared" si="143"/>
        <v>1</v>
      </c>
      <c r="AZ197">
        <f t="shared" si="144"/>
        <v>0</v>
      </c>
      <c r="BA197">
        <f t="shared" si="145"/>
        <v>1</v>
      </c>
      <c r="BB197">
        <f t="shared" si="146"/>
        <v>0</v>
      </c>
      <c r="BC197">
        <f t="shared" si="147"/>
        <v>0</v>
      </c>
      <c r="BD197">
        <f t="shared" si="148"/>
        <v>0</v>
      </c>
      <c r="BE197" t="str">
        <f t="array" ref="BE197">IF(AY197=1,INDEX($V$7:$AL$7,MATCH(TRUE,INDEX($V197:$AW197&lt;&gt;0,),0)),IF(AY197=0,INDEX($AM$7:$AW$7,MATCH(1,$AM197:$AW197,0)),IF(BF197="Multiple strategies","mixed drivers",IF(BF197="Supply chain","multiple supply","multiple silviculture"))))</f>
        <v>supply chain organization</v>
      </c>
      <c r="BF197" s="2" t="str" cm="1">
        <f t="array" ref="BF197">IF(COUNTIF(AZ197:BB197,"&lt;&gt;0")=1,INDEX($V$4:$AW$4,MATCH(TRUE,INDEX($V197:$AW197&lt;&gt;0,),0)),IF(COUNTIF(AZ197:BB197,"&lt;&gt;0")=0,INDEX($AM$4:$AW$4,MATCH(1,$AM197:$AW197,0)),"Multiple strategies"))</f>
        <v>Supply chain</v>
      </c>
      <c r="BG197" s="1" t="s">
        <v>321</v>
      </c>
      <c r="BH197" s="146" t="s">
        <v>322</v>
      </c>
      <c r="BI197" t="s">
        <v>323</v>
      </c>
      <c r="BJ197" t="s">
        <v>278</v>
      </c>
      <c r="BK197">
        <v>225.96603773584911</v>
      </c>
      <c r="BL197">
        <v>225.96603773584911</v>
      </c>
      <c r="BM197">
        <f t="shared" si="141"/>
        <v>1</v>
      </c>
      <c r="BN197">
        <f t="shared" si="149"/>
        <v>0</v>
      </c>
      <c r="BO197">
        <f t="shared" si="150"/>
        <v>0</v>
      </c>
      <c r="BP197" t="s">
        <v>232</v>
      </c>
      <c r="BQ197" s="302" t="s">
        <v>3106</v>
      </c>
      <c r="BR197" t="s">
        <v>279</v>
      </c>
      <c r="BS197">
        <v>-448.98121307248744</v>
      </c>
      <c r="BT197">
        <v>-435.66826611219864</v>
      </c>
      <c r="BU197" s="144">
        <f>IFERROR(BS197/BT197,"")</f>
        <v>1.0305575319476226</v>
      </c>
      <c r="BV197">
        <f>BS197-BT197</f>
        <v>-13.312946960288798</v>
      </c>
      <c r="BW197"/>
      <c r="BX197">
        <f t="shared" si="151"/>
        <v>-13.312946960288798</v>
      </c>
      <c r="BY197" t="str">
        <f t="shared" si="139"/>
        <v/>
      </c>
      <c r="BZ197">
        <v>0</v>
      </c>
      <c r="CA197">
        <v>0</v>
      </c>
      <c r="CB197">
        <v>0</v>
      </c>
      <c r="CC197">
        <v>0</v>
      </c>
      <c r="CD197">
        <v>0</v>
      </c>
      <c r="CE197">
        <v>0</v>
      </c>
      <c r="CF197">
        <v>0</v>
      </c>
      <c r="CG197">
        <v>0</v>
      </c>
      <c r="CH197">
        <v>0</v>
      </c>
      <c r="CI197">
        <v>0</v>
      </c>
      <c r="CJ197">
        <v>0</v>
      </c>
      <c r="CK197">
        <v>0</v>
      </c>
      <c r="CL197">
        <v>0</v>
      </c>
      <c r="CM197">
        <v>0</v>
      </c>
      <c r="CN197" t="str">
        <f t="shared" si="152"/>
        <v>refOK</v>
      </c>
      <c r="CO197">
        <f t="shared" si="137"/>
        <v>225.96603773584911</v>
      </c>
      <c r="CP197">
        <f t="shared" si="138"/>
        <v>225.96603773584911</v>
      </c>
      <c r="CQ197">
        <f t="shared" si="153"/>
        <v>0</v>
      </c>
      <c r="CR197">
        <f>IF($CN197="refOK",$BT197,$BS197)*IF($BP197="Emissions positive",-1,1)</f>
        <v>-435.66826611219864</v>
      </c>
      <c r="CS197">
        <f>IF($CN197="refOK",$BS197,$BT197)*IF($BP197="Emissions positive",-1,1)</f>
        <v>-448.98121307248744</v>
      </c>
      <c r="CT197">
        <f t="shared" si="154"/>
        <v>-13.312946960288798</v>
      </c>
      <c r="CU197" t="str">
        <f t="shared" si="155"/>
        <v/>
      </c>
      <c r="CV197" s="2">
        <f t="shared" si="156"/>
        <v>-3.0557531947622469E-2</v>
      </c>
      <c r="CW197" s="1" t="s">
        <v>234</v>
      </c>
      <c r="CX197" t="str">
        <f t="shared" si="157"/>
        <v>loc</v>
      </c>
      <c r="CY197" t="s">
        <v>280</v>
      </c>
      <c r="CZ197"/>
      <c r="DA197"/>
      <c r="DB197">
        <v>200</v>
      </c>
      <c r="DC197" t="str">
        <f t="shared" si="158"/>
        <v>+100</v>
      </c>
      <c r="DD197">
        <v>0</v>
      </c>
      <c r="DE197">
        <v>1</v>
      </c>
      <c r="DF197">
        <v>0</v>
      </c>
      <c r="DG197">
        <v>1</v>
      </c>
      <c r="DH197"/>
      <c r="DI197">
        <f t="shared" si="162"/>
        <v>2</v>
      </c>
      <c r="DJ197" t="str">
        <f t="shared" si="163"/>
        <v>mixedProduct</v>
      </c>
      <c r="DK197">
        <f t="shared" si="164"/>
        <v>0</v>
      </c>
      <c r="DL197" t="str">
        <f t="shared" si="165"/>
        <v>Energy</v>
      </c>
      <c r="DM197">
        <f t="shared" si="166"/>
        <v>0</v>
      </c>
      <c r="DN197" t="str">
        <f t="shared" si="167"/>
        <v>Timber</v>
      </c>
      <c r="DO197">
        <v>0</v>
      </c>
      <c r="DP197">
        <v>1</v>
      </c>
      <c r="DQ197" t="s">
        <v>304</v>
      </c>
      <c r="DR197" t="s">
        <v>281</v>
      </c>
      <c r="DS197">
        <v>0</v>
      </c>
      <c r="DT197">
        <f t="shared" si="168"/>
        <v>1</v>
      </c>
      <c r="DU197" s="143" t="str">
        <f t="shared" si="169"/>
        <v>external DF used</v>
      </c>
      <c r="DV197">
        <v>0</v>
      </c>
      <c r="DW197">
        <v>1</v>
      </c>
      <c r="DX197">
        <v>1</v>
      </c>
      <c r="DY197">
        <v>1</v>
      </c>
      <c r="DZ197">
        <v>1</v>
      </c>
      <c r="EA197" s="143">
        <v>0</v>
      </c>
      <c r="EB197">
        <v>1</v>
      </c>
      <c r="EC197">
        <v>1</v>
      </c>
      <c r="ED197">
        <v>0</v>
      </c>
      <c r="EE197">
        <v>1</v>
      </c>
      <c r="EF197">
        <v>1</v>
      </c>
      <c r="EG197">
        <v>1</v>
      </c>
      <c r="EH197">
        <v>0</v>
      </c>
      <c r="EI197" s="2">
        <v>0</v>
      </c>
      <c r="EJ197" s="1"/>
      <c r="EK197" t="str">
        <f t="shared" si="159"/>
        <v>Whole sector</v>
      </c>
      <c r="EL197" t="str">
        <f t="shared" si="160"/>
        <v/>
      </c>
      <c r="EM197" s="2" t="str">
        <f t="shared" si="140"/>
        <v/>
      </c>
      <c r="EN197" t="s">
        <v>324</v>
      </c>
      <c r="EO197"/>
      <c r="EP197" t="b">
        <f>IF(ISNUMBER(BU197),IF(ABS(BU197-[3]QC_indicators!$B$2)&gt;3*[3]QC_indicators!$C$2,"C ratio",IF(ISNUMBER(BY197),IF(ABS(BY197-[3]QC_indicators!$B$1)&gt;3*[3]QC_indicators!$C$1,"DF","no"))),IF(ISNUMBER(BY197),IF(ABS(BY197-[3]QC_indicators!$B$1)&gt;3*[3]QC_indicators!$C$1,"DF","no")))</f>
        <v>0</v>
      </c>
      <c r="EQ197" t="s">
        <v>286</v>
      </c>
      <c r="ER197" s="147" t="s">
        <v>325</v>
      </c>
      <c r="ES197"/>
      <c r="ET197" s="264" t="s">
        <v>3272</v>
      </c>
      <c r="EU197"/>
    </row>
    <row r="198" spans="1:151" s="139" customFormat="1" ht="15" hidden="1" customHeight="1">
      <c r="A198" s="1" t="s">
        <v>265</v>
      </c>
      <c r="B198" t="s">
        <v>266</v>
      </c>
      <c r="C198" t="s">
        <v>267</v>
      </c>
      <c r="D198" t="s">
        <v>268</v>
      </c>
      <c r="E198" t="s">
        <v>269</v>
      </c>
      <c r="F198" t="s">
        <v>270</v>
      </c>
      <c r="G198" t="s">
        <v>271</v>
      </c>
      <c r="H198" t="s">
        <v>254</v>
      </c>
      <c r="I198">
        <v>2022</v>
      </c>
      <c r="J198">
        <v>0</v>
      </c>
      <c r="K198" t="s">
        <v>272</v>
      </c>
      <c r="L198"/>
      <c r="M198" t="str">
        <f t="shared" si="161"/>
        <v>Aryapratama_2022</v>
      </c>
      <c r="N198" t="s">
        <v>222</v>
      </c>
      <c r="O198" s="145" t="s">
        <v>274</v>
      </c>
      <c r="P198"/>
      <c r="Q198" t="s">
        <v>224</v>
      </c>
      <c r="R198" s="262" t="s">
        <v>223</v>
      </c>
      <c r="S198" s="1" t="s">
        <v>319</v>
      </c>
      <c r="T198" t="s">
        <v>312</v>
      </c>
      <c r="U198" t="s">
        <v>283</v>
      </c>
      <c r="V198">
        <v>0</v>
      </c>
      <c r="W198">
        <v>0</v>
      </c>
      <c r="X198">
        <v>0</v>
      </c>
      <c r="Y198">
        <v>0</v>
      </c>
      <c r="Z198">
        <v>0</v>
      </c>
      <c r="AA198">
        <v>0</v>
      </c>
      <c r="AB198">
        <v>0</v>
      </c>
      <c r="AC198">
        <v>0</v>
      </c>
      <c r="AD198">
        <v>0</v>
      </c>
      <c r="AE198">
        <v>0</v>
      </c>
      <c r="AF198">
        <v>1</v>
      </c>
      <c r="AG198">
        <v>0</v>
      </c>
      <c r="AH198">
        <v>0</v>
      </c>
      <c r="AI198">
        <v>0</v>
      </c>
      <c r="AJ198">
        <v>0</v>
      </c>
      <c r="AK198">
        <v>0</v>
      </c>
      <c r="AL198">
        <v>0</v>
      </c>
      <c r="AM198">
        <v>0</v>
      </c>
      <c r="AN198">
        <v>0</v>
      </c>
      <c r="AO198">
        <v>0</v>
      </c>
      <c r="AP198">
        <v>0</v>
      </c>
      <c r="AQ198">
        <v>0</v>
      </c>
      <c r="AR198">
        <v>0</v>
      </c>
      <c r="AS198">
        <v>0</v>
      </c>
      <c r="AT198">
        <v>0</v>
      </c>
      <c r="AU198">
        <v>0</v>
      </c>
      <c r="AV198">
        <v>0</v>
      </c>
      <c r="AW198">
        <v>0</v>
      </c>
      <c r="AX198" s="141">
        <f t="shared" si="142"/>
        <v>1</v>
      </c>
      <c r="AY198" s="141">
        <f t="shared" si="143"/>
        <v>1</v>
      </c>
      <c r="AZ198">
        <f t="shared" si="144"/>
        <v>0</v>
      </c>
      <c r="BA198">
        <f t="shared" si="145"/>
        <v>1</v>
      </c>
      <c r="BB198">
        <f t="shared" si="146"/>
        <v>0</v>
      </c>
      <c r="BC198">
        <f t="shared" si="147"/>
        <v>0</v>
      </c>
      <c r="BD198">
        <f t="shared" si="148"/>
        <v>0</v>
      </c>
      <c r="BE198" t="str">
        <f t="array" ref="BE198">IF(AY198=1,INDEX($V$7:$AL$7,MATCH(TRUE,INDEX($V198:$AW198&lt;&gt;0,),0)),IF(AY198=0,INDEX($AM$7:$AW$7,MATCH(1,$AM198:$AW198,0)),IF(BF198="Multiple strategies","mixed drivers",IF(BF198="Supply chain","multiple supply","multiple silviculture"))))</f>
        <v>supply chain organization</v>
      </c>
      <c r="BF198" s="2" t="str" cm="1">
        <f t="array" ref="BF198">IF(COUNTIF(AZ198:BB198,"&lt;&gt;0")=1,INDEX($V$4:$AW$4,MATCH(TRUE,INDEX($V198:$AW198&lt;&gt;0,),0)),IF(COUNTIF(AZ198:BB198,"&lt;&gt;0")=0,INDEX($AM$4:$AW$4,MATCH(1,$AM198:$AW198,0)),"Multiple strategies"))</f>
        <v>Supply chain</v>
      </c>
      <c r="BG198" s="1" t="s">
        <v>321</v>
      </c>
      <c r="BH198" s="146" t="s">
        <v>322</v>
      </c>
      <c r="BI198" t="s">
        <v>323</v>
      </c>
      <c r="BJ198" t="s">
        <v>278</v>
      </c>
      <c r="BK198" s="148">
        <v>9.6371132903994159</v>
      </c>
      <c r="BL198" s="148">
        <v>9.6371132903994159</v>
      </c>
      <c r="BM198">
        <f t="shared" si="141"/>
        <v>1</v>
      </c>
      <c r="BN198">
        <f t="shared" si="149"/>
        <v>0</v>
      </c>
      <c r="BO198">
        <f t="shared" si="150"/>
        <v>0</v>
      </c>
      <c r="BP198" t="s">
        <v>232</v>
      </c>
      <c r="BQ198" s="302" t="s">
        <v>3106</v>
      </c>
      <c r="BR198" t="s">
        <v>279</v>
      </c>
      <c r="BS198">
        <v>726.845318289901</v>
      </c>
      <c r="BT198">
        <v>739.24076084648095</v>
      </c>
      <c r="BU198" s="144">
        <f>IFERROR(BS198/BT198,"")</f>
        <v>0.98323219820510666</v>
      </c>
      <c r="BV198">
        <f>BS198-BT198</f>
        <v>-12.395442556579951</v>
      </c>
      <c r="BW198"/>
      <c r="BX198">
        <f t="shared" si="151"/>
        <v>-12.395442556579951</v>
      </c>
      <c r="BY198" t="str">
        <f t="shared" si="139"/>
        <v/>
      </c>
      <c r="BZ198">
        <v>0</v>
      </c>
      <c r="CA198">
        <v>0</v>
      </c>
      <c r="CB198">
        <v>0</v>
      </c>
      <c r="CC198">
        <v>0</v>
      </c>
      <c r="CD198">
        <v>0</v>
      </c>
      <c r="CE198">
        <v>0</v>
      </c>
      <c r="CF198">
        <v>0</v>
      </c>
      <c r="CG198">
        <v>0</v>
      </c>
      <c r="CH198">
        <v>0</v>
      </c>
      <c r="CI198">
        <v>0</v>
      </c>
      <c r="CJ198">
        <v>0</v>
      </c>
      <c r="CK198">
        <v>0</v>
      </c>
      <c r="CL198">
        <v>0</v>
      </c>
      <c r="CM198">
        <v>0</v>
      </c>
      <c r="CN198" t="str">
        <f t="shared" si="152"/>
        <v>refOK</v>
      </c>
      <c r="CO198">
        <f t="shared" si="137"/>
        <v>9.6371132903994159</v>
      </c>
      <c r="CP198">
        <f t="shared" si="138"/>
        <v>9.6371132903994159</v>
      </c>
      <c r="CQ198">
        <f t="shared" si="153"/>
        <v>0</v>
      </c>
      <c r="CR198">
        <f>IF($CN198="refOK",$BT198,$BS198)*IF($BP198="Emissions positive",-1,1)</f>
        <v>739.24076084648095</v>
      </c>
      <c r="CS198">
        <f>IF($CN198="refOK",$BS198,$BT198)*IF($BP198="Emissions positive",-1,1)</f>
        <v>726.845318289901</v>
      </c>
      <c r="CT198">
        <f t="shared" si="154"/>
        <v>-12.395442556579951</v>
      </c>
      <c r="CU198" t="str">
        <f t="shared" si="155"/>
        <v/>
      </c>
      <c r="CV198" s="2">
        <f t="shared" si="156"/>
        <v>-1.6767801794893351E-2</v>
      </c>
      <c r="CW198" s="1" t="s">
        <v>234</v>
      </c>
      <c r="CX198" t="str">
        <f t="shared" si="157"/>
        <v>loc</v>
      </c>
      <c r="CY198" t="s">
        <v>280</v>
      </c>
      <c r="CZ198"/>
      <c r="DA198"/>
      <c r="DB198">
        <v>200</v>
      </c>
      <c r="DC198" t="str">
        <f t="shared" si="158"/>
        <v>+100</v>
      </c>
      <c r="DD198">
        <v>0</v>
      </c>
      <c r="DE198">
        <v>1</v>
      </c>
      <c r="DF198">
        <v>0</v>
      </c>
      <c r="DG198">
        <v>1</v>
      </c>
      <c r="DH198"/>
      <c r="DI198">
        <f t="shared" si="162"/>
        <v>2</v>
      </c>
      <c r="DJ198" t="str">
        <f t="shared" si="163"/>
        <v>mixedProduct</v>
      </c>
      <c r="DK198">
        <f t="shared" si="164"/>
        <v>0</v>
      </c>
      <c r="DL198" t="str">
        <f t="shared" si="165"/>
        <v>Energy</v>
      </c>
      <c r="DM198">
        <f t="shared" si="166"/>
        <v>0</v>
      </c>
      <c r="DN198" t="str">
        <f t="shared" si="167"/>
        <v>Timber</v>
      </c>
      <c r="DO198">
        <v>0</v>
      </c>
      <c r="DP198">
        <v>1</v>
      </c>
      <c r="DQ198" t="s">
        <v>304</v>
      </c>
      <c r="DR198" t="s">
        <v>281</v>
      </c>
      <c r="DS198">
        <v>0</v>
      </c>
      <c r="DT198">
        <f t="shared" si="168"/>
        <v>1</v>
      </c>
      <c r="DU198" s="143" t="str">
        <f t="shared" si="169"/>
        <v>external DF used</v>
      </c>
      <c r="DV198">
        <v>0</v>
      </c>
      <c r="DW198">
        <v>1</v>
      </c>
      <c r="DX198">
        <v>1</v>
      </c>
      <c r="DY198">
        <v>1</v>
      </c>
      <c r="DZ198">
        <v>1</v>
      </c>
      <c r="EA198" s="143">
        <v>0</v>
      </c>
      <c r="EB198">
        <v>1</v>
      </c>
      <c r="EC198">
        <v>1</v>
      </c>
      <c r="ED198">
        <v>0</v>
      </c>
      <c r="EE198">
        <v>1</v>
      </c>
      <c r="EF198">
        <v>1</v>
      </c>
      <c r="EG198">
        <v>1</v>
      </c>
      <c r="EH198">
        <v>0</v>
      </c>
      <c r="EI198" s="2">
        <v>0</v>
      </c>
      <c r="EJ198" s="1"/>
      <c r="EK198" t="str">
        <f t="shared" si="159"/>
        <v>Whole sector</v>
      </c>
      <c r="EL198" t="str">
        <f t="shared" si="160"/>
        <v/>
      </c>
      <c r="EM198" s="2" t="str">
        <f t="shared" si="140"/>
        <v/>
      </c>
      <c r="EN198" t="s">
        <v>324</v>
      </c>
      <c r="EO198"/>
      <c r="EP198" t="b">
        <f>IF(ISNUMBER(BU198),IF(ABS(BU198-[3]QC_indicators!$B$2)&gt;3*[3]QC_indicators!$C$2,"C ratio",IF(ISNUMBER(BY198),IF(ABS(BY198-[3]QC_indicators!$B$1)&gt;3*[3]QC_indicators!$C$1,"DF","no"))),IF(ISNUMBER(BY198),IF(ABS(BY198-[3]QC_indicators!$B$1)&gt;3*[3]QC_indicators!$C$1,"DF","no")))</f>
        <v>0</v>
      </c>
      <c r="EQ198" t="s">
        <v>286</v>
      </c>
      <c r="ER198" s="147" t="s">
        <v>325</v>
      </c>
      <c r="ES198"/>
      <c r="ET198" s="264" t="s">
        <v>3272</v>
      </c>
      <c r="EU198"/>
    </row>
    <row r="199" spans="1:151" s="139" customFormat="1" ht="15" hidden="1" customHeight="1">
      <c r="A199" s="1" t="s">
        <v>265</v>
      </c>
      <c r="B199" t="s">
        <v>266</v>
      </c>
      <c r="C199" t="s">
        <v>267</v>
      </c>
      <c r="D199" t="s">
        <v>268</v>
      </c>
      <c r="E199" t="s">
        <v>269</v>
      </c>
      <c r="F199" t="s">
        <v>270</v>
      </c>
      <c r="G199" t="s">
        <v>271</v>
      </c>
      <c r="H199" t="s">
        <v>254</v>
      </c>
      <c r="I199">
        <v>2022</v>
      </c>
      <c r="J199">
        <v>0</v>
      </c>
      <c r="K199" t="s">
        <v>272</v>
      </c>
      <c r="L199"/>
      <c r="M199" t="str">
        <f t="shared" si="161"/>
        <v>Aryapratama_2022</v>
      </c>
      <c r="N199" t="s">
        <v>222</v>
      </c>
      <c r="O199" s="145" t="s">
        <v>274</v>
      </c>
      <c r="P199"/>
      <c r="Q199" t="s">
        <v>224</v>
      </c>
      <c r="R199" s="262" t="s">
        <v>223</v>
      </c>
      <c r="S199" s="263" t="s">
        <v>3107</v>
      </c>
      <c r="T199" t="s">
        <v>283</v>
      </c>
      <c r="U199" t="s">
        <v>284</v>
      </c>
      <c r="V199">
        <v>0</v>
      </c>
      <c r="W199">
        <v>0</v>
      </c>
      <c r="X199">
        <v>0</v>
      </c>
      <c r="Y199">
        <v>0</v>
      </c>
      <c r="Z199">
        <v>0</v>
      </c>
      <c r="AA199">
        <v>0</v>
      </c>
      <c r="AB199">
        <v>0</v>
      </c>
      <c r="AC199">
        <v>0</v>
      </c>
      <c r="AD199">
        <v>1</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s="141">
        <f t="shared" si="142"/>
        <v>1</v>
      </c>
      <c r="AY199" s="141">
        <f t="shared" si="143"/>
        <v>1</v>
      </c>
      <c r="AZ199">
        <f t="shared" si="144"/>
        <v>0</v>
      </c>
      <c r="BA199">
        <f t="shared" si="145"/>
        <v>1</v>
      </c>
      <c r="BB199">
        <f t="shared" si="146"/>
        <v>0</v>
      </c>
      <c r="BC199">
        <f t="shared" si="147"/>
        <v>0</v>
      </c>
      <c r="BD199">
        <f t="shared" si="148"/>
        <v>0</v>
      </c>
      <c r="BE199" t="str">
        <f t="array" ref="BE199">IF(AY199=1,INDEX($V$7:$AL$7,MATCH(TRUE,INDEX($V199:$AW199&lt;&gt;0,),0)),IF(AY199=0,INDEX($AM$7:$AW$7,MATCH(1,$AM199:$AW199,0)),IF(BF199="Multiple strategies","mixed drivers",IF(BF199="Supply chain","multiple supply","multiple silviculture"))))</f>
        <v>harvesting system</v>
      </c>
      <c r="BF199" s="2" t="str" cm="1">
        <f t="array" ref="BF199">IF(COUNTIF(AZ199:BB199,"&lt;&gt;0")=1,INDEX($V$4:$AW$4,MATCH(TRUE,INDEX($V199:$AW199&lt;&gt;0,),0)),IF(COUNTIF(AZ199:BB199,"&lt;&gt;0")=0,INDEX($AM$4:$AW$4,MATCH(1,$AM199:$AW199,0)),"Multiple strategies"))</f>
        <v>Supply chain</v>
      </c>
      <c r="BG199" s="1" t="s">
        <v>229</v>
      </c>
      <c r="BH199" t="s">
        <v>285</v>
      </c>
      <c r="BI199"/>
      <c r="BJ199" t="s">
        <v>278</v>
      </c>
      <c r="BK199">
        <v>34.69360784543791</v>
      </c>
      <c r="BL199">
        <v>34.69360784543791</v>
      </c>
      <c r="BM199">
        <f t="shared" si="141"/>
        <v>1</v>
      </c>
      <c r="BN199">
        <f t="shared" si="149"/>
        <v>0</v>
      </c>
      <c r="BO199">
        <f t="shared" si="150"/>
        <v>0</v>
      </c>
      <c r="BP199" t="s">
        <v>232</v>
      </c>
      <c r="BQ199" s="302" t="s">
        <v>3106</v>
      </c>
      <c r="BR199" t="s">
        <v>279</v>
      </c>
      <c r="BS199">
        <v>739.24076084648095</v>
      </c>
      <c r="BT199">
        <v>377.50107760210591</v>
      </c>
      <c r="BU199" s="144">
        <f>IFERROR(BT199/BS199,"")</f>
        <v>0.51066052847226862</v>
      </c>
      <c r="BV199">
        <f>BT199-BS199</f>
        <v>-361.73968324437504</v>
      </c>
      <c r="BW199"/>
      <c r="BX199">
        <f t="shared" si="151"/>
        <v>-361.73968324437504</v>
      </c>
      <c r="BY199" t="str">
        <f t="shared" si="139"/>
        <v/>
      </c>
      <c r="BZ199">
        <v>0</v>
      </c>
      <c r="CA199">
        <v>0</v>
      </c>
      <c r="CB199">
        <v>0</v>
      </c>
      <c r="CC199">
        <v>0</v>
      </c>
      <c r="CD199">
        <v>0</v>
      </c>
      <c r="CE199">
        <v>0</v>
      </c>
      <c r="CF199">
        <v>0</v>
      </c>
      <c r="CG199">
        <v>0</v>
      </c>
      <c r="CH199">
        <v>0</v>
      </c>
      <c r="CI199">
        <v>0</v>
      </c>
      <c r="CJ199">
        <v>0</v>
      </c>
      <c r="CK199">
        <v>0</v>
      </c>
      <c r="CL199">
        <v>0</v>
      </c>
      <c r="CM199">
        <v>0</v>
      </c>
      <c r="CN199" t="str">
        <f t="shared" si="152"/>
        <v>refOK</v>
      </c>
      <c r="CO199">
        <f t="shared" si="137"/>
        <v>34.69360784543791</v>
      </c>
      <c r="CP199">
        <f t="shared" si="138"/>
        <v>34.69360784543791</v>
      </c>
      <c r="CQ199">
        <f t="shared" si="153"/>
        <v>0</v>
      </c>
      <c r="CR199">
        <f>IF($CN199="refOK",$BS199,$BT199)*IF($BP199="Emissions positive",-1,1)</f>
        <v>739.24076084648095</v>
      </c>
      <c r="CS199">
        <f>IF($CN199="refOK",$BT199,$BS199)*IF($BP199="Emissions positive",-1,1)</f>
        <v>377.50107760210591</v>
      </c>
      <c r="CT199">
        <f t="shared" si="154"/>
        <v>-361.73968324437504</v>
      </c>
      <c r="CU199" t="str">
        <f t="shared" si="155"/>
        <v/>
      </c>
      <c r="CV199" s="2">
        <f t="shared" si="156"/>
        <v>-0.48933947152773138</v>
      </c>
      <c r="CW199" s="1" t="s">
        <v>234</v>
      </c>
      <c r="CX199" t="str">
        <f t="shared" si="157"/>
        <v>loc</v>
      </c>
      <c r="CY199" t="s">
        <v>280</v>
      </c>
      <c r="CZ199"/>
      <c r="DA199"/>
      <c r="DB199">
        <v>200</v>
      </c>
      <c r="DC199" t="str">
        <f t="shared" si="158"/>
        <v>+100</v>
      </c>
      <c r="DD199">
        <v>0</v>
      </c>
      <c r="DE199">
        <v>0</v>
      </c>
      <c r="DF199">
        <v>0</v>
      </c>
      <c r="DG199">
        <v>1</v>
      </c>
      <c r="DH199"/>
      <c r="DI199">
        <f t="shared" si="162"/>
        <v>1</v>
      </c>
      <c r="DJ199" t="str">
        <f t="shared" si="163"/>
        <v>TimberInput</v>
      </c>
      <c r="DK199">
        <f t="shared" si="164"/>
        <v>0</v>
      </c>
      <c r="DL199">
        <f t="shared" si="165"/>
        <v>0</v>
      </c>
      <c r="DM199">
        <f t="shared" si="166"/>
        <v>0</v>
      </c>
      <c r="DN199" t="str">
        <f t="shared" si="167"/>
        <v>Timber</v>
      </c>
      <c r="DO199">
        <v>0</v>
      </c>
      <c r="DP199">
        <v>1</v>
      </c>
      <c r="DQ199">
        <v>0</v>
      </c>
      <c r="DR199" t="s">
        <v>281</v>
      </c>
      <c r="DS199">
        <v>0</v>
      </c>
      <c r="DT199">
        <f t="shared" si="168"/>
        <v>1</v>
      </c>
      <c r="DU199" s="143" t="str">
        <f t="shared" si="169"/>
        <v>external DF used</v>
      </c>
      <c r="DV199">
        <v>0</v>
      </c>
      <c r="DW199">
        <v>1</v>
      </c>
      <c r="DX199">
        <v>1</v>
      </c>
      <c r="DY199">
        <v>1</v>
      </c>
      <c r="DZ199">
        <v>1</v>
      </c>
      <c r="EA199" s="143">
        <v>0</v>
      </c>
      <c r="EB199">
        <v>1</v>
      </c>
      <c r="EC199">
        <v>1</v>
      </c>
      <c r="ED199">
        <v>0</v>
      </c>
      <c r="EE199">
        <v>1</v>
      </c>
      <c r="EF199">
        <v>1</v>
      </c>
      <c r="EG199">
        <v>1</v>
      </c>
      <c r="EH199">
        <v>0</v>
      </c>
      <c r="EI199" s="2">
        <v>0</v>
      </c>
      <c r="EJ199" s="1"/>
      <c r="EK199" t="str">
        <f t="shared" si="159"/>
        <v>Whole sector</v>
      </c>
      <c r="EL199" t="str">
        <f t="shared" si="160"/>
        <v/>
      </c>
      <c r="EM199" s="2" t="str">
        <f t="shared" si="140"/>
        <v/>
      </c>
      <c r="EN199"/>
      <c r="EO199"/>
      <c r="EP199" t="b">
        <f>IF(ISNUMBER(BU199),IF(ABS(BU199-[3]QC_indicators!$B$2)&gt;3*[3]QC_indicators!$C$2,"C ratio",IF(ISNUMBER(BY199),IF(ABS(BY199-[3]QC_indicators!$B$1)&gt;3*[3]QC_indicators!$C$1,"DF","no"))),IF(ISNUMBER(BY199),IF(ABS(BY199-[3]QC_indicators!$B$1)&gt;3*[3]QC_indicators!$C$1,"DF","no")))</f>
        <v>0</v>
      </c>
      <c r="EQ199" t="s">
        <v>286</v>
      </c>
      <c r="ER199"/>
      <c r="ES199"/>
      <c r="ET199" s="264" t="s">
        <v>3272</v>
      </c>
      <c r="EU199"/>
    </row>
    <row r="200" spans="1:151" s="139" customFormat="1" ht="15" hidden="1" customHeight="1">
      <c r="A200" s="1" t="s">
        <v>265</v>
      </c>
      <c r="B200" t="s">
        <v>266</v>
      </c>
      <c r="C200" t="s">
        <v>267</v>
      </c>
      <c r="D200" t="s">
        <v>268</v>
      </c>
      <c r="E200" t="s">
        <v>269</v>
      </c>
      <c r="F200" t="s">
        <v>270</v>
      </c>
      <c r="G200" t="s">
        <v>271</v>
      </c>
      <c r="H200" t="s">
        <v>254</v>
      </c>
      <c r="I200">
        <v>2022</v>
      </c>
      <c r="J200">
        <v>0</v>
      </c>
      <c r="K200" t="s">
        <v>272</v>
      </c>
      <c r="L200"/>
      <c r="M200" t="str">
        <f t="shared" si="161"/>
        <v>Aryapratama_2022</v>
      </c>
      <c r="N200" t="s">
        <v>222</v>
      </c>
      <c r="O200" s="145" t="s">
        <v>274</v>
      </c>
      <c r="P200"/>
      <c r="Q200" t="s">
        <v>224</v>
      </c>
      <c r="R200" s="262" t="s">
        <v>223</v>
      </c>
      <c r="S200" s="263" t="s">
        <v>3104</v>
      </c>
      <c r="T200" t="s">
        <v>309</v>
      </c>
      <c r="U200" t="s">
        <v>310</v>
      </c>
      <c r="V200">
        <v>0</v>
      </c>
      <c r="W200">
        <v>0</v>
      </c>
      <c r="X200">
        <v>0</v>
      </c>
      <c r="Y200">
        <v>0</v>
      </c>
      <c r="Z200">
        <v>0</v>
      </c>
      <c r="AA200">
        <v>0</v>
      </c>
      <c r="AB200">
        <v>0</v>
      </c>
      <c r="AC200">
        <v>0</v>
      </c>
      <c r="AD200">
        <v>0</v>
      </c>
      <c r="AE200">
        <v>0</v>
      </c>
      <c r="AF200">
        <v>0</v>
      </c>
      <c r="AG200">
        <v>0</v>
      </c>
      <c r="AH200">
        <v>0</v>
      </c>
      <c r="AI200">
        <v>0</v>
      </c>
      <c r="AJ200">
        <v>0</v>
      </c>
      <c r="AK200">
        <v>1</v>
      </c>
      <c r="AL200">
        <v>0</v>
      </c>
      <c r="AM200">
        <v>0</v>
      </c>
      <c r="AN200">
        <v>0</v>
      </c>
      <c r="AO200">
        <v>0</v>
      </c>
      <c r="AP200">
        <v>0</v>
      </c>
      <c r="AQ200">
        <v>0</v>
      </c>
      <c r="AR200">
        <v>0</v>
      </c>
      <c r="AS200">
        <v>0</v>
      </c>
      <c r="AT200">
        <v>0</v>
      </c>
      <c r="AU200">
        <v>0</v>
      </c>
      <c r="AV200">
        <v>0</v>
      </c>
      <c r="AW200">
        <v>0</v>
      </c>
      <c r="AX200" s="141">
        <f t="shared" si="142"/>
        <v>1</v>
      </c>
      <c r="AY200" s="141">
        <f t="shared" si="143"/>
        <v>1</v>
      </c>
      <c r="AZ200">
        <f t="shared" si="144"/>
        <v>0</v>
      </c>
      <c r="BA200">
        <f t="shared" si="145"/>
        <v>0</v>
      </c>
      <c r="BB200">
        <f t="shared" si="146"/>
        <v>1</v>
      </c>
      <c r="BC200">
        <f t="shared" si="147"/>
        <v>0</v>
      </c>
      <c r="BD200">
        <f t="shared" si="148"/>
        <v>0</v>
      </c>
      <c r="BE200" t="str">
        <f t="array" ref="BE200">IF(AY200=1,INDEX($V$7:$AL$7,MATCH(TRUE,INDEX($V200:$AW200&lt;&gt;0,),0)),IF(AY200=0,INDEX($AM$7:$AW$7,MATCH(1,$AM200:$AW200,0)),IF(BF200="Multiple strategies","mixed drivers",IF(BF200="Supply chain","multiple supply","multiple silviculture"))))</f>
        <v>technologies/design switch</v>
      </c>
      <c r="BF200" s="2" t="str" cm="1">
        <f t="array" ref="BF200">IF(COUNTIF(AZ200:BB200,"&lt;&gt;0")=1,INDEX($V$4:$AW$4,MATCH(TRUE,INDEX($V200:$AW200&lt;&gt;0,),0)),IF(COUNTIF(AZ200:BB200,"&lt;&gt;0")=0,INDEX($AM$4:$AW$4,MATCH(1,$AM200:$AW200,0)),"Multiple strategies"))</f>
        <v>Technology</v>
      </c>
      <c r="BG200" s="1" t="s">
        <v>229</v>
      </c>
      <c r="BH200" t="s">
        <v>277</v>
      </c>
      <c r="BI200"/>
      <c r="BJ200" t="s">
        <v>278</v>
      </c>
      <c r="BK200">
        <v>0</v>
      </c>
      <c r="BL200">
        <v>0</v>
      </c>
      <c r="BM200"/>
      <c r="BN200">
        <f t="shared" si="149"/>
        <v>0</v>
      </c>
      <c r="BO200">
        <f t="shared" si="150"/>
        <v>0</v>
      </c>
      <c r="BP200" t="s">
        <v>232</v>
      </c>
      <c r="BQ200" s="302" t="s">
        <v>3106</v>
      </c>
      <c r="BR200" t="s">
        <v>279</v>
      </c>
      <c r="BS200">
        <v>0</v>
      </c>
      <c r="BT200">
        <v>161.1445967933179</v>
      </c>
      <c r="BU200" s="144" t="str">
        <f>IFERROR(BT200/BS200,"")</f>
        <v/>
      </c>
      <c r="BV200">
        <f>BT200-BS200</f>
        <v>161.1445967933179</v>
      </c>
      <c r="BW200"/>
      <c r="BX200">
        <f t="shared" si="151"/>
        <v>161.1445967933179</v>
      </c>
      <c r="BY200" t="str">
        <f t="shared" si="139"/>
        <v/>
      </c>
      <c r="BZ200">
        <v>0</v>
      </c>
      <c r="CA200">
        <v>0</v>
      </c>
      <c r="CB200">
        <v>0</v>
      </c>
      <c r="CC200">
        <v>0</v>
      </c>
      <c r="CD200">
        <v>0</v>
      </c>
      <c r="CE200">
        <v>0</v>
      </c>
      <c r="CF200">
        <v>0</v>
      </c>
      <c r="CG200">
        <v>0</v>
      </c>
      <c r="CH200">
        <v>0</v>
      </c>
      <c r="CI200">
        <v>0</v>
      </c>
      <c r="CJ200">
        <v>0</v>
      </c>
      <c r="CK200">
        <v>0</v>
      </c>
      <c r="CL200">
        <v>0</v>
      </c>
      <c r="CM200">
        <v>0</v>
      </c>
      <c r="CN200" t="str">
        <f>IF(BL200&lt;BK200,"refNeedCorrection","refOK")</f>
        <v>refOK</v>
      </c>
      <c r="CO200">
        <f t="shared" si="137"/>
        <v>0</v>
      </c>
      <c r="CP200">
        <f t="shared" si="138"/>
        <v>0</v>
      </c>
      <c r="CQ200">
        <f t="shared" si="153"/>
        <v>0</v>
      </c>
      <c r="CR200">
        <f>IF($CN200="refOK",$BS200,$BT200)*IF($BP200="Emissions positive",-1,1)</f>
        <v>0</v>
      </c>
      <c r="CS200">
        <f>IF($CN200="refOK",$BT200,$BS200)*IF($BP200="Emissions positive",-1,1)</f>
        <v>161.1445967933179</v>
      </c>
      <c r="CT200">
        <f t="shared" si="154"/>
        <v>161.1445967933179</v>
      </c>
      <c r="CU200" t="str">
        <f t="shared" si="155"/>
        <v/>
      </c>
      <c r="CV200" s="2" t="str">
        <f t="shared" si="156"/>
        <v/>
      </c>
      <c r="CW200" s="1" t="s">
        <v>234</v>
      </c>
      <c r="CX200" t="str">
        <f t="shared" si="157"/>
        <v>loc</v>
      </c>
      <c r="CY200" t="s">
        <v>280</v>
      </c>
      <c r="CZ200"/>
      <c r="DA200"/>
      <c r="DB200">
        <v>50</v>
      </c>
      <c r="DC200" t="str">
        <f t="shared" si="158"/>
        <v>31-70</v>
      </c>
      <c r="DD200">
        <v>0</v>
      </c>
      <c r="DE200">
        <v>0</v>
      </c>
      <c r="DF200">
        <v>0</v>
      </c>
      <c r="DG200">
        <v>1</v>
      </c>
      <c r="DH200"/>
      <c r="DI200">
        <f t="shared" si="162"/>
        <v>1</v>
      </c>
      <c r="DJ200" t="str">
        <f t="shared" si="163"/>
        <v>TimberInput</v>
      </c>
      <c r="DK200">
        <f t="shared" si="164"/>
        <v>0</v>
      </c>
      <c r="DL200">
        <f t="shared" si="165"/>
        <v>0</v>
      </c>
      <c r="DM200">
        <f t="shared" si="166"/>
        <v>0</v>
      </c>
      <c r="DN200" t="str">
        <f t="shared" si="167"/>
        <v>Timber</v>
      </c>
      <c r="DO200">
        <v>0</v>
      </c>
      <c r="DP200">
        <v>1</v>
      </c>
      <c r="DQ200" t="s">
        <v>304</v>
      </c>
      <c r="DR200">
        <v>0</v>
      </c>
      <c r="DS200">
        <v>0</v>
      </c>
      <c r="DT200">
        <f t="shared" si="168"/>
        <v>1</v>
      </c>
      <c r="DU200" s="143" t="str">
        <f t="shared" si="169"/>
        <v>external DF used</v>
      </c>
      <c r="DV200">
        <v>0</v>
      </c>
      <c r="DW200">
        <v>1</v>
      </c>
      <c r="DX200">
        <v>1</v>
      </c>
      <c r="DY200">
        <v>1</v>
      </c>
      <c r="DZ200">
        <v>1</v>
      </c>
      <c r="EA200" s="143">
        <v>0</v>
      </c>
      <c r="EB200">
        <v>1</v>
      </c>
      <c r="EC200">
        <v>1</v>
      </c>
      <c r="ED200">
        <v>0</v>
      </c>
      <c r="EE200">
        <v>1</v>
      </c>
      <c r="EF200">
        <v>1</v>
      </c>
      <c r="EG200">
        <v>1</v>
      </c>
      <c r="EH200">
        <v>0</v>
      </c>
      <c r="EI200" s="2">
        <v>0</v>
      </c>
      <c r="EJ200" s="1"/>
      <c r="EK200" t="str">
        <f t="shared" si="159"/>
        <v>Whole sector</v>
      </c>
      <c r="EL200" t="str">
        <f t="shared" si="160"/>
        <v/>
      </c>
      <c r="EM200" s="2" t="str">
        <f t="shared" si="140"/>
        <v/>
      </c>
      <c r="EN200"/>
      <c r="EO200"/>
      <c r="EP200" t="b">
        <f>IF(ISNUMBER(BU200),IF(ABS(BU200-[3]QC_indicators!$B$2)&gt;3*[3]QC_indicators!$C$2,"C ratio",IF(ISNUMBER(BY200),IF(ABS(BY200-[3]QC_indicators!$B$1)&gt;3*[3]QC_indicators!$C$1,"DF","no"))),IF(ISNUMBER(BY200),IF(ABS(BY200-[3]QC_indicators!$B$1)&gt;3*[3]QC_indicators!$C$1,"DF","no")))</f>
        <v>0</v>
      </c>
      <c r="EQ200" t="s">
        <v>286</v>
      </c>
      <c r="ER200"/>
      <c r="ES200"/>
      <c r="ET200" s="264" t="s">
        <v>3272</v>
      </c>
      <c r="EU200"/>
    </row>
    <row r="201" spans="1:151" s="139" customFormat="1" ht="15" hidden="1" customHeight="1">
      <c r="A201" s="1" t="s">
        <v>4719</v>
      </c>
      <c r="B201" t="s">
        <v>4720</v>
      </c>
      <c r="C201" t="s">
        <v>4721</v>
      </c>
      <c r="D201" t="s">
        <v>4722</v>
      </c>
      <c r="E201" t="s">
        <v>4723</v>
      </c>
      <c r="F201" t="s">
        <v>4724</v>
      </c>
      <c r="G201" t="s">
        <v>4725</v>
      </c>
      <c r="H201"/>
      <c r="I201">
        <v>2019</v>
      </c>
      <c r="J201"/>
      <c r="K201" t="s">
        <v>4726</v>
      </c>
      <c r="L201"/>
      <c r="M201" t="str">
        <f t="shared" si="161"/>
        <v>Asif_2019</v>
      </c>
      <c r="N201" s="311" t="s">
        <v>4382</v>
      </c>
      <c r="O201" s="327" t="s">
        <v>274</v>
      </c>
      <c r="P201" t="s">
        <v>225</v>
      </c>
      <c r="Q201" s="311" t="s">
        <v>389</v>
      </c>
      <c r="R201" s="312"/>
      <c r="S201" s="1"/>
      <c r="T201"/>
      <c r="U201"/>
      <c r="V201"/>
      <c r="W201"/>
      <c r="X201"/>
      <c r="Y201"/>
      <c r="Z201"/>
      <c r="AA201"/>
      <c r="AB201"/>
      <c r="AC201"/>
      <c r="AD201"/>
      <c r="AE201"/>
      <c r="AF201"/>
      <c r="AG201"/>
      <c r="AH201"/>
      <c r="AI201"/>
      <c r="AJ201"/>
      <c r="AK201"/>
      <c r="AL201"/>
      <c r="AM201"/>
      <c r="AN201"/>
      <c r="AO201"/>
      <c r="AP201"/>
      <c r="AQ201"/>
      <c r="AR201"/>
      <c r="AS201"/>
      <c r="AT201"/>
      <c r="AU201"/>
      <c r="AV201"/>
      <c r="AW201"/>
      <c r="AX201" s="141"/>
      <c r="AY201" s="141"/>
      <c r="AZ201"/>
      <c r="BA201"/>
      <c r="BB201"/>
      <c r="BC201"/>
      <c r="BD201"/>
      <c r="BE201"/>
      <c r="BF201" s="2"/>
      <c r="BG201" s="1"/>
      <c r="BH201"/>
      <c r="BI201"/>
      <c r="BJ201"/>
      <c r="BK201"/>
      <c r="BL201"/>
      <c r="BM201"/>
      <c r="BN201"/>
      <c r="BO201"/>
      <c r="BP201"/>
      <c r="BQ201" s="234"/>
      <c r="BR201"/>
      <c r="BS201"/>
      <c r="BT201"/>
      <c r="BU201" s="144"/>
      <c r="BV201"/>
      <c r="BW201"/>
      <c r="BX201"/>
      <c r="BY201" t="str">
        <f t="shared" si="139"/>
        <v/>
      </c>
      <c r="BZ201"/>
      <c r="CA201"/>
      <c r="CB201"/>
      <c r="CC201"/>
      <c r="CD201"/>
      <c r="CE201"/>
      <c r="CF201"/>
      <c r="CG201"/>
      <c r="CH201"/>
      <c r="CI201"/>
      <c r="CJ201"/>
      <c r="CK201"/>
      <c r="CL201"/>
      <c r="CM201"/>
      <c r="CN201"/>
      <c r="CO201"/>
      <c r="CP201"/>
      <c r="CQ201"/>
      <c r="CR201"/>
      <c r="CS201"/>
      <c r="CT201"/>
      <c r="CU201"/>
      <c r="CV201" s="2"/>
      <c r="CW201" s="1"/>
      <c r="CX201"/>
      <c r="CY201"/>
      <c r="CZ201"/>
      <c r="DA201"/>
      <c r="DB201"/>
      <c r="DC201"/>
      <c r="DD201"/>
      <c r="DE201"/>
      <c r="DF201"/>
      <c r="DG201"/>
      <c r="DH201"/>
      <c r="DI201"/>
      <c r="DJ201"/>
      <c r="DK201"/>
      <c r="DL201"/>
      <c r="DM201"/>
      <c r="DN201"/>
      <c r="DO201"/>
      <c r="DP201"/>
      <c r="DQ201"/>
      <c r="DR201"/>
      <c r="DS201"/>
      <c r="DT201"/>
      <c r="DU201" s="143"/>
      <c r="DV201"/>
      <c r="DW201"/>
      <c r="DX201"/>
      <c r="DY201"/>
      <c r="DZ201"/>
      <c r="EA201"/>
      <c r="EB201"/>
      <c r="EC201"/>
      <c r="ED201"/>
      <c r="EE201"/>
      <c r="EF201"/>
      <c r="EG201"/>
      <c r="EH201"/>
      <c r="EI201" s="2"/>
      <c r="EJ201" s="1"/>
      <c r="EK201" t="str">
        <f>IF(AND(AND(AND(OR($DX201=1,$DW201=1),OR($EC201=1,$EA201=1)),SUM($DV201:$DZ201,$EF201)&gt;=3),SUM($EA201:$EE201)&gt;=2),"Whole sector","")</f>
        <v/>
      </c>
      <c r="EL201" t="str">
        <f>IF(AND(AND(OR($DX201=1,$DW201=1),AND($EC201=0,$EA201=0)),SUM($DV201:$DZ201,$EF201)&gt;=3),"Ecosystem approach","")</f>
        <v/>
      </c>
      <c r="EM201" s="2" t="str">
        <f t="shared" si="140"/>
        <v/>
      </c>
      <c r="EN201" t="s">
        <v>4727</v>
      </c>
      <c r="EO201"/>
      <c r="EP201" t="b">
        <f>IF(ISNUMBER(BU201),IF(ABS(BU201-[1]QC_indicators!$B$2)&gt;3*[1]QC_indicators!$C$2,"C ratio",IF(ISNUMBER(BY201),IF(ABS(BY201-[1]QC_indicators!$B$1)&gt;3*[1]QC_indicators!$C$1,"DF","no"))),IF(ISNUMBER(BY201),IF(ABS(BY201-[1]QC_indicators!$B$1)&gt;3*[1]QC_indicators!$C$1,"DF","no")))</f>
        <v>0</v>
      </c>
      <c r="EQ201"/>
      <c r="ER201"/>
      <c r="ES201"/>
      <c r="ET201"/>
      <c r="EU201"/>
    </row>
    <row r="202" spans="1:151" s="139" customFormat="1" ht="15" hidden="1" customHeight="1">
      <c r="A202" s="1" t="s">
        <v>1203</v>
      </c>
      <c r="B202" t="s">
        <v>1204</v>
      </c>
      <c r="C202" t="s">
        <v>1205</v>
      </c>
      <c r="D202" t="s">
        <v>1206</v>
      </c>
      <c r="E202" t="s">
        <v>1207</v>
      </c>
      <c r="F202" t="s">
        <v>1208</v>
      </c>
      <c r="G202" t="s">
        <v>1209</v>
      </c>
      <c r="H202"/>
      <c r="I202">
        <v>2006</v>
      </c>
      <c r="J202"/>
      <c r="K202" t="s">
        <v>1210</v>
      </c>
      <c r="L202"/>
      <c r="M202" t="str">
        <f t="shared" si="161"/>
        <v>Backeus_2006</v>
      </c>
      <c r="N202" t="s">
        <v>222</v>
      </c>
      <c r="O202" s="140" t="s">
        <v>274</v>
      </c>
      <c r="P202"/>
      <c r="Q202" t="s">
        <v>224</v>
      </c>
      <c r="R202" s="255" t="s">
        <v>223</v>
      </c>
      <c r="S202" s="263" t="s">
        <v>3086</v>
      </c>
      <c r="T202" t="s">
        <v>1211</v>
      </c>
      <c r="U202" t="s">
        <v>1212</v>
      </c>
      <c r="V202">
        <v>0</v>
      </c>
      <c r="W202">
        <v>0</v>
      </c>
      <c r="X202">
        <v>0</v>
      </c>
      <c r="Y202">
        <v>1</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1</v>
      </c>
      <c r="AW202">
        <v>0</v>
      </c>
      <c r="AX202" s="141">
        <f t="shared" ref="AX202:AX233" si="170">COUNTIF(V202:AW202,"&lt;&gt;0")</f>
        <v>2</v>
      </c>
      <c r="AY202" s="141">
        <f t="shared" ref="AY202:AY233" si="171">COUNTIF(V202:AL202,"&lt;&gt;0")</f>
        <v>1</v>
      </c>
      <c r="AZ202">
        <f t="shared" ref="AZ202:AZ233" si="172">COUNTIF(V202:AC202,"&lt;&gt;0")</f>
        <v>1</v>
      </c>
      <c r="BA202">
        <f t="shared" ref="BA202:BA233" si="173">COUNTIF(AD202:AI202,"&lt;&gt;0")</f>
        <v>0</v>
      </c>
      <c r="BB202">
        <f t="shared" ref="BB202:BB233" si="174">COUNTIF(AJ202:AL202,"&lt;&gt;0")</f>
        <v>0</v>
      </c>
      <c r="BC202">
        <f t="shared" ref="BC202:BC233" si="175">COUNTIF(AS202:AW202,"&lt;&gt;0")</f>
        <v>1</v>
      </c>
      <c r="BD202">
        <f t="shared" ref="BD202:BD233" si="176">COUNTIF(AM202:AR202,"&lt;&gt;0")</f>
        <v>0</v>
      </c>
      <c r="BE202" t="str">
        <f t="array" ref="BE202">IF(AY202=1,INDEX($V$7:$AL$7,MATCH(TRUE,INDEX($V202:$AW202&lt;&gt;0,),0)),IF(AY202=0,INDEX($AM$7:$AW$7,MATCH(1,$AM202:$AW202,0)),IF(BF202="Multiple strategies","mixed drivers",IF(BF202="Supply chain","multiple supply","multiple silviculture"))))</f>
        <v xml:space="preserve">cutting intensity </v>
      </c>
      <c r="BF202" s="2" t="str" cm="1">
        <f t="array" ref="BF202">IF(COUNTIF(AZ202:BB202,"&lt;&gt;0")=1,INDEX($V$4:$AW$4,MATCH(TRUE,INDEX($V202:$AW202&lt;&gt;0,),0)),IF(COUNTIF(AZ202:BB202,"&lt;&gt;0")=0,INDEX($AM$4:$AW$4,MATCH(1,$AM202:$AW202,0)),"Multiple strategies"))</f>
        <v>Silviculture for removals</v>
      </c>
      <c r="BG202" s="1" t="s">
        <v>229</v>
      </c>
      <c r="BH202" t="s">
        <v>229</v>
      </c>
      <c r="BI202" s="264" t="s">
        <v>701</v>
      </c>
      <c r="BJ202" t="s">
        <v>1213</v>
      </c>
      <c r="BK202">
        <v>5.5978179484354129</v>
      </c>
      <c r="BL202">
        <v>5.6162990524021872</v>
      </c>
      <c r="BM202">
        <f t="shared" ref="BM202:BM209" si="177">BL202/BK202</f>
        <v>1.0033014835668137</v>
      </c>
      <c r="BN202">
        <f t="shared" ref="BN202:BN233" si="178">BL202-BK202</f>
        <v>1.848110396677427E-2</v>
      </c>
      <c r="BO202" s="143">
        <f t="shared" ref="BO202:BO211" si="179">BN202*10^6</f>
        <v>18481.10396677427</v>
      </c>
      <c r="BP202" s="143" t="s">
        <v>232</v>
      </c>
      <c r="BQ202" s="310" t="s">
        <v>787</v>
      </c>
      <c r="BR202" s="152" t="s">
        <v>1214</v>
      </c>
      <c r="BS202" s="152">
        <v>1.48823529411764</v>
      </c>
      <c r="BT202" s="152">
        <v>1.47058823529411</v>
      </c>
      <c r="BU202" s="144">
        <f t="shared" ref="BU202:BU209" si="180">IFERROR(BT202/BS202,"")</f>
        <v>0.98814229249011809</v>
      </c>
      <c r="BV202">
        <f t="shared" ref="BV202:BV211" si="181">BT202-BS202</f>
        <v>-1.7647058823530015E-2</v>
      </c>
      <c r="BW202"/>
      <c r="BX202">
        <f t="shared" ref="BX202:BX211" si="182">BV202*10^6*C_to_CO2</f>
        <v>-64764.705882355156</v>
      </c>
      <c r="BY202">
        <f t="shared" si="139"/>
        <v>-3.5043743057119614</v>
      </c>
      <c r="BZ202">
        <v>0</v>
      </c>
      <c r="CA202">
        <v>0</v>
      </c>
      <c r="CB202">
        <v>0</v>
      </c>
      <c r="CC202">
        <v>0</v>
      </c>
      <c r="CD202">
        <v>0</v>
      </c>
      <c r="CE202">
        <v>0</v>
      </c>
      <c r="CF202">
        <v>0</v>
      </c>
      <c r="CG202">
        <v>0</v>
      </c>
      <c r="CH202">
        <v>0</v>
      </c>
      <c r="CI202">
        <v>0</v>
      </c>
      <c r="CJ202">
        <v>0</v>
      </c>
      <c r="CK202">
        <v>0</v>
      </c>
      <c r="CL202">
        <v>0</v>
      </c>
      <c r="CM202">
        <v>0</v>
      </c>
      <c r="CN202" t="str">
        <f t="shared" ref="CN202:CN211" si="183">IF($BL202&lt;$BK202,"refNeedCorrection","refOK")</f>
        <v>refOK</v>
      </c>
      <c r="CO202">
        <f t="shared" ref="CO202:CO213" si="184">IF($CN202="refOK",$BK202,$BL202)</f>
        <v>5.5978179484354129</v>
      </c>
      <c r="CP202">
        <f t="shared" ref="CP202:CP213" si="185">IF($CN202="refOK",$BL202,$BK202)</f>
        <v>5.6162990524021872</v>
      </c>
      <c r="CQ202">
        <f t="shared" ref="CQ202:CQ233" si="186">IF($CN202="refOK",$BO202,-$BO202)</f>
        <v>18481.10396677427</v>
      </c>
      <c r="CR202">
        <f t="shared" ref="CR202:CR209" si="187">IF($CN202="refOK",$BS202,$BT202)*IF($BP202="Emissions positive",-1,1)</f>
        <v>1.48823529411764</v>
      </c>
      <c r="CS202">
        <f t="shared" ref="CS202:CS209" si="188">IF($CN202="refOK",$BT202,$BS202)*IF($BP202="Emissions positive",-1,1)</f>
        <v>1.47058823529411</v>
      </c>
      <c r="CT202">
        <f t="shared" ref="CT202:CT233" si="189">IF($CN202="refNeedCorrection",-BX202,BX202)*IF($BP202="Emissions positive",-1,1)</f>
        <v>-64764.705882355156</v>
      </c>
      <c r="CU202">
        <f t="shared" ref="CU202:CU233" si="190">IFERROR(CT202/CQ202,"")</f>
        <v>-3.5043743057119614</v>
      </c>
      <c r="CV202" s="2">
        <f t="shared" ref="CV202:CV233" si="191">IFERROR((CS202-CR202)/ABS(CR202),"")</f>
        <v>-1.1857707509881885E-2</v>
      </c>
      <c r="CW202" s="1" t="s">
        <v>1198</v>
      </c>
      <c r="CX202" t="str">
        <f t="shared" ref="CX202:CX233" si="192">IF(OR($CW202="prd",$CW202="std",$CW202="cit"),"loc",IF(OR($CW202="eur",$CW202="reg",$CW202="coy"),"reg",$CW202))</f>
        <v>reg</v>
      </c>
      <c r="CY202" t="s">
        <v>444</v>
      </c>
      <c r="CZ202"/>
      <c r="DA202"/>
      <c r="DB202">
        <v>100</v>
      </c>
      <c r="DC202" t="str">
        <f t="shared" ref="DC202:DC233" si="193">IF(DB202=0,"0",IF(AND(DB202&gt;=1,DB202&lt;=30),"1-30",IF(AND(DB202&gt;30,DB202&lt;=70),"31-70",IF(AND(DB202&gt;70,DB202&lt;=100),"71-100",IF(DB202&gt;100,"+100")))))</f>
        <v>71-100</v>
      </c>
      <c r="DD202">
        <v>0</v>
      </c>
      <c r="DE202">
        <v>1</v>
      </c>
      <c r="DF202">
        <v>1</v>
      </c>
      <c r="DG202">
        <v>1</v>
      </c>
      <c r="DH202"/>
      <c r="DI202">
        <f t="shared" ref="DI202:DI233" si="194">SUM(DD202:DG202)</f>
        <v>3</v>
      </c>
      <c r="DJ202" t="str">
        <f t="shared" ref="DJ202:DJ233" si="195">IF(DI202=1,INDEX($DD$7:$DG$7,MATCH(1,$DD202:$DG202,0)),"mixedProduct")</f>
        <v>mixedProduct</v>
      </c>
      <c r="DK202">
        <f t="shared" ref="DK202:DK233" si="196">IF(DD202=1,DK$7,0)</f>
        <v>0</v>
      </c>
      <c r="DL202" t="str">
        <f t="shared" ref="DL202:DL233" si="197">IF(DE202=1,DL$7,0)</f>
        <v>Energy</v>
      </c>
      <c r="DM202" t="str">
        <f t="shared" ref="DM202:DM233" si="198">IF(DF202=1,DM$7,0)</f>
        <v>Pulp/Paper</v>
      </c>
      <c r="DN202" t="str">
        <f t="shared" ref="DN202:DN233" si="199">IF(DG202=1,DN$7,0)</f>
        <v>Timber</v>
      </c>
      <c r="DO202">
        <v>0</v>
      </c>
      <c r="DP202">
        <v>0</v>
      </c>
      <c r="DQ202">
        <v>0</v>
      </c>
      <c r="DR202">
        <v>0</v>
      </c>
      <c r="DS202">
        <v>0</v>
      </c>
      <c r="DT202">
        <f t="shared" ref="DT202:DT233" si="200">SUM(DO202:DP202)</f>
        <v>0</v>
      </c>
      <c r="DU202" s="143" t="str">
        <f t="shared" ref="DU202:DU233" si="201">IF(DO202=1,"self-calculated DF",IF(DP202=1,"external DF used","explicit C balance"))</f>
        <v>explicit C balance</v>
      </c>
      <c r="DV202">
        <v>0</v>
      </c>
      <c r="DW202">
        <v>1</v>
      </c>
      <c r="DX202">
        <v>1</v>
      </c>
      <c r="DY202">
        <v>0</v>
      </c>
      <c r="DZ202">
        <v>0</v>
      </c>
      <c r="EA202" s="143">
        <v>0</v>
      </c>
      <c r="EB202">
        <v>0</v>
      </c>
      <c r="EC202">
        <v>0</v>
      </c>
      <c r="ED202">
        <v>0</v>
      </c>
      <c r="EE202">
        <v>0</v>
      </c>
      <c r="EF202">
        <v>1</v>
      </c>
      <c r="EG202">
        <v>1</v>
      </c>
      <c r="EH202">
        <v>0</v>
      </c>
      <c r="EI202" s="2">
        <v>0</v>
      </c>
      <c r="EJ202" s="1"/>
      <c r="EK202" t="str">
        <f t="shared" ref="EK202:EK233" si="202">IF(AND(AND(AND(OR($DX202=1,$DW202=1),OR($EC202=1,$EA202=1)),SUM($DV202:$DZ202,$EF202)&gt;=4),SUM($EA202:$EE202)&gt;=2),"Whole sector","")</f>
        <v/>
      </c>
      <c r="EL202" t="str">
        <f t="shared" ref="EL202:EL233" si="203">IF(AND(AND(OR($DX202=1,$DW202=1),AND($EC202=0,$EA202=0)),SUM($DV202:$DZ202,$EF202)&gt;=4),"Ecosystem approach","")</f>
        <v/>
      </c>
      <c r="EM202" s="2" t="str">
        <f t="shared" si="140"/>
        <v/>
      </c>
      <c r="EN202"/>
      <c r="EO202"/>
      <c r="EP202" t="str">
        <f>IF(ISNUMBER(BU202),IF(ABS(BU202-[3]QC_indicators!$B$2)&gt;3*[3]QC_indicators!$C$2,"C ratio",IF(ISNUMBER(BY202),IF(ABS(BY202-[3]QC_indicators!$B$1)&gt;3*[3]QC_indicators!$C$1,"DF","no"))),IF(ISNUMBER(BY202),IF(ABS(BY202-[3]QC_indicators!$B$1)&gt;3*[3]QC_indicators!$C$1,"DF","no")))</f>
        <v>no</v>
      </c>
      <c r="EQ202" t="s">
        <v>286</v>
      </c>
      <c r="ER202"/>
      <c r="ES202"/>
      <c r="ET202" s="264" t="s">
        <v>3087</v>
      </c>
      <c r="EU202"/>
    </row>
    <row r="203" spans="1:151" s="139" customFormat="1" ht="15" hidden="1" customHeight="1">
      <c r="A203" s="1" t="s">
        <v>1203</v>
      </c>
      <c r="B203" t="s">
        <v>1204</v>
      </c>
      <c r="C203" t="s">
        <v>1205</v>
      </c>
      <c r="D203" t="s">
        <v>1206</v>
      </c>
      <c r="E203" t="s">
        <v>1207</v>
      </c>
      <c r="F203" t="s">
        <v>1208</v>
      </c>
      <c r="G203" t="s">
        <v>1209</v>
      </c>
      <c r="H203"/>
      <c r="I203">
        <v>2006</v>
      </c>
      <c r="J203"/>
      <c r="K203" t="s">
        <v>1210</v>
      </c>
      <c r="L203"/>
      <c r="M203" t="str">
        <f t="shared" si="161"/>
        <v>Backeus_2006</v>
      </c>
      <c r="N203" t="s">
        <v>222</v>
      </c>
      <c r="O203" s="140" t="s">
        <v>274</v>
      </c>
      <c r="P203"/>
      <c r="Q203" t="s">
        <v>224</v>
      </c>
      <c r="R203" s="255" t="s">
        <v>223</v>
      </c>
      <c r="S203" s="263" t="s">
        <v>3086</v>
      </c>
      <c r="T203" t="s">
        <v>1211</v>
      </c>
      <c r="U203" t="s">
        <v>1212</v>
      </c>
      <c r="V203">
        <v>0</v>
      </c>
      <c r="W203">
        <v>0</v>
      </c>
      <c r="X203">
        <v>0</v>
      </c>
      <c r="Y203">
        <v>1</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1</v>
      </c>
      <c r="AW203">
        <v>0</v>
      </c>
      <c r="AX203" s="141">
        <f t="shared" si="170"/>
        <v>2</v>
      </c>
      <c r="AY203" s="141">
        <f t="shared" si="171"/>
        <v>1</v>
      </c>
      <c r="AZ203">
        <f t="shared" si="172"/>
        <v>1</v>
      </c>
      <c r="BA203">
        <f t="shared" si="173"/>
        <v>0</v>
      </c>
      <c r="BB203">
        <f t="shared" si="174"/>
        <v>0</v>
      </c>
      <c r="BC203">
        <f t="shared" si="175"/>
        <v>1</v>
      </c>
      <c r="BD203">
        <f t="shared" si="176"/>
        <v>0</v>
      </c>
      <c r="BE203" t="str">
        <f t="array" ref="BE203">IF(AY203=1,INDEX($V$7:$AL$7,MATCH(TRUE,INDEX($V203:$AW203&lt;&gt;0,),0)),IF(AY203=0,INDEX($AM$7:$AW$7,MATCH(1,$AM203:$AW203,0)),IF(BF203="Multiple strategies","mixed drivers",IF(BF203="Supply chain","multiple supply","multiple silviculture"))))</f>
        <v xml:space="preserve">cutting intensity </v>
      </c>
      <c r="BF203" s="2" t="str" cm="1">
        <f t="array" ref="BF203">IF(COUNTIF(AZ203:BB203,"&lt;&gt;0")=1,INDEX($V$4:$AW$4,MATCH(TRUE,INDEX($V203:$AW203&lt;&gt;0,),0)),IF(COUNTIF(AZ203:BB203,"&lt;&gt;0")=0,INDEX($AM$4:$AW$4,MATCH(1,$AM203:$AW203,0)),"Multiple strategies"))</f>
        <v>Silviculture for removals</v>
      </c>
      <c r="BG203" s="1" t="s">
        <v>229</v>
      </c>
      <c r="BH203" t="s">
        <v>229</v>
      </c>
      <c r="BI203" s="264" t="s">
        <v>701</v>
      </c>
      <c r="BJ203" t="s">
        <v>1213</v>
      </c>
      <c r="BK203">
        <v>5.5978179484354129</v>
      </c>
      <c r="BL203">
        <v>5.6162990524021872</v>
      </c>
      <c r="BM203">
        <f t="shared" si="177"/>
        <v>1.0033014835668137</v>
      </c>
      <c r="BN203">
        <f t="shared" si="178"/>
        <v>1.848110396677427E-2</v>
      </c>
      <c r="BO203" s="143">
        <f t="shared" si="179"/>
        <v>18481.10396677427</v>
      </c>
      <c r="BP203" s="143" t="s">
        <v>232</v>
      </c>
      <c r="BQ203" s="310" t="s">
        <v>787</v>
      </c>
      <c r="BR203" s="152" t="s">
        <v>1214</v>
      </c>
      <c r="BS203" s="152">
        <v>1.5579710144927537</v>
      </c>
      <c r="BT203" s="152">
        <v>1.5434782608695701</v>
      </c>
      <c r="BU203" s="144">
        <f t="shared" si="180"/>
        <v>0.99069767441860779</v>
      </c>
      <c r="BV203">
        <f t="shared" si="181"/>
        <v>-1.4492753623183585E-2</v>
      </c>
      <c r="BW203"/>
      <c r="BX203">
        <f t="shared" si="182"/>
        <v>-53188.40579708376</v>
      </c>
      <c r="BY203">
        <f t="shared" si="139"/>
        <v>-2.8779885602454827</v>
      </c>
      <c r="BZ203">
        <v>0</v>
      </c>
      <c r="CA203">
        <v>0</v>
      </c>
      <c r="CB203">
        <v>0</v>
      </c>
      <c r="CC203">
        <v>0</v>
      </c>
      <c r="CD203">
        <v>0</v>
      </c>
      <c r="CE203">
        <v>0</v>
      </c>
      <c r="CF203">
        <v>0</v>
      </c>
      <c r="CG203">
        <v>0</v>
      </c>
      <c r="CH203">
        <v>0</v>
      </c>
      <c r="CI203">
        <v>0</v>
      </c>
      <c r="CJ203">
        <v>0</v>
      </c>
      <c r="CK203">
        <v>0</v>
      </c>
      <c r="CL203">
        <v>0</v>
      </c>
      <c r="CM203">
        <v>0</v>
      </c>
      <c r="CN203" t="str">
        <f t="shared" si="183"/>
        <v>refOK</v>
      </c>
      <c r="CO203">
        <f t="shared" si="184"/>
        <v>5.5978179484354129</v>
      </c>
      <c r="CP203">
        <f t="shared" si="185"/>
        <v>5.6162990524021872</v>
      </c>
      <c r="CQ203">
        <f t="shared" si="186"/>
        <v>18481.10396677427</v>
      </c>
      <c r="CR203">
        <f t="shared" si="187"/>
        <v>1.5579710144927537</v>
      </c>
      <c r="CS203">
        <f t="shared" si="188"/>
        <v>1.5434782608695701</v>
      </c>
      <c r="CT203">
        <f t="shared" si="189"/>
        <v>-53188.40579708376</v>
      </c>
      <c r="CU203">
        <f t="shared" si="190"/>
        <v>-2.8779885602454827</v>
      </c>
      <c r="CV203" s="2">
        <f t="shared" si="191"/>
        <v>-9.302325581392254E-3</v>
      </c>
      <c r="CW203" s="1" t="s">
        <v>1198</v>
      </c>
      <c r="CX203" t="str">
        <f t="shared" si="192"/>
        <v>reg</v>
      </c>
      <c r="CY203" t="s">
        <v>444</v>
      </c>
      <c r="CZ203"/>
      <c r="DA203"/>
      <c r="DB203">
        <v>100</v>
      </c>
      <c r="DC203" t="str">
        <f t="shared" si="193"/>
        <v>71-100</v>
      </c>
      <c r="DD203">
        <v>0</v>
      </c>
      <c r="DE203">
        <v>1</v>
      </c>
      <c r="DF203">
        <v>1</v>
      </c>
      <c r="DG203">
        <v>1</v>
      </c>
      <c r="DH203"/>
      <c r="DI203">
        <f t="shared" si="194"/>
        <v>3</v>
      </c>
      <c r="DJ203" t="str">
        <f t="shared" si="195"/>
        <v>mixedProduct</v>
      </c>
      <c r="DK203">
        <f t="shared" si="196"/>
        <v>0</v>
      </c>
      <c r="DL203" t="str">
        <f t="shared" si="197"/>
        <v>Energy</v>
      </c>
      <c r="DM203" t="str">
        <f t="shared" si="198"/>
        <v>Pulp/Paper</v>
      </c>
      <c r="DN203" t="str">
        <f t="shared" si="199"/>
        <v>Timber</v>
      </c>
      <c r="DO203">
        <v>1</v>
      </c>
      <c r="DP203">
        <v>0</v>
      </c>
      <c r="DQ203">
        <v>0</v>
      </c>
      <c r="DR203">
        <v>0</v>
      </c>
      <c r="DS203">
        <v>0</v>
      </c>
      <c r="DT203">
        <f t="shared" si="200"/>
        <v>1</v>
      </c>
      <c r="DU203" s="143" t="str">
        <f t="shared" si="201"/>
        <v>self-calculated DF</v>
      </c>
      <c r="DV203">
        <v>0</v>
      </c>
      <c r="DW203">
        <v>1</v>
      </c>
      <c r="DX203">
        <v>1</v>
      </c>
      <c r="DY203">
        <v>0</v>
      </c>
      <c r="DZ203">
        <v>0</v>
      </c>
      <c r="EA203" s="143">
        <v>1</v>
      </c>
      <c r="EB203">
        <v>0</v>
      </c>
      <c r="EC203">
        <v>0</v>
      </c>
      <c r="ED203">
        <v>0</v>
      </c>
      <c r="EE203">
        <v>0</v>
      </c>
      <c r="EF203">
        <v>1</v>
      </c>
      <c r="EG203">
        <v>1</v>
      </c>
      <c r="EH203">
        <v>0</v>
      </c>
      <c r="EI203" s="2">
        <v>0</v>
      </c>
      <c r="EJ203" s="1"/>
      <c r="EK203" t="str">
        <f t="shared" si="202"/>
        <v/>
      </c>
      <c r="EL203" t="str">
        <f t="shared" si="203"/>
        <v/>
      </c>
      <c r="EM203" s="2" t="str">
        <f t="shared" si="140"/>
        <v/>
      </c>
      <c r="EN203"/>
      <c r="EO203"/>
      <c r="EP203" t="str">
        <f>IF(ISNUMBER(BU203),IF(ABS(BU203-[3]QC_indicators!$B$2)&gt;3*[3]QC_indicators!$C$2,"C ratio",IF(ISNUMBER(BY203),IF(ABS(BY203-[3]QC_indicators!$B$1)&gt;3*[3]QC_indicators!$C$1,"DF","no"))),IF(ISNUMBER(BY203),IF(ABS(BY203-[3]QC_indicators!$B$1)&gt;3*[3]QC_indicators!$C$1,"DF","no")))</f>
        <v>no</v>
      </c>
      <c r="EQ203" t="s">
        <v>286</v>
      </c>
      <c r="ER203"/>
      <c r="ES203"/>
      <c r="ET203" s="264" t="s">
        <v>3087</v>
      </c>
      <c r="EU203"/>
    </row>
    <row r="204" spans="1:151" s="139" customFormat="1" ht="15" hidden="1" customHeight="1">
      <c r="A204" s="1" t="s">
        <v>1203</v>
      </c>
      <c r="B204" t="s">
        <v>1204</v>
      </c>
      <c r="C204" t="s">
        <v>1205</v>
      </c>
      <c r="D204" t="s">
        <v>1206</v>
      </c>
      <c r="E204" t="s">
        <v>1207</v>
      </c>
      <c r="F204" t="s">
        <v>1208</v>
      </c>
      <c r="G204" t="s">
        <v>1209</v>
      </c>
      <c r="H204"/>
      <c r="I204">
        <v>2006</v>
      </c>
      <c r="J204"/>
      <c r="K204" t="s">
        <v>1210</v>
      </c>
      <c r="L204"/>
      <c r="M204" t="str">
        <f t="shared" si="161"/>
        <v>Backeus_2006</v>
      </c>
      <c r="N204" t="s">
        <v>222</v>
      </c>
      <c r="O204" s="140" t="s">
        <v>274</v>
      </c>
      <c r="P204"/>
      <c r="Q204" t="s">
        <v>224</v>
      </c>
      <c r="R204" s="255" t="s">
        <v>223</v>
      </c>
      <c r="S204" s="263" t="s">
        <v>3086</v>
      </c>
      <c r="T204" t="s">
        <v>1215</v>
      </c>
      <c r="U204" t="s">
        <v>1212</v>
      </c>
      <c r="V204">
        <v>0</v>
      </c>
      <c r="W204">
        <v>0</v>
      </c>
      <c r="X204">
        <v>0</v>
      </c>
      <c r="Y204">
        <v>1</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1</v>
      </c>
      <c r="AW204">
        <v>0</v>
      </c>
      <c r="AX204" s="141">
        <f t="shared" si="170"/>
        <v>2</v>
      </c>
      <c r="AY204" s="141">
        <f t="shared" si="171"/>
        <v>1</v>
      </c>
      <c r="AZ204">
        <f t="shared" si="172"/>
        <v>1</v>
      </c>
      <c r="BA204">
        <f t="shared" si="173"/>
        <v>0</v>
      </c>
      <c r="BB204">
        <f t="shared" si="174"/>
        <v>0</v>
      </c>
      <c r="BC204">
        <f t="shared" si="175"/>
        <v>1</v>
      </c>
      <c r="BD204">
        <f t="shared" si="176"/>
        <v>0</v>
      </c>
      <c r="BE204" t="str">
        <f t="array" ref="BE204">IF(AY204=1,INDEX($V$7:$AL$7,MATCH(TRUE,INDEX($V204:$AW204&lt;&gt;0,),0)),IF(AY204=0,INDEX($AM$7:$AW$7,MATCH(1,$AM204:$AW204,0)),IF(BF204="Multiple strategies","mixed drivers",IF(BF204="Supply chain","multiple supply","multiple silviculture"))))</f>
        <v xml:space="preserve">cutting intensity </v>
      </c>
      <c r="BF204" s="2" t="str" cm="1">
        <f t="array" ref="BF204">IF(COUNTIF(AZ204:BB204,"&lt;&gt;0")=1,INDEX($V$4:$AW$4,MATCH(TRUE,INDEX($V204:$AW204&lt;&gt;0,),0)),IF(COUNTIF(AZ204:BB204,"&lt;&gt;0")=0,INDEX($AM$4:$AW$4,MATCH(1,$AM204:$AW204,0)),"Multiple strategies"))</f>
        <v>Silviculture for removals</v>
      </c>
      <c r="BG204" s="1" t="s">
        <v>229</v>
      </c>
      <c r="BH204" t="s">
        <v>229</v>
      </c>
      <c r="BI204" s="264" t="s">
        <v>701</v>
      </c>
      <c r="BJ204" t="s">
        <v>1213</v>
      </c>
      <c r="BK204">
        <v>5.5285511609750859</v>
      </c>
      <c r="BL204">
        <v>5.6162990524021872</v>
      </c>
      <c r="BM204">
        <f t="shared" si="177"/>
        <v>1.0158717698131285</v>
      </c>
      <c r="BN204">
        <f t="shared" si="178"/>
        <v>8.7747891427101266E-2</v>
      </c>
      <c r="BO204" s="143">
        <f t="shared" si="179"/>
        <v>87747.891427101262</v>
      </c>
      <c r="BP204" s="143" t="s">
        <v>232</v>
      </c>
      <c r="BQ204" s="310" t="s">
        <v>787</v>
      </c>
      <c r="BR204" s="152" t="s">
        <v>1214</v>
      </c>
      <c r="BS204" s="152">
        <v>1.51176470588235</v>
      </c>
      <c r="BT204" s="152">
        <v>1.47058823529411</v>
      </c>
      <c r="BU204" s="144">
        <f t="shared" si="180"/>
        <v>0.97276264591439365</v>
      </c>
      <c r="BV204">
        <f t="shared" si="181"/>
        <v>-4.1176470588240033E-2</v>
      </c>
      <c r="BW204"/>
      <c r="BX204">
        <f t="shared" si="182"/>
        <v>-151117.6470588409</v>
      </c>
      <c r="BY204">
        <f t="shared" si="139"/>
        <v>-1.7221798108321</v>
      </c>
      <c r="BZ204">
        <v>0</v>
      </c>
      <c r="CA204">
        <v>0</v>
      </c>
      <c r="CB204">
        <v>0</v>
      </c>
      <c r="CC204">
        <v>0</v>
      </c>
      <c r="CD204">
        <v>0</v>
      </c>
      <c r="CE204">
        <v>0</v>
      </c>
      <c r="CF204">
        <v>0</v>
      </c>
      <c r="CG204">
        <v>0</v>
      </c>
      <c r="CH204">
        <v>0</v>
      </c>
      <c r="CI204">
        <v>0</v>
      </c>
      <c r="CJ204">
        <v>0</v>
      </c>
      <c r="CK204">
        <v>0</v>
      </c>
      <c r="CL204">
        <v>0</v>
      </c>
      <c r="CM204">
        <v>0</v>
      </c>
      <c r="CN204" t="str">
        <f t="shared" si="183"/>
        <v>refOK</v>
      </c>
      <c r="CO204">
        <f t="shared" si="184"/>
        <v>5.5285511609750859</v>
      </c>
      <c r="CP204">
        <f t="shared" si="185"/>
        <v>5.6162990524021872</v>
      </c>
      <c r="CQ204">
        <f t="shared" si="186"/>
        <v>87747.891427101262</v>
      </c>
      <c r="CR204">
        <f t="shared" si="187"/>
        <v>1.51176470588235</v>
      </c>
      <c r="CS204">
        <f t="shared" si="188"/>
        <v>1.47058823529411</v>
      </c>
      <c r="CT204">
        <f t="shared" si="189"/>
        <v>-151117.6470588409</v>
      </c>
      <c r="CU204">
        <f t="shared" si="190"/>
        <v>-1.7221798108321</v>
      </c>
      <c r="CV204" s="2">
        <f t="shared" si="191"/>
        <v>-2.7237354085606302E-2</v>
      </c>
      <c r="CW204" s="1" t="s">
        <v>1198</v>
      </c>
      <c r="CX204" t="str">
        <f t="shared" si="192"/>
        <v>reg</v>
      </c>
      <c r="CY204" t="s">
        <v>444</v>
      </c>
      <c r="CZ204"/>
      <c r="DA204"/>
      <c r="DB204">
        <v>100</v>
      </c>
      <c r="DC204" t="str">
        <f t="shared" si="193"/>
        <v>71-100</v>
      </c>
      <c r="DD204">
        <v>0</v>
      </c>
      <c r="DE204">
        <v>1</v>
      </c>
      <c r="DF204">
        <v>1</v>
      </c>
      <c r="DG204">
        <v>1</v>
      </c>
      <c r="DH204"/>
      <c r="DI204">
        <f t="shared" si="194"/>
        <v>3</v>
      </c>
      <c r="DJ204" t="str">
        <f t="shared" si="195"/>
        <v>mixedProduct</v>
      </c>
      <c r="DK204">
        <f t="shared" si="196"/>
        <v>0</v>
      </c>
      <c r="DL204" t="str">
        <f t="shared" si="197"/>
        <v>Energy</v>
      </c>
      <c r="DM204" t="str">
        <f t="shared" si="198"/>
        <v>Pulp/Paper</v>
      </c>
      <c r="DN204" t="str">
        <f t="shared" si="199"/>
        <v>Timber</v>
      </c>
      <c r="DO204">
        <v>0</v>
      </c>
      <c r="DP204">
        <v>0</v>
      </c>
      <c r="DQ204">
        <v>0</v>
      </c>
      <c r="DR204">
        <v>0</v>
      </c>
      <c r="DS204">
        <v>0</v>
      </c>
      <c r="DT204">
        <f t="shared" si="200"/>
        <v>0</v>
      </c>
      <c r="DU204" s="143" t="str">
        <f t="shared" si="201"/>
        <v>explicit C balance</v>
      </c>
      <c r="DV204">
        <v>0</v>
      </c>
      <c r="DW204">
        <v>1</v>
      </c>
      <c r="DX204">
        <v>1</v>
      </c>
      <c r="DY204">
        <v>0</v>
      </c>
      <c r="DZ204">
        <v>0</v>
      </c>
      <c r="EA204" s="143">
        <v>0</v>
      </c>
      <c r="EB204">
        <v>0</v>
      </c>
      <c r="EC204">
        <v>0</v>
      </c>
      <c r="ED204">
        <v>0</v>
      </c>
      <c r="EE204">
        <v>0</v>
      </c>
      <c r="EF204">
        <v>1</v>
      </c>
      <c r="EG204">
        <v>1</v>
      </c>
      <c r="EH204">
        <v>0</v>
      </c>
      <c r="EI204" s="2">
        <v>0</v>
      </c>
      <c r="EJ204" s="1"/>
      <c r="EK204" t="str">
        <f t="shared" si="202"/>
        <v/>
      </c>
      <c r="EL204" t="str">
        <f t="shared" si="203"/>
        <v/>
      </c>
      <c r="EM204" s="2" t="str">
        <f t="shared" si="140"/>
        <v/>
      </c>
      <c r="EN204"/>
      <c r="EO204"/>
      <c r="EP204" t="str">
        <f>IF(ISNUMBER(BU204),IF(ABS(BU204-[3]QC_indicators!$B$2)&gt;3*[3]QC_indicators!$C$2,"C ratio",IF(ISNUMBER(BY204),IF(ABS(BY204-[3]QC_indicators!$B$1)&gt;3*[3]QC_indicators!$C$1,"DF","no"))),IF(ISNUMBER(BY204),IF(ABS(BY204-[3]QC_indicators!$B$1)&gt;3*[3]QC_indicators!$C$1,"DF","no")))</f>
        <v>no</v>
      </c>
      <c r="EQ204" t="s">
        <v>286</v>
      </c>
      <c r="ER204"/>
      <c r="ES204"/>
      <c r="ET204" s="264" t="s">
        <v>3087</v>
      </c>
      <c r="EU204"/>
    </row>
    <row r="205" spans="1:151" s="139" customFormat="1" ht="15" hidden="1" customHeight="1">
      <c r="A205" s="1" t="s">
        <v>1203</v>
      </c>
      <c r="B205" t="s">
        <v>1204</v>
      </c>
      <c r="C205" t="s">
        <v>1205</v>
      </c>
      <c r="D205" t="s">
        <v>1206</v>
      </c>
      <c r="E205" t="s">
        <v>1207</v>
      </c>
      <c r="F205" t="s">
        <v>1208</v>
      </c>
      <c r="G205" t="s">
        <v>1209</v>
      </c>
      <c r="H205"/>
      <c r="I205">
        <v>2006</v>
      </c>
      <c r="J205"/>
      <c r="K205" t="s">
        <v>1210</v>
      </c>
      <c r="L205"/>
      <c r="M205" t="str">
        <f t="shared" si="161"/>
        <v>Backeus_2006</v>
      </c>
      <c r="N205" t="s">
        <v>222</v>
      </c>
      <c r="O205" s="140" t="s">
        <v>274</v>
      </c>
      <c r="P205"/>
      <c r="Q205" t="s">
        <v>224</v>
      </c>
      <c r="R205" s="255" t="s">
        <v>223</v>
      </c>
      <c r="S205" s="263" t="s">
        <v>3086</v>
      </c>
      <c r="T205" t="s">
        <v>1215</v>
      </c>
      <c r="U205" t="s">
        <v>1212</v>
      </c>
      <c r="V205">
        <v>0</v>
      </c>
      <c r="W205">
        <v>0</v>
      </c>
      <c r="X205">
        <v>0</v>
      </c>
      <c r="Y205">
        <v>1</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1</v>
      </c>
      <c r="AW205">
        <v>0</v>
      </c>
      <c r="AX205" s="141">
        <f t="shared" si="170"/>
        <v>2</v>
      </c>
      <c r="AY205" s="141">
        <f t="shared" si="171"/>
        <v>1</v>
      </c>
      <c r="AZ205">
        <f t="shared" si="172"/>
        <v>1</v>
      </c>
      <c r="BA205">
        <f t="shared" si="173"/>
        <v>0</v>
      </c>
      <c r="BB205">
        <f t="shared" si="174"/>
        <v>0</v>
      </c>
      <c r="BC205">
        <f t="shared" si="175"/>
        <v>1</v>
      </c>
      <c r="BD205">
        <f t="shared" si="176"/>
        <v>0</v>
      </c>
      <c r="BE205" t="str">
        <f t="array" ref="BE205">IF(AY205=1,INDEX($V$7:$AL$7,MATCH(TRUE,INDEX($V205:$AW205&lt;&gt;0,),0)),IF(AY205=0,INDEX($AM$7:$AW$7,MATCH(1,$AM205:$AW205,0)),IF(BF205="Multiple strategies","mixed drivers",IF(BF205="Supply chain","multiple supply","multiple silviculture"))))</f>
        <v xml:space="preserve">cutting intensity </v>
      </c>
      <c r="BF205" s="2" t="str" cm="1">
        <f t="array" ref="BF205">IF(COUNTIF(AZ205:BB205,"&lt;&gt;0")=1,INDEX($V$4:$AW$4,MATCH(TRUE,INDEX($V205:$AW205&lt;&gt;0,),0)),IF(COUNTIF(AZ205:BB205,"&lt;&gt;0")=0,INDEX($AM$4:$AW$4,MATCH(1,$AM205:$AW205,0)),"Multiple strategies"))</f>
        <v>Silviculture for removals</v>
      </c>
      <c r="BG205" s="1" t="s">
        <v>229</v>
      </c>
      <c r="BH205" t="s">
        <v>229</v>
      </c>
      <c r="BI205" s="264" t="s">
        <v>701</v>
      </c>
      <c r="BJ205" t="s">
        <v>1213</v>
      </c>
      <c r="BK205">
        <v>5.5285511609750859</v>
      </c>
      <c r="BL205">
        <v>5.6162990524021872</v>
      </c>
      <c r="BM205">
        <f t="shared" si="177"/>
        <v>1.0158717698131285</v>
      </c>
      <c r="BN205">
        <f t="shared" si="178"/>
        <v>8.7747891427101266E-2</v>
      </c>
      <c r="BO205" s="143">
        <f t="shared" si="179"/>
        <v>87747.891427101262</v>
      </c>
      <c r="BP205" s="143" t="s">
        <v>232</v>
      </c>
      <c r="BQ205" s="310" t="s">
        <v>787</v>
      </c>
      <c r="BR205" s="152" t="s">
        <v>1214</v>
      </c>
      <c r="BS205" s="152">
        <v>1.5797101449275361</v>
      </c>
      <c r="BT205" s="152">
        <v>1.5434782608695652</v>
      </c>
      <c r="BU205" s="144">
        <f t="shared" si="180"/>
        <v>0.97706422018348627</v>
      </c>
      <c r="BV205">
        <f t="shared" si="181"/>
        <v>-3.6231884057970953E-2</v>
      </c>
      <c r="BW205"/>
      <c r="BX205">
        <f t="shared" si="182"/>
        <v>-132971.0144927534</v>
      </c>
      <c r="BY205">
        <f t="shared" si="139"/>
        <v>-1.5153756099452529</v>
      </c>
      <c r="BZ205">
        <v>0</v>
      </c>
      <c r="CA205">
        <v>0</v>
      </c>
      <c r="CB205">
        <v>0</v>
      </c>
      <c r="CC205">
        <v>0</v>
      </c>
      <c r="CD205">
        <v>0</v>
      </c>
      <c r="CE205">
        <v>0</v>
      </c>
      <c r="CF205">
        <v>0</v>
      </c>
      <c r="CG205">
        <v>0</v>
      </c>
      <c r="CH205">
        <v>0</v>
      </c>
      <c r="CI205">
        <v>0</v>
      </c>
      <c r="CJ205">
        <v>0</v>
      </c>
      <c r="CK205">
        <v>0</v>
      </c>
      <c r="CL205">
        <v>0</v>
      </c>
      <c r="CM205">
        <v>0</v>
      </c>
      <c r="CN205" t="str">
        <f t="shared" si="183"/>
        <v>refOK</v>
      </c>
      <c r="CO205">
        <f t="shared" si="184"/>
        <v>5.5285511609750859</v>
      </c>
      <c r="CP205">
        <f t="shared" si="185"/>
        <v>5.6162990524021872</v>
      </c>
      <c r="CQ205">
        <f t="shared" si="186"/>
        <v>87747.891427101262</v>
      </c>
      <c r="CR205">
        <f t="shared" si="187"/>
        <v>1.5797101449275361</v>
      </c>
      <c r="CS205">
        <f t="shared" si="188"/>
        <v>1.5434782608695652</v>
      </c>
      <c r="CT205">
        <f t="shared" si="189"/>
        <v>-132971.0144927534</v>
      </c>
      <c r="CU205">
        <f t="shared" si="190"/>
        <v>-1.5153756099452529</v>
      </c>
      <c r="CV205" s="2">
        <f t="shared" si="191"/>
        <v>-2.2935779816513725E-2</v>
      </c>
      <c r="CW205" s="1" t="s">
        <v>1198</v>
      </c>
      <c r="CX205" t="str">
        <f t="shared" si="192"/>
        <v>reg</v>
      </c>
      <c r="CY205" t="s">
        <v>444</v>
      </c>
      <c r="CZ205"/>
      <c r="DA205"/>
      <c r="DB205">
        <v>100</v>
      </c>
      <c r="DC205" t="str">
        <f t="shared" si="193"/>
        <v>71-100</v>
      </c>
      <c r="DD205">
        <v>0</v>
      </c>
      <c r="DE205">
        <v>1</v>
      </c>
      <c r="DF205">
        <v>1</v>
      </c>
      <c r="DG205">
        <v>1</v>
      </c>
      <c r="DH205"/>
      <c r="DI205">
        <f t="shared" si="194"/>
        <v>3</v>
      </c>
      <c r="DJ205" t="str">
        <f t="shared" si="195"/>
        <v>mixedProduct</v>
      </c>
      <c r="DK205">
        <f t="shared" si="196"/>
        <v>0</v>
      </c>
      <c r="DL205" t="str">
        <f t="shared" si="197"/>
        <v>Energy</v>
      </c>
      <c r="DM205" t="str">
        <f t="shared" si="198"/>
        <v>Pulp/Paper</v>
      </c>
      <c r="DN205" t="str">
        <f t="shared" si="199"/>
        <v>Timber</v>
      </c>
      <c r="DO205">
        <v>1</v>
      </c>
      <c r="DP205">
        <v>0</v>
      </c>
      <c r="DQ205">
        <v>0</v>
      </c>
      <c r="DR205">
        <v>0</v>
      </c>
      <c r="DS205">
        <v>0</v>
      </c>
      <c r="DT205">
        <f t="shared" si="200"/>
        <v>1</v>
      </c>
      <c r="DU205" s="143" t="str">
        <f t="shared" si="201"/>
        <v>self-calculated DF</v>
      </c>
      <c r="DV205">
        <v>0</v>
      </c>
      <c r="DW205">
        <v>1</v>
      </c>
      <c r="DX205">
        <v>1</v>
      </c>
      <c r="DY205">
        <v>0</v>
      </c>
      <c r="DZ205">
        <v>0</v>
      </c>
      <c r="EA205" s="143">
        <v>1</v>
      </c>
      <c r="EB205">
        <v>0</v>
      </c>
      <c r="EC205">
        <v>0</v>
      </c>
      <c r="ED205">
        <v>0</v>
      </c>
      <c r="EE205">
        <v>0</v>
      </c>
      <c r="EF205">
        <v>1</v>
      </c>
      <c r="EG205">
        <v>1</v>
      </c>
      <c r="EH205">
        <v>0</v>
      </c>
      <c r="EI205" s="2">
        <v>0</v>
      </c>
      <c r="EJ205" s="1"/>
      <c r="EK205" t="str">
        <f t="shared" si="202"/>
        <v/>
      </c>
      <c r="EL205" t="str">
        <f t="shared" si="203"/>
        <v/>
      </c>
      <c r="EM205" s="2" t="str">
        <f t="shared" si="140"/>
        <v/>
      </c>
      <c r="EN205"/>
      <c r="EO205"/>
      <c r="EP205" t="str">
        <f>IF(ISNUMBER(BU205),IF(ABS(BU205-[3]QC_indicators!$B$2)&gt;3*[3]QC_indicators!$C$2,"C ratio",IF(ISNUMBER(BY205),IF(ABS(BY205-[3]QC_indicators!$B$1)&gt;3*[3]QC_indicators!$C$1,"DF","no"))),IF(ISNUMBER(BY205),IF(ABS(BY205-[3]QC_indicators!$B$1)&gt;3*[3]QC_indicators!$C$1,"DF","no")))</f>
        <v>no</v>
      </c>
      <c r="EQ205" t="s">
        <v>286</v>
      </c>
      <c r="ER205"/>
      <c r="ES205"/>
      <c r="ET205" s="264" t="s">
        <v>3087</v>
      </c>
      <c r="EU205"/>
    </row>
    <row r="206" spans="1:151" s="139" customFormat="1" ht="15" hidden="1" customHeight="1">
      <c r="A206" s="1" t="s">
        <v>1203</v>
      </c>
      <c r="B206" t="s">
        <v>1204</v>
      </c>
      <c r="C206" t="s">
        <v>1205</v>
      </c>
      <c r="D206" t="s">
        <v>1206</v>
      </c>
      <c r="E206" t="s">
        <v>1207</v>
      </c>
      <c r="F206" t="s">
        <v>1208</v>
      </c>
      <c r="G206" t="s">
        <v>1209</v>
      </c>
      <c r="H206"/>
      <c r="I206">
        <v>2006</v>
      </c>
      <c r="J206"/>
      <c r="K206" t="s">
        <v>1210</v>
      </c>
      <c r="L206"/>
      <c r="M206" t="str">
        <f t="shared" si="161"/>
        <v>Backeus_2006</v>
      </c>
      <c r="N206" t="s">
        <v>222</v>
      </c>
      <c r="O206" s="140" t="s">
        <v>274</v>
      </c>
      <c r="P206"/>
      <c r="Q206" t="s">
        <v>224</v>
      </c>
      <c r="R206" s="255" t="s">
        <v>223</v>
      </c>
      <c r="S206" s="263" t="s">
        <v>3086</v>
      </c>
      <c r="T206" t="s">
        <v>1216</v>
      </c>
      <c r="U206" t="s">
        <v>1212</v>
      </c>
      <c r="V206">
        <v>0</v>
      </c>
      <c r="W206">
        <v>0</v>
      </c>
      <c r="X206">
        <v>0</v>
      </c>
      <c r="Y206">
        <v>1</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1</v>
      </c>
      <c r="AW206">
        <v>0</v>
      </c>
      <c r="AX206" s="141">
        <f t="shared" si="170"/>
        <v>2</v>
      </c>
      <c r="AY206" s="141">
        <f t="shared" si="171"/>
        <v>1</v>
      </c>
      <c r="AZ206">
        <f t="shared" si="172"/>
        <v>1</v>
      </c>
      <c r="BA206">
        <f t="shared" si="173"/>
        <v>0</v>
      </c>
      <c r="BB206">
        <f t="shared" si="174"/>
        <v>0</v>
      </c>
      <c r="BC206">
        <f t="shared" si="175"/>
        <v>1</v>
      </c>
      <c r="BD206">
        <f t="shared" si="176"/>
        <v>0</v>
      </c>
      <c r="BE206" t="str">
        <f t="array" ref="BE206">IF(AY206=1,INDEX($V$7:$AL$7,MATCH(TRUE,INDEX($V206:$AW206&lt;&gt;0,),0)),IF(AY206=0,INDEX($AM$7:$AW$7,MATCH(1,$AM206:$AW206,0)),IF(BF206="Multiple strategies","mixed drivers",IF(BF206="Supply chain","multiple supply","multiple silviculture"))))</f>
        <v xml:space="preserve">cutting intensity </v>
      </c>
      <c r="BF206" s="2" t="str" cm="1">
        <f t="array" ref="BF206">IF(COUNTIF(AZ206:BB206,"&lt;&gt;0")=1,INDEX($V$4:$AW$4,MATCH(TRUE,INDEX($V206:$AW206&lt;&gt;0,),0)),IF(COUNTIF(AZ206:BB206,"&lt;&gt;0")=0,INDEX($AM$4:$AW$4,MATCH(1,$AM206:$AW206,0)),"Multiple strategies"))</f>
        <v>Silviculture for removals</v>
      </c>
      <c r="BG206" s="1" t="s">
        <v>229</v>
      </c>
      <c r="BH206" t="s">
        <v>229</v>
      </c>
      <c r="BI206" s="264" t="s">
        <v>701</v>
      </c>
      <c r="BJ206" t="s">
        <v>1213</v>
      </c>
      <c r="BK206">
        <v>5.0343605295810514</v>
      </c>
      <c r="BL206">
        <v>5.6162990524021872</v>
      </c>
      <c r="BM206">
        <f t="shared" si="177"/>
        <v>1.1155933349234255</v>
      </c>
      <c r="BN206">
        <f t="shared" si="178"/>
        <v>0.58193852282113578</v>
      </c>
      <c r="BO206" s="143">
        <f t="shared" si="179"/>
        <v>581938.52282113582</v>
      </c>
      <c r="BP206" s="143" t="s">
        <v>232</v>
      </c>
      <c r="BQ206" s="310" t="s">
        <v>787</v>
      </c>
      <c r="BR206" s="152" t="s">
        <v>1214</v>
      </c>
      <c r="BS206" s="152">
        <v>1.5941176470588201</v>
      </c>
      <c r="BT206" s="152">
        <v>1.47058823529411</v>
      </c>
      <c r="BU206" s="144">
        <f t="shared" si="180"/>
        <v>0.92250922509224809</v>
      </c>
      <c r="BV206">
        <f t="shared" si="181"/>
        <v>-0.12352941176471011</v>
      </c>
      <c r="BW206"/>
      <c r="BX206">
        <f t="shared" si="182"/>
        <v>-453352.94117648609</v>
      </c>
      <c r="BY206">
        <f t="shared" si="139"/>
        <v>-0.77903923421104793</v>
      </c>
      <c r="BZ206">
        <v>0</v>
      </c>
      <c r="CA206">
        <v>0</v>
      </c>
      <c r="CB206">
        <v>0</v>
      </c>
      <c r="CC206">
        <v>0</v>
      </c>
      <c r="CD206">
        <v>0</v>
      </c>
      <c r="CE206">
        <v>0</v>
      </c>
      <c r="CF206">
        <v>0</v>
      </c>
      <c r="CG206">
        <v>0</v>
      </c>
      <c r="CH206">
        <v>0</v>
      </c>
      <c r="CI206">
        <v>0</v>
      </c>
      <c r="CJ206">
        <v>0</v>
      </c>
      <c r="CK206">
        <v>0</v>
      </c>
      <c r="CL206">
        <v>0</v>
      </c>
      <c r="CM206">
        <v>0</v>
      </c>
      <c r="CN206" t="str">
        <f t="shared" si="183"/>
        <v>refOK</v>
      </c>
      <c r="CO206">
        <f t="shared" si="184"/>
        <v>5.0343605295810514</v>
      </c>
      <c r="CP206">
        <f t="shared" si="185"/>
        <v>5.6162990524021872</v>
      </c>
      <c r="CQ206">
        <f t="shared" si="186"/>
        <v>581938.52282113582</v>
      </c>
      <c r="CR206">
        <f t="shared" si="187"/>
        <v>1.5941176470588201</v>
      </c>
      <c r="CS206">
        <f t="shared" si="188"/>
        <v>1.47058823529411</v>
      </c>
      <c r="CT206">
        <f t="shared" si="189"/>
        <v>-453352.94117648609</v>
      </c>
      <c r="CU206">
        <f t="shared" si="190"/>
        <v>-0.77903923421104793</v>
      </c>
      <c r="CV206" s="2">
        <f t="shared" si="191"/>
        <v>-7.74907749077519E-2</v>
      </c>
      <c r="CW206" s="1" t="s">
        <v>1198</v>
      </c>
      <c r="CX206" t="str">
        <f t="shared" si="192"/>
        <v>reg</v>
      </c>
      <c r="CY206" t="s">
        <v>444</v>
      </c>
      <c r="CZ206"/>
      <c r="DA206"/>
      <c r="DB206">
        <v>100</v>
      </c>
      <c r="DC206" t="str">
        <f t="shared" si="193"/>
        <v>71-100</v>
      </c>
      <c r="DD206">
        <v>0</v>
      </c>
      <c r="DE206">
        <v>1</v>
      </c>
      <c r="DF206">
        <v>1</v>
      </c>
      <c r="DG206">
        <v>1</v>
      </c>
      <c r="DH206"/>
      <c r="DI206">
        <f t="shared" si="194"/>
        <v>3</v>
      </c>
      <c r="DJ206" t="str">
        <f t="shared" si="195"/>
        <v>mixedProduct</v>
      </c>
      <c r="DK206">
        <f t="shared" si="196"/>
        <v>0</v>
      </c>
      <c r="DL206" t="str">
        <f t="shared" si="197"/>
        <v>Energy</v>
      </c>
      <c r="DM206" t="str">
        <f t="shared" si="198"/>
        <v>Pulp/Paper</v>
      </c>
      <c r="DN206" t="str">
        <f t="shared" si="199"/>
        <v>Timber</v>
      </c>
      <c r="DO206">
        <v>0</v>
      </c>
      <c r="DP206">
        <v>0</v>
      </c>
      <c r="DQ206">
        <v>0</v>
      </c>
      <c r="DR206">
        <v>0</v>
      </c>
      <c r="DS206">
        <v>0</v>
      </c>
      <c r="DT206">
        <f t="shared" si="200"/>
        <v>0</v>
      </c>
      <c r="DU206" s="143" t="str">
        <f t="shared" si="201"/>
        <v>explicit C balance</v>
      </c>
      <c r="DV206">
        <v>0</v>
      </c>
      <c r="DW206">
        <v>1</v>
      </c>
      <c r="DX206">
        <v>1</v>
      </c>
      <c r="DY206">
        <v>0</v>
      </c>
      <c r="DZ206">
        <v>0</v>
      </c>
      <c r="EA206" s="143">
        <v>0</v>
      </c>
      <c r="EB206">
        <v>0</v>
      </c>
      <c r="EC206">
        <v>0</v>
      </c>
      <c r="ED206">
        <v>0</v>
      </c>
      <c r="EE206">
        <v>0</v>
      </c>
      <c r="EF206">
        <v>1</v>
      </c>
      <c r="EG206">
        <v>1</v>
      </c>
      <c r="EH206">
        <v>0</v>
      </c>
      <c r="EI206" s="2">
        <v>0</v>
      </c>
      <c r="EJ206" s="1"/>
      <c r="EK206" t="str">
        <f t="shared" si="202"/>
        <v/>
      </c>
      <c r="EL206" t="str">
        <f t="shared" si="203"/>
        <v/>
      </c>
      <c r="EM206" s="2" t="str">
        <f t="shared" si="140"/>
        <v/>
      </c>
      <c r="EN206"/>
      <c r="EO206"/>
      <c r="EP206" t="str">
        <f>IF(ISNUMBER(BU206),IF(ABS(BU206-[3]QC_indicators!$B$2)&gt;3*[3]QC_indicators!$C$2,"C ratio",IF(ISNUMBER(BY206),IF(ABS(BY206-[3]QC_indicators!$B$1)&gt;3*[3]QC_indicators!$C$1,"DF","no"))),IF(ISNUMBER(BY206),IF(ABS(BY206-[3]QC_indicators!$B$1)&gt;3*[3]QC_indicators!$C$1,"DF","no")))</f>
        <v>no</v>
      </c>
      <c r="EQ206" t="s">
        <v>286</v>
      </c>
      <c r="ER206"/>
      <c r="ES206"/>
      <c r="ET206" s="264" t="s">
        <v>3087</v>
      </c>
      <c r="EU206"/>
    </row>
    <row r="207" spans="1:151" s="139" customFormat="1" ht="15" hidden="1" customHeight="1">
      <c r="A207" s="1" t="s">
        <v>1203</v>
      </c>
      <c r="B207" t="s">
        <v>1204</v>
      </c>
      <c r="C207" t="s">
        <v>1205</v>
      </c>
      <c r="D207" t="s">
        <v>1206</v>
      </c>
      <c r="E207" t="s">
        <v>1207</v>
      </c>
      <c r="F207" t="s">
        <v>1208</v>
      </c>
      <c r="G207" t="s">
        <v>1209</v>
      </c>
      <c r="H207"/>
      <c r="I207">
        <v>2006</v>
      </c>
      <c r="J207"/>
      <c r="K207" t="s">
        <v>1210</v>
      </c>
      <c r="L207"/>
      <c r="M207" t="str">
        <f t="shared" si="161"/>
        <v>Backeus_2006</v>
      </c>
      <c r="N207" t="s">
        <v>222</v>
      </c>
      <c r="O207" s="140" t="s">
        <v>274</v>
      </c>
      <c r="P207"/>
      <c r="Q207" t="s">
        <v>224</v>
      </c>
      <c r="R207" s="255" t="s">
        <v>223</v>
      </c>
      <c r="S207" s="263" t="s">
        <v>3086</v>
      </c>
      <c r="T207" t="s">
        <v>1216</v>
      </c>
      <c r="U207" t="s">
        <v>1212</v>
      </c>
      <c r="V207">
        <v>0</v>
      </c>
      <c r="W207">
        <v>0</v>
      </c>
      <c r="X207">
        <v>0</v>
      </c>
      <c r="Y207">
        <v>1</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1</v>
      </c>
      <c r="AW207">
        <v>0</v>
      </c>
      <c r="AX207" s="141">
        <f t="shared" si="170"/>
        <v>2</v>
      </c>
      <c r="AY207" s="141">
        <f t="shared" si="171"/>
        <v>1</v>
      </c>
      <c r="AZ207">
        <f t="shared" si="172"/>
        <v>1</v>
      </c>
      <c r="BA207">
        <f t="shared" si="173"/>
        <v>0</v>
      </c>
      <c r="BB207">
        <f t="shared" si="174"/>
        <v>0</v>
      </c>
      <c r="BC207">
        <f t="shared" si="175"/>
        <v>1</v>
      </c>
      <c r="BD207">
        <f t="shared" si="176"/>
        <v>0</v>
      </c>
      <c r="BE207" t="str">
        <f t="array" ref="BE207">IF(AY207=1,INDEX($V$7:$AL$7,MATCH(TRUE,INDEX($V207:$AW207&lt;&gt;0,),0)),IF(AY207=0,INDEX($AM$7:$AW$7,MATCH(1,$AM207:$AW207,0)),IF(BF207="Multiple strategies","mixed drivers",IF(BF207="Supply chain","multiple supply","multiple silviculture"))))</f>
        <v xml:space="preserve">cutting intensity </v>
      </c>
      <c r="BF207" s="2" t="str" cm="1">
        <f t="array" ref="BF207">IF(COUNTIF(AZ207:BB207,"&lt;&gt;0")=1,INDEX($V$4:$AW$4,MATCH(TRUE,INDEX($V207:$AW207&lt;&gt;0,),0)),IF(COUNTIF(AZ207:BB207,"&lt;&gt;0")=0,INDEX($AM$4:$AW$4,MATCH(1,$AM207:$AW207,0)),"Multiple strategies"))</f>
        <v>Silviculture for removals</v>
      </c>
      <c r="BG207" s="1" t="s">
        <v>229</v>
      </c>
      <c r="BH207" t="s">
        <v>229</v>
      </c>
      <c r="BI207" s="264" t="s">
        <v>701</v>
      </c>
      <c r="BJ207" t="s">
        <v>1213</v>
      </c>
      <c r="BK207">
        <v>5.0343605295810514</v>
      </c>
      <c r="BL207">
        <v>5.6162990524021872</v>
      </c>
      <c r="BM207">
        <f t="shared" si="177"/>
        <v>1.1155933349234255</v>
      </c>
      <c r="BN207">
        <f t="shared" si="178"/>
        <v>0.58193852282113578</v>
      </c>
      <c r="BO207" s="143">
        <f t="shared" si="179"/>
        <v>581938.52282113582</v>
      </c>
      <c r="BP207" s="143" t="s">
        <v>232</v>
      </c>
      <c r="BQ207" s="310" t="s">
        <v>787</v>
      </c>
      <c r="BR207" s="152" t="s">
        <v>1214</v>
      </c>
      <c r="BS207" s="152">
        <v>1.6666666666666667</v>
      </c>
      <c r="BT207" s="152">
        <v>1.5434782608695652</v>
      </c>
      <c r="BU207" s="144">
        <f t="shared" si="180"/>
        <v>0.92608695652173911</v>
      </c>
      <c r="BV207">
        <f t="shared" si="181"/>
        <v>-0.12318840579710155</v>
      </c>
      <c r="BW207"/>
      <c r="BX207">
        <f t="shared" si="182"/>
        <v>-452101.44927536271</v>
      </c>
      <c r="BY207">
        <f t="shared" si="139"/>
        <v>-0.77688867731879008</v>
      </c>
      <c r="BZ207">
        <v>0</v>
      </c>
      <c r="CA207">
        <v>0</v>
      </c>
      <c r="CB207">
        <v>0</v>
      </c>
      <c r="CC207">
        <v>0</v>
      </c>
      <c r="CD207">
        <v>0</v>
      </c>
      <c r="CE207">
        <v>0</v>
      </c>
      <c r="CF207">
        <v>0</v>
      </c>
      <c r="CG207">
        <v>0</v>
      </c>
      <c r="CH207">
        <v>0</v>
      </c>
      <c r="CI207">
        <v>0</v>
      </c>
      <c r="CJ207">
        <v>0</v>
      </c>
      <c r="CK207">
        <v>0</v>
      </c>
      <c r="CL207">
        <v>0</v>
      </c>
      <c r="CM207">
        <v>0</v>
      </c>
      <c r="CN207" t="str">
        <f t="shared" si="183"/>
        <v>refOK</v>
      </c>
      <c r="CO207">
        <f t="shared" si="184"/>
        <v>5.0343605295810514</v>
      </c>
      <c r="CP207">
        <f t="shared" si="185"/>
        <v>5.6162990524021872</v>
      </c>
      <c r="CQ207">
        <f t="shared" si="186"/>
        <v>581938.52282113582</v>
      </c>
      <c r="CR207">
        <f t="shared" si="187"/>
        <v>1.6666666666666667</v>
      </c>
      <c r="CS207">
        <f t="shared" si="188"/>
        <v>1.5434782608695652</v>
      </c>
      <c r="CT207">
        <f t="shared" si="189"/>
        <v>-452101.44927536271</v>
      </c>
      <c r="CU207">
        <f t="shared" si="190"/>
        <v>-0.77688867731879008</v>
      </c>
      <c r="CV207" s="2">
        <f t="shared" si="191"/>
        <v>-7.3913043478260929E-2</v>
      </c>
      <c r="CW207" s="1" t="s">
        <v>1198</v>
      </c>
      <c r="CX207" t="str">
        <f t="shared" si="192"/>
        <v>reg</v>
      </c>
      <c r="CY207" t="s">
        <v>444</v>
      </c>
      <c r="CZ207"/>
      <c r="DA207"/>
      <c r="DB207">
        <v>100</v>
      </c>
      <c r="DC207" t="str">
        <f t="shared" si="193"/>
        <v>71-100</v>
      </c>
      <c r="DD207">
        <v>0</v>
      </c>
      <c r="DE207">
        <v>1</v>
      </c>
      <c r="DF207">
        <v>1</v>
      </c>
      <c r="DG207">
        <v>1</v>
      </c>
      <c r="DH207"/>
      <c r="DI207">
        <f t="shared" si="194"/>
        <v>3</v>
      </c>
      <c r="DJ207" t="str">
        <f t="shared" si="195"/>
        <v>mixedProduct</v>
      </c>
      <c r="DK207">
        <f t="shared" si="196"/>
        <v>0</v>
      </c>
      <c r="DL207" t="str">
        <f t="shared" si="197"/>
        <v>Energy</v>
      </c>
      <c r="DM207" t="str">
        <f t="shared" si="198"/>
        <v>Pulp/Paper</v>
      </c>
      <c r="DN207" t="str">
        <f t="shared" si="199"/>
        <v>Timber</v>
      </c>
      <c r="DO207">
        <v>1</v>
      </c>
      <c r="DP207">
        <v>0</v>
      </c>
      <c r="DQ207">
        <v>0</v>
      </c>
      <c r="DR207">
        <v>0</v>
      </c>
      <c r="DS207">
        <v>0</v>
      </c>
      <c r="DT207">
        <f t="shared" si="200"/>
        <v>1</v>
      </c>
      <c r="DU207" s="143" t="str">
        <f t="shared" si="201"/>
        <v>self-calculated DF</v>
      </c>
      <c r="DV207">
        <v>0</v>
      </c>
      <c r="DW207">
        <v>1</v>
      </c>
      <c r="DX207">
        <v>1</v>
      </c>
      <c r="DY207">
        <v>0</v>
      </c>
      <c r="DZ207">
        <v>0</v>
      </c>
      <c r="EA207" s="143">
        <v>1</v>
      </c>
      <c r="EB207">
        <v>0</v>
      </c>
      <c r="EC207">
        <v>0</v>
      </c>
      <c r="ED207">
        <v>0</v>
      </c>
      <c r="EE207">
        <v>0</v>
      </c>
      <c r="EF207">
        <v>1</v>
      </c>
      <c r="EG207">
        <v>1</v>
      </c>
      <c r="EH207">
        <v>0</v>
      </c>
      <c r="EI207" s="2">
        <v>0</v>
      </c>
      <c r="EJ207" s="1"/>
      <c r="EK207" t="str">
        <f t="shared" si="202"/>
        <v/>
      </c>
      <c r="EL207" t="str">
        <f t="shared" si="203"/>
        <v/>
      </c>
      <c r="EM207" s="2" t="str">
        <f t="shared" si="140"/>
        <v/>
      </c>
      <c r="EN207"/>
      <c r="EO207"/>
      <c r="EP207" t="str">
        <f>IF(ISNUMBER(BU207),IF(ABS(BU207-[3]QC_indicators!$B$2)&gt;3*[3]QC_indicators!$C$2,"C ratio",IF(ISNUMBER(BY207),IF(ABS(BY207-[3]QC_indicators!$B$1)&gt;3*[3]QC_indicators!$C$1,"DF","no"))),IF(ISNUMBER(BY207),IF(ABS(BY207-[3]QC_indicators!$B$1)&gt;3*[3]QC_indicators!$C$1,"DF","no")))</f>
        <v>no</v>
      </c>
      <c r="EQ207" t="s">
        <v>286</v>
      </c>
      <c r="ER207"/>
      <c r="ES207"/>
      <c r="ET207" s="264" t="s">
        <v>3087</v>
      </c>
      <c r="EU207"/>
    </row>
    <row r="208" spans="1:151" s="139" customFormat="1" ht="15" hidden="1" customHeight="1">
      <c r="A208" s="1" t="s">
        <v>1203</v>
      </c>
      <c r="B208" t="s">
        <v>1204</v>
      </c>
      <c r="C208" t="s">
        <v>1205</v>
      </c>
      <c r="D208" t="s">
        <v>1206</v>
      </c>
      <c r="E208" t="s">
        <v>1207</v>
      </c>
      <c r="F208" t="s">
        <v>1208</v>
      </c>
      <c r="G208" t="s">
        <v>1209</v>
      </c>
      <c r="H208"/>
      <c r="I208">
        <v>2006</v>
      </c>
      <c r="J208"/>
      <c r="K208" t="s">
        <v>1210</v>
      </c>
      <c r="L208"/>
      <c r="M208" t="str">
        <f t="shared" si="161"/>
        <v>Backeus_2006</v>
      </c>
      <c r="N208" t="s">
        <v>222</v>
      </c>
      <c r="O208" s="140" t="s">
        <v>274</v>
      </c>
      <c r="P208"/>
      <c r="Q208" t="s">
        <v>224</v>
      </c>
      <c r="R208" s="255" t="s">
        <v>223</v>
      </c>
      <c r="S208" s="263" t="s">
        <v>3086</v>
      </c>
      <c r="T208" t="s">
        <v>1217</v>
      </c>
      <c r="U208" t="s">
        <v>1212</v>
      </c>
      <c r="V208">
        <v>0</v>
      </c>
      <c r="W208">
        <v>0</v>
      </c>
      <c r="X208">
        <v>0</v>
      </c>
      <c r="Y208">
        <v>1</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1</v>
      </c>
      <c r="AW208">
        <v>0</v>
      </c>
      <c r="AX208" s="141">
        <f t="shared" si="170"/>
        <v>2</v>
      </c>
      <c r="AY208" s="141">
        <f t="shared" si="171"/>
        <v>1</v>
      </c>
      <c r="AZ208">
        <f t="shared" si="172"/>
        <v>1</v>
      </c>
      <c r="BA208">
        <f t="shared" si="173"/>
        <v>0</v>
      </c>
      <c r="BB208">
        <f t="shared" si="174"/>
        <v>0</v>
      </c>
      <c r="BC208">
        <f t="shared" si="175"/>
        <v>1</v>
      </c>
      <c r="BD208">
        <f t="shared" si="176"/>
        <v>0</v>
      </c>
      <c r="BE208" t="str">
        <f t="array" ref="BE208">IF(AY208=1,INDEX($V$7:$AL$7,MATCH(TRUE,INDEX($V208:$AW208&lt;&gt;0,),0)),IF(AY208=0,INDEX($AM$7:$AW$7,MATCH(1,$AM208:$AW208,0)),IF(BF208="Multiple strategies","mixed drivers",IF(BF208="Supply chain","multiple supply","multiple silviculture"))))</f>
        <v xml:space="preserve">cutting intensity </v>
      </c>
      <c r="BF208" s="2" t="str" cm="1">
        <f t="array" ref="BF208">IF(COUNTIF(AZ208:BB208,"&lt;&gt;0")=1,INDEX($V$4:$AW$4,MATCH(TRUE,INDEX($V208:$AW208&lt;&gt;0,),0)),IF(COUNTIF(AZ208:BB208,"&lt;&gt;0")=0,INDEX($AM$4:$AW$4,MATCH(1,$AM208:$AW208,0)),"Multiple strategies"))</f>
        <v>Silviculture for removals</v>
      </c>
      <c r="BG208" s="1" t="s">
        <v>229</v>
      </c>
      <c r="BH208" t="s">
        <v>229</v>
      </c>
      <c r="BI208" s="264" t="s">
        <v>701</v>
      </c>
      <c r="BJ208" t="s">
        <v>1213</v>
      </c>
      <c r="BK208">
        <v>1.8154092996757019</v>
      </c>
      <c r="BL208">
        <v>5.6162990524021872</v>
      </c>
      <c r="BM208">
        <f t="shared" si="177"/>
        <v>3.0936819886322398</v>
      </c>
      <c r="BN208">
        <f t="shared" si="178"/>
        <v>3.8008897527264853</v>
      </c>
      <c r="BO208" s="143">
        <f t="shared" si="179"/>
        <v>3800889.7527264855</v>
      </c>
      <c r="BP208" s="143" t="s">
        <v>232</v>
      </c>
      <c r="BQ208" s="310" t="s">
        <v>787</v>
      </c>
      <c r="BR208" s="152" t="s">
        <v>1214</v>
      </c>
      <c r="BS208" s="152">
        <v>1.98823529411764</v>
      </c>
      <c r="BT208" s="152">
        <v>1.47058823529411</v>
      </c>
      <c r="BU208" s="144">
        <f t="shared" si="180"/>
        <v>0.73964497041419996</v>
      </c>
      <c r="BV208">
        <f t="shared" si="181"/>
        <v>-0.51764705882353002</v>
      </c>
      <c r="BW208"/>
      <c r="BX208">
        <f t="shared" si="182"/>
        <v>-1899764.7058823551</v>
      </c>
      <c r="BY208">
        <f t="shared" si="139"/>
        <v>-0.49982104966859414</v>
      </c>
      <c r="BZ208">
        <v>0</v>
      </c>
      <c r="CA208">
        <v>0</v>
      </c>
      <c r="CB208">
        <v>0</v>
      </c>
      <c r="CC208">
        <v>0</v>
      </c>
      <c r="CD208">
        <v>0</v>
      </c>
      <c r="CE208">
        <v>0</v>
      </c>
      <c r="CF208">
        <v>0</v>
      </c>
      <c r="CG208">
        <v>0</v>
      </c>
      <c r="CH208">
        <v>0</v>
      </c>
      <c r="CI208">
        <v>0</v>
      </c>
      <c r="CJ208">
        <v>0</v>
      </c>
      <c r="CK208">
        <v>0</v>
      </c>
      <c r="CL208">
        <v>0</v>
      </c>
      <c r="CM208">
        <v>0</v>
      </c>
      <c r="CN208" t="str">
        <f t="shared" si="183"/>
        <v>refOK</v>
      </c>
      <c r="CO208">
        <f t="shared" si="184"/>
        <v>1.8154092996757019</v>
      </c>
      <c r="CP208">
        <f t="shared" si="185"/>
        <v>5.6162990524021872</v>
      </c>
      <c r="CQ208">
        <f t="shared" si="186"/>
        <v>3800889.7527264855</v>
      </c>
      <c r="CR208">
        <f t="shared" si="187"/>
        <v>1.98823529411764</v>
      </c>
      <c r="CS208">
        <f t="shared" si="188"/>
        <v>1.47058823529411</v>
      </c>
      <c r="CT208">
        <f t="shared" si="189"/>
        <v>-1899764.7058823551</v>
      </c>
      <c r="CU208">
        <f t="shared" si="190"/>
        <v>-0.49982104966859414</v>
      </c>
      <c r="CV208" s="2">
        <f t="shared" si="191"/>
        <v>-0.26035502958580004</v>
      </c>
      <c r="CW208" s="1" t="s">
        <v>1198</v>
      </c>
      <c r="CX208" t="str">
        <f t="shared" si="192"/>
        <v>reg</v>
      </c>
      <c r="CY208" t="s">
        <v>444</v>
      </c>
      <c r="CZ208"/>
      <c r="DA208"/>
      <c r="DB208">
        <v>100</v>
      </c>
      <c r="DC208" t="str">
        <f t="shared" si="193"/>
        <v>71-100</v>
      </c>
      <c r="DD208">
        <v>0</v>
      </c>
      <c r="DE208">
        <v>1</v>
      </c>
      <c r="DF208">
        <v>1</v>
      </c>
      <c r="DG208">
        <v>1</v>
      </c>
      <c r="DH208"/>
      <c r="DI208">
        <f t="shared" si="194"/>
        <v>3</v>
      </c>
      <c r="DJ208" t="str">
        <f t="shared" si="195"/>
        <v>mixedProduct</v>
      </c>
      <c r="DK208">
        <f t="shared" si="196"/>
        <v>0</v>
      </c>
      <c r="DL208" t="str">
        <f t="shared" si="197"/>
        <v>Energy</v>
      </c>
      <c r="DM208" t="str">
        <f t="shared" si="198"/>
        <v>Pulp/Paper</v>
      </c>
      <c r="DN208" t="str">
        <f t="shared" si="199"/>
        <v>Timber</v>
      </c>
      <c r="DO208">
        <v>0</v>
      </c>
      <c r="DP208">
        <v>0</v>
      </c>
      <c r="DQ208">
        <v>0</v>
      </c>
      <c r="DR208">
        <v>0</v>
      </c>
      <c r="DS208">
        <v>0</v>
      </c>
      <c r="DT208">
        <f t="shared" si="200"/>
        <v>0</v>
      </c>
      <c r="DU208" s="143" t="str">
        <f t="shared" si="201"/>
        <v>explicit C balance</v>
      </c>
      <c r="DV208">
        <v>0</v>
      </c>
      <c r="DW208">
        <v>1</v>
      </c>
      <c r="DX208">
        <v>1</v>
      </c>
      <c r="DY208">
        <v>0</v>
      </c>
      <c r="DZ208">
        <v>0</v>
      </c>
      <c r="EA208" s="143">
        <v>0</v>
      </c>
      <c r="EB208">
        <v>0</v>
      </c>
      <c r="EC208">
        <v>0</v>
      </c>
      <c r="ED208">
        <v>0</v>
      </c>
      <c r="EE208">
        <v>0</v>
      </c>
      <c r="EF208">
        <v>1</v>
      </c>
      <c r="EG208">
        <v>1</v>
      </c>
      <c r="EH208">
        <v>0</v>
      </c>
      <c r="EI208" s="2">
        <v>0</v>
      </c>
      <c r="EJ208" s="1"/>
      <c r="EK208" t="str">
        <f t="shared" si="202"/>
        <v/>
      </c>
      <c r="EL208" t="str">
        <f t="shared" si="203"/>
        <v/>
      </c>
      <c r="EM208" s="2" t="str">
        <f t="shared" si="140"/>
        <v/>
      </c>
      <c r="EN208"/>
      <c r="EO208"/>
      <c r="EP208" t="str">
        <f>IF(ISNUMBER(BU208),IF(ABS(BU208-[3]QC_indicators!$B$2)&gt;3*[3]QC_indicators!$C$2,"C ratio",IF(ISNUMBER(BY208),IF(ABS(BY208-[3]QC_indicators!$B$1)&gt;3*[3]QC_indicators!$C$1,"DF","no"))),IF(ISNUMBER(BY208),IF(ABS(BY208-[3]QC_indicators!$B$1)&gt;3*[3]QC_indicators!$C$1,"DF","no")))</f>
        <v>no</v>
      </c>
      <c r="EQ208" t="s">
        <v>286</v>
      </c>
      <c r="ER208"/>
      <c r="ES208"/>
      <c r="ET208" s="264" t="s">
        <v>3087</v>
      </c>
      <c r="EU208"/>
    </row>
    <row r="209" spans="1:151" s="139" customFormat="1" ht="15" hidden="1" customHeight="1">
      <c r="A209" s="1" t="s">
        <v>1203</v>
      </c>
      <c r="B209" t="s">
        <v>1204</v>
      </c>
      <c r="C209" t="s">
        <v>1205</v>
      </c>
      <c r="D209" t="s">
        <v>1206</v>
      </c>
      <c r="E209" t="s">
        <v>1207</v>
      </c>
      <c r="F209" t="s">
        <v>1208</v>
      </c>
      <c r="G209" t="s">
        <v>1209</v>
      </c>
      <c r="H209"/>
      <c r="I209">
        <v>2006</v>
      </c>
      <c r="J209"/>
      <c r="K209" t="s">
        <v>1210</v>
      </c>
      <c r="L209"/>
      <c r="M209" t="str">
        <f t="shared" si="161"/>
        <v>Backeus_2006</v>
      </c>
      <c r="N209" t="s">
        <v>222</v>
      </c>
      <c r="O209" s="140" t="s">
        <v>274</v>
      </c>
      <c r="P209"/>
      <c r="Q209" t="s">
        <v>224</v>
      </c>
      <c r="R209" s="255" t="s">
        <v>223</v>
      </c>
      <c r="S209" s="263" t="s">
        <v>3086</v>
      </c>
      <c r="T209" t="s">
        <v>1217</v>
      </c>
      <c r="U209" t="s">
        <v>1212</v>
      </c>
      <c r="V209">
        <v>0</v>
      </c>
      <c r="W209">
        <v>0</v>
      </c>
      <c r="X209">
        <v>0</v>
      </c>
      <c r="Y209">
        <v>1</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1</v>
      </c>
      <c r="AW209">
        <v>0</v>
      </c>
      <c r="AX209" s="141">
        <f t="shared" si="170"/>
        <v>2</v>
      </c>
      <c r="AY209" s="141">
        <f t="shared" si="171"/>
        <v>1</v>
      </c>
      <c r="AZ209">
        <f t="shared" si="172"/>
        <v>1</v>
      </c>
      <c r="BA209">
        <f t="shared" si="173"/>
        <v>0</v>
      </c>
      <c r="BB209">
        <f t="shared" si="174"/>
        <v>0</v>
      </c>
      <c r="BC209">
        <f t="shared" si="175"/>
        <v>1</v>
      </c>
      <c r="BD209">
        <f t="shared" si="176"/>
        <v>0</v>
      </c>
      <c r="BE209" t="str">
        <f t="array" ref="BE209">IF(AY209=1,INDEX($V$7:$AL$7,MATCH(TRUE,INDEX($V209:$AW209&lt;&gt;0,),0)),IF(AY209=0,INDEX($AM$7:$AW$7,MATCH(1,$AM209:$AW209,0)),IF(BF209="Multiple strategies","mixed drivers",IF(BF209="Supply chain","multiple supply","multiple silviculture"))))</f>
        <v xml:space="preserve">cutting intensity </v>
      </c>
      <c r="BF209" s="2" t="str" cm="1">
        <f t="array" ref="BF209">IF(COUNTIF(AZ209:BB209,"&lt;&gt;0")=1,INDEX($V$4:$AW$4,MATCH(TRUE,INDEX($V209:$AW209&lt;&gt;0,),0)),IF(COUNTIF(AZ209:BB209,"&lt;&gt;0")=0,INDEX($AM$4:$AW$4,MATCH(1,$AM209:$AW209,0)),"Multiple strategies"))</f>
        <v>Silviculture for removals</v>
      </c>
      <c r="BG209" s="1" t="s">
        <v>229</v>
      </c>
      <c r="BH209" t="s">
        <v>229</v>
      </c>
      <c r="BI209" s="264" t="s">
        <v>701</v>
      </c>
      <c r="BJ209" t="s">
        <v>1213</v>
      </c>
      <c r="BK209">
        <v>1.8154092996757019</v>
      </c>
      <c r="BL209">
        <v>5.6162990524021872</v>
      </c>
      <c r="BM209">
        <f t="shared" si="177"/>
        <v>3.0936819886322398</v>
      </c>
      <c r="BN209">
        <f t="shared" si="178"/>
        <v>3.8008897527264853</v>
      </c>
      <c r="BO209" s="143">
        <f t="shared" si="179"/>
        <v>3800889.7527264855</v>
      </c>
      <c r="BP209" s="143" t="s">
        <v>232</v>
      </c>
      <c r="BQ209" s="310" t="s">
        <v>787</v>
      </c>
      <c r="BR209" s="152" t="s">
        <v>1214</v>
      </c>
      <c r="BS209" s="152">
        <v>2.0289855072463769</v>
      </c>
      <c r="BT209" s="152">
        <v>1.5434782608695652</v>
      </c>
      <c r="BU209" s="144">
        <f t="shared" si="180"/>
        <v>0.76071428571428568</v>
      </c>
      <c r="BV209">
        <f t="shared" si="181"/>
        <v>-0.48550724637681175</v>
      </c>
      <c r="BW209"/>
      <c r="BX209">
        <f t="shared" si="182"/>
        <v>-1781811.5942028991</v>
      </c>
      <c r="BY209">
        <f t="shared" si="139"/>
        <v>-0.46878802336341258</v>
      </c>
      <c r="BZ209">
        <v>0</v>
      </c>
      <c r="CA209">
        <v>0</v>
      </c>
      <c r="CB209">
        <v>0</v>
      </c>
      <c r="CC209">
        <v>0</v>
      </c>
      <c r="CD209">
        <v>0</v>
      </c>
      <c r="CE209">
        <v>0</v>
      </c>
      <c r="CF209">
        <v>0</v>
      </c>
      <c r="CG209">
        <v>0</v>
      </c>
      <c r="CH209">
        <v>0</v>
      </c>
      <c r="CI209">
        <v>0</v>
      </c>
      <c r="CJ209">
        <v>0</v>
      </c>
      <c r="CK209">
        <v>0</v>
      </c>
      <c r="CL209">
        <v>0</v>
      </c>
      <c r="CM209">
        <v>0</v>
      </c>
      <c r="CN209" t="str">
        <f t="shared" si="183"/>
        <v>refOK</v>
      </c>
      <c r="CO209">
        <f t="shared" si="184"/>
        <v>1.8154092996757019</v>
      </c>
      <c r="CP209">
        <f t="shared" si="185"/>
        <v>5.6162990524021872</v>
      </c>
      <c r="CQ209">
        <f t="shared" si="186"/>
        <v>3800889.7527264855</v>
      </c>
      <c r="CR209">
        <f t="shared" si="187"/>
        <v>2.0289855072463769</v>
      </c>
      <c r="CS209">
        <f t="shared" si="188"/>
        <v>1.5434782608695652</v>
      </c>
      <c r="CT209">
        <f t="shared" si="189"/>
        <v>-1781811.5942028991</v>
      </c>
      <c r="CU209">
        <f t="shared" si="190"/>
        <v>-0.46878802336341258</v>
      </c>
      <c r="CV209" s="2">
        <f t="shared" si="191"/>
        <v>-0.23928571428571435</v>
      </c>
      <c r="CW209" s="1" t="s">
        <v>1198</v>
      </c>
      <c r="CX209" t="str">
        <f t="shared" si="192"/>
        <v>reg</v>
      </c>
      <c r="CY209" t="s">
        <v>444</v>
      </c>
      <c r="CZ209"/>
      <c r="DA209"/>
      <c r="DB209">
        <v>100</v>
      </c>
      <c r="DC209" t="str">
        <f t="shared" si="193"/>
        <v>71-100</v>
      </c>
      <c r="DD209">
        <v>0</v>
      </c>
      <c r="DE209">
        <v>1</v>
      </c>
      <c r="DF209">
        <v>1</v>
      </c>
      <c r="DG209">
        <v>1</v>
      </c>
      <c r="DH209"/>
      <c r="DI209">
        <f t="shared" si="194"/>
        <v>3</v>
      </c>
      <c r="DJ209" t="str">
        <f t="shared" si="195"/>
        <v>mixedProduct</v>
      </c>
      <c r="DK209">
        <f t="shared" si="196"/>
        <v>0</v>
      </c>
      <c r="DL209" t="str">
        <f t="shared" si="197"/>
        <v>Energy</v>
      </c>
      <c r="DM209" t="str">
        <f t="shared" si="198"/>
        <v>Pulp/Paper</v>
      </c>
      <c r="DN209" t="str">
        <f t="shared" si="199"/>
        <v>Timber</v>
      </c>
      <c r="DO209">
        <v>1</v>
      </c>
      <c r="DP209">
        <v>0</v>
      </c>
      <c r="DQ209">
        <v>0</v>
      </c>
      <c r="DR209">
        <v>0</v>
      </c>
      <c r="DS209">
        <v>0</v>
      </c>
      <c r="DT209">
        <f t="shared" si="200"/>
        <v>1</v>
      </c>
      <c r="DU209" s="143" t="str">
        <f t="shared" si="201"/>
        <v>self-calculated DF</v>
      </c>
      <c r="DV209">
        <v>0</v>
      </c>
      <c r="DW209">
        <v>1</v>
      </c>
      <c r="DX209">
        <v>1</v>
      </c>
      <c r="DY209">
        <v>0</v>
      </c>
      <c r="DZ209">
        <v>0</v>
      </c>
      <c r="EA209" s="143">
        <v>1</v>
      </c>
      <c r="EB209">
        <v>0</v>
      </c>
      <c r="EC209">
        <v>0</v>
      </c>
      <c r="ED209">
        <v>0</v>
      </c>
      <c r="EE209">
        <v>0</v>
      </c>
      <c r="EF209">
        <v>1</v>
      </c>
      <c r="EG209">
        <v>1</v>
      </c>
      <c r="EH209">
        <v>0</v>
      </c>
      <c r="EI209" s="2">
        <v>0</v>
      </c>
      <c r="EJ209" s="1"/>
      <c r="EK209" t="str">
        <f t="shared" si="202"/>
        <v/>
      </c>
      <c r="EL209" t="str">
        <f t="shared" si="203"/>
        <v/>
      </c>
      <c r="EM209" s="2" t="str">
        <f t="shared" si="140"/>
        <v/>
      </c>
      <c r="EN209"/>
      <c r="EO209"/>
      <c r="EP209" t="str">
        <f>IF(ISNUMBER(BU209),IF(ABS(BU209-[3]QC_indicators!$B$2)&gt;3*[3]QC_indicators!$C$2,"C ratio",IF(ISNUMBER(BY209),IF(ABS(BY209-[3]QC_indicators!$B$1)&gt;3*[3]QC_indicators!$C$1,"DF","no"))),IF(ISNUMBER(BY209),IF(ABS(BY209-[3]QC_indicators!$B$1)&gt;3*[3]QC_indicators!$C$1,"DF","no")))</f>
        <v>no</v>
      </c>
      <c r="EQ209" t="s">
        <v>286</v>
      </c>
      <c r="ER209"/>
      <c r="ES209"/>
      <c r="ET209" s="264" t="s">
        <v>3087</v>
      </c>
      <c r="EU209"/>
    </row>
    <row r="210" spans="1:151" s="139" customFormat="1" ht="15" hidden="1" customHeight="1">
      <c r="A210" s="1" t="s">
        <v>1203</v>
      </c>
      <c r="B210" t="s">
        <v>1204</v>
      </c>
      <c r="C210" t="s">
        <v>1205</v>
      </c>
      <c r="D210" t="s">
        <v>1206</v>
      </c>
      <c r="E210" t="s">
        <v>1207</v>
      </c>
      <c r="F210" t="s">
        <v>1208</v>
      </c>
      <c r="G210" t="s">
        <v>1209</v>
      </c>
      <c r="H210"/>
      <c r="I210">
        <v>2006</v>
      </c>
      <c r="J210"/>
      <c r="K210" t="s">
        <v>1210</v>
      </c>
      <c r="L210"/>
      <c r="M210" t="str">
        <f t="shared" si="161"/>
        <v>Backeus_2006</v>
      </c>
      <c r="N210" t="s">
        <v>222</v>
      </c>
      <c r="O210" s="140" t="s">
        <v>274</v>
      </c>
      <c r="P210"/>
      <c r="Q210" t="s">
        <v>224</v>
      </c>
      <c r="R210" s="255" t="s">
        <v>223</v>
      </c>
      <c r="S210" s="263" t="s">
        <v>3086</v>
      </c>
      <c r="T210" t="s">
        <v>1218</v>
      </c>
      <c r="U210" t="s">
        <v>1212</v>
      </c>
      <c r="V210">
        <v>0</v>
      </c>
      <c r="W210">
        <v>0</v>
      </c>
      <c r="X210">
        <v>0</v>
      </c>
      <c r="Y210">
        <v>1</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1</v>
      </c>
      <c r="AW210">
        <v>0</v>
      </c>
      <c r="AX210" s="141">
        <f t="shared" si="170"/>
        <v>2</v>
      </c>
      <c r="AY210" s="141">
        <f t="shared" si="171"/>
        <v>1</v>
      </c>
      <c r="AZ210">
        <f t="shared" si="172"/>
        <v>1</v>
      </c>
      <c r="BA210">
        <f t="shared" si="173"/>
        <v>0</v>
      </c>
      <c r="BB210">
        <f t="shared" si="174"/>
        <v>0</v>
      </c>
      <c r="BC210">
        <f t="shared" si="175"/>
        <v>1</v>
      </c>
      <c r="BD210">
        <f t="shared" si="176"/>
        <v>0</v>
      </c>
      <c r="BE210" t="str">
        <f t="array" ref="BE210">IF(AY210=1,INDEX($V$7:$AL$7,MATCH(TRUE,INDEX($V210:$AW210&lt;&gt;0,),0)),IF(AY210=0,INDEX($AM$7:$AW$7,MATCH(1,$AM210:$AW210,0)),IF(BF210="Multiple strategies","mixed drivers",IF(BF210="Supply chain","multiple supply","multiple silviculture"))))</f>
        <v xml:space="preserve">cutting intensity </v>
      </c>
      <c r="BF210" s="2" t="str" cm="1">
        <f t="array" ref="BF210">IF(COUNTIF(AZ210:BB210,"&lt;&gt;0")=1,INDEX($V$4:$AW$4,MATCH(TRUE,INDEX($V210:$AW210&lt;&gt;0,),0)),IF(COUNTIF(AZ210:BB210,"&lt;&gt;0")=0,INDEX($AM$4:$AW$4,MATCH(1,$AM210:$AW210,0)),"Multiple strategies"))</f>
        <v>Silviculture for removals</v>
      </c>
      <c r="BG210" s="1" t="s">
        <v>229</v>
      </c>
      <c r="BH210" t="s">
        <v>229</v>
      </c>
      <c r="BI210" s="264" t="s">
        <v>701</v>
      </c>
      <c r="BJ210" t="s">
        <v>1213</v>
      </c>
      <c r="BK210">
        <v>0</v>
      </c>
      <c r="BL210">
        <v>5.6162990524021872</v>
      </c>
      <c r="BM210"/>
      <c r="BN210">
        <f t="shared" si="178"/>
        <v>5.6162990524021872</v>
      </c>
      <c r="BO210" s="143">
        <f t="shared" si="179"/>
        <v>5616299.0524021871</v>
      </c>
      <c r="BP210" s="143" t="s">
        <v>232</v>
      </c>
      <c r="BQ210" s="143" t="s">
        <v>787</v>
      </c>
      <c r="BR210" s="152" t="s">
        <v>1214</v>
      </c>
      <c r="BS210" s="152">
        <v>2.04</v>
      </c>
      <c r="BT210" s="152">
        <v>1.47058823529411</v>
      </c>
      <c r="BU210" s="144">
        <f>IFERROR(BT210/BS209,"")</f>
        <v>0.72478991596638276</v>
      </c>
      <c r="BV210">
        <f t="shared" si="181"/>
        <v>-0.56941176470589006</v>
      </c>
      <c r="BW210"/>
      <c r="BX210">
        <f t="shared" si="182"/>
        <v>-2089741.1764706166</v>
      </c>
      <c r="BY210">
        <f t="shared" si="139"/>
        <v>-0.37208509678215917</v>
      </c>
      <c r="BZ210">
        <v>0</v>
      </c>
      <c r="CA210">
        <v>0</v>
      </c>
      <c r="CB210">
        <v>0</v>
      </c>
      <c r="CC210">
        <v>0</v>
      </c>
      <c r="CD210">
        <v>0</v>
      </c>
      <c r="CE210">
        <v>0</v>
      </c>
      <c r="CF210">
        <v>0</v>
      </c>
      <c r="CG210">
        <v>0</v>
      </c>
      <c r="CH210">
        <v>0</v>
      </c>
      <c r="CI210">
        <v>0</v>
      </c>
      <c r="CJ210">
        <v>0</v>
      </c>
      <c r="CK210">
        <v>0</v>
      </c>
      <c r="CL210">
        <v>0</v>
      </c>
      <c r="CM210">
        <v>0</v>
      </c>
      <c r="CN210" t="str">
        <f t="shared" si="183"/>
        <v>refOK</v>
      </c>
      <c r="CO210">
        <f t="shared" si="184"/>
        <v>0</v>
      </c>
      <c r="CP210">
        <f t="shared" si="185"/>
        <v>5.6162990524021872</v>
      </c>
      <c r="CQ210">
        <f t="shared" si="186"/>
        <v>5616299.0524021871</v>
      </c>
      <c r="CR210">
        <f>IF($CN210="refOK",$BS209,$BT210)*IF($BP210="Emissions positive",-1,1)</f>
        <v>2.0289855072463769</v>
      </c>
      <c r="CS210">
        <f>IF($CN210="refOK",$BT210,$BS209)*IF($BP210="Emissions positive",-1,1)</f>
        <v>1.47058823529411</v>
      </c>
      <c r="CT210">
        <f t="shared" si="189"/>
        <v>-2089741.1764706166</v>
      </c>
      <c r="CU210">
        <f t="shared" si="190"/>
        <v>-0.37208509678215917</v>
      </c>
      <c r="CV210" s="2">
        <f t="shared" si="191"/>
        <v>-0.2752100840336173</v>
      </c>
      <c r="CW210" s="1" t="s">
        <v>1198</v>
      </c>
      <c r="CX210" t="str">
        <f t="shared" si="192"/>
        <v>reg</v>
      </c>
      <c r="CY210" t="s">
        <v>444</v>
      </c>
      <c r="CZ210"/>
      <c r="DA210"/>
      <c r="DB210">
        <v>100</v>
      </c>
      <c r="DC210" t="str">
        <f t="shared" si="193"/>
        <v>71-100</v>
      </c>
      <c r="DD210">
        <v>0</v>
      </c>
      <c r="DE210">
        <v>1</v>
      </c>
      <c r="DF210">
        <v>1</v>
      </c>
      <c r="DG210">
        <v>1</v>
      </c>
      <c r="DH210"/>
      <c r="DI210">
        <f t="shared" si="194"/>
        <v>3</v>
      </c>
      <c r="DJ210" t="str">
        <f t="shared" si="195"/>
        <v>mixedProduct</v>
      </c>
      <c r="DK210">
        <f t="shared" si="196"/>
        <v>0</v>
      </c>
      <c r="DL210" t="str">
        <f t="shared" si="197"/>
        <v>Energy</v>
      </c>
      <c r="DM210" t="str">
        <f t="shared" si="198"/>
        <v>Pulp/Paper</v>
      </c>
      <c r="DN210" t="str">
        <f t="shared" si="199"/>
        <v>Timber</v>
      </c>
      <c r="DO210">
        <v>0</v>
      </c>
      <c r="DP210">
        <v>0</v>
      </c>
      <c r="DQ210">
        <v>0</v>
      </c>
      <c r="DR210">
        <v>0</v>
      </c>
      <c r="DS210">
        <v>0</v>
      </c>
      <c r="DT210">
        <f t="shared" si="200"/>
        <v>0</v>
      </c>
      <c r="DU210" s="143" t="str">
        <f t="shared" si="201"/>
        <v>explicit C balance</v>
      </c>
      <c r="DV210">
        <v>0</v>
      </c>
      <c r="DW210">
        <v>1</v>
      </c>
      <c r="DX210">
        <v>1</v>
      </c>
      <c r="DY210">
        <v>0</v>
      </c>
      <c r="DZ210">
        <v>0</v>
      </c>
      <c r="EA210" s="143">
        <v>0</v>
      </c>
      <c r="EB210">
        <v>0</v>
      </c>
      <c r="EC210">
        <v>0</v>
      </c>
      <c r="ED210">
        <v>0</v>
      </c>
      <c r="EE210">
        <v>0</v>
      </c>
      <c r="EF210">
        <v>1</v>
      </c>
      <c r="EG210">
        <v>1</v>
      </c>
      <c r="EH210">
        <v>0</v>
      </c>
      <c r="EI210" s="2">
        <v>0</v>
      </c>
      <c r="EJ210" s="1"/>
      <c r="EK210" t="str">
        <f t="shared" si="202"/>
        <v/>
      </c>
      <c r="EL210" t="str">
        <f t="shared" si="203"/>
        <v/>
      </c>
      <c r="EM210" s="2" t="str">
        <f t="shared" si="140"/>
        <v/>
      </c>
      <c r="EN210"/>
      <c r="EO210"/>
      <c r="EP210" t="str">
        <f>IF(ISNUMBER(BU210),IF(ABS(BU210-[3]QC_indicators!$B$2)&gt;3*[3]QC_indicators!$C$2,"C ratio",IF(ISNUMBER(BY210),IF(ABS(BY210-[3]QC_indicators!$B$1)&gt;3*[3]QC_indicators!$C$1,"DF","no"))),IF(ISNUMBER(BY210),IF(ABS(BY210-[3]QC_indicators!$B$1)&gt;3*[3]QC_indicators!$C$1,"DF","no")))</f>
        <v>no</v>
      </c>
      <c r="EQ210" t="s">
        <v>286</v>
      </c>
      <c r="ER210"/>
      <c r="ES210"/>
      <c r="ET210" s="264" t="s">
        <v>3087</v>
      </c>
      <c r="EU210"/>
    </row>
    <row r="211" spans="1:151" s="139" customFormat="1" ht="15" hidden="1" customHeight="1">
      <c r="A211" s="1" t="s">
        <v>1203</v>
      </c>
      <c r="B211" t="s">
        <v>1204</v>
      </c>
      <c r="C211" t="s">
        <v>1205</v>
      </c>
      <c r="D211" t="s">
        <v>1206</v>
      </c>
      <c r="E211" t="s">
        <v>1207</v>
      </c>
      <c r="F211" t="s">
        <v>1208</v>
      </c>
      <c r="G211" t="s">
        <v>1209</v>
      </c>
      <c r="H211"/>
      <c r="I211">
        <v>2006</v>
      </c>
      <c r="J211"/>
      <c r="K211" t="s">
        <v>1210</v>
      </c>
      <c r="L211"/>
      <c r="M211" t="str">
        <f t="shared" si="161"/>
        <v>Backeus_2006</v>
      </c>
      <c r="N211" t="s">
        <v>222</v>
      </c>
      <c r="O211" s="140" t="s">
        <v>274</v>
      </c>
      <c r="P211"/>
      <c r="Q211" t="s">
        <v>224</v>
      </c>
      <c r="R211" s="255" t="s">
        <v>223</v>
      </c>
      <c r="S211" s="263" t="s">
        <v>3086</v>
      </c>
      <c r="T211" t="s">
        <v>1218</v>
      </c>
      <c r="U211" t="s">
        <v>1212</v>
      </c>
      <c r="V211">
        <v>0</v>
      </c>
      <c r="W211">
        <v>0</v>
      </c>
      <c r="X211">
        <v>0</v>
      </c>
      <c r="Y211">
        <v>1</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1</v>
      </c>
      <c r="AW211">
        <v>0</v>
      </c>
      <c r="AX211" s="141">
        <f t="shared" si="170"/>
        <v>2</v>
      </c>
      <c r="AY211" s="141">
        <f t="shared" si="171"/>
        <v>1</v>
      </c>
      <c r="AZ211">
        <f t="shared" si="172"/>
        <v>1</v>
      </c>
      <c r="BA211">
        <f t="shared" si="173"/>
        <v>0</v>
      </c>
      <c r="BB211">
        <f t="shared" si="174"/>
        <v>0</v>
      </c>
      <c r="BC211">
        <f t="shared" si="175"/>
        <v>1</v>
      </c>
      <c r="BD211">
        <f t="shared" si="176"/>
        <v>0</v>
      </c>
      <c r="BE211" t="str">
        <f t="array" ref="BE211">IF(AY211=1,INDEX($V$7:$AL$7,MATCH(TRUE,INDEX($V211:$AW211&lt;&gt;0,),0)),IF(AY211=0,INDEX($AM$7:$AW$7,MATCH(1,$AM211:$AW211,0)),IF(BF211="Multiple strategies","mixed drivers",IF(BF211="Supply chain","multiple supply","multiple silviculture"))))</f>
        <v xml:space="preserve">cutting intensity </v>
      </c>
      <c r="BF211" s="2" t="str" cm="1">
        <f t="array" ref="BF211">IF(COUNTIF(AZ211:BB211,"&lt;&gt;0")=1,INDEX($V$4:$AW$4,MATCH(TRUE,INDEX($V211:$AW211&lt;&gt;0,),0)),IF(COUNTIF(AZ211:BB211,"&lt;&gt;0")=0,INDEX($AM$4:$AW$4,MATCH(1,$AM211:$AW211,0)),"Multiple strategies"))</f>
        <v>Silviculture for removals</v>
      </c>
      <c r="BG211" s="1" t="s">
        <v>229</v>
      </c>
      <c r="BH211" t="s">
        <v>229</v>
      </c>
      <c r="BI211" s="264" t="s">
        <v>701</v>
      </c>
      <c r="BJ211" t="s">
        <v>1213</v>
      </c>
      <c r="BK211">
        <v>0</v>
      </c>
      <c r="BL211">
        <v>5.6162990524021872</v>
      </c>
      <c r="BM211"/>
      <c r="BN211">
        <f t="shared" si="178"/>
        <v>5.6162990524021872</v>
      </c>
      <c r="BO211" s="143">
        <f t="shared" si="179"/>
        <v>5616299.0524021871</v>
      </c>
      <c r="BP211" s="143" t="s">
        <v>232</v>
      </c>
      <c r="BQ211" s="143" t="s">
        <v>787</v>
      </c>
      <c r="BR211" s="152" t="s">
        <v>1214</v>
      </c>
      <c r="BS211" s="152">
        <v>2.0588235294117601</v>
      </c>
      <c r="BT211" s="152">
        <v>1.5434782608695652</v>
      </c>
      <c r="BU211" s="144">
        <f>IFERROR(BT211/BS211,"")</f>
        <v>0.74968944099379053</v>
      </c>
      <c r="BV211">
        <f t="shared" si="181"/>
        <v>-0.51534526854219487</v>
      </c>
      <c r="BW211"/>
      <c r="BX211">
        <f t="shared" si="182"/>
        <v>-1891317.1355498552</v>
      </c>
      <c r="BY211">
        <f t="shared" si="139"/>
        <v>-0.33675506199067273</v>
      </c>
      <c r="BZ211">
        <v>0</v>
      </c>
      <c r="CA211">
        <v>0</v>
      </c>
      <c r="CB211">
        <v>0</v>
      </c>
      <c r="CC211">
        <v>0</v>
      </c>
      <c r="CD211">
        <v>0</v>
      </c>
      <c r="CE211">
        <v>0</v>
      </c>
      <c r="CF211">
        <v>0</v>
      </c>
      <c r="CG211">
        <v>0</v>
      </c>
      <c r="CH211">
        <v>0</v>
      </c>
      <c r="CI211">
        <v>0</v>
      </c>
      <c r="CJ211">
        <v>0</v>
      </c>
      <c r="CK211">
        <v>0</v>
      </c>
      <c r="CL211">
        <v>0</v>
      </c>
      <c r="CM211">
        <v>0</v>
      </c>
      <c r="CN211" t="str">
        <f t="shared" si="183"/>
        <v>refOK</v>
      </c>
      <c r="CO211">
        <f t="shared" si="184"/>
        <v>0</v>
      </c>
      <c r="CP211">
        <f t="shared" si="185"/>
        <v>5.6162990524021872</v>
      </c>
      <c r="CQ211">
        <f t="shared" si="186"/>
        <v>5616299.0524021871</v>
      </c>
      <c r="CR211" t="e">
        <f>IF($CN211="refOK",#REF!,$BT211)*IF($BP211="Emissions positive",-1,1)</f>
        <v>#REF!</v>
      </c>
      <c r="CS211">
        <f>IF($CN211="refOK",$BT211,#REF!)*IF($BP211="Emissions positive",-1,1)</f>
        <v>1.5434782608695652</v>
      </c>
      <c r="CT211">
        <f t="shared" si="189"/>
        <v>-1891317.1355498552</v>
      </c>
      <c r="CU211">
        <f t="shared" si="190"/>
        <v>-0.33675506199067273</v>
      </c>
      <c r="CV211" s="2" t="str">
        <f t="shared" si="191"/>
        <v/>
      </c>
      <c r="CW211" s="1" t="s">
        <v>1198</v>
      </c>
      <c r="CX211" t="str">
        <f t="shared" si="192"/>
        <v>reg</v>
      </c>
      <c r="CY211" t="s">
        <v>444</v>
      </c>
      <c r="CZ211"/>
      <c r="DA211"/>
      <c r="DB211">
        <v>100</v>
      </c>
      <c r="DC211" t="str">
        <f t="shared" si="193"/>
        <v>71-100</v>
      </c>
      <c r="DD211">
        <v>0</v>
      </c>
      <c r="DE211">
        <v>1</v>
      </c>
      <c r="DF211">
        <v>1</v>
      </c>
      <c r="DG211">
        <v>1</v>
      </c>
      <c r="DH211"/>
      <c r="DI211">
        <f t="shared" si="194"/>
        <v>3</v>
      </c>
      <c r="DJ211" t="str">
        <f t="shared" si="195"/>
        <v>mixedProduct</v>
      </c>
      <c r="DK211">
        <f t="shared" si="196"/>
        <v>0</v>
      </c>
      <c r="DL211" t="str">
        <f t="shared" si="197"/>
        <v>Energy</v>
      </c>
      <c r="DM211" t="str">
        <f t="shared" si="198"/>
        <v>Pulp/Paper</v>
      </c>
      <c r="DN211" t="str">
        <f t="shared" si="199"/>
        <v>Timber</v>
      </c>
      <c r="DO211">
        <v>1</v>
      </c>
      <c r="DP211">
        <v>0</v>
      </c>
      <c r="DQ211">
        <v>0</v>
      </c>
      <c r="DR211">
        <v>0</v>
      </c>
      <c r="DS211">
        <v>0</v>
      </c>
      <c r="DT211">
        <f t="shared" si="200"/>
        <v>1</v>
      </c>
      <c r="DU211" s="143" t="str">
        <f t="shared" si="201"/>
        <v>self-calculated DF</v>
      </c>
      <c r="DV211">
        <v>0</v>
      </c>
      <c r="DW211">
        <v>1</v>
      </c>
      <c r="DX211">
        <v>1</v>
      </c>
      <c r="DY211">
        <v>0</v>
      </c>
      <c r="DZ211">
        <v>0</v>
      </c>
      <c r="EA211" s="143">
        <v>1</v>
      </c>
      <c r="EB211">
        <v>0</v>
      </c>
      <c r="EC211">
        <v>0</v>
      </c>
      <c r="ED211">
        <v>0</v>
      </c>
      <c r="EE211">
        <v>0</v>
      </c>
      <c r="EF211">
        <v>1</v>
      </c>
      <c r="EG211">
        <v>1</v>
      </c>
      <c r="EH211">
        <v>0</v>
      </c>
      <c r="EI211" s="2">
        <v>0</v>
      </c>
      <c r="EJ211" s="1"/>
      <c r="EK211" t="str">
        <f t="shared" si="202"/>
        <v/>
      </c>
      <c r="EL211" t="str">
        <f t="shared" si="203"/>
        <v/>
      </c>
      <c r="EM211" s="2" t="str">
        <f t="shared" si="140"/>
        <v/>
      </c>
      <c r="EN211"/>
      <c r="EO211"/>
      <c r="EP211" t="str">
        <f>IF(ISNUMBER(BU211),IF(ABS(BU211-[3]QC_indicators!$B$2)&gt;3*[3]QC_indicators!$C$2,"C ratio",IF(ISNUMBER(BY211),IF(ABS(BY211-[3]QC_indicators!$B$1)&gt;3*[3]QC_indicators!$C$1,"DF","no"))),IF(ISNUMBER(BY211),IF(ABS(BY211-[3]QC_indicators!$B$1)&gt;3*[3]QC_indicators!$C$1,"DF","no")))</f>
        <v>no</v>
      </c>
      <c r="EQ211" t="s">
        <v>286</v>
      </c>
      <c r="ER211"/>
      <c r="ES211"/>
      <c r="ET211" s="264" t="s">
        <v>3087</v>
      </c>
      <c r="EU211"/>
    </row>
    <row r="212" spans="1:151" s="139" customFormat="1" ht="15" hidden="1" customHeight="1">
      <c r="A212" s="1" t="s">
        <v>587</v>
      </c>
      <c r="B212" t="s">
        <v>1219</v>
      </c>
      <c r="C212" t="s">
        <v>1220</v>
      </c>
      <c r="D212" t="s">
        <v>1221</v>
      </c>
      <c r="E212" t="s">
        <v>1222</v>
      </c>
      <c r="F212" t="s">
        <v>1223</v>
      </c>
      <c r="G212" t="s">
        <v>593</v>
      </c>
      <c r="H212"/>
      <c r="I212">
        <v>2018</v>
      </c>
      <c r="J212"/>
      <c r="K212" t="s">
        <v>1224</v>
      </c>
      <c r="L212"/>
      <c r="M212" t="str">
        <f t="shared" si="161"/>
        <v>Bais-Moleman_2018</v>
      </c>
      <c r="N212" t="s">
        <v>222</v>
      </c>
      <c r="O212" s="140" t="s">
        <v>341</v>
      </c>
      <c r="P212"/>
      <c r="Q212" t="s">
        <v>224</v>
      </c>
      <c r="R212" s="269" t="s">
        <v>274</v>
      </c>
      <c r="S212" s="1" t="s">
        <v>1225</v>
      </c>
      <c r="T212" t="s">
        <v>1200</v>
      </c>
      <c r="U212" t="s">
        <v>1226</v>
      </c>
      <c r="V212">
        <v>0</v>
      </c>
      <c r="W212">
        <v>0</v>
      </c>
      <c r="X212">
        <v>0</v>
      </c>
      <c r="Y212">
        <v>0</v>
      </c>
      <c r="Z212">
        <v>0</v>
      </c>
      <c r="AA212">
        <v>0</v>
      </c>
      <c r="AB212">
        <v>0</v>
      </c>
      <c r="AC212">
        <v>0</v>
      </c>
      <c r="AD212">
        <v>0</v>
      </c>
      <c r="AE212">
        <v>0</v>
      </c>
      <c r="AF212">
        <v>0</v>
      </c>
      <c r="AG212">
        <v>1</v>
      </c>
      <c r="AH212">
        <v>0</v>
      </c>
      <c r="AI212">
        <v>0</v>
      </c>
      <c r="AJ212">
        <v>0</v>
      </c>
      <c r="AK212">
        <v>0</v>
      </c>
      <c r="AL212">
        <v>0</v>
      </c>
      <c r="AM212">
        <v>0</v>
      </c>
      <c r="AN212">
        <v>0</v>
      </c>
      <c r="AO212">
        <v>0</v>
      </c>
      <c r="AP212">
        <v>0</v>
      </c>
      <c r="AQ212">
        <v>0</v>
      </c>
      <c r="AR212">
        <v>0</v>
      </c>
      <c r="AS212">
        <v>0</v>
      </c>
      <c r="AT212">
        <v>0</v>
      </c>
      <c r="AU212">
        <v>0</v>
      </c>
      <c r="AV212">
        <v>0</v>
      </c>
      <c r="AW212">
        <v>0</v>
      </c>
      <c r="AX212" s="141">
        <f t="shared" si="170"/>
        <v>1</v>
      </c>
      <c r="AY212" s="141">
        <f t="shared" si="171"/>
        <v>1</v>
      </c>
      <c r="AZ212">
        <f t="shared" si="172"/>
        <v>0</v>
      </c>
      <c r="BA212">
        <f t="shared" si="173"/>
        <v>1</v>
      </c>
      <c r="BB212">
        <f t="shared" si="174"/>
        <v>0</v>
      </c>
      <c r="BC212">
        <f t="shared" si="175"/>
        <v>0</v>
      </c>
      <c r="BD212">
        <f t="shared" si="176"/>
        <v>0</v>
      </c>
      <c r="BE212" t="str">
        <f t="array" ref="BE212">IF(AY212=1,INDEX($V$7:$AL$7,MATCH(TRUE,INDEX($V212:$AW212&lt;&gt;0,),0)),IF(AY212=0,INDEX($AM$7:$AW$7,MATCH(1,$AM212:$AW212,0)),IF(BF212="Multiple strategies","mixed drivers",IF(BF212="Supply chain","multiple supply","multiple silviculture"))))</f>
        <v>recycling</v>
      </c>
      <c r="BF212" s="2" t="str" cm="1">
        <f t="array" ref="BF212">IF(COUNTIF(AZ212:BB212,"&lt;&gt;0")=1,INDEX($V$4:$AW$4,MATCH(TRUE,INDEX($V212:$AW212&lt;&gt;0,),0)),IF(COUNTIF(AZ212:BB212,"&lt;&gt;0")=0,INDEX($AM$4:$AW$4,MATCH(1,$AM212:$AW212,0)),"Multiple strategies"))</f>
        <v>Supply chain</v>
      </c>
      <c r="BG212" s="1" t="s">
        <v>229</v>
      </c>
      <c r="BH212" t="s">
        <v>1227</v>
      </c>
      <c r="BI212" t="s">
        <v>396</v>
      </c>
      <c r="BJ212" t="s">
        <v>1214</v>
      </c>
      <c r="BK212">
        <v>12</v>
      </c>
      <c r="BL212">
        <v>48</v>
      </c>
      <c r="BM212">
        <f>BL212/BK212</f>
        <v>4</v>
      </c>
      <c r="BN212">
        <f t="shared" si="178"/>
        <v>36</v>
      </c>
      <c r="BO212" s="143">
        <f>+BN212*10^6*tC_to_m3</f>
        <v>156317846.28745115</v>
      </c>
      <c r="BP212" t="s">
        <v>232</v>
      </c>
      <c r="BQ212" s="234" t="s">
        <v>1228</v>
      </c>
      <c r="BR212" t="s">
        <v>1229</v>
      </c>
      <c r="BS212" s="152"/>
      <c r="BT212"/>
      <c r="BU212" s="144" t="str">
        <f>IFERROR(BT212/BS212,"")</f>
        <v/>
      </c>
      <c r="BV212">
        <f>28-43+7</f>
        <v>-8</v>
      </c>
      <c r="BW212"/>
      <c r="BX212">
        <f>BV212*10^6</f>
        <v>-8000000</v>
      </c>
      <c r="BY212">
        <f t="shared" si="139"/>
        <v>-5.117777777777778E-2</v>
      </c>
      <c r="BZ212">
        <v>0</v>
      </c>
      <c r="CA212">
        <v>0</v>
      </c>
      <c r="CB212">
        <v>0</v>
      </c>
      <c r="CC212">
        <v>0</v>
      </c>
      <c r="CD212">
        <v>0</v>
      </c>
      <c r="CE212">
        <v>0</v>
      </c>
      <c r="CF212">
        <v>0</v>
      </c>
      <c r="CG212">
        <v>0</v>
      </c>
      <c r="CH212">
        <v>0</v>
      </c>
      <c r="CI212">
        <v>0</v>
      </c>
      <c r="CJ212">
        <v>0</v>
      </c>
      <c r="CK212">
        <v>0</v>
      </c>
      <c r="CL212">
        <v>0</v>
      </c>
      <c r="CM212">
        <v>0</v>
      </c>
      <c r="CN212" t="str">
        <f>IF(BL212&lt;BK212,"refNeedCorrection","refOK")</f>
        <v>refOK</v>
      </c>
      <c r="CO212">
        <f t="shared" si="184"/>
        <v>12</v>
      </c>
      <c r="CP212">
        <f t="shared" si="185"/>
        <v>48</v>
      </c>
      <c r="CQ212">
        <f t="shared" si="186"/>
        <v>156317846.28745115</v>
      </c>
      <c r="CR212">
        <f t="shared" ref="CR212:CR243" si="204">IF($CN212="refOK",$BS212,$BT212)*IF($BP212="Emissions positive",-1,1)</f>
        <v>0</v>
      </c>
      <c r="CS212">
        <f t="shared" ref="CS212:CS243" si="205">IF($CN212="refOK",$BT212,$BS212)*IF($BP212="Emissions positive",-1,1)</f>
        <v>0</v>
      </c>
      <c r="CT212">
        <f t="shared" si="189"/>
        <v>-8000000</v>
      </c>
      <c r="CU212">
        <f t="shared" si="190"/>
        <v>-5.117777777777778E-2</v>
      </c>
      <c r="CV212" s="2" t="str">
        <f t="shared" si="191"/>
        <v/>
      </c>
      <c r="CW212" s="1" t="s">
        <v>1230</v>
      </c>
      <c r="CX212" t="str">
        <f t="shared" si="192"/>
        <v>reg</v>
      </c>
      <c r="CY212" t="s">
        <v>743</v>
      </c>
      <c r="CZ212"/>
      <c r="DA212"/>
      <c r="DB212">
        <v>100</v>
      </c>
      <c r="DC212" t="str">
        <f t="shared" si="193"/>
        <v>71-100</v>
      </c>
      <c r="DD212">
        <v>0</v>
      </c>
      <c r="DE212">
        <v>1</v>
      </c>
      <c r="DF212">
        <v>1</v>
      </c>
      <c r="DG212">
        <v>1</v>
      </c>
      <c r="DH212"/>
      <c r="DI212">
        <f t="shared" si="194"/>
        <v>3</v>
      </c>
      <c r="DJ212" t="str">
        <f t="shared" si="195"/>
        <v>mixedProduct</v>
      </c>
      <c r="DK212">
        <f t="shared" si="196"/>
        <v>0</v>
      </c>
      <c r="DL212" t="str">
        <f t="shared" si="197"/>
        <v>Energy</v>
      </c>
      <c r="DM212" t="str">
        <f t="shared" si="198"/>
        <v>Pulp/Paper</v>
      </c>
      <c r="DN212" t="str">
        <f t="shared" si="199"/>
        <v>Timber</v>
      </c>
      <c r="DO212">
        <v>1</v>
      </c>
      <c r="DP212">
        <v>0</v>
      </c>
      <c r="DQ212">
        <v>0</v>
      </c>
      <c r="DR212">
        <v>0</v>
      </c>
      <c r="DS212">
        <v>0</v>
      </c>
      <c r="DT212">
        <f t="shared" si="200"/>
        <v>1</v>
      </c>
      <c r="DU212" s="143" t="str">
        <f t="shared" si="201"/>
        <v>self-calculated DF</v>
      </c>
      <c r="DV212">
        <v>0</v>
      </c>
      <c r="DW212">
        <v>1</v>
      </c>
      <c r="DX212">
        <v>0</v>
      </c>
      <c r="DY212">
        <v>1</v>
      </c>
      <c r="DZ212">
        <v>1</v>
      </c>
      <c r="EA212" s="143">
        <v>1</v>
      </c>
      <c r="EB212">
        <v>1</v>
      </c>
      <c r="EC212">
        <v>1</v>
      </c>
      <c r="ED212">
        <v>1</v>
      </c>
      <c r="EE212">
        <v>1</v>
      </c>
      <c r="EF212">
        <v>0</v>
      </c>
      <c r="EG212">
        <v>1</v>
      </c>
      <c r="EH212">
        <v>0</v>
      </c>
      <c r="EI212" s="2">
        <v>0</v>
      </c>
      <c r="EJ212" s="1"/>
      <c r="EK212" t="str">
        <f t="shared" si="202"/>
        <v/>
      </c>
      <c r="EL212" t="str">
        <f t="shared" si="203"/>
        <v/>
      </c>
      <c r="EM212" s="2" t="str">
        <f t="shared" si="140"/>
        <v/>
      </c>
      <c r="EN212"/>
      <c r="EO212"/>
      <c r="EP212" t="str">
        <f>IF(ISNUMBER(BU212),IF(ABS(BU212-[2]QC_indicators!$B$2)&gt;3*[2]QC_indicators!$C$2,"C ratio",IF(ISNUMBER(BY212),IF(ABS(BY212-[2]QC_indicators!$B$1)&gt;3*[2]QC_indicators!$C$1,"DF","no"))),IF(ISNUMBER(BY212),IF(ABS(BY212-[2]QC_indicators!$B$1)&gt;3*[2]QC_indicators!$C$1,"DF","no")))</f>
        <v>no</v>
      </c>
      <c r="EQ212"/>
      <c r="ER212" s="149" t="s">
        <v>349</v>
      </c>
      <c r="ES212"/>
      <c r="ET212" s="264" t="s">
        <v>3150</v>
      </c>
      <c r="EU212"/>
    </row>
    <row r="213" spans="1:151" s="139" customFormat="1" ht="15" hidden="1" customHeight="1">
      <c r="A213" s="1" t="s">
        <v>587</v>
      </c>
      <c r="B213" t="s">
        <v>1219</v>
      </c>
      <c r="C213" t="s">
        <v>1220</v>
      </c>
      <c r="D213" t="s">
        <v>1221</v>
      </c>
      <c r="E213" t="s">
        <v>1222</v>
      </c>
      <c r="F213" t="s">
        <v>1223</v>
      </c>
      <c r="G213" t="s">
        <v>593</v>
      </c>
      <c r="H213"/>
      <c r="I213">
        <v>2018</v>
      </c>
      <c r="J213"/>
      <c r="K213" t="s">
        <v>1224</v>
      </c>
      <c r="L213"/>
      <c r="M213" t="str">
        <f t="shared" si="161"/>
        <v>Bais-Moleman_2018</v>
      </c>
      <c r="N213" t="s">
        <v>222</v>
      </c>
      <c r="O213" s="140" t="s">
        <v>341</v>
      </c>
      <c r="P213"/>
      <c r="Q213" t="s">
        <v>224</v>
      </c>
      <c r="R213" s="269" t="s">
        <v>274</v>
      </c>
      <c r="S213" s="1" t="s">
        <v>1225</v>
      </c>
      <c r="T213" t="s">
        <v>1200</v>
      </c>
      <c r="U213" t="s">
        <v>1231</v>
      </c>
      <c r="V213">
        <v>0</v>
      </c>
      <c r="W213">
        <v>0</v>
      </c>
      <c r="X213">
        <v>0</v>
      </c>
      <c r="Y213">
        <v>0</v>
      </c>
      <c r="Z213">
        <v>0</v>
      </c>
      <c r="AA213">
        <v>0</v>
      </c>
      <c r="AB213">
        <v>0</v>
      </c>
      <c r="AC213">
        <v>0</v>
      </c>
      <c r="AD213">
        <v>0</v>
      </c>
      <c r="AE213">
        <v>0</v>
      </c>
      <c r="AF213">
        <v>0</v>
      </c>
      <c r="AG213">
        <v>1</v>
      </c>
      <c r="AH213">
        <v>0</v>
      </c>
      <c r="AI213">
        <v>0</v>
      </c>
      <c r="AJ213">
        <v>0</v>
      </c>
      <c r="AK213">
        <v>0</v>
      </c>
      <c r="AL213">
        <v>0</v>
      </c>
      <c r="AM213">
        <v>0</v>
      </c>
      <c r="AN213">
        <v>0</v>
      </c>
      <c r="AO213">
        <v>0</v>
      </c>
      <c r="AP213">
        <v>0</v>
      </c>
      <c r="AQ213">
        <v>0</v>
      </c>
      <c r="AR213">
        <v>0</v>
      </c>
      <c r="AS213">
        <v>0</v>
      </c>
      <c r="AT213">
        <v>0</v>
      </c>
      <c r="AU213">
        <v>0</v>
      </c>
      <c r="AV213">
        <v>0</v>
      </c>
      <c r="AW213">
        <v>0</v>
      </c>
      <c r="AX213" s="141">
        <f t="shared" si="170"/>
        <v>1</v>
      </c>
      <c r="AY213" s="141">
        <f t="shared" si="171"/>
        <v>1</v>
      </c>
      <c r="AZ213">
        <f t="shared" si="172"/>
        <v>0</v>
      </c>
      <c r="BA213">
        <f t="shared" si="173"/>
        <v>1</v>
      </c>
      <c r="BB213">
        <f t="shared" si="174"/>
        <v>0</v>
      </c>
      <c r="BC213">
        <f t="shared" si="175"/>
        <v>0</v>
      </c>
      <c r="BD213">
        <f t="shared" si="176"/>
        <v>0</v>
      </c>
      <c r="BE213" t="str">
        <f t="array" ref="BE213">IF(AY213=1,INDEX($V$7:$AL$7,MATCH(TRUE,INDEX($V213:$AW213&lt;&gt;0,),0)),IF(AY213=0,INDEX($AM$7:$AW$7,MATCH(1,$AM213:$AW213,0)),IF(BF213="Multiple strategies","mixed drivers",IF(BF213="Supply chain","multiple supply","multiple silviculture"))))</f>
        <v>recycling</v>
      </c>
      <c r="BF213" s="2" t="str" cm="1">
        <f t="array" ref="BF213">IF(COUNTIF(AZ213:BB213,"&lt;&gt;0")=1,INDEX($V$4:$AW$4,MATCH(TRUE,INDEX($V213:$AW213&lt;&gt;0,),0)),IF(COUNTIF(AZ213:BB213,"&lt;&gt;0")=0,INDEX($AM$4:$AW$4,MATCH(1,$AM213:$AW213,0)),"Multiple strategies"))</f>
        <v>Supply chain</v>
      </c>
      <c r="BG213" s="1" t="s">
        <v>229</v>
      </c>
      <c r="BH213" t="s">
        <v>1227</v>
      </c>
      <c r="BI213" t="s">
        <v>396</v>
      </c>
      <c r="BJ213" t="s">
        <v>1214</v>
      </c>
      <c r="BK213">
        <v>12</v>
      </c>
      <c r="BL213">
        <v>56</v>
      </c>
      <c r="BM213">
        <f>BL213/BK213</f>
        <v>4.666666666666667</v>
      </c>
      <c r="BN213">
        <f t="shared" si="178"/>
        <v>44</v>
      </c>
      <c r="BO213" s="143">
        <f>+BN213*10^6*tC_to_m3</f>
        <v>191055145.46244031</v>
      </c>
      <c r="BP213" t="s">
        <v>232</v>
      </c>
      <c r="BQ213" s="234" t="s">
        <v>1228</v>
      </c>
      <c r="BR213" t="s">
        <v>1229</v>
      </c>
      <c r="BS213" s="152"/>
      <c r="BT213"/>
      <c r="BU213" s="144" t="str">
        <f>IFERROR(BT213/BS213,"")</f>
        <v/>
      </c>
      <c r="BV213">
        <f>35-42+13</f>
        <v>6</v>
      </c>
      <c r="BW213"/>
      <c r="BX213">
        <f>BV213*10^6</f>
        <v>6000000</v>
      </c>
      <c r="BY213">
        <f t="shared" si="139"/>
        <v>3.1404545454545449E-2</v>
      </c>
      <c r="BZ213">
        <v>0</v>
      </c>
      <c r="CA213">
        <v>0</v>
      </c>
      <c r="CB213">
        <v>0</v>
      </c>
      <c r="CC213">
        <v>0</v>
      </c>
      <c r="CD213">
        <v>0</v>
      </c>
      <c r="CE213">
        <v>0</v>
      </c>
      <c r="CF213">
        <v>0</v>
      </c>
      <c r="CG213">
        <v>0</v>
      </c>
      <c r="CH213">
        <v>0</v>
      </c>
      <c r="CI213">
        <v>0</v>
      </c>
      <c r="CJ213">
        <v>0</v>
      </c>
      <c r="CK213">
        <v>0</v>
      </c>
      <c r="CL213">
        <v>0</v>
      </c>
      <c r="CM213">
        <v>0</v>
      </c>
      <c r="CN213" t="str">
        <f>IF(BL213&lt;BK213,"refNeedCorrection","refOK")</f>
        <v>refOK</v>
      </c>
      <c r="CO213">
        <f t="shared" si="184"/>
        <v>12</v>
      </c>
      <c r="CP213">
        <f t="shared" si="185"/>
        <v>56</v>
      </c>
      <c r="CQ213">
        <f t="shared" si="186"/>
        <v>191055145.46244031</v>
      </c>
      <c r="CR213">
        <f t="shared" si="204"/>
        <v>0</v>
      </c>
      <c r="CS213">
        <f t="shared" si="205"/>
        <v>0</v>
      </c>
      <c r="CT213">
        <f t="shared" si="189"/>
        <v>6000000</v>
      </c>
      <c r="CU213">
        <f t="shared" si="190"/>
        <v>3.1404545454545449E-2</v>
      </c>
      <c r="CV213" s="2" t="str">
        <f t="shared" si="191"/>
        <v/>
      </c>
      <c r="CW213" s="1" t="s">
        <v>1230</v>
      </c>
      <c r="CX213" t="str">
        <f t="shared" si="192"/>
        <v>reg</v>
      </c>
      <c r="CY213" t="s">
        <v>743</v>
      </c>
      <c r="CZ213"/>
      <c r="DA213"/>
      <c r="DB213">
        <v>100</v>
      </c>
      <c r="DC213" t="str">
        <f t="shared" si="193"/>
        <v>71-100</v>
      </c>
      <c r="DD213">
        <v>0</v>
      </c>
      <c r="DE213">
        <v>1</v>
      </c>
      <c r="DF213">
        <v>1</v>
      </c>
      <c r="DG213">
        <v>1</v>
      </c>
      <c r="DH213"/>
      <c r="DI213">
        <f t="shared" si="194"/>
        <v>3</v>
      </c>
      <c r="DJ213" t="str">
        <f t="shared" si="195"/>
        <v>mixedProduct</v>
      </c>
      <c r="DK213">
        <f t="shared" si="196"/>
        <v>0</v>
      </c>
      <c r="DL213" t="str">
        <f t="shared" si="197"/>
        <v>Energy</v>
      </c>
      <c r="DM213" t="str">
        <f t="shared" si="198"/>
        <v>Pulp/Paper</v>
      </c>
      <c r="DN213" t="str">
        <f t="shared" si="199"/>
        <v>Timber</v>
      </c>
      <c r="DO213">
        <v>1</v>
      </c>
      <c r="DP213">
        <v>0</v>
      </c>
      <c r="DQ213">
        <v>0</v>
      </c>
      <c r="DR213">
        <v>0</v>
      </c>
      <c r="DS213">
        <v>0</v>
      </c>
      <c r="DT213">
        <f t="shared" si="200"/>
        <v>1</v>
      </c>
      <c r="DU213" s="143" t="str">
        <f t="shared" si="201"/>
        <v>self-calculated DF</v>
      </c>
      <c r="DV213">
        <v>0</v>
      </c>
      <c r="DW213">
        <v>1</v>
      </c>
      <c r="DX213">
        <v>0</v>
      </c>
      <c r="DY213">
        <v>1</v>
      </c>
      <c r="DZ213">
        <v>1</v>
      </c>
      <c r="EA213" s="143">
        <v>1</v>
      </c>
      <c r="EB213">
        <v>1</v>
      </c>
      <c r="EC213">
        <v>1</v>
      </c>
      <c r="ED213">
        <v>1</v>
      </c>
      <c r="EE213">
        <v>1</v>
      </c>
      <c r="EF213">
        <v>0</v>
      </c>
      <c r="EG213">
        <v>1</v>
      </c>
      <c r="EH213">
        <v>0</v>
      </c>
      <c r="EI213" s="2">
        <v>0</v>
      </c>
      <c r="EJ213" s="1"/>
      <c r="EK213" t="str">
        <f t="shared" si="202"/>
        <v/>
      </c>
      <c r="EL213" t="str">
        <f t="shared" si="203"/>
        <v/>
      </c>
      <c r="EM213" s="2" t="str">
        <f t="shared" si="140"/>
        <v/>
      </c>
      <c r="EN213"/>
      <c r="EO213"/>
      <c r="EP213" t="str">
        <f>IF(ISNUMBER(BU213),IF(ABS(BU213-[2]QC_indicators!$B$2)&gt;3*[2]QC_indicators!$C$2,"C ratio",IF(ISNUMBER(BY213),IF(ABS(BY213-[2]QC_indicators!$B$1)&gt;3*[2]QC_indicators!$C$1,"DF","no"))),IF(ISNUMBER(BY213),IF(ABS(BY213-[2]QC_indicators!$B$1)&gt;3*[2]QC_indicators!$C$1,"DF","no")))</f>
        <v>no</v>
      </c>
      <c r="EQ213"/>
      <c r="ER213" s="149" t="s">
        <v>349</v>
      </c>
      <c r="ES213"/>
      <c r="ET213" s="264" t="s">
        <v>3150</v>
      </c>
      <c r="EU213"/>
    </row>
    <row r="214" spans="1:151" s="139" customFormat="1" ht="15" hidden="1" customHeight="1">
      <c r="A214" s="1" t="s">
        <v>333</v>
      </c>
      <c r="B214" t="s">
        <v>334</v>
      </c>
      <c r="C214" t="s">
        <v>335</v>
      </c>
      <c r="D214" t="s">
        <v>336</v>
      </c>
      <c r="E214" t="s">
        <v>337</v>
      </c>
      <c r="F214" t="s">
        <v>338</v>
      </c>
      <c r="G214" t="s">
        <v>339</v>
      </c>
      <c r="H214"/>
      <c r="I214">
        <v>2017</v>
      </c>
      <c r="J214"/>
      <c r="K214" t="s">
        <v>340</v>
      </c>
      <c r="L214"/>
      <c r="M214" t="str">
        <f t="shared" si="161"/>
        <v>Balasbaneh_2017</v>
      </c>
      <c r="N214" t="s">
        <v>222</v>
      </c>
      <c r="O214" s="140" t="s">
        <v>341</v>
      </c>
      <c r="P214"/>
      <c r="Q214" t="s">
        <v>224</v>
      </c>
      <c r="R214" s="262" t="s">
        <v>223</v>
      </c>
      <c r="S214" s="1" t="s">
        <v>342</v>
      </c>
      <c r="T214" t="s">
        <v>343</v>
      </c>
      <c r="U214" t="s">
        <v>344</v>
      </c>
      <c r="V214">
        <v>0</v>
      </c>
      <c r="W214">
        <v>0</v>
      </c>
      <c r="X214">
        <v>0</v>
      </c>
      <c r="Y214">
        <v>0</v>
      </c>
      <c r="Z214">
        <v>0</v>
      </c>
      <c r="AA214">
        <v>0</v>
      </c>
      <c r="AB214">
        <v>0</v>
      </c>
      <c r="AC214">
        <v>0</v>
      </c>
      <c r="AD214">
        <v>0</v>
      </c>
      <c r="AE214">
        <v>0</v>
      </c>
      <c r="AF214">
        <v>0</v>
      </c>
      <c r="AG214">
        <v>0</v>
      </c>
      <c r="AH214">
        <v>0</v>
      </c>
      <c r="AI214">
        <v>0</v>
      </c>
      <c r="AJ214">
        <v>0</v>
      </c>
      <c r="AK214">
        <v>1</v>
      </c>
      <c r="AL214">
        <v>0</v>
      </c>
      <c r="AM214">
        <v>0</v>
      </c>
      <c r="AN214">
        <v>0</v>
      </c>
      <c r="AO214">
        <v>0</v>
      </c>
      <c r="AP214">
        <v>0</v>
      </c>
      <c r="AQ214">
        <v>0</v>
      </c>
      <c r="AR214">
        <v>0</v>
      </c>
      <c r="AS214">
        <v>0</v>
      </c>
      <c r="AT214">
        <v>0</v>
      </c>
      <c r="AU214">
        <v>0</v>
      </c>
      <c r="AV214">
        <v>0</v>
      </c>
      <c r="AW214">
        <v>0</v>
      </c>
      <c r="AX214" s="141">
        <f t="shared" si="170"/>
        <v>1</v>
      </c>
      <c r="AY214" s="141">
        <f t="shared" si="171"/>
        <v>1</v>
      </c>
      <c r="AZ214">
        <f t="shared" si="172"/>
        <v>0</v>
      </c>
      <c r="BA214">
        <f t="shared" si="173"/>
        <v>0</v>
      </c>
      <c r="BB214">
        <f t="shared" si="174"/>
        <v>1</v>
      </c>
      <c r="BC214">
        <f t="shared" si="175"/>
        <v>0</v>
      </c>
      <c r="BD214">
        <f t="shared" si="176"/>
        <v>0</v>
      </c>
      <c r="BE214" t="str">
        <f t="array" ref="BE214">IF(AY214=1,INDEX($V$7:$AL$7,MATCH(TRUE,INDEX($V214:$AW214&lt;&gt;0,),0)),IF(AY214=0,INDEX($AM$7:$AW$7,MATCH(1,$AM214:$AW214,0)),IF(BF214="Multiple strategies","mixed drivers",IF(BF214="Supply chain","multiple supply","multiple silviculture"))))</f>
        <v>technologies/design switch</v>
      </c>
      <c r="BF214" s="2" t="str" cm="1">
        <f t="array" ref="BF214">IF(COUNTIF(AZ214:BB214,"&lt;&gt;0")=1,INDEX($V$4:$AW$4,MATCH(TRUE,INDEX($V214:$AW214&lt;&gt;0,),0)),IF(COUNTIF(AZ214:BB214,"&lt;&gt;0")=0,INDEX($AM$4:$AW$4,MATCH(1,$AM214:$AW214,0)),"Multiple strategies"))</f>
        <v>Technology</v>
      </c>
      <c r="BG214" s="1" t="s">
        <v>229</v>
      </c>
      <c r="BH214" t="s">
        <v>229</v>
      </c>
      <c r="BI214" s="264" t="s">
        <v>410</v>
      </c>
      <c r="BJ214" t="s">
        <v>345</v>
      </c>
      <c r="BK214">
        <v>0</v>
      </c>
      <c r="BL214">
        <v>23500</v>
      </c>
      <c r="BM214" s="143"/>
      <c r="BN214">
        <f t="shared" si="178"/>
        <v>23500</v>
      </c>
      <c r="BO214" s="143">
        <f t="shared" ref="BO214:BO245" si="206">BN214*kg_to_m3</f>
        <v>47.95918367346939</v>
      </c>
      <c r="BP214" t="s">
        <v>232</v>
      </c>
      <c r="BQ214" s="300" t="s">
        <v>396</v>
      </c>
      <c r="BR214" t="s">
        <v>346</v>
      </c>
      <c r="BS214">
        <v>-11200</v>
      </c>
      <c r="BT214">
        <v>-5870</v>
      </c>
      <c r="BU214" s="144">
        <v>0.52410714285714288</v>
      </c>
      <c r="BV214">
        <f t="shared" ref="BV214:BV240" si="207">BT214-BS214</f>
        <v>5330</v>
      </c>
      <c r="BW214"/>
      <c r="BX214">
        <f t="shared" ref="BX214:BX245" si="208">BV214/1000</f>
        <v>5.33</v>
      </c>
      <c r="BY214">
        <f t="shared" si="139"/>
        <v>0.11113617021276595</v>
      </c>
      <c r="BZ214">
        <v>0</v>
      </c>
      <c r="CA214">
        <v>0</v>
      </c>
      <c r="CB214">
        <v>0</v>
      </c>
      <c r="CC214">
        <v>0</v>
      </c>
      <c r="CD214">
        <v>0</v>
      </c>
      <c r="CE214">
        <v>0</v>
      </c>
      <c r="CF214">
        <v>0</v>
      </c>
      <c r="CG214">
        <v>0</v>
      </c>
      <c r="CH214">
        <v>0</v>
      </c>
      <c r="CI214">
        <v>0</v>
      </c>
      <c r="CJ214">
        <v>0</v>
      </c>
      <c r="CK214">
        <v>0</v>
      </c>
      <c r="CL214">
        <v>0</v>
      </c>
      <c r="CM214">
        <v>0</v>
      </c>
      <c r="CN214" t="str">
        <f t="shared" ref="CN214:CN245" si="209">IF($BL214&lt;$BK214,"refNeedCorrection","refOK")</f>
        <v>refOK</v>
      </c>
      <c r="CO214">
        <f t="shared" ref="CO214:CO245" si="210">IF($CN214="refNeedCorrection",BL214,BK214)</f>
        <v>0</v>
      </c>
      <c r="CP214">
        <f t="shared" ref="CP214:CP245" si="211">IF($CN214="refNeedCorrection",BK214,BL214)</f>
        <v>23500</v>
      </c>
      <c r="CQ214">
        <f t="shared" si="186"/>
        <v>47.95918367346939</v>
      </c>
      <c r="CR214">
        <f t="shared" si="204"/>
        <v>-11200</v>
      </c>
      <c r="CS214">
        <f t="shared" si="205"/>
        <v>-5870</v>
      </c>
      <c r="CT214">
        <f t="shared" si="189"/>
        <v>5.33</v>
      </c>
      <c r="CU214">
        <f t="shared" si="190"/>
        <v>0.11113617021276595</v>
      </c>
      <c r="CV214" s="2">
        <f t="shared" si="191"/>
        <v>0.47589285714285712</v>
      </c>
      <c r="CW214" s="1" t="s">
        <v>347</v>
      </c>
      <c r="CX214" t="str">
        <f t="shared" si="192"/>
        <v>loc</v>
      </c>
      <c r="CY214" t="s">
        <v>348</v>
      </c>
      <c r="CZ214">
        <v>2014</v>
      </c>
      <c r="DA214">
        <v>2034</v>
      </c>
      <c r="DB214">
        <v>20</v>
      </c>
      <c r="DC214" t="str">
        <f t="shared" si="193"/>
        <v>1-30</v>
      </c>
      <c r="DD214">
        <v>0</v>
      </c>
      <c r="DE214">
        <v>0</v>
      </c>
      <c r="DF214">
        <v>0</v>
      </c>
      <c r="DG214">
        <v>1</v>
      </c>
      <c r="DH214"/>
      <c r="DI214">
        <f t="shared" si="194"/>
        <v>1</v>
      </c>
      <c r="DJ214" t="str">
        <f t="shared" si="195"/>
        <v>TimberInput</v>
      </c>
      <c r="DK214">
        <f t="shared" si="196"/>
        <v>0</v>
      </c>
      <c r="DL214">
        <f t="shared" si="197"/>
        <v>0</v>
      </c>
      <c r="DM214">
        <f t="shared" si="198"/>
        <v>0</v>
      </c>
      <c r="DN214" t="str">
        <f t="shared" si="199"/>
        <v>Timber</v>
      </c>
      <c r="DO214">
        <v>0</v>
      </c>
      <c r="DP214">
        <v>0</v>
      </c>
      <c r="DQ214">
        <v>0</v>
      </c>
      <c r="DR214">
        <v>0</v>
      </c>
      <c r="DS214">
        <v>0</v>
      </c>
      <c r="DT214">
        <f t="shared" si="200"/>
        <v>0</v>
      </c>
      <c r="DU214" s="143" t="str">
        <f t="shared" si="201"/>
        <v>explicit C balance</v>
      </c>
      <c r="DV214">
        <v>0</v>
      </c>
      <c r="DW214">
        <v>0</v>
      </c>
      <c r="DX214">
        <v>0</v>
      </c>
      <c r="DY214">
        <v>1</v>
      </c>
      <c r="DZ214">
        <v>0</v>
      </c>
      <c r="EA214" s="143">
        <v>1</v>
      </c>
      <c r="EB214">
        <v>0</v>
      </c>
      <c r="EC214">
        <v>1</v>
      </c>
      <c r="ED214">
        <v>1</v>
      </c>
      <c r="EE214">
        <v>1</v>
      </c>
      <c r="EF214">
        <v>0</v>
      </c>
      <c r="EG214">
        <v>0</v>
      </c>
      <c r="EH214">
        <v>0</v>
      </c>
      <c r="EI214" s="2">
        <v>0</v>
      </c>
      <c r="EJ214" s="1"/>
      <c r="EK214" t="str">
        <f t="shared" si="202"/>
        <v/>
      </c>
      <c r="EL214" t="str">
        <f t="shared" si="203"/>
        <v/>
      </c>
      <c r="EM214" s="2" t="str">
        <f t="shared" si="140"/>
        <v>Technology approach</v>
      </c>
      <c r="EN214"/>
      <c r="EO214"/>
      <c r="EP214" t="str">
        <f>IF(ISNUMBER(BU214),IF(ABS(BU214-[3]QC_indicators!$B$2)&gt;3*[3]QC_indicators!$C$2,"C ratio",IF(ISNUMBER(BY214),IF(ABS(BY214-[3]QC_indicators!$B$1)&gt;3*[3]QC_indicators!$C$1,"DF","no"))),IF(ISNUMBER(BY214),IF(ABS(BY214-[3]QC_indicators!$B$1)&gt;3*[3]QC_indicators!$C$1,"DF","no")))</f>
        <v>no</v>
      </c>
      <c r="EQ214"/>
      <c r="ER214" s="149" t="s">
        <v>349</v>
      </c>
      <c r="ES214"/>
      <c r="ET214" s="264" t="s">
        <v>3272</v>
      </c>
      <c r="EU214"/>
    </row>
    <row r="215" spans="1:151" s="139" customFormat="1" ht="15" hidden="1" customHeight="1">
      <c r="A215" s="1" t="s">
        <v>333</v>
      </c>
      <c r="B215" t="s">
        <v>334</v>
      </c>
      <c r="C215" t="s">
        <v>335</v>
      </c>
      <c r="D215" t="s">
        <v>336</v>
      </c>
      <c r="E215" t="s">
        <v>337</v>
      </c>
      <c r="F215" t="s">
        <v>338</v>
      </c>
      <c r="G215" t="s">
        <v>339</v>
      </c>
      <c r="H215"/>
      <c r="I215">
        <v>2017</v>
      </c>
      <c r="J215"/>
      <c r="K215" t="s">
        <v>340</v>
      </c>
      <c r="L215"/>
      <c r="M215" t="str">
        <f t="shared" si="161"/>
        <v>Balasbaneh_2017</v>
      </c>
      <c r="N215" t="s">
        <v>222</v>
      </c>
      <c r="O215" s="140" t="s">
        <v>341</v>
      </c>
      <c r="P215"/>
      <c r="Q215" t="s">
        <v>224</v>
      </c>
      <c r="R215" s="262" t="s">
        <v>223</v>
      </c>
      <c r="S215" s="1" t="s">
        <v>350</v>
      </c>
      <c r="T215" t="s">
        <v>343</v>
      </c>
      <c r="U215" t="s">
        <v>351</v>
      </c>
      <c r="V215">
        <v>0</v>
      </c>
      <c r="W215">
        <v>0</v>
      </c>
      <c r="X215">
        <v>0</v>
      </c>
      <c r="Y215">
        <v>0</v>
      </c>
      <c r="Z215">
        <v>0</v>
      </c>
      <c r="AA215">
        <v>0</v>
      </c>
      <c r="AB215">
        <v>0</v>
      </c>
      <c r="AC215">
        <v>0</v>
      </c>
      <c r="AD215">
        <v>0</v>
      </c>
      <c r="AE215">
        <v>0</v>
      </c>
      <c r="AF215">
        <v>0</v>
      </c>
      <c r="AG215">
        <v>0</v>
      </c>
      <c r="AH215">
        <v>0</v>
      </c>
      <c r="AI215">
        <v>0</v>
      </c>
      <c r="AJ215">
        <v>0</v>
      </c>
      <c r="AK215">
        <v>1</v>
      </c>
      <c r="AL215">
        <v>0</v>
      </c>
      <c r="AM215">
        <v>0</v>
      </c>
      <c r="AN215">
        <v>0</v>
      </c>
      <c r="AO215">
        <v>0</v>
      </c>
      <c r="AP215">
        <v>0</v>
      </c>
      <c r="AQ215">
        <v>0</v>
      </c>
      <c r="AR215">
        <v>0</v>
      </c>
      <c r="AS215">
        <v>0</v>
      </c>
      <c r="AT215">
        <v>0</v>
      </c>
      <c r="AU215">
        <v>0</v>
      </c>
      <c r="AV215">
        <v>0</v>
      </c>
      <c r="AW215">
        <v>0</v>
      </c>
      <c r="AX215" s="141">
        <f t="shared" si="170"/>
        <v>1</v>
      </c>
      <c r="AY215" s="141">
        <f t="shared" si="171"/>
        <v>1</v>
      </c>
      <c r="AZ215">
        <f t="shared" si="172"/>
        <v>0</v>
      </c>
      <c r="BA215">
        <f t="shared" si="173"/>
        <v>0</v>
      </c>
      <c r="BB215">
        <f t="shared" si="174"/>
        <v>1</v>
      </c>
      <c r="BC215">
        <f t="shared" si="175"/>
        <v>0</v>
      </c>
      <c r="BD215">
        <f t="shared" si="176"/>
        <v>0</v>
      </c>
      <c r="BE215" t="str">
        <f t="array" ref="BE215">IF(AY215=1,INDEX($V$7:$AL$7,MATCH(TRUE,INDEX($V215:$AW215&lt;&gt;0,),0)),IF(AY215=0,INDEX($AM$7:$AW$7,MATCH(1,$AM215:$AW215,0)),IF(BF215="Multiple strategies","mixed drivers",IF(BF215="Supply chain","multiple supply","multiple silviculture"))))</f>
        <v>technologies/design switch</v>
      </c>
      <c r="BF215" s="2" t="str" cm="1">
        <f t="array" ref="BF215">IF(COUNTIF(AZ215:BB215,"&lt;&gt;0")=1,INDEX($V$4:$AW$4,MATCH(TRUE,INDEX($V215:$AW215&lt;&gt;0,),0)),IF(COUNTIF(AZ215:BB215,"&lt;&gt;0")=0,INDEX($AM$4:$AW$4,MATCH(1,$AM215:$AW215,0)),"Multiple strategies"))</f>
        <v>Technology</v>
      </c>
      <c r="BG215" s="1" t="s">
        <v>229</v>
      </c>
      <c r="BH215" t="s">
        <v>229</v>
      </c>
      <c r="BI215" s="264" t="s">
        <v>410</v>
      </c>
      <c r="BJ215" t="s">
        <v>345</v>
      </c>
      <c r="BK215">
        <v>0</v>
      </c>
      <c r="BL215">
        <v>23500</v>
      </c>
      <c r="BM215" s="143"/>
      <c r="BN215">
        <f t="shared" si="178"/>
        <v>23500</v>
      </c>
      <c r="BO215" s="143">
        <f t="shared" si="206"/>
        <v>47.95918367346939</v>
      </c>
      <c r="BP215" t="s">
        <v>232</v>
      </c>
      <c r="BQ215" s="300" t="s">
        <v>396</v>
      </c>
      <c r="BR215" t="s">
        <v>346</v>
      </c>
      <c r="BS215">
        <v>-11200</v>
      </c>
      <c r="BT215">
        <v>-5650</v>
      </c>
      <c r="BU215" s="144">
        <v>0.5044642857142857</v>
      </c>
      <c r="BV215">
        <f t="shared" si="207"/>
        <v>5550</v>
      </c>
      <c r="BW215"/>
      <c r="BX215">
        <f t="shared" si="208"/>
        <v>5.55</v>
      </c>
      <c r="BY215">
        <f t="shared" si="139"/>
        <v>0.11572340425531914</v>
      </c>
      <c r="BZ215">
        <v>0</v>
      </c>
      <c r="CA215">
        <v>0</v>
      </c>
      <c r="CB215">
        <v>0</v>
      </c>
      <c r="CC215">
        <v>0</v>
      </c>
      <c r="CD215">
        <v>0</v>
      </c>
      <c r="CE215">
        <v>0</v>
      </c>
      <c r="CF215">
        <v>0</v>
      </c>
      <c r="CG215">
        <v>0</v>
      </c>
      <c r="CH215">
        <v>0</v>
      </c>
      <c r="CI215">
        <v>0</v>
      </c>
      <c r="CJ215">
        <v>0</v>
      </c>
      <c r="CK215">
        <v>0</v>
      </c>
      <c r="CL215">
        <v>0</v>
      </c>
      <c r="CM215">
        <v>0</v>
      </c>
      <c r="CN215" t="str">
        <f t="shared" si="209"/>
        <v>refOK</v>
      </c>
      <c r="CO215">
        <f t="shared" si="210"/>
        <v>0</v>
      </c>
      <c r="CP215">
        <f t="shared" si="211"/>
        <v>23500</v>
      </c>
      <c r="CQ215">
        <f t="shared" si="186"/>
        <v>47.95918367346939</v>
      </c>
      <c r="CR215">
        <f t="shared" si="204"/>
        <v>-11200</v>
      </c>
      <c r="CS215">
        <f t="shared" si="205"/>
        <v>-5650</v>
      </c>
      <c r="CT215">
        <f t="shared" si="189"/>
        <v>5.55</v>
      </c>
      <c r="CU215">
        <f t="shared" si="190"/>
        <v>0.11572340425531914</v>
      </c>
      <c r="CV215" s="2">
        <f t="shared" si="191"/>
        <v>0.4955357142857143</v>
      </c>
      <c r="CW215" s="1" t="s">
        <v>347</v>
      </c>
      <c r="CX215" t="str">
        <f t="shared" si="192"/>
        <v>loc</v>
      </c>
      <c r="CY215" t="s">
        <v>348</v>
      </c>
      <c r="CZ215">
        <v>2014</v>
      </c>
      <c r="DA215">
        <v>2114</v>
      </c>
      <c r="DB215">
        <v>100</v>
      </c>
      <c r="DC215" t="str">
        <f t="shared" si="193"/>
        <v>71-100</v>
      </c>
      <c r="DD215">
        <v>0</v>
      </c>
      <c r="DE215">
        <v>0</v>
      </c>
      <c r="DF215">
        <v>0</v>
      </c>
      <c r="DG215">
        <v>1</v>
      </c>
      <c r="DH215"/>
      <c r="DI215">
        <f t="shared" si="194"/>
        <v>1</v>
      </c>
      <c r="DJ215" t="str">
        <f t="shared" si="195"/>
        <v>TimberInput</v>
      </c>
      <c r="DK215">
        <f t="shared" si="196"/>
        <v>0</v>
      </c>
      <c r="DL215">
        <f t="shared" si="197"/>
        <v>0</v>
      </c>
      <c r="DM215">
        <f t="shared" si="198"/>
        <v>0</v>
      </c>
      <c r="DN215" t="str">
        <f t="shared" si="199"/>
        <v>Timber</v>
      </c>
      <c r="DO215">
        <v>0</v>
      </c>
      <c r="DP215">
        <v>0</v>
      </c>
      <c r="DQ215">
        <v>0</v>
      </c>
      <c r="DR215">
        <v>0</v>
      </c>
      <c r="DS215">
        <v>0</v>
      </c>
      <c r="DT215">
        <f t="shared" si="200"/>
        <v>0</v>
      </c>
      <c r="DU215" s="143" t="str">
        <f t="shared" si="201"/>
        <v>explicit C balance</v>
      </c>
      <c r="DV215">
        <v>0</v>
      </c>
      <c r="DW215">
        <v>0</v>
      </c>
      <c r="DX215">
        <v>0</v>
      </c>
      <c r="DY215">
        <v>1</v>
      </c>
      <c r="DZ215">
        <v>0</v>
      </c>
      <c r="EA215" s="143">
        <v>1</v>
      </c>
      <c r="EB215">
        <v>0</v>
      </c>
      <c r="EC215">
        <v>1</v>
      </c>
      <c r="ED215">
        <v>1</v>
      </c>
      <c r="EE215">
        <v>1</v>
      </c>
      <c r="EF215">
        <v>0</v>
      </c>
      <c r="EG215">
        <v>0</v>
      </c>
      <c r="EH215">
        <v>0</v>
      </c>
      <c r="EI215" s="2">
        <v>0</v>
      </c>
      <c r="EJ215" s="1"/>
      <c r="EK215" t="str">
        <f t="shared" si="202"/>
        <v/>
      </c>
      <c r="EL215" t="str">
        <f t="shared" si="203"/>
        <v/>
      </c>
      <c r="EM215" s="2" t="str">
        <f t="shared" si="140"/>
        <v>Technology approach</v>
      </c>
      <c r="EN215"/>
      <c r="EO215"/>
      <c r="EP215" t="str">
        <f>IF(ISNUMBER(BU215),IF(ABS(BU215-[3]QC_indicators!$B$2)&gt;3*[3]QC_indicators!$C$2,"C ratio",IF(ISNUMBER(BY215),IF(ABS(BY215-[3]QC_indicators!$B$1)&gt;3*[3]QC_indicators!$C$1,"DF","no"))),IF(ISNUMBER(BY215),IF(ABS(BY215-[3]QC_indicators!$B$1)&gt;3*[3]QC_indicators!$C$1,"DF","no")))</f>
        <v>no</v>
      </c>
      <c r="EQ215"/>
      <c r="ER215" s="149" t="s">
        <v>349</v>
      </c>
      <c r="ES215"/>
      <c r="ET215" s="264" t="s">
        <v>3272</v>
      </c>
      <c r="EU215"/>
    </row>
    <row r="216" spans="1:151" s="139" customFormat="1" ht="15" hidden="1" customHeight="1">
      <c r="A216" s="1" t="s">
        <v>333</v>
      </c>
      <c r="B216" t="s">
        <v>334</v>
      </c>
      <c r="C216" t="s">
        <v>335</v>
      </c>
      <c r="D216" t="s">
        <v>336</v>
      </c>
      <c r="E216" t="s">
        <v>337</v>
      </c>
      <c r="F216" t="s">
        <v>338</v>
      </c>
      <c r="G216" t="s">
        <v>339</v>
      </c>
      <c r="H216"/>
      <c r="I216">
        <v>2017</v>
      </c>
      <c r="J216"/>
      <c r="K216" t="s">
        <v>340</v>
      </c>
      <c r="L216"/>
      <c r="M216" t="str">
        <f t="shared" si="161"/>
        <v>Balasbaneh_2017</v>
      </c>
      <c r="N216" t="s">
        <v>222</v>
      </c>
      <c r="O216" s="140" t="s">
        <v>341</v>
      </c>
      <c r="P216"/>
      <c r="Q216" t="s">
        <v>224</v>
      </c>
      <c r="R216" s="262" t="s">
        <v>223</v>
      </c>
      <c r="S216" s="1" t="s">
        <v>352</v>
      </c>
      <c r="T216" t="s">
        <v>343</v>
      </c>
      <c r="U216" t="s">
        <v>344</v>
      </c>
      <c r="V216">
        <v>0</v>
      </c>
      <c r="W216">
        <v>0</v>
      </c>
      <c r="X216">
        <v>0</v>
      </c>
      <c r="Y216">
        <v>0</v>
      </c>
      <c r="Z216">
        <v>0</v>
      </c>
      <c r="AA216">
        <v>0</v>
      </c>
      <c r="AB216">
        <v>0</v>
      </c>
      <c r="AC216">
        <v>0</v>
      </c>
      <c r="AD216">
        <v>0</v>
      </c>
      <c r="AE216">
        <v>0</v>
      </c>
      <c r="AF216">
        <v>0</v>
      </c>
      <c r="AG216">
        <v>0</v>
      </c>
      <c r="AH216">
        <v>0</v>
      </c>
      <c r="AI216">
        <v>0</v>
      </c>
      <c r="AJ216">
        <v>0</v>
      </c>
      <c r="AK216">
        <v>1</v>
      </c>
      <c r="AL216">
        <v>0</v>
      </c>
      <c r="AM216">
        <v>0</v>
      </c>
      <c r="AN216">
        <v>0</v>
      </c>
      <c r="AO216">
        <v>0</v>
      </c>
      <c r="AP216">
        <v>0</v>
      </c>
      <c r="AQ216">
        <v>0</v>
      </c>
      <c r="AR216">
        <v>0</v>
      </c>
      <c r="AS216">
        <v>0</v>
      </c>
      <c r="AT216">
        <v>0</v>
      </c>
      <c r="AU216">
        <v>0</v>
      </c>
      <c r="AV216">
        <v>0</v>
      </c>
      <c r="AW216">
        <v>0</v>
      </c>
      <c r="AX216" s="141">
        <f t="shared" si="170"/>
        <v>1</v>
      </c>
      <c r="AY216" s="141">
        <f t="shared" si="171"/>
        <v>1</v>
      </c>
      <c r="AZ216">
        <f t="shared" si="172"/>
        <v>0</v>
      </c>
      <c r="BA216">
        <f t="shared" si="173"/>
        <v>0</v>
      </c>
      <c r="BB216">
        <f t="shared" si="174"/>
        <v>1</v>
      </c>
      <c r="BC216">
        <f t="shared" si="175"/>
        <v>0</v>
      </c>
      <c r="BD216">
        <f t="shared" si="176"/>
        <v>0</v>
      </c>
      <c r="BE216" t="str">
        <f t="array" ref="BE216">IF(AY216=1,INDEX($V$7:$AL$7,MATCH(TRUE,INDEX($V216:$AW216&lt;&gt;0,),0)),IF(AY216=0,INDEX($AM$7:$AW$7,MATCH(1,$AM216:$AW216,0)),IF(BF216="Multiple strategies","mixed drivers",IF(BF216="Supply chain","multiple supply","multiple silviculture"))))</f>
        <v>technologies/design switch</v>
      </c>
      <c r="BF216" s="2" t="str" cm="1">
        <f t="array" ref="BF216">IF(COUNTIF(AZ216:BB216,"&lt;&gt;0")=1,INDEX($V$4:$AW$4,MATCH(TRUE,INDEX($V216:$AW216&lt;&gt;0,),0)),IF(COUNTIF(AZ216:BB216,"&lt;&gt;0")=0,INDEX($AM$4:$AW$4,MATCH(1,$AM216:$AW216,0)),"Multiple strategies"))</f>
        <v>Technology</v>
      </c>
      <c r="BG216" s="1" t="s">
        <v>229</v>
      </c>
      <c r="BH216" t="s">
        <v>229</v>
      </c>
      <c r="BI216" s="264" t="s">
        <v>410</v>
      </c>
      <c r="BJ216" t="s">
        <v>345</v>
      </c>
      <c r="BK216">
        <v>0</v>
      </c>
      <c r="BL216">
        <v>23500</v>
      </c>
      <c r="BM216" s="143"/>
      <c r="BN216">
        <f t="shared" si="178"/>
        <v>23500</v>
      </c>
      <c r="BO216" s="143">
        <f t="shared" si="206"/>
        <v>47.95918367346939</v>
      </c>
      <c r="BP216" t="s">
        <v>232</v>
      </c>
      <c r="BQ216" s="300" t="s">
        <v>396</v>
      </c>
      <c r="BR216" t="s">
        <v>346</v>
      </c>
      <c r="BS216">
        <v>-12100</v>
      </c>
      <c r="BT216">
        <v>-6250</v>
      </c>
      <c r="BU216" s="144">
        <v>0.51652892561983466</v>
      </c>
      <c r="BV216">
        <f t="shared" si="207"/>
        <v>5850</v>
      </c>
      <c r="BW216"/>
      <c r="BX216">
        <f t="shared" si="208"/>
        <v>5.85</v>
      </c>
      <c r="BY216">
        <f t="shared" si="139"/>
        <v>0.12197872340425531</v>
      </c>
      <c r="BZ216">
        <v>0</v>
      </c>
      <c r="CA216">
        <v>0</v>
      </c>
      <c r="CB216">
        <v>0</v>
      </c>
      <c r="CC216">
        <v>0</v>
      </c>
      <c r="CD216">
        <v>0</v>
      </c>
      <c r="CE216">
        <v>0</v>
      </c>
      <c r="CF216">
        <v>0</v>
      </c>
      <c r="CG216">
        <v>0</v>
      </c>
      <c r="CH216">
        <v>0</v>
      </c>
      <c r="CI216">
        <v>0</v>
      </c>
      <c r="CJ216">
        <v>0</v>
      </c>
      <c r="CK216">
        <v>0</v>
      </c>
      <c r="CL216">
        <v>0</v>
      </c>
      <c r="CM216">
        <v>0</v>
      </c>
      <c r="CN216" t="str">
        <f t="shared" si="209"/>
        <v>refOK</v>
      </c>
      <c r="CO216">
        <f t="shared" si="210"/>
        <v>0</v>
      </c>
      <c r="CP216">
        <f t="shared" si="211"/>
        <v>23500</v>
      </c>
      <c r="CQ216">
        <f t="shared" si="186"/>
        <v>47.95918367346939</v>
      </c>
      <c r="CR216">
        <f t="shared" si="204"/>
        <v>-12100</v>
      </c>
      <c r="CS216">
        <f t="shared" si="205"/>
        <v>-6250</v>
      </c>
      <c r="CT216">
        <f t="shared" si="189"/>
        <v>5.85</v>
      </c>
      <c r="CU216">
        <f t="shared" si="190"/>
        <v>0.12197872340425531</v>
      </c>
      <c r="CV216" s="2">
        <f t="shared" si="191"/>
        <v>0.48347107438016529</v>
      </c>
      <c r="CW216" s="1" t="s">
        <v>347</v>
      </c>
      <c r="CX216" t="str">
        <f t="shared" si="192"/>
        <v>loc</v>
      </c>
      <c r="CY216" t="s">
        <v>348</v>
      </c>
      <c r="CZ216">
        <v>2014</v>
      </c>
      <c r="DA216">
        <v>2034</v>
      </c>
      <c r="DB216">
        <v>20</v>
      </c>
      <c r="DC216" t="str">
        <f t="shared" si="193"/>
        <v>1-30</v>
      </c>
      <c r="DD216">
        <v>0</v>
      </c>
      <c r="DE216">
        <v>0</v>
      </c>
      <c r="DF216">
        <v>0</v>
      </c>
      <c r="DG216">
        <v>1</v>
      </c>
      <c r="DH216"/>
      <c r="DI216">
        <f t="shared" si="194"/>
        <v>1</v>
      </c>
      <c r="DJ216" t="str">
        <f t="shared" si="195"/>
        <v>TimberInput</v>
      </c>
      <c r="DK216">
        <f t="shared" si="196"/>
        <v>0</v>
      </c>
      <c r="DL216">
        <f t="shared" si="197"/>
        <v>0</v>
      </c>
      <c r="DM216">
        <f t="shared" si="198"/>
        <v>0</v>
      </c>
      <c r="DN216" t="str">
        <f t="shared" si="199"/>
        <v>Timber</v>
      </c>
      <c r="DO216">
        <v>0</v>
      </c>
      <c r="DP216">
        <v>0</v>
      </c>
      <c r="DQ216">
        <v>0</v>
      </c>
      <c r="DR216">
        <v>0</v>
      </c>
      <c r="DS216">
        <v>0</v>
      </c>
      <c r="DT216">
        <f t="shared" si="200"/>
        <v>0</v>
      </c>
      <c r="DU216" s="143" t="str">
        <f t="shared" si="201"/>
        <v>explicit C balance</v>
      </c>
      <c r="DV216">
        <v>0</v>
      </c>
      <c r="DW216">
        <v>0</v>
      </c>
      <c r="DX216">
        <v>0</v>
      </c>
      <c r="DY216">
        <v>1</v>
      </c>
      <c r="DZ216">
        <v>0</v>
      </c>
      <c r="EA216" s="143">
        <v>1</v>
      </c>
      <c r="EB216">
        <v>0</v>
      </c>
      <c r="EC216">
        <v>1</v>
      </c>
      <c r="ED216">
        <v>1</v>
      </c>
      <c r="EE216">
        <v>1</v>
      </c>
      <c r="EF216">
        <v>0</v>
      </c>
      <c r="EG216">
        <v>0</v>
      </c>
      <c r="EH216">
        <v>0</v>
      </c>
      <c r="EI216" s="2">
        <v>0</v>
      </c>
      <c r="EJ216" s="1"/>
      <c r="EK216" t="str">
        <f t="shared" si="202"/>
        <v/>
      </c>
      <c r="EL216" t="str">
        <f t="shared" si="203"/>
        <v/>
      </c>
      <c r="EM216" s="2" t="str">
        <f t="shared" si="140"/>
        <v>Technology approach</v>
      </c>
      <c r="EN216"/>
      <c r="EO216"/>
      <c r="EP216" t="str">
        <f>IF(ISNUMBER(BU216),IF(ABS(BU216-[3]QC_indicators!$B$2)&gt;3*[3]QC_indicators!$C$2,"C ratio",IF(ISNUMBER(BY216),IF(ABS(BY216-[3]QC_indicators!$B$1)&gt;3*[3]QC_indicators!$C$1,"DF","no"))),IF(ISNUMBER(BY216),IF(ABS(BY216-[3]QC_indicators!$B$1)&gt;3*[3]QC_indicators!$C$1,"DF","no")))</f>
        <v>no</v>
      </c>
      <c r="EQ216"/>
      <c r="ER216" s="149" t="s">
        <v>349</v>
      </c>
      <c r="ES216"/>
      <c r="ET216" s="264" t="s">
        <v>3272</v>
      </c>
      <c r="EU216"/>
    </row>
    <row r="217" spans="1:151" s="139" customFormat="1" ht="15" hidden="1" customHeight="1">
      <c r="A217" s="1" t="s">
        <v>333</v>
      </c>
      <c r="B217" t="s">
        <v>334</v>
      </c>
      <c r="C217" t="s">
        <v>335</v>
      </c>
      <c r="D217" t="s">
        <v>336</v>
      </c>
      <c r="E217" t="s">
        <v>337</v>
      </c>
      <c r="F217" t="s">
        <v>338</v>
      </c>
      <c r="G217" t="s">
        <v>339</v>
      </c>
      <c r="H217"/>
      <c r="I217">
        <v>2017</v>
      </c>
      <c r="J217"/>
      <c r="K217" t="s">
        <v>340</v>
      </c>
      <c r="L217"/>
      <c r="M217" t="str">
        <f t="shared" si="161"/>
        <v>Balasbaneh_2017</v>
      </c>
      <c r="N217" t="s">
        <v>222</v>
      </c>
      <c r="O217" s="140" t="s">
        <v>341</v>
      </c>
      <c r="P217"/>
      <c r="Q217" t="s">
        <v>224</v>
      </c>
      <c r="R217" s="262" t="s">
        <v>223</v>
      </c>
      <c r="S217" s="1" t="s">
        <v>353</v>
      </c>
      <c r="T217" t="s">
        <v>343</v>
      </c>
      <c r="U217" t="s">
        <v>344</v>
      </c>
      <c r="V217">
        <v>0</v>
      </c>
      <c r="W217">
        <v>0</v>
      </c>
      <c r="X217">
        <v>0</v>
      </c>
      <c r="Y217">
        <v>0</v>
      </c>
      <c r="Z217">
        <v>0</v>
      </c>
      <c r="AA217">
        <v>0</v>
      </c>
      <c r="AB217">
        <v>0</v>
      </c>
      <c r="AC217">
        <v>0</v>
      </c>
      <c r="AD217">
        <v>0</v>
      </c>
      <c r="AE217">
        <v>0</v>
      </c>
      <c r="AF217">
        <v>0</v>
      </c>
      <c r="AG217">
        <v>0</v>
      </c>
      <c r="AH217">
        <v>0</v>
      </c>
      <c r="AI217">
        <v>0</v>
      </c>
      <c r="AJ217">
        <v>0</v>
      </c>
      <c r="AK217">
        <v>1</v>
      </c>
      <c r="AL217">
        <v>0</v>
      </c>
      <c r="AM217">
        <v>0</v>
      </c>
      <c r="AN217">
        <v>0</v>
      </c>
      <c r="AO217">
        <v>0</v>
      </c>
      <c r="AP217">
        <v>0</v>
      </c>
      <c r="AQ217">
        <v>0</v>
      </c>
      <c r="AR217">
        <v>0</v>
      </c>
      <c r="AS217">
        <v>0</v>
      </c>
      <c r="AT217">
        <v>0</v>
      </c>
      <c r="AU217">
        <v>0</v>
      </c>
      <c r="AV217">
        <v>0</v>
      </c>
      <c r="AW217">
        <v>0</v>
      </c>
      <c r="AX217" s="141">
        <f t="shared" si="170"/>
        <v>1</v>
      </c>
      <c r="AY217" s="141">
        <f t="shared" si="171"/>
        <v>1</v>
      </c>
      <c r="AZ217">
        <f t="shared" si="172"/>
        <v>0</v>
      </c>
      <c r="BA217">
        <f t="shared" si="173"/>
        <v>0</v>
      </c>
      <c r="BB217">
        <f t="shared" si="174"/>
        <v>1</v>
      </c>
      <c r="BC217">
        <f t="shared" si="175"/>
        <v>0</v>
      </c>
      <c r="BD217">
        <f t="shared" si="176"/>
        <v>0</v>
      </c>
      <c r="BE217" t="str">
        <f t="array" ref="BE217">IF(AY217=1,INDEX($V$7:$AL$7,MATCH(TRUE,INDEX($V217:$AW217&lt;&gt;0,),0)),IF(AY217=0,INDEX($AM$7:$AW$7,MATCH(1,$AM217:$AW217,0)),IF(BF217="Multiple strategies","mixed drivers",IF(BF217="Supply chain","multiple supply","multiple silviculture"))))</f>
        <v>technologies/design switch</v>
      </c>
      <c r="BF217" s="2" t="str" cm="1">
        <f t="array" ref="BF217">IF(COUNTIF(AZ217:BB217,"&lt;&gt;0")=1,INDEX($V$4:$AW$4,MATCH(TRUE,INDEX($V217:$AW217&lt;&gt;0,),0)),IF(COUNTIF(AZ217:BB217,"&lt;&gt;0")=0,INDEX($AM$4:$AW$4,MATCH(1,$AM217:$AW217,0)),"Multiple strategies"))</f>
        <v>Technology</v>
      </c>
      <c r="BG217" s="1" t="s">
        <v>229</v>
      </c>
      <c r="BH217" t="s">
        <v>229</v>
      </c>
      <c r="BI217" s="264" t="s">
        <v>410</v>
      </c>
      <c r="BJ217" t="s">
        <v>345</v>
      </c>
      <c r="BK217">
        <v>0</v>
      </c>
      <c r="BL217">
        <v>23500</v>
      </c>
      <c r="BM217" s="143"/>
      <c r="BN217">
        <f t="shared" si="178"/>
        <v>23500</v>
      </c>
      <c r="BO217" s="143">
        <f t="shared" si="206"/>
        <v>47.95918367346939</v>
      </c>
      <c r="BP217" t="s">
        <v>232</v>
      </c>
      <c r="BQ217" s="300" t="s">
        <v>396</v>
      </c>
      <c r="BR217" t="s">
        <v>346</v>
      </c>
      <c r="BS217">
        <v>-11900</v>
      </c>
      <c r="BT217">
        <v>-6020</v>
      </c>
      <c r="BU217" s="144">
        <v>0.50588235294117645</v>
      </c>
      <c r="BV217">
        <f t="shared" si="207"/>
        <v>5880</v>
      </c>
      <c r="BW217"/>
      <c r="BX217">
        <f t="shared" si="208"/>
        <v>5.88</v>
      </c>
      <c r="BY217">
        <f t="shared" si="139"/>
        <v>0.12260425531914892</v>
      </c>
      <c r="BZ217">
        <v>0</v>
      </c>
      <c r="CA217">
        <v>0</v>
      </c>
      <c r="CB217">
        <v>0</v>
      </c>
      <c r="CC217">
        <v>0</v>
      </c>
      <c r="CD217">
        <v>0</v>
      </c>
      <c r="CE217">
        <v>0</v>
      </c>
      <c r="CF217">
        <v>0</v>
      </c>
      <c r="CG217">
        <v>0</v>
      </c>
      <c r="CH217">
        <v>0</v>
      </c>
      <c r="CI217">
        <v>0</v>
      </c>
      <c r="CJ217">
        <v>0</v>
      </c>
      <c r="CK217">
        <v>0</v>
      </c>
      <c r="CL217">
        <v>0</v>
      </c>
      <c r="CM217">
        <v>0</v>
      </c>
      <c r="CN217" t="str">
        <f t="shared" si="209"/>
        <v>refOK</v>
      </c>
      <c r="CO217">
        <f t="shared" si="210"/>
        <v>0</v>
      </c>
      <c r="CP217">
        <f t="shared" si="211"/>
        <v>23500</v>
      </c>
      <c r="CQ217">
        <f t="shared" si="186"/>
        <v>47.95918367346939</v>
      </c>
      <c r="CR217">
        <f t="shared" si="204"/>
        <v>-11900</v>
      </c>
      <c r="CS217">
        <f t="shared" si="205"/>
        <v>-6020</v>
      </c>
      <c r="CT217">
        <f t="shared" si="189"/>
        <v>5.88</v>
      </c>
      <c r="CU217">
        <f t="shared" si="190"/>
        <v>0.12260425531914892</v>
      </c>
      <c r="CV217" s="2">
        <f t="shared" si="191"/>
        <v>0.49411764705882355</v>
      </c>
      <c r="CW217" s="1" t="s">
        <v>347</v>
      </c>
      <c r="CX217" t="str">
        <f t="shared" si="192"/>
        <v>loc</v>
      </c>
      <c r="CY217" t="s">
        <v>348</v>
      </c>
      <c r="CZ217">
        <v>2014</v>
      </c>
      <c r="DA217">
        <v>2034</v>
      </c>
      <c r="DB217">
        <v>20</v>
      </c>
      <c r="DC217" t="str">
        <f t="shared" si="193"/>
        <v>1-30</v>
      </c>
      <c r="DD217">
        <v>0</v>
      </c>
      <c r="DE217">
        <v>0</v>
      </c>
      <c r="DF217">
        <v>0</v>
      </c>
      <c r="DG217">
        <v>1</v>
      </c>
      <c r="DH217"/>
      <c r="DI217">
        <f t="shared" si="194"/>
        <v>1</v>
      </c>
      <c r="DJ217" t="str">
        <f t="shared" si="195"/>
        <v>TimberInput</v>
      </c>
      <c r="DK217">
        <f t="shared" si="196"/>
        <v>0</v>
      </c>
      <c r="DL217">
        <f t="shared" si="197"/>
        <v>0</v>
      </c>
      <c r="DM217">
        <f t="shared" si="198"/>
        <v>0</v>
      </c>
      <c r="DN217" t="str">
        <f t="shared" si="199"/>
        <v>Timber</v>
      </c>
      <c r="DO217">
        <v>0</v>
      </c>
      <c r="DP217">
        <v>0</v>
      </c>
      <c r="DQ217">
        <v>0</v>
      </c>
      <c r="DR217">
        <v>0</v>
      </c>
      <c r="DS217">
        <v>0</v>
      </c>
      <c r="DT217">
        <f t="shared" si="200"/>
        <v>0</v>
      </c>
      <c r="DU217" s="143" t="str">
        <f t="shared" si="201"/>
        <v>explicit C balance</v>
      </c>
      <c r="DV217">
        <v>0</v>
      </c>
      <c r="DW217">
        <v>0</v>
      </c>
      <c r="DX217">
        <v>0</v>
      </c>
      <c r="DY217">
        <v>1</v>
      </c>
      <c r="DZ217">
        <v>0</v>
      </c>
      <c r="EA217" s="143">
        <v>1</v>
      </c>
      <c r="EB217">
        <v>0</v>
      </c>
      <c r="EC217">
        <v>1</v>
      </c>
      <c r="ED217">
        <v>1</v>
      </c>
      <c r="EE217">
        <v>1</v>
      </c>
      <c r="EF217">
        <v>0</v>
      </c>
      <c r="EG217">
        <v>0</v>
      </c>
      <c r="EH217">
        <v>0</v>
      </c>
      <c r="EI217" s="2">
        <v>0</v>
      </c>
      <c r="EJ217" s="1"/>
      <c r="EK217" t="str">
        <f t="shared" si="202"/>
        <v/>
      </c>
      <c r="EL217" t="str">
        <f t="shared" si="203"/>
        <v/>
      </c>
      <c r="EM217" s="2" t="str">
        <f t="shared" si="140"/>
        <v>Technology approach</v>
      </c>
      <c r="EN217"/>
      <c r="EO217"/>
      <c r="EP217" t="str">
        <f>IF(ISNUMBER(BU217),IF(ABS(BU217-[3]QC_indicators!$B$2)&gt;3*[3]QC_indicators!$C$2,"C ratio",IF(ISNUMBER(BY217),IF(ABS(BY217-[3]QC_indicators!$B$1)&gt;3*[3]QC_indicators!$C$1,"DF","no"))),IF(ISNUMBER(BY217),IF(ABS(BY217-[3]QC_indicators!$B$1)&gt;3*[3]QC_indicators!$C$1,"DF","no")))</f>
        <v>no</v>
      </c>
      <c r="EQ217"/>
      <c r="ER217" s="149" t="s">
        <v>349</v>
      </c>
      <c r="ES217"/>
      <c r="ET217" s="264" t="s">
        <v>3272</v>
      </c>
      <c r="EU217"/>
    </row>
    <row r="218" spans="1:151" s="139" customFormat="1" ht="15" hidden="1" customHeight="1">
      <c r="A218" s="1" t="s">
        <v>333</v>
      </c>
      <c r="B218" t="s">
        <v>334</v>
      </c>
      <c r="C218" t="s">
        <v>335</v>
      </c>
      <c r="D218" t="s">
        <v>336</v>
      </c>
      <c r="E218" t="s">
        <v>337</v>
      </c>
      <c r="F218" t="s">
        <v>338</v>
      </c>
      <c r="G218" t="s">
        <v>339</v>
      </c>
      <c r="H218"/>
      <c r="I218">
        <v>2017</v>
      </c>
      <c r="J218"/>
      <c r="K218" t="s">
        <v>340</v>
      </c>
      <c r="L218"/>
      <c r="M218" t="str">
        <f t="shared" si="161"/>
        <v>Balasbaneh_2017</v>
      </c>
      <c r="N218" t="s">
        <v>222</v>
      </c>
      <c r="O218" s="140" t="s">
        <v>341</v>
      </c>
      <c r="P218"/>
      <c r="Q218" t="s">
        <v>224</v>
      </c>
      <c r="R218" s="262" t="s">
        <v>223</v>
      </c>
      <c r="S218" s="1" t="s">
        <v>354</v>
      </c>
      <c r="T218" t="s">
        <v>343</v>
      </c>
      <c r="U218" t="s">
        <v>351</v>
      </c>
      <c r="V218">
        <v>0</v>
      </c>
      <c r="W218">
        <v>0</v>
      </c>
      <c r="X218">
        <v>0</v>
      </c>
      <c r="Y218">
        <v>0</v>
      </c>
      <c r="Z218">
        <v>0</v>
      </c>
      <c r="AA218">
        <v>0</v>
      </c>
      <c r="AB218">
        <v>0</v>
      </c>
      <c r="AC218">
        <v>0</v>
      </c>
      <c r="AD218">
        <v>0</v>
      </c>
      <c r="AE218">
        <v>0</v>
      </c>
      <c r="AF218">
        <v>0</v>
      </c>
      <c r="AG218">
        <v>0</v>
      </c>
      <c r="AH218">
        <v>0</v>
      </c>
      <c r="AI218">
        <v>0</v>
      </c>
      <c r="AJ218">
        <v>0</v>
      </c>
      <c r="AK218">
        <v>1</v>
      </c>
      <c r="AL218">
        <v>0</v>
      </c>
      <c r="AM218">
        <v>0</v>
      </c>
      <c r="AN218">
        <v>0</v>
      </c>
      <c r="AO218">
        <v>0</v>
      </c>
      <c r="AP218">
        <v>0</v>
      </c>
      <c r="AQ218">
        <v>0</v>
      </c>
      <c r="AR218">
        <v>0</v>
      </c>
      <c r="AS218">
        <v>0</v>
      </c>
      <c r="AT218">
        <v>0</v>
      </c>
      <c r="AU218">
        <v>0</v>
      </c>
      <c r="AV218">
        <v>0</v>
      </c>
      <c r="AW218">
        <v>0</v>
      </c>
      <c r="AX218" s="141">
        <f t="shared" si="170"/>
        <v>1</v>
      </c>
      <c r="AY218" s="141">
        <f t="shared" si="171"/>
        <v>1</v>
      </c>
      <c r="AZ218">
        <f t="shared" si="172"/>
        <v>0</v>
      </c>
      <c r="BA218">
        <f t="shared" si="173"/>
        <v>0</v>
      </c>
      <c r="BB218">
        <f t="shared" si="174"/>
        <v>1</v>
      </c>
      <c r="BC218">
        <f t="shared" si="175"/>
        <v>0</v>
      </c>
      <c r="BD218">
        <f t="shared" si="176"/>
        <v>0</v>
      </c>
      <c r="BE218" t="str">
        <f t="array" ref="BE218">IF(AY218=1,INDEX($V$7:$AL$7,MATCH(TRUE,INDEX($V218:$AW218&lt;&gt;0,),0)),IF(AY218=0,INDEX($AM$7:$AW$7,MATCH(1,$AM218:$AW218,0)),IF(BF218="Multiple strategies","mixed drivers",IF(BF218="Supply chain","multiple supply","multiple silviculture"))))</f>
        <v>technologies/design switch</v>
      </c>
      <c r="BF218" s="2" t="str" cm="1">
        <f t="array" ref="BF218">IF(COUNTIF(AZ218:BB218,"&lt;&gt;0")=1,INDEX($V$4:$AW$4,MATCH(TRUE,INDEX($V218:$AW218&lt;&gt;0,),0)),IF(COUNTIF(AZ218:BB218,"&lt;&gt;0")=0,INDEX($AM$4:$AW$4,MATCH(1,$AM218:$AW218,0)),"Multiple strategies"))</f>
        <v>Technology</v>
      </c>
      <c r="BG218" s="1" t="s">
        <v>229</v>
      </c>
      <c r="BH218" t="s">
        <v>229</v>
      </c>
      <c r="BI218" s="264" t="s">
        <v>410</v>
      </c>
      <c r="BJ218" t="s">
        <v>345</v>
      </c>
      <c r="BK218">
        <v>0</v>
      </c>
      <c r="BL218">
        <v>23500</v>
      </c>
      <c r="BM218" s="143"/>
      <c r="BN218">
        <f t="shared" si="178"/>
        <v>23500</v>
      </c>
      <c r="BO218" s="143">
        <f t="shared" si="206"/>
        <v>47.95918367346939</v>
      </c>
      <c r="BP218" t="s">
        <v>232</v>
      </c>
      <c r="BQ218" s="300" t="s">
        <v>396</v>
      </c>
      <c r="BR218" t="s">
        <v>346</v>
      </c>
      <c r="BS218">
        <v>-11900</v>
      </c>
      <c r="BT218">
        <v>-5800</v>
      </c>
      <c r="BU218" s="144">
        <v>0.48739495798319327</v>
      </c>
      <c r="BV218">
        <f t="shared" si="207"/>
        <v>6100</v>
      </c>
      <c r="BW218"/>
      <c r="BX218">
        <f t="shared" si="208"/>
        <v>6.1</v>
      </c>
      <c r="BY218">
        <f t="shared" si="139"/>
        <v>0.1271914893617021</v>
      </c>
      <c r="BZ218">
        <v>0</v>
      </c>
      <c r="CA218">
        <v>0</v>
      </c>
      <c r="CB218">
        <v>0</v>
      </c>
      <c r="CC218">
        <v>0</v>
      </c>
      <c r="CD218">
        <v>0</v>
      </c>
      <c r="CE218">
        <v>0</v>
      </c>
      <c r="CF218">
        <v>0</v>
      </c>
      <c r="CG218">
        <v>0</v>
      </c>
      <c r="CH218">
        <v>0</v>
      </c>
      <c r="CI218">
        <v>0</v>
      </c>
      <c r="CJ218">
        <v>0</v>
      </c>
      <c r="CK218">
        <v>0</v>
      </c>
      <c r="CL218">
        <v>0</v>
      </c>
      <c r="CM218">
        <v>0</v>
      </c>
      <c r="CN218" t="str">
        <f t="shared" si="209"/>
        <v>refOK</v>
      </c>
      <c r="CO218">
        <f t="shared" si="210"/>
        <v>0</v>
      </c>
      <c r="CP218">
        <f t="shared" si="211"/>
        <v>23500</v>
      </c>
      <c r="CQ218">
        <f t="shared" si="186"/>
        <v>47.95918367346939</v>
      </c>
      <c r="CR218">
        <f t="shared" si="204"/>
        <v>-11900</v>
      </c>
      <c r="CS218">
        <f t="shared" si="205"/>
        <v>-5800</v>
      </c>
      <c r="CT218">
        <f t="shared" si="189"/>
        <v>6.1</v>
      </c>
      <c r="CU218">
        <f t="shared" si="190"/>
        <v>0.1271914893617021</v>
      </c>
      <c r="CV218" s="2">
        <f t="shared" si="191"/>
        <v>0.51260504201680668</v>
      </c>
      <c r="CW218" s="1" t="s">
        <v>347</v>
      </c>
      <c r="CX218" t="str">
        <f t="shared" si="192"/>
        <v>loc</v>
      </c>
      <c r="CY218" t="s">
        <v>348</v>
      </c>
      <c r="CZ218">
        <v>2014</v>
      </c>
      <c r="DA218">
        <v>2114</v>
      </c>
      <c r="DB218">
        <v>100</v>
      </c>
      <c r="DC218" t="str">
        <f t="shared" si="193"/>
        <v>71-100</v>
      </c>
      <c r="DD218">
        <v>0</v>
      </c>
      <c r="DE218">
        <v>0</v>
      </c>
      <c r="DF218">
        <v>0</v>
      </c>
      <c r="DG218">
        <v>1</v>
      </c>
      <c r="DH218"/>
      <c r="DI218">
        <f t="shared" si="194"/>
        <v>1</v>
      </c>
      <c r="DJ218" t="str">
        <f t="shared" si="195"/>
        <v>TimberInput</v>
      </c>
      <c r="DK218">
        <f t="shared" si="196"/>
        <v>0</v>
      </c>
      <c r="DL218">
        <f t="shared" si="197"/>
        <v>0</v>
      </c>
      <c r="DM218">
        <f t="shared" si="198"/>
        <v>0</v>
      </c>
      <c r="DN218" t="str">
        <f t="shared" si="199"/>
        <v>Timber</v>
      </c>
      <c r="DO218">
        <v>0</v>
      </c>
      <c r="DP218">
        <v>0</v>
      </c>
      <c r="DQ218">
        <v>0</v>
      </c>
      <c r="DR218">
        <v>0</v>
      </c>
      <c r="DS218">
        <v>0</v>
      </c>
      <c r="DT218">
        <f t="shared" si="200"/>
        <v>0</v>
      </c>
      <c r="DU218" s="143" t="str">
        <f t="shared" si="201"/>
        <v>explicit C balance</v>
      </c>
      <c r="DV218">
        <v>0</v>
      </c>
      <c r="DW218">
        <v>0</v>
      </c>
      <c r="DX218">
        <v>0</v>
      </c>
      <c r="DY218">
        <v>1</v>
      </c>
      <c r="DZ218">
        <v>0</v>
      </c>
      <c r="EA218" s="143">
        <v>1</v>
      </c>
      <c r="EB218">
        <v>0</v>
      </c>
      <c r="EC218">
        <v>1</v>
      </c>
      <c r="ED218">
        <v>1</v>
      </c>
      <c r="EE218">
        <v>1</v>
      </c>
      <c r="EF218">
        <v>0</v>
      </c>
      <c r="EG218">
        <v>0</v>
      </c>
      <c r="EH218">
        <v>0</v>
      </c>
      <c r="EI218" s="2">
        <v>0</v>
      </c>
      <c r="EJ218" s="1"/>
      <c r="EK218" t="str">
        <f t="shared" si="202"/>
        <v/>
      </c>
      <c r="EL218" t="str">
        <f t="shared" si="203"/>
        <v/>
      </c>
      <c r="EM218" s="2" t="str">
        <f t="shared" si="140"/>
        <v>Technology approach</v>
      </c>
      <c r="EN218"/>
      <c r="EO218"/>
      <c r="EP218" t="str">
        <f>IF(ISNUMBER(BU218),IF(ABS(BU218-[3]QC_indicators!$B$2)&gt;3*[3]QC_indicators!$C$2,"C ratio",IF(ISNUMBER(BY218),IF(ABS(BY218-[3]QC_indicators!$B$1)&gt;3*[3]QC_indicators!$C$1,"DF","no"))),IF(ISNUMBER(BY218),IF(ABS(BY218-[3]QC_indicators!$B$1)&gt;3*[3]QC_indicators!$C$1,"DF","no")))</f>
        <v>no</v>
      </c>
      <c r="EQ218"/>
      <c r="ER218" s="149" t="s">
        <v>349</v>
      </c>
      <c r="ES218"/>
      <c r="ET218" s="264" t="s">
        <v>3272</v>
      </c>
      <c r="EU218"/>
    </row>
    <row r="219" spans="1:151" s="139" customFormat="1" ht="15" hidden="1" customHeight="1">
      <c r="A219" s="1" t="s">
        <v>333</v>
      </c>
      <c r="B219" t="s">
        <v>334</v>
      </c>
      <c r="C219" t="s">
        <v>335</v>
      </c>
      <c r="D219" t="s">
        <v>336</v>
      </c>
      <c r="E219" t="s">
        <v>337</v>
      </c>
      <c r="F219" t="s">
        <v>338</v>
      </c>
      <c r="G219" t="s">
        <v>339</v>
      </c>
      <c r="H219"/>
      <c r="I219">
        <v>2017</v>
      </c>
      <c r="J219"/>
      <c r="K219" t="s">
        <v>340</v>
      </c>
      <c r="L219"/>
      <c r="M219" t="str">
        <f t="shared" si="161"/>
        <v>Balasbaneh_2017</v>
      </c>
      <c r="N219" t="s">
        <v>222</v>
      </c>
      <c r="O219" s="140" t="s">
        <v>341</v>
      </c>
      <c r="P219"/>
      <c r="Q219" t="s">
        <v>224</v>
      </c>
      <c r="R219" s="262" t="s">
        <v>223</v>
      </c>
      <c r="S219" s="1" t="s">
        <v>355</v>
      </c>
      <c r="T219" t="s">
        <v>343</v>
      </c>
      <c r="U219" t="s">
        <v>351</v>
      </c>
      <c r="V219">
        <v>0</v>
      </c>
      <c r="W219">
        <v>0</v>
      </c>
      <c r="X219">
        <v>0</v>
      </c>
      <c r="Y219">
        <v>0</v>
      </c>
      <c r="Z219">
        <v>0</v>
      </c>
      <c r="AA219">
        <v>0</v>
      </c>
      <c r="AB219">
        <v>0</v>
      </c>
      <c r="AC219">
        <v>0</v>
      </c>
      <c r="AD219">
        <v>0</v>
      </c>
      <c r="AE219">
        <v>0</v>
      </c>
      <c r="AF219">
        <v>0</v>
      </c>
      <c r="AG219">
        <v>0</v>
      </c>
      <c r="AH219">
        <v>0</v>
      </c>
      <c r="AI219">
        <v>0</v>
      </c>
      <c r="AJ219">
        <v>0</v>
      </c>
      <c r="AK219">
        <v>1</v>
      </c>
      <c r="AL219">
        <v>0</v>
      </c>
      <c r="AM219">
        <v>0</v>
      </c>
      <c r="AN219">
        <v>0</v>
      </c>
      <c r="AO219">
        <v>0</v>
      </c>
      <c r="AP219">
        <v>0</v>
      </c>
      <c r="AQ219">
        <v>0</v>
      </c>
      <c r="AR219">
        <v>0</v>
      </c>
      <c r="AS219">
        <v>0</v>
      </c>
      <c r="AT219">
        <v>0</v>
      </c>
      <c r="AU219">
        <v>0</v>
      </c>
      <c r="AV219">
        <v>0</v>
      </c>
      <c r="AW219">
        <v>0</v>
      </c>
      <c r="AX219" s="141">
        <f t="shared" si="170"/>
        <v>1</v>
      </c>
      <c r="AY219" s="141">
        <f t="shared" si="171"/>
        <v>1</v>
      </c>
      <c r="AZ219">
        <f t="shared" si="172"/>
        <v>0</v>
      </c>
      <c r="BA219">
        <f t="shared" si="173"/>
        <v>0</v>
      </c>
      <c r="BB219">
        <f t="shared" si="174"/>
        <v>1</v>
      </c>
      <c r="BC219">
        <f t="shared" si="175"/>
        <v>0</v>
      </c>
      <c r="BD219">
        <f t="shared" si="176"/>
        <v>0</v>
      </c>
      <c r="BE219" t="str">
        <f t="array" ref="BE219">IF(AY219=1,INDEX($V$7:$AL$7,MATCH(TRUE,INDEX($V219:$AW219&lt;&gt;0,),0)),IF(AY219=0,INDEX($AM$7:$AW$7,MATCH(1,$AM219:$AW219,0)),IF(BF219="Multiple strategies","mixed drivers",IF(BF219="Supply chain","multiple supply","multiple silviculture"))))</f>
        <v>technologies/design switch</v>
      </c>
      <c r="BF219" s="2" t="str" cm="1">
        <f t="array" ref="BF219">IF(COUNTIF(AZ219:BB219,"&lt;&gt;0")=1,INDEX($V$4:$AW$4,MATCH(TRUE,INDEX($V219:$AW219&lt;&gt;0,),0)),IF(COUNTIF(AZ219:BB219,"&lt;&gt;0")=0,INDEX($AM$4:$AW$4,MATCH(1,$AM219:$AW219,0)),"Multiple strategies"))</f>
        <v>Technology</v>
      </c>
      <c r="BG219" s="1" t="s">
        <v>229</v>
      </c>
      <c r="BH219" t="s">
        <v>229</v>
      </c>
      <c r="BI219" s="264" t="s">
        <v>410</v>
      </c>
      <c r="BJ219" t="s">
        <v>345</v>
      </c>
      <c r="BK219">
        <v>0</v>
      </c>
      <c r="BL219">
        <v>23500</v>
      </c>
      <c r="BM219" s="143"/>
      <c r="BN219">
        <f t="shared" si="178"/>
        <v>23500</v>
      </c>
      <c r="BO219" s="143">
        <f t="shared" si="206"/>
        <v>47.95918367346939</v>
      </c>
      <c r="BP219" t="s">
        <v>232</v>
      </c>
      <c r="BQ219" s="300" t="s">
        <v>396</v>
      </c>
      <c r="BR219" t="s">
        <v>346</v>
      </c>
      <c r="BS219">
        <v>-12100</v>
      </c>
      <c r="BT219">
        <v>-5830</v>
      </c>
      <c r="BU219" s="144">
        <v>0.48181818181818181</v>
      </c>
      <c r="BV219">
        <f t="shared" si="207"/>
        <v>6270</v>
      </c>
      <c r="BW219"/>
      <c r="BX219">
        <f t="shared" si="208"/>
        <v>6.27</v>
      </c>
      <c r="BY219">
        <f t="shared" si="139"/>
        <v>0.13073617021276596</v>
      </c>
      <c r="BZ219">
        <v>0</v>
      </c>
      <c r="CA219">
        <v>0</v>
      </c>
      <c r="CB219">
        <v>0</v>
      </c>
      <c r="CC219">
        <v>0</v>
      </c>
      <c r="CD219">
        <v>0</v>
      </c>
      <c r="CE219">
        <v>0</v>
      </c>
      <c r="CF219">
        <v>0</v>
      </c>
      <c r="CG219">
        <v>0</v>
      </c>
      <c r="CH219">
        <v>0</v>
      </c>
      <c r="CI219">
        <v>0</v>
      </c>
      <c r="CJ219">
        <v>0</v>
      </c>
      <c r="CK219">
        <v>0</v>
      </c>
      <c r="CL219">
        <v>0</v>
      </c>
      <c r="CM219">
        <v>0</v>
      </c>
      <c r="CN219" t="str">
        <f t="shared" si="209"/>
        <v>refOK</v>
      </c>
      <c r="CO219">
        <f t="shared" si="210"/>
        <v>0</v>
      </c>
      <c r="CP219">
        <f t="shared" si="211"/>
        <v>23500</v>
      </c>
      <c r="CQ219">
        <f t="shared" si="186"/>
        <v>47.95918367346939</v>
      </c>
      <c r="CR219">
        <f t="shared" si="204"/>
        <v>-12100</v>
      </c>
      <c r="CS219">
        <f t="shared" si="205"/>
        <v>-5830</v>
      </c>
      <c r="CT219">
        <f t="shared" si="189"/>
        <v>6.27</v>
      </c>
      <c r="CU219">
        <f t="shared" si="190"/>
        <v>0.13073617021276596</v>
      </c>
      <c r="CV219" s="2">
        <f t="shared" si="191"/>
        <v>0.51818181818181819</v>
      </c>
      <c r="CW219" s="1" t="s">
        <v>347</v>
      </c>
      <c r="CX219" t="str">
        <f t="shared" si="192"/>
        <v>loc</v>
      </c>
      <c r="CY219" t="s">
        <v>348</v>
      </c>
      <c r="CZ219">
        <v>2014</v>
      </c>
      <c r="DA219">
        <v>2114</v>
      </c>
      <c r="DB219">
        <v>100</v>
      </c>
      <c r="DC219" t="str">
        <f t="shared" si="193"/>
        <v>71-100</v>
      </c>
      <c r="DD219">
        <v>0</v>
      </c>
      <c r="DE219">
        <v>0</v>
      </c>
      <c r="DF219">
        <v>0</v>
      </c>
      <c r="DG219">
        <v>1</v>
      </c>
      <c r="DH219"/>
      <c r="DI219">
        <f t="shared" si="194"/>
        <v>1</v>
      </c>
      <c r="DJ219" t="str">
        <f t="shared" si="195"/>
        <v>TimberInput</v>
      </c>
      <c r="DK219">
        <f t="shared" si="196"/>
        <v>0</v>
      </c>
      <c r="DL219">
        <f t="shared" si="197"/>
        <v>0</v>
      </c>
      <c r="DM219">
        <f t="shared" si="198"/>
        <v>0</v>
      </c>
      <c r="DN219" t="str">
        <f t="shared" si="199"/>
        <v>Timber</v>
      </c>
      <c r="DO219">
        <v>0</v>
      </c>
      <c r="DP219">
        <v>0</v>
      </c>
      <c r="DQ219">
        <v>0</v>
      </c>
      <c r="DR219">
        <v>0</v>
      </c>
      <c r="DS219">
        <v>0</v>
      </c>
      <c r="DT219">
        <f t="shared" si="200"/>
        <v>0</v>
      </c>
      <c r="DU219" s="143" t="str">
        <f t="shared" si="201"/>
        <v>explicit C balance</v>
      </c>
      <c r="DV219">
        <v>0</v>
      </c>
      <c r="DW219">
        <v>0</v>
      </c>
      <c r="DX219">
        <v>0</v>
      </c>
      <c r="DY219">
        <v>1</v>
      </c>
      <c r="DZ219">
        <v>0</v>
      </c>
      <c r="EA219" s="143">
        <v>1</v>
      </c>
      <c r="EB219">
        <v>0</v>
      </c>
      <c r="EC219">
        <v>1</v>
      </c>
      <c r="ED219">
        <v>1</v>
      </c>
      <c r="EE219">
        <v>1</v>
      </c>
      <c r="EF219">
        <v>0</v>
      </c>
      <c r="EG219">
        <v>0</v>
      </c>
      <c r="EH219">
        <v>0</v>
      </c>
      <c r="EI219" s="2">
        <v>0</v>
      </c>
      <c r="EJ219" s="1"/>
      <c r="EK219" t="str">
        <f t="shared" si="202"/>
        <v/>
      </c>
      <c r="EL219" t="str">
        <f t="shared" si="203"/>
        <v/>
      </c>
      <c r="EM219" s="2" t="str">
        <f t="shared" si="140"/>
        <v>Technology approach</v>
      </c>
      <c r="EN219"/>
      <c r="EO219"/>
      <c r="EP219" t="str">
        <f>IF(ISNUMBER(BU219),IF(ABS(BU219-[3]QC_indicators!$B$2)&gt;3*[3]QC_indicators!$C$2,"C ratio",IF(ISNUMBER(BY219),IF(ABS(BY219-[3]QC_indicators!$B$1)&gt;3*[3]QC_indicators!$C$1,"DF","no"))),IF(ISNUMBER(BY219),IF(ABS(BY219-[3]QC_indicators!$B$1)&gt;3*[3]QC_indicators!$C$1,"DF","no")))</f>
        <v>no</v>
      </c>
      <c r="EQ219"/>
      <c r="ER219" s="149" t="s">
        <v>349</v>
      </c>
      <c r="ES219"/>
      <c r="ET219" s="264" t="s">
        <v>3272</v>
      </c>
      <c r="EU219"/>
    </row>
    <row r="220" spans="1:151" s="139" customFormat="1" ht="15" hidden="1" customHeight="1">
      <c r="A220" s="1" t="s">
        <v>333</v>
      </c>
      <c r="B220" t="s">
        <v>334</v>
      </c>
      <c r="C220" t="s">
        <v>335</v>
      </c>
      <c r="D220" t="s">
        <v>336</v>
      </c>
      <c r="E220" t="s">
        <v>337</v>
      </c>
      <c r="F220" t="s">
        <v>338</v>
      </c>
      <c r="G220" t="s">
        <v>339</v>
      </c>
      <c r="H220"/>
      <c r="I220">
        <v>2017</v>
      </c>
      <c r="J220"/>
      <c r="K220" t="s">
        <v>340</v>
      </c>
      <c r="L220"/>
      <c r="M220" t="str">
        <f t="shared" si="161"/>
        <v>Balasbaneh_2017</v>
      </c>
      <c r="N220" t="s">
        <v>222</v>
      </c>
      <c r="O220" s="140" t="s">
        <v>341</v>
      </c>
      <c r="P220"/>
      <c r="Q220" t="s">
        <v>224</v>
      </c>
      <c r="R220" s="262" t="s">
        <v>223</v>
      </c>
      <c r="S220" s="1" t="s">
        <v>356</v>
      </c>
      <c r="T220" t="s">
        <v>343</v>
      </c>
      <c r="U220" t="s">
        <v>357</v>
      </c>
      <c r="V220">
        <v>0</v>
      </c>
      <c r="W220">
        <v>0</v>
      </c>
      <c r="X220">
        <v>0</v>
      </c>
      <c r="Y220">
        <v>0</v>
      </c>
      <c r="Z220">
        <v>0</v>
      </c>
      <c r="AA220">
        <v>0</v>
      </c>
      <c r="AB220">
        <v>0</v>
      </c>
      <c r="AC220">
        <v>0</v>
      </c>
      <c r="AD220">
        <v>0</v>
      </c>
      <c r="AE220">
        <v>0</v>
      </c>
      <c r="AF220">
        <v>0</v>
      </c>
      <c r="AG220">
        <v>0</v>
      </c>
      <c r="AH220">
        <v>0</v>
      </c>
      <c r="AI220">
        <v>0</v>
      </c>
      <c r="AJ220">
        <v>0</v>
      </c>
      <c r="AK220">
        <v>1</v>
      </c>
      <c r="AL220">
        <v>0</v>
      </c>
      <c r="AM220">
        <v>0</v>
      </c>
      <c r="AN220">
        <v>0</v>
      </c>
      <c r="AO220">
        <v>0</v>
      </c>
      <c r="AP220">
        <v>0</v>
      </c>
      <c r="AQ220">
        <v>0</v>
      </c>
      <c r="AR220">
        <v>0</v>
      </c>
      <c r="AS220">
        <v>0</v>
      </c>
      <c r="AT220">
        <v>0</v>
      </c>
      <c r="AU220">
        <v>0</v>
      </c>
      <c r="AV220">
        <v>0</v>
      </c>
      <c r="AW220">
        <v>0</v>
      </c>
      <c r="AX220" s="141">
        <f t="shared" si="170"/>
        <v>1</v>
      </c>
      <c r="AY220" s="141">
        <f t="shared" si="171"/>
        <v>1</v>
      </c>
      <c r="AZ220">
        <f t="shared" si="172"/>
        <v>0</v>
      </c>
      <c r="BA220">
        <f t="shared" si="173"/>
        <v>0</v>
      </c>
      <c r="BB220">
        <f t="shared" si="174"/>
        <v>1</v>
      </c>
      <c r="BC220">
        <f t="shared" si="175"/>
        <v>0</v>
      </c>
      <c r="BD220">
        <f t="shared" si="176"/>
        <v>0</v>
      </c>
      <c r="BE220" t="str">
        <f t="array" ref="BE220">IF(AY220=1,INDEX($V$7:$AL$7,MATCH(TRUE,INDEX($V220:$AW220&lt;&gt;0,),0)),IF(AY220=0,INDEX($AM$7:$AW$7,MATCH(1,$AM220:$AW220,0)),IF(BF220="Multiple strategies","mixed drivers",IF(BF220="Supply chain","multiple supply","multiple silviculture"))))</f>
        <v>technologies/design switch</v>
      </c>
      <c r="BF220" s="2" t="str" cm="1">
        <f t="array" ref="BF220">IF(COUNTIF(AZ220:BB220,"&lt;&gt;0")=1,INDEX($V$4:$AW$4,MATCH(TRUE,INDEX($V220:$AW220&lt;&gt;0,),0)),IF(COUNTIF(AZ220:BB220,"&lt;&gt;0")=0,INDEX($AM$4:$AW$4,MATCH(1,$AM220:$AW220,0)),"Multiple strategies"))</f>
        <v>Technology</v>
      </c>
      <c r="BG220" s="1" t="s">
        <v>229</v>
      </c>
      <c r="BH220" t="s">
        <v>229</v>
      </c>
      <c r="BI220" s="264" t="s">
        <v>410</v>
      </c>
      <c r="BJ220" t="s">
        <v>345</v>
      </c>
      <c r="BK220">
        <v>0</v>
      </c>
      <c r="BL220">
        <v>29276</v>
      </c>
      <c r="BM220" s="143"/>
      <c r="BN220">
        <f t="shared" si="178"/>
        <v>29276</v>
      </c>
      <c r="BO220" s="143">
        <f t="shared" si="206"/>
        <v>59.746938775510209</v>
      </c>
      <c r="BP220" t="s">
        <v>232</v>
      </c>
      <c r="BQ220" s="300" t="s">
        <v>396</v>
      </c>
      <c r="BR220" t="s">
        <v>346</v>
      </c>
      <c r="BS220">
        <v>-11200</v>
      </c>
      <c r="BT220">
        <v>-2010</v>
      </c>
      <c r="BU220" s="144">
        <v>0.17946428571428572</v>
      </c>
      <c r="BV220">
        <f t="shared" si="207"/>
        <v>9190</v>
      </c>
      <c r="BW220"/>
      <c r="BX220">
        <f t="shared" si="208"/>
        <v>9.19</v>
      </c>
      <c r="BY220">
        <f t="shared" si="139"/>
        <v>0.15381541194152204</v>
      </c>
      <c r="BZ220">
        <v>0</v>
      </c>
      <c r="CA220">
        <v>0</v>
      </c>
      <c r="CB220">
        <v>0</v>
      </c>
      <c r="CC220">
        <v>0</v>
      </c>
      <c r="CD220">
        <v>0</v>
      </c>
      <c r="CE220">
        <v>0</v>
      </c>
      <c r="CF220">
        <v>0</v>
      </c>
      <c r="CG220">
        <v>0</v>
      </c>
      <c r="CH220">
        <v>0</v>
      </c>
      <c r="CI220">
        <v>0</v>
      </c>
      <c r="CJ220">
        <v>0</v>
      </c>
      <c r="CK220">
        <v>0</v>
      </c>
      <c r="CL220">
        <v>0</v>
      </c>
      <c r="CM220">
        <v>0</v>
      </c>
      <c r="CN220" t="str">
        <f t="shared" si="209"/>
        <v>refOK</v>
      </c>
      <c r="CO220">
        <f t="shared" si="210"/>
        <v>0</v>
      </c>
      <c r="CP220">
        <f t="shared" si="211"/>
        <v>29276</v>
      </c>
      <c r="CQ220">
        <f t="shared" si="186"/>
        <v>59.746938775510209</v>
      </c>
      <c r="CR220">
        <f t="shared" si="204"/>
        <v>-11200</v>
      </c>
      <c r="CS220">
        <f t="shared" si="205"/>
        <v>-2010</v>
      </c>
      <c r="CT220">
        <f t="shared" si="189"/>
        <v>9.19</v>
      </c>
      <c r="CU220">
        <f t="shared" si="190"/>
        <v>0.15381541194152204</v>
      </c>
      <c r="CV220" s="2">
        <f t="shared" si="191"/>
        <v>0.82053571428571426</v>
      </c>
      <c r="CW220" s="1" t="s">
        <v>347</v>
      </c>
      <c r="CX220" t="str">
        <f t="shared" si="192"/>
        <v>loc</v>
      </c>
      <c r="CY220" t="s">
        <v>348</v>
      </c>
      <c r="CZ220">
        <v>2014</v>
      </c>
      <c r="DA220">
        <v>2514</v>
      </c>
      <c r="DB220">
        <v>500</v>
      </c>
      <c r="DC220" t="str">
        <f t="shared" si="193"/>
        <v>+100</v>
      </c>
      <c r="DD220">
        <v>0</v>
      </c>
      <c r="DE220">
        <v>0</v>
      </c>
      <c r="DF220">
        <v>0</v>
      </c>
      <c r="DG220">
        <v>1</v>
      </c>
      <c r="DH220"/>
      <c r="DI220">
        <f t="shared" si="194"/>
        <v>1</v>
      </c>
      <c r="DJ220" t="str">
        <f t="shared" si="195"/>
        <v>TimberInput</v>
      </c>
      <c r="DK220">
        <f t="shared" si="196"/>
        <v>0</v>
      </c>
      <c r="DL220">
        <f t="shared" si="197"/>
        <v>0</v>
      </c>
      <c r="DM220">
        <f t="shared" si="198"/>
        <v>0</v>
      </c>
      <c r="DN220" t="str">
        <f t="shared" si="199"/>
        <v>Timber</v>
      </c>
      <c r="DO220">
        <v>0</v>
      </c>
      <c r="DP220">
        <v>0</v>
      </c>
      <c r="DQ220">
        <v>0</v>
      </c>
      <c r="DR220">
        <v>0</v>
      </c>
      <c r="DS220">
        <v>0</v>
      </c>
      <c r="DT220">
        <f t="shared" si="200"/>
        <v>0</v>
      </c>
      <c r="DU220" s="143" t="str">
        <f t="shared" si="201"/>
        <v>explicit C balance</v>
      </c>
      <c r="DV220">
        <v>0</v>
      </c>
      <c r="DW220">
        <v>0</v>
      </c>
      <c r="DX220">
        <v>0</v>
      </c>
      <c r="DY220">
        <v>1</v>
      </c>
      <c r="DZ220">
        <v>0</v>
      </c>
      <c r="EA220" s="143">
        <v>1</v>
      </c>
      <c r="EB220">
        <v>0</v>
      </c>
      <c r="EC220">
        <v>1</v>
      </c>
      <c r="ED220">
        <v>1</v>
      </c>
      <c r="EE220">
        <v>1</v>
      </c>
      <c r="EF220">
        <v>0</v>
      </c>
      <c r="EG220">
        <v>0</v>
      </c>
      <c r="EH220">
        <v>0</v>
      </c>
      <c r="EI220" s="2">
        <v>0</v>
      </c>
      <c r="EJ220" s="1"/>
      <c r="EK220" t="str">
        <f t="shared" si="202"/>
        <v/>
      </c>
      <c r="EL220" t="str">
        <f t="shared" si="203"/>
        <v/>
      </c>
      <c r="EM220" s="2" t="str">
        <f t="shared" si="140"/>
        <v>Technology approach</v>
      </c>
      <c r="EN220"/>
      <c r="EO220"/>
      <c r="EP220" t="str">
        <f>IF(ISNUMBER(BU220),IF(ABS(BU220-[3]QC_indicators!$B$2)&gt;3*[3]QC_indicators!$C$2,"C ratio",IF(ISNUMBER(BY220),IF(ABS(BY220-[3]QC_indicators!$B$1)&gt;3*[3]QC_indicators!$C$1,"DF","no"))),IF(ISNUMBER(BY220),IF(ABS(BY220-[3]QC_indicators!$B$1)&gt;3*[3]QC_indicators!$C$1,"DF","no")))</f>
        <v>no</v>
      </c>
      <c r="EQ220"/>
      <c r="ER220" s="149" t="s">
        <v>349</v>
      </c>
      <c r="ES220"/>
      <c r="ET220" s="264" t="s">
        <v>3272</v>
      </c>
      <c r="EU220"/>
    </row>
    <row r="221" spans="1:151" s="139" customFormat="1" ht="15" hidden="1" customHeight="1">
      <c r="A221" s="1" t="s">
        <v>333</v>
      </c>
      <c r="B221" t="s">
        <v>334</v>
      </c>
      <c r="C221" t="s">
        <v>335</v>
      </c>
      <c r="D221" t="s">
        <v>336</v>
      </c>
      <c r="E221" t="s">
        <v>337</v>
      </c>
      <c r="F221" t="s">
        <v>338</v>
      </c>
      <c r="G221" t="s">
        <v>339</v>
      </c>
      <c r="H221"/>
      <c r="I221">
        <v>2017</v>
      </c>
      <c r="J221"/>
      <c r="K221" t="s">
        <v>340</v>
      </c>
      <c r="L221"/>
      <c r="M221" t="str">
        <f t="shared" si="161"/>
        <v>Balasbaneh_2017</v>
      </c>
      <c r="N221" t="s">
        <v>222</v>
      </c>
      <c r="O221" s="140" t="s">
        <v>341</v>
      </c>
      <c r="P221"/>
      <c r="Q221" t="s">
        <v>224</v>
      </c>
      <c r="R221" s="262" t="s">
        <v>223</v>
      </c>
      <c r="S221" s="1" t="s">
        <v>358</v>
      </c>
      <c r="T221" t="s">
        <v>343</v>
      </c>
      <c r="U221" t="s">
        <v>357</v>
      </c>
      <c r="V221">
        <v>0</v>
      </c>
      <c r="W221">
        <v>0</v>
      </c>
      <c r="X221">
        <v>0</v>
      </c>
      <c r="Y221">
        <v>0</v>
      </c>
      <c r="Z221">
        <v>0</v>
      </c>
      <c r="AA221">
        <v>0</v>
      </c>
      <c r="AB221">
        <v>0</v>
      </c>
      <c r="AC221">
        <v>0</v>
      </c>
      <c r="AD221">
        <v>0</v>
      </c>
      <c r="AE221">
        <v>0</v>
      </c>
      <c r="AF221">
        <v>0</v>
      </c>
      <c r="AG221">
        <v>0</v>
      </c>
      <c r="AH221">
        <v>0</v>
      </c>
      <c r="AI221">
        <v>0</v>
      </c>
      <c r="AJ221">
        <v>0</v>
      </c>
      <c r="AK221">
        <v>1</v>
      </c>
      <c r="AL221">
        <v>0</v>
      </c>
      <c r="AM221">
        <v>0</v>
      </c>
      <c r="AN221">
        <v>0</v>
      </c>
      <c r="AO221">
        <v>0</v>
      </c>
      <c r="AP221">
        <v>0</v>
      </c>
      <c r="AQ221">
        <v>0</v>
      </c>
      <c r="AR221">
        <v>0</v>
      </c>
      <c r="AS221">
        <v>0</v>
      </c>
      <c r="AT221">
        <v>0</v>
      </c>
      <c r="AU221">
        <v>0</v>
      </c>
      <c r="AV221">
        <v>0</v>
      </c>
      <c r="AW221">
        <v>0</v>
      </c>
      <c r="AX221" s="141">
        <f t="shared" si="170"/>
        <v>1</v>
      </c>
      <c r="AY221" s="141">
        <f t="shared" si="171"/>
        <v>1</v>
      </c>
      <c r="AZ221">
        <f t="shared" si="172"/>
        <v>0</v>
      </c>
      <c r="BA221">
        <f t="shared" si="173"/>
        <v>0</v>
      </c>
      <c r="BB221">
        <f t="shared" si="174"/>
        <v>1</v>
      </c>
      <c r="BC221">
        <f t="shared" si="175"/>
        <v>0</v>
      </c>
      <c r="BD221">
        <f t="shared" si="176"/>
        <v>0</v>
      </c>
      <c r="BE221" t="str">
        <f t="array" ref="BE221">IF(AY221=1,INDEX($V$7:$AL$7,MATCH(TRUE,INDEX($V221:$AW221&lt;&gt;0,),0)),IF(AY221=0,INDEX($AM$7:$AW$7,MATCH(1,$AM221:$AW221,0)),IF(BF221="Multiple strategies","mixed drivers",IF(BF221="Supply chain","multiple supply","multiple silviculture"))))</f>
        <v>technologies/design switch</v>
      </c>
      <c r="BF221" s="2" t="str" cm="1">
        <f t="array" ref="BF221">IF(COUNTIF(AZ221:BB221,"&lt;&gt;0")=1,INDEX($V$4:$AW$4,MATCH(TRUE,INDEX($V221:$AW221&lt;&gt;0,),0)),IF(COUNTIF(AZ221:BB221,"&lt;&gt;0")=0,INDEX($AM$4:$AW$4,MATCH(1,$AM221:$AW221,0)),"Multiple strategies"))</f>
        <v>Technology</v>
      </c>
      <c r="BG221" s="1" t="s">
        <v>229</v>
      </c>
      <c r="BH221" t="s">
        <v>229</v>
      </c>
      <c r="BI221" s="264" t="s">
        <v>410</v>
      </c>
      <c r="BJ221" t="s">
        <v>345</v>
      </c>
      <c r="BK221">
        <v>0</v>
      </c>
      <c r="BL221">
        <v>29276</v>
      </c>
      <c r="BM221" s="143"/>
      <c r="BN221">
        <f t="shared" si="178"/>
        <v>29276</v>
      </c>
      <c r="BO221" s="143">
        <f t="shared" si="206"/>
        <v>59.746938775510209</v>
      </c>
      <c r="BP221" t="s">
        <v>232</v>
      </c>
      <c r="BQ221" s="300" t="s">
        <v>396</v>
      </c>
      <c r="BR221" t="s">
        <v>346</v>
      </c>
      <c r="BS221">
        <v>-11900</v>
      </c>
      <c r="BT221">
        <v>-2040</v>
      </c>
      <c r="BU221" s="144">
        <v>0.17142857142857143</v>
      </c>
      <c r="BV221">
        <f t="shared" si="207"/>
        <v>9860</v>
      </c>
      <c r="BW221"/>
      <c r="BX221">
        <f t="shared" si="208"/>
        <v>9.86</v>
      </c>
      <c r="BY221">
        <f t="shared" si="139"/>
        <v>0.16502937559775924</v>
      </c>
      <c r="BZ221">
        <v>0</v>
      </c>
      <c r="CA221">
        <v>0</v>
      </c>
      <c r="CB221">
        <v>0</v>
      </c>
      <c r="CC221">
        <v>0</v>
      </c>
      <c r="CD221">
        <v>0</v>
      </c>
      <c r="CE221">
        <v>0</v>
      </c>
      <c r="CF221">
        <v>0</v>
      </c>
      <c r="CG221">
        <v>0</v>
      </c>
      <c r="CH221">
        <v>0</v>
      </c>
      <c r="CI221">
        <v>0</v>
      </c>
      <c r="CJ221">
        <v>0</v>
      </c>
      <c r="CK221">
        <v>0</v>
      </c>
      <c r="CL221">
        <v>0</v>
      </c>
      <c r="CM221">
        <v>0</v>
      </c>
      <c r="CN221" t="str">
        <f t="shared" si="209"/>
        <v>refOK</v>
      </c>
      <c r="CO221">
        <f t="shared" si="210"/>
        <v>0</v>
      </c>
      <c r="CP221">
        <f t="shared" si="211"/>
        <v>29276</v>
      </c>
      <c r="CQ221">
        <f t="shared" si="186"/>
        <v>59.746938775510209</v>
      </c>
      <c r="CR221">
        <f t="shared" si="204"/>
        <v>-11900</v>
      </c>
      <c r="CS221">
        <f t="shared" si="205"/>
        <v>-2040</v>
      </c>
      <c r="CT221">
        <f t="shared" si="189"/>
        <v>9.86</v>
      </c>
      <c r="CU221">
        <f t="shared" si="190"/>
        <v>0.16502937559775924</v>
      </c>
      <c r="CV221" s="2">
        <f t="shared" si="191"/>
        <v>0.82857142857142863</v>
      </c>
      <c r="CW221" s="1" t="s">
        <v>347</v>
      </c>
      <c r="CX221" t="str">
        <f t="shared" si="192"/>
        <v>loc</v>
      </c>
      <c r="CY221" t="s">
        <v>348</v>
      </c>
      <c r="CZ221">
        <v>2014</v>
      </c>
      <c r="DA221">
        <v>2514</v>
      </c>
      <c r="DB221">
        <v>500</v>
      </c>
      <c r="DC221" t="str">
        <f t="shared" si="193"/>
        <v>+100</v>
      </c>
      <c r="DD221">
        <v>0</v>
      </c>
      <c r="DE221">
        <v>0</v>
      </c>
      <c r="DF221">
        <v>0</v>
      </c>
      <c r="DG221">
        <v>1</v>
      </c>
      <c r="DH221"/>
      <c r="DI221">
        <f t="shared" si="194"/>
        <v>1</v>
      </c>
      <c r="DJ221" t="str">
        <f t="shared" si="195"/>
        <v>TimberInput</v>
      </c>
      <c r="DK221">
        <f t="shared" si="196"/>
        <v>0</v>
      </c>
      <c r="DL221">
        <f t="shared" si="197"/>
        <v>0</v>
      </c>
      <c r="DM221">
        <f t="shared" si="198"/>
        <v>0</v>
      </c>
      <c r="DN221" t="str">
        <f t="shared" si="199"/>
        <v>Timber</v>
      </c>
      <c r="DO221">
        <v>0</v>
      </c>
      <c r="DP221">
        <v>0</v>
      </c>
      <c r="DQ221">
        <v>0</v>
      </c>
      <c r="DR221">
        <v>0</v>
      </c>
      <c r="DS221">
        <v>0</v>
      </c>
      <c r="DT221">
        <f t="shared" si="200"/>
        <v>0</v>
      </c>
      <c r="DU221" s="143" t="str">
        <f t="shared" si="201"/>
        <v>explicit C balance</v>
      </c>
      <c r="DV221">
        <v>0</v>
      </c>
      <c r="DW221">
        <v>0</v>
      </c>
      <c r="DX221">
        <v>0</v>
      </c>
      <c r="DY221">
        <v>1</v>
      </c>
      <c r="DZ221">
        <v>0</v>
      </c>
      <c r="EA221" s="143">
        <v>1</v>
      </c>
      <c r="EB221">
        <v>0</v>
      </c>
      <c r="EC221">
        <v>1</v>
      </c>
      <c r="ED221">
        <v>1</v>
      </c>
      <c r="EE221">
        <v>1</v>
      </c>
      <c r="EF221">
        <v>0</v>
      </c>
      <c r="EG221">
        <v>0</v>
      </c>
      <c r="EH221">
        <v>0</v>
      </c>
      <c r="EI221" s="2">
        <v>0</v>
      </c>
      <c r="EJ221" s="1"/>
      <c r="EK221" t="str">
        <f t="shared" si="202"/>
        <v/>
      </c>
      <c r="EL221" t="str">
        <f t="shared" si="203"/>
        <v/>
      </c>
      <c r="EM221" s="2" t="str">
        <f t="shared" si="140"/>
        <v>Technology approach</v>
      </c>
      <c r="EN221"/>
      <c r="EO221"/>
      <c r="EP221" t="str">
        <f>IF(ISNUMBER(BU221),IF(ABS(BU221-[3]QC_indicators!$B$2)&gt;3*[3]QC_indicators!$C$2,"C ratio",IF(ISNUMBER(BY221),IF(ABS(BY221-[3]QC_indicators!$B$1)&gt;3*[3]QC_indicators!$C$1,"DF","no"))),IF(ISNUMBER(BY221),IF(ABS(BY221-[3]QC_indicators!$B$1)&gt;3*[3]QC_indicators!$C$1,"DF","no")))</f>
        <v>no</v>
      </c>
      <c r="EQ221"/>
      <c r="ER221" s="149" t="s">
        <v>349</v>
      </c>
      <c r="ES221"/>
      <c r="ET221" s="264" t="s">
        <v>3272</v>
      </c>
      <c r="EU221"/>
    </row>
    <row r="222" spans="1:151" s="139" customFormat="1" ht="15" hidden="1" customHeight="1">
      <c r="A222" s="1" t="s">
        <v>333</v>
      </c>
      <c r="B222" t="s">
        <v>334</v>
      </c>
      <c r="C222" t="s">
        <v>335</v>
      </c>
      <c r="D222" t="s">
        <v>336</v>
      </c>
      <c r="E222" t="s">
        <v>337</v>
      </c>
      <c r="F222" t="s">
        <v>338</v>
      </c>
      <c r="G222" t="s">
        <v>339</v>
      </c>
      <c r="H222"/>
      <c r="I222">
        <v>2017</v>
      </c>
      <c r="J222"/>
      <c r="K222" t="s">
        <v>340</v>
      </c>
      <c r="L222"/>
      <c r="M222" t="str">
        <f t="shared" si="161"/>
        <v>Balasbaneh_2017</v>
      </c>
      <c r="N222" t="s">
        <v>222</v>
      </c>
      <c r="O222" s="140" t="s">
        <v>341</v>
      </c>
      <c r="P222"/>
      <c r="Q222" t="s">
        <v>224</v>
      </c>
      <c r="R222" s="262" t="s">
        <v>223</v>
      </c>
      <c r="S222" s="1" t="s">
        <v>359</v>
      </c>
      <c r="T222" t="s">
        <v>343</v>
      </c>
      <c r="U222" t="s">
        <v>357</v>
      </c>
      <c r="V222">
        <v>0</v>
      </c>
      <c r="W222">
        <v>0</v>
      </c>
      <c r="X222">
        <v>0</v>
      </c>
      <c r="Y222">
        <v>0</v>
      </c>
      <c r="Z222">
        <v>0</v>
      </c>
      <c r="AA222">
        <v>0</v>
      </c>
      <c r="AB222">
        <v>0</v>
      </c>
      <c r="AC222">
        <v>0</v>
      </c>
      <c r="AD222">
        <v>0</v>
      </c>
      <c r="AE222">
        <v>0</v>
      </c>
      <c r="AF222">
        <v>0</v>
      </c>
      <c r="AG222">
        <v>0</v>
      </c>
      <c r="AH222">
        <v>0</v>
      </c>
      <c r="AI222">
        <v>0</v>
      </c>
      <c r="AJ222">
        <v>0</v>
      </c>
      <c r="AK222">
        <v>1</v>
      </c>
      <c r="AL222">
        <v>0</v>
      </c>
      <c r="AM222">
        <v>0</v>
      </c>
      <c r="AN222">
        <v>0</v>
      </c>
      <c r="AO222">
        <v>0</v>
      </c>
      <c r="AP222">
        <v>0</v>
      </c>
      <c r="AQ222">
        <v>0</v>
      </c>
      <c r="AR222">
        <v>0</v>
      </c>
      <c r="AS222">
        <v>0</v>
      </c>
      <c r="AT222">
        <v>0</v>
      </c>
      <c r="AU222">
        <v>0</v>
      </c>
      <c r="AV222">
        <v>0</v>
      </c>
      <c r="AW222">
        <v>0</v>
      </c>
      <c r="AX222" s="141">
        <f t="shared" si="170"/>
        <v>1</v>
      </c>
      <c r="AY222" s="141">
        <f t="shared" si="171"/>
        <v>1</v>
      </c>
      <c r="AZ222">
        <f t="shared" si="172"/>
        <v>0</v>
      </c>
      <c r="BA222">
        <f t="shared" si="173"/>
        <v>0</v>
      </c>
      <c r="BB222">
        <f t="shared" si="174"/>
        <v>1</v>
      </c>
      <c r="BC222">
        <f t="shared" si="175"/>
        <v>0</v>
      </c>
      <c r="BD222">
        <f t="shared" si="176"/>
        <v>0</v>
      </c>
      <c r="BE222" t="str">
        <f t="array" ref="BE222">IF(AY222=1,INDEX($V$7:$AL$7,MATCH(TRUE,INDEX($V222:$AW222&lt;&gt;0,),0)),IF(AY222=0,INDEX($AM$7:$AW$7,MATCH(1,$AM222:$AW222,0)),IF(BF222="Multiple strategies","mixed drivers",IF(BF222="Supply chain","multiple supply","multiple silviculture"))))</f>
        <v>technologies/design switch</v>
      </c>
      <c r="BF222" s="2" t="str" cm="1">
        <f t="array" ref="BF222">IF(COUNTIF(AZ222:BB222,"&lt;&gt;0")=1,INDEX($V$4:$AW$4,MATCH(TRUE,INDEX($V222:$AW222&lt;&gt;0,),0)),IF(COUNTIF(AZ222:BB222,"&lt;&gt;0")=0,INDEX($AM$4:$AW$4,MATCH(1,$AM222:$AW222,0)),"Multiple strategies"))</f>
        <v>Technology</v>
      </c>
      <c r="BG222" s="1" t="s">
        <v>229</v>
      </c>
      <c r="BH222" t="s">
        <v>229</v>
      </c>
      <c r="BI222" s="264" t="s">
        <v>410</v>
      </c>
      <c r="BJ222" t="s">
        <v>345</v>
      </c>
      <c r="BK222">
        <v>0</v>
      </c>
      <c r="BL222">
        <v>29276</v>
      </c>
      <c r="BM222" s="143"/>
      <c r="BN222">
        <f t="shared" si="178"/>
        <v>29276</v>
      </c>
      <c r="BO222" s="143">
        <f t="shared" si="206"/>
        <v>59.746938775510209</v>
      </c>
      <c r="BP222" t="s">
        <v>232</v>
      </c>
      <c r="BQ222" s="300" t="s">
        <v>396</v>
      </c>
      <c r="BR222" t="s">
        <v>346</v>
      </c>
      <c r="BS222">
        <v>-12100</v>
      </c>
      <c r="BT222">
        <v>-2080</v>
      </c>
      <c r="BU222" s="144">
        <v>0.17190082644628099</v>
      </c>
      <c r="BV222">
        <f t="shared" si="207"/>
        <v>10020</v>
      </c>
      <c r="BW222"/>
      <c r="BX222">
        <f t="shared" si="208"/>
        <v>10.02</v>
      </c>
      <c r="BY222">
        <f t="shared" si="139"/>
        <v>0.16770733706790544</v>
      </c>
      <c r="BZ222">
        <v>0</v>
      </c>
      <c r="CA222">
        <v>0</v>
      </c>
      <c r="CB222">
        <v>0</v>
      </c>
      <c r="CC222">
        <v>0</v>
      </c>
      <c r="CD222">
        <v>0</v>
      </c>
      <c r="CE222">
        <v>0</v>
      </c>
      <c r="CF222">
        <v>0</v>
      </c>
      <c r="CG222">
        <v>0</v>
      </c>
      <c r="CH222">
        <v>0</v>
      </c>
      <c r="CI222">
        <v>0</v>
      </c>
      <c r="CJ222">
        <v>0</v>
      </c>
      <c r="CK222">
        <v>0</v>
      </c>
      <c r="CL222">
        <v>0</v>
      </c>
      <c r="CM222">
        <v>0</v>
      </c>
      <c r="CN222" t="str">
        <f t="shared" si="209"/>
        <v>refOK</v>
      </c>
      <c r="CO222">
        <f t="shared" si="210"/>
        <v>0</v>
      </c>
      <c r="CP222">
        <f t="shared" si="211"/>
        <v>29276</v>
      </c>
      <c r="CQ222">
        <f t="shared" si="186"/>
        <v>59.746938775510209</v>
      </c>
      <c r="CR222">
        <f t="shared" si="204"/>
        <v>-12100</v>
      </c>
      <c r="CS222">
        <f t="shared" si="205"/>
        <v>-2080</v>
      </c>
      <c r="CT222">
        <f t="shared" si="189"/>
        <v>10.02</v>
      </c>
      <c r="CU222">
        <f t="shared" si="190"/>
        <v>0.16770733706790544</v>
      </c>
      <c r="CV222" s="2">
        <f t="shared" si="191"/>
        <v>0.82809917355371898</v>
      </c>
      <c r="CW222" s="1" t="s">
        <v>347</v>
      </c>
      <c r="CX222" t="str">
        <f t="shared" si="192"/>
        <v>loc</v>
      </c>
      <c r="CY222" t="s">
        <v>348</v>
      </c>
      <c r="CZ222">
        <v>2014</v>
      </c>
      <c r="DA222">
        <v>2514</v>
      </c>
      <c r="DB222">
        <v>500</v>
      </c>
      <c r="DC222" t="str">
        <f t="shared" si="193"/>
        <v>+100</v>
      </c>
      <c r="DD222">
        <v>0</v>
      </c>
      <c r="DE222">
        <v>0</v>
      </c>
      <c r="DF222">
        <v>0</v>
      </c>
      <c r="DG222">
        <v>1</v>
      </c>
      <c r="DH222"/>
      <c r="DI222">
        <f t="shared" si="194"/>
        <v>1</v>
      </c>
      <c r="DJ222" t="str">
        <f t="shared" si="195"/>
        <v>TimberInput</v>
      </c>
      <c r="DK222">
        <f t="shared" si="196"/>
        <v>0</v>
      </c>
      <c r="DL222">
        <f t="shared" si="197"/>
        <v>0</v>
      </c>
      <c r="DM222">
        <f t="shared" si="198"/>
        <v>0</v>
      </c>
      <c r="DN222" t="str">
        <f t="shared" si="199"/>
        <v>Timber</v>
      </c>
      <c r="DO222">
        <v>0</v>
      </c>
      <c r="DP222">
        <v>0</v>
      </c>
      <c r="DQ222">
        <v>0</v>
      </c>
      <c r="DR222">
        <v>0</v>
      </c>
      <c r="DS222">
        <v>0</v>
      </c>
      <c r="DT222">
        <f t="shared" si="200"/>
        <v>0</v>
      </c>
      <c r="DU222" s="143" t="str">
        <f t="shared" si="201"/>
        <v>explicit C balance</v>
      </c>
      <c r="DV222">
        <v>0</v>
      </c>
      <c r="DW222">
        <v>0</v>
      </c>
      <c r="DX222">
        <v>0</v>
      </c>
      <c r="DY222">
        <v>1</v>
      </c>
      <c r="DZ222">
        <v>0</v>
      </c>
      <c r="EA222" s="143">
        <v>1</v>
      </c>
      <c r="EB222">
        <v>0</v>
      </c>
      <c r="EC222">
        <v>1</v>
      </c>
      <c r="ED222">
        <v>1</v>
      </c>
      <c r="EE222">
        <v>1</v>
      </c>
      <c r="EF222">
        <v>0</v>
      </c>
      <c r="EG222">
        <v>0</v>
      </c>
      <c r="EH222">
        <v>0</v>
      </c>
      <c r="EI222" s="2">
        <v>0</v>
      </c>
      <c r="EJ222" s="1"/>
      <c r="EK222" t="str">
        <f t="shared" si="202"/>
        <v/>
      </c>
      <c r="EL222" t="str">
        <f t="shared" si="203"/>
        <v/>
      </c>
      <c r="EM222" s="2" t="str">
        <f t="shared" si="140"/>
        <v>Technology approach</v>
      </c>
      <c r="EN222"/>
      <c r="EO222"/>
      <c r="EP222" t="str">
        <f>IF(ISNUMBER(BU222),IF(ABS(BU222-[3]QC_indicators!$B$2)&gt;3*[3]QC_indicators!$C$2,"C ratio",IF(ISNUMBER(BY222),IF(ABS(BY222-[3]QC_indicators!$B$1)&gt;3*[3]QC_indicators!$C$1,"DF","no"))),IF(ISNUMBER(BY222),IF(ABS(BY222-[3]QC_indicators!$B$1)&gt;3*[3]QC_indicators!$C$1,"DF","no")))</f>
        <v>no</v>
      </c>
      <c r="EQ222"/>
      <c r="ER222" s="149" t="s">
        <v>349</v>
      </c>
      <c r="ES222"/>
      <c r="ET222" s="264" t="s">
        <v>3272</v>
      </c>
      <c r="EU222"/>
    </row>
    <row r="223" spans="1:151" s="139" customFormat="1" ht="15" hidden="1" customHeight="1">
      <c r="A223" s="1" t="s">
        <v>333</v>
      </c>
      <c r="B223" t="s">
        <v>334</v>
      </c>
      <c r="C223" t="s">
        <v>335</v>
      </c>
      <c r="D223" t="s">
        <v>336</v>
      </c>
      <c r="E223" t="s">
        <v>337</v>
      </c>
      <c r="F223" t="s">
        <v>338</v>
      </c>
      <c r="G223" t="s">
        <v>339</v>
      </c>
      <c r="H223"/>
      <c r="I223">
        <v>2017</v>
      </c>
      <c r="J223"/>
      <c r="K223" t="s">
        <v>340</v>
      </c>
      <c r="L223"/>
      <c r="M223" t="str">
        <f t="shared" si="161"/>
        <v>Balasbaneh_2017</v>
      </c>
      <c r="N223" t="s">
        <v>222</v>
      </c>
      <c r="O223" s="140" t="s">
        <v>341</v>
      </c>
      <c r="P223"/>
      <c r="Q223" t="s">
        <v>224</v>
      </c>
      <c r="R223" s="262" t="s">
        <v>223</v>
      </c>
      <c r="S223" s="1" t="s">
        <v>360</v>
      </c>
      <c r="T223" t="s">
        <v>361</v>
      </c>
      <c r="U223" t="s">
        <v>357</v>
      </c>
      <c r="V223">
        <v>0</v>
      </c>
      <c r="W223">
        <v>0</v>
      </c>
      <c r="X223">
        <v>0</v>
      </c>
      <c r="Y223">
        <v>0</v>
      </c>
      <c r="Z223">
        <v>0</v>
      </c>
      <c r="AA223">
        <v>0</v>
      </c>
      <c r="AB223">
        <v>0</v>
      </c>
      <c r="AC223">
        <v>0</v>
      </c>
      <c r="AD223">
        <v>0</v>
      </c>
      <c r="AE223">
        <v>0</v>
      </c>
      <c r="AF223">
        <v>0</v>
      </c>
      <c r="AG223">
        <v>0</v>
      </c>
      <c r="AH223">
        <v>0</v>
      </c>
      <c r="AI223">
        <v>0</v>
      </c>
      <c r="AJ223">
        <v>0</v>
      </c>
      <c r="AK223">
        <v>1</v>
      </c>
      <c r="AL223">
        <v>0</v>
      </c>
      <c r="AM223">
        <v>0</v>
      </c>
      <c r="AN223">
        <v>0</v>
      </c>
      <c r="AO223">
        <v>0</v>
      </c>
      <c r="AP223">
        <v>0</v>
      </c>
      <c r="AQ223">
        <v>0</v>
      </c>
      <c r="AR223">
        <v>0</v>
      </c>
      <c r="AS223">
        <v>0</v>
      </c>
      <c r="AT223">
        <v>0</v>
      </c>
      <c r="AU223">
        <v>0</v>
      </c>
      <c r="AV223">
        <v>0</v>
      </c>
      <c r="AW223">
        <v>0</v>
      </c>
      <c r="AX223" s="141">
        <f t="shared" si="170"/>
        <v>1</v>
      </c>
      <c r="AY223" s="141">
        <f t="shared" si="171"/>
        <v>1</v>
      </c>
      <c r="AZ223">
        <f t="shared" si="172"/>
        <v>0</v>
      </c>
      <c r="BA223">
        <f t="shared" si="173"/>
        <v>0</v>
      </c>
      <c r="BB223">
        <f t="shared" si="174"/>
        <v>1</v>
      </c>
      <c r="BC223">
        <f t="shared" si="175"/>
        <v>0</v>
      </c>
      <c r="BD223">
        <f t="shared" si="176"/>
        <v>0</v>
      </c>
      <c r="BE223" t="str">
        <f t="array" ref="BE223">IF(AY223=1,INDEX($V$7:$AL$7,MATCH(TRUE,INDEX($V223:$AW223&lt;&gt;0,),0)),IF(AY223=0,INDEX($AM$7:$AW$7,MATCH(1,$AM223:$AW223,0)),IF(BF223="Multiple strategies","mixed drivers",IF(BF223="Supply chain","multiple supply","multiple silviculture"))))</f>
        <v>technologies/design switch</v>
      </c>
      <c r="BF223" s="2" t="str" cm="1">
        <f t="array" ref="BF223">IF(COUNTIF(AZ223:BB223,"&lt;&gt;0")=1,INDEX($V$4:$AW$4,MATCH(TRUE,INDEX($V223:$AW223&lt;&gt;0,),0)),IF(COUNTIF(AZ223:BB223,"&lt;&gt;0")=0,INDEX($AM$4:$AW$4,MATCH(1,$AM223:$AW223,0)),"Multiple strategies"))</f>
        <v>Technology</v>
      </c>
      <c r="BG223" s="1" t="s">
        <v>229</v>
      </c>
      <c r="BH223" t="s">
        <v>229</v>
      </c>
      <c r="BI223" s="264" t="s">
        <v>410</v>
      </c>
      <c r="BJ223" t="s">
        <v>345</v>
      </c>
      <c r="BK223">
        <v>0</v>
      </c>
      <c r="BL223">
        <v>29276</v>
      </c>
      <c r="BM223" s="143"/>
      <c r="BN223">
        <f t="shared" si="178"/>
        <v>29276</v>
      </c>
      <c r="BO223" s="143">
        <f t="shared" si="206"/>
        <v>59.746938775510209</v>
      </c>
      <c r="BP223" t="s">
        <v>232</v>
      </c>
      <c r="BQ223" s="300" t="s">
        <v>396</v>
      </c>
      <c r="BR223" t="s">
        <v>346</v>
      </c>
      <c r="BS223">
        <v>-23000</v>
      </c>
      <c r="BT223">
        <v>-2010</v>
      </c>
      <c r="BU223" s="144">
        <v>8.739130434782609E-2</v>
      </c>
      <c r="BV223">
        <f t="shared" si="207"/>
        <v>20990</v>
      </c>
      <c r="BW223"/>
      <c r="BX223">
        <f t="shared" si="208"/>
        <v>20.99</v>
      </c>
      <c r="BY223">
        <f t="shared" si="139"/>
        <v>0.35131507036480386</v>
      </c>
      <c r="BZ223">
        <v>0</v>
      </c>
      <c r="CA223">
        <v>0</v>
      </c>
      <c r="CB223">
        <v>0</v>
      </c>
      <c r="CC223">
        <v>0</v>
      </c>
      <c r="CD223">
        <v>0</v>
      </c>
      <c r="CE223">
        <v>0</v>
      </c>
      <c r="CF223">
        <v>0</v>
      </c>
      <c r="CG223">
        <v>0</v>
      </c>
      <c r="CH223">
        <v>0</v>
      </c>
      <c r="CI223">
        <v>0</v>
      </c>
      <c r="CJ223">
        <v>0</v>
      </c>
      <c r="CK223">
        <v>0</v>
      </c>
      <c r="CL223">
        <v>0</v>
      </c>
      <c r="CM223">
        <v>0</v>
      </c>
      <c r="CN223" t="str">
        <f t="shared" si="209"/>
        <v>refOK</v>
      </c>
      <c r="CO223">
        <f t="shared" si="210"/>
        <v>0</v>
      </c>
      <c r="CP223">
        <f t="shared" si="211"/>
        <v>29276</v>
      </c>
      <c r="CQ223">
        <f t="shared" si="186"/>
        <v>59.746938775510209</v>
      </c>
      <c r="CR223">
        <f t="shared" si="204"/>
        <v>-23000</v>
      </c>
      <c r="CS223">
        <f t="shared" si="205"/>
        <v>-2010</v>
      </c>
      <c r="CT223">
        <f t="shared" si="189"/>
        <v>20.99</v>
      </c>
      <c r="CU223">
        <f t="shared" si="190"/>
        <v>0.35131507036480386</v>
      </c>
      <c r="CV223" s="2">
        <f t="shared" si="191"/>
        <v>0.91260869565217395</v>
      </c>
      <c r="CW223" s="1" t="s">
        <v>347</v>
      </c>
      <c r="CX223" t="str">
        <f t="shared" si="192"/>
        <v>loc</v>
      </c>
      <c r="CY223" t="s">
        <v>348</v>
      </c>
      <c r="CZ223">
        <v>2014</v>
      </c>
      <c r="DA223">
        <v>2514</v>
      </c>
      <c r="DB223">
        <v>500</v>
      </c>
      <c r="DC223" t="str">
        <f t="shared" si="193"/>
        <v>+100</v>
      </c>
      <c r="DD223">
        <v>0</v>
      </c>
      <c r="DE223">
        <v>0</v>
      </c>
      <c r="DF223">
        <v>0</v>
      </c>
      <c r="DG223">
        <v>1</v>
      </c>
      <c r="DH223"/>
      <c r="DI223">
        <f t="shared" si="194"/>
        <v>1</v>
      </c>
      <c r="DJ223" t="str">
        <f t="shared" si="195"/>
        <v>TimberInput</v>
      </c>
      <c r="DK223">
        <f t="shared" si="196"/>
        <v>0</v>
      </c>
      <c r="DL223">
        <f t="shared" si="197"/>
        <v>0</v>
      </c>
      <c r="DM223">
        <f t="shared" si="198"/>
        <v>0</v>
      </c>
      <c r="DN223" t="str">
        <f t="shared" si="199"/>
        <v>Timber</v>
      </c>
      <c r="DO223">
        <v>0</v>
      </c>
      <c r="DP223">
        <v>0</v>
      </c>
      <c r="DQ223">
        <v>0</v>
      </c>
      <c r="DR223">
        <v>0</v>
      </c>
      <c r="DS223">
        <v>0</v>
      </c>
      <c r="DT223">
        <f t="shared" si="200"/>
        <v>0</v>
      </c>
      <c r="DU223" s="143" t="str">
        <f t="shared" si="201"/>
        <v>explicit C balance</v>
      </c>
      <c r="DV223">
        <v>0</v>
      </c>
      <c r="DW223">
        <v>0</v>
      </c>
      <c r="DX223">
        <v>0</v>
      </c>
      <c r="DY223">
        <v>1</v>
      </c>
      <c r="DZ223">
        <v>0</v>
      </c>
      <c r="EA223" s="143">
        <v>1</v>
      </c>
      <c r="EB223">
        <v>0</v>
      </c>
      <c r="EC223">
        <v>1</v>
      </c>
      <c r="ED223">
        <v>1</v>
      </c>
      <c r="EE223">
        <v>1</v>
      </c>
      <c r="EF223">
        <v>0</v>
      </c>
      <c r="EG223">
        <v>0</v>
      </c>
      <c r="EH223">
        <v>0</v>
      </c>
      <c r="EI223" s="2">
        <v>0</v>
      </c>
      <c r="EJ223" s="1"/>
      <c r="EK223" t="str">
        <f t="shared" si="202"/>
        <v/>
      </c>
      <c r="EL223" t="str">
        <f t="shared" si="203"/>
        <v/>
      </c>
      <c r="EM223" s="2" t="str">
        <f t="shared" si="140"/>
        <v>Technology approach</v>
      </c>
      <c r="EN223"/>
      <c r="EO223"/>
      <c r="EP223" t="str">
        <f>IF(ISNUMBER(BU223),IF(ABS(BU223-[3]QC_indicators!$B$2)&gt;3*[3]QC_indicators!$C$2,"C ratio",IF(ISNUMBER(BY223),IF(ABS(BY223-[3]QC_indicators!$B$1)&gt;3*[3]QC_indicators!$C$1,"DF","no"))),IF(ISNUMBER(BY223),IF(ABS(BY223-[3]QC_indicators!$B$1)&gt;3*[3]QC_indicators!$C$1,"DF","no")))</f>
        <v>no</v>
      </c>
      <c r="EQ223"/>
      <c r="ER223" s="149" t="s">
        <v>349</v>
      </c>
      <c r="ES223"/>
      <c r="ET223" s="264" t="s">
        <v>3272</v>
      </c>
      <c r="EU223"/>
    </row>
    <row r="224" spans="1:151" s="139" customFormat="1" ht="15" hidden="1" customHeight="1">
      <c r="A224" s="1" t="s">
        <v>333</v>
      </c>
      <c r="B224" t="s">
        <v>334</v>
      </c>
      <c r="C224" t="s">
        <v>335</v>
      </c>
      <c r="D224" t="s">
        <v>336</v>
      </c>
      <c r="E224" t="s">
        <v>337</v>
      </c>
      <c r="F224" t="s">
        <v>338</v>
      </c>
      <c r="G224" t="s">
        <v>339</v>
      </c>
      <c r="H224"/>
      <c r="I224">
        <v>2017</v>
      </c>
      <c r="J224"/>
      <c r="K224" t="s">
        <v>340</v>
      </c>
      <c r="L224"/>
      <c r="M224" t="str">
        <f t="shared" si="161"/>
        <v>Balasbaneh_2017</v>
      </c>
      <c r="N224" t="s">
        <v>222</v>
      </c>
      <c r="O224" s="140" t="s">
        <v>341</v>
      </c>
      <c r="P224"/>
      <c r="Q224" t="s">
        <v>224</v>
      </c>
      <c r="R224" s="262" t="s">
        <v>223</v>
      </c>
      <c r="S224" s="1" t="s">
        <v>362</v>
      </c>
      <c r="T224" t="s">
        <v>361</v>
      </c>
      <c r="U224" t="s">
        <v>344</v>
      </c>
      <c r="V224">
        <v>0</v>
      </c>
      <c r="W224">
        <v>0</v>
      </c>
      <c r="X224">
        <v>0</v>
      </c>
      <c r="Y224">
        <v>0</v>
      </c>
      <c r="Z224">
        <v>0</v>
      </c>
      <c r="AA224">
        <v>0</v>
      </c>
      <c r="AB224">
        <v>0</v>
      </c>
      <c r="AC224">
        <v>0</v>
      </c>
      <c r="AD224">
        <v>0</v>
      </c>
      <c r="AE224">
        <v>0</v>
      </c>
      <c r="AF224">
        <v>0</v>
      </c>
      <c r="AG224">
        <v>0</v>
      </c>
      <c r="AH224">
        <v>0</v>
      </c>
      <c r="AI224">
        <v>0</v>
      </c>
      <c r="AJ224">
        <v>0</v>
      </c>
      <c r="AK224">
        <v>1</v>
      </c>
      <c r="AL224">
        <v>0</v>
      </c>
      <c r="AM224">
        <v>0</v>
      </c>
      <c r="AN224">
        <v>0</v>
      </c>
      <c r="AO224">
        <v>0</v>
      </c>
      <c r="AP224">
        <v>0</v>
      </c>
      <c r="AQ224">
        <v>0</v>
      </c>
      <c r="AR224">
        <v>0</v>
      </c>
      <c r="AS224">
        <v>0</v>
      </c>
      <c r="AT224">
        <v>0</v>
      </c>
      <c r="AU224">
        <v>0</v>
      </c>
      <c r="AV224">
        <v>0</v>
      </c>
      <c r="AW224">
        <v>0</v>
      </c>
      <c r="AX224" s="141">
        <f t="shared" si="170"/>
        <v>1</v>
      </c>
      <c r="AY224" s="141">
        <f t="shared" si="171"/>
        <v>1</v>
      </c>
      <c r="AZ224">
        <f t="shared" si="172"/>
        <v>0</v>
      </c>
      <c r="BA224">
        <f t="shared" si="173"/>
        <v>0</v>
      </c>
      <c r="BB224">
        <f t="shared" si="174"/>
        <v>1</v>
      </c>
      <c r="BC224">
        <f t="shared" si="175"/>
        <v>0</v>
      </c>
      <c r="BD224">
        <f t="shared" si="176"/>
        <v>0</v>
      </c>
      <c r="BE224" t="str">
        <f t="array" ref="BE224">IF(AY224=1,INDEX($V$7:$AL$7,MATCH(TRUE,INDEX($V224:$AW224&lt;&gt;0,),0)),IF(AY224=0,INDEX($AM$7:$AW$7,MATCH(1,$AM224:$AW224,0)),IF(BF224="Multiple strategies","mixed drivers",IF(BF224="Supply chain","multiple supply","multiple silviculture"))))</f>
        <v>technologies/design switch</v>
      </c>
      <c r="BF224" s="2" t="str" cm="1">
        <f t="array" ref="BF224">IF(COUNTIF(AZ224:BB224,"&lt;&gt;0")=1,INDEX($V$4:$AW$4,MATCH(TRUE,INDEX($V224:$AW224&lt;&gt;0,),0)),IF(COUNTIF(AZ224:BB224,"&lt;&gt;0")=0,INDEX($AM$4:$AW$4,MATCH(1,$AM224:$AW224,0)),"Multiple strategies"))</f>
        <v>Technology</v>
      </c>
      <c r="BG224" s="1" t="s">
        <v>229</v>
      </c>
      <c r="BH224" t="s">
        <v>229</v>
      </c>
      <c r="BI224" s="264" t="s">
        <v>410</v>
      </c>
      <c r="BJ224" t="s">
        <v>345</v>
      </c>
      <c r="BK224">
        <v>0</v>
      </c>
      <c r="BL224">
        <v>23500</v>
      </c>
      <c r="BM224" s="143"/>
      <c r="BN224">
        <f t="shared" si="178"/>
        <v>23500</v>
      </c>
      <c r="BO224" s="143">
        <f t="shared" si="206"/>
        <v>47.95918367346939</v>
      </c>
      <c r="BP224" t="s">
        <v>232</v>
      </c>
      <c r="BQ224" s="300" t="s">
        <v>396</v>
      </c>
      <c r="BR224" t="s">
        <v>346</v>
      </c>
      <c r="BS224">
        <v>-23000</v>
      </c>
      <c r="BT224">
        <v>-5870</v>
      </c>
      <c r="BU224" s="144">
        <v>0.25521739130434784</v>
      </c>
      <c r="BV224">
        <f t="shared" si="207"/>
        <v>17130</v>
      </c>
      <c r="BW224"/>
      <c r="BX224">
        <f t="shared" si="208"/>
        <v>17.13</v>
      </c>
      <c r="BY224">
        <f t="shared" si="139"/>
        <v>0.35717872340425527</v>
      </c>
      <c r="BZ224">
        <v>0</v>
      </c>
      <c r="CA224">
        <v>0</v>
      </c>
      <c r="CB224">
        <v>0</v>
      </c>
      <c r="CC224">
        <v>0</v>
      </c>
      <c r="CD224">
        <v>0</v>
      </c>
      <c r="CE224">
        <v>0</v>
      </c>
      <c r="CF224">
        <v>0</v>
      </c>
      <c r="CG224">
        <v>0</v>
      </c>
      <c r="CH224">
        <v>0</v>
      </c>
      <c r="CI224">
        <v>0</v>
      </c>
      <c r="CJ224">
        <v>0</v>
      </c>
      <c r="CK224">
        <v>0</v>
      </c>
      <c r="CL224">
        <v>0</v>
      </c>
      <c r="CM224">
        <v>0</v>
      </c>
      <c r="CN224" t="str">
        <f t="shared" si="209"/>
        <v>refOK</v>
      </c>
      <c r="CO224">
        <f t="shared" si="210"/>
        <v>0</v>
      </c>
      <c r="CP224">
        <f t="shared" si="211"/>
        <v>23500</v>
      </c>
      <c r="CQ224">
        <f t="shared" si="186"/>
        <v>47.95918367346939</v>
      </c>
      <c r="CR224">
        <f t="shared" si="204"/>
        <v>-23000</v>
      </c>
      <c r="CS224">
        <f t="shared" si="205"/>
        <v>-5870</v>
      </c>
      <c r="CT224">
        <f t="shared" si="189"/>
        <v>17.13</v>
      </c>
      <c r="CU224">
        <f t="shared" si="190"/>
        <v>0.35717872340425527</v>
      </c>
      <c r="CV224" s="2">
        <f t="shared" si="191"/>
        <v>0.74478260869565216</v>
      </c>
      <c r="CW224" s="1" t="s">
        <v>347</v>
      </c>
      <c r="CX224" t="str">
        <f t="shared" si="192"/>
        <v>loc</v>
      </c>
      <c r="CY224" t="s">
        <v>348</v>
      </c>
      <c r="CZ224">
        <v>2014</v>
      </c>
      <c r="DA224">
        <v>2034</v>
      </c>
      <c r="DB224">
        <v>20</v>
      </c>
      <c r="DC224" t="str">
        <f t="shared" si="193"/>
        <v>1-30</v>
      </c>
      <c r="DD224">
        <v>0</v>
      </c>
      <c r="DE224">
        <v>0</v>
      </c>
      <c r="DF224">
        <v>0</v>
      </c>
      <c r="DG224">
        <v>1</v>
      </c>
      <c r="DH224"/>
      <c r="DI224">
        <f t="shared" si="194"/>
        <v>1</v>
      </c>
      <c r="DJ224" t="str">
        <f t="shared" si="195"/>
        <v>TimberInput</v>
      </c>
      <c r="DK224">
        <f t="shared" si="196"/>
        <v>0</v>
      </c>
      <c r="DL224">
        <f t="shared" si="197"/>
        <v>0</v>
      </c>
      <c r="DM224">
        <f t="shared" si="198"/>
        <v>0</v>
      </c>
      <c r="DN224" t="str">
        <f t="shared" si="199"/>
        <v>Timber</v>
      </c>
      <c r="DO224">
        <v>0</v>
      </c>
      <c r="DP224">
        <v>0</v>
      </c>
      <c r="DQ224">
        <v>0</v>
      </c>
      <c r="DR224">
        <v>0</v>
      </c>
      <c r="DS224">
        <v>0</v>
      </c>
      <c r="DT224">
        <f t="shared" si="200"/>
        <v>0</v>
      </c>
      <c r="DU224" s="143" t="str">
        <f t="shared" si="201"/>
        <v>explicit C balance</v>
      </c>
      <c r="DV224">
        <v>0</v>
      </c>
      <c r="DW224">
        <v>0</v>
      </c>
      <c r="DX224">
        <v>0</v>
      </c>
      <c r="DY224">
        <v>1</v>
      </c>
      <c r="DZ224">
        <v>0</v>
      </c>
      <c r="EA224" s="143">
        <v>1</v>
      </c>
      <c r="EB224">
        <v>0</v>
      </c>
      <c r="EC224">
        <v>1</v>
      </c>
      <c r="ED224">
        <v>1</v>
      </c>
      <c r="EE224">
        <v>1</v>
      </c>
      <c r="EF224">
        <v>0</v>
      </c>
      <c r="EG224">
        <v>0</v>
      </c>
      <c r="EH224">
        <v>0</v>
      </c>
      <c r="EI224" s="2">
        <v>0</v>
      </c>
      <c r="EJ224" s="1"/>
      <c r="EK224" t="str">
        <f t="shared" si="202"/>
        <v/>
      </c>
      <c r="EL224" t="str">
        <f t="shared" si="203"/>
        <v/>
      </c>
      <c r="EM224" s="2" t="str">
        <f t="shared" si="140"/>
        <v>Technology approach</v>
      </c>
      <c r="EN224"/>
      <c r="EO224"/>
      <c r="EP224" t="str">
        <f>IF(ISNUMBER(BU224),IF(ABS(BU224-[3]QC_indicators!$B$2)&gt;3*[3]QC_indicators!$C$2,"C ratio",IF(ISNUMBER(BY224),IF(ABS(BY224-[3]QC_indicators!$B$1)&gt;3*[3]QC_indicators!$C$1,"DF","no"))),IF(ISNUMBER(BY224),IF(ABS(BY224-[3]QC_indicators!$B$1)&gt;3*[3]QC_indicators!$C$1,"DF","no")))</f>
        <v>no</v>
      </c>
      <c r="EQ224"/>
      <c r="ER224" s="149" t="s">
        <v>349</v>
      </c>
      <c r="ES224"/>
      <c r="ET224" s="264" t="s">
        <v>3272</v>
      </c>
      <c r="EU224"/>
    </row>
    <row r="225" spans="1:151" s="139" customFormat="1" ht="15" hidden="1" customHeight="1">
      <c r="A225" s="1" t="s">
        <v>333</v>
      </c>
      <c r="B225" t="s">
        <v>334</v>
      </c>
      <c r="C225" t="s">
        <v>335</v>
      </c>
      <c r="D225" t="s">
        <v>336</v>
      </c>
      <c r="E225" t="s">
        <v>337</v>
      </c>
      <c r="F225" t="s">
        <v>338</v>
      </c>
      <c r="G225" t="s">
        <v>339</v>
      </c>
      <c r="H225"/>
      <c r="I225">
        <v>2017</v>
      </c>
      <c r="J225"/>
      <c r="K225" t="s">
        <v>340</v>
      </c>
      <c r="L225"/>
      <c r="M225" t="str">
        <f t="shared" si="161"/>
        <v>Balasbaneh_2017</v>
      </c>
      <c r="N225" t="s">
        <v>222</v>
      </c>
      <c r="O225" s="140" t="s">
        <v>341</v>
      </c>
      <c r="P225"/>
      <c r="Q225" t="s">
        <v>224</v>
      </c>
      <c r="R225" s="262" t="s">
        <v>223</v>
      </c>
      <c r="S225" s="1" t="s">
        <v>363</v>
      </c>
      <c r="T225" t="s">
        <v>361</v>
      </c>
      <c r="U225" t="s">
        <v>351</v>
      </c>
      <c r="V225">
        <v>0</v>
      </c>
      <c r="W225">
        <v>0</v>
      </c>
      <c r="X225">
        <v>0</v>
      </c>
      <c r="Y225">
        <v>0</v>
      </c>
      <c r="Z225">
        <v>0</v>
      </c>
      <c r="AA225">
        <v>0</v>
      </c>
      <c r="AB225">
        <v>0</v>
      </c>
      <c r="AC225">
        <v>0</v>
      </c>
      <c r="AD225">
        <v>0</v>
      </c>
      <c r="AE225">
        <v>0</v>
      </c>
      <c r="AF225">
        <v>0</v>
      </c>
      <c r="AG225">
        <v>0</v>
      </c>
      <c r="AH225">
        <v>0</v>
      </c>
      <c r="AI225">
        <v>0</v>
      </c>
      <c r="AJ225">
        <v>0</v>
      </c>
      <c r="AK225">
        <v>1</v>
      </c>
      <c r="AL225">
        <v>0</v>
      </c>
      <c r="AM225">
        <v>0</v>
      </c>
      <c r="AN225">
        <v>0</v>
      </c>
      <c r="AO225">
        <v>0</v>
      </c>
      <c r="AP225">
        <v>0</v>
      </c>
      <c r="AQ225">
        <v>0</v>
      </c>
      <c r="AR225">
        <v>0</v>
      </c>
      <c r="AS225">
        <v>0</v>
      </c>
      <c r="AT225">
        <v>0</v>
      </c>
      <c r="AU225">
        <v>0</v>
      </c>
      <c r="AV225">
        <v>0</v>
      </c>
      <c r="AW225">
        <v>0</v>
      </c>
      <c r="AX225" s="141">
        <f t="shared" si="170"/>
        <v>1</v>
      </c>
      <c r="AY225" s="141">
        <f t="shared" si="171"/>
        <v>1</v>
      </c>
      <c r="AZ225">
        <f t="shared" si="172"/>
        <v>0</v>
      </c>
      <c r="BA225">
        <f t="shared" si="173"/>
        <v>0</v>
      </c>
      <c r="BB225">
        <f t="shared" si="174"/>
        <v>1</v>
      </c>
      <c r="BC225">
        <f t="shared" si="175"/>
        <v>0</v>
      </c>
      <c r="BD225">
        <f t="shared" si="176"/>
        <v>0</v>
      </c>
      <c r="BE225" t="str">
        <f t="array" ref="BE225">IF(AY225=1,INDEX($V$7:$AL$7,MATCH(TRUE,INDEX($V225:$AW225&lt;&gt;0,),0)),IF(AY225=0,INDEX($AM$7:$AW$7,MATCH(1,$AM225:$AW225,0)),IF(BF225="Multiple strategies","mixed drivers",IF(BF225="Supply chain","multiple supply","multiple silviculture"))))</f>
        <v>technologies/design switch</v>
      </c>
      <c r="BF225" s="2" t="str" cm="1">
        <f t="array" ref="BF225">IF(COUNTIF(AZ225:BB225,"&lt;&gt;0")=1,INDEX($V$4:$AW$4,MATCH(TRUE,INDEX($V225:$AW225&lt;&gt;0,),0)),IF(COUNTIF(AZ225:BB225,"&lt;&gt;0")=0,INDEX($AM$4:$AW$4,MATCH(1,$AM225:$AW225,0)),"Multiple strategies"))</f>
        <v>Technology</v>
      </c>
      <c r="BG225" s="1" t="s">
        <v>229</v>
      </c>
      <c r="BH225" t="s">
        <v>229</v>
      </c>
      <c r="BI225" s="264" t="s">
        <v>410</v>
      </c>
      <c r="BJ225" t="s">
        <v>345</v>
      </c>
      <c r="BK225">
        <v>0</v>
      </c>
      <c r="BL225">
        <v>23500</v>
      </c>
      <c r="BM225" s="143"/>
      <c r="BN225">
        <f t="shared" si="178"/>
        <v>23500</v>
      </c>
      <c r="BO225" s="143">
        <f t="shared" si="206"/>
        <v>47.95918367346939</v>
      </c>
      <c r="BP225" t="s">
        <v>232</v>
      </c>
      <c r="BQ225" s="300" t="s">
        <v>396</v>
      </c>
      <c r="BR225" t="s">
        <v>346</v>
      </c>
      <c r="BS225">
        <v>-23000</v>
      </c>
      <c r="BT225">
        <v>-5650</v>
      </c>
      <c r="BU225" s="144">
        <v>0.24565217391304348</v>
      </c>
      <c r="BV225">
        <f t="shared" si="207"/>
        <v>17350</v>
      </c>
      <c r="BW225"/>
      <c r="BX225">
        <f t="shared" si="208"/>
        <v>17.350000000000001</v>
      </c>
      <c r="BY225">
        <f t="shared" si="139"/>
        <v>0.36176595744680851</v>
      </c>
      <c r="BZ225">
        <v>0</v>
      </c>
      <c r="CA225">
        <v>0</v>
      </c>
      <c r="CB225">
        <v>0</v>
      </c>
      <c r="CC225">
        <v>0</v>
      </c>
      <c r="CD225">
        <v>0</v>
      </c>
      <c r="CE225">
        <v>0</v>
      </c>
      <c r="CF225">
        <v>0</v>
      </c>
      <c r="CG225">
        <v>0</v>
      </c>
      <c r="CH225">
        <v>0</v>
      </c>
      <c r="CI225">
        <v>0</v>
      </c>
      <c r="CJ225">
        <v>0</v>
      </c>
      <c r="CK225">
        <v>0</v>
      </c>
      <c r="CL225">
        <v>0</v>
      </c>
      <c r="CM225">
        <v>0</v>
      </c>
      <c r="CN225" t="str">
        <f t="shared" si="209"/>
        <v>refOK</v>
      </c>
      <c r="CO225">
        <f t="shared" si="210"/>
        <v>0</v>
      </c>
      <c r="CP225">
        <f t="shared" si="211"/>
        <v>23500</v>
      </c>
      <c r="CQ225">
        <f t="shared" si="186"/>
        <v>47.95918367346939</v>
      </c>
      <c r="CR225">
        <f t="shared" si="204"/>
        <v>-23000</v>
      </c>
      <c r="CS225">
        <f t="shared" si="205"/>
        <v>-5650</v>
      </c>
      <c r="CT225">
        <f t="shared" si="189"/>
        <v>17.350000000000001</v>
      </c>
      <c r="CU225">
        <f t="shared" si="190"/>
        <v>0.36176595744680851</v>
      </c>
      <c r="CV225" s="2">
        <f t="shared" si="191"/>
        <v>0.7543478260869565</v>
      </c>
      <c r="CW225" s="1" t="s">
        <v>347</v>
      </c>
      <c r="CX225" t="str">
        <f t="shared" si="192"/>
        <v>loc</v>
      </c>
      <c r="CY225" t="s">
        <v>348</v>
      </c>
      <c r="CZ225">
        <v>2014</v>
      </c>
      <c r="DA225">
        <v>2114</v>
      </c>
      <c r="DB225">
        <v>100</v>
      </c>
      <c r="DC225" t="str">
        <f t="shared" si="193"/>
        <v>71-100</v>
      </c>
      <c r="DD225">
        <v>0</v>
      </c>
      <c r="DE225">
        <v>0</v>
      </c>
      <c r="DF225">
        <v>0</v>
      </c>
      <c r="DG225">
        <v>1</v>
      </c>
      <c r="DH225"/>
      <c r="DI225">
        <f t="shared" si="194"/>
        <v>1</v>
      </c>
      <c r="DJ225" t="str">
        <f t="shared" si="195"/>
        <v>TimberInput</v>
      </c>
      <c r="DK225">
        <f t="shared" si="196"/>
        <v>0</v>
      </c>
      <c r="DL225">
        <f t="shared" si="197"/>
        <v>0</v>
      </c>
      <c r="DM225">
        <f t="shared" si="198"/>
        <v>0</v>
      </c>
      <c r="DN225" t="str">
        <f t="shared" si="199"/>
        <v>Timber</v>
      </c>
      <c r="DO225">
        <v>0</v>
      </c>
      <c r="DP225">
        <v>0</v>
      </c>
      <c r="DQ225">
        <v>0</v>
      </c>
      <c r="DR225">
        <v>0</v>
      </c>
      <c r="DS225">
        <v>0</v>
      </c>
      <c r="DT225">
        <f t="shared" si="200"/>
        <v>0</v>
      </c>
      <c r="DU225" s="143" t="str">
        <f t="shared" si="201"/>
        <v>explicit C balance</v>
      </c>
      <c r="DV225">
        <v>0</v>
      </c>
      <c r="DW225">
        <v>0</v>
      </c>
      <c r="DX225">
        <v>0</v>
      </c>
      <c r="DY225">
        <v>1</v>
      </c>
      <c r="DZ225">
        <v>0</v>
      </c>
      <c r="EA225" s="143">
        <v>1</v>
      </c>
      <c r="EB225">
        <v>0</v>
      </c>
      <c r="EC225">
        <v>1</v>
      </c>
      <c r="ED225">
        <v>1</v>
      </c>
      <c r="EE225">
        <v>1</v>
      </c>
      <c r="EF225">
        <v>0</v>
      </c>
      <c r="EG225">
        <v>0</v>
      </c>
      <c r="EH225">
        <v>0</v>
      </c>
      <c r="EI225" s="2">
        <v>0</v>
      </c>
      <c r="EJ225" s="1"/>
      <c r="EK225" t="str">
        <f t="shared" si="202"/>
        <v/>
      </c>
      <c r="EL225" t="str">
        <f t="shared" si="203"/>
        <v/>
      </c>
      <c r="EM225" s="2" t="str">
        <f t="shared" si="140"/>
        <v>Technology approach</v>
      </c>
      <c r="EN225"/>
      <c r="EO225"/>
      <c r="EP225" t="str">
        <f>IF(ISNUMBER(BU225),IF(ABS(BU225-[3]QC_indicators!$B$2)&gt;3*[3]QC_indicators!$C$2,"C ratio",IF(ISNUMBER(BY225),IF(ABS(BY225-[3]QC_indicators!$B$1)&gt;3*[3]QC_indicators!$C$1,"DF","no"))),IF(ISNUMBER(BY225),IF(ABS(BY225-[3]QC_indicators!$B$1)&gt;3*[3]QC_indicators!$C$1,"DF","no")))</f>
        <v>no</v>
      </c>
      <c r="EQ225"/>
      <c r="ER225" s="149" t="s">
        <v>349</v>
      </c>
      <c r="ES225"/>
      <c r="ET225" s="264" t="s">
        <v>3272</v>
      </c>
      <c r="EU225"/>
    </row>
    <row r="226" spans="1:151" s="139" customFormat="1" ht="15" hidden="1" customHeight="1">
      <c r="A226" s="1" t="s">
        <v>333</v>
      </c>
      <c r="B226" t="s">
        <v>334</v>
      </c>
      <c r="C226" t="s">
        <v>335</v>
      </c>
      <c r="D226" t="s">
        <v>336</v>
      </c>
      <c r="E226" t="s">
        <v>337</v>
      </c>
      <c r="F226" t="s">
        <v>338</v>
      </c>
      <c r="G226" t="s">
        <v>339</v>
      </c>
      <c r="H226"/>
      <c r="I226">
        <v>2017</v>
      </c>
      <c r="J226"/>
      <c r="K226" t="s">
        <v>340</v>
      </c>
      <c r="L226"/>
      <c r="M226" t="str">
        <f t="shared" si="161"/>
        <v>Balasbaneh_2017</v>
      </c>
      <c r="N226" t="s">
        <v>222</v>
      </c>
      <c r="O226" s="140" t="s">
        <v>341</v>
      </c>
      <c r="P226"/>
      <c r="Q226" t="s">
        <v>224</v>
      </c>
      <c r="R226" s="262" t="s">
        <v>223</v>
      </c>
      <c r="S226" s="1" t="s">
        <v>364</v>
      </c>
      <c r="T226" t="s">
        <v>361</v>
      </c>
      <c r="U226" t="s">
        <v>357</v>
      </c>
      <c r="V226">
        <v>0</v>
      </c>
      <c r="W226">
        <v>0</v>
      </c>
      <c r="X226">
        <v>0</v>
      </c>
      <c r="Y226">
        <v>0</v>
      </c>
      <c r="Z226">
        <v>0</v>
      </c>
      <c r="AA226">
        <v>0</v>
      </c>
      <c r="AB226">
        <v>0</v>
      </c>
      <c r="AC226">
        <v>0</v>
      </c>
      <c r="AD226">
        <v>0</v>
      </c>
      <c r="AE226">
        <v>0</v>
      </c>
      <c r="AF226">
        <v>0</v>
      </c>
      <c r="AG226">
        <v>0</v>
      </c>
      <c r="AH226">
        <v>0</v>
      </c>
      <c r="AI226">
        <v>0</v>
      </c>
      <c r="AJ226">
        <v>0</v>
      </c>
      <c r="AK226">
        <v>1</v>
      </c>
      <c r="AL226">
        <v>0</v>
      </c>
      <c r="AM226">
        <v>0</v>
      </c>
      <c r="AN226">
        <v>0</v>
      </c>
      <c r="AO226">
        <v>0</v>
      </c>
      <c r="AP226">
        <v>0</v>
      </c>
      <c r="AQ226">
        <v>0</v>
      </c>
      <c r="AR226">
        <v>0</v>
      </c>
      <c r="AS226">
        <v>0</v>
      </c>
      <c r="AT226">
        <v>0</v>
      </c>
      <c r="AU226">
        <v>0</v>
      </c>
      <c r="AV226">
        <v>0</v>
      </c>
      <c r="AW226">
        <v>0</v>
      </c>
      <c r="AX226" s="141">
        <f t="shared" si="170"/>
        <v>1</v>
      </c>
      <c r="AY226" s="141">
        <f t="shared" si="171"/>
        <v>1</v>
      </c>
      <c r="AZ226">
        <f t="shared" si="172"/>
        <v>0</v>
      </c>
      <c r="BA226">
        <f t="shared" si="173"/>
        <v>0</v>
      </c>
      <c r="BB226">
        <f t="shared" si="174"/>
        <v>1</v>
      </c>
      <c r="BC226">
        <f t="shared" si="175"/>
        <v>0</v>
      </c>
      <c r="BD226">
        <f t="shared" si="176"/>
        <v>0</v>
      </c>
      <c r="BE226" t="str">
        <f t="array" ref="BE226">IF(AY226=1,INDEX($V$7:$AL$7,MATCH(TRUE,INDEX($V226:$AW226&lt;&gt;0,),0)),IF(AY226=0,INDEX($AM$7:$AW$7,MATCH(1,$AM226:$AW226,0)),IF(BF226="Multiple strategies","mixed drivers",IF(BF226="Supply chain","multiple supply","multiple silviculture"))))</f>
        <v>technologies/design switch</v>
      </c>
      <c r="BF226" s="2" t="str" cm="1">
        <f t="array" ref="BF226">IF(COUNTIF(AZ226:BB226,"&lt;&gt;0")=1,INDEX($V$4:$AW$4,MATCH(TRUE,INDEX($V226:$AW226&lt;&gt;0,),0)),IF(COUNTIF(AZ226:BB226,"&lt;&gt;0")=0,INDEX($AM$4:$AW$4,MATCH(1,$AM226:$AW226,0)),"Multiple strategies"))</f>
        <v>Technology</v>
      </c>
      <c r="BG226" s="1" t="s">
        <v>229</v>
      </c>
      <c r="BH226" t="s">
        <v>229</v>
      </c>
      <c r="BI226" s="264" t="s">
        <v>410</v>
      </c>
      <c r="BJ226" t="s">
        <v>345</v>
      </c>
      <c r="BK226">
        <v>0</v>
      </c>
      <c r="BL226">
        <v>29276</v>
      </c>
      <c r="BM226" s="143"/>
      <c r="BN226">
        <f t="shared" si="178"/>
        <v>29276</v>
      </c>
      <c r="BO226" s="143">
        <f t="shared" si="206"/>
        <v>59.746938775510209</v>
      </c>
      <c r="BP226" t="s">
        <v>232</v>
      </c>
      <c r="BQ226" s="300" t="s">
        <v>396</v>
      </c>
      <c r="BR226" t="s">
        <v>346</v>
      </c>
      <c r="BS226">
        <v>-23800</v>
      </c>
      <c r="BT226">
        <v>-2040</v>
      </c>
      <c r="BU226" s="144">
        <v>8.5714285714285715E-2</v>
      </c>
      <c r="BV226">
        <f t="shared" si="207"/>
        <v>21760</v>
      </c>
      <c r="BW226"/>
      <c r="BX226">
        <f t="shared" si="208"/>
        <v>21.76</v>
      </c>
      <c r="BY226">
        <f t="shared" si="139"/>
        <v>0.36420275993988249</v>
      </c>
      <c r="BZ226">
        <v>0</v>
      </c>
      <c r="CA226">
        <v>0</v>
      </c>
      <c r="CB226">
        <v>0</v>
      </c>
      <c r="CC226">
        <v>0</v>
      </c>
      <c r="CD226">
        <v>0</v>
      </c>
      <c r="CE226">
        <v>0</v>
      </c>
      <c r="CF226">
        <v>0</v>
      </c>
      <c r="CG226">
        <v>0</v>
      </c>
      <c r="CH226">
        <v>0</v>
      </c>
      <c r="CI226">
        <v>0</v>
      </c>
      <c r="CJ226">
        <v>0</v>
      </c>
      <c r="CK226">
        <v>0</v>
      </c>
      <c r="CL226">
        <v>0</v>
      </c>
      <c r="CM226">
        <v>0</v>
      </c>
      <c r="CN226" t="str">
        <f t="shared" si="209"/>
        <v>refOK</v>
      </c>
      <c r="CO226">
        <f t="shared" si="210"/>
        <v>0</v>
      </c>
      <c r="CP226">
        <f t="shared" si="211"/>
        <v>29276</v>
      </c>
      <c r="CQ226">
        <f t="shared" si="186"/>
        <v>59.746938775510209</v>
      </c>
      <c r="CR226">
        <f t="shared" si="204"/>
        <v>-23800</v>
      </c>
      <c r="CS226">
        <f t="shared" si="205"/>
        <v>-2040</v>
      </c>
      <c r="CT226">
        <f t="shared" si="189"/>
        <v>21.76</v>
      </c>
      <c r="CU226">
        <f t="shared" si="190"/>
        <v>0.36420275993988249</v>
      </c>
      <c r="CV226" s="2">
        <f t="shared" si="191"/>
        <v>0.91428571428571426</v>
      </c>
      <c r="CW226" s="1" t="s">
        <v>347</v>
      </c>
      <c r="CX226" t="str">
        <f t="shared" si="192"/>
        <v>loc</v>
      </c>
      <c r="CY226" t="s">
        <v>348</v>
      </c>
      <c r="CZ226">
        <v>2014</v>
      </c>
      <c r="DA226">
        <v>2514</v>
      </c>
      <c r="DB226">
        <v>500</v>
      </c>
      <c r="DC226" t="str">
        <f t="shared" si="193"/>
        <v>+100</v>
      </c>
      <c r="DD226">
        <v>0</v>
      </c>
      <c r="DE226">
        <v>0</v>
      </c>
      <c r="DF226">
        <v>0</v>
      </c>
      <c r="DG226">
        <v>1</v>
      </c>
      <c r="DH226"/>
      <c r="DI226">
        <f t="shared" si="194"/>
        <v>1</v>
      </c>
      <c r="DJ226" t="str">
        <f t="shared" si="195"/>
        <v>TimberInput</v>
      </c>
      <c r="DK226">
        <f t="shared" si="196"/>
        <v>0</v>
      </c>
      <c r="DL226">
        <f t="shared" si="197"/>
        <v>0</v>
      </c>
      <c r="DM226">
        <f t="shared" si="198"/>
        <v>0</v>
      </c>
      <c r="DN226" t="str">
        <f t="shared" si="199"/>
        <v>Timber</v>
      </c>
      <c r="DO226">
        <v>0</v>
      </c>
      <c r="DP226">
        <v>0</v>
      </c>
      <c r="DQ226">
        <v>0</v>
      </c>
      <c r="DR226">
        <v>0</v>
      </c>
      <c r="DS226">
        <v>0</v>
      </c>
      <c r="DT226">
        <f t="shared" si="200"/>
        <v>0</v>
      </c>
      <c r="DU226" s="143" t="str">
        <f t="shared" si="201"/>
        <v>explicit C balance</v>
      </c>
      <c r="DV226">
        <v>0</v>
      </c>
      <c r="DW226">
        <v>0</v>
      </c>
      <c r="DX226">
        <v>0</v>
      </c>
      <c r="DY226">
        <v>1</v>
      </c>
      <c r="DZ226">
        <v>0</v>
      </c>
      <c r="EA226" s="143">
        <v>1</v>
      </c>
      <c r="EB226">
        <v>0</v>
      </c>
      <c r="EC226">
        <v>1</v>
      </c>
      <c r="ED226">
        <v>1</v>
      </c>
      <c r="EE226">
        <v>1</v>
      </c>
      <c r="EF226">
        <v>0</v>
      </c>
      <c r="EG226">
        <v>0</v>
      </c>
      <c r="EH226">
        <v>0</v>
      </c>
      <c r="EI226" s="2">
        <v>0</v>
      </c>
      <c r="EJ226" s="1"/>
      <c r="EK226" t="str">
        <f t="shared" si="202"/>
        <v/>
      </c>
      <c r="EL226" t="str">
        <f t="shared" si="203"/>
        <v/>
      </c>
      <c r="EM226" s="2" t="str">
        <f t="shared" si="140"/>
        <v>Technology approach</v>
      </c>
      <c r="EN226"/>
      <c r="EO226"/>
      <c r="EP226" t="str">
        <f>IF(ISNUMBER(BU226),IF(ABS(BU226-[3]QC_indicators!$B$2)&gt;3*[3]QC_indicators!$C$2,"C ratio",IF(ISNUMBER(BY226),IF(ABS(BY226-[3]QC_indicators!$B$1)&gt;3*[3]QC_indicators!$C$1,"DF","no"))),IF(ISNUMBER(BY226),IF(ABS(BY226-[3]QC_indicators!$B$1)&gt;3*[3]QC_indicators!$C$1,"DF","no")))</f>
        <v>no</v>
      </c>
      <c r="EQ226"/>
      <c r="ER226" s="149" t="s">
        <v>349</v>
      </c>
      <c r="ES226"/>
      <c r="ET226" s="264" t="s">
        <v>3272</v>
      </c>
      <c r="EU226"/>
    </row>
    <row r="227" spans="1:151" s="139" customFormat="1" ht="15" hidden="1" customHeight="1">
      <c r="A227" s="1" t="s">
        <v>333</v>
      </c>
      <c r="B227" t="s">
        <v>334</v>
      </c>
      <c r="C227" t="s">
        <v>335</v>
      </c>
      <c r="D227" t="s">
        <v>336</v>
      </c>
      <c r="E227" t="s">
        <v>337</v>
      </c>
      <c r="F227" t="s">
        <v>338</v>
      </c>
      <c r="G227" t="s">
        <v>339</v>
      </c>
      <c r="H227"/>
      <c r="I227">
        <v>2017</v>
      </c>
      <c r="J227"/>
      <c r="K227" t="s">
        <v>340</v>
      </c>
      <c r="L227"/>
      <c r="M227" t="str">
        <f t="shared" si="161"/>
        <v>Balasbaneh_2017</v>
      </c>
      <c r="N227" t="s">
        <v>222</v>
      </c>
      <c r="O227" s="140" t="s">
        <v>341</v>
      </c>
      <c r="P227"/>
      <c r="Q227" t="s">
        <v>224</v>
      </c>
      <c r="R227" s="262" t="s">
        <v>223</v>
      </c>
      <c r="S227" s="1" t="s">
        <v>365</v>
      </c>
      <c r="T227" t="s">
        <v>361</v>
      </c>
      <c r="U227" t="s">
        <v>357</v>
      </c>
      <c r="V227">
        <v>0</v>
      </c>
      <c r="W227">
        <v>0</v>
      </c>
      <c r="X227">
        <v>0</v>
      </c>
      <c r="Y227">
        <v>0</v>
      </c>
      <c r="Z227">
        <v>0</v>
      </c>
      <c r="AA227">
        <v>0</v>
      </c>
      <c r="AB227">
        <v>0</v>
      </c>
      <c r="AC227">
        <v>0</v>
      </c>
      <c r="AD227">
        <v>0</v>
      </c>
      <c r="AE227">
        <v>0</v>
      </c>
      <c r="AF227">
        <v>0</v>
      </c>
      <c r="AG227">
        <v>0</v>
      </c>
      <c r="AH227">
        <v>0</v>
      </c>
      <c r="AI227">
        <v>0</v>
      </c>
      <c r="AJ227">
        <v>0</v>
      </c>
      <c r="AK227">
        <v>1</v>
      </c>
      <c r="AL227">
        <v>0</v>
      </c>
      <c r="AM227">
        <v>0</v>
      </c>
      <c r="AN227">
        <v>0</v>
      </c>
      <c r="AO227">
        <v>0</v>
      </c>
      <c r="AP227">
        <v>0</v>
      </c>
      <c r="AQ227">
        <v>0</v>
      </c>
      <c r="AR227">
        <v>0</v>
      </c>
      <c r="AS227">
        <v>0</v>
      </c>
      <c r="AT227">
        <v>0</v>
      </c>
      <c r="AU227">
        <v>0</v>
      </c>
      <c r="AV227">
        <v>0</v>
      </c>
      <c r="AW227">
        <v>0</v>
      </c>
      <c r="AX227" s="141">
        <f t="shared" si="170"/>
        <v>1</v>
      </c>
      <c r="AY227" s="141">
        <f t="shared" si="171"/>
        <v>1</v>
      </c>
      <c r="AZ227">
        <f t="shared" si="172"/>
        <v>0</v>
      </c>
      <c r="BA227">
        <f t="shared" si="173"/>
        <v>0</v>
      </c>
      <c r="BB227">
        <f t="shared" si="174"/>
        <v>1</v>
      </c>
      <c r="BC227">
        <f t="shared" si="175"/>
        <v>0</v>
      </c>
      <c r="BD227">
        <f t="shared" si="176"/>
        <v>0</v>
      </c>
      <c r="BE227" t="str">
        <f t="array" ref="BE227">IF(AY227=1,INDEX($V$7:$AL$7,MATCH(TRUE,INDEX($V227:$AW227&lt;&gt;0,),0)),IF(AY227=0,INDEX($AM$7:$AW$7,MATCH(1,$AM227:$AW227,0)),IF(BF227="Multiple strategies","mixed drivers",IF(BF227="Supply chain","multiple supply","multiple silviculture"))))</f>
        <v>technologies/design switch</v>
      </c>
      <c r="BF227" s="2" t="str" cm="1">
        <f t="array" ref="BF227">IF(COUNTIF(AZ227:BB227,"&lt;&gt;0")=1,INDEX($V$4:$AW$4,MATCH(TRUE,INDEX($V227:$AW227&lt;&gt;0,),0)),IF(COUNTIF(AZ227:BB227,"&lt;&gt;0")=0,INDEX($AM$4:$AW$4,MATCH(1,$AM227:$AW227,0)),"Multiple strategies"))</f>
        <v>Technology</v>
      </c>
      <c r="BG227" s="1" t="s">
        <v>229</v>
      </c>
      <c r="BH227" t="s">
        <v>229</v>
      </c>
      <c r="BI227" s="264" t="s">
        <v>410</v>
      </c>
      <c r="BJ227" t="s">
        <v>345</v>
      </c>
      <c r="BK227">
        <v>0</v>
      </c>
      <c r="BL227">
        <v>29276</v>
      </c>
      <c r="BM227" s="143"/>
      <c r="BN227">
        <f t="shared" si="178"/>
        <v>29276</v>
      </c>
      <c r="BO227" s="143">
        <f t="shared" si="206"/>
        <v>59.746938775510209</v>
      </c>
      <c r="BP227" t="s">
        <v>232</v>
      </c>
      <c r="BQ227" s="300" t="s">
        <v>396</v>
      </c>
      <c r="BR227" t="s">
        <v>346</v>
      </c>
      <c r="BS227">
        <v>-24200</v>
      </c>
      <c r="BT227">
        <v>-2080</v>
      </c>
      <c r="BU227" s="144">
        <v>8.5950413223140495E-2</v>
      </c>
      <c r="BV227">
        <f t="shared" si="207"/>
        <v>22120</v>
      </c>
      <c r="BW227"/>
      <c r="BX227">
        <f t="shared" si="208"/>
        <v>22.12</v>
      </c>
      <c r="BY227">
        <f t="shared" si="139"/>
        <v>0.3702281732477114</v>
      </c>
      <c r="BZ227">
        <v>0</v>
      </c>
      <c r="CA227">
        <v>0</v>
      </c>
      <c r="CB227">
        <v>0</v>
      </c>
      <c r="CC227">
        <v>0</v>
      </c>
      <c r="CD227">
        <v>0</v>
      </c>
      <c r="CE227">
        <v>0</v>
      </c>
      <c r="CF227">
        <v>0</v>
      </c>
      <c r="CG227">
        <v>0</v>
      </c>
      <c r="CH227">
        <v>0</v>
      </c>
      <c r="CI227">
        <v>0</v>
      </c>
      <c r="CJ227">
        <v>0</v>
      </c>
      <c r="CK227">
        <v>0</v>
      </c>
      <c r="CL227">
        <v>0</v>
      </c>
      <c r="CM227">
        <v>0</v>
      </c>
      <c r="CN227" t="str">
        <f t="shared" si="209"/>
        <v>refOK</v>
      </c>
      <c r="CO227">
        <f t="shared" si="210"/>
        <v>0</v>
      </c>
      <c r="CP227">
        <f t="shared" si="211"/>
        <v>29276</v>
      </c>
      <c r="CQ227">
        <f t="shared" si="186"/>
        <v>59.746938775510209</v>
      </c>
      <c r="CR227">
        <f t="shared" si="204"/>
        <v>-24200</v>
      </c>
      <c r="CS227">
        <f t="shared" si="205"/>
        <v>-2080</v>
      </c>
      <c r="CT227">
        <f t="shared" si="189"/>
        <v>22.12</v>
      </c>
      <c r="CU227">
        <f t="shared" si="190"/>
        <v>0.3702281732477114</v>
      </c>
      <c r="CV227" s="2">
        <f t="shared" si="191"/>
        <v>0.91404958677685955</v>
      </c>
      <c r="CW227" s="1" t="s">
        <v>347</v>
      </c>
      <c r="CX227" t="str">
        <f t="shared" si="192"/>
        <v>loc</v>
      </c>
      <c r="CY227" t="s">
        <v>348</v>
      </c>
      <c r="CZ227">
        <v>2014</v>
      </c>
      <c r="DA227">
        <v>2514</v>
      </c>
      <c r="DB227">
        <v>500</v>
      </c>
      <c r="DC227" t="str">
        <f t="shared" si="193"/>
        <v>+100</v>
      </c>
      <c r="DD227">
        <v>0</v>
      </c>
      <c r="DE227">
        <v>0</v>
      </c>
      <c r="DF227">
        <v>0</v>
      </c>
      <c r="DG227">
        <v>1</v>
      </c>
      <c r="DH227"/>
      <c r="DI227">
        <f t="shared" si="194"/>
        <v>1</v>
      </c>
      <c r="DJ227" t="str">
        <f t="shared" si="195"/>
        <v>TimberInput</v>
      </c>
      <c r="DK227">
        <f t="shared" si="196"/>
        <v>0</v>
      </c>
      <c r="DL227">
        <f t="shared" si="197"/>
        <v>0</v>
      </c>
      <c r="DM227">
        <f t="shared" si="198"/>
        <v>0</v>
      </c>
      <c r="DN227" t="str">
        <f t="shared" si="199"/>
        <v>Timber</v>
      </c>
      <c r="DO227">
        <v>0</v>
      </c>
      <c r="DP227">
        <v>0</v>
      </c>
      <c r="DQ227">
        <v>0</v>
      </c>
      <c r="DR227">
        <v>0</v>
      </c>
      <c r="DS227">
        <v>0</v>
      </c>
      <c r="DT227">
        <f t="shared" si="200"/>
        <v>0</v>
      </c>
      <c r="DU227" s="143" t="str">
        <f t="shared" si="201"/>
        <v>explicit C balance</v>
      </c>
      <c r="DV227">
        <v>0</v>
      </c>
      <c r="DW227">
        <v>0</v>
      </c>
      <c r="DX227">
        <v>0</v>
      </c>
      <c r="DY227">
        <v>1</v>
      </c>
      <c r="DZ227">
        <v>0</v>
      </c>
      <c r="EA227" s="143">
        <v>1</v>
      </c>
      <c r="EB227">
        <v>0</v>
      </c>
      <c r="EC227">
        <v>1</v>
      </c>
      <c r="ED227">
        <v>1</v>
      </c>
      <c r="EE227">
        <v>1</v>
      </c>
      <c r="EF227">
        <v>0</v>
      </c>
      <c r="EG227">
        <v>0</v>
      </c>
      <c r="EH227">
        <v>0</v>
      </c>
      <c r="EI227" s="2">
        <v>0</v>
      </c>
      <c r="EJ227" s="1"/>
      <c r="EK227" t="str">
        <f t="shared" si="202"/>
        <v/>
      </c>
      <c r="EL227" t="str">
        <f t="shared" si="203"/>
        <v/>
      </c>
      <c r="EM227" s="2" t="str">
        <f t="shared" si="140"/>
        <v>Technology approach</v>
      </c>
      <c r="EN227"/>
      <c r="EO227"/>
      <c r="EP227" t="str">
        <f>IF(ISNUMBER(BU227),IF(ABS(BU227-[3]QC_indicators!$B$2)&gt;3*[3]QC_indicators!$C$2,"C ratio",IF(ISNUMBER(BY227),IF(ABS(BY227-[3]QC_indicators!$B$1)&gt;3*[3]QC_indicators!$C$1,"DF","no"))),IF(ISNUMBER(BY227),IF(ABS(BY227-[3]QC_indicators!$B$1)&gt;3*[3]QC_indicators!$C$1,"DF","no")))</f>
        <v>no</v>
      </c>
      <c r="EQ227"/>
      <c r="ER227" s="149" t="s">
        <v>349</v>
      </c>
      <c r="ES227"/>
      <c r="ET227" s="264" t="s">
        <v>3272</v>
      </c>
      <c r="EU227"/>
    </row>
    <row r="228" spans="1:151" s="139" customFormat="1" ht="15" hidden="1" customHeight="1">
      <c r="A228" s="1" t="s">
        <v>333</v>
      </c>
      <c r="B228" t="s">
        <v>334</v>
      </c>
      <c r="C228" t="s">
        <v>335</v>
      </c>
      <c r="D228" t="s">
        <v>336</v>
      </c>
      <c r="E228" t="s">
        <v>337</v>
      </c>
      <c r="F228" t="s">
        <v>338</v>
      </c>
      <c r="G228" t="s">
        <v>339</v>
      </c>
      <c r="H228"/>
      <c r="I228">
        <v>2017</v>
      </c>
      <c r="J228"/>
      <c r="K228" t="s">
        <v>340</v>
      </c>
      <c r="L228"/>
      <c r="M228" t="str">
        <f t="shared" si="161"/>
        <v>Balasbaneh_2017</v>
      </c>
      <c r="N228" t="s">
        <v>222</v>
      </c>
      <c r="O228" s="140" t="s">
        <v>341</v>
      </c>
      <c r="P228"/>
      <c r="Q228" t="s">
        <v>224</v>
      </c>
      <c r="R228" s="262" t="s">
        <v>223</v>
      </c>
      <c r="S228" s="1" t="s">
        <v>366</v>
      </c>
      <c r="T228" t="s">
        <v>361</v>
      </c>
      <c r="U228" t="s">
        <v>344</v>
      </c>
      <c r="V228">
        <v>0</v>
      </c>
      <c r="W228">
        <v>0</v>
      </c>
      <c r="X228">
        <v>0</v>
      </c>
      <c r="Y228">
        <v>0</v>
      </c>
      <c r="Z228">
        <v>0</v>
      </c>
      <c r="AA228">
        <v>0</v>
      </c>
      <c r="AB228">
        <v>0</v>
      </c>
      <c r="AC228">
        <v>0</v>
      </c>
      <c r="AD228">
        <v>0</v>
      </c>
      <c r="AE228">
        <v>0</v>
      </c>
      <c r="AF228">
        <v>0</v>
      </c>
      <c r="AG228">
        <v>0</v>
      </c>
      <c r="AH228">
        <v>0</v>
      </c>
      <c r="AI228">
        <v>0</v>
      </c>
      <c r="AJ228">
        <v>0</v>
      </c>
      <c r="AK228">
        <v>1</v>
      </c>
      <c r="AL228">
        <v>0</v>
      </c>
      <c r="AM228">
        <v>0</v>
      </c>
      <c r="AN228">
        <v>0</v>
      </c>
      <c r="AO228">
        <v>0</v>
      </c>
      <c r="AP228">
        <v>0</v>
      </c>
      <c r="AQ228">
        <v>0</v>
      </c>
      <c r="AR228">
        <v>0</v>
      </c>
      <c r="AS228">
        <v>0</v>
      </c>
      <c r="AT228">
        <v>0</v>
      </c>
      <c r="AU228">
        <v>0</v>
      </c>
      <c r="AV228">
        <v>0</v>
      </c>
      <c r="AW228">
        <v>0</v>
      </c>
      <c r="AX228" s="141">
        <f t="shared" si="170"/>
        <v>1</v>
      </c>
      <c r="AY228" s="141">
        <f t="shared" si="171"/>
        <v>1</v>
      </c>
      <c r="AZ228">
        <f t="shared" si="172"/>
        <v>0</v>
      </c>
      <c r="BA228">
        <f t="shared" si="173"/>
        <v>0</v>
      </c>
      <c r="BB228">
        <f t="shared" si="174"/>
        <v>1</v>
      </c>
      <c r="BC228">
        <f t="shared" si="175"/>
        <v>0</v>
      </c>
      <c r="BD228">
        <f t="shared" si="176"/>
        <v>0</v>
      </c>
      <c r="BE228" t="str">
        <f t="array" ref="BE228">IF(AY228=1,INDEX($V$7:$AL$7,MATCH(TRUE,INDEX($V228:$AW228&lt;&gt;0,),0)),IF(AY228=0,INDEX($AM$7:$AW$7,MATCH(1,$AM228:$AW228,0)),IF(BF228="Multiple strategies","mixed drivers",IF(BF228="Supply chain","multiple supply","multiple silviculture"))))</f>
        <v>technologies/design switch</v>
      </c>
      <c r="BF228" s="2" t="str" cm="1">
        <f t="array" ref="BF228">IF(COUNTIF(AZ228:BB228,"&lt;&gt;0")=1,INDEX($V$4:$AW$4,MATCH(TRUE,INDEX($V228:$AW228&lt;&gt;0,),0)),IF(COUNTIF(AZ228:BB228,"&lt;&gt;0")=0,INDEX($AM$4:$AW$4,MATCH(1,$AM228:$AW228,0)),"Multiple strategies"))</f>
        <v>Technology</v>
      </c>
      <c r="BG228" s="1" t="s">
        <v>229</v>
      </c>
      <c r="BH228" t="s">
        <v>229</v>
      </c>
      <c r="BI228" s="264" t="s">
        <v>410</v>
      </c>
      <c r="BJ228" t="s">
        <v>345</v>
      </c>
      <c r="BK228">
        <v>0</v>
      </c>
      <c r="BL228">
        <v>23500</v>
      </c>
      <c r="BM228" s="143"/>
      <c r="BN228">
        <f t="shared" si="178"/>
        <v>23500</v>
      </c>
      <c r="BO228" s="143">
        <f t="shared" si="206"/>
        <v>47.95918367346939</v>
      </c>
      <c r="BP228" t="s">
        <v>232</v>
      </c>
      <c r="BQ228" s="300" t="s">
        <v>396</v>
      </c>
      <c r="BR228" t="s">
        <v>346</v>
      </c>
      <c r="BS228">
        <v>-23800</v>
      </c>
      <c r="BT228">
        <v>-6020</v>
      </c>
      <c r="BU228" s="144">
        <v>0.25294117647058822</v>
      </c>
      <c r="BV228">
        <f t="shared" si="207"/>
        <v>17780</v>
      </c>
      <c r="BW228"/>
      <c r="BX228">
        <f t="shared" si="208"/>
        <v>17.78</v>
      </c>
      <c r="BY228">
        <f t="shared" si="139"/>
        <v>0.37073191489361701</v>
      </c>
      <c r="BZ228">
        <v>0</v>
      </c>
      <c r="CA228">
        <v>0</v>
      </c>
      <c r="CB228">
        <v>0</v>
      </c>
      <c r="CC228">
        <v>0</v>
      </c>
      <c r="CD228">
        <v>0</v>
      </c>
      <c r="CE228">
        <v>0</v>
      </c>
      <c r="CF228">
        <v>0</v>
      </c>
      <c r="CG228">
        <v>0</v>
      </c>
      <c r="CH228">
        <v>0</v>
      </c>
      <c r="CI228">
        <v>0</v>
      </c>
      <c r="CJ228">
        <v>0</v>
      </c>
      <c r="CK228">
        <v>0</v>
      </c>
      <c r="CL228">
        <v>0</v>
      </c>
      <c r="CM228">
        <v>0</v>
      </c>
      <c r="CN228" t="str">
        <f t="shared" si="209"/>
        <v>refOK</v>
      </c>
      <c r="CO228">
        <f t="shared" si="210"/>
        <v>0</v>
      </c>
      <c r="CP228">
        <f t="shared" si="211"/>
        <v>23500</v>
      </c>
      <c r="CQ228">
        <f t="shared" si="186"/>
        <v>47.95918367346939</v>
      </c>
      <c r="CR228">
        <f t="shared" si="204"/>
        <v>-23800</v>
      </c>
      <c r="CS228">
        <f t="shared" si="205"/>
        <v>-6020</v>
      </c>
      <c r="CT228">
        <f t="shared" si="189"/>
        <v>17.78</v>
      </c>
      <c r="CU228">
        <f t="shared" si="190"/>
        <v>0.37073191489361701</v>
      </c>
      <c r="CV228" s="2">
        <f t="shared" si="191"/>
        <v>0.74705882352941178</v>
      </c>
      <c r="CW228" s="1" t="s">
        <v>347</v>
      </c>
      <c r="CX228" t="str">
        <f t="shared" si="192"/>
        <v>loc</v>
      </c>
      <c r="CY228" t="s">
        <v>348</v>
      </c>
      <c r="CZ228">
        <v>2014</v>
      </c>
      <c r="DA228">
        <v>2034</v>
      </c>
      <c r="DB228">
        <v>20</v>
      </c>
      <c r="DC228" t="str">
        <f t="shared" si="193"/>
        <v>1-30</v>
      </c>
      <c r="DD228">
        <v>0</v>
      </c>
      <c r="DE228">
        <v>0</v>
      </c>
      <c r="DF228">
        <v>0</v>
      </c>
      <c r="DG228">
        <v>1</v>
      </c>
      <c r="DH228"/>
      <c r="DI228">
        <f t="shared" si="194"/>
        <v>1</v>
      </c>
      <c r="DJ228" t="str">
        <f t="shared" si="195"/>
        <v>TimberInput</v>
      </c>
      <c r="DK228">
        <f t="shared" si="196"/>
        <v>0</v>
      </c>
      <c r="DL228">
        <f t="shared" si="197"/>
        <v>0</v>
      </c>
      <c r="DM228">
        <f t="shared" si="198"/>
        <v>0</v>
      </c>
      <c r="DN228" t="str">
        <f t="shared" si="199"/>
        <v>Timber</v>
      </c>
      <c r="DO228">
        <v>0</v>
      </c>
      <c r="DP228">
        <v>0</v>
      </c>
      <c r="DQ228">
        <v>0</v>
      </c>
      <c r="DR228">
        <v>0</v>
      </c>
      <c r="DS228">
        <v>0</v>
      </c>
      <c r="DT228">
        <f t="shared" si="200"/>
        <v>0</v>
      </c>
      <c r="DU228" s="143" t="str">
        <f t="shared" si="201"/>
        <v>explicit C balance</v>
      </c>
      <c r="DV228">
        <v>0</v>
      </c>
      <c r="DW228">
        <v>0</v>
      </c>
      <c r="DX228">
        <v>0</v>
      </c>
      <c r="DY228">
        <v>1</v>
      </c>
      <c r="DZ228">
        <v>0</v>
      </c>
      <c r="EA228" s="143">
        <v>1</v>
      </c>
      <c r="EB228">
        <v>0</v>
      </c>
      <c r="EC228">
        <v>1</v>
      </c>
      <c r="ED228">
        <v>1</v>
      </c>
      <c r="EE228">
        <v>1</v>
      </c>
      <c r="EF228">
        <v>0</v>
      </c>
      <c r="EG228">
        <v>0</v>
      </c>
      <c r="EH228">
        <v>0</v>
      </c>
      <c r="EI228" s="2">
        <v>0</v>
      </c>
      <c r="EJ228" s="1"/>
      <c r="EK228" t="str">
        <f t="shared" si="202"/>
        <v/>
      </c>
      <c r="EL228" t="str">
        <f t="shared" si="203"/>
        <v/>
      </c>
      <c r="EM228" s="2" t="str">
        <f t="shared" si="140"/>
        <v>Technology approach</v>
      </c>
      <c r="EN228"/>
      <c r="EO228"/>
      <c r="EP228" t="str">
        <f>IF(ISNUMBER(BU228),IF(ABS(BU228-[3]QC_indicators!$B$2)&gt;3*[3]QC_indicators!$C$2,"C ratio",IF(ISNUMBER(BY228),IF(ABS(BY228-[3]QC_indicators!$B$1)&gt;3*[3]QC_indicators!$C$1,"DF","no"))),IF(ISNUMBER(BY228),IF(ABS(BY228-[3]QC_indicators!$B$1)&gt;3*[3]QC_indicators!$C$1,"DF","no")))</f>
        <v>no</v>
      </c>
      <c r="EQ228"/>
      <c r="ER228" s="149" t="s">
        <v>349</v>
      </c>
      <c r="ES228"/>
      <c r="ET228" s="264" t="s">
        <v>3272</v>
      </c>
      <c r="EU228"/>
    </row>
    <row r="229" spans="1:151" s="139" customFormat="1" ht="15" hidden="1" customHeight="1">
      <c r="A229" s="1" t="s">
        <v>333</v>
      </c>
      <c r="B229" t="s">
        <v>334</v>
      </c>
      <c r="C229" t="s">
        <v>335</v>
      </c>
      <c r="D229" t="s">
        <v>336</v>
      </c>
      <c r="E229" t="s">
        <v>337</v>
      </c>
      <c r="F229" t="s">
        <v>338</v>
      </c>
      <c r="G229" t="s">
        <v>339</v>
      </c>
      <c r="H229"/>
      <c r="I229">
        <v>2017</v>
      </c>
      <c r="J229"/>
      <c r="K229" t="s">
        <v>340</v>
      </c>
      <c r="L229"/>
      <c r="M229" t="str">
        <f t="shared" si="161"/>
        <v>Balasbaneh_2017</v>
      </c>
      <c r="N229" t="s">
        <v>222</v>
      </c>
      <c r="O229" s="140" t="s">
        <v>341</v>
      </c>
      <c r="P229"/>
      <c r="Q229" t="s">
        <v>224</v>
      </c>
      <c r="R229" s="262" t="s">
        <v>223</v>
      </c>
      <c r="S229" s="1" t="s">
        <v>367</v>
      </c>
      <c r="T229" t="s">
        <v>361</v>
      </c>
      <c r="U229" t="s">
        <v>344</v>
      </c>
      <c r="V229">
        <v>0</v>
      </c>
      <c r="W229">
        <v>0</v>
      </c>
      <c r="X229">
        <v>0</v>
      </c>
      <c r="Y229">
        <v>0</v>
      </c>
      <c r="Z229">
        <v>0</v>
      </c>
      <c r="AA229">
        <v>0</v>
      </c>
      <c r="AB229">
        <v>0</v>
      </c>
      <c r="AC229">
        <v>0</v>
      </c>
      <c r="AD229">
        <v>0</v>
      </c>
      <c r="AE229">
        <v>0</v>
      </c>
      <c r="AF229">
        <v>0</v>
      </c>
      <c r="AG229">
        <v>0</v>
      </c>
      <c r="AH229">
        <v>0</v>
      </c>
      <c r="AI229">
        <v>0</v>
      </c>
      <c r="AJ229">
        <v>0</v>
      </c>
      <c r="AK229">
        <v>1</v>
      </c>
      <c r="AL229">
        <v>0</v>
      </c>
      <c r="AM229">
        <v>0</v>
      </c>
      <c r="AN229">
        <v>0</v>
      </c>
      <c r="AO229">
        <v>0</v>
      </c>
      <c r="AP229">
        <v>0</v>
      </c>
      <c r="AQ229">
        <v>0</v>
      </c>
      <c r="AR229">
        <v>0</v>
      </c>
      <c r="AS229">
        <v>0</v>
      </c>
      <c r="AT229">
        <v>0</v>
      </c>
      <c r="AU229">
        <v>0</v>
      </c>
      <c r="AV229">
        <v>0</v>
      </c>
      <c r="AW229">
        <v>0</v>
      </c>
      <c r="AX229" s="141">
        <f t="shared" si="170"/>
        <v>1</v>
      </c>
      <c r="AY229" s="141">
        <f t="shared" si="171"/>
        <v>1</v>
      </c>
      <c r="AZ229">
        <f t="shared" si="172"/>
        <v>0</v>
      </c>
      <c r="BA229">
        <f t="shared" si="173"/>
        <v>0</v>
      </c>
      <c r="BB229">
        <f t="shared" si="174"/>
        <v>1</v>
      </c>
      <c r="BC229">
        <f t="shared" si="175"/>
        <v>0</v>
      </c>
      <c r="BD229">
        <f t="shared" si="176"/>
        <v>0</v>
      </c>
      <c r="BE229" t="str">
        <f t="array" ref="BE229">IF(AY229=1,INDEX($V$7:$AL$7,MATCH(TRUE,INDEX($V229:$AW229&lt;&gt;0,),0)),IF(AY229=0,INDEX($AM$7:$AW$7,MATCH(1,$AM229:$AW229,0)),IF(BF229="Multiple strategies","mixed drivers",IF(BF229="Supply chain","multiple supply","multiple silviculture"))))</f>
        <v>technologies/design switch</v>
      </c>
      <c r="BF229" s="2" t="str" cm="1">
        <f t="array" ref="BF229">IF(COUNTIF(AZ229:BB229,"&lt;&gt;0")=1,INDEX($V$4:$AW$4,MATCH(TRUE,INDEX($V229:$AW229&lt;&gt;0,),0)),IF(COUNTIF(AZ229:BB229,"&lt;&gt;0")=0,INDEX($AM$4:$AW$4,MATCH(1,$AM229:$AW229,0)),"Multiple strategies"))</f>
        <v>Technology</v>
      </c>
      <c r="BG229" s="1" t="s">
        <v>229</v>
      </c>
      <c r="BH229" t="s">
        <v>229</v>
      </c>
      <c r="BI229" s="264" t="s">
        <v>410</v>
      </c>
      <c r="BJ229" t="s">
        <v>345</v>
      </c>
      <c r="BK229">
        <v>0</v>
      </c>
      <c r="BL229">
        <v>23500</v>
      </c>
      <c r="BM229" s="143"/>
      <c r="BN229">
        <f t="shared" si="178"/>
        <v>23500</v>
      </c>
      <c r="BO229" s="143">
        <f t="shared" si="206"/>
        <v>47.95918367346939</v>
      </c>
      <c r="BP229" t="s">
        <v>232</v>
      </c>
      <c r="BQ229" s="300" t="s">
        <v>396</v>
      </c>
      <c r="BR229" t="s">
        <v>346</v>
      </c>
      <c r="BS229">
        <v>-24200</v>
      </c>
      <c r="BT229">
        <v>-6250</v>
      </c>
      <c r="BU229" s="144">
        <v>0.25826446280991733</v>
      </c>
      <c r="BV229">
        <f t="shared" si="207"/>
        <v>17950</v>
      </c>
      <c r="BW229"/>
      <c r="BX229">
        <f t="shared" si="208"/>
        <v>17.95</v>
      </c>
      <c r="BY229">
        <f t="shared" si="139"/>
        <v>0.37427659574468081</v>
      </c>
      <c r="BZ229">
        <v>0</v>
      </c>
      <c r="CA229">
        <v>0</v>
      </c>
      <c r="CB229">
        <v>0</v>
      </c>
      <c r="CC229">
        <v>0</v>
      </c>
      <c r="CD229">
        <v>0</v>
      </c>
      <c r="CE229">
        <v>0</v>
      </c>
      <c r="CF229">
        <v>0</v>
      </c>
      <c r="CG229">
        <v>0</v>
      </c>
      <c r="CH229">
        <v>0</v>
      </c>
      <c r="CI229">
        <v>0</v>
      </c>
      <c r="CJ229">
        <v>0</v>
      </c>
      <c r="CK229">
        <v>0</v>
      </c>
      <c r="CL229">
        <v>0</v>
      </c>
      <c r="CM229">
        <v>0</v>
      </c>
      <c r="CN229" t="str">
        <f t="shared" si="209"/>
        <v>refOK</v>
      </c>
      <c r="CO229">
        <f t="shared" si="210"/>
        <v>0</v>
      </c>
      <c r="CP229">
        <f t="shared" si="211"/>
        <v>23500</v>
      </c>
      <c r="CQ229">
        <f t="shared" si="186"/>
        <v>47.95918367346939</v>
      </c>
      <c r="CR229">
        <f t="shared" si="204"/>
        <v>-24200</v>
      </c>
      <c r="CS229">
        <f t="shared" si="205"/>
        <v>-6250</v>
      </c>
      <c r="CT229">
        <f t="shared" si="189"/>
        <v>17.95</v>
      </c>
      <c r="CU229">
        <f t="shared" si="190"/>
        <v>0.37427659574468081</v>
      </c>
      <c r="CV229" s="2">
        <f t="shared" si="191"/>
        <v>0.74173553719008267</v>
      </c>
      <c r="CW229" s="1" t="s">
        <v>347</v>
      </c>
      <c r="CX229" t="str">
        <f t="shared" si="192"/>
        <v>loc</v>
      </c>
      <c r="CY229" t="s">
        <v>348</v>
      </c>
      <c r="CZ229">
        <v>2014</v>
      </c>
      <c r="DA229">
        <v>2034</v>
      </c>
      <c r="DB229">
        <v>20</v>
      </c>
      <c r="DC229" t="str">
        <f t="shared" si="193"/>
        <v>1-30</v>
      </c>
      <c r="DD229">
        <v>0</v>
      </c>
      <c r="DE229">
        <v>0</v>
      </c>
      <c r="DF229">
        <v>0</v>
      </c>
      <c r="DG229">
        <v>1</v>
      </c>
      <c r="DH229"/>
      <c r="DI229">
        <f t="shared" si="194"/>
        <v>1</v>
      </c>
      <c r="DJ229" t="str">
        <f t="shared" si="195"/>
        <v>TimberInput</v>
      </c>
      <c r="DK229">
        <f t="shared" si="196"/>
        <v>0</v>
      </c>
      <c r="DL229">
        <f t="shared" si="197"/>
        <v>0</v>
      </c>
      <c r="DM229">
        <f t="shared" si="198"/>
        <v>0</v>
      </c>
      <c r="DN229" t="str">
        <f t="shared" si="199"/>
        <v>Timber</v>
      </c>
      <c r="DO229">
        <v>0</v>
      </c>
      <c r="DP229">
        <v>0</v>
      </c>
      <c r="DQ229">
        <v>0</v>
      </c>
      <c r="DR229">
        <v>0</v>
      </c>
      <c r="DS229">
        <v>0</v>
      </c>
      <c r="DT229">
        <f t="shared" si="200"/>
        <v>0</v>
      </c>
      <c r="DU229" s="143" t="str">
        <f t="shared" si="201"/>
        <v>explicit C balance</v>
      </c>
      <c r="DV229">
        <v>0</v>
      </c>
      <c r="DW229">
        <v>0</v>
      </c>
      <c r="DX229">
        <v>0</v>
      </c>
      <c r="DY229">
        <v>1</v>
      </c>
      <c r="DZ229">
        <v>0</v>
      </c>
      <c r="EA229" s="143">
        <v>1</v>
      </c>
      <c r="EB229">
        <v>0</v>
      </c>
      <c r="EC229">
        <v>1</v>
      </c>
      <c r="ED229">
        <v>1</v>
      </c>
      <c r="EE229">
        <v>1</v>
      </c>
      <c r="EF229">
        <v>0</v>
      </c>
      <c r="EG229">
        <v>0</v>
      </c>
      <c r="EH229">
        <v>0</v>
      </c>
      <c r="EI229" s="2">
        <v>0</v>
      </c>
      <c r="EJ229" s="1"/>
      <c r="EK229" t="str">
        <f t="shared" si="202"/>
        <v/>
      </c>
      <c r="EL229" t="str">
        <f t="shared" si="203"/>
        <v/>
      </c>
      <c r="EM229" s="2" t="str">
        <f t="shared" si="140"/>
        <v>Technology approach</v>
      </c>
      <c r="EN229"/>
      <c r="EO229"/>
      <c r="EP229" t="str">
        <f>IF(ISNUMBER(BU229),IF(ABS(BU229-[3]QC_indicators!$B$2)&gt;3*[3]QC_indicators!$C$2,"C ratio",IF(ISNUMBER(BY229),IF(ABS(BY229-[3]QC_indicators!$B$1)&gt;3*[3]QC_indicators!$C$1,"DF","no"))),IF(ISNUMBER(BY229),IF(ABS(BY229-[3]QC_indicators!$B$1)&gt;3*[3]QC_indicators!$C$1,"DF","no")))</f>
        <v>no</v>
      </c>
      <c r="EQ229"/>
      <c r="ER229" s="149" t="s">
        <v>349</v>
      </c>
      <c r="ES229"/>
      <c r="ET229" s="264" t="s">
        <v>3272</v>
      </c>
      <c r="EU229"/>
    </row>
    <row r="230" spans="1:151" s="139" customFormat="1" ht="15" hidden="1" customHeight="1">
      <c r="A230" s="1" t="s">
        <v>333</v>
      </c>
      <c r="B230" t="s">
        <v>334</v>
      </c>
      <c r="C230" t="s">
        <v>335</v>
      </c>
      <c r="D230" t="s">
        <v>336</v>
      </c>
      <c r="E230" t="s">
        <v>337</v>
      </c>
      <c r="F230" t="s">
        <v>338</v>
      </c>
      <c r="G230" t="s">
        <v>339</v>
      </c>
      <c r="H230"/>
      <c r="I230">
        <v>2017</v>
      </c>
      <c r="J230"/>
      <c r="K230" t="s">
        <v>340</v>
      </c>
      <c r="L230"/>
      <c r="M230" t="str">
        <f t="shared" si="161"/>
        <v>Balasbaneh_2017</v>
      </c>
      <c r="N230" t="s">
        <v>222</v>
      </c>
      <c r="O230" s="140" t="s">
        <v>341</v>
      </c>
      <c r="P230"/>
      <c r="Q230" t="s">
        <v>224</v>
      </c>
      <c r="R230" s="262" t="s">
        <v>223</v>
      </c>
      <c r="S230" s="1" t="s">
        <v>368</v>
      </c>
      <c r="T230" t="s">
        <v>361</v>
      </c>
      <c r="U230" t="s">
        <v>351</v>
      </c>
      <c r="V230">
        <v>0</v>
      </c>
      <c r="W230">
        <v>0</v>
      </c>
      <c r="X230">
        <v>0</v>
      </c>
      <c r="Y230">
        <v>0</v>
      </c>
      <c r="Z230">
        <v>0</v>
      </c>
      <c r="AA230">
        <v>0</v>
      </c>
      <c r="AB230">
        <v>0</v>
      </c>
      <c r="AC230">
        <v>0</v>
      </c>
      <c r="AD230">
        <v>0</v>
      </c>
      <c r="AE230">
        <v>0</v>
      </c>
      <c r="AF230">
        <v>0</v>
      </c>
      <c r="AG230">
        <v>0</v>
      </c>
      <c r="AH230">
        <v>0</v>
      </c>
      <c r="AI230">
        <v>0</v>
      </c>
      <c r="AJ230">
        <v>0</v>
      </c>
      <c r="AK230">
        <v>1</v>
      </c>
      <c r="AL230">
        <v>0</v>
      </c>
      <c r="AM230">
        <v>0</v>
      </c>
      <c r="AN230">
        <v>0</v>
      </c>
      <c r="AO230">
        <v>0</v>
      </c>
      <c r="AP230">
        <v>0</v>
      </c>
      <c r="AQ230">
        <v>0</v>
      </c>
      <c r="AR230">
        <v>0</v>
      </c>
      <c r="AS230">
        <v>0</v>
      </c>
      <c r="AT230">
        <v>0</v>
      </c>
      <c r="AU230">
        <v>0</v>
      </c>
      <c r="AV230">
        <v>0</v>
      </c>
      <c r="AW230">
        <v>0</v>
      </c>
      <c r="AX230" s="141">
        <f t="shared" si="170"/>
        <v>1</v>
      </c>
      <c r="AY230" s="141">
        <f t="shared" si="171"/>
        <v>1</v>
      </c>
      <c r="AZ230">
        <f t="shared" si="172"/>
        <v>0</v>
      </c>
      <c r="BA230">
        <f t="shared" si="173"/>
        <v>0</v>
      </c>
      <c r="BB230">
        <f t="shared" si="174"/>
        <v>1</v>
      </c>
      <c r="BC230">
        <f t="shared" si="175"/>
        <v>0</v>
      </c>
      <c r="BD230">
        <f t="shared" si="176"/>
        <v>0</v>
      </c>
      <c r="BE230" t="str">
        <f t="array" ref="BE230">IF(AY230=1,INDEX($V$7:$AL$7,MATCH(TRUE,INDEX($V230:$AW230&lt;&gt;0,),0)),IF(AY230=0,INDEX($AM$7:$AW$7,MATCH(1,$AM230:$AW230,0)),IF(BF230="Multiple strategies","mixed drivers",IF(BF230="Supply chain","multiple supply","multiple silviculture"))))</f>
        <v>technologies/design switch</v>
      </c>
      <c r="BF230" s="2" t="str" cm="1">
        <f t="array" ref="BF230">IF(COUNTIF(AZ230:BB230,"&lt;&gt;0")=1,INDEX($V$4:$AW$4,MATCH(TRUE,INDEX($V230:$AW230&lt;&gt;0,),0)),IF(COUNTIF(AZ230:BB230,"&lt;&gt;0")=0,INDEX($AM$4:$AW$4,MATCH(1,$AM230:$AW230,0)),"Multiple strategies"))</f>
        <v>Technology</v>
      </c>
      <c r="BG230" s="1" t="s">
        <v>229</v>
      </c>
      <c r="BH230" t="s">
        <v>229</v>
      </c>
      <c r="BI230" s="264" t="s">
        <v>410</v>
      </c>
      <c r="BJ230" t="s">
        <v>345</v>
      </c>
      <c r="BK230">
        <v>0</v>
      </c>
      <c r="BL230">
        <v>23500</v>
      </c>
      <c r="BM230" s="143"/>
      <c r="BN230">
        <f t="shared" si="178"/>
        <v>23500</v>
      </c>
      <c r="BO230" s="143">
        <f t="shared" si="206"/>
        <v>47.95918367346939</v>
      </c>
      <c r="BP230" t="s">
        <v>232</v>
      </c>
      <c r="BQ230" s="300" t="s">
        <v>396</v>
      </c>
      <c r="BR230" t="s">
        <v>346</v>
      </c>
      <c r="BS230">
        <v>-23800</v>
      </c>
      <c r="BT230">
        <v>-5800</v>
      </c>
      <c r="BU230" s="144">
        <v>0.24369747899159663</v>
      </c>
      <c r="BV230">
        <f t="shared" si="207"/>
        <v>18000</v>
      </c>
      <c r="BW230"/>
      <c r="BX230">
        <f t="shared" si="208"/>
        <v>18</v>
      </c>
      <c r="BY230">
        <f t="shared" si="139"/>
        <v>0.37531914893617019</v>
      </c>
      <c r="BZ230">
        <v>0</v>
      </c>
      <c r="CA230">
        <v>0</v>
      </c>
      <c r="CB230">
        <v>0</v>
      </c>
      <c r="CC230">
        <v>0</v>
      </c>
      <c r="CD230">
        <v>0</v>
      </c>
      <c r="CE230">
        <v>0</v>
      </c>
      <c r="CF230">
        <v>0</v>
      </c>
      <c r="CG230">
        <v>0</v>
      </c>
      <c r="CH230">
        <v>0</v>
      </c>
      <c r="CI230">
        <v>0</v>
      </c>
      <c r="CJ230">
        <v>0</v>
      </c>
      <c r="CK230">
        <v>0</v>
      </c>
      <c r="CL230">
        <v>0</v>
      </c>
      <c r="CM230">
        <v>0</v>
      </c>
      <c r="CN230" t="str">
        <f t="shared" si="209"/>
        <v>refOK</v>
      </c>
      <c r="CO230">
        <f t="shared" si="210"/>
        <v>0</v>
      </c>
      <c r="CP230">
        <f t="shared" si="211"/>
        <v>23500</v>
      </c>
      <c r="CQ230">
        <f t="shared" si="186"/>
        <v>47.95918367346939</v>
      </c>
      <c r="CR230">
        <f t="shared" si="204"/>
        <v>-23800</v>
      </c>
      <c r="CS230">
        <f t="shared" si="205"/>
        <v>-5800</v>
      </c>
      <c r="CT230">
        <f t="shared" si="189"/>
        <v>18</v>
      </c>
      <c r="CU230">
        <f t="shared" si="190"/>
        <v>0.37531914893617019</v>
      </c>
      <c r="CV230" s="2">
        <f t="shared" si="191"/>
        <v>0.75630252100840334</v>
      </c>
      <c r="CW230" s="1" t="s">
        <v>347</v>
      </c>
      <c r="CX230" t="str">
        <f t="shared" si="192"/>
        <v>loc</v>
      </c>
      <c r="CY230" t="s">
        <v>348</v>
      </c>
      <c r="CZ230">
        <v>2014</v>
      </c>
      <c r="DA230">
        <v>2114</v>
      </c>
      <c r="DB230">
        <v>100</v>
      </c>
      <c r="DC230" t="str">
        <f t="shared" si="193"/>
        <v>71-100</v>
      </c>
      <c r="DD230">
        <v>0</v>
      </c>
      <c r="DE230">
        <v>0</v>
      </c>
      <c r="DF230">
        <v>0</v>
      </c>
      <c r="DG230">
        <v>1</v>
      </c>
      <c r="DH230"/>
      <c r="DI230">
        <f t="shared" si="194"/>
        <v>1</v>
      </c>
      <c r="DJ230" t="str">
        <f t="shared" si="195"/>
        <v>TimberInput</v>
      </c>
      <c r="DK230">
        <f t="shared" si="196"/>
        <v>0</v>
      </c>
      <c r="DL230">
        <f t="shared" si="197"/>
        <v>0</v>
      </c>
      <c r="DM230">
        <f t="shared" si="198"/>
        <v>0</v>
      </c>
      <c r="DN230" t="str">
        <f t="shared" si="199"/>
        <v>Timber</v>
      </c>
      <c r="DO230">
        <v>0</v>
      </c>
      <c r="DP230">
        <v>0</v>
      </c>
      <c r="DQ230">
        <v>0</v>
      </c>
      <c r="DR230">
        <v>0</v>
      </c>
      <c r="DS230">
        <v>0</v>
      </c>
      <c r="DT230">
        <f t="shared" si="200"/>
        <v>0</v>
      </c>
      <c r="DU230" s="143" t="str">
        <f t="shared" si="201"/>
        <v>explicit C balance</v>
      </c>
      <c r="DV230">
        <v>0</v>
      </c>
      <c r="DW230">
        <v>0</v>
      </c>
      <c r="DX230">
        <v>0</v>
      </c>
      <c r="DY230">
        <v>1</v>
      </c>
      <c r="DZ230">
        <v>0</v>
      </c>
      <c r="EA230" s="143">
        <v>1</v>
      </c>
      <c r="EB230">
        <v>0</v>
      </c>
      <c r="EC230">
        <v>1</v>
      </c>
      <c r="ED230">
        <v>1</v>
      </c>
      <c r="EE230">
        <v>1</v>
      </c>
      <c r="EF230">
        <v>0</v>
      </c>
      <c r="EG230">
        <v>0</v>
      </c>
      <c r="EH230">
        <v>0</v>
      </c>
      <c r="EI230" s="2">
        <v>0</v>
      </c>
      <c r="EJ230" s="1"/>
      <c r="EK230" t="str">
        <f t="shared" si="202"/>
        <v/>
      </c>
      <c r="EL230" t="str">
        <f t="shared" si="203"/>
        <v/>
      </c>
      <c r="EM230" s="2" t="str">
        <f t="shared" si="140"/>
        <v>Technology approach</v>
      </c>
      <c r="EN230"/>
      <c r="EO230"/>
      <c r="EP230" t="str">
        <f>IF(ISNUMBER(BU230),IF(ABS(BU230-[3]QC_indicators!$B$2)&gt;3*[3]QC_indicators!$C$2,"C ratio",IF(ISNUMBER(BY230),IF(ABS(BY230-[3]QC_indicators!$B$1)&gt;3*[3]QC_indicators!$C$1,"DF","no"))),IF(ISNUMBER(BY230),IF(ABS(BY230-[3]QC_indicators!$B$1)&gt;3*[3]QC_indicators!$C$1,"DF","no")))</f>
        <v>no</v>
      </c>
      <c r="EQ230"/>
      <c r="ER230" s="149" t="s">
        <v>349</v>
      </c>
      <c r="ES230"/>
      <c r="ET230" s="264" t="s">
        <v>3272</v>
      </c>
      <c r="EU230"/>
    </row>
    <row r="231" spans="1:151" s="139" customFormat="1" ht="15" hidden="1" customHeight="1">
      <c r="A231" s="1" t="s">
        <v>333</v>
      </c>
      <c r="B231" t="s">
        <v>334</v>
      </c>
      <c r="C231" t="s">
        <v>335</v>
      </c>
      <c r="D231" t="s">
        <v>336</v>
      </c>
      <c r="E231" t="s">
        <v>337</v>
      </c>
      <c r="F231" t="s">
        <v>338</v>
      </c>
      <c r="G231" t="s">
        <v>339</v>
      </c>
      <c r="H231"/>
      <c r="I231">
        <v>2017</v>
      </c>
      <c r="J231"/>
      <c r="K231" t="s">
        <v>340</v>
      </c>
      <c r="L231"/>
      <c r="M231" t="str">
        <f t="shared" si="161"/>
        <v>Balasbaneh_2017</v>
      </c>
      <c r="N231" t="s">
        <v>222</v>
      </c>
      <c r="O231" s="140" t="s">
        <v>341</v>
      </c>
      <c r="P231"/>
      <c r="Q231" t="s">
        <v>224</v>
      </c>
      <c r="R231" s="262" t="s">
        <v>223</v>
      </c>
      <c r="S231" s="1" t="s">
        <v>369</v>
      </c>
      <c r="T231" t="s">
        <v>361</v>
      </c>
      <c r="U231" t="s">
        <v>351</v>
      </c>
      <c r="V231">
        <v>0</v>
      </c>
      <c r="W231">
        <v>0</v>
      </c>
      <c r="X231">
        <v>0</v>
      </c>
      <c r="Y231">
        <v>0</v>
      </c>
      <c r="Z231">
        <v>0</v>
      </c>
      <c r="AA231">
        <v>0</v>
      </c>
      <c r="AB231">
        <v>0</v>
      </c>
      <c r="AC231">
        <v>0</v>
      </c>
      <c r="AD231">
        <v>0</v>
      </c>
      <c r="AE231">
        <v>0</v>
      </c>
      <c r="AF231">
        <v>0</v>
      </c>
      <c r="AG231">
        <v>0</v>
      </c>
      <c r="AH231">
        <v>0</v>
      </c>
      <c r="AI231">
        <v>0</v>
      </c>
      <c r="AJ231">
        <v>0</v>
      </c>
      <c r="AK231">
        <v>1</v>
      </c>
      <c r="AL231">
        <v>0</v>
      </c>
      <c r="AM231">
        <v>0</v>
      </c>
      <c r="AN231">
        <v>0</v>
      </c>
      <c r="AO231">
        <v>0</v>
      </c>
      <c r="AP231">
        <v>0</v>
      </c>
      <c r="AQ231">
        <v>0</v>
      </c>
      <c r="AR231">
        <v>0</v>
      </c>
      <c r="AS231">
        <v>0</v>
      </c>
      <c r="AT231">
        <v>0</v>
      </c>
      <c r="AU231">
        <v>0</v>
      </c>
      <c r="AV231">
        <v>0</v>
      </c>
      <c r="AW231">
        <v>0</v>
      </c>
      <c r="AX231" s="141">
        <f t="shared" si="170"/>
        <v>1</v>
      </c>
      <c r="AY231" s="141">
        <f t="shared" si="171"/>
        <v>1</v>
      </c>
      <c r="AZ231">
        <f t="shared" si="172"/>
        <v>0</v>
      </c>
      <c r="BA231">
        <f t="shared" si="173"/>
        <v>0</v>
      </c>
      <c r="BB231">
        <f t="shared" si="174"/>
        <v>1</v>
      </c>
      <c r="BC231">
        <f t="shared" si="175"/>
        <v>0</v>
      </c>
      <c r="BD231">
        <f t="shared" si="176"/>
        <v>0</v>
      </c>
      <c r="BE231" t="str">
        <f t="array" ref="BE231">IF(AY231=1,INDEX($V$7:$AL$7,MATCH(TRUE,INDEX($V231:$AW231&lt;&gt;0,),0)),IF(AY231=0,INDEX($AM$7:$AW$7,MATCH(1,$AM231:$AW231,0)),IF(BF231="Multiple strategies","mixed drivers",IF(BF231="Supply chain","multiple supply","multiple silviculture"))))</f>
        <v>technologies/design switch</v>
      </c>
      <c r="BF231" s="2" t="str" cm="1">
        <f t="array" ref="BF231">IF(COUNTIF(AZ231:BB231,"&lt;&gt;0")=1,INDEX($V$4:$AW$4,MATCH(TRUE,INDEX($V231:$AW231&lt;&gt;0,),0)),IF(COUNTIF(AZ231:BB231,"&lt;&gt;0")=0,INDEX($AM$4:$AW$4,MATCH(1,$AM231:$AW231,0)),"Multiple strategies"))</f>
        <v>Technology</v>
      </c>
      <c r="BG231" s="1" t="s">
        <v>229</v>
      </c>
      <c r="BH231" t="s">
        <v>229</v>
      </c>
      <c r="BI231" s="264" t="s">
        <v>410</v>
      </c>
      <c r="BJ231" t="s">
        <v>345</v>
      </c>
      <c r="BK231">
        <v>0</v>
      </c>
      <c r="BL231">
        <v>23500</v>
      </c>
      <c r="BM231" s="143"/>
      <c r="BN231">
        <f t="shared" si="178"/>
        <v>23500</v>
      </c>
      <c r="BO231" s="143">
        <f t="shared" si="206"/>
        <v>47.95918367346939</v>
      </c>
      <c r="BP231" t="s">
        <v>232</v>
      </c>
      <c r="BQ231" s="300" t="s">
        <v>396</v>
      </c>
      <c r="BR231" t="s">
        <v>346</v>
      </c>
      <c r="BS231">
        <v>-24200</v>
      </c>
      <c r="BT231">
        <v>-5830</v>
      </c>
      <c r="BU231" s="144">
        <v>0.24090909090909091</v>
      </c>
      <c r="BV231">
        <f t="shared" si="207"/>
        <v>18370</v>
      </c>
      <c r="BW231"/>
      <c r="BX231">
        <f t="shared" si="208"/>
        <v>18.37</v>
      </c>
      <c r="BY231">
        <f t="shared" si="139"/>
        <v>0.38303404255319151</v>
      </c>
      <c r="BZ231">
        <v>0</v>
      </c>
      <c r="CA231">
        <v>0</v>
      </c>
      <c r="CB231">
        <v>0</v>
      </c>
      <c r="CC231">
        <v>0</v>
      </c>
      <c r="CD231">
        <v>0</v>
      </c>
      <c r="CE231">
        <v>0</v>
      </c>
      <c r="CF231">
        <v>0</v>
      </c>
      <c r="CG231">
        <v>0</v>
      </c>
      <c r="CH231">
        <v>0</v>
      </c>
      <c r="CI231">
        <v>0</v>
      </c>
      <c r="CJ231">
        <v>0</v>
      </c>
      <c r="CK231">
        <v>0</v>
      </c>
      <c r="CL231">
        <v>0</v>
      </c>
      <c r="CM231">
        <v>0</v>
      </c>
      <c r="CN231" t="str">
        <f t="shared" si="209"/>
        <v>refOK</v>
      </c>
      <c r="CO231">
        <f t="shared" si="210"/>
        <v>0</v>
      </c>
      <c r="CP231">
        <f t="shared" si="211"/>
        <v>23500</v>
      </c>
      <c r="CQ231">
        <f t="shared" si="186"/>
        <v>47.95918367346939</v>
      </c>
      <c r="CR231">
        <f t="shared" si="204"/>
        <v>-24200</v>
      </c>
      <c r="CS231">
        <f t="shared" si="205"/>
        <v>-5830</v>
      </c>
      <c r="CT231">
        <f t="shared" si="189"/>
        <v>18.37</v>
      </c>
      <c r="CU231">
        <f t="shared" si="190"/>
        <v>0.38303404255319151</v>
      </c>
      <c r="CV231" s="2">
        <f t="shared" si="191"/>
        <v>0.75909090909090904</v>
      </c>
      <c r="CW231" s="1" t="s">
        <v>347</v>
      </c>
      <c r="CX231" t="str">
        <f t="shared" si="192"/>
        <v>loc</v>
      </c>
      <c r="CY231" t="s">
        <v>348</v>
      </c>
      <c r="CZ231">
        <v>2014</v>
      </c>
      <c r="DA231">
        <v>2114</v>
      </c>
      <c r="DB231">
        <v>100</v>
      </c>
      <c r="DC231" t="str">
        <f t="shared" si="193"/>
        <v>71-100</v>
      </c>
      <c r="DD231">
        <v>0</v>
      </c>
      <c r="DE231">
        <v>0</v>
      </c>
      <c r="DF231">
        <v>0</v>
      </c>
      <c r="DG231">
        <v>1</v>
      </c>
      <c r="DH231"/>
      <c r="DI231">
        <f t="shared" si="194"/>
        <v>1</v>
      </c>
      <c r="DJ231" t="str">
        <f t="shared" si="195"/>
        <v>TimberInput</v>
      </c>
      <c r="DK231">
        <f t="shared" si="196"/>
        <v>0</v>
      </c>
      <c r="DL231">
        <f t="shared" si="197"/>
        <v>0</v>
      </c>
      <c r="DM231">
        <f t="shared" si="198"/>
        <v>0</v>
      </c>
      <c r="DN231" t="str">
        <f t="shared" si="199"/>
        <v>Timber</v>
      </c>
      <c r="DO231">
        <v>0</v>
      </c>
      <c r="DP231">
        <v>0</v>
      </c>
      <c r="DQ231">
        <v>0</v>
      </c>
      <c r="DR231">
        <v>0</v>
      </c>
      <c r="DS231">
        <v>0</v>
      </c>
      <c r="DT231">
        <f t="shared" si="200"/>
        <v>0</v>
      </c>
      <c r="DU231" s="143" t="str">
        <f t="shared" si="201"/>
        <v>explicit C balance</v>
      </c>
      <c r="DV231">
        <v>0</v>
      </c>
      <c r="DW231">
        <v>0</v>
      </c>
      <c r="DX231">
        <v>0</v>
      </c>
      <c r="DY231">
        <v>1</v>
      </c>
      <c r="DZ231">
        <v>0</v>
      </c>
      <c r="EA231" s="143">
        <v>1</v>
      </c>
      <c r="EB231">
        <v>0</v>
      </c>
      <c r="EC231">
        <v>1</v>
      </c>
      <c r="ED231">
        <v>1</v>
      </c>
      <c r="EE231">
        <v>1</v>
      </c>
      <c r="EF231">
        <v>0</v>
      </c>
      <c r="EG231">
        <v>0</v>
      </c>
      <c r="EH231">
        <v>0</v>
      </c>
      <c r="EI231" s="2">
        <v>0</v>
      </c>
      <c r="EJ231" s="1"/>
      <c r="EK231" t="str">
        <f t="shared" si="202"/>
        <v/>
      </c>
      <c r="EL231" t="str">
        <f t="shared" si="203"/>
        <v/>
      </c>
      <c r="EM231" s="2" t="str">
        <f t="shared" si="140"/>
        <v>Technology approach</v>
      </c>
      <c r="EN231"/>
      <c r="EO231"/>
      <c r="EP231" t="str">
        <f>IF(ISNUMBER(BU231),IF(ABS(BU231-[3]QC_indicators!$B$2)&gt;3*[3]QC_indicators!$C$2,"C ratio",IF(ISNUMBER(BY231),IF(ABS(BY231-[3]QC_indicators!$B$1)&gt;3*[3]QC_indicators!$C$1,"DF","no"))),IF(ISNUMBER(BY231),IF(ABS(BY231-[3]QC_indicators!$B$1)&gt;3*[3]QC_indicators!$C$1,"DF","no")))</f>
        <v>no</v>
      </c>
      <c r="EQ231"/>
      <c r="ER231" s="149" t="s">
        <v>349</v>
      </c>
      <c r="ES231"/>
      <c r="ET231" s="264" t="s">
        <v>3272</v>
      </c>
      <c r="EU231"/>
    </row>
    <row r="232" spans="1:151" s="139" customFormat="1" ht="15" hidden="1" customHeight="1">
      <c r="A232" s="1" t="s">
        <v>333</v>
      </c>
      <c r="B232" t="s">
        <v>334</v>
      </c>
      <c r="C232" t="s">
        <v>335</v>
      </c>
      <c r="D232" t="s">
        <v>336</v>
      </c>
      <c r="E232" t="s">
        <v>337</v>
      </c>
      <c r="F232" t="s">
        <v>338</v>
      </c>
      <c r="G232" t="s">
        <v>339</v>
      </c>
      <c r="H232"/>
      <c r="I232">
        <v>2017</v>
      </c>
      <c r="J232"/>
      <c r="K232" t="s">
        <v>340</v>
      </c>
      <c r="L232"/>
      <c r="M232" t="str">
        <f t="shared" si="161"/>
        <v>Balasbaneh_2017</v>
      </c>
      <c r="N232" t="s">
        <v>222</v>
      </c>
      <c r="O232" s="140" t="s">
        <v>341</v>
      </c>
      <c r="P232"/>
      <c r="Q232" t="s">
        <v>224</v>
      </c>
      <c r="R232" s="262" t="s">
        <v>223</v>
      </c>
      <c r="S232" s="1" t="s">
        <v>370</v>
      </c>
      <c r="T232" t="s">
        <v>371</v>
      </c>
      <c r="U232" t="s">
        <v>357</v>
      </c>
      <c r="V232">
        <v>0</v>
      </c>
      <c r="W232">
        <v>0</v>
      </c>
      <c r="X232">
        <v>0</v>
      </c>
      <c r="Y232">
        <v>0</v>
      </c>
      <c r="Z232">
        <v>0</v>
      </c>
      <c r="AA232">
        <v>0</v>
      </c>
      <c r="AB232">
        <v>0</v>
      </c>
      <c r="AC232">
        <v>0</v>
      </c>
      <c r="AD232">
        <v>0</v>
      </c>
      <c r="AE232">
        <v>0</v>
      </c>
      <c r="AF232">
        <v>0</v>
      </c>
      <c r="AG232">
        <v>0</v>
      </c>
      <c r="AH232">
        <v>0</v>
      </c>
      <c r="AI232">
        <v>0</v>
      </c>
      <c r="AJ232">
        <v>0</v>
      </c>
      <c r="AK232">
        <v>1</v>
      </c>
      <c r="AL232">
        <v>0</v>
      </c>
      <c r="AM232">
        <v>0</v>
      </c>
      <c r="AN232">
        <v>0</v>
      </c>
      <c r="AO232">
        <v>0</v>
      </c>
      <c r="AP232">
        <v>0</v>
      </c>
      <c r="AQ232">
        <v>0</v>
      </c>
      <c r="AR232">
        <v>0</v>
      </c>
      <c r="AS232">
        <v>0</v>
      </c>
      <c r="AT232">
        <v>0</v>
      </c>
      <c r="AU232">
        <v>0</v>
      </c>
      <c r="AV232">
        <v>0</v>
      </c>
      <c r="AW232">
        <v>0</v>
      </c>
      <c r="AX232" s="141">
        <f t="shared" si="170"/>
        <v>1</v>
      </c>
      <c r="AY232" s="141">
        <f t="shared" si="171"/>
        <v>1</v>
      </c>
      <c r="AZ232">
        <f t="shared" si="172"/>
        <v>0</v>
      </c>
      <c r="BA232">
        <f t="shared" si="173"/>
        <v>0</v>
      </c>
      <c r="BB232">
        <f t="shared" si="174"/>
        <v>1</v>
      </c>
      <c r="BC232">
        <f t="shared" si="175"/>
        <v>0</v>
      </c>
      <c r="BD232">
        <f t="shared" si="176"/>
        <v>0</v>
      </c>
      <c r="BE232" t="str">
        <f t="array" ref="BE232">IF(AY232=1,INDEX($V$7:$AL$7,MATCH(TRUE,INDEX($V232:$AW232&lt;&gt;0,),0)),IF(AY232=0,INDEX($AM$7:$AW$7,MATCH(1,$AM232:$AW232,0)),IF(BF232="Multiple strategies","mixed drivers",IF(BF232="Supply chain","multiple supply","multiple silviculture"))))</f>
        <v>technologies/design switch</v>
      </c>
      <c r="BF232" s="2" t="str" cm="1">
        <f t="array" ref="BF232">IF(COUNTIF(AZ232:BB232,"&lt;&gt;0")=1,INDEX($V$4:$AW$4,MATCH(TRUE,INDEX($V232:$AW232&lt;&gt;0,),0)),IF(COUNTIF(AZ232:BB232,"&lt;&gt;0")=0,INDEX($AM$4:$AW$4,MATCH(1,$AM232:$AW232,0)),"Multiple strategies"))</f>
        <v>Technology</v>
      </c>
      <c r="BG232" s="1" t="s">
        <v>229</v>
      </c>
      <c r="BH232" t="s">
        <v>229</v>
      </c>
      <c r="BI232" s="264" t="s">
        <v>410</v>
      </c>
      <c r="BJ232" t="s">
        <v>345</v>
      </c>
      <c r="BK232">
        <v>0</v>
      </c>
      <c r="BL232">
        <v>29276</v>
      </c>
      <c r="BM232" s="143"/>
      <c r="BN232">
        <f t="shared" si="178"/>
        <v>29276</v>
      </c>
      <c r="BO232" s="143">
        <f t="shared" si="206"/>
        <v>59.746938775510209</v>
      </c>
      <c r="BP232" t="s">
        <v>232</v>
      </c>
      <c r="BQ232" s="300" t="s">
        <v>396</v>
      </c>
      <c r="BR232" t="s">
        <v>346</v>
      </c>
      <c r="BS232">
        <v>-26000</v>
      </c>
      <c r="BT232">
        <v>-2010</v>
      </c>
      <c r="BU232" s="144">
        <v>7.7307692307692313E-2</v>
      </c>
      <c r="BV232">
        <f t="shared" si="207"/>
        <v>23990</v>
      </c>
      <c r="BW232"/>
      <c r="BX232">
        <f t="shared" si="208"/>
        <v>23.99</v>
      </c>
      <c r="BY232">
        <f t="shared" si="139"/>
        <v>0.40152684793004501</v>
      </c>
      <c r="BZ232">
        <v>0</v>
      </c>
      <c r="CA232">
        <v>0</v>
      </c>
      <c r="CB232">
        <v>0</v>
      </c>
      <c r="CC232">
        <v>0</v>
      </c>
      <c r="CD232">
        <v>0</v>
      </c>
      <c r="CE232">
        <v>0</v>
      </c>
      <c r="CF232">
        <v>0</v>
      </c>
      <c r="CG232">
        <v>0</v>
      </c>
      <c r="CH232">
        <v>0</v>
      </c>
      <c r="CI232">
        <v>0</v>
      </c>
      <c r="CJ232">
        <v>0</v>
      </c>
      <c r="CK232">
        <v>0</v>
      </c>
      <c r="CL232">
        <v>0</v>
      </c>
      <c r="CM232">
        <v>0</v>
      </c>
      <c r="CN232" t="str">
        <f t="shared" si="209"/>
        <v>refOK</v>
      </c>
      <c r="CO232">
        <f t="shared" si="210"/>
        <v>0</v>
      </c>
      <c r="CP232">
        <f t="shared" si="211"/>
        <v>29276</v>
      </c>
      <c r="CQ232">
        <f t="shared" si="186"/>
        <v>59.746938775510209</v>
      </c>
      <c r="CR232">
        <f t="shared" si="204"/>
        <v>-26000</v>
      </c>
      <c r="CS232">
        <f t="shared" si="205"/>
        <v>-2010</v>
      </c>
      <c r="CT232">
        <f t="shared" si="189"/>
        <v>23.99</v>
      </c>
      <c r="CU232">
        <f t="shared" si="190"/>
        <v>0.40152684793004501</v>
      </c>
      <c r="CV232" s="2">
        <f t="shared" si="191"/>
        <v>0.9226923076923077</v>
      </c>
      <c r="CW232" s="1" t="s">
        <v>347</v>
      </c>
      <c r="CX232" t="str">
        <f t="shared" si="192"/>
        <v>loc</v>
      </c>
      <c r="CY232" t="s">
        <v>348</v>
      </c>
      <c r="CZ232">
        <v>2014</v>
      </c>
      <c r="DA232">
        <v>2514</v>
      </c>
      <c r="DB232">
        <v>500</v>
      </c>
      <c r="DC232" t="str">
        <f t="shared" si="193"/>
        <v>+100</v>
      </c>
      <c r="DD232">
        <v>0</v>
      </c>
      <c r="DE232">
        <v>0</v>
      </c>
      <c r="DF232">
        <v>0</v>
      </c>
      <c r="DG232">
        <v>1</v>
      </c>
      <c r="DH232"/>
      <c r="DI232">
        <f t="shared" si="194"/>
        <v>1</v>
      </c>
      <c r="DJ232" t="str">
        <f t="shared" si="195"/>
        <v>TimberInput</v>
      </c>
      <c r="DK232">
        <f t="shared" si="196"/>
        <v>0</v>
      </c>
      <c r="DL232">
        <f t="shared" si="197"/>
        <v>0</v>
      </c>
      <c r="DM232">
        <f t="shared" si="198"/>
        <v>0</v>
      </c>
      <c r="DN232" t="str">
        <f t="shared" si="199"/>
        <v>Timber</v>
      </c>
      <c r="DO232">
        <v>0</v>
      </c>
      <c r="DP232">
        <v>0</v>
      </c>
      <c r="DQ232">
        <v>0</v>
      </c>
      <c r="DR232">
        <v>0</v>
      </c>
      <c r="DS232">
        <v>0</v>
      </c>
      <c r="DT232">
        <f t="shared" si="200"/>
        <v>0</v>
      </c>
      <c r="DU232" s="143" t="str">
        <f t="shared" si="201"/>
        <v>explicit C balance</v>
      </c>
      <c r="DV232">
        <v>0</v>
      </c>
      <c r="DW232">
        <v>0</v>
      </c>
      <c r="DX232">
        <v>0</v>
      </c>
      <c r="DY232">
        <v>1</v>
      </c>
      <c r="DZ232">
        <v>0</v>
      </c>
      <c r="EA232" s="143">
        <v>1</v>
      </c>
      <c r="EB232">
        <v>0</v>
      </c>
      <c r="EC232">
        <v>1</v>
      </c>
      <c r="ED232">
        <v>1</v>
      </c>
      <c r="EE232">
        <v>1</v>
      </c>
      <c r="EF232">
        <v>0</v>
      </c>
      <c r="EG232">
        <v>0</v>
      </c>
      <c r="EH232">
        <v>0</v>
      </c>
      <c r="EI232" s="2">
        <v>0</v>
      </c>
      <c r="EJ232" s="1"/>
      <c r="EK232" t="str">
        <f t="shared" si="202"/>
        <v/>
      </c>
      <c r="EL232" t="str">
        <f t="shared" si="203"/>
        <v/>
      </c>
      <c r="EM232" s="2" t="str">
        <f t="shared" si="140"/>
        <v>Technology approach</v>
      </c>
      <c r="EN232"/>
      <c r="EO232"/>
      <c r="EP232" t="str">
        <f>IF(ISNUMBER(BU232),IF(ABS(BU232-[3]QC_indicators!$B$2)&gt;3*[3]QC_indicators!$C$2,"C ratio",IF(ISNUMBER(BY232),IF(ABS(BY232-[3]QC_indicators!$B$1)&gt;3*[3]QC_indicators!$C$1,"DF","no"))),IF(ISNUMBER(BY232),IF(ABS(BY232-[3]QC_indicators!$B$1)&gt;3*[3]QC_indicators!$C$1,"DF","no")))</f>
        <v>no</v>
      </c>
      <c r="EQ232"/>
      <c r="ER232" s="149" t="s">
        <v>349</v>
      </c>
      <c r="ES232"/>
      <c r="ET232" s="264" t="s">
        <v>3272</v>
      </c>
      <c r="EU232"/>
    </row>
    <row r="233" spans="1:151" s="139" customFormat="1" ht="15" hidden="1" customHeight="1">
      <c r="A233" s="1" t="s">
        <v>333</v>
      </c>
      <c r="B233" t="s">
        <v>334</v>
      </c>
      <c r="C233" t="s">
        <v>335</v>
      </c>
      <c r="D233" t="s">
        <v>336</v>
      </c>
      <c r="E233" t="s">
        <v>337</v>
      </c>
      <c r="F233" t="s">
        <v>338</v>
      </c>
      <c r="G233" t="s">
        <v>339</v>
      </c>
      <c r="H233"/>
      <c r="I233">
        <v>2017</v>
      </c>
      <c r="J233"/>
      <c r="K233" t="s">
        <v>340</v>
      </c>
      <c r="L233"/>
      <c r="M233" t="str">
        <f t="shared" si="161"/>
        <v>Balasbaneh_2017</v>
      </c>
      <c r="N233" t="s">
        <v>222</v>
      </c>
      <c r="O233" s="140" t="s">
        <v>341</v>
      </c>
      <c r="P233"/>
      <c r="Q233" t="s">
        <v>224</v>
      </c>
      <c r="R233" s="262" t="s">
        <v>223</v>
      </c>
      <c r="S233" s="1" t="s">
        <v>372</v>
      </c>
      <c r="T233" t="s">
        <v>371</v>
      </c>
      <c r="U233" t="s">
        <v>344</v>
      </c>
      <c r="V233">
        <v>0</v>
      </c>
      <c r="W233">
        <v>0</v>
      </c>
      <c r="X233">
        <v>0</v>
      </c>
      <c r="Y233">
        <v>0</v>
      </c>
      <c r="Z233">
        <v>0</v>
      </c>
      <c r="AA233">
        <v>0</v>
      </c>
      <c r="AB233">
        <v>0</v>
      </c>
      <c r="AC233">
        <v>0</v>
      </c>
      <c r="AD233">
        <v>0</v>
      </c>
      <c r="AE233">
        <v>0</v>
      </c>
      <c r="AF233">
        <v>0</v>
      </c>
      <c r="AG233">
        <v>0</v>
      </c>
      <c r="AH233">
        <v>0</v>
      </c>
      <c r="AI233">
        <v>0</v>
      </c>
      <c r="AJ233">
        <v>0</v>
      </c>
      <c r="AK233">
        <v>1</v>
      </c>
      <c r="AL233">
        <v>0</v>
      </c>
      <c r="AM233">
        <v>0</v>
      </c>
      <c r="AN233">
        <v>0</v>
      </c>
      <c r="AO233">
        <v>0</v>
      </c>
      <c r="AP233">
        <v>0</v>
      </c>
      <c r="AQ233">
        <v>0</v>
      </c>
      <c r="AR233">
        <v>0</v>
      </c>
      <c r="AS233">
        <v>0</v>
      </c>
      <c r="AT233">
        <v>0</v>
      </c>
      <c r="AU233">
        <v>0</v>
      </c>
      <c r="AV233">
        <v>0</v>
      </c>
      <c r="AW233">
        <v>0</v>
      </c>
      <c r="AX233" s="141">
        <f t="shared" si="170"/>
        <v>1</v>
      </c>
      <c r="AY233" s="141">
        <f t="shared" si="171"/>
        <v>1</v>
      </c>
      <c r="AZ233">
        <f t="shared" si="172"/>
        <v>0</v>
      </c>
      <c r="BA233">
        <f t="shared" si="173"/>
        <v>0</v>
      </c>
      <c r="BB233">
        <f t="shared" si="174"/>
        <v>1</v>
      </c>
      <c r="BC233">
        <f t="shared" si="175"/>
        <v>0</v>
      </c>
      <c r="BD233">
        <f t="shared" si="176"/>
        <v>0</v>
      </c>
      <c r="BE233" t="str">
        <f t="array" ref="BE233">IF(AY233=1,INDEX($V$7:$AL$7,MATCH(TRUE,INDEX($V233:$AW233&lt;&gt;0,),0)),IF(AY233=0,INDEX($AM$7:$AW$7,MATCH(1,$AM233:$AW233,0)),IF(BF233="Multiple strategies","mixed drivers",IF(BF233="Supply chain","multiple supply","multiple silviculture"))))</f>
        <v>technologies/design switch</v>
      </c>
      <c r="BF233" s="2" t="str" cm="1">
        <f t="array" ref="BF233">IF(COUNTIF(AZ233:BB233,"&lt;&gt;0")=1,INDEX($V$4:$AW$4,MATCH(TRUE,INDEX($V233:$AW233&lt;&gt;0,),0)),IF(COUNTIF(AZ233:BB233,"&lt;&gt;0")=0,INDEX($AM$4:$AW$4,MATCH(1,$AM233:$AW233,0)),"Multiple strategies"))</f>
        <v>Technology</v>
      </c>
      <c r="BG233" s="1" t="s">
        <v>229</v>
      </c>
      <c r="BH233" t="s">
        <v>229</v>
      </c>
      <c r="BI233" s="264" t="s">
        <v>410</v>
      </c>
      <c r="BJ233" t="s">
        <v>345</v>
      </c>
      <c r="BK233">
        <v>0</v>
      </c>
      <c r="BL233">
        <v>23500</v>
      </c>
      <c r="BM233" s="143"/>
      <c r="BN233">
        <f t="shared" si="178"/>
        <v>23500</v>
      </c>
      <c r="BO233" s="143">
        <f t="shared" si="206"/>
        <v>47.95918367346939</v>
      </c>
      <c r="BP233" t="s">
        <v>232</v>
      </c>
      <c r="BQ233" s="300" t="s">
        <v>396</v>
      </c>
      <c r="BR233" t="s">
        <v>346</v>
      </c>
      <c r="BS233">
        <v>-26000</v>
      </c>
      <c r="BT233">
        <v>-5870</v>
      </c>
      <c r="BU233" s="144">
        <v>0.22576923076923078</v>
      </c>
      <c r="BV233">
        <f t="shared" si="207"/>
        <v>20130</v>
      </c>
      <c r="BW233"/>
      <c r="BX233">
        <f t="shared" si="208"/>
        <v>20.13</v>
      </c>
      <c r="BY233">
        <f t="shared" si="139"/>
        <v>0.419731914893617</v>
      </c>
      <c r="BZ233">
        <v>0</v>
      </c>
      <c r="CA233">
        <v>0</v>
      </c>
      <c r="CB233">
        <v>0</v>
      </c>
      <c r="CC233">
        <v>0</v>
      </c>
      <c r="CD233">
        <v>0</v>
      </c>
      <c r="CE233">
        <v>0</v>
      </c>
      <c r="CF233">
        <v>0</v>
      </c>
      <c r="CG233">
        <v>0</v>
      </c>
      <c r="CH233">
        <v>0</v>
      </c>
      <c r="CI233">
        <v>0</v>
      </c>
      <c r="CJ233">
        <v>0</v>
      </c>
      <c r="CK233">
        <v>0</v>
      </c>
      <c r="CL233">
        <v>0</v>
      </c>
      <c r="CM233">
        <v>0</v>
      </c>
      <c r="CN233" t="str">
        <f t="shared" si="209"/>
        <v>refOK</v>
      </c>
      <c r="CO233">
        <f t="shared" si="210"/>
        <v>0</v>
      </c>
      <c r="CP233">
        <f t="shared" si="211"/>
        <v>23500</v>
      </c>
      <c r="CQ233">
        <f t="shared" si="186"/>
        <v>47.95918367346939</v>
      </c>
      <c r="CR233">
        <f t="shared" si="204"/>
        <v>-26000</v>
      </c>
      <c r="CS233">
        <f t="shared" si="205"/>
        <v>-5870</v>
      </c>
      <c r="CT233">
        <f t="shared" si="189"/>
        <v>20.13</v>
      </c>
      <c r="CU233">
        <f t="shared" si="190"/>
        <v>0.419731914893617</v>
      </c>
      <c r="CV233" s="2">
        <f t="shared" si="191"/>
        <v>0.77423076923076928</v>
      </c>
      <c r="CW233" s="1" t="s">
        <v>347</v>
      </c>
      <c r="CX233" t="str">
        <f t="shared" si="192"/>
        <v>loc</v>
      </c>
      <c r="CY233" t="s">
        <v>348</v>
      </c>
      <c r="CZ233">
        <v>2014</v>
      </c>
      <c r="DA233">
        <v>2034</v>
      </c>
      <c r="DB233">
        <v>20</v>
      </c>
      <c r="DC233" t="str">
        <f t="shared" si="193"/>
        <v>1-30</v>
      </c>
      <c r="DD233">
        <v>0</v>
      </c>
      <c r="DE233">
        <v>0</v>
      </c>
      <c r="DF233">
        <v>0</v>
      </c>
      <c r="DG233">
        <v>1</v>
      </c>
      <c r="DH233"/>
      <c r="DI233">
        <f t="shared" si="194"/>
        <v>1</v>
      </c>
      <c r="DJ233" t="str">
        <f t="shared" si="195"/>
        <v>TimberInput</v>
      </c>
      <c r="DK233">
        <f t="shared" si="196"/>
        <v>0</v>
      </c>
      <c r="DL233">
        <f t="shared" si="197"/>
        <v>0</v>
      </c>
      <c r="DM233">
        <f t="shared" si="198"/>
        <v>0</v>
      </c>
      <c r="DN233" t="str">
        <f t="shared" si="199"/>
        <v>Timber</v>
      </c>
      <c r="DO233">
        <v>0</v>
      </c>
      <c r="DP233">
        <v>0</v>
      </c>
      <c r="DQ233">
        <v>0</v>
      </c>
      <c r="DR233">
        <v>0</v>
      </c>
      <c r="DS233">
        <v>0</v>
      </c>
      <c r="DT233">
        <f t="shared" si="200"/>
        <v>0</v>
      </c>
      <c r="DU233" s="143" t="str">
        <f t="shared" si="201"/>
        <v>explicit C balance</v>
      </c>
      <c r="DV233">
        <v>0</v>
      </c>
      <c r="DW233">
        <v>0</v>
      </c>
      <c r="DX233">
        <v>0</v>
      </c>
      <c r="DY233">
        <v>1</v>
      </c>
      <c r="DZ233">
        <v>0</v>
      </c>
      <c r="EA233" s="143">
        <v>1</v>
      </c>
      <c r="EB233">
        <v>0</v>
      </c>
      <c r="EC233">
        <v>1</v>
      </c>
      <c r="ED233">
        <v>1</v>
      </c>
      <c r="EE233">
        <v>1</v>
      </c>
      <c r="EF233">
        <v>0</v>
      </c>
      <c r="EG233">
        <v>0</v>
      </c>
      <c r="EH233">
        <v>0</v>
      </c>
      <c r="EI233" s="2">
        <v>0</v>
      </c>
      <c r="EJ233" s="1"/>
      <c r="EK233" t="str">
        <f t="shared" si="202"/>
        <v/>
      </c>
      <c r="EL233" t="str">
        <f t="shared" si="203"/>
        <v/>
      </c>
      <c r="EM233" s="2" t="str">
        <f t="shared" si="140"/>
        <v>Technology approach</v>
      </c>
      <c r="EN233"/>
      <c r="EO233"/>
      <c r="EP233" t="str">
        <f>IF(ISNUMBER(BU233),IF(ABS(BU233-[3]QC_indicators!$B$2)&gt;3*[3]QC_indicators!$C$2,"C ratio",IF(ISNUMBER(BY233),IF(ABS(BY233-[3]QC_indicators!$B$1)&gt;3*[3]QC_indicators!$C$1,"DF","no"))),IF(ISNUMBER(BY233),IF(ABS(BY233-[3]QC_indicators!$B$1)&gt;3*[3]QC_indicators!$C$1,"DF","no")))</f>
        <v>no</v>
      </c>
      <c r="EQ233"/>
      <c r="ER233" s="149" t="s">
        <v>349</v>
      </c>
      <c r="ES233"/>
      <c r="ET233" s="264" t="s">
        <v>3272</v>
      </c>
      <c r="EU233"/>
    </row>
    <row r="234" spans="1:151" s="139" customFormat="1" ht="15" hidden="1" customHeight="1">
      <c r="A234" s="1" t="s">
        <v>333</v>
      </c>
      <c r="B234" t="s">
        <v>334</v>
      </c>
      <c r="C234" t="s">
        <v>335</v>
      </c>
      <c r="D234" t="s">
        <v>336</v>
      </c>
      <c r="E234" t="s">
        <v>337</v>
      </c>
      <c r="F234" t="s">
        <v>338</v>
      </c>
      <c r="G234" t="s">
        <v>339</v>
      </c>
      <c r="H234"/>
      <c r="I234">
        <v>2017</v>
      </c>
      <c r="J234"/>
      <c r="K234" t="s">
        <v>340</v>
      </c>
      <c r="L234"/>
      <c r="M234" t="str">
        <f t="shared" si="161"/>
        <v>Balasbaneh_2017</v>
      </c>
      <c r="N234" t="s">
        <v>222</v>
      </c>
      <c r="O234" s="140" t="s">
        <v>341</v>
      </c>
      <c r="P234"/>
      <c r="Q234" t="s">
        <v>224</v>
      </c>
      <c r="R234" s="262" t="s">
        <v>223</v>
      </c>
      <c r="S234" s="1" t="s">
        <v>373</v>
      </c>
      <c r="T234" t="s">
        <v>371</v>
      </c>
      <c r="U234" t="s">
        <v>351</v>
      </c>
      <c r="V234">
        <v>0</v>
      </c>
      <c r="W234">
        <v>0</v>
      </c>
      <c r="X234">
        <v>0</v>
      </c>
      <c r="Y234">
        <v>0</v>
      </c>
      <c r="Z234">
        <v>0</v>
      </c>
      <c r="AA234">
        <v>0</v>
      </c>
      <c r="AB234">
        <v>0</v>
      </c>
      <c r="AC234">
        <v>0</v>
      </c>
      <c r="AD234">
        <v>0</v>
      </c>
      <c r="AE234">
        <v>0</v>
      </c>
      <c r="AF234">
        <v>0</v>
      </c>
      <c r="AG234">
        <v>0</v>
      </c>
      <c r="AH234">
        <v>0</v>
      </c>
      <c r="AI234">
        <v>0</v>
      </c>
      <c r="AJ234">
        <v>0</v>
      </c>
      <c r="AK234">
        <v>1</v>
      </c>
      <c r="AL234">
        <v>0</v>
      </c>
      <c r="AM234">
        <v>0</v>
      </c>
      <c r="AN234">
        <v>0</v>
      </c>
      <c r="AO234">
        <v>0</v>
      </c>
      <c r="AP234">
        <v>0</v>
      </c>
      <c r="AQ234">
        <v>0</v>
      </c>
      <c r="AR234">
        <v>0</v>
      </c>
      <c r="AS234">
        <v>0</v>
      </c>
      <c r="AT234">
        <v>0</v>
      </c>
      <c r="AU234">
        <v>0</v>
      </c>
      <c r="AV234">
        <v>0</v>
      </c>
      <c r="AW234">
        <v>0</v>
      </c>
      <c r="AX234" s="141">
        <f t="shared" ref="AX234:AX265" si="212">COUNTIF(V234:AW234,"&lt;&gt;0")</f>
        <v>1</v>
      </c>
      <c r="AY234" s="141">
        <f t="shared" ref="AY234:AY265" si="213">COUNTIF(V234:AL234,"&lt;&gt;0")</f>
        <v>1</v>
      </c>
      <c r="AZ234">
        <f t="shared" ref="AZ234:AZ265" si="214">COUNTIF(V234:AC234,"&lt;&gt;0")</f>
        <v>0</v>
      </c>
      <c r="BA234">
        <f t="shared" ref="BA234:BA265" si="215">COUNTIF(AD234:AI234,"&lt;&gt;0")</f>
        <v>0</v>
      </c>
      <c r="BB234">
        <f t="shared" ref="BB234:BB265" si="216">COUNTIF(AJ234:AL234,"&lt;&gt;0")</f>
        <v>1</v>
      </c>
      <c r="BC234">
        <f t="shared" ref="BC234:BC265" si="217">COUNTIF(AS234:AW234,"&lt;&gt;0")</f>
        <v>0</v>
      </c>
      <c r="BD234">
        <f t="shared" ref="BD234:BD265" si="218">COUNTIF(AM234:AR234,"&lt;&gt;0")</f>
        <v>0</v>
      </c>
      <c r="BE234" t="str">
        <f t="array" ref="BE234">IF(AY234=1,INDEX($V$7:$AL$7,MATCH(TRUE,INDEX($V234:$AW234&lt;&gt;0,),0)),IF(AY234=0,INDEX($AM$7:$AW$7,MATCH(1,$AM234:$AW234,0)),IF(BF234="Multiple strategies","mixed drivers",IF(BF234="Supply chain","multiple supply","multiple silviculture"))))</f>
        <v>technologies/design switch</v>
      </c>
      <c r="BF234" s="2" t="str" cm="1">
        <f t="array" ref="BF234">IF(COUNTIF(AZ234:BB234,"&lt;&gt;0")=1,INDEX($V$4:$AW$4,MATCH(TRUE,INDEX($V234:$AW234&lt;&gt;0,),0)),IF(COUNTIF(AZ234:BB234,"&lt;&gt;0")=0,INDEX($AM$4:$AW$4,MATCH(1,$AM234:$AW234,0)),"Multiple strategies"))</f>
        <v>Technology</v>
      </c>
      <c r="BG234" s="1" t="s">
        <v>229</v>
      </c>
      <c r="BH234" t="s">
        <v>229</v>
      </c>
      <c r="BI234" s="264" t="s">
        <v>410</v>
      </c>
      <c r="BJ234" t="s">
        <v>345</v>
      </c>
      <c r="BK234">
        <v>0</v>
      </c>
      <c r="BL234">
        <v>23500</v>
      </c>
      <c r="BM234" s="143"/>
      <c r="BN234">
        <f t="shared" ref="BN234:BN265" si="219">BL234-BK234</f>
        <v>23500</v>
      </c>
      <c r="BO234" s="143">
        <f t="shared" si="206"/>
        <v>47.95918367346939</v>
      </c>
      <c r="BP234" t="s">
        <v>232</v>
      </c>
      <c r="BQ234" s="300" t="s">
        <v>396</v>
      </c>
      <c r="BR234" t="s">
        <v>346</v>
      </c>
      <c r="BS234">
        <v>-26000</v>
      </c>
      <c r="BT234">
        <v>-5650</v>
      </c>
      <c r="BU234" s="144">
        <v>0.21730769230769231</v>
      </c>
      <c r="BV234">
        <f t="shared" si="207"/>
        <v>20350</v>
      </c>
      <c r="BW234"/>
      <c r="BX234">
        <f t="shared" si="208"/>
        <v>20.350000000000001</v>
      </c>
      <c r="BY234">
        <f t="shared" si="139"/>
        <v>0.42431914893617023</v>
      </c>
      <c r="BZ234">
        <v>0</v>
      </c>
      <c r="CA234">
        <v>0</v>
      </c>
      <c r="CB234">
        <v>0</v>
      </c>
      <c r="CC234">
        <v>0</v>
      </c>
      <c r="CD234">
        <v>0</v>
      </c>
      <c r="CE234">
        <v>0</v>
      </c>
      <c r="CF234">
        <v>0</v>
      </c>
      <c r="CG234">
        <v>0</v>
      </c>
      <c r="CH234">
        <v>0</v>
      </c>
      <c r="CI234">
        <v>0</v>
      </c>
      <c r="CJ234">
        <v>0</v>
      </c>
      <c r="CK234">
        <v>0</v>
      </c>
      <c r="CL234">
        <v>0</v>
      </c>
      <c r="CM234">
        <v>0</v>
      </c>
      <c r="CN234" t="str">
        <f t="shared" si="209"/>
        <v>refOK</v>
      </c>
      <c r="CO234">
        <f t="shared" si="210"/>
        <v>0</v>
      </c>
      <c r="CP234">
        <f t="shared" si="211"/>
        <v>23500</v>
      </c>
      <c r="CQ234">
        <f t="shared" ref="CQ234:CQ265" si="220">IF($CN234="refOK",$BO234,-$BO234)</f>
        <v>47.95918367346939</v>
      </c>
      <c r="CR234">
        <f t="shared" si="204"/>
        <v>-26000</v>
      </c>
      <c r="CS234">
        <f t="shared" si="205"/>
        <v>-5650</v>
      </c>
      <c r="CT234">
        <f t="shared" ref="CT234:CT265" si="221">IF($CN234="refNeedCorrection",-BX234,BX234)*IF($BP234="Emissions positive",-1,1)</f>
        <v>20.350000000000001</v>
      </c>
      <c r="CU234">
        <f t="shared" ref="CU234:CU265" si="222">IFERROR(CT234/CQ234,"")</f>
        <v>0.42431914893617023</v>
      </c>
      <c r="CV234" s="2">
        <f t="shared" ref="CV234:CV265" si="223">IFERROR((CS234-CR234)/ABS(CR234),"")</f>
        <v>0.78269230769230769</v>
      </c>
      <c r="CW234" s="1" t="s">
        <v>347</v>
      </c>
      <c r="CX234" t="str">
        <f t="shared" ref="CX234:CX265" si="224">IF(OR($CW234="prd",$CW234="std",$CW234="cit"),"loc",IF(OR($CW234="eur",$CW234="reg",$CW234="coy"),"reg",$CW234))</f>
        <v>loc</v>
      </c>
      <c r="CY234" t="s">
        <v>348</v>
      </c>
      <c r="CZ234">
        <v>2014</v>
      </c>
      <c r="DA234">
        <v>2114</v>
      </c>
      <c r="DB234">
        <v>100</v>
      </c>
      <c r="DC234" t="str">
        <f t="shared" ref="DC234:DC265" si="225">IF(DB234=0,"0",IF(AND(DB234&gt;=1,DB234&lt;=30),"1-30",IF(AND(DB234&gt;30,DB234&lt;=70),"31-70",IF(AND(DB234&gt;70,DB234&lt;=100),"71-100",IF(DB234&gt;100,"+100")))))</f>
        <v>71-100</v>
      </c>
      <c r="DD234">
        <v>0</v>
      </c>
      <c r="DE234">
        <v>0</v>
      </c>
      <c r="DF234">
        <v>0</v>
      </c>
      <c r="DG234">
        <v>1</v>
      </c>
      <c r="DH234"/>
      <c r="DI234">
        <f t="shared" ref="DI234:DI270" si="226">SUM(DD234:DG234)</f>
        <v>1</v>
      </c>
      <c r="DJ234" t="str">
        <f t="shared" ref="DJ234:DJ265" si="227">IF(DI234=1,INDEX($DD$7:$DG$7,MATCH(1,$DD234:$DG234,0)),"mixedProduct")</f>
        <v>TimberInput</v>
      </c>
      <c r="DK234">
        <f t="shared" ref="DK234:DK265" si="228">IF(DD234=1,DK$7,0)</f>
        <v>0</v>
      </c>
      <c r="DL234">
        <f t="shared" ref="DL234:DL265" si="229">IF(DE234=1,DL$7,0)</f>
        <v>0</v>
      </c>
      <c r="DM234">
        <f t="shared" ref="DM234:DM265" si="230">IF(DF234=1,DM$7,0)</f>
        <v>0</v>
      </c>
      <c r="DN234" t="str">
        <f t="shared" ref="DN234:DN265" si="231">IF(DG234=1,DN$7,0)</f>
        <v>Timber</v>
      </c>
      <c r="DO234">
        <v>0</v>
      </c>
      <c r="DP234">
        <v>0</v>
      </c>
      <c r="DQ234">
        <v>0</v>
      </c>
      <c r="DR234">
        <v>0</v>
      </c>
      <c r="DS234">
        <v>0</v>
      </c>
      <c r="DT234">
        <f t="shared" ref="DT234:DT265" si="232">SUM(DO234:DP234)</f>
        <v>0</v>
      </c>
      <c r="DU234" s="143" t="str">
        <f t="shared" ref="DU234:DU265" si="233">IF(DO234=1,"self-calculated DF",IF(DP234=1,"external DF used","explicit C balance"))</f>
        <v>explicit C balance</v>
      </c>
      <c r="DV234">
        <v>0</v>
      </c>
      <c r="DW234">
        <v>0</v>
      </c>
      <c r="DX234">
        <v>0</v>
      </c>
      <c r="DY234">
        <v>1</v>
      </c>
      <c r="DZ234">
        <v>0</v>
      </c>
      <c r="EA234" s="143">
        <v>1</v>
      </c>
      <c r="EB234">
        <v>0</v>
      </c>
      <c r="EC234">
        <v>1</v>
      </c>
      <c r="ED234">
        <v>1</v>
      </c>
      <c r="EE234">
        <v>1</v>
      </c>
      <c r="EF234">
        <v>0</v>
      </c>
      <c r="EG234">
        <v>0</v>
      </c>
      <c r="EH234">
        <v>0</v>
      </c>
      <c r="EI234" s="2">
        <v>0</v>
      </c>
      <c r="EJ234" s="1"/>
      <c r="EK234" t="str">
        <f t="shared" ref="EK234:EK265" si="234">IF(AND(AND(AND(OR($DX234=1,$DW234=1),OR($EC234=1,$EA234=1)),SUM($DV234:$DZ234,$EF234)&gt;=4),SUM($EA234:$EE234)&gt;=2),"Whole sector","")</f>
        <v/>
      </c>
      <c r="EL234" t="str">
        <f t="shared" ref="EL234:EL265" si="235">IF(AND(AND(OR($DX234=1,$DW234=1),AND($EC234=0,$EA234=0)),SUM($DV234:$DZ234,$EF234)&gt;=4),"Ecosystem approach","")</f>
        <v/>
      </c>
      <c r="EM234" s="2" t="str">
        <f t="shared" si="140"/>
        <v>Technology approach</v>
      </c>
      <c r="EN234"/>
      <c r="EO234"/>
      <c r="EP234" t="str">
        <f>IF(ISNUMBER(BU234),IF(ABS(BU234-[3]QC_indicators!$B$2)&gt;3*[3]QC_indicators!$C$2,"C ratio",IF(ISNUMBER(BY234),IF(ABS(BY234-[3]QC_indicators!$B$1)&gt;3*[3]QC_indicators!$C$1,"DF","no"))),IF(ISNUMBER(BY234),IF(ABS(BY234-[3]QC_indicators!$B$1)&gt;3*[3]QC_indicators!$C$1,"DF","no")))</f>
        <v>no</v>
      </c>
      <c r="EQ234"/>
      <c r="ER234" s="149" t="s">
        <v>349</v>
      </c>
      <c r="ES234"/>
      <c r="ET234" s="264" t="s">
        <v>3272</v>
      </c>
      <c r="EU234"/>
    </row>
    <row r="235" spans="1:151" s="139" customFormat="1" ht="15" hidden="1" customHeight="1">
      <c r="A235" s="1" t="s">
        <v>333</v>
      </c>
      <c r="B235" t="s">
        <v>334</v>
      </c>
      <c r="C235" t="s">
        <v>335</v>
      </c>
      <c r="D235" t="s">
        <v>336</v>
      </c>
      <c r="E235" t="s">
        <v>337</v>
      </c>
      <c r="F235" t="s">
        <v>338</v>
      </c>
      <c r="G235" t="s">
        <v>339</v>
      </c>
      <c r="H235"/>
      <c r="I235">
        <v>2017</v>
      </c>
      <c r="J235"/>
      <c r="K235" t="s">
        <v>340</v>
      </c>
      <c r="L235"/>
      <c r="M235" t="str">
        <f t="shared" si="161"/>
        <v>Balasbaneh_2017</v>
      </c>
      <c r="N235" t="s">
        <v>222</v>
      </c>
      <c r="O235" s="140" t="s">
        <v>341</v>
      </c>
      <c r="P235"/>
      <c r="Q235" t="s">
        <v>224</v>
      </c>
      <c r="R235" s="262" t="s">
        <v>223</v>
      </c>
      <c r="S235" s="1" t="s">
        <v>374</v>
      </c>
      <c r="T235" t="s">
        <v>371</v>
      </c>
      <c r="U235" t="s">
        <v>357</v>
      </c>
      <c r="V235">
        <v>0</v>
      </c>
      <c r="W235">
        <v>0</v>
      </c>
      <c r="X235">
        <v>0</v>
      </c>
      <c r="Y235">
        <v>0</v>
      </c>
      <c r="Z235">
        <v>0</v>
      </c>
      <c r="AA235">
        <v>0</v>
      </c>
      <c r="AB235">
        <v>0</v>
      </c>
      <c r="AC235">
        <v>0</v>
      </c>
      <c r="AD235">
        <v>0</v>
      </c>
      <c r="AE235">
        <v>0</v>
      </c>
      <c r="AF235">
        <v>0</v>
      </c>
      <c r="AG235">
        <v>0</v>
      </c>
      <c r="AH235">
        <v>0</v>
      </c>
      <c r="AI235">
        <v>0</v>
      </c>
      <c r="AJ235">
        <v>0</v>
      </c>
      <c r="AK235">
        <v>1</v>
      </c>
      <c r="AL235">
        <v>0</v>
      </c>
      <c r="AM235">
        <v>0</v>
      </c>
      <c r="AN235">
        <v>0</v>
      </c>
      <c r="AO235">
        <v>0</v>
      </c>
      <c r="AP235">
        <v>0</v>
      </c>
      <c r="AQ235">
        <v>0</v>
      </c>
      <c r="AR235">
        <v>0</v>
      </c>
      <c r="AS235">
        <v>0</v>
      </c>
      <c r="AT235">
        <v>0</v>
      </c>
      <c r="AU235">
        <v>0</v>
      </c>
      <c r="AV235">
        <v>0</v>
      </c>
      <c r="AW235">
        <v>0</v>
      </c>
      <c r="AX235" s="141">
        <f t="shared" si="212"/>
        <v>1</v>
      </c>
      <c r="AY235" s="141">
        <f t="shared" si="213"/>
        <v>1</v>
      </c>
      <c r="AZ235">
        <f t="shared" si="214"/>
        <v>0</v>
      </c>
      <c r="BA235">
        <f t="shared" si="215"/>
        <v>0</v>
      </c>
      <c r="BB235">
        <f t="shared" si="216"/>
        <v>1</v>
      </c>
      <c r="BC235">
        <f t="shared" si="217"/>
        <v>0</v>
      </c>
      <c r="BD235">
        <f t="shared" si="218"/>
        <v>0</v>
      </c>
      <c r="BE235" t="str">
        <f t="array" ref="BE235">IF(AY235=1,INDEX($V$7:$AL$7,MATCH(TRUE,INDEX($V235:$AW235&lt;&gt;0,),0)),IF(AY235=0,INDEX($AM$7:$AW$7,MATCH(1,$AM235:$AW235,0)),IF(BF235="Multiple strategies","mixed drivers",IF(BF235="Supply chain","multiple supply","multiple silviculture"))))</f>
        <v>technologies/design switch</v>
      </c>
      <c r="BF235" s="2" t="str" cm="1">
        <f t="array" ref="BF235">IF(COUNTIF(AZ235:BB235,"&lt;&gt;0")=1,INDEX($V$4:$AW$4,MATCH(TRUE,INDEX($V235:$AW235&lt;&gt;0,),0)),IF(COUNTIF(AZ235:BB235,"&lt;&gt;0")=0,INDEX($AM$4:$AW$4,MATCH(1,$AM235:$AW235,0)),"Multiple strategies"))</f>
        <v>Technology</v>
      </c>
      <c r="BG235" s="1" t="s">
        <v>229</v>
      </c>
      <c r="BH235" t="s">
        <v>229</v>
      </c>
      <c r="BI235" s="264" t="s">
        <v>410</v>
      </c>
      <c r="BJ235" t="s">
        <v>345</v>
      </c>
      <c r="BK235">
        <v>0</v>
      </c>
      <c r="BL235">
        <v>29276</v>
      </c>
      <c r="BM235" s="143"/>
      <c r="BN235">
        <f t="shared" si="219"/>
        <v>29276</v>
      </c>
      <c r="BO235" s="143">
        <f t="shared" si="206"/>
        <v>59.746938775510209</v>
      </c>
      <c r="BP235" t="s">
        <v>232</v>
      </c>
      <c r="BQ235" s="300" t="s">
        <v>396</v>
      </c>
      <c r="BR235" t="s">
        <v>346</v>
      </c>
      <c r="BS235">
        <v>-30600</v>
      </c>
      <c r="BT235">
        <v>-2040</v>
      </c>
      <c r="BU235" s="144">
        <v>6.6666666666666666E-2</v>
      </c>
      <c r="BV235">
        <f t="shared" si="207"/>
        <v>28560</v>
      </c>
      <c r="BW235"/>
      <c r="BX235">
        <f t="shared" si="208"/>
        <v>28.56</v>
      </c>
      <c r="BY235">
        <f t="shared" si="139"/>
        <v>0.4780161224210957</v>
      </c>
      <c r="BZ235">
        <v>0</v>
      </c>
      <c r="CA235">
        <v>0</v>
      </c>
      <c r="CB235">
        <v>0</v>
      </c>
      <c r="CC235">
        <v>0</v>
      </c>
      <c r="CD235">
        <v>0</v>
      </c>
      <c r="CE235">
        <v>0</v>
      </c>
      <c r="CF235">
        <v>0</v>
      </c>
      <c r="CG235">
        <v>0</v>
      </c>
      <c r="CH235">
        <v>0</v>
      </c>
      <c r="CI235">
        <v>0</v>
      </c>
      <c r="CJ235">
        <v>0</v>
      </c>
      <c r="CK235">
        <v>0</v>
      </c>
      <c r="CL235">
        <v>0</v>
      </c>
      <c r="CM235">
        <v>0</v>
      </c>
      <c r="CN235" t="str">
        <f t="shared" si="209"/>
        <v>refOK</v>
      </c>
      <c r="CO235">
        <f t="shared" si="210"/>
        <v>0</v>
      </c>
      <c r="CP235">
        <f t="shared" si="211"/>
        <v>29276</v>
      </c>
      <c r="CQ235">
        <f t="shared" si="220"/>
        <v>59.746938775510209</v>
      </c>
      <c r="CR235">
        <f t="shared" si="204"/>
        <v>-30600</v>
      </c>
      <c r="CS235">
        <f t="shared" si="205"/>
        <v>-2040</v>
      </c>
      <c r="CT235">
        <f t="shared" si="221"/>
        <v>28.56</v>
      </c>
      <c r="CU235">
        <f t="shared" si="222"/>
        <v>0.4780161224210957</v>
      </c>
      <c r="CV235" s="2">
        <f t="shared" si="223"/>
        <v>0.93333333333333335</v>
      </c>
      <c r="CW235" s="1" t="s">
        <v>347</v>
      </c>
      <c r="CX235" t="str">
        <f t="shared" si="224"/>
        <v>loc</v>
      </c>
      <c r="CY235" t="s">
        <v>348</v>
      </c>
      <c r="CZ235">
        <v>2014</v>
      </c>
      <c r="DA235">
        <v>2514</v>
      </c>
      <c r="DB235">
        <v>500</v>
      </c>
      <c r="DC235" t="str">
        <f t="shared" si="225"/>
        <v>+100</v>
      </c>
      <c r="DD235">
        <v>0</v>
      </c>
      <c r="DE235">
        <v>0</v>
      </c>
      <c r="DF235">
        <v>0</v>
      </c>
      <c r="DG235">
        <v>1</v>
      </c>
      <c r="DH235"/>
      <c r="DI235">
        <f t="shared" si="226"/>
        <v>1</v>
      </c>
      <c r="DJ235" t="str">
        <f t="shared" si="227"/>
        <v>TimberInput</v>
      </c>
      <c r="DK235">
        <f t="shared" si="228"/>
        <v>0</v>
      </c>
      <c r="DL235">
        <f t="shared" si="229"/>
        <v>0</v>
      </c>
      <c r="DM235">
        <f t="shared" si="230"/>
        <v>0</v>
      </c>
      <c r="DN235" t="str">
        <f t="shared" si="231"/>
        <v>Timber</v>
      </c>
      <c r="DO235">
        <v>0</v>
      </c>
      <c r="DP235">
        <v>0</v>
      </c>
      <c r="DQ235">
        <v>0</v>
      </c>
      <c r="DR235">
        <v>0</v>
      </c>
      <c r="DS235">
        <v>0</v>
      </c>
      <c r="DT235">
        <f t="shared" si="232"/>
        <v>0</v>
      </c>
      <c r="DU235" s="143" t="str">
        <f t="shared" si="233"/>
        <v>explicit C balance</v>
      </c>
      <c r="DV235">
        <v>0</v>
      </c>
      <c r="DW235">
        <v>0</v>
      </c>
      <c r="DX235">
        <v>0</v>
      </c>
      <c r="DY235">
        <v>1</v>
      </c>
      <c r="DZ235">
        <v>0</v>
      </c>
      <c r="EA235" s="143">
        <v>1</v>
      </c>
      <c r="EB235">
        <v>0</v>
      </c>
      <c r="EC235">
        <v>1</v>
      </c>
      <c r="ED235">
        <v>1</v>
      </c>
      <c r="EE235">
        <v>1</v>
      </c>
      <c r="EF235">
        <v>0</v>
      </c>
      <c r="EG235">
        <v>0</v>
      </c>
      <c r="EH235">
        <v>0</v>
      </c>
      <c r="EI235" s="2">
        <v>0</v>
      </c>
      <c r="EJ235" s="1"/>
      <c r="EK235" t="str">
        <f t="shared" si="234"/>
        <v/>
      </c>
      <c r="EL235" t="str">
        <f t="shared" si="235"/>
        <v/>
      </c>
      <c r="EM235" s="2" t="str">
        <f t="shared" si="140"/>
        <v>Technology approach</v>
      </c>
      <c r="EN235"/>
      <c r="EO235"/>
      <c r="EP235" t="str">
        <f>IF(ISNUMBER(BU235),IF(ABS(BU235-[3]QC_indicators!$B$2)&gt;3*[3]QC_indicators!$C$2,"C ratio",IF(ISNUMBER(BY235),IF(ABS(BY235-[3]QC_indicators!$B$1)&gt;3*[3]QC_indicators!$C$1,"DF","no"))),IF(ISNUMBER(BY235),IF(ABS(BY235-[3]QC_indicators!$B$1)&gt;3*[3]QC_indicators!$C$1,"DF","no")))</f>
        <v>no</v>
      </c>
      <c r="EQ235"/>
      <c r="ER235" s="149" t="s">
        <v>349</v>
      </c>
      <c r="ES235"/>
      <c r="ET235" s="264" t="s">
        <v>3272</v>
      </c>
      <c r="EU235"/>
    </row>
    <row r="236" spans="1:151" s="139" customFormat="1" ht="15" hidden="1" customHeight="1">
      <c r="A236" s="1" t="s">
        <v>333</v>
      </c>
      <c r="B236" t="s">
        <v>334</v>
      </c>
      <c r="C236" t="s">
        <v>335</v>
      </c>
      <c r="D236" t="s">
        <v>336</v>
      </c>
      <c r="E236" t="s">
        <v>337</v>
      </c>
      <c r="F236" t="s">
        <v>338</v>
      </c>
      <c r="G236" t="s">
        <v>339</v>
      </c>
      <c r="H236"/>
      <c r="I236">
        <v>2017</v>
      </c>
      <c r="J236"/>
      <c r="K236" t="s">
        <v>340</v>
      </c>
      <c r="L236"/>
      <c r="M236" t="str">
        <f t="shared" si="161"/>
        <v>Balasbaneh_2017</v>
      </c>
      <c r="N236" t="s">
        <v>222</v>
      </c>
      <c r="O236" s="140" t="s">
        <v>341</v>
      </c>
      <c r="P236"/>
      <c r="Q236" t="s">
        <v>224</v>
      </c>
      <c r="R236" s="262" t="s">
        <v>223</v>
      </c>
      <c r="S236" s="1" t="s">
        <v>375</v>
      </c>
      <c r="T236" t="s">
        <v>371</v>
      </c>
      <c r="U236" t="s">
        <v>357</v>
      </c>
      <c r="V236">
        <v>0</v>
      </c>
      <c r="W236">
        <v>0</v>
      </c>
      <c r="X236">
        <v>0</v>
      </c>
      <c r="Y236">
        <v>0</v>
      </c>
      <c r="Z236">
        <v>0</v>
      </c>
      <c r="AA236">
        <v>0</v>
      </c>
      <c r="AB236">
        <v>0</v>
      </c>
      <c r="AC236">
        <v>0</v>
      </c>
      <c r="AD236">
        <v>0</v>
      </c>
      <c r="AE236">
        <v>0</v>
      </c>
      <c r="AF236">
        <v>0</v>
      </c>
      <c r="AG236">
        <v>0</v>
      </c>
      <c r="AH236">
        <v>0</v>
      </c>
      <c r="AI236">
        <v>0</v>
      </c>
      <c r="AJ236">
        <v>0</v>
      </c>
      <c r="AK236">
        <v>1</v>
      </c>
      <c r="AL236">
        <v>0</v>
      </c>
      <c r="AM236">
        <v>0</v>
      </c>
      <c r="AN236">
        <v>0</v>
      </c>
      <c r="AO236">
        <v>0</v>
      </c>
      <c r="AP236">
        <v>0</v>
      </c>
      <c r="AQ236">
        <v>0</v>
      </c>
      <c r="AR236">
        <v>0</v>
      </c>
      <c r="AS236">
        <v>0</v>
      </c>
      <c r="AT236">
        <v>0</v>
      </c>
      <c r="AU236">
        <v>0</v>
      </c>
      <c r="AV236">
        <v>0</v>
      </c>
      <c r="AW236">
        <v>0</v>
      </c>
      <c r="AX236" s="141">
        <f t="shared" si="212"/>
        <v>1</v>
      </c>
      <c r="AY236" s="141">
        <f t="shared" si="213"/>
        <v>1</v>
      </c>
      <c r="AZ236">
        <f t="shared" si="214"/>
        <v>0</v>
      </c>
      <c r="BA236">
        <f t="shared" si="215"/>
        <v>0</v>
      </c>
      <c r="BB236">
        <f t="shared" si="216"/>
        <v>1</v>
      </c>
      <c r="BC236">
        <f t="shared" si="217"/>
        <v>0</v>
      </c>
      <c r="BD236">
        <f t="shared" si="218"/>
        <v>0</v>
      </c>
      <c r="BE236" t="str">
        <f t="array" ref="BE236">IF(AY236=1,INDEX($V$7:$AL$7,MATCH(TRUE,INDEX($V236:$AW236&lt;&gt;0,),0)),IF(AY236=0,INDEX($AM$7:$AW$7,MATCH(1,$AM236:$AW236,0)),IF(BF236="Multiple strategies","mixed drivers",IF(BF236="Supply chain","multiple supply","multiple silviculture"))))</f>
        <v>technologies/design switch</v>
      </c>
      <c r="BF236" s="2" t="str" cm="1">
        <f t="array" ref="BF236">IF(COUNTIF(AZ236:BB236,"&lt;&gt;0")=1,INDEX($V$4:$AW$4,MATCH(TRUE,INDEX($V236:$AW236&lt;&gt;0,),0)),IF(COUNTIF(AZ236:BB236,"&lt;&gt;0")=0,INDEX($AM$4:$AW$4,MATCH(1,$AM236:$AW236,0)),"Multiple strategies"))</f>
        <v>Technology</v>
      </c>
      <c r="BG236" s="1" t="s">
        <v>229</v>
      </c>
      <c r="BH236" t="s">
        <v>229</v>
      </c>
      <c r="BI236" s="264" t="s">
        <v>410</v>
      </c>
      <c r="BJ236" t="s">
        <v>345</v>
      </c>
      <c r="BK236">
        <v>0</v>
      </c>
      <c r="BL236">
        <v>29276</v>
      </c>
      <c r="BM236" s="143"/>
      <c r="BN236">
        <f t="shared" si="219"/>
        <v>29276</v>
      </c>
      <c r="BO236" s="143">
        <f t="shared" si="206"/>
        <v>59.746938775510209</v>
      </c>
      <c r="BP236" t="s">
        <v>232</v>
      </c>
      <c r="BQ236" s="300" t="s">
        <v>396</v>
      </c>
      <c r="BR236" t="s">
        <v>346</v>
      </c>
      <c r="BS236">
        <v>-32500</v>
      </c>
      <c r="BT236">
        <v>-2080</v>
      </c>
      <c r="BU236" s="144">
        <v>6.4000000000000001E-2</v>
      </c>
      <c r="BV236">
        <f t="shared" si="207"/>
        <v>30420</v>
      </c>
      <c r="BW236"/>
      <c r="BX236">
        <f t="shared" si="208"/>
        <v>30.42</v>
      </c>
      <c r="BY236">
        <f t="shared" ref="BY236:BY299" si="236">IFERROR(BX236/BO236,"")</f>
        <v>0.50914742451154527</v>
      </c>
      <c r="BZ236">
        <v>0</v>
      </c>
      <c r="CA236">
        <v>0</v>
      </c>
      <c r="CB236">
        <v>0</v>
      </c>
      <c r="CC236">
        <v>0</v>
      </c>
      <c r="CD236">
        <v>0</v>
      </c>
      <c r="CE236">
        <v>0</v>
      </c>
      <c r="CF236">
        <v>0</v>
      </c>
      <c r="CG236">
        <v>0</v>
      </c>
      <c r="CH236">
        <v>0</v>
      </c>
      <c r="CI236">
        <v>0</v>
      </c>
      <c r="CJ236">
        <v>0</v>
      </c>
      <c r="CK236">
        <v>0</v>
      </c>
      <c r="CL236">
        <v>0</v>
      </c>
      <c r="CM236">
        <v>0</v>
      </c>
      <c r="CN236" t="str">
        <f t="shared" si="209"/>
        <v>refOK</v>
      </c>
      <c r="CO236">
        <f t="shared" si="210"/>
        <v>0</v>
      </c>
      <c r="CP236">
        <f t="shared" si="211"/>
        <v>29276</v>
      </c>
      <c r="CQ236">
        <f t="shared" si="220"/>
        <v>59.746938775510209</v>
      </c>
      <c r="CR236">
        <f t="shared" si="204"/>
        <v>-32500</v>
      </c>
      <c r="CS236">
        <f t="shared" si="205"/>
        <v>-2080</v>
      </c>
      <c r="CT236">
        <f t="shared" si="221"/>
        <v>30.42</v>
      </c>
      <c r="CU236">
        <f t="shared" si="222"/>
        <v>0.50914742451154527</v>
      </c>
      <c r="CV236" s="2">
        <f t="shared" si="223"/>
        <v>0.93600000000000005</v>
      </c>
      <c r="CW236" s="1" t="s">
        <v>347</v>
      </c>
      <c r="CX236" t="str">
        <f t="shared" si="224"/>
        <v>loc</v>
      </c>
      <c r="CY236" t="s">
        <v>348</v>
      </c>
      <c r="CZ236">
        <v>2014</v>
      </c>
      <c r="DA236">
        <v>2514</v>
      </c>
      <c r="DB236">
        <v>500</v>
      </c>
      <c r="DC236" t="str">
        <f t="shared" si="225"/>
        <v>+100</v>
      </c>
      <c r="DD236">
        <v>0</v>
      </c>
      <c r="DE236">
        <v>0</v>
      </c>
      <c r="DF236">
        <v>0</v>
      </c>
      <c r="DG236">
        <v>1</v>
      </c>
      <c r="DH236"/>
      <c r="DI236">
        <f t="shared" si="226"/>
        <v>1</v>
      </c>
      <c r="DJ236" t="str">
        <f t="shared" si="227"/>
        <v>TimberInput</v>
      </c>
      <c r="DK236">
        <f t="shared" si="228"/>
        <v>0</v>
      </c>
      <c r="DL236">
        <f t="shared" si="229"/>
        <v>0</v>
      </c>
      <c r="DM236">
        <f t="shared" si="230"/>
        <v>0</v>
      </c>
      <c r="DN236" t="str">
        <f t="shared" si="231"/>
        <v>Timber</v>
      </c>
      <c r="DO236">
        <v>0</v>
      </c>
      <c r="DP236">
        <v>0</v>
      </c>
      <c r="DQ236">
        <v>0</v>
      </c>
      <c r="DR236">
        <v>0</v>
      </c>
      <c r="DS236">
        <v>0</v>
      </c>
      <c r="DT236">
        <f t="shared" si="232"/>
        <v>0</v>
      </c>
      <c r="DU236" s="143" t="str">
        <f t="shared" si="233"/>
        <v>explicit C balance</v>
      </c>
      <c r="DV236">
        <v>0</v>
      </c>
      <c r="DW236">
        <v>0</v>
      </c>
      <c r="DX236">
        <v>0</v>
      </c>
      <c r="DY236">
        <v>1</v>
      </c>
      <c r="DZ236">
        <v>0</v>
      </c>
      <c r="EA236" s="143">
        <v>1</v>
      </c>
      <c r="EB236">
        <v>0</v>
      </c>
      <c r="EC236">
        <v>1</v>
      </c>
      <c r="ED236">
        <v>1</v>
      </c>
      <c r="EE236">
        <v>1</v>
      </c>
      <c r="EF236">
        <v>0</v>
      </c>
      <c r="EG236">
        <v>0</v>
      </c>
      <c r="EH236">
        <v>0</v>
      </c>
      <c r="EI236" s="2">
        <v>0</v>
      </c>
      <c r="EJ236" s="1"/>
      <c r="EK236" t="str">
        <f t="shared" si="234"/>
        <v/>
      </c>
      <c r="EL236" t="str">
        <f t="shared" si="235"/>
        <v/>
      </c>
      <c r="EM236" s="2" t="str">
        <f t="shared" ref="EM236:EM299" si="237">IF(AND(AND(AND($DX236=0,$DW236=0),OR($EC236=1,$EA236=1)),SUM($EB236:$EE236)&gt;=2),"Technology approach","")</f>
        <v>Technology approach</v>
      </c>
      <c r="EN236"/>
      <c r="EO236"/>
      <c r="EP236" t="str">
        <f>IF(ISNUMBER(BU236),IF(ABS(BU236-[3]QC_indicators!$B$2)&gt;3*[3]QC_indicators!$C$2,"C ratio",IF(ISNUMBER(BY236),IF(ABS(BY236-[3]QC_indicators!$B$1)&gt;3*[3]QC_indicators!$C$1,"DF","no"))),IF(ISNUMBER(BY236),IF(ABS(BY236-[3]QC_indicators!$B$1)&gt;3*[3]QC_indicators!$C$1,"DF","no")))</f>
        <v>no</v>
      </c>
      <c r="EQ236"/>
      <c r="ER236" s="149" t="s">
        <v>349</v>
      </c>
      <c r="ES236"/>
      <c r="ET236" s="264" t="s">
        <v>3272</v>
      </c>
      <c r="EU236"/>
    </row>
    <row r="237" spans="1:151" s="139" customFormat="1" ht="15" hidden="1" customHeight="1">
      <c r="A237" s="1" t="s">
        <v>333</v>
      </c>
      <c r="B237" t="s">
        <v>334</v>
      </c>
      <c r="C237" t="s">
        <v>335</v>
      </c>
      <c r="D237" t="s">
        <v>336</v>
      </c>
      <c r="E237" t="s">
        <v>337</v>
      </c>
      <c r="F237" t="s">
        <v>338</v>
      </c>
      <c r="G237" t="s">
        <v>339</v>
      </c>
      <c r="H237"/>
      <c r="I237">
        <v>2017</v>
      </c>
      <c r="J237"/>
      <c r="K237" t="s">
        <v>340</v>
      </c>
      <c r="L237"/>
      <c r="M237" t="str">
        <f t="shared" si="161"/>
        <v>Balasbaneh_2017</v>
      </c>
      <c r="N237" t="s">
        <v>222</v>
      </c>
      <c r="O237" s="140" t="s">
        <v>341</v>
      </c>
      <c r="P237"/>
      <c r="Q237" t="s">
        <v>224</v>
      </c>
      <c r="R237" s="262" t="s">
        <v>223</v>
      </c>
      <c r="S237" s="1" t="s">
        <v>376</v>
      </c>
      <c r="T237" t="s">
        <v>371</v>
      </c>
      <c r="U237" t="s">
        <v>344</v>
      </c>
      <c r="V237">
        <v>0</v>
      </c>
      <c r="W237">
        <v>0</v>
      </c>
      <c r="X237">
        <v>0</v>
      </c>
      <c r="Y237">
        <v>0</v>
      </c>
      <c r="Z237">
        <v>0</v>
      </c>
      <c r="AA237">
        <v>0</v>
      </c>
      <c r="AB237">
        <v>0</v>
      </c>
      <c r="AC237">
        <v>0</v>
      </c>
      <c r="AD237">
        <v>0</v>
      </c>
      <c r="AE237">
        <v>0</v>
      </c>
      <c r="AF237">
        <v>0</v>
      </c>
      <c r="AG237">
        <v>0</v>
      </c>
      <c r="AH237">
        <v>0</v>
      </c>
      <c r="AI237">
        <v>0</v>
      </c>
      <c r="AJ237">
        <v>0</v>
      </c>
      <c r="AK237">
        <v>1</v>
      </c>
      <c r="AL237">
        <v>0</v>
      </c>
      <c r="AM237">
        <v>0</v>
      </c>
      <c r="AN237">
        <v>0</v>
      </c>
      <c r="AO237">
        <v>0</v>
      </c>
      <c r="AP237">
        <v>0</v>
      </c>
      <c r="AQ237">
        <v>0</v>
      </c>
      <c r="AR237">
        <v>0</v>
      </c>
      <c r="AS237">
        <v>0</v>
      </c>
      <c r="AT237">
        <v>0</v>
      </c>
      <c r="AU237">
        <v>0</v>
      </c>
      <c r="AV237">
        <v>0</v>
      </c>
      <c r="AW237">
        <v>0</v>
      </c>
      <c r="AX237" s="141">
        <f t="shared" si="212"/>
        <v>1</v>
      </c>
      <c r="AY237" s="141">
        <f t="shared" si="213"/>
        <v>1</v>
      </c>
      <c r="AZ237">
        <f t="shared" si="214"/>
        <v>0</v>
      </c>
      <c r="BA237">
        <f t="shared" si="215"/>
        <v>0</v>
      </c>
      <c r="BB237">
        <f t="shared" si="216"/>
        <v>1</v>
      </c>
      <c r="BC237">
        <f t="shared" si="217"/>
        <v>0</v>
      </c>
      <c r="BD237">
        <f t="shared" si="218"/>
        <v>0</v>
      </c>
      <c r="BE237" t="str">
        <f t="array" ref="BE237">IF(AY237=1,INDEX($V$7:$AL$7,MATCH(TRUE,INDEX($V237:$AW237&lt;&gt;0,),0)),IF(AY237=0,INDEX($AM$7:$AW$7,MATCH(1,$AM237:$AW237,0)),IF(BF237="Multiple strategies","mixed drivers",IF(BF237="Supply chain","multiple supply","multiple silviculture"))))</f>
        <v>technologies/design switch</v>
      </c>
      <c r="BF237" s="2" t="str" cm="1">
        <f t="array" ref="BF237">IF(COUNTIF(AZ237:BB237,"&lt;&gt;0")=1,INDEX($V$4:$AW$4,MATCH(TRUE,INDEX($V237:$AW237&lt;&gt;0,),0)),IF(COUNTIF(AZ237:BB237,"&lt;&gt;0")=0,INDEX($AM$4:$AW$4,MATCH(1,$AM237:$AW237,0)),"Multiple strategies"))</f>
        <v>Technology</v>
      </c>
      <c r="BG237" s="1" t="s">
        <v>229</v>
      </c>
      <c r="BH237" t="s">
        <v>229</v>
      </c>
      <c r="BI237" s="264" t="s">
        <v>410</v>
      </c>
      <c r="BJ237" t="s">
        <v>345</v>
      </c>
      <c r="BK237">
        <v>0</v>
      </c>
      <c r="BL237">
        <v>23500</v>
      </c>
      <c r="BM237" s="143"/>
      <c r="BN237">
        <f t="shared" si="219"/>
        <v>23500</v>
      </c>
      <c r="BO237" s="143">
        <f t="shared" si="206"/>
        <v>47.95918367346939</v>
      </c>
      <c r="BP237" t="s">
        <v>232</v>
      </c>
      <c r="BQ237" s="300" t="s">
        <v>396</v>
      </c>
      <c r="BR237" t="s">
        <v>346</v>
      </c>
      <c r="BS237">
        <v>-30600</v>
      </c>
      <c r="BT237">
        <v>-6020</v>
      </c>
      <c r="BU237" s="144">
        <v>0.19673202614379084</v>
      </c>
      <c r="BV237">
        <f t="shared" si="207"/>
        <v>24580</v>
      </c>
      <c r="BW237"/>
      <c r="BX237">
        <f t="shared" si="208"/>
        <v>24.58</v>
      </c>
      <c r="BY237">
        <f t="shared" si="236"/>
        <v>0.51251914893617012</v>
      </c>
      <c r="BZ237">
        <v>0</v>
      </c>
      <c r="CA237">
        <v>0</v>
      </c>
      <c r="CB237">
        <v>0</v>
      </c>
      <c r="CC237">
        <v>0</v>
      </c>
      <c r="CD237">
        <v>0</v>
      </c>
      <c r="CE237">
        <v>0</v>
      </c>
      <c r="CF237">
        <v>0</v>
      </c>
      <c r="CG237">
        <v>0</v>
      </c>
      <c r="CH237">
        <v>0</v>
      </c>
      <c r="CI237">
        <v>0</v>
      </c>
      <c r="CJ237">
        <v>0</v>
      </c>
      <c r="CK237">
        <v>0</v>
      </c>
      <c r="CL237">
        <v>0</v>
      </c>
      <c r="CM237">
        <v>0</v>
      </c>
      <c r="CN237" t="str">
        <f t="shared" si="209"/>
        <v>refOK</v>
      </c>
      <c r="CO237">
        <f t="shared" si="210"/>
        <v>0</v>
      </c>
      <c r="CP237">
        <f t="shared" si="211"/>
        <v>23500</v>
      </c>
      <c r="CQ237">
        <f t="shared" si="220"/>
        <v>47.95918367346939</v>
      </c>
      <c r="CR237">
        <f t="shared" si="204"/>
        <v>-30600</v>
      </c>
      <c r="CS237">
        <f t="shared" si="205"/>
        <v>-6020</v>
      </c>
      <c r="CT237">
        <f t="shared" si="221"/>
        <v>24.58</v>
      </c>
      <c r="CU237">
        <f t="shared" si="222"/>
        <v>0.51251914893617012</v>
      </c>
      <c r="CV237" s="2">
        <f t="shared" si="223"/>
        <v>0.80326797385620918</v>
      </c>
      <c r="CW237" s="1" t="s">
        <v>347</v>
      </c>
      <c r="CX237" t="str">
        <f t="shared" si="224"/>
        <v>loc</v>
      </c>
      <c r="CY237" t="s">
        <v>348</v>
      </c>
      <c r="CZ237">
        <v>2014</v>
      </c>
      <c r="DA237">
        <v>2034</v>
      </c>
      <c r="DB237">
        <v>20</v>
      </c>
      <c r="DC237" t="str">
        <f t="shared" si="225"/>
        <v>1-30</v>
      </c>
      <c r="DD237">
        <v>0</v>
      </c>
      <c r="DE237">
        <v>0</v>
      </c>
      <c r="DF237">
        <v>0</v>
      </c>
      <c r="DG237">
        <v>1</v>
      </c>
      <c r="DH237"/>
      <c r="DI237">
        <f t="shared" si="226"/>
        <v>1</v>
      </c>
      <c r="DJ237" t="str">
        <f t="shared" si="227"/>
        <v>TimberInput</v>
      </c>
      <c r="DK237">
        <f t="shared" si="228"/>
        <v>0</v>
      </c>
      <c r="DL237">
        <f t="shared" si="229"/>
        <v>0</v>
      </c>
      <c r="DM237">
        <f t="shared" si="230"/>
        <v>0</v>
      </c>
      <c r="DN237" t="str">
        <f t="shared" si="231"/>
        <v>Timber</v>
      </c>
      <c r="DO237">
        <v>0</v>
      </c>
      <c r="DP237">
        <v>0</v>
      </c>
      <c r="DQ237">
        <v>0</v>
      </c>
      <c r="DR237">
        <v>0</v>
      </c>
      <c r="DS237">
        <v>0</v>
      </c>
      <c r="DT237">
        <f t="shared" si="232"/>
        <v>0</v>
      </c>
      <c r="DU237" s="143" t="str">
        <f t="shared" si="233"/>
        <v>explicit C balance</v>
      </c>
      <c r="DV237">
        <v>0</v>
      </c>
      <c r="DW237">
        <v>0</v>
      </c>
      <c r="DX237">
        <v>0</v>
      </c>
      <c r="DY237">
        <v>1</v>
      </c>
      <c r="DZ237">
        <v>0</v>
      </c>
      <c r="EA237" s="143">
        <v>1</v>
      </c>
      <c r="EB237">
        <v>0</v>
      </c>
      <c r="EC237">
        <v>1</v>
      </c>
      <c r="ED237">
        <v>1</v>
      </c>
      <c r="EE237">
        <v>1</v>
      </c>
      <c r="EF237">
        <v>0</v>
      </c>
      <c r="EG237">
        <v>0</v>
      </c>
      <c r="EH237">
        <v>0</v>
      </c>
      <c r="EI237" s="2">
        <v>0</v>
      </c>
      <c r="EJ237" s="1"/>
      <c r="EK237" t="str">
        <f t="shared" si="234"/>
        <v/>
      </c>
      <c r="EL237" t="str">
        <f t="shared" si="235"/>
        <v/>
      </c>
      <c r="EM237" s="2" t="str">
        <f t="shared" si="237"/>
        <v>Technology approach</v>
      </c>
      <c r="EN237"/>
      <c r="EO237"/>
      <c r="EP237" t="str">
        <f>IF(ISNUMBER(BU237),IF(ABS(BU237-[3]QC_indicators!$B$2)&gt;3*[3]QC_indicators!$C$2,"C ratio",IF(ISNUMBER(BY237),IF(ABS(BY237-[3]QC_indicators!$B$1)&gt;3*[3]QC_indicators!$C$1,"DF","no"))),IF(ISNUMBER(BY237),IF(ABS(BY237-[3]QC_indicators!$B$1)&gt;3*[3]QC_indicators!$C$1,"DF","no")))</f>
        <v>no</v>
      </c>
      <c r="EQ237"/>
      <c r="ER237" s="149" t="s">
        <v>349</v>
      </c>
      <c r="ES237"/>
      <c r="ET237" s="264" t="s">
        <v>3272</v>
      </c>
      <c r="EU237"/>
    </row>
    <row r="238" spans="1:151" s="139" customFormat="1" ht="15" hidden="1" customHeight="1">
      <c r="A238" s="1" t="s">
        <v>333</v>
      </c>
      <c r="B238" t="s">
        <v>334</v>
      </c>
      <c r="C238" t="s">
        <v>335</v>
      </c>
      <c r="D238" t="s">
        <v>336</v>
      </c>
      <c r="E238" t="s">
        <v>337</v>
      </c>
      <c r="F238" t="s">
        <v>338</v>
      </c>
      <c r="G238" t="s">
        <v>339</v>
      </c>
      <c r="H238"/>
      <c r="I238">
        <v>2017</v>
      </c>
      <c r="J238"/>
      <c r="K238" t="s">
        <v>340</v>
      </c>
      <c r="L238"/>
      <c r="M238" t="str">
        <f t="shared" si="161"/>
        <v>Balasbaneh_2017</v>
      </c>
      <c r="N238" t="s">
        <v>222</v>
      </c>
      <c r="O238" s="140" t="s">
        <v>341</v>
      </c>
      <c r="P238"/>
      <c r="Q238" t="s">
        <v>224</v>
      </c>
      <c r="R238" s="262" t="s">
        <v>223</v>
      </c>
      <c r="S238" s="1" t="s">
        <v>377</v>
      </c>
      <c r="T238" t="s">
        <v>371</v>
      </c>
      <c r="U238" t="s">
        <v>351</v>
      </c>
      <c r="V238">
        <v>0</v>
      </c>
      <c r="W238">
        <v>0</v>
      </c>
      <c r="X238">
        <v>0</v>
      </c>
      <c r="Y238">
        <v>0</v>
      </c>
      <c r="Z238">
        <v>0</v>
      </c>
      <c r="AA238">
        <v>0</v>
      </c>
      <c r="AB238">
        <v>0</v>
      </c>
      <c r="AC238">
        <v>0</v>
      </c>
      <c r="AD238">
        <v>0</v>
      </c>
      <c r="AE238">
        <v>0</v>
      </c>
      <c r="AF238">
        <v>0</v>
      </c>
      <c r="AG238">
        <v>0</v>
      </c>
      <c r="AH238">
        <v>0</v>
      </c>
      <c r="AI238">
        <v>0</v>
      </c>
      <c r="AJ238">
        <v>0</v>
      </c>
      <c r="AK238">
        <v>1</v>
      </c>
      <c r="AL238">
        <v>0</v>
      </c>
      <c r="AM238">
        <v>0</v>
      </c>
      <c r="AN238">
        <v>0</v>
      </c>
      <c r="AO238">
        <v>0</v>
      </c>
      <c r="AP238">
        <v>0</v>
      </c>
      <c r="AQ238">
        <v>0</v>
      </c>
      <c r="AR238">
        <v>0</v>
      </c>
      <c r="AS238">
        <v>0</v>
      </c>
      <c r="AT238">
        <v>0</v>
      </c>
      <c r="AU238">
        <v>0</v>
      </c>
      <c r="AV238">
        <v>0</v>
      </c>
      <c r="AW238">
        <v>0</v>
      </c>
      <c r="AX238" s="141">
        <f t="shared" si="212"/>
        <v>1</v>
      </c>
      <c r="AY238" s="141">
        <f t="shared" si="213"/>
        <v>1</v>
      </c>
      <c r="AZ238">
        <f t="shared" si="214"/>
        <v>0</v>
      </c>
      <c r="BA238">
        <f t="shared" si="215"/>
        <v>0</v>
      </c>
      <c r="BB238">
        <f t="shared" si="216"/>
        <v>1</v>
      </c>
      <c r="BC238">
        <f t="shared" si="217"/>
        <v>0</v>
      </c>
      <c r="BD238">
        <f t="shared" si="218"/>
        <v>0</v>
      </c>
      <c r="BE238" t="str">
        <f t="array" ref="BE238">IF(AY238=1,INDEX($V$7:$AL$7,MATCH(TRUE,INDEX($V238:$AW238&lt;&gt;0,),0)),IF(AY238=0,INDEX($AM$7:$AW$7,MATCH(1,$AM238:$AW238,0)),IF(BF238="Multiple strategies","mixed drivers",IF(BF238="Supply chain","multiple supply","multiple silviculture"))))</f>
        <v>technologies/design switch</v>
      </c>
      <c r="BF238" s="2" t="str" cm="1">
        <f t="array" ref="BF238">IF(COUNTIF(AZ238:BB238,"&lt;&gt;0")=1,INDEX($V$4:$AW$4,MATCH(TRUE,INDEX($V238:$AW238&lt;&gt;0,),0)),IF(COUNTIF(AZ238:BB238,"&lt;&gt;0")=0,INDEX($AM$4:$AW$4,MATCH(1,$AM238:$AW238,0)),"Multiple strategies"))</f>
        <v>Technology</v>
      </c>
      <c r="BG238" s="1" t="s">
        <v>229</v>
      </c>
      <c r="BH238" t="s">
        <v>229</v>
      </c>
      <c r="BI238" s="264" t="s">
        <v>410</v>
      </c>
      <c r="BJ238" t="s">
        <v>345</v>
      </c>
      <c r="BK238">
        <v>0</v>
      </c>
      <c r="BL238">
        <v>23500</v>
      </c>
      <c r="BM238" s="143"/>
      <c r="BN238">
        <f t="shared" si="219"/>
        <v>23500</v>
      </c>
      <c r="BO238" s="143">
        <f t="shared" si="206"/>
        <v>47.95918367346939</v>
      </c>
      <c r="BP238" t="s">
        <v>232</v>
      </c>
      <c r="BQ238" s="300" t="s">
        <v>396</v>
      </c>
      <c r="BR238" t="s">
        <v>346</v>
      </c>
      <c r="BS238">
        <v>-30600</v>
      </c>
      <c r="BT238">
        <v>-5800</v>
      </c>
      <c r="BU238" s="144">
        <v>0.18954248366013071</v>
      </c>
      <c r="BV238">
        <f t="shared" si="207"/>
        <v>24800</v>
      </c>
      <c r="BW238"/>
      <c r="BX238">
        <f t="shared" si="208"/>
        <v>24.8</v>
      </c>
      <c r="BY238">
        <f t="shared" si="236"/>
        <v>0.51710638297872336</v>
      </c>
      <c r="BZ238">
        <v>0</v>
      </c>
      <c r="CA238">
        <v>0</v>
      </c>
      <c r="CB238">
        <v>0</v>
      </c>
      <c r="CC238">
        <v>0</v>
      </c>
      <c r="CD238">
        <v>0</v>
      </c>
      <c r="CE238">
        <v>0</v>
      </c>
      <c r="CF238">
        <v>0</v>
      </c>
      <c r="CG238">
        <v>0</v>
      </c>
      <c r="CH238">
        <v>0</v>
      </c>
      <c r="CI238">
        <v>0</v>
      </c>
      <c r="CJ238">
        <v>0</v>
      </c>
      <c r="CK238">
        <v>0</v>
      </c>
      <c r="CL238">
        <v>0</v>
      </c>
      <c r="CM238">
        <v>0</v>
      </c>
      <c r="CN238" t="str">
        <f t="shared" si="209"/>
        <v>refOK</v>
      </c>
      <c r="CO238">
        <f t="shared" si="210"/>
        <v>0</v>
      </c>
      <c r="CP238">
        <f t="shared" si="211"/>
        <v>23500</v>
      </c>
      <c r="CQ238">
        <f t="shared" si="220"/>
        <v>47.95918367346939</v>
      </c>
      <c r="CR238">
        <f t="shared" si="204"/>
        <v>-30600</v>
      </c>
      <c r="CS238">
        <f t="shared" si="205"/>
        <v>-5800</v>
      </c>
      <c r="CT238">
        <f t="shared" si="221"/>
        <v>24.8</v>
      </c>
      <c r="CU238">
        <f t="shared" si="222"/>
        <v>0.51710638297872336</v>
      </c>
      <c r="CV238" s="2">
        <f t="shared" si="223"/>
        <v>0.81045751633986929</v>
      </c>
      <c r="CW238" s="1" t="s">
        <v>347</v>
      </c>
      <c r="CX238" t="str">
        <f t="shared" si="224"/>
        <v>loc</v>
      </c>
      <c r="CY238" t="s">
        <v>348</v>
      </c>
      <c r="CZ238">
        <v>2014</v>
      </c>
      <c r="DA238">
        <v>2114</v>
      </c>
      <c r="DB238">
        <v>100</v>
      </c>
      <c r="DC238" t="str">
        <f t="shared" si="225"/>
        <v>71-100</v>
      </c>
      <c r="DD238">
        <v>0</v>
      </c>
      <c r="DE238">
        <v>0</v>
      </c>
      <c r="DF238">
        <v>0</v>
      </c>
      <c r="DG238">
        <v>1</v>
      </c>
      <c r="DH238"/>
      <c r="DI238">
        <f t="shared" si="226"/>
        <v>1</v>
      </c>
      <c r="DJ238" t="str">
        <f t="shared" si="227"/>
        <v>TimberInput</v>
      </c>
      <c r="DK238">
        <f t="shared" si="228"/>
        <v>0</v>
      </c>
      <c r="DL238">
        <f t="shared" si="229"/>
        <v>0</v>
      </c>
      <c r="DM238">
        <f t="shared" si="230"/>
        <v>0</v>
      </c>
      <c r="DN238" t="str">
        <f t="shared" si="231"/>
        <v>Timber</v>
      </c>
      <c r="DO238">
        <v>0</v>
      </c>
      <c r="DP238">
        <v>0</v>
      </c>
      <c r="DQ238">
        <v>0</v>
      </c>
      <c r="DR238">
        <v>0</v>
      </c>
      <c r="DS238">
        <v>0</v>
      </c>
      <c r="DT238">
        <f t="shared" si="232"/>
        <v>0</v>
      </c>
      <c r="DU238" s="143" t="str">
        <f t="shared" si="233"/>
        <v>explicit C balance</v>
      </c>
      <c r="DV238">
        <v>0</v>
      </c>
      <c r="DW238">
        <v>0</v>
      </c>
      <c r="DX238">
        <v>0</v>
      </c>
      <c r="DY238">
        <v>1</v>
      </c>
      <c r="DZ238">
        <v>0</v>
      </c>
      <c r="EA238" s="143">
        <v>1</v>
      </c>
      <c r="EB238">
        <v>0</v>
      </c>
      <c r="EC238">
        <v>1</v>
      </c>
      <c r="ED238">
        <v>1</v>
      </c>
      <c r="EE238">
        <v>1</v>
      </c>
      <c r="EF238">
        <v>0</v>
      </c>
      <c r="EG238">
        <v>0</v>
      </c>
      <c r="EH238">
        <v>0</v>
      </c>
      <c r="EI238" s="2">
        <v>0</v>
      </c>
      <c r="EJ238" s="1"/>
      <c r="EK238" t="str">
        <f t="shared" si="234"/>
        <v/>
      </c>
      <c r="EL238" t="str">
        <f t="shared" si="235"/>
        <v/>
      </c>
      <c r="EM238" s="2" t="str">
        <f t="shared" si="237"/>
        <v>Technology approach</v>
      </c>
      <c r="EN238"/>
      <c r="EO238"/>
      <c r="EP238" t="str">
        <f>IF(ISNUMBER(BU238),IF(ABS(BU238-[3]QC_indicators!$B$2)&gt;3*[3]QC_indicators!$C$2,"C ratio",IF(ISNUMBER(BY238),IF(ABS(BY238-[3]QC_indicators!$B$1)&gt;3*[3]QC_indicators!$C$1,"DF","no"))),IF(ISNUMBER(BY238),IF(ABS(BY238-[3]QC_indicators!$B$1)&gt;3*[3]QC_indicators!$C$1,"DF","no")))</f>
        <v>no</v>
      </c>
      <c r="EQ238"/>
      <c r="ER238" s="149" t="s">
        <v>349</v>
      </c>
      <c r="ES238"/>
      <c r="ET238" s="264" t="s">
        <v>3272</v>
      </c>
      <c r="EU238"/>
    </row>
    <row r="239" spans="1:151" s="139" customFormat="1" ht="15" hidden="1" customHeight="1">
      <c r="A239" s="1" t="s">
        <v>333</v>
      </c>
      <c r="B239" t="s">
        <v>334</v>
      </c>
      <c r="C239" t="s">
        <v>335</v>
      </c>
      <c r="D239" t="s">
        <v>336</v>
      </c>
      <c r="E239" t="s">
        <v>337</v>
      </c>
      <c r="F239" t="s">
        <v>338</v>
      </c>
      <c r="G239" t="s">
        <v>339</v>
      </c>
      <c r="H239"/>
      <c r="I239">
        <v>2017</v>
      </c>
      <c r="J239"/>
      <c r="K239" t="s">
        <v>340</v>
      </c>
      <c r="L239"/>
      <c r="M239" t="str">
        <f t="shared" si="161"/>
        <v>Balasbaneh_2017</v>
      </c>
      <c r="N239" t="s">
        <v>222</v>
      </c>
      <c r="O239" s="140" t="s">
        <v>341</v>
      </c>
      <c r="P239"/>
      <c r="Q239" t="s">
        <v>224</v>
      </c>
      <c r="R239" s="262" t="s">
        <v>223</v>
      </c>
      <c r="S239" s="1" t="s">
        <v>378</v>
      </c>
      <c r="T239" t="s">
        <v>371</v>
      </c>
      <c r="U239" t="s">
        <v>344</v>
      </c>
      <c r="V239">
        <v>0</v>
      </c>
      <c r="W239">
        <v>0</v>
      </c>
      <c r="X239">
        <v>0</v>
      </c>
      <c r="Y239">
        <v>0</v>
      </c>
      <c r="Z239">
        <v>0</v>
      </c>
      <c r="AA239">
        <v>0</v>
      </c>
      <c r="AB239">
        <v>0</v>
      </c>
      <c r="AC239">
        <v>0</v>
      </c>
      <c r="AD239">
        <v>0</v>
      </c>
      <c r="AE239">
        <v>0</v>
      </c>
      <c r="AF239">
        <v>0</v>
      </c>
      <c r="AG239">
        <v>0</v>
      </c>
      <c r="AH239">
        <v>0</v>
      </c>
      <c r="AI239">
        <v>0</v>
      </c>
      <c r="AJ239">
        <v>0</v>
      </c>
      <c r="AK239">
        <v>1</v>
      </c>
      <c r="AL239">
        <v>0</v>
      </c>
      <c r="AM239">
        <v>0</v>
      </c>
      <c r="AN239">
        <v>0</v>
      </c>
      <c r="AO239">
        <v>0</v>
      </c>
      <c r="AP239">
        <v>0</v>
      </c>
      <c r="AQ239">
        <v>0</v>
      </c>
      <c r="AR239">
        <v>0</v>
      </c>
      <c r="AS239">
        <v>0</v>
      </c>
      <c r="AT239">
        <v>0</v>
      </c>
      <c r="AU239">
        <v>0</v>
      </c>
      <c r="AV239">
        <v>0</v>
      </c>
      <c r="AW239">
        <v>0</v>
      </c>
      <c r="AX239" s="141">
        <f t="shared" si="212"/>
        <v>1</v>
      </c>
      <c r="AY239" s="141">
        <f t="shared" si="213"/>
        <v>1</v>
      </c>
      <c r="AZ239">
        <f t="shared" si="214"/>
        <v>0</v>
      </c>
      <c r="BA239">
        <f t="shared" si="215"/>
        <v>0</v>
      </c>
      <c r="BB239">
        <f t="shared" si="216"/>
        <v>1</v>
      </c>
      <c r="BC239">
        <f t="shared" si="217"/>
        <v>0</v>
      </c>
      <c r="BD239">
        <f t="shared" si="218"/>
        <v>0</v>
      </c>
      <c r="BE239" t="str">
        <f t="array" ref="BE239">IF(AY239=1,INDEX($V$7:$AL$7,MATCH(TRUE,INDEX($V239:$AW239&lt;&gt;0,),0)),IF(AY239=0,INDEX($AM$7:$AW$7,MATCH(1,$AM239:$AW239,0)),IF(BF239="Multiple strategies","mixed drivers",IF(BF239="Supply chain","multiple supply","multiple silviculture"))))</f>
        <v>technologies/design switch</v>
      </c>
      <c r="BF239" s="2" t="str" cm="1">
        <f t="array" ref="BF239">IF(COUNTIF(AZ239:BB239,"&lt;&gt;0")=1,INDEX($V$4:$AW$4,MATCH(TRUE,INDEX($V239:$AW239&lt;&gt;0,),0)),IF(COUNTIF(AZ239:BB239,"&lt;&gt;0")=0,INDEX($AM$4:$AW$4,MATCH(1,$AM239:$AW239,0)),"Multiple strategies"))</f>
        <v>Technology</v>
      </c>
      <c r="BG239" s="1" t="s">
        <v>229</v>
      </c>
      <c r="BH239" t="s">
        <v>229</v>
      </c>
      <c r="BI239" s="264" t="s">
        <v>410</v>
      </c>
      <c r="BJ239" t="s">
        <v>345</v>
      </c>
      <c r="BK239">
        <v>0</v>
      </c>
      <c r="BL239">
        <v>23500</v>
      </c>
      <c r="BM239" s="143"/>
      <c r="BN239">
        <f t="shared" si="219"/>
        <v>23500</v>
      </c>
      <c r="BO239" s="143">
        <f t="shared" si="206"/>
        <v>47.95918367346939</v>
      </c>
      <c r="BP239" t="s">
        <v>232</v>
      </c>
      <c r="BQ239" s="300" t="s">
        <v>396</v>
      </c>
      <c r="BR239" t="s">
        <v>346</v>
      </c>
      <c r="BS239">
        <v>-32500</v>
      </c>
      <c r="BT239">
        <v>-6250</v>
      </c>
      <c r="BU239" s="144">
        <v>0.19230769230769232</v>
      </c>
      <c r="BV239">
        <f t="shared" si="207"/>
        <v>26250</v>
      </c>
      <c r="BW239"/>
      <c r="BX239">
        <f t="shared" si="208"/>
        <v>26.25</v>
      </c>
      <c r="BY239">
        <f t="shared" si="236"/>
        <v>0.54734042553191486</v>
      </c>
      <c r="BZ239">
        <v>0</v>
      </c>
      <c r="CA239">
        <v>0</v>
      </c>
      <c r="CB239">
        <v>0</v>
      </c>
      <c r="CC239">
        <v>0</v>
      </c>
      <c r="CD239">
        <v>0</v>
      </c>
      <c r="CE239">
        <v>0</v>
      </c>
      <c r="CF239">
        <v>0</v>
      </c>
      <c r="CG239">
        <v>0</v>
      </c>
      <c r="CH239">
        <v>0</v>
      </c>
      <c r="CI239">
        <v>0</v>
      </c>
      <c r="CJ239">
        <v>0</v>
      </c>
      <c r="CK239">
        <v>0</v>
      </c>
      <c r="CL239">
        <v>0</v>
      </c>
      <c r="CM239">
        <v>0</v>
      </c>
      <c r="CN239" t="str">
        <f t="shared" si="209"/>
        <v>refOK</v>
      </c>
      <c r="CO239">
        <f t="shared" si="210"/>
        <v>0</v>
      </c>
      <c r="CP239">
        <f t="shared" si="211"/>
        <v>23500</v>
      </c>
      <c r="CQ239">
        <f t="shared" si="220"/>
        <v>47.95918367346939</v>
      </c>
      <c r="CR239">
        <f t="shared" si="204"/>
        <v>-32500</v>
      </c>
      <c r="CS239">
        <f t="shared" si="205"/>
        <v>-6250</v>
      </c>
      <c r="CT239">
        <f t="shared" si="221"/>
        <v>26.25</v>
      </c>
      <c r="CU239">
        <f t="shared" si="222"/>
        <v>0.54734042553191486</v>
      </c>
      <c r="CV239" s="2">
        <f t="shared" si="223"/>
        <v>0.80769230769230771</v>
      </c>
      <c r="CW239" s="1" t="s">
        <v>347</v>
      </c>
      <c r="CX239" t="str">
        <f t="shared" si="224"/>
        <v>loc</v>
      </c>
      <c r="CY239" t="s">
        <v>348</v>
      </c>
      <c r="CZ239">
        <v>2014</v>
      </c>
      <c r="DA239">
        <v>2034</v>
      </c>
      <c r="DB239">
        <v>20</v>
      </c>
      <c r="DC239" t="str">
        <f t="shared" si="225"/>
        <v>1-30</v>
      </c>
      <c r="DD239">
        <v>0</v>
      </c>
      <c r="DE239">
        <v>0</v>
      </c>
      <c r="DF239">
        <v>0</v>
      </c>
      <c r="DG239">
        <v>1</v>
      </c>
      <c r="DH239"/>
      <c r="DI239">
        <f t="shared" si="226"/>
        <v>1</v>
      </c>
      <c r="DJ239" t="str">
        <f t="shared" si="227"/>
        <v>TimberInput</v>
      </c>
      <c r="DK239">
        <f t="shared" si="228"/>
        <v>0</v>
      </c>
      <c r="DL239">
        <f t="shared" si="229"/>
        <v>0</v>
      </c>
      <c r="DM239">
        <f t="shared" si="230"/>
        <v>0</v>
      </c>
      <c r="DN239" t="str">
        <f t="shared" si="231"/>
        <v>Timber</v>
      </c>
      <c r="DO239">
        <v>0</v>
      </c>
      <c r="DP239">
        <v>0</v>
      </c>
      <c r="DQ239">
        <v>0</v>
      </c>
      <c r="DR239">
        <v>0</v>
      </c>
      <c r="DS239">
        <v>0</v>
      </c>
      <c r="DT239">
        <f t="shared" si="232"/>
        <v>0</v>
      </c>
      <c r="DU239" s="143" t="str">
        <f t="shared" si="233"/>
        <v>explicit C balance</v>
      </c>
      <c r="DV239">
        <v>0</v>
      </c>
      <c r="DW239">
        <v>0</v>
      </c>
      <c r="DX239">
        <v>0</v>
      </c>
      <c r="DY239">
        <v>1</v>
      </c>
      <c r="DZ239">
        <v>0</v>
      </c>
      <c r="EA239" s="143">
        <v>1</v>
      </c>
      <c r="EB239">
        <v>0</v>
      </c>
      <c r="EC239">
        <v>1</v>
      </c>
      <c r="ED239">
        <v>1</v>
      </c>
      <c r="EE239">
        <v>1</v>
      </c>
      <c r="EF239">
        <v>0</v>
      </c>
      <c r="EG239">
        <v>0</v>
      </c>
      <c r="EH239">
        <v>0</v>
      </c>
      <c r="EI239" s="2">
        <v>0</v>
      </c>
      <c r="EJ239" s="1"/>
      <c r="EK239" t="str">
        <f t="shared" si="234"/>
        <v/>
      </c>
      <c r="EL239" t="str">
        <f t="shared" si="235"/>
        <v/>
      </c>
      <c r="EM239" s="2" t="str">
        <f t="shared" si="237"/>
        <v>Technology approach</v>
      </c>
      <c r="EN239"/>
      <c r="EO239"/>
      <c r="EP239" t="str">
        <f>IF(ISNUMBER(BU239),IF(ABS(BU239-[3]QC_indicators!$B$2)&gt;3*[3]QC_indicators!$C$2,"C ratio",IF(ISNUMBER(BY239),IF(ABS(BY239-[3]QC_indicators!$B$1)&gt;3*[3]QC_indicators!$C$1,"DF","no"))),IF(ISNUMBER(BY239),IF(ABS(BY239-[3]QC_indicators!$B$1)&gt;3*[3]QC_indicators!$C$1,"DF","no")))</f>
        <v>no</v>
      </c>
      <c r="EQ239"/>
      <c r="ER239" s="149" t="s">
        <v>349</v>
      </c>
      <c r="ES239"/>
      <c r="ET239" s="264" t="s">
        <v>3272</v>
      </c>
      <c r="EU239"/>
    </row>
    <row r="240" spans="1:151" s="139" customFormat="1" ht="15" hidden="1" customHeight="1">
      <c r="A240" s="1" t="s">
        <v>333</v>
      </c>
      <c r="B240" t="s">
        <v>334</v>
      </c>
      <c r="C240" t="s">
        <v>335</v>
      </c>
      <c r="D240" t="s">
        <v>336</v>
      </c>
      <c r="E240" t="s">
        <v>337</v>
      </c>
      <c r="F240" t="s">
        <v>338</v>
      </c>
      <c r="G240" t="s">
        <v>339</v>
      </c>
      <c r="H240"/>
      <c r="I240">
        <v>2017</v>
      </c>
      <c r="J240"/>
      <c r="K240" t="s">
        <v>340</v>
      </c>
      <c r="L240"/>
      <c r="M240" t="str">
        <f t="shared" si="161"/>
        <v>Balasbaneh_2017</v>
      </c>
      <c r="N240" t="s">
        <v>222</v>
      </c>
      <c r="O240" s="140" t="s">
        <v>341</v>
      </c>
      <c r="P240"/>
      <c r="Q240" t="s">
        <v>224</v>
      </c>
      <c r="R240" s="262" t="s">
        <v>223</v>
      </c>
      <c r="S240" s="1" t="s">
        <v>379</v>
      </c>
      <c r="T240" t="s">
        <v>371</v>
      </c>
      <c r="U240" t="s">
        <v>351</v>
      </c>
      <c r="V240">
        <v>0</v>
      </c>
      <c r="W240">
        <v>0</v>
      </c>
      <c r="X240">
        <v>0</v>
      </c>
      <c r="Y240">
        <v>0</v>
      </c>
      <c r="Z240">
        <v>0</v>
      </c>
      <c r="AA240">
        <v>0</v>
      </c>
      <c r="AB240">
        <v>0</v>
      </c>
      <c r="AC240">
        <v>0</v>
      </c>
      <c r="AD240">
        <v>0</v>
      </c>
      <c r="AE240">
        <v>0</v>
      </c>
      <c r="AF240">
        <v>0</v>
      </c>
      <c r="AG240">
        <v>0</v>
      </c>
      <c r="AH240">
        <v>0</v>
      </c>
      <c r="AI240">
        <v>0</v>
      </c>
      <c r="AJ240">
        <v>0</v>
      </c>
      <c r="AK240">
        <v>1</v>
      </c>
      <c r="AL240">
        <v>0</v>
      </c>
      <c r="AM240">
        <v>0</v>
      </c>
      <c r="AN240">
        <v>0</v>
      </c>
      <c r="AO240">
        <v>0</v>
      </c>
      <c r="AP240">
        <v>0</v>
      </c>
      <c r="AQ240">
        <v>0</v>
      </c>
      <c r="AR240">
        <v>0</v>
      </c>
      <c r="AS240">
        <v>0</v>
      </c>
      <c r="AT240">
        <v>0</v>
      </c>
      <c r="AU240">
        <v>0</v>
      </c>
      <c r="AV240">
        <v>0</v>
      </c>
      <c r="AW240">
        <v>0</v>
      </c>
      <c r="AX240" s="141">
        <f t="shared" si="212"/>
        <v>1</v>
      </c>
      <c r="AY240" s="141">
        <f t="shared" si="213"/>
        <v>1</v>
      </c>
      <c r="AZ240">
        <f t="shared" si="214"/>
        <v>0</v>
      </c>
      <c r="BA240">
        <f t="shared" si="215"/>
        <v>0</v>
      </c>
      <c r="BB240">
        <f t="shared" si="216"/>
        <v>1</v>
      </c>
      <c r="BC240">
        <f t="shared" si="217"/>
        <v>0</v>
      </c>
      <c r="BD240">
        <f t="shared" si="218"/>
        <v>0</v>
      </c>
      <c r="BE240" t="str">
        <f t="array" ref="BE240">IF(AY240=1,INDEX($V$7:$AL$7,MATCH(TRUE,INDEX($V240:$AW240&lt;&gt;0,),0)),IF(AY240=0,INDEX($AM$7:$AW$7,MATCH(1,$AM240:$AW240,0)),IF(BF240="Multiple strategies","mixed drivers",IF(BF240="Supply chain","multiple supply","multiple silviculture"))))</f>
        <v>technologies/design switch</v>
      </c>
      <c r="BF240" s="2" t="str" cm="1">
        <f t="array" ref="BF240">IF(COUNTIF(AZ240:BB240,"&lt;&gt;0")=1,INDEX($V$4:$AW$4,MATCH(TRUE,INDEX($V240:$AW240&lt;&gt;0,),0)),IF(COUNTIF(AZ240:BB240,"&lt;&gt;0")=0,INDEX($AM$4:$AW$4,MATCH(1,$AM240:$AW240,0)),"Multiple strategies"))</f>
        <v>Technology</v>
      </c>
      <c r="BG240" s="1" t="s">
        <v>229</v>
      </c>
      <c r="BH240" t="s">
        <v>229</v>
      </c>
      <c r="BI240" s="264" t="s">
        <v>410</v>
      </c>
      <c r="BJ240" t="s">
        <v>345</v>
      </c>
      <c r="BK240">
        <v>0</v>
      </c>
      <c r="BL240">
        <v>23500</v>
      </c>
      <c r="BM240" s="143"/>
      <c r="BN240">
        <f t="shared" si="219"/>
        <v>23500</v>
      </c>
      <c r="BO240" s="143">
        <f t="shared" si="206"/>
        <v>47.95918367346939</v>
      </c>
      <c r="BP240" t="s">
        <v>232</v>
      </c>
      <c r="BQ240" s="300" t="s">
        <v>396</v>
      </c>
      <c r="BR240" t="s">
        <v>346</v>
      </c>
      <c r="BS240">
        <v>-32500</v>
      </c>
      <c r="BT240">
        <v>-5830</v>
      </c>
      <c r="BU240" s="144">
        <v>0.17938461538461539</v>
      </c>
      <c r="BV240">
        <f t="shared" si="207"/>
        <v>26670</v>
      </c>
      <c r="BW240"/>
      <c r="BX240">
        <f t="shared" si="208"/>
        <v>26.67</v>
      </c>
      <c r="BY240">
        <f t="shared" si="236"/>
        <v>0.55609787234042551</v>
      </c>
      <c r="BZ240">
        <v>0</v>
      </c>
      <c r="CA240">
        <v>0</v>
      </c>
      <c r="CB240">
        <v>0</v>
      </c>
      <c r="CC240">
        <v>0</v>
      </c>
      <c r="CD240">
        <v>0</v>
      </c>
      <c r="CE240">
        <v>0</v>
      </c>
      <c r="CF240">
        <v>0</v>
      </c>
      <c r="CG240">
        <v>0</v>
      </c>
      <c r="CH240">
        <v>0</v>
      </c>
      <c r="CI240">
        <v>0</v>
      </c>
      <c r="CJ240">
        <v>0</v>
      </c>
      <c r="CK240">
        <v>0</v>
      </c>
      <c r="CL240">
        <v>0</v>
      </c>
      <c r="CM240">
        <v>0</v>
      </c>
      <c r="CN240" t="str">
        <f t="shared" si="209"/>
        <v>refOK</v>
      </c>
      <c r="CO240">
        <f t="shared" si="210"/>
        <v>0</v>
      </c>
      <c r="CP240">
        <f t="shared" si="211"/>
        <v>23500</v>
      </c>
      <c r="CQ240">
        <f t="shared" si="220"/>
        <v>47.95918367346939</v>
      </c>
      <c r="CR240">
        <f t="shared" si="204"/>
        <v>-32500</v>
      </c>
      <c r="CS240">
        <f t="shared" si="205"/>
        <v>-5830</v>
      </c>
      <c r="CT240">
        <f t="shared" si="221"/>
        <v>26.67</v>
      </c>
      <c r="CU240">
        <f t="shared" si="222"/>
        <v>0.55609787234042551</v>
      </c>
      <c r="CV240" s="2">
        <f t="shared" si="223"/>
        <v>0.82061538461538464</v>
      </c>
      <c r="CW240" s="1" t="s">
        <v>347</v>
      </c>
      <c r="CX240" t="str">
        <f t="shared" si="224"/>
        <v>loc</v>
      </c>
      <c r="CY240" t="s">
        <v>348</v>
      </c>
      <c r="CZ240">
        <v>2014</v>
      </c>
      <c r="DA240">
        <v>2114</v>
      </c>
      <c r="DB240">
        <v>100</v>
      </c>
      <c r="DC240" t="str">
        <f t="shared" si="225"/>
        <v>71-100</v>
      </c>
      <c r="DD240">
        <v>0</v>
      </c>
      <c r="DE240">
        <v>0</v>
      </c>
      <c r="DF240">
        <v>0</v>
      </c>
      <c r="DG240">
        <v>1</v>
      </c>
      <c r="DH240"/>
      <c r="DI240">
        <f t="shared" si="226"/>
        <v>1</v>
      </c>
      <c r="DJ240" t="str">
        <f t="shared" si="227"/>
        <v>TimberInput</v>
      </c>
      <c r="DK240">
        <f t="shared" si="228"/>
        <v>0</v>
      </c>
      <c r="DL240">
        <f t="shared" si="229"/>
        <v>0</v>
      </c>
      <c r="DM240">
        <f t="shared" si="230"/>
        <v>0</v>
      </c>
      <c r="DN240" t="str">
        <f t="shared" si="231"/>
        <v>Timber</v>
      </c>
      <c r="DO240">
        <v>0</v>
      </c>
      <c r="DP240">
        <v>0</v>
      </c>
      <c r="DQ240">
        <v>0</v>
      </c>
      <c r="DR240">
        <v>0</v>
      </c>
      <c r="DS240">
        <v>0</v>
      </c>
      <c r="DT240">
        <f t="shared" si="232"/>
        <v>0</v>
      </c>
      <c r="DU240" s="143" t="str">
        <f t="shared" si="233"/>
        <v>explicit C balance</v>
      </c>
      <c r="DV240">
        <v>0</v>
      </c>
      <c r="DW240">
        <v>0</v>
      </c>
      <c r="DX240">
        <v>0</v>
      </c>
      <c r="DY240">
        <v>1</v>
      </c>
      <c r="DZ240">
        <v>0</v>
      </c>
      <c r="EA240" s="143">
        <v>1</v>
      </c>
      <c r="EB240">
        <v>0</v>
      </c>
      <c r="EC240">
        <v>1</v>
      </c>
      <c r="ED240">
        <v>1</v>
      </c>
      <c r="EE240">
        <v>1</v>
      </c>
      <c r="EF240">
        <v>0</v>
      </c>
      <c r="EG240">
        <v>0</v>
      </c>
      <c r="EH240">
        <v>0</v>
      </c>
      <c r="EI240" s="2">
        <v>0</v>
      </c>
      <c r="EJ240" s="1"/>
      <c r="EK240" t="str">
        <f t="shared" si="234"/>
        <v/>
      </c>
      <c r="EL240" t="str">
        <f t="shared" si="235"/>
        <v/>
      </c>
      <c r="EM240" s="2" t="str">
        <f t="shared" si="237"/>
        <v>Technology approach</v>
      </c>
      <c r="EN240"/>
      <c r="EO240"/>
      <c r="EP240" t="str">
        <f>IF(ISNUMBER(BU240),IF(ABS(BU240-[3]QC_indicators!$B$2)&gt;3*[3]QC_indicators!$C$2,"C ratio",IF(ISNUMBER(BY240),IF(ABS(BY240-[3]QC_indicators!$B$1)&gt;3*[3]QC_indicators!$C$1,"DF","no"))),IF(ISNUMBER(BY240),IF(ABS(BY240-[3]QC_indicators!$B$1)&gt;3*[3]QC_indicators!$C$1,"DF","no")))</f>
        <v>no</v>
      </c>
      <c r="EQ240"/>
      <c r="ER240" s="149" t="s">
        <v>349</v>
      </c>
      <c r="ES240"/>
      <c r="ET240" s="264" t="s">
        <v>3272</v>
      </c>
      <c r="EU240"/>
    </row>
    <row r="241" spans="1:151" s="139" customFormat="1" ht="15" hidden="1" customHeight="1">
      <c r="A241" s="1" t="s">
        <v>1232</v>
      </c>
      <c r="B241" t="s">
        <v>1233</v>
      </c>
      <c r="C241" t="s">
        <v>1234</v>
      </c>
      <c r="D241" t="s">
        <v>336</v>
      </c>
      <c r="E241" t="s">
        <v>1235</v>
      </c>
      <c r="F241" t="s">
        <v>1236</v>
      </c>
      <c r="G241" t="s">
        <v>1237</v>
      </c>
      <c r="H241"/>
      <c r="I241">
        <v>2018</v>
      </c>
      <c r="J241"/>
      <c r="K241" t="s">
        <v>1238</v>
      </c>
      <c r="L241"/>
      <c r="M241" t="str">
        <f t="shared" si="161"/>
        <v>Balasbaneh_2018</v>
      </c>
      <c r="N241" t="s">
        <v>222</v>
      </c>
      <c r="O241" s="140" t="s">
        <v>513</v>
      </c>
      <c r="P241"/>
      <c r="Q241" t="s">
        <v>224</v>
      </c>
      <c r="R241" s="262" t="s">
        <v>223</v>
      </c>
      <c r="S241" s="263" t="s">
        <v>1239</v>
      </c>
      <c r="T241" s="264" t="s">
        <v>3112</v>
      </c>
      <c r="U241" s="264" t="s">
        <v>3110</v>
      </c>
      <c r="V241">
        <v>0</v>
      </c>
      <c r="W241">
        <v>0</v>
      </c>
      <c r="X241">
        <v>0</v>
      </c>
      <c r="Y241">
        <v>0</v>
      </c>
      <c r="Z241">
        <v>0</v>
      </c>
      <c r="AA241">
        <v>0</v>
      </c>
      <c r="AB241">
        <v>0</v>
      </c>
      <c r="AC241">
        <v>0</v>
      </c>
      <c r="AD241">
        <v>0</v>
      </c>
      <c r="AE241">
        <v>0</v>
      </c>
      <c r="AF241">
        <v>0</v>
      </c>
      <c r="AG241">
        <v>0</v>
      </c>
      <c r="AH241">
        <v>0</v>
      </c>
      <c r="AI241">
        <v>0</v>
      </c>
      <c r="AJ241">
        <v>0</v>
      </c>
      <c r="AK241">
        <v>1</v>
      </c>
      <c r="AL241">
        <v>0</v>
      </c>
      <c r="AM241">
        <v>0</v>
      </c>
      <c r="AN241">
        <v>0</v>
      </c>
      <c r="AO241">
        <v>0</v>
      </c>
      <c r="AP241">
        <v>0</v>
      </c>
      <c r="AQ241">
        <v>0</v>
      </c>
      <c r="AR241">
        <v>0</v>
      </c>
      <c r="AS241">
        <v>0</v>
      </c>
      <c r="AT241">
        <v>0</v>
      </c>
      <c r="AU241">
        <v>0</v>
      </c>
      <c r="AV241">
        <v>0</v>
      </c>
      <c r="AW241">
        <v>0</v>
      </c>
      <c r="AX241" s="141">
        <f t="shared" si="212"/>
        <v>1</v>
      </c>
      <c r="AY241" s="141">
        <f t="shared" si="213"/>
        <v>1</v>
      </c>
      <c r="AZ241">
        <f t="shared" si="214"/>
        <v>0</v>
      </c>
      <c r="BA241">
        <f t="shared" si="215"/>
        <v>0</v>
      </c>
      <c r="BB241">
        <f t="shared" si="216"/>
        <v>1</v>
      </c>
      <c r="BC241">
        <f t="shared" si="217"/>
        <v>0</v>
      </c>
      <c r="BD241">
        <f t="shared" si="218"/>
        <v>0</v>
      </c>
      <c r="BE241" t="str">
        <f t="array" ref="BE241">IF(AY241=1,INDEX($V$7:$AL$7,MATCH(TRUE,INDEX($V241:$AW241&lt;&gt;0,),0)),IF(AY241=0,INDEX($AM$7:$AW$7,MATCH(1,$AM241:$AW241,0)),IF(BF241="Multiple strategies","mixed drivers",IF(BF241="Supply chain","multiple supply","multiple silviculture"))))</f>
        <v>technologies/design switch</v>
      </c>
      <c r="BF241" s="2" t="str" cm="1">
        <f t="array" ref="BF241">IF(COUNTIF(AZ241:BB241,"&lt;&gt;0")=1,INDEX($V$4:$AW$4,MATCH(TRUE,INDEX($V241:$AW241&lt;&gt;0,),0)),IF(COUNTIF(AZ241:BB241,"&lt;&gt;0")=0,INDEX($AM$4:$AW$4,MATCH(1,$AM241:$AW241,0)),"Multiple strategies"))</f>
        <v>Technology</v>
      </c>
      <c r="BG241" s="1" t="s">
        <v>229</v>
      </c>
      <c r="BH241" t="s">
        <v>229</v>
      </c>
      <c r="BI241"/>
      <c r="BJ241" t="s">
        <v>345</v>
      </c>
      <c r="BK241">
        <v>0</v>
      </c>
      <c r="BL241">
        <v>15468</v>
      </c>
      <c r="BM241" s="143"/>
      <c r="BN241">
        <f t="shared" si="219"/>
        <v>15468</v>
      </c>
      <c r="BO241" s="143">
        <f t="shared" si="206"/>
        <v>31.567346938775515</v>
      </c>
      <c r="BP241" t="s">
        <v>232</v>
      </c>
      <c r="BQ241" s="302" t="s">
        <v>1056</v>
      </c>
      <c r="BR241" t="s">
        <v>397</v>
      </c>
      <c r="BS241">
        <v>-7910</v>
      </c>
      <c r="BT241">
        <v>-5130</v>
      </c>
      <c r="BU241" s="144">
        <v>0.64854614412136535</v>
      </c>
      <c r="BV241">
        <v>2780</v>
      </c>
      <c r="BW241"/>
      <c r="BX241">
        <f t="shared" si="208"/>
        <v>2.78</v>
      </c>
      <c r="BY241">
        <f t="shared" si="236"/>
        <v>8.8065683992759228E-2</v>
      </c>
      <c r="BZ241">
        <v>0</v>
      </c>
      <c r="CA241">
        <v>0</v>
      </c>
      <c r="CB241">
        <v>0</v>
      </c>
      <c r="CC241">
        <v>0</v>
      </c>
      <c r="CD241">
        <v>0</v>
      </c>
      <c r="CE241">
        <v>0</v>
      </c>
      <c r="CF241">
        <v>0</v>
      </c>
      <c r="CG241">
        <v>0</v>
      </c>
      <c r="CH241">
        <v>0</v>
      </c>
      <c r="CI241">
        <v>0</v>
      </c>
      <c r="CJ241">
        <v>0</v>
      </c>
      <c r="CK241">
        <v>0</v>
      </c>
      <c r="CL241">
        <v>0</v>
      </c>
      <c r="CM241">
        <v>0</v>
      </c>
      <c r="CN241" t="str">
        <f t="shared" si="209"/>
        <v>refOK</v>
      </c>
      <c r="CO241">
        <f t="shared" si="210"/>
        <v>0</v>
      </c>
      <c r="CP241">
        <f t="shared" si="211"/>
        <v>15468</v>
      </c>
      <c r="CQ241">
        <f t="shared" si="220"/>
        <v>31.567346938775515</v>
      </c>
      <c r="CR241">
        <f t="shared" si="204"/>
        <v>-7910</v>
      </c>
      <c r="CS241">
        <f t="shared" si="205"/>
        <v>-5130</v>
      </c>
      <c r="CT241">
        <f t="shared" si="221"/>
        <v>2.78</v>
      </c>
      <c r="CU241">
        <f t="shared" si="222"/>
        <v>8.8065683992759228E-2</v>
      </c>
      <c r="CV241" s="2">
        <f t="shared" si="223"/>
        <v>0.35145385587863465</v>
      </c>
      <c r="CW241" s="1" t="s">
        <v>1202</v>
      </c>
      <c r="CX241" t="str">
        <f t="shared" si="224"/>
        <v>reg</v>
      </c>
      <c r="CY241" t="s">
        <v>348</v>
      </c>
      <c r="CZ241">
        <v>2014</v>
      </c>
      <c r="DA241">
        <v>2514</v>
      </c>
      <c r="DB241">
        <v>500</v>
      </c>
      <c r="DC241" t="str">
        <f t="shared" si="225"/>
        <v>+100</v>
      </c>
      <c r="DD241">
        <v>0</v>
      </c>
      <c r="DE241">
        <v>0</v>
      </c>
      <c r="DF241">
        <v>0</v>
      </c>
      <c r="DG241">
        <v>1</v>
      </c>
      <c r="DH241"/>
      <c r="DI241">
        <f t="shared" si="226"/>
        <v>1</v>
      </c>
      <c r="DJ241" t="str">
        <f t="shared" si="227"/>
        <v>TimberInput</v>
      </c>
      <c r="DK241">
        <f t="shared" si="228"/>
        <v>0</v>
      </c>
      <c r="DL241">
        <f t="shared" si="229"/>
        <v>0</v>
      </c>
      <c r="DM241">
        <f t="shared" si="230"/>
        <v>0</v>
      </c>
      <c r="DN241" t="str">
        <f t="shared" si="231"/>
        <v>Timber</v>
      </c>
      <c r="DO241">
        <v>0</v>
      </c>
      <c r="DP241">
        <v>0</v>
      </c>
      <c r="DQ241">
        <v>0</v>
      </c>
      <c r="DR241">
        <v>0</v>
      </c>
      <c r="DS241">
        <v>0</v>
      </c>
      <c r="DT241">
        <f t="shared" si="232"/>
        <v>0</v>
      </c>
      <c r="DU241" s="143" t="str">
        <f t="shared" si="233"/>
        <v>explicit C balance</v>
      </c>
      <c r="DV241">
        <v>0</v>
      </c>
      <c r="DW241">
        <v>0</v>
      </c>
      <c r="DX241">
        <v>0</v>
      </c>
      <c r="DY241">
        <v>0</v>
      </c>
      <c r="DZ241">
        <v>0</v>
      </c>
      <c r="EA241" s="143">
        <v>1</v>
      </c>
      <c r="EB241">
        <v>0</v>
      </c>
      <c r="EC241">
        <v>1</v>
      </c>
      <c r="ED241">
        <v>1</v>
      </c>
      <c r="EE241">
        <v>1</v>
      </c>
      <c r="EF241">
        <v>0</v>
      </c>
      <c r="EG241">
        <v>0</v>
      </c>
      <c r="EH241">
        <v>0</v>
      </c>
      <c r="EI241" s="2">
        <v>0</v>
      </c>
      <c r="EJ241" s="1"/>
      <c r="EK241" t="str">
        <f t="shared" si="234"/>
        <v/>
      </c>
      <c r="EL241" t="str">
        <f t="shared" si="235"/>
        <v/>
      </c>
      <c r="EM241" s="2" t="str">
        <f t="shared" si="237"/>
        <v>Technology approach</v>
      </c>
      <c r="EN241"/>
      <c r="EO241"/>
      <c r="EP241" t="str">
        <f>IF(ISNUMBER(BU241),IF(ABS(BU241-[3]QC_indicators!$B$2)&gt;3*[3]QC_indicators!$C$2,"C ratio",IF(ISNUMBER(BY241),IF(ABS(BY241-[3]QC_indicators!$B$1)&gt;3*[3]QC_indicators!$C$1,"DF","no"))),IF(ISNUMBER(BY241),IF(ABS(BY241-[3]QC_indicators!$B$1)&gt;3*[3]QC_indicators!$C$1,"DF","no")))</f>
        <v>no</v>
      </c>
      <c r="EQ241"/>
      <c r="ER241" s="149" t="s">
        <v>349</v>
      </c>
      <c r="ES241"/>
      <c r="ET241" s="264" t="s">
        <v>3272</v>
      </c>
      <c r="EU241"/>
    </row>
    <row r="242" spans="1:151" s="139" customFormat="1" ht="15" hidden="1" customHeight="1">
      <c r="A242" s="1" t="s">
        <v>1232</v>
      </c>
      <c r="B242" t="s">
        <v>1233</v>
      </c>
      <c r="C242" t="s">
        <v>1234</v>
      </c>
      <c r="D242" t="s">
        <v>336</v>
      </c>
      <c r="E242" t="s">
        <v>1235</v>
      </c>
      <c r="F242" t="s">
        <v>1236</v>
      </c>
      <c r="G242" t="s">
        <v>1237</v>
      </c>
      <c r="H242"/>
      <c r="I242">
        <v>2018</v>
      </c>
      <c r="J242"/>
      <c r="K242" t="s">
        <v>1238</v>
      </c>
      <c r="L242"/>
      <c r="M242" t="str">
        <f t="shared" si="161"/>
        <v>Balasbaneh_2018</v>
      </c>
      <c r="N242" t="s">
        <v>222</v>
      </c>
      <c r="O242" s="140" t="s">
        <v>513</v>
      </c>
      <c r="P242"/>
      <c r="Q242" t="s">
        <v>224</v>
      </c>
      <c r="R242" s="262" t="s">
        <v>223</v>
      </c>
      <c r="S242" s="1" t="s">
        <v>1240</v>
      </c>
      <c r="T242" s="264" t="s">
        <v>3112</v>
      </c>
      <c r="U242" s="264" t="s">
        <v>3110</v>
      </c>
      <c r="V242">
        <v>0</v>
      </c>
      <c r="W242">
        <v>0</v>
      </c>
      <c r="X242">
        <v>0</v>
      </c>
      <c r="Y242">
        <v>0</v>
      </c>
      <c r="Z242">
        <v>0</v>
      </c>
      <c r="AA242">
        <v>0</v>
      </c>
      <c r="AB242">
        <v>0</v>
      </c>
      <c r="AC242">
        <v>0</v>
      </c>
      <c r="AD242">
        <v>0</v>
      </c>
      <c r="AE242">
        <v>0</v>
      </c>
      <c r="AF242">
        <v>0</v>
      </c>
      <c r="AG242">
        <v>0</v>
      </c>
      <c r="AH242">
        <v>0</v>
      </c>
      <c r="AI242">
        <v>0</v>
      </c>
      <c r="AJ242">
        <v>0</v>
      </c>
      <c r="AK242">
        <v>1</v>
      </c>
      <c r="AL242">
        <v>0</v>
      </c>
      <c r="AM242">
        <v>0</v>
      </c>
      <c r="AN242">
        <v>0</v>
      </c>
      <c r="AO242">
        <v>0</v>
      </c>
      <c r="AP242">
        <v>0</v>
      </c>
      <c r="AQ242">
        <v>0</v>
      </c>
      <c r="AR242">
        <v>0</v>
      </c>
      <c r="AS242">
        <v>0</v>
      </c>
      <c r="AT242">
        <v>0</v>
      </c>
      <c r="AU242">
        <v>0</v>
      </c>
      <c r="AV242">
        <v>0</v>
      </c>
      <c r="AW242">
        <v>0</v>
      </c>
      <c r="AX242" s="141">
        <f t="shared" si="212"/>
        <v>1</v>
      </c>
      <c r="AY242" s="141">
        <f t="shared" si="213"/>
        <v>1</v>
      </c>
      <c r="AZ242">
        <f t="shared" si="214"/>
        <v>0</v>
      </c>
      <c r="BA242">
        <f t="shared" si="215"/>
        <v>0</v>
      </c>
      <c r="BB242">
        <f t="shared" si="216"/>
        <v>1</v>
      </c>
      <c r="BC242">
        <f t="shared" si="217"/>
        <v>0</v>
      </c>
      <c r="BD242">
        <f t="shared" si="218"/>
        <v>0</v>
      </c>
      <c r="BE242" t="str">
        <f t="array" ref="BE242">IF(AY242=1,INDEX($V$7:$AL$7,MATCH(TRUE,INDEX($V242:$AW242&lt;&gt;0,),0)),IF(AY242=0,INDEX($AM$7:$AW$7,MATCH(1,$AM242:$AW242,0)),IF(BF242="Multiple strategies","mixed drivers",IF(BF242="Supply chain","multiple supply","multiple silviculture"))))</f>
        <v>technologies/design switch</v>
      </c>
      <c r="BF242" s="2" t="str" cm="1">
        <f t="array" ref="BF242">IF(COUNTIF(AZ242:BB242,"&lt;&gt;0")=1,INDEX($V$4:$AW$4,MATCH(TRUE,INDEX($V242:$AW242&lt;&gt;0,),0)),IF(COUNTIF(AZ242:BB242,"&lt;&gt;0")=0,INDEX($AM$4:$AW$4,MATCH(1,$AM242:$AW242,0)),"Multiple strategies"))</f>
        <v>Technology</v>
      </c>
      <c r="BG242" s="1" t="s">
        <v>229</v>
      </c>
      <c r="BH242" t="s">
        <v>229</v>
      </c>
      <c r="BI242"/>
      <c r="BJ242" t="s">
        <v>345</v>
      </c>
      <c r="BK242">
        <v>0</v>
      </c>
      <c r="BL242">
        <v>15468</v>
      </c>
      <c r="BM242" s="143"/>
      <c r="BN242">
        <f t="shared" si="219"/>
        <v>15468</v>
      </c>
      <c r="BO242" s="143">
        <f t="shared" si="206"/>
        <v>31.567346938775515</v>
      </c>
      <c r="BP242" t="s">
        <v>232</v>
      </c>
      <c r="BQ242" s="302" t="s">
        <v>1056</v>
      </c>
      <c r="BR242" t="s">
        <v>397</v>
      </c>
      <c r="BS242">
        <v>-8200</v>
      </c>
      <c r="BT242">
        <v>-5370</v>
      </c>
      <c r="BU242" s="144">
        <v>0.65487804878048783</v>
      </c>
      <c r="BV242">
        <v>2830</v>
      </c>
      <c r="BW242"/>
      <c r="BX242">
        <f t="shared" si="208"/>
        <v>2.83</v>
      </c>
      <c r="BY242">
        <f t="shared" si="236"/>
        <v>8.964959917248512E-2</v>
      </c>
      <c r="BZ242">
        <v>0</v>
      </c>
      <c r="CA242">
        <v>0</v>
      </c>
      <c r="CB242">
        <v>0</v>
      </c>
      <c r="CC242">
        <v>0</v>
      </c>
      <c r="CD242">
        <v>0</v>
      </c>
      <c r="CE242">
        <v>0</v>
      </c>
      <c r="CF242">
        <v>0</v>
      </c>
      <c r="CG242">
        <v>0</v>
      </c>
      <c r="CH242">
        <v>0</v>
      </c>
      <c r="CI242">
        <v>0</v>
      </c>
      <c r="CJ242">
        <v>0</v>
      </c>
      <c r="CK242">
        <v>0</v>
      </c>
      <c r="CL242">
        <v>0</v>
      </c>
      <c r="CM242">
        <v>0</v>
      </c>
      <c r="CN242" t="str">
        <f t="shared" si="209"/>
        <v>refOK</v>
      </c>
      <c r="CO242">
        <f t="shared" si="210"/>
        <v>0</v>
      </c>
      <c r="CP242">
        <f t="shared" si="211"/>
        <v>15468</v>
      </c>
      <c r="CQ242">
        <f t="shared" si="220"/>
        <v>31.567346938775515</v>
      </c>
      <c r="CR242">
        <f t="shared" si="204"/>
        <v>-8200</v>
      </c>
      <c r="CS242">
        <f t="shared" si="205"/>
        <v>-5370</v>
      </c>
      <c r="CT242">
        <f t="shared" si="221"/>
        <v>2.83</v>
      </c>
      <c r="CU242">
        <f t="shared" si="222"/>
        <v>8.964959917248512E-2</v>
      </c>
      <c r="CV242" s="2">
        <f t="shared" si="223"/>
        <v>0.34512195121951217</v>
      </c>
      <c r="CW242" s="1" t="s">
        <v>1202</v>
      </c>
      <c r="CX242" t="str">
        <f t="shared" si="224"/>
        <v>reg</v>
      </c>
      <c r="CY242" t="s">
        <v>348</v>
      </c>
      <c r="CZ242">
        <v>2014</v>
      </c>
      <c r="DA242">
        <v>2114</v>
      </c>
      <c r="DB242">
        <v>100</v>
      </c>
      <c r="DC242" t="str">
        <f t="shared" si="225"/>
        <v>71-100</v>
      </c>
      <c r="DD242">
        <v>0</v>
      </c>
      <c r="DE242">
        <v>0</v>
      </c>
      <c r="DF242">
        <v>0</v>
      </c>
      <c r="DG242">
        <v>1</v>
      </c>
      <c r="DH242"/>
      <c r="DI242">
        <f t="shared" si="226"/>
        <v>1</v>
      </c>
      <c r="DJ242" t="str">
        <f t="shared" si="227"/>
        <v>TimberInput</v>
      </c>
      <c r="DK242">
        <f t="shared" si="228"/>
        <v>0</v>
      </c>
      <c r="DL242">
        <f t="shared" si="229"/>
        <v>0</v>
      </c>
      <c r="DM242">
        <f t="shared" si="230"/>
        <v>0</v>
      </c>
      <c r="DN242" t="str">
        <f t="shared" si="231"/>
        <v>Timber</v>
      </c>
      <c r="DO242">
        <v>0</v>
      </c>
      <c r="DP242">
        <v>0</v>
      </c>
      <c r="DQ242">
        <v>0</v>
      </c>
      <c r="DR242">
        <v>0</v>
      </c>
      <c r="DS242">
        <v>0</v>
      </c>
      <c r="DT242">
        <f t="shared" si="232"/>
        <v>0</v>
      </c>
      <c r="DU242" s="143" t="str">
        <f t="shared" si="233"/>
        <v>explicit C balance</v>
      </c>
      <c r="DV242">
        <v>0</v>
      </c>
      <c r="DW242">
        <v>0</v>
      </c>
      <c r="DX242">
        <v>0</v>
      </c>
      <c r="DY242">
        <v>0</v>
      </c>
      <c r="DZ242">
        <v>0</v>
      </c>
      <c r="EA242" s="143">
        <v>1</v>
      </c>
      <c r="EB242">
        <v>0</v>
      </c>
      <c r="EC242">
        <v>1</v>
      </c>
      <c r="ED242">
        <v>1</v>
      </c>
      <c r="EE242">
        <v>1</v>
      </c>
      <c r="EF242">
        <v>0</v>
      </c>
      <c r="EG242">
        <v>0</v>
      </c>
      <c r="EH242">
        <v>0</v>
      </c>
      <c r="EI242" s="2">
        <v>0</v>
      </c>
      <c r="EJ242" s="1"/>
      <c r="EK242" t="str">
        <f t="shared" si="234"/>
        <v/>
      </c>
      <c r="EL242" t="str">
        <f t="shared" si="235"/>
        <v/>
      </c>
      <c r="EM242" s="2" t="str">
        <f t="shared" si="237"/>
        <v>Technology approach</v>
      </c>
      <c r="EN242"/>
      <c r="EO242"/>
      <c r="EP242" t="str">
        <f>IF(ISNUMBER(BU242),IF(ABS(BU242-[3]QC_indicators!$B$2)&gt;3*[3]QC_indicators!$C$2,"C ratio",IF(ISNUMBER(BY242),IF(ABS(BY242-[3]QC_indicators!$B$1)&gt;3*[3]QC_indicators!$C$1,"DF","no"))),IF(ISNUMBER(BY242),IF(ABS(BY242-[3]QC_indicators!$B$1)&gt;3*[3]QC_indicators!$C$1,"DF","no")))</f>
        <v>no</v>
      </c>
      <c r="EQ242"/>
      <c r="ER242" s="149" t="s">
        <v>349</v>
      </c>
      <c r="ES242"/>
      <c r="ET242" s="264" t="s">
        <v>3272</v>
      </c>
      <c r="EU242"/>
    </row>
    <row r="243" spans="1:151" s="139" customFormat="1" ht="15" hidden="1" customHeight="1">
      <c r="A243" s="1" t="s">
        <v>1232</v>
      </c>
      <c r="B243" t="s">
        <v>1233</v>
      </c>
      <c r="C243" t="s">
        <v>1234</v>
      </c>
      <c r="D243" t="s">
        <v>336</v>
      </c>
      <c r="E243" t="s">
        <v>1235</v>
      </c>
      <c r="F243" t="s">
        <v>1236</v>
      </c>
      <c r="G243" t="s">
        <v>1237</v>
      </c>
      <c r="H243"/>
      <c r="I243">
        <v>2018</v>
      </c>
      <c r="J243"/>
      <c r="K243" t="s">
        <v>1238</v>
      </c>
      <c r="L243"/>
      <c r="M243" t="str">
        <f t="shared" si="161"/>
        <v>Balasbaneh_2018</v>
      </c>
      <c r="N243" t="s">
        <v>222</v>
      </c>
      <c r="O243" s="140" t="s">
        <v>513</v>
      </c>
      <c r="P243"/>
      <c r="Q243" t="s">
        <v>224</v>
      </c>
      <c r="R243" s="262" t="s">
        <v>223</v>
      </c>
      <c r="S243" s="1" t="s">
        <v>1241</v>
      </c>
      <c r="T243" s="264" t="s">
        <v>3112</v>
      </c>
      <c r="U243" s="264" t="s">
        <v>3110</v>
      </c>
      <c r="V243">
        <v>0</v>
      </c>
      <c r="W243">
        <v>0</v>
      </c>
      <c r="X243">
        <v>0</v>
      </c>
      <c r="Y243">
        <v>0</v>
      </c>
      <c r="Z243">
        <v>0</v>
      </c>
      <c r="AA243">
        <v>0</v>
      </c>
      <c r="AB243">
        <v>0</v>
      </c>
      <c r="AC243">
        <v>0</v>
      </c>
      <c r="AD243">
        <v>0</v>
      </c>
      <c r="AE243">
        <v>0</v>
      </c>
      <c r="AF243">
        <v>0</v>
      </c>
      <c r="AG243">
        <v>0</v>
      </c>
      <c r="AH243">
        <v>0</v>
      </c>
      <c r="AI243">
        <v>0</v>
      </c>
      <c r="AJ243">
        <v>0</v>
      </c>
      <c r="AK243">
        <v>1</v>
      </c>
      <c r="AL243">
        <v>0</v>
      </c>
      <c r="AM243">
        <v>0</v>
      </c>
      <c r="AN243">
        <v>0</v>
      </c>
      <c r="AO243">
        <v>0</v>
      </c>
      <c r="AP243">
        <v>0</v>
      </c>
      <c r="AQ243">
        <v>0</v>
      </c>
      <c r="AR243">
        <v>0</v>
      </c>
      <c r="AS243">
        <v>0</v>
      </c>
      <c r="AT243">
        <v>0</v>
      </c>
      <c r="AU243">
        <v>0</v>
      </c>
      <c r="AV243">
        <v>0</v>
      </c>
      <c r="AW243">
        <v>0</v>
      </c>
      <c r="AX243" s="141">
        <f t="shared" si="212"/>
        <v>1</v>
      </c>
      <c r="AY243" s="141">
        <f t="shared" si="213"/>
        <v>1</v>
      </c>
      <c r="AZ243">
        <f t="shared" si="214"/>
        <v>0</v>
      </c>
      <c r="BA243">
        <f t="shared" si="215"/>
        <v>0</v>
      </c>
      <c r="BB243">
        <f t="shared" si="216"/>
        <v>1</v>
      </c>
      <c r="BC243">
        <f t="shared" si="217"/>
        <v>0</v>
      </c>
      <c r="BD243">
        <f t="shared" si="218"/>
        <v>0</v>
      </c>
      <c r="BE243" t="str">
        <f t="array" ref="BE243">IF(AY243=1,INDEX($V$7:$AL$7,MATCH(TRUE,INDEX($V243:$AW243&lt;&gt;0,),0)),IF(AY243=0,INDEX($AM$7:$AW$7,MATCH(1,$AM243:$AW243,0)),IF(BF243="Multiple strategies","mixed drivers",IF(BF243="Supply chain","multiple supply","multiple silviculture"))))</f>
        <v>technologies/design switch</v>
      </c>
      <c r="BF243" s="2" t="str" cm="1">
        <f t="array" ref="BF243">IF(COUNTIF(AZ243:BB243,"&lt;&gt;0")=1,INDEX($V$4:$AW$4,MATCH(TRUE,INDEX($V243:$AW243&lt;&gt;0,),0)),IF(COUNTIF(AZ243:BB243,"&lt;&gt;0")=0,INDEX($AM$4:$AW$4,MATCH(1,$AM243:$AW243,0)),"Multiple strategies"))</f>
        <v>Technology</v>
      </c>
      <c r="BG243" s="1" t="s">
        <v>229</v>
      </c>
      <c r="BH243" t="s">
        <v>229</v>
      </c>
      <c r="BI243"/>
      <c r="BJ243" t="s">
        <v>345</v>
      </c>
      <c r="BK243">
        <v>0</v>
      </c>
      <c r="BL243">
        <v>15468</v>
      </c>
      <c r="BM243" s="143"/>
      <c r="BN243">
        <f t="shared" si="219"/>
        <v>15468</v>
      </c>
      <c r="BO243" s="143">
        <f t="shared" si="206"/>
        <v>31.567346938775515</v>
      </c>
      <c r="BP243" t="s">
        <v>232</v>
      </c>
      <c r="BQ243" s="302" t="s">
        <v>1056</v>
      </c>
      <c r="BR243" t="s">
        <v>397</v>
      </c>
      <c r="BS243">
        <v>-8790</v>
      </c>
      <c r="BT243">
        <v>-5840</v>
      </c>
      <c r="BU243" s="144">
        <v>0.664391353811149</v>
      </c>
      <c r="BV243">
        <v>2950</v>
      </c>
      <c r="BW243"/>
      <c r="BX243">
        <f t="shared" si="208"/>
        <v>2.95</v>
      </c>
      <c r="BY243">
        <f t="shared" si="236"/>
        <v>9.3450995603827247E-2</v>
      </c>
      <c r="BZ243">
        <v>0</v>
      </c>
      <c r="CA243">
        <v>0</v>
      </c>
      <c r="CB243">
        <v>0</v>
      </c>
      <c r="CC243">
        <v>0</v>
      </c>
      <c r="CD243">
        <v>0</v>
      </c>
      <c r="CE243">
        <v>0</v>
      </c>
      <c r="CF243">
        <v>0</v>
      </c>
      <c r="CG243">
        <v>0</v>
      </c>
      <c r="CH243">
        <v>0</v>
      </c>
      <c r="CI243">
        <v>0</v>
      </c>
      <c r="CJ243">
        <v>0</v>
      </c>
      <c r="CK243">
        <v>0</v>
      </c>
      <c r="CL243">
        <v>0</v>
      </c>
      <c r="CM243">
        <v>0</v>
      </c>
      <c r="CN243" t="str">
        <f t="shared" si="209"/>
        <v>refOK</v>
      </c>
      <c r="CO243">
        <f t="shared" si="210"/>
        <v>0</v>
      </c>
      <c r="CP243">
        <f t="shared" si="211"/>
        <v>15468</v>
      </c>
      <c r="CQ243">
        <f t="shared" si="220"/>
        <v>31.567346938775515</v>
      </c>
      <c r="CR243">
        <f t="shared" si="204"/>
        <v>-8790</v>
      </c>
      <c r="CS243">
        <f t="shared" si="205"/>
        <v>-5840</v>
      </c>
      <c r="CT243">
        <f t="shared" si="221"/>
        <v>2.95</v>
      </c>
      <c r="CU243">
        <f t="shared" si="222"/>
        <v>9.3450995603827247E-2</v>
      </c>
      <c r="CV243" s="2">
        <f t="shared" si="223"/>
        <v>0.33560864618885095</v>
      </c>
      <c r="CW243" s="1" t="s">
        <v>1202</v>
      </c>
      <c r="CX243" t="str">
        <f t="shared" si="224"/>
        <v>reg</v>
      </c>
      <c r="CY243" t="s">
        <v>348</v>
      </c>
      <c r="CZ243">
        <v>2014</v>
      </c>
      <c r="DA243">
        <v>2034</v>
      </c>
      <c r="DB243">
        <v>20</v>
      </c>
      <c r="DC243" t="str">
        <f t="shared" si="225"/>
        <v>1-30</v>
      </c>
      <c r="DD243">
        <v>0</v>
      </c>
      <c r="DE243">
        <v>0</v>
      </c>
      <c r="DF243">
        <v>0</v>
      </c>
      <c r="DG243">
        <v>1</v>
      </c>
      <c r="DH243"/>
      <c r="DI243">
        <f t="shared" si="226"/>
        <v>1</v>
      </c>
      <c r="DJ243" t="str">
        <f t="shared" si="227"/>
        <v>TimberInput</v>
      </c>
      <c r="DK243">
        <f t="shared" si="228"/>
        <v>0</v>
      </c>
      <c r="DL243">
        <f t="shared" si="229"/>
        <v>0</v>
      </c>
      <c r="DM243">
        <f t="shared" si="230"/>
        <v>0</v>
      </c>
      <c r="DN243" t="str">
        <f t="shared" si="231"/>
        <v>Timber</v>
      </c>
      <c r="DO243">
        <v>0</v>
      </c>
      <c r="DP243">
        <v>0</v>
      </c>
      <c r="DQ243">
        <v>0</v>
      </c>
      <c r="DR243">
        <v>0</v>
      </c>
      <c r="DS243">
        <v>0</v>
      </c>
      <c r="DT243">
        <f t="shared" si="232"/>
        <v>0</v>
      </c>
      <c r="DU243" s="143" t="str">
        <f t="shared" si="233"/>
        <v>explicit C balance</v>
      </c>
      <c r="DV243">
        <v>0</v>
      </c>
      <c r="DW243">
        <v>0</v>
      </c>
      <c r="DX243">
        <v>0</v>
      </c>
      <c r="DY243">
        <v>0</v>
      </c>
      <c r="DZ243">
        <v>0</v>
      </c>
      <c r="EA243" s="143">
        <v>1</v>
      </c>
      <c r="EB243">
        <v>0</v>
      </c>
      <c r="EC243">
        <v>1</v>
      </c>
      <c r="ED243">
        <v>1</v>
      </c>
      <c r="EE243">
        <v>1</v>
      </c>
      <c r="EF243">
        <v>0</v>
      </c>
      <c r="EG243">
        <v>0</v>
      </c>
      <c r="EH243">
        <v>0</v>
      </c>
      <c r="EI243" s="2">
        <v>0</v>
      </c>
      <c r="EJ243" s="1"/>
      <c r="EK243" t="str">
        <f t="shared" si="234"/>
        <v/>
      </c>
      <c r="EL243" t="str">
        <f t="shared" si="235"/>
        <v/>
      </c>
      <c r="EM243" s="2" t="str">
        <f t="shared" si="237"/>
        <v>Technology approach</v>
      </c>
      <c r="EN243"/>
      <c r="EO243"/>
      <c r="EP243" t="str">
        <f>IF(ISNUMBER(BU243),IF(ABS(BU243-[3]QC_indicators!$B$2)&gt;3*[3]QC_indicators!$C$2,"C ratio",IF(ISNUMBER(BY243),IF(ABS(BY243-[3]QC_indicators!$B$1)&gt;3*[3]QC_indicators!$C$1,"DF","no"))),IF(ISNUMBER(BY243),IF(ABS(BY243-[3]QC_indicators!$B$1)&gt;3*[3]QC_indicators!$C$1,"DF","no")))</f>
        <v>no</v>
      </c>
      <c r="EQ243"/>
      <c r="ER243" s="149" t="s">
        <v>349</v>
      </c>
      <c r="ES243"/>
      <c r="ET243" s="264" t="s">
        <v>3272</v>
      </c>
      <c r="EU243"/>
    </row>
    <row r="244" spans="1:151" s="139" customFormat="1" ht="15" hidden="1" customHeight="1">
      <c r="A244" s="1" t="s">
        <v>1232</v>
      </c>
      <c r="B244" t="s">
        <v>1233</v>
      </c>
      <c r="C244" t="s">
        <v>1234</v>
      </c>
      <c r="D244" t="s">
        <v>336</v>
      </c>
      <c r="E244" t="s">
        <v>1235</v>
      </c>
      <c r="F244" t="s">
        <v>1236</v>
      </c>
      <c r="G244" t="s">
        <v>1237</v>
      </c>
      <c r="H244"/>
      <c r="I244">
        <v>2018</v>
      </c>
      <c r="J244"/>
      <c r="K244" t="s">
        <v>1238</v>
      </c>
      <c r="L244"/>
      <c r="M244" t="str">
        <f t="shared" si="161"/>
        <v>Balasbaneh_2018</v>
      </c>
      <c r="N244" t="s">
        <v>222</v>
      </c>
      <c r="O244" s="140" t="s">
        <v>513</v>
      </c>
      <c r="P244"/>
      <c r="Q244" t="s">
        <v>224</v>
      </c>
      <c r="R244" s="262" t="s">
        <v>223</v>
      </c>
      <c r="S244" s="1" t="s">
        <v>1242</v>
      </c>
      <c r="T244" s="264" t="s">
        <v>3113</v>
      </c>
      <c r="U244" s="264" t="s">
        <v>3110</v>
      </c>
      <c r="V244">
        <v>0</v>
      </c>
      <c r="W244">
        <v>0</v>
      </c>
      <c r="X244">
        <v>0</v>
      </c>
      <c r="Y244">
        <v>0</v>
      </c>
      <c r="Z244">
        <v>0</v>
      </c>
      <c r="AA244">
        <v>0</v>
      </c>
      <c r="AB244">
        <v>0</v>
      </c>
      <c r="AC244">
        <v>0</v>
      </c>
      <c r="AD244">
        <v>0</v>
      </c>
      <c r="AE244">
        <v>0</v>
      </c>
      <c r="AF244">
        <v>0</v>
      </c>
      <c r="AG244">
        <v>0</v>
      </c>
      <c r="AH244">
        <v>0</v>
      </c>
      <c r="AI244">
        <v>0</v>
      </c>
      <c r="AJ244">
        <v>0</v>
      </c>
      <c r="AK244">
        <v>1</v>
      </c>
      <c r="AL244">
        <v>0</v>
      </c>
      <c r="AM244">
        <v>0</v>
      </c>
      <c r="AN244">
        <v>0</v>
      </c>
      <c r="AO244">
        <v>0</v>
      </c>
      <c r="AP244">
        <v>0</v>
      </c>
      <c r="AQ244">
        <v>0</v>
      </c>
      <c r="AR244">
        <v>0</v>
      </c>
      <c r="AS244">
        <v>0</v>
      </c>
      <c r="AT244">
        <v>0</v>
      </c>
      <c r="AU244">
        <v>0</v>
      </c>
      <c r="AV244">
        <v>0</v>
      </c>
      <c r="AW244">
        <v>0</v>
      </c>
      <c r="AX244" s="141">
        <f t="shared" si="212"/>
        <v>1</v>
      </c>
      <c r="AY244" s="141">
        <f t="shared" si="213"/>
        <v>1</v>
      </c>
      <c r="AZ244">
        <f t="shared" si="214"/>
        <v>0</v>
      </c>
      <c r="BA244">
        <f t="shared" si="215"/>
        <v>0</v>
      </c>
      <c r="BB244">
        <f t="shared" si="216"/>
        <v>1</v>
      </c>
      <c r="BC244">
        <f t="shared" si="217"/>
        <v>0</v>
      </c>
      <c r="BD244">
        <f t="shared" si="218"/>
        <v>0</v>
      </c>
      <c r="BE244" t="str">
        <f t="array" ref="BE244">IF(AY244=1,INDEX($V$7:$AL$7,MATCH(TRUE,INDEX($V244:$AW244&lt;&gt;0,),0)),IF(AY244=0,INDEX($AM$7:$AW$7,MATCH(1,$AM244:$AW244,0)),IF(BF244="Multiple strategies","mixed drivers",IF(BF244="Supply chain","multiple supply","multiple silviculture"))))</f>
        <v>technologies/design switch</v>
      </c>
      <c r="BF244" s="2" t="str" cm="1">
        <f t="array" ref="BF244">IF(COUNTIF(AZ244:BB244,"&lt;&gt;0")=1,INDEX($V$4:$AW$4,MATCH(TRUE,INDEX($V244:$AW244&lt;&gt;0,),0)),IF(COUNTIF(AZ244:BB244,"&lt;&gt;0")=0,INDEX($AM$4:$AW$4,MATCH(1,$AM244:$AW244,0)),"Multiple strategies"))</f>
        <v>Technology</v>
      </c>
      <c r="BG244" s="1" t="s">
        <v>229</v>
      </c>
      <c r="BH244" t="s">
        <v>229</v>
      </c>
      <c r="BI244"/>
      <c r="BJ244" t="s">
        <v>345</v>
      </c>
      <c r="BK244">
        <v>0</v>
      </c>
      <c r="BL244">
        <v>15468</v>
      </c>
      <c r="BM244" s="143"/>
      <c r="BN244">
        <f t="shared" si="219"/>
        <v>15468</v>
      </c>
      <c r="BO244" s="143">
        <f t="shared" si="206"/>
        <v>31.567346938775515</v>
      </c>
      <c r="BP244" t="s">
        <v>232</v>
      </c>
      <c r="BQ244" s="302" t="s">
        <v>1056</v>
      </c>
      <c r="BR244" t="s">
        <v>397</v>
      </c>
      <c r="BS244">
        <v>-8660</v>
      </c>
      <c r="BT244">
        <v>-5130</v>
      </c>
      <c r="BU244" s="144">
        <v>0.59237875288683606</v>
      </c>
      <c r="BV244">
        <v>3530</v>
      </c>
      <c r="BW244"/>
      <c r="BX244">
        <f t="shared" si="208"/>
        <v>3.53</v>
      </c>
      <c r="BY244">
        <f t="shared" si="236"/>
        <v>0.11182441168864751</v>
      </c>
      <c r="BZ244">
        <v>0</v>
      </c>
      <c r="CA244">
        <v>0</v>
      </c>
      <c r="CB244">
        <v>0</v>
      </c>
      <c r="CC244">
        <v>0</v>
      </c>
      <c r="CD244">
        <v>0</v>
      </c>
      <c r="CE244">
        <v>0</v>
      </c>
      <c r="CF244">
        <v>0</v>
      </c>
      <c r="CG244">
        <v>0</v>
      </c>
      <c r="CH244">
        <v>0</v>
      </c>
      <c r="CI244">
        <v>0</v>
      </c>
      <c r="CJ244">
        <v>0</v>
      </c>
      <c r="CK244">
        <v>0</v>
      </c>
      <c r="CL244">
        <v>0</v>
      </c>
      <c r="CM244">
        <v>0</v>
      </c>
      <c r="CN244" t="str">
        <f t="shared" si="209"/>
        <v>refOK</v>
      </c>
      <c r="CO244">
        <f t="shared" si="210"/>
        <v>0</v>
      </c>
      <c r="CP244">
        <f t="shared" si="211"/>
        <v>15468</v>
      </c>
      <c r="CQ244">
        <f t="shared" si="220"/>
        <v>31.567346938775515</v>
      </c>
      <c r="CR244">
        <f t="shared" ref="CR244:CR272" si="238">IF($CN244="refOK",$BS244,$BT244)*IF($BP244="Emissions positive",-1,1)</f>
        <v>-8660</v>
      </c>
      <c r="CS244">
        <f t="shared" ref="CS244:CS272" si="239">IF($CN244="refOK",$BT244,$BS244)*IF($BP244="Emissions positive",-1,1)</f>
        <v>-5130</v>
      </c>
      <c r="CT244">
        <f t="shared" si="221"/>
        <v>3.53</v>
      </c>
      <c r="CU244">
        <f t="shared" si="222"/>
        <v>0.11182441168864751</v>
      </c>
      <c r="CV244" s="2">
        <f t="shared" si="223"/>
        <v>0.407621247113164</v>
      </c>
      <c r="CW244" s="1" t="s">
        <v>1202</v>
      </c>
      <c r="CX244" t="str">
        <f t="shared" si="224"/>
        <v>reg</v>
      </c>
      <c r="CY244" t="s">
        <v>348</v>
      </c>
      <c r="CZ244">
        <v>2014</v>
      </c>
      <c r="DA244">
        <v>2514</v>
      </c>
      <c r="DB244">
        <v>500</v>
      </c>
      <c r="DC244" t="str">
        <f t="shared" si="225"/>
        <v>+100</v>
      </c>
      <c r="DD244">
        <v>0</v>
      </c>
      <c r="DE244">
        <v>0</v>
      </c>
      <c r="DF244">
        <v>0</v>
      </c>
      <c r="DG244">
        <v>1</v>
      </c>
      <c r="DH244"/>
      <c r="DI244">
        <f t="shared" si="226"/>
        <v>1</v>
      </c>
      <c r="DJ244" t="str">
        <f t="shared" si="227"/>
        <v>TimberInput</v>
      </c>
      <c r="DK244">
        <f t="shared" si="228"/>
        <v>0</v>
      </c>
      <c r="DL244">
        <f t="shared" si="229"/>
        <v>0</v>
      </c>
      <c r="DM244">
        <f t="shared" si="230"/>
        <v>0</v>
      </c>
      <c r="DN244" t="str">
        <f t="shared" si="231"/>
        <v>Timber</v>
      </c>
      <c r="DO244">
        <v>0</v>
      </c>
      <c r="DP244">
        <v>0</v>
      </c>
      <c r="DQ244">
        <v>0</v>
      </c>
      <c r="DR244">
        <v>0</v>
      </c>
      <c r="DS244">
        <v>0</v>
      </c>
      <c r="DT244">
        <f t="shared" si="232"/>
        <v>0</v>
      </c>
      <c r="DU244" s="143" t="str">
        <f t="shared" si="233"/>
        <v>explicit C balance</v>
      </c>
      <c r="DV244">
        <v>0</v>
      </c>
      <c r="DW244">
        <v>0</v>
      </c>
      <c r="DX244">
        <v>0</v>
      </c>
      <c r="DY244">
        <v>0</v>
      </c>
      <c r="DZ244">
        <v>0</v>
      </c>
      <c r="EA244" s="143">
        <v>1</v>
      </c>
      <c r="EB244">
        <v>0</v>
      </c>
      <c r="EC244">
        <v>1</v>
      </c>
      <c r="ED244">
        <v>1</v>
      </c>
      <c r="EE244">
        <v>1</v>
      </c>
      <c r="EF244">
        <v>0</v>
      </c>
      <c r="EG244">
        <v>0</v>
      </c>
      <c r="EH244">
        <v>0</v>
      </c>
      <c r="EI244" s="2">
        <v>0</v>
      </c>
      <c r="EJ244" s="1"/>
      <c r="EK244" t="str">
        <f t="shared" si="234"/>
        <v/>
      </c>
      <c r="EL244" t="str">
        <f t="shared" si="235"/>
        <v/>
      </c>
      <c r="EM244" s="2" t="str">
        <f t="shared" si="237"/>
        <v>Technology approach</v>
      </c>
      <c r="EN244"/>
      <c r="EO244"/>
      <c r="EP244" t="str">
        <f>IF(ISNUMBER(BU244),IF(ABS(BU244-[3]QC_indicators!$B$2)&gt;3*[3]QC_indicators!$C$2,"C ratio",IF(ISNUMBER(BY244),IF(ABS(BY244-[3]QC_indicators!$B$1)&gt;3*[3]QC_indicators!$C$1,"DF","no"))),IF(ISNUMBER(BY244),IF(ABS(BY244-[3]QC_indicators!$B$1)&gt;3*[3]QC_indicators!$C$1,"DF","no")))</f>
        <v>no</v>
      </c>
      <c r="EQ244"/>
      <c r="ER244" s="149" t="s">
        <v>349</v>
      </c>
      <c r="ES244"/>
      <c r="ET244" s="264" t="s">
        <v>3272</v>
      </c>
      <c r="EU244"/>
    </row>
    <row r="245" spans="1:151" s="139" customFormat="1" ht="15" hidden="1" customHeight="1">
      <c r="A245" s="1" t="s">
        <v>1232</v>
      </c>
      <c r="B245" t="s">
        <v>1233</v>
      </c>
      <c r="C245" t="s">
        <v>1234</v>
      </c>
      <c r="D245" t="s">
        <v>336</v>
      </c>
      <c r="E245" t="s">
        <v>1235</v>
      </c>
      <c r="F245" t="s">
        <v>1236</v>
      </c>
      <c r="G245" t="s">
        <v>1237</v>
      </c>
      <c r="H245"/>
      <c r="I245">
        <v>2018</v>
      </c>
      <c r="J245"/>
      <c r="K245" t="s">
        <v>1238</v>
      </c>
      <c r="L245"/>
      <c r="M245" t="str">
        <f t="shared" si="161"/>
        <v>Balasbaneh_2018</v>
      </c>
      <c r="N245" t="s">
        <v>222</v>
      </c>
      <c r="O245" s="140" t="s">
        <v>513</v>
      </c>
      <c r="P245"/>
      <c r="Q245" t="s">
        <v>224</v>
      </c>
      <c r="R245" s="262" t="s">
        <v>223</v>
      </c>
      <c r="S245" s="1" t="s">
        <v>1243</v>
      </c>
      <c r="T245" s="264" t="s">
        <v>3113</v>
      </c>
      <c r="U245" s="264" t="s">
        <v>3110</v>
      </c>
      <c r="V245">
        <v>0</v>
      </c>
      <c r="W245">
        <v>0</v>
      </c>
      <c r="X245">
        <v>0</v>
      </c>
      <c r="Y245">
        <v>0</v>
      </c>
      <c r="Z245">
        <v>0</v>
      </c>
      <c r="AA245">
        <v>0</v>
      </c>
      <c r="AB245">
        <v>0</v>
      </c>
      <c r="AC245">
        <v>0</v>
      </c>
      <c r="AD245">
        <v>0</v>
      </c>
      <c r="AE245">
        <v>0</v>
      </c>
      <c r="AF245">
        <v>0</v>
      </c>
      <c r="AG245">
        <v>0</v>
      </c>
      <c r="AH245">
        <v>0</v>
      </c>
      <c r="AI245">
        <v>0</v>
      </c>
      <c r="AJ245">
        <v>0</v>
      </c>
      <c r="AK245">
        <v>1</v>
      </c>
      <c r="AL245">
        <v>0</v>
      </c>
      <c r="AM245">
        <v>0</v>
      </c>
      <c r="AN245">
        <v>0</v>
      </c>
      <c r="AO245">
        <v>0</v>
      </c>
      <c r="AP245">
        <v>0</v>
      </c>
      <c r="AQ245">
        <v>0</v>
      </c>
      <c r="AR245">
        <v>0</v>
      </c>
      <c r="AS245">
        <v>0</v>
      </c>
      <c r="AT245">
        <v>0</v>
      </c>
      <c r="AU245">
        <v>0</v>
      </c>
      <c r="AV245">
        <v>0</v>
      </c>
      <c r="AW245">
        <v>0</v>
      </c>
      <c r="AX245" s="141">
        <f t="shared" si="212"/>
        <v>1</v>
      </c>
      <c r="AY245" s="141">
        <f t="shared" si="213"/>
        <v>1</v>
      </c>
      <c r="AZ245">
        <f t="shared" si="214"/>
        <v>0</v>
      </c>
      <c r="BA245">
        <f t="shared" si="215"/>
        <v>0</v>
      </c>
      <c r="BB245">
        <f t="shared" si="216"/>
        <v>1</v>
      </c>
      <c r="BC245">
        <f t="shared" si="217"/>
        <v>0</v>
      </c>
      <c r="BD245">
        <f t="shared" si="218"/>
        <v>0</v>
      </c>
      <c r="BE245" t="str">
        <f t="array" ref="BE245">IF(AY245=1,INDEX($V$7:$AL$7,MATCH(TRUE,INDEX($V245:$AW245&lt;&gt;0,),0)),IF(AY245=0,INDEX($AM$7:$AW$7,MATCH(1,$AM245:$AW245,0)),IF(BF245="Multiple strategies","mixed drivers",IF(BF245="Supply chain","multiple supply","multiple silviculture"))))</f>
        <v>technologies/design switch</v>
      </c>
      <c r="BF245" s="2" t="str" cm="1">
        <f t="array" ref="BF245">IF(COUNTIF(AZ245:BB245,"&lt;&gt;0")=1,INDEX($V$4:$AW$4,MATCH(TRUE,INDEX($V245:$AW245&lt;&gt;0,),0)),IF(COUNTIF(AZ245:BB245,"&lt;&gt;0")=0,INDEX($AM$4:$AW$4,MATCH(1,$AM245:$AW245,0)),"Multiple strategies"))</f>
        <v>Technology</v>
      </c>
      <c r="BG245" s="1" t="s">
        <v>229</v>
      </c>
      <c r="BH245" t="s">
        <v>229</v>
      </c>
      <c r="BI245"/>
      <c r="BJ245" t="s">
        <v>345</v>
      </c>
      <c r="BK245">
        <v>0</v>
      </c>
      <c r="BL245">
        <v>15468</v>
      </c>
      <c r="BM245" s="143"/>
      <c r="BN245">
        <f t="shared" si="219"/>
        <v>15468</v>
      </c>
      <c r="BO245" s="143">
        <f t="shared" si="206"/>
        <v>31.567346938775515</v>
      </c>
      <c r="BP245" t="s">
        <v>232</v>
      </c>
      <c r="BQ245" s="302" t="s">
        <v>1056</v>
      </c>
      <c r="BR245" t="s">
        <v>397</v>
      </c>
      <c r="BS245">
        <v>-9120</v>
      </c>
      <c r="BT245">
        <v>-5370</v>
      </c>
      <c r="BU245" s="144">
        <v>0.58881578947368418</v>
      </c>
      <c r="BV245">
        <v>3750</v>
      </c>
      <c r="BW245"/>
      <c r="BX245">
        <f t="shared" si="208"/>
        <v>3.75</v>
      </c>
      <c r="BY245">
        <f t="shared" si="236"/>
        <v>0.11879363847944141</v>
      </c>
      <c r="BZ245">
        <v>0</v>
      </c>
      <c r="CA245">
        <v>0</v>
      </c>
      <c r="CB245">
        <v>0</v>
      </c>
      <c r="CC245">
        <v>0</v>
      </c>
      <c r="CD245">
        <v>0</v>
      </c>
      <c r="CE245">
        <v>0</v>
      </c>
      <c r="CF245">
        <v>0</v>
      </c>
      <c r="CG245">
        <v>0</v>
      </c>
      <c r="CH245">
        <v>0</v>
      </c>
      <c r="CI245">
        <v>0</v>
      </c>
      <c r="CJ245">
        <v>0</v>
      </c>
      <c r="CK245">
        <v>0</v>
      </c>
      <c r="CL245">
        <v>0</v>
      </c>
      <c r="CM245">
        <v>0</v>
      </c>
      <c r="CN245" t="str">
        <f t="shared" si="209"/>
        <v>refOK</v>
      </c>
      <c r="CO245">
        <f t="shared" si="210"/>
        <v>0</v>
      </c>
      <c r="CP245">
        <f t="shared" si="211"/>
        <v>15468</v>
      </c>
      <c r="CQ245">
        <f t="shared" si="220"/>
        <v>31.567346938775515</v>
      </c>
      <c r="CR245">
        <f t="shared" si="238"/>
        <v>-9120</v>
      </c>
      <c r="CS245">
        <f t="shared" si="239"/>
        <v>-5370</v>
      </c>
      <c r="CT245">
        <f t="shared" si="221"/>
        <v>3.75</v>
      </c>
      <c r="CU245">
        <f t="shared" si="222"/>
        <v>0.11879363847944141</v>
      </c>
      <c r="CV245" s="2">
        <f t="shared" si="223"/>
        <v>0.41118421052631576</v>
      </c>
      <c r="CW245" s="1" t="s">
        <v>1202</v>
      </c>
      <c r="CX245" t="str">
        <f t="shared" si="224"/>
        <v>reg</v>
      </c>
      <c r="CY245" t="s">
        <v>348</v>
      </c>
      <c r="CZ245">
        <v>2014</v>
      </c>
      <c r="DA245">
        <v>2114</v>
      </c>
      <c r="DB245">
        <v>100</v>
      </c>
      <c r="DC245" t="str">
        <f t="shared" si="225"/>
        <v>71-100</v>
      </c>
      <c r="DD245">
        <v>0</v>
      </c>
      <c r="DE245">
        <v>0</v>
      </c>
      <c r="DF245">
        <v>0</v>
      </c>
      <c r="DG245">
        <v>1</v>
      </c>
      <c r="DH245"/>
      <c r="DI245">
        <f t="shared" si="226"/>
        <v>1</v>
      </c>
      <c r="DJ245" t="str">
        <f t="shared" si="227"/>
        <v>TimberInput</v>
      </c>
      <c r="DK245">
        <f t="shared" si="228"/>
        <v>0</v>
      </c>
      <c r="DL245">
        <f t="shared" si="229"/>
        <v>0</v>
      </c>
      <c r="DM245">
        <f t="shared" si="230"/>
        <v>0</v>
      </c>
      <c r="DN245" t="str">
        <f t="shared" si="231"/>
        <v>Timber</v>
      </c>
      <c r="DO245">
        <v>0</v>
      </c>
      <c r="DP245">
        <v>0</v>
      </c>
      <c r="DQ245">
        <v>0</v>
      </c>
      <c r="DR245">
        <v>0</v>
      </c>
      <c r="DS245">
        <v>0</v>
      </c>
      <c r="DT245">
        <f t="shared" si="232"/>
        <v>0</v>
      </c>
      <c r="DU245" s="143" t="str">
        <f t="shared" si="233"/>
        <v>explicit C balance</v>
      </c>
      <c r="DV245">
        <v>0</v>
      </c>
      <c r="DW245">
        <v>0</v>
      </c>
      <c r="DX245">
        <v>0</v>
      </c>
      <c r="DY245">
        <v>0</v>
      </c>
      <c r="DZ245">
        <v>0</v>
      </c>
      <c r="EA245" s="143">
        <v>1</v>
      </c>
      <c r="EB245">
        <v>0</v>
      </c>
      <c r="EC245">
        <v>1</v>
      </c>
      <c r="ED245">
        <v>1</v>
      </c>
      <c r="EE245">
        <v>1</v>
      </c>
      <c r="EF245">
        <v>0</v>
      </c>
      <c r="EG245">
        <v>0</v>
      </c>
      <c r="EH245">
        <v>0</v>
      </c>
      <c r="EI245" s="2">
        <v>0</v>
      </c>
      <c r="EJ245" s="1"/>
      <c r="EK245" t="str">
        <f t="shared" si="234"/>
        <v/>
      </c>
      <c r="EL245" t="str">
        <f t="shared" si="235"/>
        <v/>
      </c>
      <c r="EM245" s="2" t="str">
        <f t="shared" si="237"/>
        <v>Technology approach</v>
      </c>
      <c r="EN245"/>
      <c r="EO245"/>
      <c r="EP245" t="str">
        <f>IF(ISNUMBER(BU245),IF(ABS(BU245-[3]QC_indicators!$B$2)&gt;3*[3]QC_indicators!$C$2,"C ratio",IF(ISNUMBER(BY245),IF(ABS(BY245-[3]QC_indicators!$B$1)&gt;3*[3]QC_indicators!$C$1,"DF","no"))),IF(ISNUMBER(BY245),IF(ABS(BY245-[3]QC_indicators!$B$1)&gt;3*[3]QC_indicators!$C$1,"DF","no")))</f>
        <v>no</v>
      </c>
      <c r="EQ245"/>
      <c r="ER245" s="149" t="s">
        <v>349</v>
      </c>
      <c r="ES245"/>
      <c r="ET245" s="264" t="s">
        <v>3272</v>
      </c>
      <c r="EU245"/>
    </row>
    <row r="246" spans="1:151" s="139" customFormat="1" ht="15" hidden="1" customHeight="1">
      <c r="A246" s="1" t="s">
        <v>1232</v>
      </c>
      <c r="B246" t="s">
        <v>1233</v>
      </c>
      <c r="C246" t="s">
        <v>1234</v>
      </c>
      <c r="D246" t="s">
        <v>336</v>
      </c>
      <c r="E246" t="s">
        <v>1235</v>
      </c>
      <c r="F246" t="s">
        <v>1236</v>
      </c>
      <c r="G246" t="s">
        <v>1237</v>
      </c>
      <c r="H246"/>
      <c r="I246">
        <v>2018</v>
      </c>
      <c r="J246"/>
      <c r="K246" t="s">
        <v>1238</v>
      </c>
      <c r="L246"/>
      <c r="M246" t="str">
        <f t="shared" si="161"/>
        <v>Balasbaneh_2018</v>
      </c>
      <c r="N246" t="s">
        <v>222</v>
      </c>
      <c r="O246" s="140" t="s">
        <v>513</v>
      </c>
      <c r="P246"/>
      <c r="Q246" t="s">
        <v>224</v>
      </c>
      <c r="R246" s="262" t="s">
        <v>223</v>
      </c>
      <c r="S246" s="1" t="s">
        <v>1244</v>
      </c>
      <c r="T246" s="264" t="s">
        <v>3113</v>
      </c>
      <c r="U246" s="264" t="s">
        <v>3110</v>
      </c>
      <c r="V246">
        <v>0</v>
      </c>
      <c r="W246">
        <v>0</v>
      </c>
      <c r="X246">
        <v>0</v>
      </c>
      <c r="Y246">
        <v>0</v>
      </c>
      <c r="Z246">
        <v>0</v>
      </c>
      <c r="AA246">
        <v>0</v>
      </c>
      <c r="AB246">
        <v>0</v>
      </c>
      <c r="AC246">
        <v>0</v>
      </c>
      <c r="AD246">
        <v>0</v>
      </c>
      <c r="AE246">
        <v>0</v>
      </c>
      <c r="AF246">
        <v>0</v>
      </c>
      <c r="AG246">
        <v>0</v>
      </c>
      <c r="AH246">
        <v>0</v>
      </c>
      <c r="AI246">
        <v>0</v>
      </c>
      <c r="AJ246">
        <v>0</v>
      </c>
      <c r="AK246">
        <v>1</v>
      </c>
      <c r="AL246">
        <v>0</v>
      </c>
      <c r="AM246">
        <v>0</v>
      </c>
      <c r="AN246">
        <v>0</v>
      </c>
      <c r="AO246">
        <v>0</v>
      </c>
      <c r="AP246">
        <v>0</v>
      </c>
      <c r="AQ246">
        <v>0</v>
      </c>
      <c r="AR246">
        <v>0</v>
      </c>
      <c r="AS246">
        <v>0</v>
      </c>
      <c r="AT246">
        <v>0</v>
      </c>
      <c r="AU246">
        <v>0</v>
      </c>
      <c r="AV246">
        <v>0</v>
      </c>
      <c r="AW246">
        <v>0</v>
      </c>
      <c r="AX246" s="141">
        <f t="shared" si="212"/>
        <v>1</v>
      </c>
      <c r="AY246" s="141">
        <f t="shared" si="213"/>
        <v>1</v>
      </c>
      <c r="AZ246">
        <f t="shared" si="214"/>
        <v>0</v>
      </c>
      <c r="BA246">
        <f t="shared" si="215"/>
        <v>0</v>
      </c>
      <c r="BB246">
        <f t="shared" si="216"/>
        <v>1</v>
      </c>
      <c r="BC246">
        <f t="shared" si="217"/>
        <v>0</v>
      </c>
      <c r="BD246">
        <f t="shared" si="218"/>
        <v>0</v>
      </c>
      <c r="BE246" t="str">
        <f t="array" ref="BE246">IF(AY246=1,INDEX($V$7:$AL$7,MATCH(TRUE,INDEX($V246:$AW246&lt;&gt;0,),0)),IF(AY246=0,INDEX($AM$7:$AW$7,MATCH(1,$AM246:$AW246,0)),IF(BF246="Multiple strategies","mixed drivers",IF(BF246="Supply chain","multiple supply","multiple silviculture"))))</f>
        <v>technologies/design switch</v>
      </c>
      <c r="BF246" s="2" t="str" cm="1">
        <f t="array" ref="BF246">IF(COUNTIF(AZ246:BB246,"&lt;&gt;0")=1,INDEX($V$4:$AW$4,MATCH(TRUE,INDEX($V246:$AW246&lt;&gt;0,),0)),IF(COUNTIF(AZ246:BB246,"&lt;&gt;0")=0,INDEX($AM$4:$AW$4,MATCH(1,$AM246:$AW246,0)),"Multiple strategies"))</f>
        <v>Technology</v>
      </c>
      <c r="BG246" s="1" t="s">
        <v>229</v>
      </c>
      <c r="BH246" t="s">
        <v>229</v>
      </c>
      <c r="BI246"/>
      <c r="BJ246" t="s">
        <v>345</v>
      </c>
      <c r="BK246">
        <v>0</v>
      </c>
      <c r="BL246">
        <v>15468</v>
      </c>
      <c r="BM246" s="143"/>
      <c r="BN246">
        <f t="shared" si="219"/>
        <v>15468</v>
      </c>
      <c r="BO246" s="143">
        <f t="shared" ref="BO246:BO277" si="240">BN246*kg_to_m3</f>
        <v>31.567346938775515</v>
      </c>
      <c r="BP246" t="s">
        <v>232</v>
      </c>
      <c r="BQ246" s="302" t="s">
        <v>1056</v>
      </c>
      <c r="BR246" t="s">
        <v>397</v>
      </c>
      <c r="BS246">
        <v>-9840</v>
      </c>
      <c r="BT246">
        <v>-5840</v>
      </c>
      <c r="BU246" s="144">
        <v>0.5934959349593496</v>
      </c>
      <c r="BV246">
        <v>4000</v>
      </c>
      <c r="BW246"/>
      <c r="BX246">
        <f t="shared" ref="BX246:BX272" si="241">BV246/1000</f>
        <v>4</v>
      </c>
      <c r="BY246">
        <f t="shared" si="236"/>
        <v>0.12671321437807084</v>
      </c>
      <c r="BZ246">
        <v>0</v>
      </c>
      <c r="CA246">
        <v>0</v>
      </c>
      <c r="CB246">
        <v>0</v>
      </c>
      <c r="CC246">
        <v>0</v>
      </c>
      <c r="CD246">
        <v>0</v>
      </c>
      <c r="CE246">
        <v>0</v>
      </c>
      <c r="CF246">
        <v>0</v>
      </c>
      <c r="CG246">
        <v>0</v>
      </c>
      <c r="CH246">
        <v>0</v>
      </c>
      <c r="CI246">
        <v>0</v>
      </c>
      <c r="CJ246">
        <v>0</v>
      </c>
      <c r="CK246">
        <v>0</v>
      </c>
      <c r="CL246">
        <v>0</v>
      </c>
      <c r="CM246">
        <v>0</v>
      </c>
      <c r="CN246" t="str">
        <f t="shared" ref="CN246:CN272" si="242">IF($BL246&lt;$BK246,"refNeedCorrection","refOK")</f>
        <v>refOK</v>
      </c>
      <c r="CO246">
        <f t="shared" ref="CO246:CO270" si="243">IF($CN246="refNeedCorrection",BL246,BK246)</f>
        <v>0</v>
      </c>
      <c r="CP246">
        <f t="shared" ref="CP246:CP270" si="244">IF($CN246="refNeedCorrection",BK246,BL246)</f>
        <v>15468</v>
      </c>
      <c r="CQ246">
        <f t="shared" si="220"/>
        <v>31.567346938775515</v>
      </c>
      <c r="CR246">
        <f t="shared" si="238"/>
        <v>-9840</v>
      </c>
      <c r="CS246">
        <f t="shared" si="239"/>
        <v>-5840</v>
      </c>
      <c r="CT246">
        <f t="shared" si="221"/>
        <v>4</v>
      </c>
      <c r="CU246">
        <f t="shared" si="222"/>
        <v>0.12671321437807084</v>
      </c>
      <c r="CV246" s="2">
        <f t="shared" si="223"/>
        <v>0.4065040650406504</v>
      </c>
      <c r="CW246" s="1" t="s">
        <v>1202</v>
      </c>
      <c r="CX246" t="str">
        <f t="shared" si="224"/>
        <v>reg</v>
      </c>
      <c r="CY246" t="s">
        <v>348</v>
      </c>
      <c r="CZ246">
        <v>2014</v>
      </c>
      <c r="DA246">
        <v>2034</v>
      </c>
      <c r="DB246">
        <v>20</v>
      </c>
      <c r="DC246" t="str">
        <f t="shared" si="225"/>
        <v>1-30</v>
      </c>
      <c r="DD246">
        <v>0</v>
      </c>
      <c r="DE246">
        <v>0</v>
      </c>
      <c r="DF246">
        <v>0</v>
      </c>
      <c r="DG246">
        <v>1</v>
      </c>
      <c r="DH246"/>
      <c r="DI246">
        <f t="shared" si="226"/>
        <v>1</v>
      </c>
      <c r="DJ246" t="str">
        <f t="shared" si="227"/>
        <v>TimberInput</v>
      </c>
      <c r="DK246">
        <f t="shared" si="228"/>
        <v>0</v>
      </c>
      <c r="DL246">
        <f t="shared" si="229"/>
        <v>0</v>
      </c>
      <c r="DM246">
        <f t="shared" si="230"/>
        <v>0</v>
      </c>
      <c r="DN246" t="str">
        <f t="shared" si="231"/>
        <v>Timber</v>
      </c>
      <c r="DO246">
        <v>0</v>
      </c>
      <c r="DP246">
        <v>0</v>
      </c>
      <c r="DQ246">
        <v>0</v>
      </c>
      <c r="DR246">
        <v>0</v>
      </c>
      <c r="DS246">
        <v>0</v>
      </c>
      <c r="DT246">
        <f t="shared" si="232"/>
        <v>0</v>
      </c>
      <c r="DU246" s="143" t="str">
        <f t="shared" si="233"/>
        <v>explicit C balance</v>
      </c>
      <c r="DV246">
        <v>0</v>
      </c>
      <c r="DW246">
        <v>0</v>
      </c>
      <c r="DX246">
        <v>0</v>
      </c>
      <c r="DY246">
        <v>0</v>
      </c>
      <c r="DZ246">
        <v>0</v>
      </c>
      <c r="EA246" s="143">
        <v>1</v>
      </c>
      <c r="EB246">
        <v>0</v>
      </c>
      <c r="EC246">
        <v>1</v>
      </c>
      <c r="ED246">
        <v>1</v>
      </c>
      <c r="EE246">
        <v>1</v>
      </c>
      <c r="EF246">
        <v>0</v>
      </c>
      <c r="EG246">
        <v>0</v>
      </c>
      <c r="EH246">
        <v>0</v>
      </c>
      <c r="EI246" s="2">
        <v>0</v>
      </c>
      <c r="EJ246" s="1"/>
      <c r="EK246" t="str">
        <f t="shared" si="234"/>
        <v/>
      </c>
      <c r="EL246" t="str">
        <f t="shared" si="235"/>
        <v/>
      </c>
      <c r="EM246" s="2" t="str">
        <f t="shared" si="237"/>
        <v>Technology approach</v>
      </c>
      <c r="EN246"/>
      <c r="EO246"/>
      <c r="EP246" t="str">
        <f>IF(ISNUMBER(BU246),IF(ABS(BU246-[3]QC_indicators!$B$2)&gt;3*[3]QC_indicators!$C$2,"C ratio",IF(ISNUMBER(BY246),IF(ABS(BY246-[3]QC_indicators!$B$1)&gt;3*[3]QC_indicators!$C$1,"DF","no"))),IF(ISNUMBER(BY246),IF(ABS(BY246-[3]QC_indicators!$B$1)&gt;3*[3]QC_indicators!$C$1,"DF","no")))</f>
        <v>no</v>
      </c>
      <c r="EQ246"/>
      <c r="ER246" s="149" t="s">
        <v>349</v>
      </c>
      <c r="ES246"/>
      <c r="ET246" s="264" t="s">
        <v>3272</v>
      </c>
      <c r="EU246"/>
    </row>
    <row r="247" spans="1:151" s="139" customFormat="1" ht="15" hidden="1" customHeight="1">
      <c r="A247" s="1" t="s">
        <v>1232</v>
      </c>
      <c r="B247" t="s">
        <v>1233</v>
      </c>
      <c r="C247" t="s">
        <v>1234</v>
      </c>
      <c r="D247" t="s">
        <v>336</v>
      </c>
      <c r="E247" t="s">
        <v>1235</v>
      </c>
      <c r="F247" t="s">
        <v>1236</v>
      </c>
      <c r="G247" t="s">
        <v>1237</v>
      </c>
      <c r="H247"/>
      <c r="I247">
        <v>2018</v>
      </c>
      <c r="J247"/>
      <c r="K247" t="s">
        <v>1238</v>
      </c>
      <c r="L247"/>
      <c r="M247" t="str">
        <f t="shared" si="161"/>
        <v>Balasbaneh_2018</v>
      </c>
      <c r="N247" t="s">
        <v>222</v>
      </c>
      <c r="O247" s="140" t="s">
        <v>513</v>
      </c>
      <c r="P247"/>
      <c r="Q247" t="s">
        <v>224</v>
      </c>
      <c r="R247" s="262" t="s">
        <v>223</v>
      </c>
      <c r="S247" s="1" t="s">
        <v>1245</v>
      </c>
      <c r="T247" s="264" t="s">
        <v>3112</v>
      </c>
      <c r="U247" s="264" t="s">
        <v>3115</v>
      </c>
      <c r="V247">
        <v>0</v>
      </c>
      <c r="W247">
        <v>0</v>
      </c>
      <c r="X247">
        <v>0</v>
      </c>
      <c r="Y247">
        <v>0</v>
      </c>
      <c r="Z247">
        <v>0</v>
      </c>
      <c r="AA247">
        <v>0</v>
      </c>
      <c r="AB247">
        <v>0</v>
      </c>
      <c r="AC247">
        <v>0</v>
      </c>
      <c r="AD247">
        <v>0</v>
      </c>
      <c r="AE247">
        <v>0</v>
      </c>
      <c r="AF247">
        <v>0</v>
      </c>
      <c r="AG247">
        <v>0</v>
      </c>
      <c r="AH247">
        <v>0</v>
      </c>
      <c r="AI247">
        <v>0</v>
      </c>
      <c r="AJ247">
        <v>0</v>
      </c>
      <c r="AK247">
        <v>1</v>
      </c>
      <c r="AL247">
        <v>0</v>
      </c>
      <c r="AM247">
        <v>0</v>
      </c>
      <c r="AN247">
        <v>0</v>
      </c>
      <c r="AO247">
        <v>0</v>
      </c>
      <c r="AP247">
        <v>0</v>
      </c>
      <c r="AQ247">
        <v>0</v>
      </c>
      <c r="AR247">
        <v>0</v>
      </c>
      <c r="AS247">
        <v>0</v>
      </c>
      <c r="AT247">
        <v>0</v>
      </c>
      <c r="AU247">
        <v>0</v>
      </c>
      <c r="AV247">
        <v>0</v>
      </c>
      <c r="AW247">
        <v>0</v>
      </c>
      <c r="AX247" s="141">
        <f t="shared" si="212"/>
        <v>1</v>
      </c>
      <c r="AY247" s="141">
        <f t="shared" si="213"/>
        <v>1</v>
      </c>
      <c r="AZ247">
        <f t="shared" si="214"/>
        <v>0</v>
      </c>
      <c r="BA247">
        <f t="shared" si="215"/>
        <v>0</v>
      </c>
      <c r="BB247">
        <f t="shared" si="216"/>
        <v>1</v>
      </c>
      <c r="BC247">
        <f t="shared" si="217"/>
        <v>0</v>
      </c>
      <c r="BD247">
        <f t="shared" si="218"/>
        <v>0</v>
      </c>
      <c r="BE247" t="str">
        <f t="array" ref="BE247">IF(AY247=1,INDEX($V$7:$AL$7,MATCH(TRUE,INDEX($V247:$AW247&lt;&gt;0,),0)),IF(AY247=0,INDEX($AM$7:$AW$7,MATCH(1,$AM247:$AW247,0)),IF(BF247="Multiple strategies","mixed drivers",IF(BF247="Supply chain","multiple supply","multiple silviculture"))))</f>
        <v>technologies/design switch</v>
      </c>
      <c r="BF247" s="2" t="str" cm="1">
        <f t="array" ref="BF247">IF(COUNTIF(AZ247:BB247,"&lt;&gt;0")=1,INDEX($V$4:$AW$4,MATCH(TRUE,INDEX($V247:$AW247&lt;&gt;0,),0)),IF(COUNTIF(AZ247:BB247,"&lt;&gt;0")=0,INDEX($AM$4:$AW$4,MATCH(1,$AM247:$AW247,0)),"Multiple strategies"))</f>
        <v>Technology</v>
      </c>
      <c r="BG247" s="1" t="s">
        <v>229</v>
      </c>
      <c r="BH247" t="s">
        <v>229</v>
      </c>
      <c r="BI247"/>
      <c r="BJ247" t="s">
        <v>345</v>
      </c>
      <c r="BK247">
        <v>0</v>
      </c>
      <c r="BL247">
        <v>23436</v>
      </c>
      <c r="BM247" s="143"/>
      <c r="BN247">
        <f t="shared" si="219"/>
        <v>23436</v>
      </c>
      <c r="BO247" s="143">
        <f t="shared" si="240"/>
        <v>47.828571428571436</v>
      </c>
      <c r="BP247" t="s">
        <v>232</v>
      </c>
      <c r="BQ247" s="302" t="s">
        <v>1056</v>
      </c>
      <c r="BR247" t="s">
        <v>397</v>
      </c>
      <c r="BS247">
        <v>-7910</v>
      </c>
      <c r="BT247">
        <v>-693</v>
      </c>
      <c r="BU247" s="144">
        <v>8.7610619469026554E-2</v>
      </c>
      <c r="BV247">
        <v>7217</v>
      </c>
      <c r="BW247"/>
      <c r="BX247">
        <f t="shared" si="241"/>
        <v>7.2169999999999996</v>
      </c>
      <c r="BY247">
        <f t="shared" si="236"/>
        <v>0.15089307048984466</v>
      </c>
      <c r="BZ247">
        <v>0</v>
      </c>
      <c r="CA247">
        <v>0</v>
      </c>
      <c r="CB247">
        <v>0</v>
      </c>
      <c r="CC247">
        <v>0</v>
      </c>
      <c r="CD247">
        <v>0</v>
      </c>
      <c r="CE247">
        <v>0</v>
      </c>
      <c r="CF247">
        <v>0</v>
      </c>
      <c r="CG247">
        <v>0</v>
      </c>
      <c r="CH247">
        <v>0</v>
      </c>
      <c r="CI247">
        <v>0</v>
      </c>
      <c r="CJ247">
        <v>0</v>
      </c>
      <c r="CK247">
        <v>0</v>
      </c>
      <c r="CL247">
        <v>0</v>
      </c>
      <c r="CM247">
        <v>0</v>
      </c>
      <c r="CN247" t="str">
        <f t="shared" si="242"/>
        <v>refOK</v>
      </c>
      <c r="CO247">
        <f t="shared" si="243"/>
        <v>0</v>
      </c>
      <c r="CP247">
        <f t="shared" si="244"/>
        <v>23436</v>
      </c>
      <c r="CQ247">
        <f t="shared" si="220"/>
        <v>47.828571428571436</v>
      </c>
      <c r="CR247">
        <f t="shared" si="238"/>
        <v>-7910</v>
      </c>
      <c r="CS247">
        <f t="shared" si="239"/>
        <v>-693</v>
      </c>
      <c r="CT247">
        <f t="shared" si="221"/>
        <v>7.2169999999999996</v>
      </c>
      <c r="CU247">
        <f t="shared" si="222"/>
        <v>0.15089307048984466</v>
      </c>
      <c r="CV247" s="2">
        <f t="shared" si="223"/>
        <v>0.9123893805309734</v>
      </c>
      <c r="CW247" s="1" t="s">
        <v>1202</v>
      </c>
      <c r="CX247" t="str">
        <f t="shared" si="224"/>
        <v>reg</v>
      </c>
      <c r="CY247" t="s">
        <v>348</v>
      </c>
      <c r="CZ247">
        <v>2014</v>
      </c>
      <c r="DA247">
        <v>2514</v>
      </c>
      <c r="DB247">
        <v>500</v>
      </c>
      <c r="DC247" t="str">
        <f t="shared" si="225"/>
        <v>+100</v>
      </c>
      <c r="DD247">
        <v>0</v>
      </c>
      <c r="DE247">
        <v>0</v>
      </c>
      <c r="DF247">
        <v>0</v>
      </c>
      <c r="DG247">
        <v>1</v>
      </c>
      <c r="DH247"/>
      <c r="DI247">
        <f t="shared" si="226"/>
        <v>1</v>
      </c>
      <c r="DJ247" t="str">
        <f t="shared" si="227"/>
        <v>TimberInput</v>
      </c>
      <c r="DK247">
        <f t="shared" si="228"/>
        <v>0</v>
      </c>
      <c r="DL247">
        <f t="shared" si="229"/>
        <v>0</v>
      </c>
      <c r="DM247">
        <f t="shared" si="230"/>
        <v>0</v>
      </c>
      <c r="DN247" t="str">
        <f t="shared" si="231"/>
        <v>Timber</v>
      </c>
      <c r="DO247">
        <v>0</v>
      </c>
      <c r="DP247">
        <v>0</v>
      </c>
      <c r="DQ247">
        <v>0</v>
      </c>
      <c r="DR247">
        <v>0</v>
      </c>
      <c r="DS247">
        <v>0</v>
      </c>
      <c r="DT247">
        <f t="shared" si="232"/>
        <v>0</v>
      </c>
      <c r="DU247" s="143" t="str">
        <f t="shared" si="233"/>
        <v>explicit C balance</v>
      </c>
      <c r="DV247">
        <v>0</v>
      </c>
      <c r="DW247">
        <v>0</v>
      </c>
      <c r="DX247">
        <v>0</v>
      </c>
      <c r="DY247">
        <v>0</v>
      </c>
      <c r="DZ247">
        <v>0</v>
      </c>
      <c r="EA247" s="143">
        <v>1</v>
      </c>
      <c r="EB247">
        <v>0</v>
      </c>
      <c r="EC247">
        <v>1</v>
      </c>
      <c r="ED247">
        <v>1</v>
      </c>
      <c r="EE247">
        <v>1</v>
      </c>
      <c r="EF247">
        <v>0</v>
      </c>
      <c r="EG247">
        <v>0</v>
      </c>
      <c r="EH247">
        <v>0</v>
      </c>
      <c r="EI247" s="2">
        <v>0</v>
      </c>
      <c r="EJ247" s="1"/>
      <c r="EK247" t="str">
        <f t="shared" si="234"/>
        <v/>
      </c>
      <c r="EL247" t="str">
        <f t="shared" si="235"/>
        <v/>
      </c>
      <c r="EM247" s="2" t="str">
        <f t="shared" si="237"/>
        <v>Technology approach</v>
      </c>
      <c r="EN247"/>
      <c r="EO247"/>
      <c r="EP247" t="str">
        <f>IF(ISNUMBER(BU247),IF(ABS(BU247-[3]QC_indicators!$B$2)&gt;3*[3]QC_indicators!$C$2,"C ratio",IF(ISNUMBER(BY247),IF(ABS(BY247-[3]QC_indicators!$B$1)&gt;3*[3]QC_indicators!$C$1,"DF","no"))),IF(ISNUMBER(BY247),IF(ABS(BY247-[3]QC_indicators!$B$1)&gt;3*[3]QC_indicators!$C$1,"DF","no")))</f>
        <v>no</v>
      </c>
      <c r="EQ247"/>
      <c r="ER247" s="149" t="s">
        <v>349</v>
      </c>
      <c r="ES247"/>
      <c r="ET247" s="264" t="s">
        <v>3272</v>
      </c>
      <c r="EU247"/>
    </row>
    <row r="248" spans="1:151" s="139" customFormat="1" ht="15" hidden="1" customHeight="1">
      <c r="A248" s="1" t="s">
        <v>1232</v>
      </c>
      <c r="B248" t="s">
        <v>1233</v>
      </c>
      <c r="C248" t="s">
        <v>1234</v>
      </c>
      <c r="D248" t="s">
        <v>336</v>
      </c>
      <c r="E248" t="s">
        <v>1235</v>
      </c>
      <c r="F248" t="s">
        <v>1236</v>
      </c>
      <c r="G248" t="s">
        <v>1237</v>
      </c>
      <c r="H248"/>
      <c r="I248">
        <v>2018</v>
      </c>
      <c r="J248"/>
      <c r="K248" t="s">
        <v>1238</v>
      </c>
      <c r="L248"/>
      <c r="M248" t="str">
        <f t="shared" si="161"/>
        <v>Balasbaneh_2018</v>
      </c>
      <c r="N248" t="s">
        <v>222</v>
      </c>
      <c r="O248" s="140" t="s">
        <v>513</v>
      </c>
      <c r="P248"/>
      <c r="Q248" t="s">
        <v>224</v>
      </c>
      <c r="R248" s="262" t="s">
        <v>223</v>
      </c>
      <c r="S248" s="1" t="s">
        <v>1246</v>
      </c>
      <c r="T248" s="264" t="s">
        <v>3112</v>
      </c>
      <c r="U248" s="264" t="s">
        <v>3115</v>
      </c>
      <c r="V248">
        <v>0</v>
      </c>
      <c r="W248">
        <v>0</v>
      </c>
      <c r="X248">
        <v>0</v>
      </c>
      <c r="Y248">
        <v>0</v>
      </c>
      <c r="Z248">
        <v>0</v>
      </c>
      <c r="AA248">
        <v>0</v>
      </c>
      <c r="AB248">
        <v>0</v>
      </c>
      <c r="AC248">
        <v>0</v>
      </c>
      <c r="AD248">
        <v>0</v>
      </c>
      <c r="AE248">
        <v>0</v>
      </c>
      <c r="AF248">
        <v>0</v>
      </c>
      <c r="AG248">
        <v>0</v>
      </c>
      <c r="AH248">
        <v>0</v>
      </c>
      <c r="AI248">
        <v>0</v>
      </c>
      <c r="AJ248">
        <v>0</v>
      </c>
      <c r="AK248">
        <v>1</v>
      </c>
      <c r="AL248">
        <v>0</v>
      </c>
      <c r="AM248">
        <v>0</v>
      </c>
      <c r="AN248">
        <v>0</v>
      </c>
      <c r="AO248">
        <v>0</v>
      </c>
      <c r="AP248">
        <v>0</v>
      </c>
      <c r="AQ248">
        <v>0</v>
      </c>
      <c r="AR248">
        <v>0</v>
      </c>
      <c r="AS248">
        <v>0</v>
      </c>
      <c r="AT248">
        <v>0</v>
      </c>
      <c r="AU248">
        <v>0</v>
      </c>
      <c r="AV248">
        <v>0</v>
      </c>
      <c r="AW248">
        <v>0</v>
      </c>
      <c r="AX248" s="141">
        <f t="shared" si="212"/>
        <v>1</v>
      </c>
      <c r="AY248" s="141">
        <f t="shared" si="213"/>
        <v>1</v>
      </c>
      <c r="AZ248">
        <f t="shared" si="214"/>
        <v>0</v>
      </c>
      <c r="BA248">
        <f t="shared" si="215"/>
        <v>0</v>
      </c>
      <c r="BB248">
        <f t="shared" si="216"/>
        <v>1</v>
      </c>
      <c r="BC248">
        <f t="shared" si="217"/>
        <v>0</v>
      </c>
      <c r="BD248">
        <f t="shared" si="218"/>
        <v>0</v>
      </c>
      <c r="BE248" t="str">
        <f t="array" ref="BE248">IF(AY248=1,INDEX($V$7:$AL$7,MATCH(TRUE,INDEX($V248:$AW248&lt;&gt;0,),0)),IF(AY248=0,INDEX($AM$7:$AW$7,MATCH(1,$AM248:$AW248,0)),IF(BF248="Multiple strategies","mixed drivers",IF(BF248="Supply chain","multiple supply","multiple silviculture"))))</f>
        <v>technologies/design switch</v>
      </c>
      <c r="BF248" s="2" t="str" cm="1">
        <f t="array" ref="BF248">IF(COUNTIF(AZ248:BB248,"&lt;&gt;0")=1,INDEX($V$4:$AW$4,MATCH(TRUE,INDEX($V248:$AW248&lt;&gt;0,),0)),IF(COUNTIF(AZ248:BB248,"&lt;&gt;0")=0,INDEX($AM$4:$AW$4,MATCH(1,$AM248:$AW248,0)),"Multiple strategies"))</f>
        <v>Technology</v>
      </c>
      <c r="BG248" s="1" t="s">
        <v>229</v>
      </c>
      <c r="BH248" t="s">
        <v>229</v>
      </c>
      <c r="BI248"/>
      <c r="BJ248" t="s">
        <v>345</v>
      </c>
      <c r="BK248">
        <v>0</v>
      </c>
      <c r="BL248">
        <v>23436</v>
      </c>
      <c r="BM248" s="143"/>
      <c r="BN248">
        <f t="shared" si="219"/>
        <v>23436</v>
      </c>
      <c r="BO248" s="143">
        <f t="shared" si="240"/>
        <v>47.828571428571436</v>
      </c>
      <c r="BP248" t="s">
        <v>232</v>
      </c>
      <c r="BQ248" s="302" t="s">
        <v>1056</v>
      </c>
      <c r="BR248" t="s">
        <v>397</v>
      </c>
      <c r="BS248">
        <v>-8200</v>
      </c>
      <c r="BT248">
        <v>-702</v>
      </c>
      <c r="BU248" s="144">
        <v>8.5609756097560982E-2</v>
      </c>
      <c r="BV248">
        <v>7498</v>
      </c>
      <c r="BW248"/>
      <c r="BX248">
        <f t="shared" si="241"/>
        <v>7.4980000000000002</v>
      </c>
      <c r="BY248">
        <f t="shared" si="236"/>
        <v>0.15676821983273595</v>
      </c>
      <c r="BZ248">
        <v>0</v>
      </c>
      <c r="CA248">
        <v>0</v>
      </c>
      <c r="CB248">
        <v>0</v>
      </c>
      <c r="CC248">
        <v>0</v>
      </c>
      <c r="CD248">
        <v>0</v>
      </c>
      <c r="CE248">
        <v>0</v>
      </c>
      <c r="CF248">
        <v>0</v>
      </c>
      <c r="CG248">
        <v>0</v>
      </c>
      <c r="CH248">
        <v>0</v>
      </c>
      <c r="CI248">
        <v>0</v>
      </c>
      <c r="CJ248">
        <v>0</v>
      </c>
      <c r="CK248">
        <v>0</v>
      </c>
      <c r="CL248">
        <v>0</v>
      </c>
      <c r="CM248">
        <v>0</v>
      </c>
      <c r="CN248" t="str">
        <f t="shared" si="242"/>
        <v>refOK</v>
      </c>
      <c r="CO248">
        <f t="shared" si="243"/>
        <v>0</v>
      </c>
      <c r="CP248">
        <f t="shared" si="244"/>
        <v>23436</v>
      </c>
      <c r="CQ248">
        <f t="shared" si="220"/>
        <v>47.828571428571436</v>
      </c>
      <c r="CR248">
        <f t="shared" si="238"/>
        <v>-8200</v>
      </c>
      <c r="CS248">
        <f t="shared" si="239"/>
        <v>-702</v>
      </c>
      <c r="CT248">
        <f t="shared" si="221"/>
        <v>7.4980000000000002</v>
      </c>
      <c r="CU248">
        <f t="shared" si="222"/>
        <v>0.15676821983273595</v>
      </c>
      <c r="CV248" s="2">
        <f t="shared" si="223"/>
        <v>0.91439024390243906</v>
      </c>
      <c r="CW248" s="1" t="s">
        <v>1202</v>
      </c>
      <c r="CX248" t="str">
        <f t="shared" si="224"/>
        <v>reg</v>
      </c>
      <c r="CY248" t="s">
        <v>348</v>
      </c>
      <c r="CZ248">
        <v>2014</v>
      </c>
      <c r="DA248">
        <v>2114</v>
      </c>
      <c r="DB248">
        <v>100</v>
      </c>
      <c r="DC248" t="str">
        <f t="shared" si="225"/>
        <v>71-100</v>
      </c>
      <c r="DD248">
        <v>0</v>
      </c>
      <c r="DE248">
        <v>0</v>
      </c>
      <c r="DF248">
        <v>0</v>
      </c>
      <c r="DG248">
        <v>1</v>
      </c>
      <c r="DH248"/>
      <c r="DI248">
        <f t="shared" si="226"/>
        <v>1</v>
      </c>
      <c r="DJ248" t="str">
        <f t="shared" si="227"/>
        <v>TimberInput</v>
      </c>
      <c r="DK248">
        <f t="shared" si="228"/>
        <v>0</v>
      </c>
      <c r="DL248">
        <f t="shared" si="229"/>
        <v>0</v>
      </c>
      <c r="DM248">
        <f t="shared" si="230"/>
        <v>0</v>
      </c>
      <c r="DN248" t="str">
        <f t="shared" si="231"/>
        <v>Timber</v>
      </c>
      <c r="DO248">
        <v>0</v>
      </c>
      <c r="DP248">
        <v>0</v>
      </c>
      <c r="DQ248">
        <v>0</v>
      </c>
      <c r="DR248">
        <v>0</v>
      </c>
      <c r="DS248">
        <v>0</v>
      </c>
      <c r="DT248">
        <f t="shared" si="232"/>
        <v>0</v>
      </c>
      <c r="DU248" s="143" t="str">
        <f t="shared" si="233"/>
        <v>explicit C balance</v>
      </c>
      <c r="DV248">
        <v>0</v>
      </c>
      <c r="DW248">
        <v>0</v>
      </c>
      <c r="DX248">
        <v>0</v>
      </c>
      <c r="DY248">
        <v>0</v>
      </c>
      <c r="DZ248">
        <v>0</v>
      </c>
      <c r="EA248" s="143">
        <v>1</v>
      </c>
      <c r="EB248">
        <v>0</v>
      </c>
      <c r="EC248">
        <v>1</v>
      </c>
      <c r="ED248">
        <v>1</v>
      </c>
      <c r="EE248">
        <v>1</v>
      </c>
      <c r="EF248">
        <v>0</v>
      </c>
      <c r="EG248">
        <v>0</v>
      </c>
      <c r="EH248">
        <v>0</v>
      </c>
      <c r="EI248" s="2">
        <v>0</v>
      </c>
      <c r="EJ248" s="1"/>
      <c r="EK248" t="str">
        <f t="shared" si="234"/>
        <v/>
      </c>
      <c r="EL248" t="str">
        <f t="shared" si="235"/>
        <v/>
      </c>
      <c r="EM248" s="2" t="str">
        <f t="shared" si="237"/>
        <v>Technology approach</v>
      </c>
      <c r="EN248"/>
      <c r="EO248"/>
      <c r="EP248" t="str">
        <f>IF(ISNUMBER(BU248),IF(ABS(BU248-[3]QC_indicators!$B$2)&gt;3*[3]QC_indicators!$C$2,"C ratio",IF(ISNUMBER(BY248),IF(ABS(BY248-[3]QC_indicators!$B$1)&gt;3*[3]QC_indicators!$C$1,"DF","no"))),IF(ISNUMBER(BY248),IF(ABS(BY248-[3]QC_indicators!$B$1)&gt;3*[3]QC_indicators!$C$1,"DF","no")))</f>
        <v>no</v>
      </c>
      <c r="EQ248"/>
      <c r="ER248" s="149" t="s">
        <v>349</v>
      </c>
      <c r="ES248"/>
      <c r="ET248" s="264" t="s">
        <v>3272</v>
      </c>
      <c r="EU248"/>
    </row>
    <row r="249" spans="1:151" s="139" customFormat="1" ht="15" hidden="1" customHeight="1">
      <c r="A249" s="1" t="s">
        <v>1232</v>
      </c>
      <c r="B249" t="s">
        <v>1233</v>
      </c>
      <c r="C249" t="s">
        <v>1234</v>
      </c>
      <c r="D249" t="s">
        <v>336</v>
      </c>
      <c r="E249" t="s">
        <v>1235</v>
      </c>
      <c r="F249" t="s">
        <v>1236</v>
      </c>
      <c r="G249" t="s">
        <v>1237</v>
      </c>
      <c r="H249"/>
      <c r="I249">
        <v>2018</v>
      </c>
      <c r="J249"/>
      <c r="K249" t="s">
        <v>1238</v>
      </c>
      <c r="L249"/>
      <c r="M249" t="str">
        <f t="shared" si="161"/>
        <v>Balasbaneh_2018</v>
      </c>
      <c r="N249" t="s">
        <v>222</v>
      </c>
      <c r="O249" s="140" t="s">
        <v>513</v>
      </c>
      <c r="P249"/>
      <c r="Q249" t="s">
        <v>224</v>
      </c>
      <c r="R249" s="262" t="s">
        <v>223</v>
      </c>
      <c r="S249" s="1" t="s">
        <v>1247</v>
      </c>
      <c r="T249" s="264" t="s">
        <v>3113</v>
      </c>
      <c r="U249" s="264" t="s">
        <v>3115</v>
      </c>
      <c r="V249">
        <v>0</v>
      </c>
      <c r="W249">
        <v>0</v>
      </c>
      <c r="X249">
        <v>0</v>
      </c>
      <c r="Y249">
        <v>0</v>
      </c>
      <c r="Z249">
        <v>0</v>
      </c>
      <c r="AA249">
        <v>0</v>
      </c>
      <c r="AB249">
        <v>0</v>
      </c>
      <c r="AC249">
        <v>0</v>
      </c>
      <c r="AD249">
        <v>0</v>
      </c>
      <c r="AE249">
        <v>0</v>
      </c>
      <c r="AF249">
        <v>0</v>
      </c>
      <c r="AG249">
        <v>0</v>
      </c>
      <c r="AH249">
        <v>0</v>
      </c>
      <c r="AI249">
        <v>0</v>
      </c>
      <c r="AJ249">
        <v>0</v>
      </c>
      <c r="AK249">
        <v>1</v>
      </c>
      <c r="AL249">
        <v>0</v>
      </c>
      <c r="AM249">
        <v>0</v>
      </c>
      <c r="AN249">
        <v>0</v>
      </c>
      <c r="AO249">
        <v>0</v>
      </c>
      <c r="AP249">
        <v>0</v>
      </c>
      <c r="AQ249">
        <v>0</v>
      </c>
      <c r="AR249">
        <v>0</v>
      </c>
      <c r="AS249">
        <v>0</v>
      </c>
      <c r="AT249">
        <v>0</v>
      </c>
      <c r="AU249">
        <v>0</v>
      </c>
      <c r="AV249">
        <v>0</v>
      </c>
      <c r="AW249">
        <v>0</v>
      </c>
      <c r="AX249" s="141">
        <f t="shared" si="212"/>
        <v>1</v>
      </c>
      <c r="AY249" s="141">
        <f t="shared" si="213"/>
        <v>1</v>
      </c>
      <c r="AZ249">
        <f t="shared" si="214"/>
        <v>0</v>
      </c>
      <c r="BA249">
        <f t="shared" si="215"/>
        <v>0</v>
      </c>
      <c r="BB249">
        <f t="shared" si="216"/>
        <v>1</v>
      </c>
      <c r="BC249">
        <f t="shared" si="217"/>
        <v>0</v>
      </c>
      <c r="BD249">
        <f t="shared" si="218"/>
        <v>0</v>
      </c>
      <c r="BE249" t="str">
        <f t="array" ref="BE249">IF(AY249=1,INDEX($V$7:$AL$7,MATCH(TRUE,INDEX($V249:$AW249&lt;&gt;0,),0)),IF(AY249=0,INDEX($AM$7:$AW$7,MATCH(1,$AM249:$AW249,0)),IF(BF249="Multiple strategies","mixed drivers",IF(BF249="Supply chain","multiple supply","multiple silviculture"))))</f>
        <v>technologies/design switch</v>
      </c>
      <c r="BF249" s="2" t="str" cm="1">
        <f t="array" ref="BF249">IF(COUNTIF(AZ249:BB249,"&lt;&gt;0")=1,INDEX($V$4:$AW$4,MATCH(TRUE,INDEX($V249:$AW249&lt;&gt;0,),0)),IF(COUNTIF(AZ249:BB249,"&lt;&gt;0")=0,INDEX($AM$4:$AW$4,MATCH(1,$AM249:$AW249,0)),"Multiple strategies"))</f>
        <v>Technology</v>
      </c>
      <c r="BG249" s="1" t="s">
        <v>229</v>
      </c>
      <c r="BH249" t="s">
        <v>229</v>
      </c>
      <c r="BI249"/>
      <c r="BJ249" t="s">
        <v>345</v>
      </c>
      <c r="BK249">
        <v>0</v>
      </c>
      <c r="BL249">
        <v>23436</v>
      </c>
      <c r="BM249" s="143"/>
      <c r="BN249">
        <f t="shared" si="219"/>
        <v>23436</v>
      </c>
      <c r="BO249" s="143">
        <f t="shared" si="240"/>
        <v>47.828571428571436</v>
      </c>
      <c r="BP249" t="s">
        <v>232</v>
      </c>
      <c r="BQ249" s="302" t="s">
        <v>1056</v>
      </c>
      <c r="BR249" t="s">
        <v>397</v>
      </c>
      <c r="BS249">
        <v>-8660</v>
      </c>
      <c r="BT249">
        <v>-693</v>
      </c>
      <c r="BU249" s="144">
        <v>8.0023094688221705E-2</v>
      </c>
      <c r="BV249">
        <v>7967</v>
      </c>
      <c r="BW249"/>
      <c r="BX249">
        <f t="shared" si="241"/>
        <v>7.9669999999999996</v>
      </c>
      <c r="BY249">
        <f t="shared" si="236"/>
        <v>0.16657407407407404</v>
      </c>
      <c r="BZ249">
        <v>0</v>
      </c>
      <c r="CA249">
        <v>0</v>
      </c>
      <c r="CB249">
        <v>0</v>
      </c>
      <c r="CC249">
        <v>0</v>
      </c>
      <c r="CD249">
        <v>0</v>
      </c>
      <c r="CE249">
        <v>0</v>
      </c>
      <c r="CF249">
        <v>0</v>
      </c>
      <c r="CG249">
        <v>0</v>
      </c>
      <c r="CH249">
        <v>0</v>
      </c>
      <c r="CI249">
        <v>0</v>
      </c>
      <c r="CJ249">
        <v>0</v>
      </c>
      <c r="CK249">
        <v>0</v>
      </c>
      <c r="CL249">
        <v>0</v>
      </c>
      <c r="CM249">
        <v>0</v>
      </c>
      <c r="CN249" t="str">
        <f t="shared" si="242"/>
        <v>refOK</v>
      </c>
      <c r="CO249">
        <f t="shared" si="243"/>
        <v>0</v>
      </c>
      <c r="CP249">
        <f t="shared" si="244"/>
        <v>23436</v>
      </c>
      <c r="CQ249">
        <f t="shared" si="220"/>
        <v>47.828571428571436</v>
      </c>
      <c r="CR249">
        <f t="shared" si="238"/>
        <v>-8660</v>
      </c>
      <c r="CS249">
        <f t="shared" si="239"/>
        <v>-693</v>
      </c>
      <c r="CT249">
        <f t="shared" si="221"/>
        <v>7.9669999999999996</v>
      </c>
      <c r="CU249">
        <f t="shared" si="222"/>
        <v>0.16657407407407404</v>
      </c>
      <c r="CV249" s="2">
        <f t="shared" si="223"/>
        <v>0.91997690531177834</v>
      </c>
      <c r="CW249" s="1" t="s">
        <v>1202</v>
      </c>
      <c r="CX249" t="str">
        <f t="shared" si="224"/>
        <v>reg</v>
      </c>
      <c r="CY249" t="s">
        <v>348</v>
      </c>
      <c r="CZ249">
        <v>2014</v>
      </c>
      <c r="DA249">
        <v>2514</v>
      </c>
      <c r="DB249">
        <v>500</v>
      </c>
      <c r="DC249" t="str">
        <f t="shared" si="225"/>
        <v>+100</v>
      </c>
      <c r="DD249">
        <v>0</v>
      </c>
      <c r="DE249">
        <v>0</v>
      </c>
      <c r="DF249">
        <v>0</v>
      </c>
      <c r="DG249">
        <v>1</v>
      </c>
      <c r="DH249"/>
      <c r="DI249">
        <f t="shared" si="226"/>
        <v>1</v>
      </c>
      <c r="DJ249" t="str">
        <f t="shared" si="227"/>
        <v>TimberInput</v>
      </c>
      <c r="DK249">
        <f t="shared" si="228"/>
        <v>0</v>
      </c>
      <c r="DL249">
        <f t="shared" si="229"/>
        <v>0</v>
      </c>
      <c r="DM249">
        <f t="shared" si="230"/>
        <v>0</v>
      </c>
      <c r="DN249" t="str">
        <f t="shared" si="231"/>
        <v>Timber</v>
      </c>
      <c r="DO249">
        <v>0</v>
      </c>
      <c r="DP249">
        <v>0</v>
      </c>
      <c r="DQ249">
        <v>0</v>
      </c>
      <c r="DR249">
        <v>0</v>
      </c>
      <c r="DS249">
        <v>0</v>
      </c>
      <c r="DT249">
        <f t="shared" si="232"/>
        <v>0</v>
      </c>
      <c r="DU249" s="143" t="str">
        <f t="shared" si="233"/>
        <v>explicit C balance</v>
      </c>
      <c r="DV249">
        <v>0</v>
      </c>
      <c r="DW249">
        <v>0</v>
      </c>
      <c r="DX249">
        <v>0</v>
      </c>
      <c r="DY249">
        <v>0</v>
      </c>
      <c r="DZ249">
        <v>0</v>
      </c>
      <c r="EA249" s="143">
        <v>1</v>
      </c>
      <c r="EB249">
        <v>0</v>
      </c>
      <c r="EC249">
        <v>1</v>
      </c>
      <c r="ED249">
        <v>1</v>
      </c>
      <c r="EE249">
        <v>1</v>
      </c>
      <c r="EF249">
        <v>0</v>
      </c>
      <c r="EG249">
        <v>0</v>
      </c>
      <c r="EH249">
        <v>0</v>
      </c>
      <c r="EI249" s="2">
        <v>0</v>
      </c>
      <c r="EJ249" s="1"/>
      <c r="EK249" t="str">
        <f t="shared" si="234"/>
        <v/>
      </c>
      <c r="EL249" t="str">
        <f t="shared" si="235"/>
        <v/>
      </c>
      <c r="EM249" s="2" t="str">
        <f t="shared" si="237"/>
        <v>Technology approach</v>
      </c>
      <c r="EN249"/>
      <c r="EO249"/>
      <c r="EP249" t="str">
        <f>IF(ISNUMBER(BU249),IF(ABS(BU249-[3]QC_indicators!$B$2)&gt;3*[3]QC_indicators!$C$2,"C ratio",IF(ISNUMBER(BY249),IF(ABS(BY249-[3]QC_indicators!$B$1)&gt;3*[3]QC_indicators!$C$1,"DF","no"))),IF(ISNUMBER(BY249),IF(ABS(BY249-[3]QC_indicators!$B$1)&gt;3*[3]QC_indicators!$C$1,"DF","no")))</f>
        <v>no</v>
      </c>
      <c r="EQ249"/>
      <c r="ER249" s="149" t="s">
        <v>349</v>
      </c>
      <c r="ES249"/>
      <c r="ET249" s="264" t="s">
        <v>3272</v>
      </c>
      <c r="EU249"/>
    </row>
    <row r="250" spans="1:151" s="139" customFormat="1" ht="15" hidden="1" customHeight="1">
      <c r="A250" s="1" t="s">
        <v>1232</v>
      </c>
      <c r="B250" t="s">
        <v>1233</v>
      </c>
      <c r="C250" t="s">
        <v>1234</v>
      </c>
      <c r="D250" t="s">
        <v>336</v>
      </c>
      <c r="E250" t="s">
        <v>1235</v>
      </c>
      <c r="F250" t="s">
        <v>1236</v>
      </c>
      <c r="G250" t="s">
        <v>1237</v>
      </c>
      <c r="H250"/>
      <c r="I250">
        <v>2018</v>
      </c>
      <c r="J250"/>
      <c r="K250" t="s">
        <v>1238</v>
      </c>
      <c r="L250"/>
      <c r="M250" t="str">
        <f t="shared" si="161"/>
        <v>Balasbaneh_2018</v>
      </c>
      <c r="N250" t="s">
        <v>222</v>
      </c>
      <c r="O250" s="140" t="s">
        <v>513</v>
      </c>
      <c r="P250"/>
      <c r="Q250" t="s">
        <v>224</v>
      </c>
      <c r="R250" s="262" t="s">
        <v>223</v>
      </c>
      <c r="S250" s="1" t="s">
        <v>1248</v>
      </c>
      <c r="T250" s="264" t="s">
        <v>3112</v>
      </c>
      <c r="U250" s="264" t="s">
        <v>3115</v>
      </c>
      <c r="V250">
        <v>0</v>
      </c>
      <c r="W250">
        <v>0</v>
      </c>
      <c r="X250">
        <v>0</v>
      </c>
      <c r="Y250">
        <v>0</v>
      </c>
      <c r="Z250">
        <v>0</v>
      </c>
      <c r="AA250">
        <v>0</v>
      </c>
      <c r="AB250">
        <v>0</v>
      </c>
      <c r="AC250">
        <v>0</v>
      </c>
      <c r="AD250">
        <v>0</v>
      </c>
      <c r="AE250">
        <v>0</v>
      </c>
      <c r="AF250">
        <v>0</v>
      </c>
      <c r="AG250">
        <v>0</v>
      </c>
      <c r="AH250">
        <v>0</v>
      </c>
      <c r="AI250">
        <v>0</v>
      </c>
      <c r="AJ250">
        <v>0</v>
      </c>
      <c r="AK250">
        <v>1</v>
      </c>
      <c r="AL250">
        <v>0</v>
      </c>
      <c r="AM250">
        <v>0</v>
      </c>
      <c r="AN250">
        <v>0</v>
      </c>
      <c r="AO250">
        <v>0</v>
      </c>
      <c r="AP250">
        <v>0</v>
      </c>
      <c r="AQ250">
        <v>0</v>
      </c>
      <c r="AR250">
        <v>0</v>
      </c>
      <c r="AS250">
        <v>0</v>
      </c>
      <c r="AT250">
        <v>0</v>
      </c>
      <c r="AU250">
        <v>0</v>
      </c>
      <c r="AV250">
        <v>0</v>
      </c>
      <c r="AW250">
        <v>0</v>
      </c>
      <c r="AX250" s="141">
        <f t="shared" si="212"/>
        <v>1</v>
      </c>
      <c r="AY250" s="141">
        <f t="shared" si="213"/>
        <v>1</v>
      </c>
      <c r="AZ250">
        <f t="shared" si="214"/>
        <v>0</v>
      </c>
      <c r="BA250">
        <f t="shared" si="215"/>
        <v>0</v>
      </c>
      <c r="BB250">
        <f t="shared" si="216"/>
        <v>1</v>
      </c>
      <c r="BC250">
        <f t="shared" si="217"/>
        <v>0</v>
      </c>
      <c r="BD250">
        <f t="shared" si="218"/>
        <v>0</v>
      </c>
      <c r="BE250" t="str">
        <f t="array" ref="BE250">IF(AY250=1,INDEX($V$7:$AL$7,MATCH(TRUE,INDEX($V250:$AW250&lt;&gt;0,),0)),IF(AY250=0,INDEX($AM$7:$AW$7,MATCH(1,$AM250:$AW250,0)),IF(BF250="Multiple strategies","mixed drivers",IF(BF250="Supply chain","multiple supply","multiple silviculture"))))</f>
        <v>technologies/design switch</v>
      </c>
      <c r="BF250" s="2" t="str" cm="1">
        <f t="array" ref="BF250">IF(COUNTIF(AZ250:BB250,"&lt;&gt;0")=1,INDEX($V$4:$AW$4,MATCH(TRUE,INDEX($V250:$AW250&lt;&gt;0,),0)),IF(COUNTIF(AZ250:BB250,"&lt;&gt;0")=0,INDEX($AM$4:$AW$4,MATCH(1,$AM250:$AW250,0)),"Multiple strategies"))</f>
        <v>Technology</v>
      </c>
      <c r="BG250" s="1" t="s">
        <v>229</v>
      </c>
      <c r="BH250" t="s">
        <v>229</v>
      </c>
      <c r="BI250"/>
      <c r="BJ250" t="s">
        <v>345</v>
      </c>
      <c r="BK250">
        <v>0</v>
      </c>
      <c r="BL250">
        <v>23436</v>
      </c>
      <c r="BM250" s="143"/>
      <c r="BN250">
        <f t="shared" si="219"/>
        <v>23436</v>
      </c>
      <c r="BO250" s="143">
        <f t="shared" si="240"/>
        <v>47.828571428571436</v>
      </c>
      <c r="BP250" t="s">
        <v>232</v>
      </c>
      <c r="BQ250" s="302" t="s">
        <v>1056</v>
      </c>
      <c r="BR250" t="s">
        <v>397</v>
      </c>
      <c r="BS250">
        <v>-8790</v>
      </c>
      <c r="BT250">
        <v>-711</v>
      </c>
      <c r="BU250" s="144">
        <v>8.088737201365187E-2</v>
      </c>
      <c r="BV250">
        <v>8079</v>
      </c>
      <c r="BW250"/>
      <c r="BX250">
        <f t="shared" si="241"/>
        <v>8.0790000000000006</v>
      </c>
      <c r="BY250">
        <f t="shared" si="236"/>
        <v>0.16891577060931898</v>
      </c>
      <c r="BZ250">
        <v>0</v>
      </c>
      <c r="CA250">
        <v>0</v>
      </c>
      <c r="CB250">
        <v>0</v>
      </c>
      <c r="CC250">
        <v>0</v>
      </c>
      <c r="CD250">
        <v>0</v>
      </c>
      <c r="CE250">
        <v>0</v>
      </c>
      <c r="CF250">
        <v>0</v>
      </c>
      <c r="CG250">
        <v>0</v>
      </c>
      <c r="CH250">
        <v>0</v>
      </c>
      <c r="CI250">
        <v>0</v>
      </c>
      <c r="CJ250">
        <v>0</v>
      </c>
      <c r="CK250">
        <v>0</v>
      </c>
      <c r="CL250">
        <v>0</v>
      </c>
      <c r="CM250">
        <v>0</v>
      </c>
      <c r="CN250" t="str">
        <f t="shared" si="242"/>
        <v>refOK</v>
      </c>
      <c r="CO250">
        <f t="shared" si="243"/>
        <v>0</v>
      </c>
      <c r="CP250">
        <f t="shared" si="244"/>
        <v>23436</v>
      </c>
      <c r="CQ250">
        <f t="shared" si="220"/>
        <v>47.828571428571436</v>
      </c>
      <c r="CR250">
        <f t="shared" si="238"/>
        <v>-8790</v>
      </c>
      <c r="CS250">
        <f t="shared" si="239"/>
        <v>-711</v>
      </c>
      <c r="CT250">
        <f t="shared" si="221"/>
        <v>8.0790000000000006</v>
      </c>
      <c r="CU250">
        <f t="shared" si="222"/>
        <v>0.16891577060931898</v>
      </c>
      <c r="CV250" s="2">
        <f t="shared" si="223"/>
        <v>0.91911262798634807</v>
      </c>
      <c r="CW250" s="1" t="s">
        <v>1202</v>
      </c>
      <c r="CX250" t="str">
        <f t="shared" si="224"/>
        <v>reg</v>
      </c>
      <c r="CY250" t="s">
        <v>348</v>
      </c>
      <c r="CZ250">
        <v>2014</v>
      </c>
      <c r="DA250">
        <v>2034</v>
      </c>
      <c r="DB250">
        <v>20</v>
      </c>
      <c r="DC250" t="str">
        <f t="shared" si="225"/>
        <v>1-30</v>
      </c>
      <c r="DD250">
        <v>0</v>
      </c>
      <c r="DE250">
        <v>0</v>
      </c>
      <c r="DF250">
        <v>0</v>
      </c>
      <c r="DG250">
        <v>1</v>
      </c>
      <c r="DH250"/>
      <c r="DI250">
        <f t="shared" si="226"/>
        <v>1</v>
      </c>
      <c r="DJ250" t="str">
        <f t="shared" si="227"/>
        <v>TimberInput</v>
      </c>
      <c r="DK250">
        <f t="shared" si="228"/>
        <v>0</v>
      </c>
      <c r="DL250">
        <f t="shared" si="229"/>
        <v>0</v>
      </c>
      <c r="DM250">
        <f t="shared" si="230"/>
        <v>0</v>
      </c>
      <c r="DN250" t="str">
        <f t="shared" si="231"/>
        <v>Timber</v>
      </c>
      <c r="DO250">
        <v>0</v>
      </c>
      <c r="DP250">
        <v>0</v>
      </c>
      <c r="DQ250">
        <v>0</v>
      </c>
      <c r="DR250">
        <v>0</v>
      </c>
      <c r="DS250">
        <v>0</v>
      </c>
      <c r="DT250">
        <f t="shared" si="232"/>
        <v>0</v>
      </c>
      <c r="DU250" s="143" t="str">
        <f t="shared" si="233"/>
        <v>explicit C balance</v>
      </c>
      <c r="DV250">
        <v>0</v>
      </c>
      <c r="DW250">
        <v>0</v>
      </c>
      <c r="DX250">
        <v>0</v>
      </c>
      <c r="DY250">
        <v>0</v>
      </c>
      <c r="DZ250">
        <v>0</v>
      </c>
      <c r="EA250" s="143">
        <v>1</v>
      </c>
      <c r="EB250">
        <v>0</v>
      </c>
      <c r="EC250">
        <v>1</v>
      </c>
      <c r="ED250">
        <v>1</v>
      </c>
      <c r="EE250">
        <v>1</v>
      </c>
      <c r="EF250">
        <v>0</v>
      </c>
      <c r="EG250">
        <v>0</v>
      </c>
      <c r="EH250">
        <v>0</v>
      </c>
      <c r="EI250" s="2">
        <v>0</v>
      </c>
      <c r="EJ250" s="1"/>
      <c r="EK250" t="str">
        <f t="shared" si="234"/>
        <v/>
      </c>
      <c r="EL250" t="str">
        <f t="shared" si="235"/>
        <v/>
      </c>
      <c r="EM250" s="2" t="str">
        <f t="shared" si="237"/>
        <v>Technology approach</v>
      </c>
      <c r="EN250"/>
      <c r="EO250"/>
      <c r="EP250" t="str">
        <f>IF(ISNUMBER(BU250),IF(ABS(BU250-[3]QC_indicators!$B$2)&gt;3*[3]QC_indicators!$C$2,"C ratio",IF(ISNUMBER(BY250),IF(ABS(BY250-[3]QC_indicators!$B$1)&gt;3*[3]QC_indicators!$C$1,"DF","no"))),IF(ISNUMBER(BY250),IF(ABS(BY250-[3]QC_indicators!$B$1)&gt;3*[3]QC_indicators!$C$1,"DF","no")))</f>
        <v>no</v>
      </c>
      <c r="EQ250"/>
      <c r="ER250" s="149" t="s">
        <v>349</v>
      </c>
      <c r="ES250"/>
      <c r="ET250" s="264" t="s">
        <v>3272</v>
      </c>
      <c r="EU250"/>
    </row>
    <row r="251" spans="1:151" s="139" customFormat="1" ht="15" hidden="1" customHeight="1">
      <c r="A251" s="1" t="s">
        <v>1232</v>
      </c>
      <c r="B251" t="s">
        <v>1233</v>
      </c>
      <c r="C251" t="s">
        <v>1234</v>
      </c>
      <c r="D251" t="s">
        <v>336</v>
      </c>
      <c r="E251" t="s">
        <v>1235</v>
      </c>
      <c r="F251" t="s">
        <v>1236</v>
      </c>
      <c r="G251" t="s">
        <v>1237</v>
      </c>
      <c r="H251"/>
      <c r="I251">
        <v>2018</v>
      </c>
      <c r="J251"/>
      <c r="K251" t="s">
        <v>1238</v>
      </c>
      <c r="L251"/>
      <c r="M251" t="str">
        <f t="shared" si="161"/>
        <v>Balasbaneh_2018</v>
      </c>
      <c r="N251" t="s">
        <v>222</v>
      </c>
      <c r="O251" s="140" t="s">
        <v>513</v>
      </c>
      <c r="P251"/>
      <c r="Q251" t="s">
        <v>224</v>
      </c>
      <c r="R251" s="262" t="s">
        <v>223</v>
      </c>
      <c r="S251" s="1" t="s">
        <v>1249</v>
      </c>
      <c r="T251" s="264" t="s">
        <v>3113</v>
      </c>
      <c r="U251" s="264" t="s">
        <v>3115</v>
      </c>
      <c r="V251">
        <v>0</v>
      </c>
      <c r="W251">
        <v>0</v>
      </c>
      <c r="X251">
        <v>0</v>
      </c>
      <c r="Y251">
        <v>0</v>
      </c>
      <c r="Z251">
        <v>0</v>
      </c>
      <c r="AA251">
        <v>0</v>
      </c>
      <c r="AB251">
        <v>0</v>
      </c>
      <c r="AC251">
        <v>0</v>
      </c>
      <c r="AD251">
        <v>0</v>
      </c>
      <c r="AE251">
        <v>0</v>
      </c>
      <c r="AF251">
        <v>0</v>
      </c>
      <c r="AG251">
        <v>0</v>
      </c>
      <c r="AH251">
        <v>0</v>
      </c>
      <c r="AI251">
        <v>0</v>
      </c>
      <c r="AJ251">
        <v>0</v>
      </c>
      <c r="AK251">
        <v>1</v>
      </c>
      <c r="AL251">
        <v>0</v>
      </c>
      <c r="AM251">
        <v>0</v>
      </c>
      <c r="AN251">
        <v>0</v>
      </c>
      <c r="AO251">
        <v>0</v>
      </c>
      <c r="AP251">
        <v>0</v>
      </c>
      <c r="AQ251">
        <v>0</v>
      </c>
      <c r="AR251">
        <v>0</v>
      </c>
      <c r="AS251">
        <v>0</v>
      </c>
      <c r="AT251">
        <v>0</v>
      </c>
      <c r="AU251">
        <v>0</v>
      </c>
      <c r="AV251">
        <v>0</v>
      </c>
      <c r="AW251">
        <v>0</v>
      </c>
      <c r="AX251" s="141">
        <f t="shared" si="212"/>
        <v>1</v>
      </c>
      <c r="AY251" s="141">
        <f t="shared" si="213"/>
        <v>1</v>
      </c>
      <c r="AZ251">
        <f t="shared" si="214"/>
        <v>0</v>
      </c>
      <c r="BA251">
        <f t="shared" si="215"/>
        <v>0</v>
      </c>
      <c r="BB251">
        <f t="shared" si="216"/>
        <v>1</v>
      </c>
      <c r="BC251">
        <f t="shared" si="217"/>
        <v>0</v>
      </c>
      <c r="BD251">
        <f t="shared" si="218"/>
        <v>0</v>
      </c>
      <c r="BE251" t="str">
        <f t="array" ref="BE251">IF(AY251=1,INDEX($V$7:$AL$7,MATCH(TRUE,INDEX($V251:$AW251&lt;&gt;0,),0)),IF(AY251=0,INDEX($AM$7:$AW$7,MATCH(1,$AM251:$AW251,0)),IF(BF251="Multiple strategies","mixed drivers",IF(BF251="Supply chain","multiple supply","multiple silviculture"))))</f>
        <v>technologies/design switch</v>
      </c>
      <c r="BF251" s="2" t="str" cm="1">
        <f t="array" ref="BF251">IF(COUNTIF(AZ251:BB251,"&lt;&gt;0")=1,INDEX($V$4:$AW$4,MATCH(TRUE,INDEX($V251:$AW251&lt;&gt;0,),0)),IF(COUNTIF(AZ251:BB251,"&lt;&gt;0")=0,INDEX($AM$4:$AW$4,MATCH(1,$AM251:$AW251,0)),"Multiple strategies"))</f>
        <v>Technology</v>
      </c>
      <c r="BG251" s="1" t="s">
        <v>229</v>
      </c>
      <c r="BH251" t="s">
        <v>229</v>
      </c>
      <c r="BI251"/>
      <c r="BJ251" t="s">
        <v>345</v>
      </c>
      <c r="BK251">
        <v>0</v>
      </c>
      <c r="BL251">
        <v>23436</v>
      </c>
      <c r="BM251" s="143"/>
      <c r="BN251">
        <f t="shared" si="219"/>
        <v>23436</v>
      </c>
      <c r="BO251" s="143">
        <f t="shared" si="240"/>
        <v>47.828571428571436</v>
      </c>
      <c r="BP251" t="s">
        <v>232</v>
      </c>
      <c r="BQ251" s="302" t="s">
        <v>1056</v>
      </c>
      <c r="BR251" t="s">
        <v>397</v>
      </c>
      <c r="BS251">
        <v>-9120</v>
      </c>
      <c r="BT251">
        <v>-702</v>
      </c>
      <c r="BU251" s="144">
        <v>7.6973684210526319E-2</v>
      </c>
      <c r="BV251">
        <v>8418</v>
      </c>
      <c r="BW251"/>
      <c r="BX251">
        <f t="shared" si="241"/>
        <v>8.4179999999999993</v>
      </c>
      <c r="BY251">
        <f t="shared" si="236"/>
        <v>0.17600358422939064</v>
      </c>
      <c r="BZ251">
        <v>0</v>
      </c>
      <c r="CA251">
        <v>0</v>
      </c>
      <c r="CB251">
        <v>0</v>
      </c>
      <c r="CC251">
        <v>0</v>
      </c>
      <c r="CD251">
        <v>0</v>
      </c>
      <c r="CE251">
        <v>0</v>
      </c>
      <c r="CF251">
        <v>0</v>
      </c>
      <c r="CG251">
        <v>0</v>
      </c>
      <c r="CH251">
        <v>0</v>
      </c>
      <c r="CI251">
        <v>0</v>
      </c>
      <c r="CJ251">
        <v>0</v>
      </c>
      <c r="CK251">
        <v>0</v>
      </c>
      <c r="CL251">
        <v>0</v>
      </c>
      <c r="CM251">
        <v>0</v>
      </c>
      <c r="CN251" t="str">
        <f t="shared" si="242"/>
        <v>refOK</v>
      </c>
      <c r="CO251">
        <f t="shared" si="243"/>
        <v>0</v>
      </c>
      <c r="CP251">
        <f t="shared" si="244"/>
        <v>23436</v>
      </c>
      <c r="CQ251">
        <f t="shared" si="220"/>
        <v>47.828571428571436</v>
      </c>
      <c r="CR251">
        <f t="shared" si="238"/>
        <v>-9120</v>
      </c>
      <c r="CS251">
        <f t="shared" si="239"/>
        <v>-702</v>
      </c>
      <c r="CT251">
        <f t="shared" si="221"/>
        <v>8.4179999999999993</v>
      </c>
      <c r="CU251">
        <f t="shared" si="222"/>
        <v>0.17600358422939064</v>
      </c>
      <c r="CV251" s="2">
        <f t="shared" si="223"/>
        <v>0.92302631578947369</v>
      </c>
      <c r="CW251" s="1" t="s">
        <v>1202</v>
      </c>
      <c r="CX251" t="str">
        <f t="shared" si="224"/>
        <v>reg</v>
      </c>
      <c r="CY251" t="s">
        <v>348</v>
      </c>
      <c r="CZ251">
        <v>2014</v>
      </c>
      <c r="DA251">
        <v>2114</v>
      </c>
      <c r="DB251">
        <v>100</v>
      </c>
      <c r="DC251" t="str">
        <f t="shared" si="225"/>
        <v>71-100</v>
      </c>
      <c r="DD251">
        <v>0</v>
      </c>
      <c r="DE251">
        <v>0</v>
      </c>
      <c r="DF251">
        <v>0</v>
      </c>
      <c r="DG251">
        <v>1</v>
      </c>
      <c r="DH251"/>
      <c r="DI251">
        <f t="shared" si="226"/>
        <v>1</v>
      </c>
      <c r="DJ251" t="str">
        <f t="shared" si="227"/>
        <v>TimberInput</v>
      </c>
      <c r="DK251">
        <f t="shared" si="228"/>
        <v>0</v>
      </c>
      <c r="DL251">
        <f t="shared" si="229"/>
        <v>0</v>
      </c>
      <c r="DM251">
        <f t="shared" si="230"/>
        <v>0</v>
      </c>
      <c r="DN251" t="str">
        <f t="shared" si="231"/>
        <v>Timber</v>
      </c>
      <c r="DO251">
        <v>0</v>
      </c>
      <c r="DP251">
        <v>0</v>
      </c>
      <c r="DQ251">
        <v>0</v>
      </c>
      <c r="DR251">
        <v>0</v>
      </c>
      <c r="DS251">
        <v>0</v>
      </c>
      <c r="DT251">
        <f t="shared" si="232"/>
        <v>0</v>
      </c>
      <c r="DU251" s="143" t="str">
        <f t="shared" si="233"/>
        <v>explicit C balance</v>
      </c>
      <c r="DV251">
        <v>0</v>
      </c>
      <c r="DW251">
        <v>0</v>
      </c>
      <c r="DX251">
        <v>0</v>
      </c>
      <c r="DY251">
        <v>0</v>
      </c>
      <c r="DZ251">
        <v>0</v>
      </c>
      <c r="EA251" s="143">
        <v>1</v>
      </c>
      <c r="EB251">
        <v>0</v>
      </c>
      <c r="EC251">
        <v>1</v>
      </c>
      <c r="ED251">
        <v>1</v>
      </c>
      <c r="EE251">
        <v>1</v>
      </c>
      <c r="EF251">
        <v>0</v>
      </c>
      <c r="EG251">
        <v>0</v>
      </c>
      <c r="EH251">
        <v>0</v>
      </c>
      <c r="EI251" s="2">
        <v>0</v>
      </c>
      <c r="EJ251" s="1"/>
      <c r="EK251" t="str">
        <f t="shared" si="234"/>
        <v/>
      </c>
      <c r="EL251" t="str">
        <f t="shared" si="235"/>
        <v/>
      </c>
      <c r="EM251" s="2" t="str">
        <f t="shared" si="237"/>
        <v>Technology approach</v>
      </c>
      <c r="EN251"/>
      <c r="EO251"/>
      <c r="EP251" t="str">
        <f>IF(ISNUMBER(BU251),IF(ABS(BU251-[3]QC_indicators!$B$2)&gt;3*[3]QC_indicators!$C$2,"C ratio",IF(ISNUMBER(BY251),IF(ABS(BY251-[3]QC_indicators!$B$1)&gt;3*[3]QC_indicators!$C$1,"DF","no"))),IF(ISNUMBER(BY251),IF(ABS(BY251-[3]QC_indicators!$B$1)&gt;3*[3]QC_indicators!$C$1,"DF","no")))</f>
        <v>no</v>
      </c>
      <c r="EQ251"/>
      <c r="ER251" s="149" t="s">
        <v>349</v>
      </c>
      <c r="ES251"/>
      <c r="ET251" s="264" t="s">
        <v>3272</v>
      </c>
      <c r="EU251"/>
    </row>
    <row r="252" spans="1:151" s="139" customFormat="1" ht="15" hidden="1" customHeight="1">
      <c r="A252" s="1" t="s">
        <v>1232</v>
      </c>
      <c r="B252" t="s">
        <v>1233</v>
      </c>
      <c r="C252" t="s">
        <v>1234</v>
      </c>
      <c r="D252" t="s">
        <v>336</v>
      </c>
      <c r="E252" t="s">
        <v>1235</v>
      </c>
      <c r="F252" t="s">
        <v>1236</v>
      </c>
      <c r="G252" t="s">
        <v>1237</v>
      </c>
      <c r="H252"/>
      <c r="I252">
        <v>2018</v>
      </c>
      <c r="J252"/>
      <c r="K252" t="s">
        <v>1238</v>
      </c>
      <c r="L252"/>
      <c r="M252" t="str">
        <f t="shared" si="161"/>
        <v>Balasbaneh_2018</v>
      </c>
      <c r="N252" t="s">
        <v>222</v>
      </c>
      <c r="O252" s="140" t="s">
        <v>513</v>
      </c>
      <c r="P252"/>
      <c r="Q252" t="s">
        <v>224</v>
      </c>
      <c r="R252" s="262" t="s">
        <v>223</v>
      </c>
      <c r="S252" s="1" t="s">
        <v>1250</v>
      </c>
      <c r="T252" s="264" t="s">
        <v>3113</v>
      </c>
      <c r="U252" s="264" t="s">
        <v>3115</v>
      </c>
      <c r="V252">
        <v>0</v>
      </c>
      <c r="W252">
        <v>0</v>
      </c>
      <c r="X252">
        <v>0</v>
      </c>
      <c r="Y252">
        <v>0</v>
      </c>
      <c r="Z252">
        <v>0</v>
      </c>
      <c r="AA252">
        <v>0</v>
      </c>
      <c r="AB252">
        <v>0</v>
      </c>
      <c r="AC252">
        <v>0</v>
      </c>
      <c r="AD252">
        <v>0</v>
      </c>
      <c r="AE252">
        <v>0</v>
      </c>
      <c r="AF252">
        <v>0</v>
      </c>
      <c r="AG252">
        <v>0</v>
      </c>
      <c r="AH252">
        <v>0</v>
      </c>
      <c r="AI252">
        <v>0</v>
      </c>
      <c r="AJ252">
        <v>0</v>
      </c>
      <c r="AK252">
        <v>1</v>
      </c>
      <c r="AL252">
        <v>0</v>
      </c>
      <c r="AM252">
        <v>0</v>
      </c>
      <c r="AN252">
        <v>0</v>
      </c>
      <c r="AO252">
        <v>0</v>
      </c>
      <c r="AP252">
        <v>0</v>
      </c>
      <c r="AQ252">
        <v>0</v>
      </c>
      <c r="AR252">
        <v>0</v>
      </c>
      <c r="AS252">
        <v>0</v>
      </c>
      <c r="AT252">
        <v>0</v>
      </c>
      <c r="AU252">
        <v>0</v>
      </c>
      <c r="AV252">
        <v>0</v>
      </c>
      <c r="AW252">
        <v>0</v>
      </c>
      <c r="AX252" s="141">
        <f t="shared" si="212"/>
        <v>1</v>
      </c>
      <c r="AY252" s="141">
        <f t="shared" si="213"/>
        <v>1</v>
      </c>
      <c r="AZ252">
        <f t="shared" si="214"/>
        <v>0</v>
      </c>
      <c r="BA252">
        <f t="shared" si="215"/>
        <v>0</v>
      </c>
      <c r="BB252">
        <f t="shared" si="216"/>
        <v>1</v>
      </c>
      <c r="BC252">
        <f t="shared" si="217"/>
        <v>0</v>
      </c>
      <c r="BD252">
        <f t="shared" si="218"/>
        <v>0</v>
      </c>
      <c r="BE252" t="str">
        <f t="array" ref="BE252">IF(AY252=1,INDEX($V$7:$AL$7,MATCH(TRUE,INDEX($V252:$AW252&lt;&gt;0,),0)),IF(AY252=0,INDEX($AM$7:$AW$7,MATCH(1,$AM252:$AW252,0)),IF(BF252="Multiple strategies","mixed drivers",IF(BF252="Supply chain","multiple supply","multiple silviculture"))))</f>
        <v>technologies/design switch</v>
      </c>
      <c r="BF252" s="2" t="str" cm="1">
        <f t="array" ref="BF252">IF(COUNTIF(AZ252:BB252,"&lt;&gt;0")=1,INDEX($V$4:$AW$4,MATCH(TRUE,INDEX($V252:$AW252&lt;&gt;0,),0)),IF(COUNTIF(AZ252:BB252,"&lt;&gt;0")=0,INDEX($AM$4:$AW$4,MATCH(1,$AM252:$AW252,0)),"Multiple strategies"))</f>
        <v>Technology</v>
      </c>
      <c r="BG252" s="1" t="s">
        <v>229</v>
      </c>
      <c r="BH252" t="s">
        <v>229</v>
      </c>
      <c r="BI252"/>
      <c r="BJ252" t="s">
        <v>345</v>
      </c>
      <c r="BK252">
        <v>0</v>
      </c>
      <c r="BL252">
        <v>23436</v>
      </c>
      <c r="BM252" s="143"/>
      <c r="BN252">
        <f t="shared" si="219"/>
        <v>23436</v>
      </c>
      <c r="BO252" s="143">
        <f t="shared" si="240"/>
        <v>47.828571428571436</v>
      </c>
      <c r="BP252" t="s">
        <v>232</v>
      </c>
      <c r="BQ252" s="302" t="s">
        <v>1056</v>
      </c>
      <c r="BR252" t="s">
        <v>397</v>
      </c>
      <c r="BS252">
        <v>-9840</v>
      </c>
      <c r="BT252">
        <v>-711</v>
      </c>
      <c r="BU252" s="144">
        <v>7.2256097560975605E-2</v>
      </c>
      <c r="BV252">
        <v>9129</v>
      </c>
      <c r="BW252"/>
      <c r="BX252">
        <f t="shared" si="241"/>
        <v>9.1289999999999996</v>
      </c>
      <c r="BY252">
        <f t="shared" si="236"/>
        <v>0.1908691756272401</v>
      </c>
      <c r="BZ252">
        <v>0</v>
      </c>
      <c r="CA252">
        <v>0</v>
      </c>
      <c r="CB252">
        <v>0</v>
      </c>
      <c r="CC252">
        <v>0</v>
      </c>
      <c r="CD252">
        <v>0</v>
      </c>
      <c r="CE252">
        <v>0</v>
      </c>
      <c r="CF252">
        <v>0</v>
      </c>
      <c r="CG252">
        <v>0</v>
      </c>
      <c r="CH252">
        <v>0</v>
      </c>
      <c r="CI252">
        <v>0</v>
      </c>
      <c r="CJ252">
        <v>0</v>
      </c>
      <c r="CK252">
        <v>0</v>
      </c>
      <c r="CL252">
        <v>0</v>
      </c>
      <c r="CM252">
        <v>0</v>
      </c>
      <c r="CN252" t="str">
        <f t="shared" si="242"/>
        <v>refOK</v>
      </c>
      <c r="CO252">
        <f t="shared" si="243"/>
        <v>0</v>
      </c>
      <c r="CP252">
        <f t="shared" si="244"/>
        <v>23436</v>
      </c>
      <c r="CQ252">
        <f t="shared" si="220"/>
        <v>47.828571428571436</v>
      </c>
      <c r="CR252">
        <f t="shared" si="238"/>
        <v>-9840</v>
      </c>
      <c r="CS252">
        <f t="shared" si="239"/>
        <v>-711</v>
      </c>
      <c r="CT252">
        <f t="shared" si="221"/>
        <v>9.1289999999999996</v>
      </c>
      <c r="CU252">
        <f t="shared" si="222"/>
        <v>0.1908691756272401</v>
      </c>
      <c r="CV252" s="2">
        <f t="shared" si="223"/>
        <v>0.92774390243902438</v>
      </c>
      <c r="CW252" s="1" t="s">
        <v>1202</v>
      </c>
      <c r="CX252" t="str">
        <f t="shared" si="224"/>
        <v>reg</v>
      </c>
      <c r="CY252" t="s">
        <v>348</v>
      </c>
      <c r="CZ252">
        <v>2014</v>
      </c>
      <c r="DA252">
        <v>2034</v>
      </c>
      <c r="DB252">
        <v>20</v>
      </c>
      <c r="DC252" t="str">
        <f t="shared" si="225"/>
        <v>1-30</v>
      </c>
      <c r="DD252">
        <v>0</v>
      </c>
      <c r="DE252">
        <v>0</v>
      </c>
      <c r="DF252">
        <v>0</v>
      </c>
      <c r="DG252">
        <v>1</v>
      </c>
      <c r="DH252"/>
      <c r="DI252">
        <f t="shared" si="226"/>
        <v>1</v>
      </c>
      <c r="DJ252" t="str">
        <f t="shared" si="227"/>
        <v>TimberInput</v>
      </c>
      <c r="DK252">
        <f t="shared" si="228"/>
        <v>0</v>
      </c>
      <c r="DL252">
        <f t="shared" si="229"/>
        <v>0</v>
      </c>
      <c r="DM252">
        <f t="shared" si="230"/>
        <v>0</v>
      </c>
      <c r="DN252" t="str">
        <f t="shared" si="231"/>
        <v>Timber</v>
      </c>
      <c r="DO252">
        <v>0</v>
      </c>
      <c r="DP252">
        <v>0</v>
      </c>
      <c r="DQ252">
        <v>0</v>
      </c>
      <c r="DR252">
        <v>0</v>
      </c>
      <c r="DS252">
        <v>0</v>
      </c>
      <c r="DT252">
        <f t="shared" si="232"/>
        <v>0</v>
      </c>
      <c r="DU252" s="143" t="str">
        <f t="shared" si="233"/>
        <v>explicit C balance</v>
      </c>
      <c r="DV252">
        <v>0</v>
      </c>
      <c r="DW252">
        <v>0</v>
      </c>
      <c r="DX252">
        <v>0</v>
      </c>
      <c r="DY252">
        <v>0</v>
      </c>
      <c r="DZ252">
        <v>0</v>
      </c>
      <c r="EA252" s="143">
        <v>1</v>
      </c>
      <c r="EB252">
        <v>0</v>
      </c>
      <c r="EC252">
        <v>1</v>
      </c>
      <c r="ED252">
        <v>1</v>
      </c>
      <c r="EE252">
        <v>1</v>
      </c>
      <c r="EF252">
        <v>0</v>
      </c>
      <c r="EG252">
        <v>0</v>
      </c>
      <c r="EH252">
        <v>0</v>
      </c>
      <c r="EI252" s="2">
        <v>0</v>
      </c>
      <c r="EJ252" s="1"/>
      <c r="EK252" t="str">
        <f t="shared" si="234"/>
        <v/>
      </c>
      <c r="EL252" t="str">
        <f t="shared" si="235"/>
        <v/>
      </c>
      <c r="EM252" s="2" t="str">
        <f t="shared" si="237"/>
        <v>Technology approach</v>
      </c>
      <c r="EN252"/>
      <c r="EO252"/>
      <c r="EP252" t="str">
        <f>IF(ISNUMBER(BU252),IF(ABS(BU252-[3]QC_indicators!$B$2)&gt;3*[3]QC_indicators!$C$2,"C ratio",IF(ISNUMBER(BY252),IF(ABS(BY252-[3]QC_indicators!$B$1)&gt;3*[3]QC_indicators!$C$1,"DF","no"))),IF(ISNUMBER(BY252),IF(ABS(BY252-[3]QC_indicators!$B$1)&gt;3*[3]QC_indicators!$C$1,"DF","no")))</f>
        <v>no</v>
      </c>
      <c r="EQ252"/>
      <c r="ER252" s="149" t="s">
        <v>349</v>
      </c>
      <c r="ES252"/>
      <c r="ET252" s="264" t="s">
        <v>3272</v>
      </c>
      <c r="EU252"/>
    </row>
    <row r="253" spans="1:151" s="139" customFormat="1" ht="15" hidden="1" customHeight="1">
      <c r="A253" s="1" t="s">
        <v>1232</v>
      </c>
      <c r="B253" t="s">
        <v>1233</v>
      </c>
      <c r="C253" t="s">
        <v>1234</v>
      </c>
      <c r="D253" t="s">
        <v>336</v>
      </c>
      <c r="E253" t="s">
        <v>1235</v>
      </c>
      <c r="F253" t="s">
        <v>1236</v>
      </c>
      <c r="G253" t="s">
        <v>1237</v>
      </c>
      <c r="H253"/>
      <c r="I253">
        <v>2018</v>
      </c>
      <c r="J253"/>
      <c r="K253" t="s">
        <v>1238</v>
      </c>
      <c r="L253"/>
      <c r="M253" t="str">
        <f t="shared" si="161"/>
        <v>Balasbaneh_2018</v>
      </c>
      <c r="N253" t="s">
        <v>222</v>
      </c>
      <c r="O253" s="140" t="s">
        <v>513</v>
      </c>
      <c r="P253"/>
      <c r="Q253" t="s">
        <v>224</v>
      </c>
      <c r="R253" s="262" t="s">
        <v>223</v>
      </c>
      <c r="S253" s="1" t="s">
        <v>1251</v>
      </c>
      <c r="T253" s="264" t="s">
        <v>3111</v>
      </c>
      <c r="U253" s="264" t="s">
        <v>3115</v>
      </c>
      <c r="V253">
        <v>0</v>
      </c>
      <c r="W253">
        <v>0</v>
      </c>
      <c r="X253">
        <v>0</v>
      </c>
      <c r="Y253">
        <v>0</v>
      </c>
      <c r="Z253">
        <v>0</v>
      </c>
      <c r="AA253">
        <v>0</v>
      </c>
      <c r="AB253">
        <v>0</v>
      </c>
      <c r="AC253">
        <v>0</v>
      </c>
      <c r="AD253">
        <v>0</v>
      </c>
      <c r="AE253">
        <v>0</v>
      </c>
      <c r="AF253">
        <v>0</v>
      </c>
      <c r="AG253">
        <v>0</v>
      </c>
      <c r="AH253">
        <v>0</v>
      </c>
      <c r="AI253">
        <v>0</v>
      </c>
      <c r="AJ253">
        <v>0</v>
      </c>
      <c r="AK253">
        <v>1</v>
      </c>
      <c r="AL253">
        <v>0</v>
      </c>
      <c r="AM253">
        <v>0</v>
      </c>
      <c r="AN253">
        <v>0</v>
      </c>
      <c r="AO253">
        <v>0</v>
      </c>
      <c r="AP253">
        <v>0</v>
      </c>
      <c r="AQ253">
        <v>0</v>
      </c>
      <c r="AR253">
        <v>0</v>
      </c>
      <c r="AS253">
        <v>0</v>
      </c>
      <c r="AT253">
        <v>0</v>
      </c>
      <c r="AU253">
        <v>0</v>
      </c>
      <c r="AV253">
        <v>0</v>
      </c>
      <c r="AW253">
        <v>0</v>
      </c>
      <c r="AX253" s="141">
        <f t="shared" si="212"/>
        <v>1</v>
      </c>
      <c r="AY253" s="141">
        <f t="shared" si="213"/>
        <v>1</v>
      </c>
      <c r="AZ253">
        <f t="shared" si="214"/>
        <v>0</v>
      </c>
      <c r="BA253">
        <f t="shared" si="215"/>
        <v>0</v>
      </c>
      <c r="BB253">
        <f t="shared" si="216"/>
        <v>1</v>
      </c>
      <c r="BC253">
        <f t="shared" si="217"/>
        <v>0</v>
      </c>
      <c r="BD253">
        <f t="shared" si="218"/>
        <v>0</v>
      </c>
      <c r="BE253" t="str">
        <f t="array" ref="BE253">IF(AY253=1,INDEX($V$7:$AL$7,MATCH(TRUE,INDEX($V253:$AW253&lt;&gt;0,),0)),IF(AY253=0,INDEX($AM$7:$AW$7,MATCH(1,$AM253:$AW253,0)),IF(BF253="Multiple strategies","mixed drivers",IF(BF253="Supply chain","multiple supply","multiple silviculture"))))</f>
        <v>technologies/design switch</v>
      </c>
      <c r="BF253" s="2" t="str" cm="1">
        <f t="array" ref="BF253">IF(COUNTIF(AZ253:BB253,"&lt;&gt;0")=1,INDEX($V$4:$AW$4,MATCH(TRUE,INDEX($V253:$AW253&lt;&gt;0,),0)),IF(COUNTIF(AZ253:BB253,"&lt;&gt;0")=0,INDEX($AM$4:$AW$4,MATCH(1,$AM253:$AW253,0)),"Multiple strategies"))</f>
        <v>Technology</v>
      </c>
      <c r="BG253" s="1" t="s">
        <v>229</v>
      </c>
      <c r="BH253" t="s">
        <v>229</v>
      </c>
      <c r="BI253"/>
      <c r="BJ253" t="s">
        <v>345</v>
      </c>
      <c r="BK253">
        <v>0</v>
      </c>
      <c r="BL253">
        <v>23436</v>
      </c>
      <c r="BM253" s="143"/>
      <c r="BN253">
        <f t="shared" si="219"/>
        <v>23436</v>
      </c>
      <c r="BO253" s="143">
        <f t="shared" si="240"/>
        <v>47.828571428571436</v>
      </c>
      <c r="BP253" t="s">
        <v>232</v>
      </c>
      <c r="BQ253" s="302" t="s">
        <v>1056</v>
      </c>
      <c r="BR253" t="s">
        <v>397</v>
      </c>
      <c r="BS253">
        <v>-13900</v>
      </c>
      <c r="BT253">
        <v>-693</v>
      </c>
      <c r="BU253" s="144">
        <v>4.9856115107913671E-2</v>
      </c>
      <c r="BV253">
        <v>13207</v>
      </c>
      <c r="BW253"/>
      <c r="BX253">
        <f t="shared" si="241"/>
        <v>13.207000000000001</v>
      </c>
      <c r="BY253">
        <f t="shared" si="236"/>
        <v>0.27613201911589008</v>
      </c>
      <c r="BZ253">
        <v>0</v>
      </c>
      <c r="CA253">
        <v>0</v>
      </c>
      <c r="CB253">
        <v>0</v>
      </c>
      <c r="CC253">
        <v>0</v>
      </c>
      <c r="CD253">
        <v>0</v>
      </c>
      <c r="CE253">
        <v>0</v>
      </c>
      <c r="CF253">
        <v>0</v>
      </c>
      <c r="CG253">
        <v>0</v>
      </c>
      <c r="CH253">
        <v>0</v>
      </c>
      <c r="CI253">
        <v>0</v>
      </c>
      <c r="CJ253">
        <v>0</v>
      </c>
      <c r="CK253">
        <v>0</v>
      </c>
      <c r="CL253">
        <v>0</v>
      </c>
      <c r="CM253">
        <v>0</v>
      </c>
      <c r="CN253" t="str">
        <f t="shared" si="242"/>
        <v>refOK</v>
      </c>
      <c r="CO253">
        <f t="shared" si="243"/>
        <v>0</v>
      </c>
      <c r="CP253">
        <f t="shared" si="244"/>
        <v>23436</v>
      </c>
      <c r="CQ253">
        <f t="shared" si="220"/>
        <v>47.828571428571436</v>
      </c>
      <c r="CR253">
        <f t="shared" si="238"/>
        <v>-13900</v>
      </c>
      <c r="CS253">
        <f t="shared" si="239"/>
        <v>-693</v>
      </c>
      <c r="CT253">
        <f t="shared" si="221"/>
        <v>13.207000000000001</v>
      </c>
      <c r="CU253">
        <f t="shared" si="222"/>
        <v>0.27613201911589008</v>
      </c>
      <c r="CV253" s="2">
        <f t="shared" si="223"/>
        <v>0.95014388489208634</v>
      </c>
      <c r="CW253" s="1" t="s">
        <v>1202</v>
      </c>
      <c r="CX253" t="str">
        <f t="shared" si="224"/>
        <v>reg</v>
      </c>
      <c r="CY253" t="s">
        <v>348</v>
      </c>
      <c r="CZ253">
        <v>2014</v>
      </c>
      <c r="DA253">
        <v>2514</v>
      </c>
      <c r="DB253">
        <v>500</v>
      </c>
      <c r="DC253" t="str">
        <f t="shared" si="225"/>
        <v>+100</v>
      </c>
      <c r="DD253">
        <v>0</v>
      </c>
      <c r="DE253">
        <v>0</v>
      </c>
      <c r="DF253">
        <v>0</v>
      </c>
      <c r="DG253">
        <v>1</v>
      </c>
      <c r="DH253"/>
      <c r="DI253">
        <f t="shared" si="226"/>
        <v>1</v>
      </c>
      <c r="DJ253" t="str">
        <f t="shared" si="227"/>
        <v>TimberInput</v>
      </c>
      <c r="DK253">
        <f t="shared" si="228"/>
        <v>0</v>
      </c>
      <c r="DL253">
        <f t="shared" si="229"/>
        <v>0</v>
      </c>
      <c r="DM253">
        <f t="shared" si="230"/>
        <v>0</v>
      </c>
      <c r="DN253" t="str">
        <f t="shared" si="231"/>
        <v>Timber</v>
      </c>
      <c r="DO253">
        <v>0</v>
      </c>
      <c r="DP253">
        <v>0</v>
      </c>
      <c r="DQ253">
        <v>0</v>
      </c>
      <c r="DR253">
        <v>0</v>
      </c>
      <c r="DS253">
        <v>0</v>
      </c>
      <c r="DT253">
        <f t="shared" si="232"/>
        <v>0</v>
      </c>
      <c r="DU253" s="143" t="str">
        <f t="shared" si="233"/>
        <v>explicit C balance</v>
      </c>
      <c r="DV253">
        <v>0</v>
      </c>
      <c r="DW253">
        <v>0</v>
      </c>
      <c r="DX253">
        <v>0</v>
      </c>
      <c r="DY253">
        <v>0</v>
      </c>
      <c r="DZ253">
        <v>0</v>
      </c>
      <c r="EA253" s="143">
        <v>1</v>
      </c>
      <c r="EB253">
        <v>0</v>
      </c>
      <c r="EC253">
        <v>1</v>
      </c>
      <c r="ED253">
        <v>1</v>
      </c>
      <c r="EE253">
        <v>1</v>
      </c>
      <c r="EF253">
        <v>0</v>
      </c>
      <c r="EG253">
        <v>0</v>
      </c>
      <c r="EH253">
        <v>0</v>
      </c>
      <c r="EI253" s="2">
        <v>0</v>
      </c>
      <c r="EJ253" s="1"/>
      <c r="EK253" t="str">
        <f t="shared" si="234"/>
        <v/>
      </c>
      <c r="EL253" t="str">
        <f t="shared" si="235"/>
        <v/>
      </c>
      <c r="EM253" s="2" t="str">
        <f t="shared" si="237"/>
        <v>Technology approach</v>
      </c>
      <c r="EN253"/>
      <c r="EO253"/>
      <c r="EP253" t="str">
        <f>IF(ISNUMBER(BU253),IF(ABS(BU253-[3]QC_indicators!$B$2)&gt;3*[3]QC_indicators!$C$2,"C ratio",IF(ISNUMBER(BY253),IF(ABS(BY253-[3]QC_indicators!$B$1)&gt;3*[3]QC_indicators!$C$1,"DF","no"))),IF(ISNUMBER(BY253),IF(ABS(BY253-[3]QC_indicators!$B$1)&gt;3*[3]QC_indicators!$C$1,"DF","no")))</f>
        <v>no</v>
      </c>
      <c r="EQ253"/>
      <c r="ER253" s="149" t="s">
        <v>349</v>
      </c>
      <c r="ES253"/>
      <c r="ET253" s="264" t="s">
        <v>3272</v>
      </c>
      <c r="EU253"/>
    </row>
    <row r="254" spans="1:151" s="139" customFormat="1" ht="15" hidden="1" customHeight="1">
      <c r="A254" s="1" t="s">
        <v>1232</v>
      </c>
      <c r="B254" t="s">
        <v>1233</v>
      </c>
      <c r="C254" t="s">
        <v>1234</v>
      </c>
      <c r="D254" t="s">
        <v>336</v>
      </c>
      <c r="E254" t="s">
        <v>1235</v>
      </c>
      <c r="F254" t="s">
        <v>1236</v>
      </c>
      <c r="G254" t="s">
        <v>1237</v>
      </c>
      <c r="H254"/>
      <c r="I254">
        <v>2018</v>
      </c>
      <c r="J254"/>
      <c r="K254" t="s">
        <v>1238</v>
      </c>
      <c r="L254"/>
      <c r="M254" t="str">
        <f t="shared" si="161"/>
        <v>Balasbaneh_2018</v>
      </c>
      <c r="N254" t="s">
        <v>222</v>
      </c>
      <c r="O254" s="140" t="s">
        <v>513</v>
      </c>
      <c r="P254"/>
      <c r="Q254" t="s">
        <v>224</v>
      </c>
      <c r="R254" s="262" t="s">
        <v>223</v>
      </c>
      <c r="S254" s="1" t="s">
        <v>1252</v>
      </c>
      <c r="T254" s="264" t="s">
        <v>3111</v>
      </c>
      <c r="U254" s="264" t="s">
        <v>3110</v>
      </c>
      <c r="V254">
        <v>0</v>
      </c>
      <c r="W254">
        <v>0</v>
      </c>
      <c r="X254">
        <v>0</v>
      </c>
      <c r="Y254">
        <v>0</v>
      </c>
      <c r="Z254">
        <v>0</v>
      </c>
      <c r="AA254">
        <v>0</v>
      </c>
      <c r="AB254">
        <v>0</v>
      </c>
      <c r="AC254">
        <v>0</v>
      </c>
      <c r="AD254">
        <v>0</v>
      </c>
      <c r="AE254">
        <v>0</v>
      </c>
      <c r="AF254">
        <v>0</v>
      </c>
      <c r="AG254">
        <v>0</v>
      </c>
      <c r="AH254">
        <v>0</v>
      </c>
      <c r="AI254">
        <v>0</v>
      </c>
      <c r="AJ254">
        <v>0</v>
      </c>
      <c r="AK254">
        <v>1</v>
      </c>
      <c r="AL254">
        <v>0</v>
      </c>
      <c r="AM254">
        <v>0</v>
      </c>
      <c r="AN254">
        <v>0</v>
      </c>
      <c r="AO254">
        <v>0</v>
      </c>
      <c r="AP254">
        <v>0</v>
      </c>
      <c r="AQ254">
        <v>0</v>
      </c>
      <c r="AR254">
        <v>0</v>
      </c>
      <c r="AS254">
        <v>0</v>
      </c>
      <c r="AT254">
        <v>0</v>
      </c>
      <c r="AU254">
        <v>0</v>
      </c>
      <c r="AV254">
        <v>0</v>
      </c>
      <c r="AW254">
        <v>0</v>
      </c>
      <c r="AX254" s="141">
        <f t="shared" si="212"/>
        <v>1</v>
      </c>
      <c r="AY254" s="141">
        <f t="shared" si="213"/>
        <v>1</v>
      </c>
      <c r="AZ254">
        <f t="shared" si="214"/>
        <v>0</v>
      </c>
      <c r="BA254">
        <f t="shared" si="215"/>
        <v>0</v>
      </c>
      <c r="BB254">
        <f t="shared" si="216"/>
        <v>1</v>
      </c>
      <c r="BC254">
        <f t="shared" si="217"/>
        <v>0</v>
      </c>
      <c r="BD254">
        <f t="shared" si="218"/>
        <v>0</v>
      </c>
      <c r="BE254" t="str">
        <f t="array" ref="BE254">IF(AY254=1,INDEX($V$7:$AL$7,MATCH(TRUE,INDEX($V254:$AW254&lt;&gt;0,),0)),IF(AY254=0,INDEX($AM$7:$AW$7,MATCH(1,$AM254:$AW254,0)),IF(BF254="Multiple strategies","mixed drivers",IF(BF254="Supply chain","multiple supply","multiple silviculture"))))</f>
        <v>technologies/design switch</v>
      </c>
      <c r="BF254" s="2" t="str" cm="1">
        <f t="array" ref="BF254">IF(COUNTIF(AZ254:BB254,"&lt;&gt;0")=1,INDEX($V$4:$AW$4,MATCH(TRUE,INDEX($V254:$AW254&lt;&gt;0,),0)),IF(COUNTIF(AZ254:BB254,"&lt;&gt;0")=0,INDEX($AM$4:$AW$4,MATCH(1,$AM254:$AW254,0)),"Multiple strategies"))</f>
        <v>Technology</v>
      </c>
      <c r="BG254" s="1" t="s">
        <v>229</v>
      </c>
      <c r="BH254" t="s">
        <v>229</v>
      </c>
      <c r="BI254"/>
      <c r="BJ254" t="s">
        <v>345</v>
      </c>
      <c r="BK254">
        <v>0</v>
      </c>
      <c r="BL254">
        <v>15468</v>
      </c>
      <c r="BM254" s="143"/>
      <c r="BN254">
        <f t="shared" si="219"/>
        <v>15468</v>
      </c>
      <c r="BO254" s="143">
        <f t="shared" si="240"/>
        <v>31.567346938775515</v>
      </c>
      <c r="BP254" t="s">
        <v>232</v>
      </c>
      <c r="BQ254" s="302" t="s">
        <v>1056</v>
      </c>
      <c r="BR254" t="s">
        <v>397</v>
      </c>
      <c r="BS254">
        <v>-13900</v>
      </c>
      <c r="BT254">
        <v>-5130</v>
      </c>
      <c r="BU254" s="144">
        <v>0.36906474820143886</v>
      </c>
      <c r="BV254">
        <v>8770</v>
      </c>
      <c r="BW254"/>
      <c r="BX254">
        <f t="shared" si="241"/>
        <v>8.77</v>
      </c>
      <c r="BY254">
        <f t="shared" si="236"/>
        <v>0.27781872252392031</v>
      </c>
      <c r="BZ254">
        <v>0</v>
      </c>
      <c r="CA254">
        <v>0</v>
      </c>
      <c r="CB254">
        <v>0</v>
      </c>
      <c r="CC254">
        <v>0</v>
      </c>
      <c r="CD254">
        <v>0</v>
      </c>
      <c r="CE254">
        <v>0</v>
      </c>
      <c r="CF254">
        <v>0</v>
      </c>
      <c r="CG254">
        <v>0</v>
      </c>
      <c r="CH254">
        <v>0</v>
      </c>
      <c r="CI254">
        <v>0</v>
      </c>
      <c r="CJ254">
        <v>0</v>
      </c>
      <c r="CK254">
        <v>0</v>
      </c>
      <c r="CL254">
        <v>0</v>
      </c>
      <c r="CM254">
        <v>0</v>
      </c>
      <c r="CN254" t="str">
        <f t="shared" si="242"/>
        <v>refOK</v>
      </c>
      <c r="CO254">
        <f t="shared" si="243"/>
        <v>0</v>
      </c>
      <c r="CP254">
        <f t="shared" si="244"/>
        <v>15468</v>
      </c>
      <c r="CQ254">
        <f t="shared" si="220"/>
        <v>31.567346938775515</v>
      </c>
      <c r="CR254">
        <f t="shared" si="238"/>
        <v>-13900</v>
      </c>
      <c r="CS254">
        <f t="shared" si="239"/>
        <v>-5130</v>
      </c>
      <c r="CT254">
        <f t="shared" si="221"/>
        <v>8.77</v>
      </c>
      <c r="CU254">
        <f t="shared" si="222"/>
        <v>0.27781872252392031</v>
      </c>
      <c r="CV254" s="2">
        <f t="shared" si="223"/>
        <v>0.63093525179856114</v>
      </c>
      <c r="CW254" s="1" t="s">
        <v>1202</v>
      </c>
      <c r="CX254" t="str">
        <f t="shared" si="224"/>
        <v>reg</v>
      </c>
      <c r="CY254" t="s">
        <v>348</v>
      </c>
      <c r="CZ254">
        <v>2014</v>
      </c>
      <c r="DA254">
        <v>2514</v>
      </c>
      <c r="DB254">
        <v>500</v>
      </c>
      <c r="DC254" t="str">
        <f t="shared" si="225"/>
        <v>+100</v>
      </c>
      <c r="DD254">
        <v>0</v>
      </c>
      <c r="DE254">
        <v>0</v>
      </c>
      <c r="DF254">
        <v>0</v>
      </c>
      <c r="DG254">
        <v>1</v>
      </c>
      <c r="DH254"/>
      <c r="DI254">
        <f t="shared" si="226"/>
        <v>1</v>
      </c>
      <c r="DJ254" t="str">
        <f t="shared" si="227"/>
        <v>TimberInput</v>
      </c>
      <c r="DK254">
        <f t="shared" si="228"/>
        <v>0</v>
      </c>
      <c r="DL254">
        <f t="shared" si="229"/>
        <v>0</v>
      </c>
      <c r="DM254">
        <f t="shared" si="230"/>
        <v>0</v>
      </c>
      <c r="DN254" t="str">
        <f t="shared" si="231"/>
        <v>Timber</v>
      </c>
      <c r="DO254">
        <v>0</v>
      </c>
      <c r="DP254">
        <v>0</v>
      </c>
      <c r="DQ254">
        <v>0</v>
      </c>
      <c r="DR254">
        <v>0</v>
      </c>
      <c r="DS254">
        <v>0</v>
      </c>
      <c r="DT254">
        <f t="shared" si="232"/>
        <v>0</v>
      </c>
      <c r="DU254" s="143" t="str">
        <f t="shared" si="233"/>
        <v>explicit C balance</v>
      </c>
      <c r="DV254">
        <v>0</v>
      </c>
      <c r="DW254">
        <v>0</v>
      </c>
      <c r="DX254">
        <v>0</v>
      </c>
      <c r="DY254">
        <v>0</v>
      </c>
      <c r="DZ254">
        <v>0</v>
      </c>
      <c r="EA254" s="143">
        <v>1</v>
      </c>
      <c r="EB254">
        <v>0</v>
      </c>
      <c r="EC254">
        <v>1</v>
      </c>
      <c r="ED254">
        <v>1</v>
      </c>
      <c r="EE254">
        <v>1</v>
      </c>
      <c r="EF254">
        <v>0</v>
      </c>
      <c r="EG254">
        <v>0</v>
      </c>
      <c r="EH254">
        <v>0</v>
      </c>
      <c r="EI254" s="2">
        <v>0</v>
      </c>
      <c r="EJ254" s="1"/>
      <c r="EK254" t="str">
        <f t="shared" si="234"/>
        <v/>
      </c>
      <c r="EL254" t="str">
        <f t="shared" si="235"/>
        <v/>
      </c>
      <c r="EM254" s="2" t="str">
        <f t="shared" si="237"/>
        <v>Technology approach</v>
      </c>
      <c r="EN254"/>
      <c r="EO254"/>
      <c r="EP254" t="str">
        <f>IF(ISNUMBER(BU254),IF(ABS(BU254-[3]QC_indicators!$B$2)&gt;3*[3]QC_indicators!$C$2,"C ratio",IF(ISNUMBER(BY254),IF(ABS(BY254-[3]QC_indicators!$B$1)&gt;3*[3]QC_indicators!$C$1,"DF","no"))),IF(ISNUMBER(BY254),IF(ABS(BY254-[3]QC_indicators!$B$1)&gt;3*[3]QC_indicators!$C$1,"DF","no")))</f>
        <v>no</v>
      </c>
      <c r="EQ254"/>
      <c r="ER254" s="149" t="s">
        <v>349</v>
      </c>
      <c r="ES254"/>
      <c r="ET254" s="264" t="s">
        <v>3272</v>
      </c>
      <c r="EU254"/>
    </row>
    <row r="255" spans="1:151" s="139" customFormat="1" ht="15" hidden="1" customHeight="1">
      <c r="A255" s="1" t="s">
        <v>1232</v>
      </c>
      <c r="B255" t="s">
        <v>1233</v>
      </c>
      <c r="C255" t="s">
        <v>1234</v>
      </c>
      <c r="D255" t="s">
        <v>336</v>
      </c>
      <c r="E255" t="s">
        <v>1235</v>
      </c>
      <c r="F255" t="s">
        <v>1236</v>
      </c>
      <c r="G255" t="s">
        <v>1237</v>
      </c>
      <c r="H255"/>
      <c r="I255">
        <v>2018</v>
      </c>
      <c r="J255"/>
      <c r="K255" t="s">
        <v>1238</v>
      </c>
      <c r="L255"/>
      <c r="M255" t="str">
        <f t="shared" si="161"/>
        <v>Balasbaneh_2018</v>
      </c>
      <c r="N255" t="s">
        <v>222</v>
      </c>
      <c r="O255" s="140" t="s">
        <v>513</v>
      </c>
      <c r="P255"/>
      <c r="Q255" t="s">
        <v>224</v>
      </c>
      <c r="R255" s="262" t="s">
        <v>223</v>
      </c>
      <c r="S255" s="1" t="s">
        <v>1253</v>
      </c>
      <c r="T255" s="264" t="s">
        <v>3111</v>
      </c>
      <c r="U255" s="264" t="s">
        <v>3115</v>
      </c>
      <c r="V255">
        <v>0</v>
      </c>
      <c r="W255">
        <v>0</v>
      </c>
      <c r="X255">
        <v>0</v>
      </c>
      <c r="Y255">
        <v>0</v>
      </c>
      <c r="Z255">
        <v>0</v>
      </c>
      <c r="AA255">
        <v>0</v>
      </c>
      <c r="AB255">
        <v>0</v>
      </c>
      <c r="AC255">
        <v>0</v>
      </c>
      <c r="AD255">
        <v>0</v>
      </c>
      <c r="AE255">
        <v>0</v>
      </c>
      <c r="AF255">
        <v>0</v>
      </c>
      <c r="AG255">
        <v>0</v>
      </c>
      <c r="AH255">
        <v>0</v>
      </c>
      <c r="AI255">
        <v>0</v>
      </c>
      <c r="AJ255">
        <v>0</v>
      </c>
      <c r="AK255">
        <v>1</v>
      </c>
      <c r="AL255">
        <v>0</v>
      </c>
      <c r="AM255">
        <v>0</v>
      </c>
      <c r="AN255">
        <v>0</v>
      </c>
      <c r="AO255">
        <v>0</v>
      </c>
      <c r="AP255">
        <v>0</v>
      </c>
      <c r="AQ255">
        <v>0</v>
      </c>
      <c r="AR255">
        <v>0</v>
      </c>
      <c r="AS255">
        <v>0</v>
      </c>
      <c r="AT255">
        <v>0</v>
      </c>
      <c r="AU255">
        <v>0</v>
      </c>
      <c r="AV255">
        <v>0</v>
      </c>
      <c r="AW255">
        <v>0</v>
      </c>
      <c r="AX255" s="141">
        <f t="shared" si="212"/>
        <v>1</v>
      </c>
      <c r="AY255" s="141">
        <f t="shared" si="213"/>
        <v>1</v>
      </c>
      <c r="AZ255">
        <f t="shared" si="214"/>
        <v>0</v>
      </c>
      <c r="BA255">
        <f t="shared" si="215"/>
        <v>0</v>
      </c>
      <c r="BB255">
        <f t="shared" si="216"/>
        <v>1</v>
      </c>
      <c r="BC255">
        <f t="shared" si="217"/>
        <v>0</v>
      </c>
      <c r="BD255">
        <f t="shared" si="218"/>
        <v>0</v>
      </c>
      <c r="BE255" t="str">
        <f t="array" ref="BE255">IF(AY255=1,INDEX($V$7:$AL$7,MATCH(TRUE,INDEX($V255:$AW255&lt;&gt;0,),0)),IF(AY255=0,INDEX($AM$7:$AW$7,MATCH(1,$AM255:$AW255,0)),IF(BF255="Multiple strategies","mixed drivers",IF(BF255="Supply chain","multiple supply","multiple silviculture"))))</f>
        <v>technologies/design switch</v>
      </c>
      <c r="BF255" s="2" t="str" cm="1">
        <f t="array" ref="BF255">IF(COUNTIF(AZ255:BB255,"&lt;&gt;0")=1,INDEX($V$4:$AW$4,MATCH(TRUE,INDEX($V255:$AW255&lt;&gt;0,),0)),IF(COUNTIF(AZ255:BB255,"&lt;&gt;0")=0,INDEX($AM$4:$AW$4,MATCH(1,$AM255:$AW255,0)),"Multiple strategies"))</f>
        <v>Technology</v>
      </c>
      <c r="BG255" s="1" t="s">
        <v>229</v>
      </c>
      <c r="BH255" t="s">
        <v>229</v>
      </c>
      <c r="BI255"/>
      <c r="BJ255" t="s">
        <v>345</v>
      </c>
      <c r="BK255">
        <v>0</v>
      </c>
      <c r="BL255">
        <v>23436</v>
      </c>
      <c r="BM255" s="143"/>
      <c r="BN255">
        <f t="shared" si="219"/>
        <v>23436</v>
      </c>
      <c r="BO255" s="143">
        <f t="shared" si="240"/>
        <v>47.828571428571436</v>
      </c>
      <c r="BP255" t="s">
        <v>232</v>
      </c>
      <c r="BQ255" s="302" t="s">
        <v>1056</v>
      </c>
      <c r="BR255" t="s">
        <v>397</v>
      </c>
      <c r="BS255">
        <v>-14600</v>
      </c>
      <c r="BT255">
        <v>-702</v>
      </c>
      <c r="BU255" s="144">
        <v>4.8082191780821917E-2</v>
      </c>
      <c r="BV255">
        <v>13898</v>
      </c>
      <c r="BW255"/>
      <c r="BX255">
        <f t="shared" si="241"/>
        <v>13.898</v>
      </c>
      <c r="BY255">
        <f t="shared" si="236"/>
        <v>0.29057945041816002</v>
      </c>
      <c r="BZ255">
        <v>0</v>
      </c>
      <c r="CA255">
        <v>0</v>
      </c>
      <c r="CB255">
        <v>0</v>
      </c>
      <c r="CC255">
        <v>0</v>
      </c>
      <c r="CD255">
        <v>0</v>
      </c>
      <c r="CE255">
        <v>0</v>
      </c>
      <c r="CF255">
        <v>0</v>
      </c>
      <c r="CG255">
        <v>0</v>
      </c>
      <c r="CH255">
        <v>0</v>
      </c>
      <c r="CI255">
        <v>0</v>
      </c>
      <c r="CJ255">
        <v>0</v>
      </c>
      <c r="CK255">
        <v>0</v>
      </c>
      <c r="CL255">
        <v>0</v>
      </c>
      <c r="CM255">
        <v>0</v>
      </c>
      <c r="CN255" t="str">
        <f t="shared" si="242"/>
        <v>refOK</v>
      </c>
      <c r="CO255">
        <f t="shared" si="243"/>
        <v>0</v>
      </c>
      <c r="CP255">
        <f t="shared" si="244"/>
        <v>23436</v>
      </c>
      <c r="CQ255">
        <f t="shared" si="220"/>
        <v>47.828571428571436</v>
      </c>
      <c r="CR255">
        <f t="shared" si="238"/>
        <v>-14600</v>
      </c>
      <c r="CS255">
        <f t="shared" si="239"/>
        <v>-702</v>
      </c>
      <c r="CT255">
        <f t="shared" si="221"/>
        <v>13.898</v>
      </c>
      <c r="CU255">
        <f t="shared" si="222"/>
        <v>0.29057945041816002</v>
      </c>
      <c r="CV255" s="2">
        <f t="shared" si="223"/>
        <v>0.95191780821917804</v>
      </c>
      <c r="CW255" s="1" t="s">
        <v>1202</v>
      </c>
      <c r="CX255" t="str">
        <f t="shared" si="224"/>
        <v>reg</v>
      </c>
      <c r="CY255" t="s">
        <v>348</v>
      </c>
      <c r="CZ255">
        <v>2014</v>
      </c>
      <c r="DA255">
        <v>2114</v>
      </c>
      <c r="DB255">
        <v>100</v>
      </c>
      <c r="DC255" t="str">
        <f t="shared" si="225"/>
        <v>71-100</v>
      </c>
      <c r="DD255">
        <v>0</v>
      </c>
      <c r="DE255">
        <v>0</v>
      </c>
      <c r="DF255">
        <v>0</v>
      </c>
      <c r="DG255">
        <v>1</v>
      </c>
      <c r="DH255"/>
      <c r="DI255">
        <f t="shared" si="226"/>
        <v>1</v>
      </c>
      <c r="DJ255" t="str">
        <f t="shared" si="227"/>
        <v>TimberInput</v>
      </c>
      <c r="DK255">
        <f t="shared" si="228"/>
        <v>0</v>
      </c>
      <c r="DL255">
        <f t="shared" si="229"/>
        <v>0</v>
      </c>
      <c r="DM255">
        <f t="shared" si="230"/>
        <v>0</v>
      </c>
      <c r="DN255" t="str">
        <f t="shared" si="231"/>
        <v>Timber</v>
      </c>
      <c r="DO255">
        <v>0</v>
      </c>
      <c r="DP255">
        <v>0</v>
      </c>
      <c r="DQ255">
        <v>0</v>
      </c>
      <c r="DR255">
        <v>0</v>
      </c>
      <c r="DS255">
        <v>0</v>
      </c>
      <c r="DT255">
        <f t="shared" si="232"/>
        <v>0</v>
      </c>
      <c r="DU255" s="143" t="str">
        <f t="shared" si="233"/>
        <v>explicit C balance</v>
      </c>
      <c r="DV255">
        <v>0</v>
      </c>
      <c r="DW255">
        <v>0</v>
      </c>
      <c r="DX255">
        <v>0</v>
      </c>
      <c r="DY255">
        <v>0</v>
      </c>
      <c r="DZ255">
        <v>0</v>
      </c>
      <c r="EA255" s="143">
        <v>1</v>
      </c>
      <c r="EB255">
        <v>0</v>
      </c>
      <c r="EC255">
        <v>1</v>
      </c>
      <c r="ED255">
        <v>1</v>
      </c>
      <c r="EE255">
        <v>1</v>
      </c>
      <c r="EF255">
        <v>0</v>
      </c>
      <c r="EG255">
        <v>0</v>
      </c>
      <c r="EH255">
        <v>0</v>
      </c>
      <c r="EI255" s="2">
        <v>0</v>
      </c>
      <c r="EJ255" s="1"/>
      <c r="EK255" t="str">
        <f t="shared" si="234"/>
        <v/>
      </c>
      <c r="EL255" t="str">
        <f t="shared" si="235"/>
        <v/>
      </c>
      <c r="EM255" s="2" t="str">
        <f t="shared" si="237"/>
        <v>Technology approach</v>
      </c>
      <c r="EN255"/>
      <c r="EO255"/>
      <c r="EP255" t="str">
        <f>IF(ISNUMBER(BU255),IF(ABS(BU255-[3]QC_indicators!$B$2)&gt;3*[3]QC_indicators!$C$2,"C ratio",IF(ISNUMBER(BY255),IF(ABS(BY255-[3]QC_indicators!$B$1)&gt;3*[3]QC_indicators!$C$1,"DF","no"))),IF(ISNUMBER(BY255),IF(ABS(BY255-[3]QC_indicators!$B$1)&gt;3*[3]QC_indicators!$C$1,"DF","no")))</f>
        <v>no</v>
      </c>
      <c r="EQ255"/>
      <c r="ER255" s="149" t="s">
        <v>349</v>
      </c>
      <c r="ES255"/>
      <c r="ET255" s="264" t="s">
        <v>3272</v>
      </c>
      <c r="EU255"/>
    </row>
    <row r="256" spans="1:151" s="139" customFormat="1" ht="15" hidden="1" customHeight="1">
      <c r="A256" s="1" t="s">
        <v>1232</v>
      </c>
      <c r="B256" t="s">
        <v>1233</v>
      </c>
      <c r="C256" t="s">
        <v>1234</v>
      </c>
      <c r="D256" t="s">
        <v>336</v>
      </c>
      <c r="E256" t="s">
        <v>1235</v>
      </c>
      <c r="F256" t="s">
        <v>1236</v>
      </c>
      <c r="G256" t="s">
        <v>1237</v>
      </c>
      <c r="H256"/>
      <c r="I256">
        <v>2018</v>
      </c>
      <c r="J256"/>
      <c r="K256" t="s">
        <v>1238</v>
      </c>
      <c r="L256"/>
      <c r="M256" t="str">
        <f t="shared" si="161"/>
        <v>Balasbaneh_2018</v>
      </c>
      <c r="N256" t="s">
        <v>222</v>
      </c>
      <c r="O256" s="140" t="s">
        <v>513</v>
      </c>
      <c r="P256"/>
      <c r="Q256" t="s">
        <v>224</v>
      </c>
      <c r="R256" s="262" t="s">
        <v>223</v>
      </c>
      <c r="S256" s="1" t="s">
        <v>1254</v>
      </c>
      <c r="T256" s="264" t="s">
        <v>3111</v>
      </c>
      <c r="U256" s="264" t="s">
        <v>3110</v>
      </c>
      <c r="V256">
        <v>0</v>
      </c>
      <c r="W256">
        <v>0</v>
      </c>
      <c r="X256">
        <v>0</v>
      </c>
      <c r="Y256">
        <v>0</v>
      </c>
      <c r="Z256">
        <v>0</v>
      </c>
      <c r="AA256">
        <v>0</v>
      </c>
      <c r="AB256">
        <v>0</v>
      </c>
      <c r="AC256">
        <v>0</v>
      </c>
      <c r="AD256">
        <v>0</v>
      </c>
      <c r="AE256">
        <v>0</v>
      </c>
      <c r="AF256">
        <v>0</v>
      </c>
      <c r="AG256">
        <v>0</v>
      </c>
      <c r="AH256">
        <v>0</v>
      </c>
      <c r="AI256">
        <v>0</v>
      </c>
      <c r="AJ256">
        <v>0</v>
      </c>
      <c r="AK256">
        <v>1</v>
      </c>
      <c r="AL256">
        <v>0</v>
      </c>
      <c r="AM256">
        <v>0</v>
      </c>
      <c r="AN256">
        <v>0</v>
      </c>
      <c r="AO256">
        <v>0</v>
      </c>
      <c r="AP256">
        <v>0</v>
      </c>
      <c r="AQ256">
        <v>0</v>
      </c>
      <c r="AR256">
        <v>0</v>
      </c>
      <c r="AS256">
        <v>0</v>
      </c>
      <c r="AT256">
        <v>0</v>
      </c>
      <c r="AU256">
        <v>0</v>
      </c>
      <c r="AV256">
        <v>0</v>
      </c>
      <c r="AW256">
        <v>0</v>
      </c>
      <c r="AX256" s="141">
        <f t="shared" si="212"/>
        <v>1</v>
      </c>
      <c r="AY256" s="141">
        <f t="shared" si="213"/>
        <v>1</v>
      </c>
      <c r="AZ256">
        <f t="shared" si="214"/>
        <v>0</v>
      </c>
      <c r="BA256">
        <f t="shared" si="215"/>
        <v>0</v>
      </c>
      <c r="BB256">
        <f t="shared" si="216"/>
        <v>1</v>
      </c>
      <c r="BC256">
        <f t="shared" si="217"/>
        <v>0</v>
      </c>
      <c r="BD256">
        <f t="shared" si="218"/>
        <v>0</v>
      </c>
      <c r="BE256" t="str">
        <f t="array" ref="BE256">IF(AY256=1,INDEX($V$7:$AL$7,MATCH(TRUE,INDEX($V256:$AW256&lt;&gt;0,),0)),IF(AY256=0,INDEX($AM$7:$AW$7,MATCH(1,$AM256:$AW256,0)),IF(BF256="Multiple strategies","mixed drivers",IF(BF256="Supply chain","multiple supply","multiple silviculture"))))</f>
        <v>technologies/design switch</v>
      </c>
      <c r="BF256" s="2" t="str" cm="1">
        <f t="array" ref="BF256">IF(COUNTIF(AZ256:BB256,"&lt;&gt;0")=1,INDEX($V$4:$AW$4,MATCH(TRUE,INDEX($V256:$AW256&lt;&gt;0,),0)),IF(COUNTIF(AZ256:BB256,"&lt;&gt;0")=0,INDEX($AM$4:$AW$4,MATCH(1,$AM256:$AW256,0)),"Multiple strategies"))</f>
        <v>Technology</v>
      </c>
      <c r="BG256" s="1" t="s">
        <v>229</v>
      </c>
      <c r="BH256" t="s">
        <v>229</v>
      </c>
      <c r="BI256"/>
      <c r="BJ256" t="s">
        <v>345</v>
      </c>
      <c r="BK256">
        <v>0</v>
      </c>
      <c r="BL256">
        <v>15468</v>
      </c>
      <c r="BM256" s="143"/>
      <c r="BN256">
        <f t="shared" si="219"/>
        <v>15468</v>
      </c>
      <c r="BO256" s="143">
        <f t="shared" si="240"/>
        <v>31.567346938775515</v>
      </c>
      <c r="BP256" t="s">
        <v>232</v>
      </c>
      <c r="BQ256" s="302" t="s">
        <v>1056</v>
      </c>
      <c r="BR256" t="s">
        <v>397</v>
      </c>
      <c r="BS256">
        <v>-14600</v>
      </c>
      <c r="BT256">
        <v>-5370</v>
      </c>
      <c r="BU256" s="144">
        <v>0.36780821917808221</v>
      </c>
      <c r="BV256">
        <v>9230</v>
      </c>
      <c r="BW256"/>
      <c r="BX256">
        <f t="shared" si="241"/>
        <v>9.23</v>
      </c>
      <c r="BY256">
        <f t="shared" si="236"/>
        <v>0.29239074217739847</v>
      </c>
      <c r="BZ256">
        <v>0</v>
      </c>
      <c r="CA256">
        <v>0</v>
      </c>
      <c r="CB256">
        <v>0</v>
      </c>
      <c r="CC256">
        <v>0</v>
      </c>
      <c r="CD256">
        <v>0</v>
      </c>
      <c r="CE256">
        <v>0</v>
      </c>
      <c r="CF256">
        <v>0</v>
      </c>
      <c r="CG256">
        <v>0</v>
      </c>
      <c r="CH256">
        <v>0</v>
      </c>
      <c r="CI256">
        <v>0</v>
      </c>
      <c r="CJ256">
        <v>0</v>
      </c>
      <c r="CK256">
        <v>0</v>
      </c>
      <c r="CL256">
        <v>0</v>
      </c>
      <c r="CM256">
        <v>0</v>
      </c>
      <c r="CN256" t="str">
        <f t="shared" si="242"/>
        <v>refOK</v>
      </c>
      <c r="CO256">
        <f t="shared" si="243"/>
        <v>0</v>
      </c>
      <c r="CP256">
        <f t="shared" si="244"/>
        <v>15468</v>
      </c>
      <c r="CQ256">
        <f t="shared" si="220"/>
        <v>31.567346938775515</v>
      </c>
      <c r="CR256">
        <f t="shared" si="238"/>
        <v>-14600</v>
      </c>
      <c r="CS256">
        <f t="shared" si="239"/>
        <v>-5370</v>
      </c>
      <c r="CT256">
        <f t="shared" si="221"/>
        <v>9.23</v>
      </c>
      <c r="CU256">
        <f t="shared" si="222"/>
        <v>0.29239074217739847</v>
      </c>
      <c r="CV256" s="2">
        <f t="shared" si="223"/>
        <v>0.63219178082191785</v>
      </c>
      <c r="CW256" s="1" t="s">
        <v>1202</v>
      </c>
      <c r="CX256" t="str">
        <f t="shared" si="224"/>
        <v>reg</v>
      </c>
      <c r="CY256" t="s">
        <v>348</v>
      </c>
      <c r="CZ256">
        <v>2014</v>
      </c>
      <c r="DA256">
        <v>2114</v>
      </c>
      <c r="DB256">
        <v>100</v>
      </c>
      <c r="DC256" t="str">
        <f t="shared" si="225"/>
        <v>71-100</v>
      </c>
      <c r="DD256">
        <v>0</v>
      </c>
      <c r="DE256">
        <v>0</v>
      </c>
      <c r="DF256">
        <v>0</v>
      </c>
      <c r="DG256">
        <v>1</v>
      </c>
      <c r="DH256"/>
      <c r="DI256">
        <f t="shared" si="226"/>
        <v>1</v>
      </c>
      <c r="DJ256" t="str">
        <f t="shared" si="227"/>
        <v>TimberInput</v>
      </c>
      <c r="DK256">
        <f t="shared" si="228"/>
        <v>0</v>
      </c>
      <c r="DL256">
        <f t="shared" si="229"/>
        <v>0</v>
      </c>
      <c r="DM256">
        <f t="shared" si="230"/>
        <v>0</v>
      </c>
      <c r="DN256" t="str">
        <f t="shared" si="231"/>
        <v>Timber</v>
      </c>
      <c r="DO256">
        <v>0</v>
      </c>
      <c r="DP256">
        <v>0</v>
      </c>
      <c r="DQ256">
        <v>0</v>
      </c>
      <c r="DR256">
        <v>0</v>
      </c>
      <c r="DS256">
        <v>0</v>
      </c>
      <c r="DT256">
        <f t="shared" si="232"/>
        <v>0</v>
      </c>
      <c r="DU256" s="143" t="str">
        <f t="shared" si="233"/>
        <v>explicit C balance</v>
      </c>
      <c r="DV256">
        <v>0</v>
      </c>
      <c r="DW256">
        <v>0</v>
      </c>
      <c r="DX256">
        <v>0</v>
      </c>
      <c r="DY256">
        <v>0</v>
      </c>
      <c r="DZ256">
        <v>0</v>
      </c>
      <c r="EA256" s="143">
        <v>1</v>
      </c>
      <c r="EB256">
        <v>0</v>
      </c>
      <c r="EC256">
        <v>1</v>
      </c>
      <c r="ED256">
        <v>1</v>
      </c>
      <c r="EE256">
        <v>1</v>
      </c>
      <c r="EF256">
        <v>0</v>
      </c>
      <c r="EG256">
        <v>0</v>
      </c>
      <c r="EH256">
        <v>0</v>
      </c>
      <c r="EI256" s="2">
        <v>0</v>
      </c>
      <c r="EJ256" s="1"/>
      <c r="EK256" t="str">
        <f t="shared" si="234"/>
        <v/>
      </c>
      <c r="EL256" t="str">
        <f t="shared" si="235"/>
        <v/>
      </c>
      <c r="EM256" s="2" t="str">
        <f t="shared" si="237"/>
        <v>Technology approach</v>
      </c>
      <c r="EN256"/>
      <c r="EO256"/>
      <c r="EP256" t="str">
        <f>IF(ISNUMBER(BU256),IF(ABS(BU256-[3]QC_indicators!$B$2)&gt;3*[3]QC_indicators!$C$2,"C ratio",IF(ISNUMBER(BY256),IF(ABS(BY256-[3]QC_indicators!$B$1)&gt;3*[3]QC_indicators!$C$1,"DF","no"))),IF(ISNUMBER(BY256),IF(ABS(BY256-[3]QC_indicators!$B$1)&gt;3*[3]QC_indicators!$C$1,"DF","no")))</f>
        <v>no</v>
      </c>
      <c r="EQ256"/>
      <c r="ER256" s="149" t="s">
        <v>349</v>
      </c>
      <c r="ES256"/>
      <c r="ET256" s="264" t="s">
        <v>3272</v>
      </c>
      <c r="EU256"/>
    </row>
    <row r="257" spans="1:151" s="139" customFormat="1" ht="15" hidden="1" customHeight="1">
      <c r="A257" s="1" t="s">
        <v>1232</v>
      </c>
      <c r="B257" t="s">
        <v>1233</v>
      </c>
      <c r="C257" t="s">
        <v>1234</v>
      </c>
      <c r="D257" t="s">
        <v>336</v>
      </c>
      <c r="E257" t="s">
        <v>1235</v>
      </c>
      <c r="F257" t="s">
        <v>1236</v>
      </c>
      <c r="G257" t="s">
        <v>1237</v>
      </c>
      <c r="H257"/>
      <c r="I257">
        <v>2018</v>
      </c>
      <c r="J257"/>
      <c r="K257" t="s">
        <v>1238</v>
      </c>
      <c r="L257"/>
      <c r="M257" t="str">
        <f t="shared" ref="M257:M320" si="245">LEFT($D257,FIND(",",$D257)-1)&amp;"_"&amp;I257&amp;L257</f>
        <v>Balasbaneh_2018</v>
      </c>
      <c r="N257" t="s">
        <v>222</v>
      </c>
      <c r="O257" s="140" t="s">
        <v>513</v>
      </c>
      <c r="P257"/>
      <c r="Q257" t="s">
        <v>224</v>
      </c>
      <c r="R257" s="262" t="s">
        <v>223</v>
      </c>
      <c r="S257" s="1" t="s">
        <v>1255</v>
      </c>
      <c r="T257" s="264" t="s">
        <v>3111</v>
      </c>
      <c r="U257" s="264" t="s">
        <v>3115</v>
      </c>
      <c r="V257">
        <v>0</v>
      </c>
      <c r="W257">
        <v>0</v>
      </c>
      <c r="X257">
        <v>0</v>
      </c>
      <c r="Y257">
        <v>0</v>
      </c>
      <c r="Z257">
        <v>0</v>
      </c>
      <c r="AA257">
        <v>0</v>
      </c>
      <c r="AB257">
        <v>0</v>
      </c>
      <c r="AC257">
        <v>0</v>
      </c>
      <c r="AD257">
        <v>0</v>
      </c>
      <c r="AE257">
        <v>0</v>
      </c>
      <c r="AF257">
        <v>0</v>
      </c>
      <c r="AG257">
        <v>0</v>
      </c>
      <c r="AH257">
        <v>0</v>
      </c>
      <c r="AI257">
        <v>0</v>
      </c>
      <c r="AJ257">
        <v>0</v>
      </c>
      <c r="AK257">
        <v>1</v>
      </c>
      <c r="AL257">
        <v>0</v>
      </c>
      <c r="AM257">
        <v>0</v>
      </c>
      <c r="AN257">
        <v>0</v>
      </c>
      <c r="AO257">
        <v>0</v>
      </c>
      <c r="AP257">
        <v>0</v>
      </c>
      <c r="AQ257">
        <v>0</v>
      </c>
      <c r="AR257">
        <v>0</v>
      </c>
      <c r="AS257">
        <v>0</v>
      </c>
      <c r="AT257">
        <v>0</v>
      </c>
      <c r="AU257">
        <v>0</v>
      </c>
      <c r="AV257">
        <v>0</v>
      </c>
      <c r="AW257">
        <v>0</v>
      </c>
      <c r="AX257" s="141">
        <f t="shared" si="212"/>
        <v>1</v>
      </c>
      <c r="AY257" s="141">
        <f t="shared" si="213"/>
        <v>1</v>
      </c>
      <c r="AZ257">
        <f t="shared" si="214"/>
        <v>0</v>
      </c>
      <c r="BA257">
        <f t="shared" si="215"/>
        <v>0</v>
      </c>
      <c r="BB257">
        <f t="shared" si="216"/>
        <v>1</v>
      </c>
      <c r="BC257">
        <f t="shared" si="217"/>
        <v>0</v>
      </c>
      <c r="BD257">
        <f t="shared" si="218"/>
        <v>0</v>
      </c>
      <c r="BE257" t="str">
        <f t="array" ref="BE257">IF(AY257=1,INDEX($V$7:$AL$7,MATCH(TRUE,INDEX($V257:$AW257&lt;&gt;0,),0)),IF(AY257=0,INDEX($AM$7:$AW$7,MATCH(1,$AM257:$AW257,0)),IF(BF257="Multiple strategies","mixed drivers",IF(BF257="Supply chain","multiple supply","multiple silviculture"))))</f>
        <v>technologies/design switch</v>
      </c>
      <c r="BF257" s="2" t="str" cm="1">
        <f t="array" ref="BF257">IF(COUNTIF(AZ257:BB257,"&lt;&gt;0")=1,INDEX($V$4:$AW$4,MATCH(TRUE,INDEX($V257:$AW257&lt;&gt;0,),0)),IF(COUNTIF(AZ257:BB257,"&lt;&gt;0")=0,INDEX($AM$4:$AW$4,MATCH(1,$AM257:$AW257,0)),"Multiple strategies"))</f>
        <v>Technology</v>
      </c>
      <c r="BG257" s="1" t="s">
        <v>229</v>
      </c>
      <c r="BH257" t="s">
        <v>229</v>
      </c>
      <c r="BI257"/>
      <c r="BJ257" t="s">
        <v>345</v>
      </c>
      <c r="BK257">
        <v>0</v>
      </c>
      <c r="BL257">
        <v>23436</v>
      </c>
      <c r="BM257" s="143"/>
      <c r="BN257">
        <f t="shared" si="219"/>
        <v>23436</v>
      </c>
      <c r="BO257" s="143">
        <f t="shared" si="240"/>
        <v>47.828571428571436</v>
      </c>
      <c r="BP257" t="s">
        <v>232</v>
      </c>
      <c r="BQ257" s="302" t="s">
        <v>1056</v>
      </c>
      <c r="BR257" t="s">
        <v>397</v>
      </c>
      <c r="BS257">
        <v>-16700</v>
      </c>
      <c r="BT257">
        <v>-711</v>
      </c>
      <c r="BU257" s="144">
        <v>4.2574850299401196E-2</v>
      </c>
      <c r="BV257">
        <v>15989</v>
      </c>
      <c r="BW257"/>
      <c r="BX257">
        <f t="shared" si="241"/>
        <v>15.989000000000001</v>
      </c>
      <c r="BY257">
        <f t="shared" si="236"/>
        <v>0.33429808841099162</v>
      </c>
      <c r="BZ257">
        <v>0</v>
      </c>
      <c r="CA257">
        <v>0</v>
      </c>
      <c r="CB257">
        <v>0</v>
      </c>
      <c r="CC257">
        <v>0</v>
      </c>
      <c r="CD257">
        <v>0</v>
      </c>
      <c r="CE257">
        <v>0</v>
      </c>
      <c r="CF257">
        <v>0</v>
      </c>
      <c r="CG257">
        <v>0</v>
      </c>
      <c r="CH257">
        <v>0</v>
      </c>
      <c r="CI257">
        <v>0</v>
      </c>
      <c r="CJ257">
        <v>0</v>
      </c>
      <c r="CK257">
        <v>0</v>
      </c>
      <c r="CL257">
        <v>0</v>
      </c>
      <c r="CM257">
        <v>0</v>
      </c>
      <c r="CN257" t="str">
        <f t="shared" si="242"/>
        <v>refOK</v>
      </c>
      <c r="CO257">
        <f t="shared" si="243"/>
        <v>0</v>
      </c>
      <c r="CP257">
        <f t="shared" si="244"/>
        <v>23436</v>
      </c>
      <c r="CQ257">
        <f t="shared" si="220"/>
        <v>47.828571428571436</v>
      </c>
      <c r="CR257">
        <f t="shared" si="238"/>
        <v>-16700</v>
      </c>
      <c r="CS257">
        <f t="shared" si="239"/>
        <v>-711</v>
      </c>
      <c r="CT257">
        <f t="shared" si="221"/>
        <v>15.989000000000001</v>
      </c>
      <c r="CU257">
        <f t="shared" si="222"/>
        <v>0.33429808841099162</v>
      </c>
      <c r="CV257" s="2">
        <f t="shared" si="223"/>
        <v>0.95742514970059878</v>
      </c>
      <c r="CW257" s="1" t="s">
        <v>1202</v>
      </c>
      <c r="CX257" t="str">
        <f t="shared" si="224"/>
        <v>reg</v>
      </c>
      <c r="CY257" t="s">
        <v>348</v>
      </c>
      <c r="CZ257">
        <v>2014</v>
      </c>
      <c r="DA257">
        <v>2034</v>
      </c>
      <c r="DB257">
        <v>20</v>
      </c>
      <c r="DC257" t="str">
        <f t="shared" si="225"/>
        <v>1-30</v>
      </c>
      <c r="DD257">
        <v>0</v>
      </c>
      <c r="DE257">
        <v>0</v>
      </c>
      <c r="DF257">
        <v>0</v>
      </c>
      <c r="DG257">
        <v>1</v>
      </c>
      <c r="DH257"/>
      <c r="DI257">
        <f t="shared" si="226"/>
        <v>1</v>
      </c>
      <c r="DJ257" t="str">
        <f t="shared" si="227"/>
        <v>TimberInput</v>
      </c>
      <c r="DK257">
        <f t="shared" si="228"/>
        <v>0</v>
      </c>
      <c r="DL257">
        <f t="shared" si="229"/>
        <v>0</v>
      </c>
      <c r="DM257">
        <f t="shared" si="230"/>
        <v>0</v>
      </c>
      <c r="DN257" t="str">
        <f t="shared" si="231"/>
        <v>Timber</v>
      </c>
      <c r="DO257">
        <v>0</v>
      </c>
      <c r="DP257">
        <v>0</v>
      </c>
      <c r="DQ257">
        <v>0</v>
      </c>
      <c r="DR257">
        <v>0</v>
      </c>
      <c r="DS257">
        <v>0</v>
      </c>
      <c r="DT257">
        <f t="shared" si="232"/>
        <v>0</v>
      </c>
      <c r="DU257" s="143" t="str">
        <f t="shared" si="233"/>
        <v>explicit C balance</v>
      </c>
      <c r="DV257">
        <v>0</v>
      </c>
      <c r="DW257">
        <v>0</v>
      </c>
      <c r="DX257">
        <v>0</v>
      </c>
      <c r="DY257">
        <v>0</v>
      </c>
      <c r="DZ257">
        <v>0</v>
      </c>
      <c r="EA257" s="143">
        <v>1</v>
      </c>
      <c r="EB257">
        <v>0</v>
      </c>
      <c r="EC257">
        <v>1</v>
      </c>
      <c r="ED257">
        <v>1</v>
      </c>
      <c r="EE257">
        <v>1</v>
      </c>
      <c r="EF257">
        <v>0</v>
      </c>
      <c r="EG257">
        <v>0</v>
      </c>
      <c r="EH257">
        <v>0</v>
      </c>
      <c r="EI257" s="2">
        <v>0</v>
      </c>
      <c r="EJ257" s="1"/>
      <c r="EK257" t="str">
        <f t="shared" si="234"/>
        <v/>
      </c>
      <c r="EL257" t="str">
        <f t="shared" si="235"/>
        <v/>
      </c>
      <c r="EM257" s="2" t="str">
        <f t="shared" si="237"/>
        <v>Technology approach</v>
      </c>
      <c r="EN257"/>
      <c r="EO257"/>
      <c r="EP257" t="str">
        <f>IF(ISNUMBER(BU257),IF(ABS(BU257-[3]QC_indicators!$B$2)&gt;3*[3]QC_indicators!$C$2,"C ratio",IF(ISNUMBER(BY257),IF(ABS(BY257-[3]QC_indicators!$B$1)&gt;3*[3]QC_indicators!$C$1,"DF","no"))),IF(ISNUMBER(BY257),IF(ABS(BY257-[3]QC_indicators!$B$1)&gt;3*[3]QC_indicators!$C$1,"DF","no")))</f>
        <v>no</v>
      </c>
      <c r="EQ257"/>
      <c r="ER257" s="149" t="s">
        <v>349</v>
      </c>
      <c r="ES257"/>
      <c r="ET257" s="264" t="s">
        <v>3272</v>
      </c>
      <c r="EU257"/>
    </row>
    <row r="258" spans="1:151" s="139" customFormat="1" ht="15" hidden="1" customHeight="1">
      <c r="A258" s="1" t="s">
        <v>1232</v>
      </c>
      <c r="B258" t="s">
        <v>1233</v>
      </c>
      <c r="C258" t="s">
        <v>1234</v>
      </c>
      <c r="D258" t="s">
        <v>336</v>
      </c>
      <c r="E258" t="s">
        <v>1235</v>
      </c>
      <c r="F258" t="s">
        <v>1236</v>
      </c>
      <c r="G258" t="s">
        <v>1237</v>
      </c>
      <c r="H258"/>
      <c r="I258">
        <v>2018</v>
      </c>
      <c r="J258"/>
      <c r="K258" t="s">
        <v>1238</v>
      </c>
      <c r="L258"/>
      <c r="M258" t="str">
        <f t="shared" si="245"/>
        <v>Balasbaneh_2018</v>
      </c>
      <c r="N258" t="s">
        <v>222</v>
      </c>
      <c r="O258" s="140" t="s">
        <v>513</v>
      </c>
      <c r="P258"/>
      <c r="Q258" t="s">
        <v>224</v>
      </c>
      <c r="R258" s="262" t="s">
        <v>223</v>
      </c>
      <c r="S258" s="1" t="s">
        <v>1256</v>
      </c>
      <c r="T258" s="264" t="s">
        <v>3111</v>
      </c>
      <c r="U258" s="264" t="s">
        <v>3110</v>
      </c>
      <c r="V258">
        <v>0</v>
      </c>
      <c r="W258">
        <v>0</v>
      </c>
      <c r="X258">
        <v>0</v>
      </c>
      <c r="Y258">
        <v>0</v>
      </c>
      <c r="Z258">
        <v>0</v>
      </c>
      <c r="AA258">
        <v>0</v>
      </c>
      <c r="AB258">
        <v>0</v>
      </c>
      <c r="AC258">
        <v>0</v>
      </c>
      <c r="AD258">
        <v>0</v>
      </c>
      <c r="AE258">
        <v>0</v>
      </c>
      <c r="AF258">
        <v>0</v>
      </c>
      <c r="AG258">
        <v>0</v>
      </c>
      <c r="AH258">
        <v>0</v>
      </c>
      <c r="AI258">
        <v>0</v>
      </c>
      <c r="AJ258">
        <v>0</v>
      </c>
      <c r="AK258">
        <v>1</v>
      </c>
      <c r="AL258">
        <v>0</v>
      </c>
      <c r="AM258">
        <v>0</v>
      </c>
      <c r="AN258">
        <v>0</v>
      </c>
      <c r="AO258">
        <v>0</v>
      </c>
      <c r="AP258">
        <v>0</v>
      </c>
      <c r="AQ258">
        <v>0</v>
      </c>
      <c r="AR258">
        <v>0</v>
      </c>
      <c r="AS258">
        <v>0</v>
      </c>
      <c r="AT258">
        <v>0</v>
      </c>
      <c r="AU258">
        <v>0</v>
      </c>
      <c r="AV258">
        <v>0</v>
      </c>
      <c r="AW258">
        <v>0</v>
      </c>
      <c r="AX258" s="141">
        <f t="shared" si="212"/>
        <v>1</v>
      </c>
      <c r="AY258" s="141">
        <f t="shared" si="213"/>
        <v>1</v>
      </c>
      <c r="AZ258">
        <f t="shared" si="214"/>
        <v>0</v>
      </c>
      <c r="BA258">
        <f t="shared" si="215"/>
        <v>0</v>
      </c>
      <c r="BB258">
        <f t="shared" si="216"/>
        <v>1</v>
      </c>
      <c r="BC258">
        <f t="shared" si="217"/>
        <v>0</v>
      </c>
      <c r="BD258">
        <f t="shared" si="218"/>
        <v>0</v>
      </c>
      <c r="BE258" t="str">
        <f t="array" ref="BE258">IF(AY258=1,INDEX($V$7:$AL$7,MATCH(TRUE,INDEX($V258:$AW258&lt;&gt;0,),0)),IF(AY258=0,INDEX($AM$7:$AW$7,MATCH(1,$AM258:$AW258,0)),IF(BF258="Multiple strategies","mixed drivers",IF(BF258="Supply chain","multiple supply","multiple silviculture"))))</f>
        <v>technologies/design switch</v>
      </c>
      <c r="BF258" s="2" t="str" cm="1">
        <f t="array" ref="BF258">IF(COUNTIF(AZ258:BB258,"&lt;&gt;0")=1,INDEX($V$4:$AW$4,MATCH(TRUE,INDEX($V258:$AW258&lt;&gt;0,),0)),IF(COUNTIF(AZ258:BB258,"&lt;&gt;0")=0,INDEX($AM$4:$AW$4,MATCH(1,$AM258:$AW258,0)),"Multiple strategies"))</f>
        <v>Technology</v>
      </c>
      <c r="BG258" s="1" t="s">
        <v>229</v>
      </c>
      <c r="BH258" t="s">
        <v>229</v>
      </c>
      <c r="BI258"/>
      <c r="BJ258" t="s">
        <v>345</v>
      </c>
      <c r="BK258">
        <v>0</v>
      </c>
      <c r="BL258">
        <v>15468</v>
      </c>
      <c r="BM258" s="143"/>
      <c r="BN258">
        <f t="shared" si="219"/>
        <v>15468</v>
      </c>
      <c r="BO258" s="143">
        <f t="shared" si="240"/>
        <v>31.567346938775515</v>
      </c>
      <c r="BP258" t="s">
        <v>232</v>
      </c>
      <c r="BQ258" s="302" t="s">
        <v>1056</v>
      </c>
      <c r="BR258" t="s">
        <v>397</v>
      </c>
      <c r="BS258">
        <v>-16700</v>
      </c>
      <c r="BT258">
        <v>-5840</v>
      </c>
      <c r="BU258" s="144">
        <v>0.34970059880239523</v>
      </c>
      <c r="BV258">
        <v>10860</v>
      </c>
      <c r="BW258"/>
      <c r="BX258">
        <f t="shared" si="241"/>
        <v>10.86</v>
      </c>
      <c r="BY258">
        <f t="shared" si="236"/>
        <v>0.34402637703646233</v>
      </c>
      <c r="BZ258">
        <v>0</v>
      </c>
      <c r="CA258">
        <v>0</v>
      </c>
      <c r="CB258">
        <v>0</v>
      </c>
      <c r="CC258">
        <v>0</v>
      </c>
      <c r="CD258">
        <v>0</v>
      </c>
      <c r="CE258">
        <v>0</v>
      </c>
      <c r="CF258">
        <v>0</v>
      </c>
      <c r="CG258">
        <v>0</v>
      </c>
      <c r="CH258">
        <v>0</v>
      </c>
      <c r="CI258">
        <v>0</v>
      </c>
      <c r="CJ258">
        <v>0</v>
      </c>
      <c r="CK258">
        <v>0</v>
      </c>
      <c r="CL258">
        <v>0</v>
      </c>
      <c r="CM258">
        <v>0</v>
      </c>
      <c r="CN258" t="str">
        <f t="shared" si="242"/>
        <v>refOK</v>
      </c>
      <c r="CO258">
        <f t="shared" si="243"/>
        <v>0</v>
      </c>
      <c r="CP258">
        <f t="shared" si="244"/>
        <v>15468</v>
      </c>
      <c r="CQ258">
        <f t="shared" si="220"/>
        <v>31.567346938775515</v>
      </c>
      <c r="CR258">
        <f t="shared" si="238"/>
        <v>-16700</v>
      </c>
      <c r="CS258">
        <f t="shared" si="239"/>
        <v>-5840</v>
      </c>
      <c r="CT258">
        <f t="shared" si="221"/>
        <v>10.86</v>
      </c>
      <c r="CU258">
        <f t="shared" si="222"/>
        <v>0.34402637703646233</v>
      </c>
      <c r="CV258" s="2">
        <f t="shared" si="223"/>
        <v>0.65029940119760477</v>
      </c>
      <c r="CW258" s="1" t="s">
        <v>1202</v>
      </c>
      <c r="CX258" t="str">
        <f t="shared" si="224"/>
        <v>reg</v>
      </c>
      <c r="CY258" t="s">
        <v>348</v>
      </c>
      <c r="CZ258">
        <v>2014</v>
      </c>
      <c r="DA258">
        <v>2034</v>
      </c>
      <c r="DB258">
        <v>20</v>
      </c>
      <c r="DC258" t="str">
        <f t="shared" si="225"/>
        <v>1-30</v>
      </c>
      <c r="DD258">
        <v>0</v>
      </c>
      <c r="DE258">
        <v>0</v>
      </c>
      <c r="DF258">
        <v>0</v>
      </c>
      <c r="DG258">
        <v>1</v>
      </c>
      <c r="DH258"/>
      <c r="DI258">
        <f t="shared" si="226"/>
        <v>1</v>
      </c>
      <c r="DJ258" t="str">
        <f t="shared" si="227"/>
        <v>TimberInput</v>
      </c>
      <c r="DK258">
        <f t="shared" si="228"/>
        <v>0</v>
      </c>
      <c r="DL258">
        <f t="shared" si="229"/>
        <v>0</v>
      </c>
      <c r="DM258">
        <f t="shared" si="230"/>
        <v>0</v>
      </c>
      <c r="DN258" t="str">
        <f t="shared" si="231"/>
        <v>Timber</v>
      </c>
      <c r="DO258">
        <v>0</v>
      </c>
      <c r="DP258">
        <v>0</v>
      </c>
      <c r="DQ258">
        <v>0</v>
      </c>
      <c r="DR258">
        <v>0</v>
      </c>
      <c r="DS258">
        <v>0</v>
      </c>
      <c r="DT258">
        <f t="shared" si="232"/>
        <v>0</v>
      </c>
      <c r="DU258" s="143" t="str">
        <f t="shared" si="233"/>
        <v>explicit C balance</v>
      </c>
      <c r="DV258">
        <v>0</v>
      </c>
      <c r="DW258">
        <v>0</v>
      </c>
      <c r="DX258">
        <v>0</v>
      </c>
      <c r="DY258">
        <v>0</v>
      </c>
      <c r="DZ258">
        <v>0</v>
      </c>
      <c r="EA258" s="143">
        <v>1</v>
      </c>
      <c r="EB258">
        <v>0</v>
      </c>
      <c r="EC258">
        <v>1</v>
      </c>
      <c r="ED258">
        <v>1</v>
      </c>
      <c r="EE258">
        <v>1</v>
      </c>
      <c r="EF258">
        <v>0</v>
      </c>
      <c r="EG258">
        <v>0</v>
      </c>
      <c r="EH258">
        <v>0</v>
      </c>
      <c r="EI258" s="2">
        <v>0</v>
      </c>
      <c r="EJ258" s="1"/>
      <c r="EK258" t="str">
        <f t="shared" si="234"/>
        <v/>
      </c>
      <c r="EL258" t="str">
        <f t="shared" si="235"/>
        <v/>
      </c>
      <c r="EM258" s="2" t="str">
        <f t="shared" si="237"/>
        <v>Technology approach</v>
      </c>
      <c r="EN258"/>
      <c r="EO258"/>
      <c r="EP258" t="str">
        <f>IF(ISNUMBER(BU258),IF(ABS(BU258-[3]QC_indicators!$B$2)&gt;3*[3]QC_indicators!$C$2,"C ratio",IF(ISNUMBER(BY258),IF(ABS(BY258-[3]QC_indicators!$B$1)&gt;3*[3]QC_indicators!$C$1,"DF","no"))),IF(ISNUMBER(BY258),IF(ABS(BY258-[3]QC_indicators!$B$1)&gt;3*[3]QC_indicators!$C$1,"DF","no")))</f>
        <v>no</v>
      </c>
      <c r="EQ258"/>
      <c r="ER258" s="149" t="s">
        <v>349</v>
      </c>
      <c r="ES258"/>
      <c r="ET258" s="264" t="s">
        <v>3272</v>
      </c>
      <c r="EU258"/>
    </row>
    <row r="259" spans="1:151" s="139" customFormat="1" ht="15" hidden="1" customHeight="1">
      <c r="A259" s="1" t="s">
        <v>1232</v>
      </c>
      <c r="B259" t="s">
        <v>1233</v>
      </c>
      <c r="C259" t="s">
        <v>1234</v>
      </c>
      <c r="D259" t="s">
        <v>336</v>
      </c>
      <c r="E259" t="s">
        <v>1235</v>
      </c>
      <c r="F259" t="s">
        <v>1236</v>
      </c>
      <c r="G259" t="s">
        <v>1237</v>
      </c>
      <c r="H259"/>
      <c r="I259">
        <v>2018</v>
      </c>
      <c r="J259"/>
      <c r="K259" t="s">
        <v>1238</v>
      </c>
      <c r="L259"/>
      <c r="M259" t="str">
        <f t="shared" si="245"/>
        <v>Balasbaneh_2018</v>
      </c>
      <c r="N259" t="s">
        <v>222</v>
      </c>
      <c r="O259" s="140" t="s">
        <v>513</v>
      </c>
      <c r="P259"/>
      <c r="Q259" t="s">
        <v>224</v>
      </c>
      <c r="R259" s="262" t="s">
        <v>223</v>
      </c>
      <c r="S259" s="1" t="s">
        <v>1257</v>
      </c>
      <c r="T259" s="264" t="s">
        <v>3109</v>
      </c>
      <c r="U259" s="264" t="s">
        <v>3115</v>
      </c>
      <c r="V259">
        <v>0</v>
      </c>
      <c r="W259">
        <v>0</v>
      </c>
      <c r="X259">
        <v>0</v>
      </c>
      <c r="Y259">
        <v>0</v>
      </c>
      <c r="Z259">
        <v>0</v>
      </c>
      <c r="AA259">
        <v>0</v>
      </c>
      <c r="AB259">
        <v>0</v>
      </c>
      <c r="AC259">
        <v>0</v>
      </c>
      <c r="AD259">
        <v>0</v>
      </c>
      <c r="AE259">
        <v>0</v>
      </c>
      <c r="AF259">
        <v>0</v>
      </c>
      <c r="AG259">
        <v>0</v>
      </c>
      <c r="AH259">
        <v>0</v>
      </c>
      <c r="AI259">
        <v>0</v>
      </c>
      <c r="AJ259">
        <v>0</v>
      </c>
      <c r="AK259">
        <v>1</v>
      </c>
      <c r="AL259">
        <v>0</v>
      </c>
      <c r="AM259">
        <v>0</v>
      </c>
      <c r="AN259">
        <v>0</v>
      </c>
      <c r="AO259">
        <v>0</v>
      </c>
      <c r="AP259">
        <v>0</v>
      </c>
      <c r="AQ259">
        <v>0</v>
      </c>
      <c r="AR259">
        <v>0</v>
      </c>
      <c r="AS259">
        <v>0</v>
      </c>
      <c r="AT259">
        <v>0</v>
      </c>
      <c r="AU259">
        <v>0</v>
      </c>
      <c r="AV259">
        <v>0</v>
      </c>
      <c r="AW259">
        <v>0</v>
      </c>
      <c r="AX259" s="141">
        <f t="shared" si="212"/>
        <v>1</v>
      </c>
      <c r="AY259" s="141">
        <f t="shared" si="213"/>
        <v>1</v>
      </c>
      <c r="AZ259">
        <f t="shared" si="214"/>
        <v>0</v>
      </c>
      <c r="BA259">
        <f t="shared" si="215"/>
        <v>0</v>
      </c>
      <c r="BB259">
        <f t="shared" si="216"/>
        <v>1</v>
      </c>
      <c r="BC259">
        <f t="shared" si="217"/>
        <v>0</v>
      </c>
      <c r="BD259">
        <f t="shared" si="218"/>
        <v>0</v>
      </c>
      <c r="BE259" t="str">
        <f t="array" ref="BE259">IF(AY259=1,INDEX($V$7:$AL$7,MATCH(TRUE,INDEX($V259:$AW259&lt;&gt;0,),0)),IF(AY259=0,INDEX($AM$7:$AW$7,MATCH(1,$AM259:$AW259,0)),IF(BF259="Multiple strategies","mixed drivers",IF(BF259="Supply chain","multiple supply","multiple silviculture"))))</f>
        <v>technologies/design switch</v>
      </c>
      <c r="BF259" s="2" t="str" cm="1">
        <f t="array" ref="BF259">IF(COUNTIF(AZ259:BB259,"&lt;&gt;0")=1,INDEX($V$4:$AW$4,MATCH(TRUE,INDEX($V259:$AW259&lt;&gt;0,),0)),IF(COUNTIF(AZ259:BB259,"&lt;&gt;0")=0,INDEX($AM$4:$AW$4,MATCH(1,$AM259:$AW259,0)),"Multiple strategies"))</f>
        <v>Technology</v>
      </c>
      <c r="BG259" s="1" t="s">
        <v>229</v>
      </c>
      <c r="BH259" t="s">
        <v>229</v>
      </c>
      <c r="BI259"/>
      <c r="BJ259" t="s">
        <v>345</v>
      </c>
      <c r="BK259">
        <v>0</v>
      </c>
      <c r="BL259">
        <v>23436</v>
      </c>
      <c r="BM259" s="143"/>
      <c r="BN259">
        <f t="shared" si="219"/>
        <v>23436</v>
      </c>
      <c r="BO259" s="143">
        <f t="shared" si="240"/>
        <v>47.828571428571436</v>
      </c>
      <c r="BP259" t="s">
        <v>232</v>
      </c>
      <c r="BQ259" s="302" t="s">
        <v>1056</v>
      </c>
      <c r="BR259" t="s">
        <v>397</v>
      </c>
      <c r="BS259">
        <v>-19800</v>
      </c>
      <c r="BT259">
        <v>-693</v>
      </c>
      <c r="BU259" s="144">
        <v>3.5000000000000003E-2</v>
      </c>
      <c r="BV259">
        <v>19107</v>
      </c>
      <c r="BW259"/>
      <c r="BX259">
        <f t="shared" si="241"/>
        <v>19.106999999999999</v>
      </c>
      <c r="BY259">
        <f t="shared" si="236"/>
        <v>0.39948924731182789</v>
      </c>
      <c r="BZ259">
        <v>0</v>
      </c>
      <c r="CA259">
        <v>0</v>
      </c>
      <c r="CB259">
        <v>0</v>
      </c>
      <c r="CC259">
        <v>0</v>
      </c>
      <c r="CD259">
        <v>0</v>
      </c>
      <c r="CE259">
        <v>0</v>
      </c>
      <c r="CF259">
        <v>0</v>
      </c>
      <c r="CG259">
        <v>0</v>
      </c>
      <c r="CH259">
        <v>0</v>
      </c>
      <c r="CI259">
        <v>0</v>
      </c>
      <c r="CJ259">
        <v>0</v>
      </c>
      <c r="CK259">
        <v>0</v>
      </c>
      <c r="CL259">
        <v>0</v>
      </c>
      <c r="CM259">
        <v>0</v>
      </c>
      <c r="CN259" t="str">
        <f t="shared" si="242"/>
        <v>refOK</v>
      </c>
      <c r="CO259">
        <f t="shared" si="243"/>
        <v>0</v>
      </c>
      <c r="CP259">
        <f t="shared" si="244"/>
        <v>23436</v>
      </c>
      <c r="CQ259">
        <f t="shared" si="220"/>
        <v>47.828571428571436</v>
      </c>
      <c r="CR259">
        <f t="shared" si="238"/>
        <v>-19800</v>
      </c>
      <c r="CS259">
        <f t="shared" si="239"/>
        <v>-693</v>
      </c>
      <c r="CT259">
        <f t="shared" si="221"/>
        <v>19.106999999999999</v>
      </c>
      <c r="CU259">
        <f t="shared" si="222"/>
        <v>0.39948924731182789</v>
      </c>
      <c r="CV259" s="2">
        <f t="shared" si="223"/>
        <v>0.96499999999999997</v>
      </c>
      <c r="CW259" s="1" t="s">
        <v>1202</v>
      </c>
      <c r="CX259" t="str">
        <f t="shared" si="224"/>
        <v>reg</v>
      </c>
      <c r="CY259" t="s">
        <v>348</v>
      </c>
      <c r="CZ259">
        <v>2014</v>
      </c>
      <c r="DA259">
        <v>2514</v>
      </c>
      <c r="DB259">
        <v>500</v>
      </c>
      <c r="DC259" t="str">
        <f t="shared" si="225"/>
        <v>+100</v>
      </c>
      <c r="DD259">
        <v>0</v>
      </c>
      <c r="DE259">
        <v>0</v>
      </c>
      <c r="DF259">
        <v>0</v>
      </c>
      <c r="DG259">
        <v>1</v>
      </c>
      <c r="DH259"/>
      <c r="DI259">
        <f t="shared" si="226"/>
        <v>1</v>
      </c>
      <c r="DJ259" t="str">
        <f t="shared" si="227"/>
        <v>TimberInput</v>
      </c>
      <c r="DK259">
        <f t="shared" si="228"/>
        <v>0</v>
      </c>
      <c r="DL259">
        <f t="shared" si="229"/>
        <v>0</v>
      </c>
      <c r="DM259">
        <f t="shared" si="230"/>
        <v>0</v>
      </c>
      <c r="DN259" t="str">
        <f t="shared" si="231"/>
        <v>Timber</v>
      </c>
      <c r="DO259">
        <v>0</v>
      </c>
      <c r="DP259">
        <v>0</v>
      </c>
      <c r="DQ259">
        <v>0</v>
      </c>
      <c r="DR259">
        <v>0</v>
      </c>
      <c r="DS259">
        <v>0</v>
      </c>
      <c r="DT259">
        <f t="shared" si="232"/>
        <v>0</v>
      </c>
      <c r="DU259" s="143" t="str">
        <f t="shared" si="233"/>
        <v>explicit C balance</v>
      </c>
      <c r="DV259">
        <v>0</v>
      </c>
      <c r="DW259">
        <v>0</v>
      </c>
      <c r="DX259">
        <v>0</v>
      </c>
      <c r="DY259">
        <v>0</v>
      </c>
      <c r="DZ259">
        <v>0</v>
      </c>
      <c r="EA259" s="143">
        <v>1</v>
      </c>
      <c r="EB259">
        <v>0</v>
      </c>
      <c r="EC259">
        <v>1</v>
      </c>
      <c r="ED259">
        <v>1</v>
      </c>
      <c r="EE259">
        <v>1</v>
      </c>
      <c r="EF259">
        <v>0</v>
      </c>
      <c r="EG259">
        <v>0</v>
      </c>
      <c r="EH259">
        <v>0</v>
      </c>
      <c r="EI259" s="2">
        <v>0</v>
      </c>
      <c r="EJ259" s="1"/>
      <c r="EK259" t="str">
        <f t="shared" si="234"/>
        <v/>
      </c>
      <c r="EL259" t="str">
        <f t="shared" si="235"/>
        <v/>
      </c>
      <c r="EM259" s="2" t="str">
        <f t="shared" si="237"/>
        <v>Technology approach</v>
      </c>
      <c r="EN259"/>
      <c r="EO259"/>
      <c r="EP259" t="str">
        <f>IF(ISNUMBER(BU259),IF(ABS(BU259-[3]QC_indicators!$B$2)&gt;3*[3]QC_indicators!$C$2,"C ratio",IF(ISNUMBER(BY259),IF(ABS(BY259-[3]QC_indicators!$B$1)&gt;3*[3]QC_indicators!$C$1,"DF","no"))),IF(ISNUMBER(BY259),IF(ABS(BY259-[3]QC_indicators!$B$1)&gt;3*[3]QC_indicators!$C$1,"DF","no")))</f>
        <v>no</v>
      </c>
      <c r="EQ259"/>
      <c r="ER259" s="149" t="s">
        <v>349</v>
      </c>
      <c r="ES259"/>
      <c r="ET259" s="264" t="s">
        <v>3272</v>
      </c>
      <c r="EU259"/>
    </row>
    <row r="260" spans="1:151" s="139" customFormat="1" ht="15" hidden="1" customHeight="1">
      <c r="A260" s="1" t="s">
        <v>1232</v>
      </c>
      <c r="B260" t="s">
        <v>1233</v>
      </c>
      <c r="C260" t="s">
        <v>1234</v>
      </c>
      <c r="D260" t="s">
        <v>336</v>
      </c>
      <c r="E260" t="s">
        <v>1235</v>
      </c>
      <c r="F260" t="s">
        <v>1236</v>
      </c>
      <c r="G260" t="s">
        <v>1237</v>
      </c>
      <c r="H260"/>
      <c r="I260">
        <v>2018</v>
      </c>
      <c r="J260"/>
      <c r="K260" t="s">
        <v>1238</v>
      </c>
      <c r="L260"/>
      <c r="M260" t="str">
        <f t="shared" si="245"/>
        <v>Balasbaneh_2018</v>
      </c>
      <c r="N260" t="s">
        <v>222</v>
      </c>
      <c r="O260" s="140" t="s">
        <v>513</v>
      </c>
      <c r="P260"/>
      <c r="Q260" t="s">
        <v>224</v>
      </c>
      <c r="R260" s="262" t="s">
        <v>223</v>
      </c>
      <c r="S260" s="1" t="s">
        <v>1258</v>
      </c>
      <c r="T260" s="264" t="s">
        <v>3114</v>
      </c>
      <c r="U260" s="264" t="s">
        <v>3115</v>
      </c>
      <c r="V260">
        <v>0</v>
      </c>
      <c r="W260">
        <v>0</v>
      </c>
      <c r="X260">
        <v>0</v>
      </c>
      <c r="Y260">
        <v>0</v>
      </c>
      <c r="Z260">
        <v>0</v>
      </c>
      <c r="AA260">
        <v>0</v>
      </c>
      <c r="AB260">
        <v>0</v>
      </c>
      <c r="AC260">
        <v>0</v>
      </c>
      <c r="AD260">
        <v>0</v>
      </c>
      <c r="AE260">
        <v>0</v>
      </c>
      <c r="AF260">
        <v>0</v>
      </c>
      <c r="AG260">
        <v>0</v>
      </c>
      <c r="AH260">
        <v>0</v>
      </c>
      <c r="AI260">
        <v>0</v>
      </c>
      <c r="AJ260">
        <v>0</v>
      </c>
      <c r="AK260">
        <v>1</v>
      </c>
      <c r="AL260">
        <v>0</v>
      </c>
      <c r="AM260">
        <v>0</v>
      </c>
      <c r="AN260">
        <v>0</v>
      </c>
      <c r="AO260">
        <v>0</v>
      </c>
      <c r="AP260">
        <v>0</v>
      </c>
      <c r="AQ260">
        <v>0</v>
      </c>
      <c r="AR260">
        <v>0</v>
      </c>
      <c r="AS260">
        <v>0</v>
      </c>
      <c r="AT260">
        <v>0</v>
      </c>
      <c r="AU260">
        <v>0</v>
      </c>
      <c r="AV260">
        <v>0</v>
      </c>
      <c r="AW260">
        <v>0</v>
      </c>
      <c r="AX260" s="141">
        <f t="shared" si="212"/>
        <v>1</v>
      </c>
      <c r="AY260" s="141">
        <f t="shared" si="213"/>
        <v>1</v>
      </c>
      <c r="AZ260">
        <f t="shared" si="214"/>
        <v>0</v>
      </c>
      <c r="BA260">
        <f t="shared" si="215"/>
        <v>0</v>
      </c>
      <c r="BB260">
        <f t="shared" si="216"/>
        <v>1</v>
      </c>
      <c r="BC260">
        <f t="shared" si="217"/>
        <v>0</v>
      </c>
      <c r="BD260">
        <f t="shared" si="218"/>
        <v>0</v>
      </c>
      <c r="BE260" t="str">
        <f t="array" ref="BE260">IF(AY260=1,INDEX($V$7:$AL$7,MATCH(TRUE,INDEX($V260:$AW260&lt;&gt;0,),0)),IF(AY260=0,INDEX($AM$7:$AW$7,MATCH(1,$AM260:$AW260,0)),IF(BF260="Multiple strategies","mixed drivers",IF(BF260="Supply chain","multiple supply","multiple silviculture"))))</f>
        <v>technologies/design switch</v>
      </c>
      <c r="BF260" s="2" t="str" cm="1">
        <f t="array" ref="BF260">IF(COUNTIF(AZ260:BB260,"&lt;&gt;0")=1,INDEX($V$4:$AW$4,MATCH(TRUE,INDEX($V260:$AW260&lt;&gt;0,),0)),IF(COUNTIF(AZ260:BB260,"&lt;&gt;0")=0,INDEX($AM$4:$AW$4,MATCH(1,$AM260:$AW260,0)),"Multiple strategies"))</f>
        <v>Technology</v>
      </c>
      <c r="BG260" s="1" t="s">
        <v>229</v>
      </c>
      <c r="BH260" t="s">
        <v>229</v>
      </c>
      <c r="BI260"/>
      <c r="BJ260" t="s">
        <v>345</v>
      </c>
      <c r="BK260">
        <v>0</v>
      </c>
      <c r="BL260">
        <v>23436</v>
      </c>
      <c r="BM260" s="143"/>
      <c r="BN260">
        <f t="shared" si="219"/>
        <v>23436</v>
      </c>
      <c r="BO260" s="143">
        <f t="shared" si="240"/>
        <v>47.828571428571436</v>
      </c>
      <c r="BP260" t="s">
        <v>232</v>
      </c>
      <c r="BQ260" s="302" t="s">
        <v>1056</v>
      </c>
      <c r="BR260" t="s">
        <v>397</v>
      </c>
      <c r="BS260">
        <v>-20300</v>
      </c>
      <c r="BT260">
        <v>-693</v>
      </c>
      <c r="BU260" s="144">
        <v>3.413793103448276E-2</v>
      </c>
      <c r="BV260">
        <v>19607</v>
      </c>
      <c r="BW260"/>
      <c r="BX260">
        <f t="shared" si="241"/>
        <v>19.606999999999999</v>
      </c>
      <c r="BY260">
        <f t="shared" si="236"/>
        <v>0.40994324970131413</v>
      </c>
      <c r="BZ260">
        <v>0</v>
      </c>
      <c r="CA260">
        <v>0</v>
      </c>
      <c r="CB260">
        <v>0</v>
      </c>
      <c r="CC260">
        <v>0</v>
      </c>
      <c r="CD260">
        <v>0</v>
      </c>
      <c r="CE260">
        <v>0</v>
      </c>
      <c r="CF260">
        <v>0</v>
      </c>
      <c r="CG260">
        <v>0</v>
      </c>
      <c r="CH260">
        <v>0</v>
      </c>
      <c r="CI260">
        <v>0</v>
      </c>
      <c r="CJ260">
        <v>0</v>
      </c>
      <c r="CK260">
        <v>0</v>
      </c>
      <c r="CL260">
        <v>0</v>
      </c>
      <c r="CM260">
        <v>0</v>
      </c>
      <c r="CN260" t="str">
        <f t="shared" si="242"/>
        <v>refOK</v>
      </c>
      <c r="CO260">
        <f t="shared" si="243"/>
        <v>0</v>
      </c>
      <c r="CP260">
        <f t="shared" si="244"/>
        <v>23436</v>
      </c>
      <c r="CQ260">
        <f t="shared" si="220"/>
        <v>47.828571428571436</v>
      </c>
      <c r="CR260">
        <f t="shared" si="238"/>
        <v>-20300</v>
      </c>
      <c r="CS260">
        <f t="shared" si="239"/>
        <v>-693</v>
      </c>
      <c r="CT260">
        <f t="shared" si="221"/>
        <v>19.606999999999999</v>
      </c>
      <c r="CU260">
        <f t="shared" si="222"/>
        <v>0.40994324970131413</v>
      </c>
      <c r="CV260" s="2">
        <f t="shared" si="223"/>
        <v>0.9658620689655173</v>
      </c>
      <c r="CW260" s="1" t="s">
        <v>1202</v>
      </c>
      <c r="CX260" t="str">
        <f t="shared" si="224"/>
        <v>reg</v>
      </c>
      <c r="CY260" t="s">
        <v>348</v>
      </c>
      <c r="CZ260">
        <v>2014</v>
      </c>
      <c r="DA260">
        <v>2514</v>
      </c>
      <c r="DB260">
        <v>500</v>
      </c>
      <c r="DC260" t="str">
        <f t="shared" si="225"/>
        <v>+100</v>
      </c>
      <c r="DD260">
        <v>0</v>
      </c>
      <c r="DE260">
        <v>0</v>
      </c>
      <c r="DF260">
        <v>0</v>
      </c>
      <c r="DG260">
        <v>1</v>
      </c>
      <c r="DH260"/>
      <c r="DI260">
        <f t="shared" si="226"/>
        <v>1</v>
      </c>
      <c r="DJ260" t="str">
        <f t="shared" si="227"/>
        <v>TimberInput</v>
      </c>
      <c r="DK260">
        <f t="shared" si="228"/>
        <v>0</v>
      </c>
      <c r="DL260">
        <f t="shared" si="229"/>
        <v>0</v>
      </c>
      <c r="DM260">
        <f t="shared" si="230"/>
        <v>0</v>
      </c>
      <c r="DN260" t="str">
        <f t="shared" si="231"/>
        <v>Timber</v>
      </c>
      <c r="DO260">
        <v>0</v>
      </c>
      <c r="DP260">
        <v>0</v>
      </c>
      <c r="DQ260">
        <v>0</v>
      </c>
      <c r="DR260">
        <v>0</v>
      </c>
      <c r="DS260">
        <v>0</v>
      </c>
      <c r="DT260">
        <f t="shared" si="232"/>
        <v>0</v>
      </c>
      <c r="DU260" s="143" t="str">
        <f t="shared" si="233"/>
        <v>explicit C balance</v>
      </c>
      <c r="DV260">
        <v>0</v>
      </c>
      <c r="DW260">
        <v>0</v>
      </c>
      <c r="DX260">
        <v>0</v>
      </c>
      <c r="DY260">
        <v>0</v>
      </c>
      <c r="DZ260">
        <v>0</v>
      </c>
      <c r="EA260" s="143">
        <v>1</v>
      </c>
      <c r="EB260">
        <v>0</v>
      </c>
      <c r="EC260">
        <v>1</v>
      </c>
      <c r="ED260">
        <v>1</v>
      </c>
      <c r="EE260">
        <v>1</v>
      </c>
      <c r="EF260">
        <v>0</v>
      </c>
      <c r="EG260">
        <v>0</v>
      </c>
      <c r="EH260">
        <v>0</v>
      </c>
      <c r="EI260" s="2">
        <v>0</v>
      </c>
      <c r="EJ260" s="1"/>
      <c r="EK260" t="str">
        <f t="shared" si="234"/>
        <v/>
      </c>
      <c r="EL260" t="str">
        <f t="shared" si="235"/>
        <v/>
      </c>
      <c r="EM260" s="2" t="str">
        <f t="shared" si="237"/>
        <v>Technology approach</v>
      </c>
      <c r="EN260"/>
      <c r="EO260"/>
      <c r="EP260" t="str">
        <f>IF(ISNUMBER(BU260),IF(ABS(BU260-[3]QC_indicators!$B$2)&gt;3*[3]QC_indicators!$C$2,"C ratio",IF(ISNUMBER(BY260),IF(ABS(BY260-[3]QC_indicators!$B$1)&gt;3*[3]QC_indicators!$C$1,"DF","no"))),IF(ISNUMBER(BY260),IF(ABS(BY260-[3]QC_indicators!$B$1)&gt;3*[3]QC_indicators!$C$1,"DF","no")))</f>
        <v>no</v>
      </c>
      <c r="EQ260"/>
      <c r="ER260" s="149" t="s">
        <v>349</v>
      </c>
      <c r="ES260"/>
      <c r="ET260" s="264" t="s">
        <v>3272</v>
      </c>
      <c r="EU260"/>
    </row>
    <row r="261" spans="1:151" s="139" customFormat="1" ht="15" hidden="1" customHeight="1">
      <c r="A261" s="1" t="s">
        <v>1232</v>
      </c>
      <c r="B261" t="s">
        <v>1233</v>
      </c>
      <c r="C261" t="s">
        <v>1234</v>
      </c>
      <c r="D261" t="s">
        <v>336</v>
      </c>
      <c r="E261" t="s">
        <v>1235</v>
      </c>
      <c r="F261" t="s">
        <v>1236</v>
      </c>
      <c r="G261" t="s">
        <v>1237</v>
      </c>
      <c r="H261"/>
      <c r="I261">
        <v>2018</v>
      </c>
      <c r="J261"/>
      <c r="K261" t="s">
        <v>1238</v>
      </c>
      <c r="L261"/>
      <c r="M261" t="str">
        <f t="shared" si="245"/>
        <v>Balasbaneh_2018</v>
      </c>
      <c r="N261" t="s">
        <v>222</v>
      </c>
      <c r="O261" s="140" t="s">
        <v>513</v>
      </c>
      <c r="P261"/>
      <c r="Q261" t="s">
        <v>224</v>
      </c>
      <c r="R261" s="262" t="s">
        <v>223</v>
      </c>
      <c r="S261" s="1" t="s">
        <v>1259</v>
      </c>
      <c r="T261" s="264" t="s">
        <v>3114</v>
      </c>
      <c r="U261" s="264" t="s">
        <v>3115</v>
      </c>
      <c r="V261">
        <v>0</v>
      </c>
      <c r="W261">
        <v>0</v>
      </c>
      <c r="X261">
        <v>0</v>
      </c>
      <c r="Y261">
        <v>0</v>
      </c>
      <c r="Z261">
        <v>0</v>
      </c>
      <c r="AA261">
        <v>0</v>
      </c>
      <c r="AB261">
        <v>0</v>
      </c>
      <c r="AC261">
        <v>0</v>
      </c>
      <c r="AD261">
        <v>0</v>
      </c>
      <c r="AE261">
        <v>0</v>
      </c>
      <c r="AF261">
        <v>0</v>
      </c>
      <c r="AG261">
        <v>0</v>
      </c>
      <c r="AH261">
        <v>0</v>
      </c>
      <c r="AI261">
        <v>0</v>
      </c>
      <c r="AJ261">
        <v>0</v>
      </c>
      <c r="AK261">
        <v>1</v>
      </c>
      <c r="AL261">
        <v>0</v>
      </c>
      <c r="AM261">
        <v>0</v>
      </c>
      <c r="AN261">
        <v>0</v>
      </c>
      <c r="AO261">
        <v>0</v>
      </c>
      <c r="AP261">
        <v>0</v>
      </c>
      <c r="AQ261">
        <v>0</v>
      </c>
      <c r="AR261">
        <v>0</v>
      </c>
      <c r="AS261">
        <v>0</v>
      </c>
      <c r="AT261">
        <v>0</v>
      </c>
      <c r="AU261">
        <v>0</v>
      </c>
      <c r="AV261">
        <v>0</v>
      </c>
      <c r="AW261">
        <v>0</v>
      </c>
      <c r="AX261" s="141">
        <f t="shared" si="212"/>
        <v>1</v>
      </c>
      <c r="AY261" s="141">
        <f t="shared" si="213"/>
        <v>1</v>
      </c>
      <c r="AZ261">
        <f t="shared" si="214"/>
        <v>0</v>
      </c>
      <c r="BA261">
        <f t="shared" si="215"/>
        <v>0</v>
      </c>
      <c r="BB261">
        <f t="shared" si="216"/>
        <v>1</v>
      </c>
      <c r="BC261">
        <f t="shared" si="217"/>
        <v>0</v>
      </c>
      <c r="BD261">
        <f t="shared" si="218"/>
        <v>0</v>
      </c>
      <c r="BE261" t="str">
        <f t="array" ref="BE261">IF(AY261=1,INDEX($V$7:$AL$7,MATCH(TRUE,INDEX($V261:$AW261&lt;&gt;0,),0)),IF(AY261=0,INDEX($AM$7:$AW$7,MATCH(1,$AM261:$AW261,0)),IF(BF261="Multiple strategies","mixed drivers",IF(BF261="Supply chain","multiple supply","multiple silviculture"))))</f>
        <v>technologies/design switch</v>
      </c>
      <c r="BF261" s="2" t="str" cm="1">
        <f t="array" ref="BF261">IF(COUNTIF(AZ261:BB261,"&lt;&gt;0")=1,INDEX($V$4:$AW$4,MATCH(TRUE,INDEX($V261:$AW261&lt;&gt;0,),0)),IF(COUNTIF(AZ261:BB261,"&lt;&gt;0")=0,INDEX($AM$4:$AW$4,MATCH(1,$AM261:$AW261,0)),"Multiple strategies"))</f>
        <v>Technology</v>
      </c>
      <c r="BG261" s="1" t="s">
        <v>229</v>
      </c>
      <c r="BH261" t="s">
        <v>229</v>
      </c>
      <c r="BI261"/>
      <c r="BJ261" t="s">
        <v>345</v>
      </c>
      <c r="BK261">
        <v>0</v>
      </c>
      <c r="BL261">
        <v>23436</v>
      </c>
      <c r="BM261" s="143"/>
      <c r="BN261">
        <f t="shared" si="219"/>
        <v>23436</v>
      </c>
      <c r="BO261" s="143">
        <f t="shared" si="240"/>
        <v>47.828571428571436</v>
      </c>
      <c r="BP261" t="s">
        <v>232</v>
      </c>
      <c r="BQ261" s="302" t="s">
        <v>1056</v>
      </c>
      <c r="BR261" t="s">
        <v>397</v>
      </c>
      <c r="BS261">
        <v>-21200</v>
      </c>
      <c r="BT261">
        <v>-702</v>
      </c>
      <c r="BU261" s="144">
        <v>3.3113207547169808E-2</v>
      </c>
      <c r="BV261">
        <v>20498</v>
      </c>
      <c r="BW261"/>
      <c r="BX261">
        <f t="shared" si="241"/>
        <v>20.498000000000001</v>
      </c>
      <c r="BY261">
        <f t="shared" si="236"/>
        <v>0.42857228195937869</v>
      </c>
      <c r="BZ261">
        <v>0</v>
      </c>
      <c r="CA261">
        <v>0</v>
      </c>
      <c r="CB261">
        <v>0</v>
      </c>
      <c r="CC261">
        <v>0</v>
      </c>
      <c r="CD261">
        <v>0</v>
      </c>
      <c r="CE261">
        <v>0</v>
      </c>
      <c r="CF261">
        <v>0</v>
      </c>
      <c r="CG261">
        <v>0</v>
      </c>
      <c r="CH261">
        <v>0</v>
      </c>
      <c r="CI261">
        <v>0</v>
      </c>
      <c r="CJ261">
        <v>0</v>
      </c>
      <c r="CK261">
        <v>0</v>
      </c>
      <c r="CL261">
        <v>0</v>
      </c>
      <c r="CM261">
        <v>0</v>
      </c>
      <c r="CN261" t="str">
        <f t="shared" si="242"/>
        <v>refOK</v>
      </c>
      <c r="CO261">
        <f t="shared" si="243"/>
        <v>0</v>
      </c>
      <c r="CP261">
        <f t="shared" si="244"/>
        <v>23436</v>
      </c>
      <c r="CQ261">
        <f t="shared" si="220"/>
        <v>47.828571428571436</v>
      </c>
      <c r="CR261">
        <f t="shared" si="238"/>
        <v>-21200</v>
      </c>
      <c r="CS261">
        <f t="shared" si="239"/>
        <v>-702</v>
      </c>
      <c r="CT261">
        <f t="shared" si="221"/>
        <v>20.498000000000001</v>
      </c>
      <c r="CU261">
        <f t="shared" si="222"/>
        <v>0.42857228195937869</v>
      </c>
      <c r="CV261" s="2">
        <f t="shared" si="223"/>
        <v>0.96688679245283016</v>
      </c>
      <c r="CW261" s="1" t="s">
        <v>1202</v>
      </c>
      <c r="CX261" t="str">
        <f t="shared" si="224"/>
        <v>reg</v>
      </c>
      <c r="CY261" t="s">
        <v>348</v>
      </c>
      <c r="CZ261">
        <v>2014</v>
      </c>
      <c r="DA261">
        <v>2114</v>
      </c>
      <c r="DB261">
        <v>100</v>
      </c>
      <c r="DC261" t="str">
        <f t="shared" si="225"/>
        <v>71-100</v>
      </c>
      <c r="DD261">
        <v>0</v>
      </c>
      <c r="DE261">
        <v>0</v>
      </c>
      <c r="DF261">
        <v>0</v>
      </c>
      <c r="DG261">
        <v>1</v>
      </c>
      <c r="DH261"/>
      <c r="DI261">
        <f t="shared" si="226"/>
        <v>1</v>
      </c>
      <c r="DJ261" t="str">
        <f t="shared" si="227"/>
        <v>TimberInput</v>
      </c>
      <c r="DK261">
        <f t="shared" si="228"/>
        <v>0</v>
      </c>
      <c r="DL261">
        <f t="shared" si="229"/>
        <v>0</v>
      </c>
      <c r="DM261">
        <f t="shared" si="230"/>
        <v>0</v>
      </c>
      <c r="DN261" t="str">
        <f t="shared" si="231"/>
        <v>Timber</v>
      </c>
      <c r="DO261">
        <v>0</v>
      </c>
      <c r="DP261">
        <v>0</v>
      </c>
      <c r="DQ261">
        <v>0</v>
      </c>
      <c r="DR261">
        <v>0</v>
      </c>
      <c r="DS261">
        <v>0</v>
      </c>
      <c r="DT261">
        <f t="shared" si="232"/>
        <v>0</v>
      </c>
      <c r="DU261" s="143" t="str">
        <f t="shared" si="233"/>
        <v>explicit C balance</v>
      </c>
      <c r="DV261">
        <v>0</v>
      </c>
      <c r="DW261">
        <v>0</v>
      </c>
      <c r="DX261">
        <v>0</v>
      </c>
      <c r="DY261">
        <v>0</v>
      </c>
      <c r="DZ261">
        <v>0</v>
      </c>
      <c r="EA261" s="143">
        <v>1</v>
      </c>
      <c r="EB261">
        <v>0</v>
      </c>
      <c r="EC261">
        <v>1</v>
      </c>
      <c r="ED261">
        <v>1</v>
      </c>
      <c r="EE261">
        <v>1</v>
      </c>
      <c r="EF261">
        <v>0</v>
      </c>
      <c r="EG261">
        <v>0</v>
      </c>
      <c r="EH261">
        <v>0</v>
      </c>
      <c r="EI261" s="2">
        <v>0</v>
      </c>
      <c r="EJ261" s="1"/>
      <c r="EK261" t="str">
        <f t="shared" si="234"/>
        <v/>
      </c>
      <c r="EL261" t="str">
        <f t="shared" si="235"/>
        <v/>
      </c>
      <c r="EM261" s="2" t="str">
        <f t="shared" si="237"/>
        <v>Technology approach</v>
      </c>
      <c r="EN261"/>
      <c r="EO261"/>
      <c r="EP261" t="str">
        <f>IF(ISNUMBER(BU261),IF(ABS(BU261-[3]QC_indicators!$B$2)&gt;3*[3]QC_indicators!$C$2,"C ratio",IF(ISNUMBER(BY261),IF(ABS(BY261-[3]QC_indicators!$B$1)&gt;3*[3]QC_indicators!$C$1,"DF","no"))),IF(ISNUMBER(BY261),IF(ABS(BY261-[3]QC_indicators!$B$1)&gt;3*[3]QC_indicators!$C$1,"DF","no")))</f>
        <v>no</v>
      </c>
      <c r="EQ261"/>
      <c r="ER261" s="149" t="s">
        <v>349</v>
      </c>
      <c r="ES261"/>
      <c r="ET261" s="264" t="s">
        <v>3272</v>
      </c>
      <c r="EU261"/>
    </row>
    <row r="262" spans="1:151" s="139" customFormat="1" ht="15" hidden="1" customHeight="1">
      <c r="A262" s="1" t="s">
        <v>1232</v>
      </c>
      <c r="B262" t="s">
        <v>1233</v>
      </c>
      <c r="C262" t="s">
        <v>1234</v>
      </c>
      <c r="D262" t="s">
        <v>336</v>
      </c>
      <c r="E262" t="s">
        <v>1235</v>
      </c>
      <c r="F262" t="s">
        <v>1236</v>
      </c>
      <c r="G262" t="s">
        <v>1237</v>
      </c>
      <c r="H262"/>
      <c r="I262">
        <v>2018</v>
      </c>
      <c r="J262"/>
      <c r="K262" t="s">
        <v>1238</v>
      </c>
      <c r="L262"/>
      <c r="M262" t="str">
        <f t="shared" si="245"/>
        <v>Balasbaneh_2018</v>
      </c>
      <c r="N262" t="s">
        <v>222</v>
      </c>
      <c r="O262" s="140" t="s">
        <v>513</v>
      </c>
      <c r="P262"/>
      <c r="Q262" t="s">
        <v>224</v>
      </c>
      <c r="R262" s="262" t="s">
        <v>223</v>
      </c>
      <c r="S262" s="1" t="s">
        <v>1260</v>
      </c>
      <c r="T262" s="264" t="s">
        <v>3109</v>
      </c>
      <c r="U262" s="264" t="s">
        <v>3110</v>
      </c>
      <c r="V262">
        <v>0</v>
      </c>
      <c r="W262">
        <v>0</v>
      </c>
      <c r="X262">
        <v>0</v>
      </c>
      <c r="Y262">
        <v>0</v>
      </c>
      <c r="Z262">
        <v>0</v>
      </c>
      <c r="AA262">
        <v>0</v>
      </c>
      <c r="AB262">
        <v>0</v>
      </c>
      <c r="AC262">
        <v>0</v>
      </c>
      <c r="AD262">
        <v>0</v>
      </c>
      <c r="AE262">
        <v>0</v>
      </c>
      <c r="AF262">
        <v>0</v>
      </c>
      <c r="AG262">
        <v>0</v>
      </c>
      <c r="AH262">
        <v>0</v>
      </c>
      <c r="AI262">
        <v>0</v>
      </c>
      <c r="AJ262">
        <v>0</v>
      </c>
      <c r="AK262">
        <v>1</v>
      </c>
      <c r="AL262">
        <v>0</v>
      </c>
      <c r="AM262">
        <v>0</v>
      </c>
      <c r="AN262">
        <v>0</v>
      </c>
      <c r="AO262">
        <v>0</v>
      </c>
      <c r="AP262">
        <v>0</v>
      </c>
      <c r="AQ262">
        <v>0</v>
      </c>
      <c r="AR262">
        <v>0</v>
      </c>
      <c r="AS262">
        <v>0</v>
      </c>
      <c r="AT262">
        <v>0</v>
      </c>
      <c r="AU262">
        <v>0</v>
      </c>
      <c r="AV262">
        <v>0</v>
      </c>
      <c r="AW262">
        <v>0</v>
      </c>
      <c r="AX262" s="141">
        <f t="shared" si="212"/>
        <v>1</v>
      </c>
      <c r="AY262" s="141">
        <f t="shared" si="213"/>
        <v>1</v>
      </c>
      <c r="AZ262">
        <f t="shared" si="214"/>
        <v>0</v>
      </c>
      <c r="BA262">
        <f t="shared" si="215"/>
        <v>0</v>
      </c>
      <c r="BB262">
        <f t="shared" si="216"/>
        <v>1</v>
      </c>
      <c r="BC262">
        <f t="shared" si="217"/>
        <v>0</v>
      </c>
      <c r="BD262">
        <f t="shared" si="218"/>
        <v>0</v>
      </c>
      <c r="BE262" t="str">
        <f t="array" ref="BE262">IF(AY262=1,INDEX($V$7:$AL$7,MATCH(TRUE,INDEX($V262:$AW262&lt;&gt;0,),0)),IF(AY262=0,INDEX($AM$7:$AW$7,MATCH(1,$AM262:$AW262,0)),IF(BF262="Multiple strategies","mixed drivers",IF(BF262="Supply chain","multiple supply","multiple silviculture"))))</f>
        <v>technologies/design switch</v>
      </c>
      <c r="BF262" s="2" t="str" cm="1">
        <f t="array" ref="BF262">IF(COUNTIF(AZ262:BB262,"&lt;&gt;0")=1,INDEX($V$4:$AW$4,MATCH(TRUE,INDEX($V262:$AW262&lt;&gt;0,),0)),IF(COUNTIF(AZ262:BB262,"&lt;&gt;0")=0,INDEX($AM$4:$AW$4,MATCH(1,$AM262:$AW262,0)),"Multiple strategies"))</f>
        <v>Technology</v>
      </c>
      <c r="BG262" s="1" t="s">
        <v>229</v>
      </c>
      <c r="BH262" t="s">
        <v>229</v>
      </c>
      <c r="BI262"/>
      <c r="BJ262" t="s">
        <v>345</v>
      </c>
      <c r="BK262">
        <v>0</v>
      </c>
      <c r="BL262">
        <v>15468</v>
      </c>
      <c r="BM262" s="143"/>
      <c r="BN262">
        <f t="shared" si="219"/>
        <v>15468</v>
      </c>
      <c r="BO262" s="143">
        <f t="shared" si="240"/>
        <v>31.567346938775515</v>
      </c>
      <c r="BP262" t="s">
        <v>232</v>
      </c>
      <c r="BQ262" s="302" t="s">
        <v>1056</v>
      </c>
      <c r="BR262" t="s">
        <v>397</v>
      </c>
      <c r="BS262">
        <v>-19800</v>
      </c>
      <c r="BT262">
        <v>-5130</v>
      </c>
      <c r="BU262" s="144">
        <v>0.25909090909090909</v>
      </c>
      <c r="BV262">
        <v>14670</v>
      </c>
      <c r="BW262"/>
      <c r="BX262">
        <f t="shared" si="241"/>
        <v>14.67</v>
      </c>
      <c r="BY262">
        <f t="shared" si="236"/>
        <v>0.46472071373157481</v>
      </c>
      <c r="BZ262">
        <v>0</v>
      </c>
      <c r="CA262">
        <v>0</v>
      </c>
      <c r="CB262">
        <v>0</v>
      </c>
      <c r="CC262">
        <v>0</v>
      </c>
      <c r="CD262">
        <v>0</v>
      </c>
      <c r="CE262">
        <v>0</v>
      </c>
      <c r="CF262">
        <v>0</v>
      </c>
      <c r="CG262">
        <v>0</v>
      </c>
      <c r="CH262">
        <v>0</v>
      </c>
      <c r="CI262">
        <v>0</v>
      </c>
      <c r="CJ262">
        <v>0</v>
      </c>
      <c r="CK262">
        <v>0</v>
      </c>
      <c r="CL262">
        <v>0</v>
      </c>
      <c r="CM262">
        <v>0</v>
      </c>
      <c r="CN262" t="str">
        <f t="shared" si="242"/>
        <v>refOK</v>
      </c>
      <c r="CO262">
        <f t="shared" si="243"/>
        <v>0</v>
      </c>
      <c r="CP262">
        <f t="shared" si="244"/>
        <v>15468</v>
      </c>
      <c r="CQ262">
        <f t="shared" si="220"/>
        <v>31.567346938775515</v>
      </c>
      <c r="CR262">
        <f t="shared" si="238"/>
        <v>-19800</v>
      </c>
      <c r="CS262">
        <f t="shared" si="239"/>
        <v>-5130</v>
      </c>
      <c r="CT262">
        <f t="shared" si="221"/>
        <v>14.67</v>
      </c>
      <c r="CU262">
        <f t="shared" si="222"/>
        <v>0.46472071373157481</v>
      </c>
      <c r="CV262" s="2">
        <f t="shared" si="223"/>
        <v>0.74090909090909096</v>
      </c>
      <c r="CW262" s="1" t="s">
        <v>1202</v>
      </c>
      <c r="CX262" t="str">
        <f t="shared" si="224"/>
        <v>reg</v>
      </c>
      <c r="CY262" t="s">
        <v>348</v>
      </c>
      <c r="CZ262">
        <v>2014</v>
      </c>
      <c r="DA262">
        <v>2514</v>
      </c>
      <c r="DB262">
        <v>500</v>
      </c>
      <c r="DC262" t="str">
        <f t="shared" si="225"/>
        <v>+100</v>
      </c>
      <c r="DD262">
        <v>0</v>
      </c>
      <c r="DE262">
        <v>0</v>
      </c>
      <c r="DF262">
        <v>0</v>
      </c>
      <c r="DG262">
        <v>1</v>
      </c>
      <c r="DH262"/>
      <c r="DI262">
        <f t="shared" si="226"/>
        <v>1</v>
      </c>
      <c r="DJ262" t="str">
        <f t="shared" si="227"/>
        <v>TimberInput</v>
      </c>
      <c r="DK262">
        <f t="shared" si="228"/>
        <v>0</v>
      </c>
      <c r="DL262">
        <f t="shared" si="229"/>
        <v>0</v>
      </c>
      <c r="DM262">
        <f t="shared" si="230"/>
        <v>0</v>
      </c>
      <c r="DN262" t="str">
        <f t="shared" si="231"/>
        <v>Timber</v>
      </c>
      <c r="DO262">
        <v>0</v>
      </c>
      <c r="DP262">
        <v>0</v>
      </c>
      <c r="DQ262">
        <v>0</v>
      </c>
      <c r="DR262">
        <v>0</v>
      </c>
      <c r="DS262">
        <v>0</v>
      </c>
      <c r="DT262">
        <f t="shared" si="232"/>
        <v>0</v>
      </c>
      <c r="DU262" s="143" t="str">
        <f t="shared" si="233"/>
        <v>explicit C balance</v>
      </c>
      <c r="DV262">
        <v>0</v>
      </c>
      <c r="DW262">
        <v>0</v>
      </c>
      <c r="DX262">
        <v>0</v>
      </c>
      <c r="DY262">
        <v>0</v>
      </c>
      <c r="DZ262">
        <v>0</v>
      </c>
      <c r="EA262" s="143">
        <v>1</v>
      </c>
      <c r="EB262">
        <v>0</v>
      </c>
      <c r="EC262">
        <v>1</v>
      </c>
      <c r="ED262">
        <v>1</v>
      </c>
      <c r="EE262">
        <v>1</v>
      </c>
      <c r="EF262">
        <v>0</v>
      </c>
      <c r="EG262">
        <v>0</v>
      </c>
      <c r="EH262">
        <v>0</v>
      </c>
      <c r="EI262" s="2">
        <v>0</v>
      </c>
      <c r="EJ262" s="1"/>
      <c r="EK262" t="str">
        <f t="shared" si="234"/>
        <v/>
      </c>
      <c r="EL262" t="str">
        <f t="shared" si="235"/>
        <v/>
      </c>
      <c r="EM262" s="2" t="str">
        <f t="shared" si="237"/>
        <v>Technology approach</v>
      </c>
      <c r="EN262"/>
      <c r="EO262"/>
      <c r="EP262" t="str">
        <f>IF(ISNUMBER(BU262),IF(ABS(BU262-[3]QC_indicators!$B$2)&gt;3*[3]QC_indicators!$C$2,"C ratio",IF(ISNUMBER(BY262),IF(ABS(BY262-[3]QC_indicators!$B$1)&gt;3*[3]QC_indicators!$C$1,"DF","no"))),IF(ISNUMBER(BY262),IF(ABS(BY262-[3]QC_indicators!$B$1)&gt;3*[3]QC_indicators!$C$1,"DF","no")))</f>
        <v>no</v>
      </c>
      <c r="EQ262"/>
      <c r="ER262" s="149" t="s">
        <v>349</v>
      </c>
      <c r="ES262"/>
      <c r="ET262" s="264" t="s">
        <v>3272</v>
      </c>
      <c r="EU262"/>
    </row>
    <row r="263" spans="1:151" s="139" customFormat="1" ht="15" hidden="1" customHeight="1">
      <c r="A263" s="1" t="s">
        <v>1232</v>
      </c>
      <c r="B263" t="s">
        <v>1233</v>
      </c>
      <c r="C263" t="s">
        <v>1234</v>
      </c>
      <c r="D263" t="s">
        <v>336</v>
      </c>
      <c r="E263" t="s">
        <v>1235</v>
      </c>
      <c r="F263" t="s">
        <v>1236</v>
      </c>
      <c r="G263" t="s">
        <v>1237</v>
      </c>
      <c r="H263"/>
      <c r="I263">
        <v>2018</v>
      </c>
      <c r="J263"/>
      <c r="K263" t="s">
        <v>1238</v>
      </c>
      <c r="L263"/>
      <c r="M263" t="str">
        <f t="shared" si="245"/>
        <v>Balasbaneh_2018</v>
      </c>
      <c r="N263" t="s">
        <v>222</v>
      </c>
      <c r="O263" s="140" t="s">
        <v>513</v>
      </c>
      <c r="P263"/>
      <c r="Q263" t="s">
        <v>224</v>
      </c>
      <c r="R263" s="262" t="s">
        <v>223</v>
      </c>
      <c r="S263" s="1" t="s">
        <v>1261</v>
      </c>
      <c r="T263" s="264" t="s">
        <v>3114</v>
      </c>
      <c r="U263" s="264" t="s">
        <v>3115</v>
      </c>
      <c r="V263">
        <v>0</v>
      </c>
      <c r="W263">
        <v>0</v>
      </c>
      <c r="X263">
        <v>0</v>
      </c>
      <c r="Y263">
        <v>0</v>
      </c>
      <c r="Z263">
        <v>0</v>
      </c>
      <c r="AA263">
        <v>0</v>
      </c>
      <c r="AB263">
        <v>0</v>
      </c>
      <c r="AC263">
        <v>0</v>
      </c>
      <c r="AD263">
        <v>0</v>
      </c>
      <c r="AE263">
        <v>0</v>
      </c>
      <c r="AF263">
        <v>0</v>
      </c>
      <c r="AG263">
        <v>0</v>
      </c>
      <c r="AH263">
        <v>0</v>
      </c>
      <c r="AI263">
        <v>0</v>
      </c>
      <c r="AJ263">
        <v>0</v>
      </c>
      <c r="AK263">
        <v>1</v>
      </c>
      <c r="AL263">
        <v>0</v>
      </c>
      <c r="AM263">
        <v>0</v>
      </c>
      <c r="AN263">
        <v>0</v>
      </c>
      <c r="AO263">
        <v>0</v>
      </c>
      <c r="AP263">
        <v>0</v>
      </c>
      <c r="AQ263">
        <v>0</v>
      </c>
      <c r="AR263">
        <v>0</v>
      </c>
      <c r="AS263">
        <v>0</v>
      </c>
      <c r="AT263">
        <v>0</v>
      </c>
      <c r="AU263">
        <v>0</v>
      </c>
      <c r="AV263">
        <v>0</v>
      </c>
      <c r="AW263">
        <v>0</v>
      </c>
      <c r="AX263" s="141">
        <f t="shared" si="212"/>
        <v>1</v>
      </c>
      <c r="AY263" s="141">
        <f t="shared" si="213"/>
        <v>1</v>
      </c>
      <c r="AZ263">
        <f t="shared" si="214"/>
        <v>0</v>
      </c>
      <c r="BA263">
        <f t="shared" si="215"/>
        <v>0</v>
      </c>
      <c r="BB263">
        <f t="shared" si="216"/>
        <v>1</v>
      </c>
      <c r="BC263">
        <f t="shared" si="217"/>
        <v>0</v>
      </c>
      <c r="BD263">
        <f t="shared" si="218"/>
        <v>0</v>
      </c>
      <c r="BE263" t="str">
        <f t="array" ref="BE263">IF(AY263=1,INDEX($V$7:$AL$7,MATCH(TRUE,INDEX($V263:$AW263&lt;&gt;0,),0)),IF(AY263=0,INDEX($AM$7:$AW$7,MATCH(1,$AM263:$AW263,0)),IF(BF263="Multiple strategies","mixed drivers",IF(BF263="Supply chain","multiple supply","multiple silviculture"))))</f>
        <v>technologies/design switch</v>
      </c>
      <c r="BF263" s="2" t="str" cm="1">
        <f t="array" ref="BF263">IF(COUNTIF(AZ263:BB263,"&lt;&gt;0")=1,INDEX($V$4:$AW$4,MATCH(TRUE,INDEX($V263:$AW263&lt;&gt;0,),0)),IF(COUNTIF(AZ263:BB263,"&lt;&gt;0")=0,INDEX($AM$4:$AW$4,MATCH(1,$AM263:$AW263,0)),"Multiple strategies"))</f>
        <v>Technology</v>
      </c>
      <c r="BG263" s="1" t="s">
        <v>229</v>
      </c>
      <c r="BH263" t="s">
        <v>229</v>
      </c>
      <c r="BI263"/>
      <c r="BJ263" t="s">
        <v>345</v>
      </c>
      <c r="BK263">
        <v>0</v>
      </c>
      <c r="BL263">
        <v>23436</v>
      </c>
      <c r="BM263" s="143"/>
      <c r="BN263">
        <f t="shared" si="219"/>
        <v>23436</v>
      </c>
      <c r="BO263" s="143">
        <f t="shared" si="240"/>
        <v>47.828571428571436</v>
      </c>
      <c r="BP263" t="s">
        <v>232</v>
      </c>
      <c r="BQ263" s="302" t="s">
        <v>1056</v>
      </c>
      <c r="BR263" t="s">
        <v>397</v>
      </c>
      <c r="BS263">
        <v>-23200</v>
      </c>
      <c r="BT263">
        <v>-711</v>
      </c>
      <c r="BU263" s="144">
        <v>3.0646551724137931E-2</v>
      </c>
      <c r="BV263">
        <v>22489</v>
      </c>
      <c r="BW263"/>
      <c r="BX263">
        <f t="shared" si="241"/>
        <v>22.489000000000001</v>
      </c>
      <c r="BY263">
        <f t="shared" si="236"/>
        <v>0.47020011947431295</v>
      </c>
      <c r="BZ263">
        <v>0</v>
      </c>
      <c r="CA263">
        <v>0</v>
      </c>
      <c r="CB263">
        <v>0</v>
      </c>
      <c r="CC263">
        <v>0</v>
      </c>
      <c r="CD263">
        <v>0</v>
      </c>
      <c r="CE263">
        <v>0</v>
      </c>
      <c r="CF263">
        <v>0</v>
      </c>
      <c r="CG263">
        <v>0</v>
      </c>
      <c r="CH263">
        <v>0</v>
      </c>
      <c r="CI263">
        <v>0</v>
      </c>
      <c r="CJ263">
        <v>0</v>
      </c>
      <c r="CK263">
        <v>0</v>
      </c>
      <c r="CL263">
        <v>0</v>
      </c>
      <c r="CM263">
        <v>0</v>
      </c>
      <c r="CN263" t="str">
        <f t="shared" si="242"/>
        <v>refOK</v>
      </c>
      <c r="CO263">
        <f t="shared" si="243"/>
        <v>0</v>
      </c>
      <c r="CP263">
        <f t="shared" si="244"/>
        <v>23436</v>
      </c>
      <c r="CQ263">
        <f t="shared" si="220"/>
        <v>47.828571428571436</v>
      </c>
      <c r="CR263">
        <f t="shared" si="238"/>
        <v>-23200</v>
      </c>
      <c r="CS263">
        <f t="shared" si="239"/>
        <v>-711</v>
      </c>
      <c r="CT263">
        <f t="shared" si="221"/>
        <v>22.489000000000001</v>
      </c>
      <c r="CU263">
        <f t="shared" si="222"/>
        <v>0.47020011947431295</v>
      </c>
      <c r="CV263" s="2">
        <f t="shared" si="223"/>
        <v>0.96935344827586212</v>
      </c>
      <c r="CW263" s="1" t="s">
        <v>1202</v>
      </c>
      <c r="CX263" t="str">
        <f t="shared" si="224"/>
        <v>reg</v>
      </c>
      <c r="CY263" t="s">
        <v>348</v>
      </c>
      <c r="CZ263">
        <v>2014</v>
      </c>
      <c r="DA263">
        <v>2034</v>
      </c>
      <c r="DB263">
        <v>20</v>
      </c>
      <c r="DC263" t="str">
        <f t="shared" si="225"/>
        <v>1-30</v>
      </c>
      <c r="DD263">
        <v>0</v>
      </c>
      <c r="DE263">
        <v>0</v>
      </c>
      <c r="DF263">
        <v>0</v>
      </c>
      <c r="DG263">
        <v>1</v>
      </c>
      <c r="DH263"/>
      <c r="DI263">
        <f t="shared" si="226"/>
        <v>1</v>
      </c>
      <c r="DJ263" t="str">
        <f t="shared" si="227"/>
        <v>TimberInput</v>
      </c>
      <c r="DK263">
        <f t="shared" si="228"/>
        <v>0</v>
      </c>
      <c r="DL263">
        <f t="shared" si="229"/>
        <v>0</v>
      </c>
      <c r="DM263">
        <f t="shared" si="230"/>
        <v>0</v>
      </c>
      <c r="DN263" t="str">
        <f t="shared" si="231"/>
        <v>Timber</v>
      </c>
      <c r="DO263">
        <v>0</v>
      </c>
      <c r="DP263">
        <v>0</v>
      </c>
      <c r="DQ263">
        <v>0</v>
      </c>
      <c r="DR263">
        <v>0</v>
      </c>
      <c r="DS263">
        <v>0</v>
      </c>
      <c r="DT263">
        <f t="shared" si="232"/>
        <v>0</v>
      </c>
      <c r="DU263" s="143" t="str">
        <f t="shared" si="233"/>
        <v>explicit C balance</v>
      </c>
      <c r="DV263">
        <v>0</v>
      </c>
      <c r="DW263">
        <v>0</v>
      </c>
      <c r="DX263">
        <v>0</v>
      </c>
      <c r="DY263">
        <v>0</v>
      </c>
      <c r="DZ263">
        <v>0</v>
      </c>
      <c r="EA263" s="143">
        <v>1</v>
      </c>
      <c r="EB263">
        <v>0</v>
      </c>
      <c r="EC263">
        <v>1</v>
      </c>
      <c r="ED263">
        <v>1</v>
      </c>
      <c r="EE263">
        <v>1</v>
      </c>
      <c r="EF263">
        <v>0</v>
      </c>
      <c r="EG263">
        <v>0</v>
      </c>
      <c r="EH263">
        <v>0</v>
      </c>
      <c r="EI263" s="2">
        <v>0</v>
      </c>
      <c r="EJ263" s="1"/>
      <c r="EK263" t="str">
        <f t="shared" si="234"/>
        <v/>
      </c>
      <c r="EL263" t="str">
        <f t="shared" si="235"/>
        <v/>
      </c>
      <c r="EM263" s="2" t="str">
        <f t="shared" si="237"/>
        <v>Technology approach</v>
      </c>
      <c r="EN263"/>
      <c r="EO263"/>
      <c r="EP263" t="str">
        <f>IF(ISNUMBER(BU263),IF(ABS(BU263-[3]QC_indicators!$B$2)&gt;3*[3]QC_indicators!$C$2,"C ratio",IF(ISNUMBER(BY263),IF(ABS(BY263-[3]QC_indicators!$B$1)&gt;3*[3]QC_indicators!$C$1,"DF","no"))),IF(ISNUMBER(BY263),IF(ABS(BY263-[3]QC_indicators!$B$1)&gt;3*[3]QC_indicators!$C$1,"DF","no")))</f>
        <v>no</v>
      </c>
      <c r="EQ263"/>
      <c r="ER263" s="149" t="s">
        <v>349</v>
      </c>
      <c r="ES263"/>
      <c r="ET263" s="264" t="s">
        <v>3272</v>
      </c>
      <c r="EU263"/>
    </row>
    <row r="264" spans="1:151" s="139" customFormat="1" ht="15" hidden="1" customHeight="1">
      <c r="A264" s="1" t="s">
        <v>1232</v>
      </c>
      <c r="B264" t="s">
        <v>1233</v>
      </c>
      <c r="C264" t="s">
        <v>1234</v>
      </c>
      <c r="D264" t="s">
        <v>336</v>
      </c>
      <c r="E264" t="s">
        <v>1235</v>
      </c>
      <c r="F264" t="s">
        <v>1236</v>
      </c>
      <c r="G264" t="s">
        <v>1237</v>
      </c>
      <c r="H264"/>
      <c r="I264">
        <v>2018</v>
      </c>
      <c r="J264"/>
      <c r="K264" t="s">
        <v>1238</v>
      </c>
      <c r="L264"/>
      <c r="M264" t="str">
        <f t="shared" si="245"/>
        <v>Balasbaneh_2018</v>
      </c>
      <c r="N264" t="s">
        <v>222</v>
      </c>
      <c r="O264" s="140" t="s">
        <v>513</v>
      </c>
      <c r="P264"/>
      <c r="Q264" t="s">
        <v>224</v>
      </c>
      <c r="R264" s="262" t="s">
        <v>223</v>
      </c>
      <c r="S264" s="1" t="s">
        <v>1262</v>
      </c>
      <c r="T264" s="264" t="s">
        <v>3114</v>
      </c>
      <c r="U264" s="264" t="s">
        <v>3110</v>
      </c>
      <c r="V264">
        <v>0</v>
      </c>
      <c r="W264">
        <v>0</v>
      </c>
      <c r="X264">
        <v>0</v>
      </c>
      <c r="Y264">
        <v>0</v>
      </c>
      <c r="Z264">
        <v>0</v>
      </c>
      <c r="AA264">
        <v>0</v>
      </c>
      <c r="AB264">
        <v>0</v>
      </c>
      <c r="AC264">
        <v>0</v>
      </c>
      <c r="AD264">
        <v>0</v>
      </c>
      <c r="AE264">
        <v>0</v>
      </c>
      <c r="AF264">
        <v>0</v>
      </c>
      <c r="AG264">
        <v>0</v>
      </c>
      <c r="AH264">
        <v>0</v>
      </c>
      <c r="AI264">
        <v>0</v>
      </c>
      <c r="AJ264">
        <v>0</v>
      </c>
      <c r="AK264">
        <v>1</v>
      </c>
      <c r="AL264">
        <v>0</v>
      </c>
      <c r="AM264">
        <v>0</v>
      </c>
      <c r="AN264">
        <v>0</v>
      </c>
      <c r="AO264">
        <v>0</v>
      </c>
      <c r="AP264">
        <v>0</v>
      </c>
      <c r="AQ264">
        <v>0</v>
      </c>
      <c r="AR264">
        <v>0</v>
      </c>
      <c r="AS264">
        <v>0</v>
      </c>
      <c r="AT264">
        <v>0</v>
      </c>
      <c r="AU264">
        <v>0</v>
      </c>
      <c r="AV264">
        <v>0</v>
      </c>
      <c r="AW264">
        <v>0</v>
      </c>
      <c r="AX264" s="141">
        <f t="shared" si="212"/>
        <v>1</v>
      </c>
      <c r="AY264" s="141">
        <f t="shared" si="213"/>
        <v>1</v>
      </c>
      <c r="AZ264">
        <f t="shared" si="214"/>
        <v>0</v>
      </c>
      <c r="BA264">
        <f t="shared" si="215"/>
        <v>0</v>
      </c>
      <c r="BB264">
        <f t="shared" si="216"/>
        <v>1</v>
      </c>
      <c r="BC264">
        <f t="shared" si="217"/>
        <v>0</v>
      </c>
      <c r="BD264">
        <f t="shared" si="218"/>
        <v>0</v>
      </c>
      <c r="BE264" t="str">
        <f t="array" ref="BE264">IF(AY264=1,INDEX($V$7:$AL$7,MATCH(TRUE,INDEX($V264:$AW264&lt;&gt;0,),0)),IF(AY264=0,INDEX($AM$7:$AW$7,MATCH(1,$AM264:$AW264,0)),IF(BF264="Multiple strategies","mixed drivers",IF(BF264="Supply chain","multiple supply","multiple silviculture"))))</f>
        <v>technologies/design switch</v>
      </c>
      <c r="BF264" s="2" t="str" cm="1">
        <f t="array" ref="BF264">IF(COUNTIF(AZ264:BB264,"&lt;&gt;0")=1,INDEX($V$4:$AW$4,MATCH(TRUE,INDEX($V264:$AW264&lt;&gt;0,),0)),IF(COUNTIF(AZ264:BB264,"&lt;&gt;0")=0,INDEX($AM$4:$AW$4,MATCH(1,$AM264:$AW264,0)),"Multiple strategies"))</f>
        <v>Technology</v>
      </c>
      <c r="BG264" s="1" t="s">
        <v>229</v>
      </c>
      <c r="BH264" t="s">
        <v>229</v>
      </c>
      <c r="BI264"/>
      <c r="BJ264" t="s">
        <v>345</v>
      </c>
      <c r="BK264">
        <v>0</v>
      </c>
      <c r="BL264">
        <v>15468</v>
      </c>
      <c r="BM264" s="143"/>
      <c r="BN264">
        <f t="shared" si="219"/>
        <v>15468</v>
      </c>
      <c r="BO264" s="143">
        <f t="shared" si="240"/>
        <v>31.567346938775515</v>
      </c>
      <c r="BP264" t="s">
        <v>232</v>
      </c>
      <c r="BQ264" s="302" t="s">
        <v>1056</v>
      </c>
      <c r="BR264" t="s">
        <v>397</v>
      </c>
      <c r="BS264">
        <v>-20300</v>
      </c>
      <c r="BT264">
        <v>-5130</v>
      </c>
      <c r="BU264" s="144">
        <v>0.25270935960591134</v>
      </c>
      <c r="BV264">
        <v>15170</v>
      </c>
      <c r="BW264"/>
      <c r="BX264">
        <f t="shared" si="241"/>
        <v>15.17</v>
      </c>
      <c r="BY264">
        <f t="shared" si="236"/>
        <v>0.48055986552883367</v>
      </c>
      <c r="BZ264">
        <v>0</v>
      </c>
      <c r="CA264">
        <v>0</v>
      </c>
      <c r="CB264">
        <v>0</v>
      </c>
      <c r="CC264">
        <v>0</v>
      </c>
      <c r="CD264">
        <v>0</v>
      </c>
      <c r="CE264">
        <v>0</v>
      </c>
      <c r="CF264">
        <v>0</v>
      </c>
      <c r="CG264">
        <v>0</v>
      </c>
      <c r="CH264">
        <v>0</v>
      </c>
      <c r="CI264">
        <v>0</v>
      </c>
      <c r="CJ264">
        <v>0</v>
      </c>
      <c r="CK264">
        <v>0</v>
      </c>
      <c r="CL264">
        <v>0</v>
      </c>
      <c r="CM264">
        <v>0</v>
      </c>
      <c r="CN264" t="str">
        <f t="shared" si="242"/>
        <v>refOK</v>
      </c>
      <c r="CO264">
        <f t="shared" si="243"/>
        <v>0</v>
      </c>
      <c r="CP264">
        <f t="shared" si="244"/>
        <v>15468</v>
      </c>
      <c r="CQ264">
        <f t="shared" si="220"/>
        <v>31.567346938775515</v>
      </c>
      <c r="CR264">
        <f t="shared" si="238"/>
        <v>-20300</v>
      </c>
      <c r="CS264">
        <f t="shared" si="239"/>
        <v>-5130</v>
      </c>
      <c r="CT264">
        <f t="shared" si="221"/>
        <v>15.17</v>
      </c>
      <c r="CU264">
        <f t="shared" si="222"/>
        <v>0.48055986552883367</v>
      </c>
      <c r="CV264" s="2">
        <f t="shared" si="223"/>
        <v>0.74729064039408866</v>
      </c>
      <c r="CW264" s="1" t="s">
        <v>1202</v>
      </c>
      <c r="CX264" t="str">
        <f t="shared" si="224"/>
        <v>reg</v>
      </c>
      <c r="CY264" t="s">
        <v>348</v>
      </c>
      <c r="CZ264">
        <v>2014</v>
      </c>
      <c r="DA264">
        <v>2514</v>
      </c>
      <c r="DB264">
        <v>500</v>
      </c>
      <c r="DC264" t="str">
        <f t="shared" si="225"/>
        <v>+100</v>
      </c>
      <c r="DD264">
        <v>0</v>
      </c>
      <c r="DE264">
        <v>0</v>
      </c>
      <c r="DF264">
        <v>0</v>
      </c>
      <c r="DG264">
        <v>1</v>
      </c>
      <c r="DH264"/>
      <c r="DI264">
        <f t="shared" si="226"/>
        <v>1</v>
      </c>
      <c r="DJ264" t="str">
        <f t="shared" si="227"/>
        <v>TimberInput</v>
      </c>
      <c r="DK264">
        <f t="shared" si="228"/>
        <v>0</v>
      </c>
      <c r="DL264">
        <f t="shared" si="229"/>
        <v>0</v>
      </c>
      <c r="DM264">
        <f t="shared" si="230"/>
        <v>0</v>
      </c>
      <c r="DN264" t="str">
        <f t="shared" si="231"/>
        <v>Timber</v>
      </c>
      <c r="DO264">
        <v>0</v>
      </c>
      <c r="DP264">
        <v>0</v>
      </c>
      <c r="DQ264">
        <v>0</v>
      </c>
      <c r="DR264">
        <v>0</v>
      </c>
      <c r="DS264">
        <v>0</v>
      </c>
      <c r="DT264">
        <f t="shared" si="232"/>
        <v>0</v>
      </c>
      <c r="DU264" s="143" t="str">
        <f t="shared" si="233"/>
        <v>explicit C balance</v>
      </c>
      <c r="DV264">
        <v>0</v>
      </c>
      <c r="DW264">
        <v>0</v>
      </c>
      <c r="DX264">
        <v>0</v>
      </c>
      <c r="DY264">
        <v>0</v>
      </c>
      <c r="DZ264">
        <v>0</v>
      </c>
      <c r="EA264" s="143">
        <v>1</v>
      </c>
      <c r="EB264">
        <v>0</v>
      </c>
      <c r="EC264">
        <v>1</v>
      </c>
      <c r="ED264">
        <v>1</v>
      </c>
      <c r="EE264">
        <v>1</v>
      </c>
      <c r="EF264">
        <v>0</v>
      </c>
      <c r="EG264">
        <v>0</v>
      </c>
      <c r="EH264">
        <v>0</v>
      </c>
      <c r="EI264" s="2">
        <v>0</v>
      </c>
      <c r="EJ264" s="1"/>
      <c r="EK264" t="str">
        <f t="shared" si="234"/>
        <v/>
      </c>
      <c r="EL264" t="str">
        <f t="shared" si="235"/>
        <v/>
      </c>
      <c r="EM264" s="2" t="str">
        <f t="shared" si="237"/>
        <v>Technology approach</v>
      </c>
      <c r="EN264"/>
      <c r="EO264"/>
      <c r="EP264" t="str">
        <f>IF(ISNUMBER(BU264),IF(ABS(BU264-[3]QC_indicators!$B$2)&gt;3*[3]QC_indicators!$C$2,"C ratio",IF(ISNUMBER(BY264),IF(ABS(BY264-[3]QC_indicators!$B$1)&gt;3*[3]QC_indicators!$C$1,"DF","no"))),IF(ISNUMBER(BY264),IF(ABS(BY264-[3]QC_indicators!$B$1)&gt;3*[3]QC_indicators!$C$1,"DF","no")))</f>
        <v>no</v>
      </c>
      <c r="EQ264"/>
      <c r="ER264" s="149" t="s">
        <v>349</v>
      </c>
      <c r="ES264"/>
      <c r="ET264" s="264" t="s">
        <v>3272</v>
      </c>
      <c r="EU264"/>
    </row>
    <row r="265" spans="1:151" s="139" customFormat="1" ht="15" hidden="1" customHeight="1">
      <c r="A265" s="1" t="s">
        <v>1232</v>
      </c>
      <c r="B265" t="s">
        <v>1233</v>
      </c>
      <c r="C265" t="s">
        <v>1234</v>
      </c>
      <c r="D265" t="s">
        <v>336</v>
      </c>
      <c r="E265" t="s">
        <v>1235</v>
      </c>
      <c r="F265" t="s">
        <v>1236</v>
      </c>
      <c r="G265" t="s">
        <v>1237</v>
      </c>
      <c r="H265"/>
      <c r="I265">
        <v>2018</v>
      </c>
      <c r="J265"/>
      <c r="K265" t="s">
        <v>1238</v>
      </c>
      <c r="L265"/>
      <c r="M265" t="str">
        <f t="shared" si="245"/>
        <v>Balasbaneh_2018</v>
      </c>
      <c r="N265" t="s">
        <v>222</v>
      </c>
      <c r="O265" s="140" t="s">
        <v>513</v>
      </c>
      <c r="P265"/>
      <c r="Q265" t="s">
        <v>224</v>
      </c>
      <c r="R265" s="262" t="s">
        <v>223</v>
      </c>
      <c r="S265" s="1" t="s">
        <v>1263</v>
      </c>
      <c r="T265" s="264" t="s">
        <v>3114</v>
      </c>
      <c r="U265" s="264" t="s">
        <v>3110</v>
      </c>
      <c r="V265">
        <v>0</v>
      </c>
      <c r="W265">
        <v>0</v>
      </c>
      <c r="X265">
        <v>0</v>
      </c>
      <c r="Y265">
        <v>0</v>
      </c>
      <c r="Z265">
        <v>0</v>
      </c>
      <c r="AA265">
        <v>0</v>
      </c>
      <c r="AB265">
        <v>0</v>
      </c>
      <c r="AC265">
        <v>0</v>
      </c>
      <c r="AD265">
        <v>0</v>
      </c>
      <c r="AE265">
        <v>0</v>
      </c>
      <c r="AF265">
        <v>0</v>
      </c>
      <c r="AG265">
        <v>0</v>
      </c>
      <c r="AH265">
        <v>0</v>
      </c>
      <c r="AI265">
        <v>0</v>
      </c>
      <c r="AJ265">
        <v>0</v>
      </c>
      <c r="AK265">
        <v>1</v>
      </c>
      <c r="AL265">
        <v>0</v>
      </c>
      <c r="AM265">
        <v>0</v>
      </c>
      <c r="AN265">
        <v>0</v>
      </c>
      <c r="AO265">
        <v>0</v>
      </c>
      <c r="AP265">
        <v>0</v>
      </c>
      <c r="AQ265">
        <v>0</v>
      </c>
      <c r="AR265">
        <v>0</v>
      </c>
      <c r="AS265">
        <v>0</v>
      </c>
      <c r="AT265">
        <v>0</v>
      </c>
      <c r="AU265">
        <v>0</v>
      </c>
      <c r="AV265">
        <v>0</v>
      </c>
      <c r="AW265">
        <v>0</v>
      </c>
      <c r="AX265" s="141">
        <f t="shared" si="212"/>
        <v>1</v>
      </c>
      <c r="AY265" s="141">
        <f t="shared" si="213"/>
        <v>1</v>
      </c>
      <c r="AZ265">
        <f t="shared" si="214"/>
        <v>0</v>
      </c>
      <c r="BA265">
        <f t="shared" si="215"/>
        <v>0</v>
      </c>
      <c r="BB265">
        <f t="shared" si="216"/>
        <v>1</v>
      </c>
      <c r="BC265">
        <f t="shared" si="217"/>
        <v>0</v>
      </c>
      <c r="BD265">
        <f t="shared" si="218"/>
        <v>0</v>
      </c>
      <c r="BE265" t="str">
        <f t="array" ref="BE265">IF(AY265=1,INDEX($V$7:$AL$7,MATCH(TRUE,INDEX($V265:$AW265&lt;&gt;0,),0)),IF(AY265=0,INDEX($AM$7:$AW$7,MATCH(1,$AM265:$AW265,0)),IF(BF265="Multiple strategies","mixed drivers",IF(BF265="Supply chain","multiple supply","multiple silviculture"))))</f>
        <v>technologies/design switch</v>
      </c>
      <c r="BF265" s="2" t="str" cm="1">
        <f t="array" ref="BF265">IF(COUNTIF(AZ265:BB265,"&lt;&gt;0")=1,INDEX($V$4:$AW$4,MATCH(TRUE,INDEX($V265:$AW265&lt;&gt;0,),0)),IF(COUNTIF(AZ265:BB265,"&lt;&gt;0")=0,INDEX($AM$4:$AW$4,MATCH(1,$AM265:$AW265,0)),"Multiple strategies"))</f>
        <v>Technology</v>
      </c>
      <c r="BG265" s="1" t="s">
        <v>229</v>
      </c>
      <c r="BH265" t="s">
        <v>229</v>
      </c>
      <c r="BI265"/>
      <c r="BJ265" t="s">
        <v>345</v>
      </c>
      <c r="BK265">
        <v>0</v>
      </c>
      <c r="BL265">
        <v>15468</v>
      </c>
      <c r="BM265" s="143"/>
      <c r="BN265">
        <f t="shared" si="219"/>
        <v>15468</v>
      </c>
      <c r="BO265" s="143">
        <f t="shared" si="240"/>
        <v>31.567346938775515</v>
      </c>
      <c r="BP265" t="s">
        <v>232</v>
      </c>
      <c r="BQ265" s="302" t="s">
        <v>1056</v>
      </c>
      <c r="BR265" t="s">
        <v>397</v>
      </c>
      <c r="BS265">
        <v>-21200</v>
      </c>
      <c r="BT265">
        <v>-5370</v>
      </c>
      <c r="BU265" s="144">
        <v>0.25330188679245286</v>
      </c>
      <c r="BV265">
        <v>15830</v>
      </c>
      <c r="BW265"/>
      <c r="BX265">
        <f t="shared" si="241"/>
        <v>15.83</v>
      </c>
      <c r="BY265">
        <f t="shared" si="236"/>
        <v>0.50146754590121534</v>
      </c>
      <c r="BZ265">
        <v>0</v>
      </c>
      <c r="CA265">
        <v>0</v>
      </c>
      <c r="CB265">
        <v>0</v>
      </c>
      <c r="CC265">
        <v>0</v>
      </c>
      <c r="CD265">
        <v>0</v>
      </c>
      <c r="CE265">
        <v>0</v>
      </c>
      <c r="CF265">
        <v>0</v>
      </c>
      <c r="CG265">
        <v>0</v>
      </c>
      <c r="CH265">
        <v>0</v>
      </c>
      <c r="CI265">
        <v>0</v>
      </c>
      <c r="CJ265">
        <v>0</v>
      </c>
      <c r="CK265">
        <v>0</v>
      </c>
      <c r="CL265">
        <v>0</v>
      </c>
      <c r="CM265">
        <v>0</v>
      </c>
      <c r="CN265" t="str">
        <f t="shared" si="242"/>
        <v>refOK</v>
      </c>
      <c r="CO265">
        <f t="shared" si="243"/>
        <v>0</v>
      </c>
      <c r="CP265">
        <f t="shared" si="244"/>
        <v>15468</v>
      </c>
      <c r="CQ265">
        <f t="shared" si="220"/>
        <v>31.567346938775515</v>
      </c>
      <c r="CR265">
        <f t="shared" si="238"/>
        <v>-21200</v>
      </c>
      <c r="CS265">
        <f t="shared" si="239"/>
        <v>-5370</v>
      </c>
      <c r="CT265">
        <f t="shared" si="221"/>
        <v>15.83</v>
      </c>
      <c r="CU265">
        <f t="shared" si="222"/>
        <v>0.50146754590121534</v>
      </c>
      <c r="CV265" s="2">
        <f t="shared" si="223"/>
        <v>0.7466981132075472</v>
      </c>
      <c r="CW265" s="1" t="s">
        <v>1202</v>
      </c>
      <c r="CX265" t="str">
        <f t="shared" si="224"/>
        <v>reg</v>
      </c>
      <c r="CY265" t="s">
        <v>348</v>
      </c>
      <c r="CZ265">
        <v>2014</v>
      </c>
      <c r="DA265">
        <v>2114</v>
      </c>
      <c r="DB265">
        <v>100</v>
      </c>
      <c r="DC265" t="str">
        <f t="shared" si="225"/>
        <v>71-100</v>
      </c>
      <c r="DD265">
        <v>0</v>
      </c>
      <c r="DE265">
        <v>0</v>
      </c>
      <c r="DF265">
        <v>0</v>
      </c>
      <c r="DG265">
        <v>1</v>
      </c>
      <c r="DH265"/>
      <c r="DI265">
        <f t="shared" si="226"/>
        <v>1</v>
      </c>
      <c r="DJ265" t="str">
        <f t="shared" si="227"/>
        <v>TimberInput</v>
      </c>
      <c r="DK265">
        <f t="shared" si="228"/>
        <v>0</v>
      </c>
      <c r="DL265">
        <f t="shared" si="229"/>
        <v>0</v>
      </c>
      <c r="DM265">
        <f t="shared" si="230"/>
        <v>0</v>
      </c>
      <c r="DN265" t="str">
        <f t="shared" si="231"/>
        <v>Timber</v>
      </c>
      <c r="DO265">
        <v>0</v>
      </c>
      <c r="DP265">
        <v>0</v>
      </c>
      <c r="DQ265">
        <v>0</v>
      </c>
      <c r="DR265">
        <v>0</v>
      </c>
      <c r="DS265">
        <v>0</v>
      </c>
      <c r="DT265">
        <f t="shared" si="232"/>
        <v>0</v>
      </c>
      <c r="DU265" s="143" t="str">
        <f t="shared" si="233"/>
        <v>explicit C balance</v>
      </c>
      <c r="DV265">
        <v>0</v>
      </c>
      <c r="DW265">
        <v>0</v>
      </c>
      <c r="DX265">
        <v>0</v>
      </c>
      <c r="DY265">
        <v>0</v>
      </c>
      <c r="DZ265">
        <v>0</v>
      </c>
      <c r="EA265" s="143">
        <v>1</v>
      </c>
      <c r="EB265">
        <v>0</v>
      </c>
      <c r="EC265">
        <v>1</v>
      </c>
      <c r="ED265">
        <v>1</v>
      </c>
      <c r="EE265">
        <v>1</v>
      </c>
      <c r="EF265">
        <v>0</v>
      </c>
      <c r="EG265">
        <v>0</v>
      </c>
      <c r="EH265">
        <v>0</v>
      </c>
      <c r="EI265" s="2">
        <v>0</v>
      </c>
      <c r="EJ265" s="1"/>
      <c r="EK265" t="str">
        <f t="shared" si="234"/>
        <v/>
      </c>
      <c r="EL265" t="str">
        <f t="shared" si="235"/>
        <v/>
      </c>
      <c r="EM265" s="2" t="str">
        <f t="shared" si="237"/>
        <v>Technology approach</v>
      </c>
      <c r="EN265"/>
      <c r="EO265"/>
      <c r="EP265" t="str">
        <f>IF(ISNUMBER(BU265),IF(ABS(BU265-[3]QC_indicators!$B$2)&gt;3*[3]QC_indicators!$C$2,"C ratio",IF(ISNUMBER(BY265),IF(ABS(BY265-[3]QC_indicators!$B$1)&gt;3*[3]QC_indicators!$C$1,"DF","no"))),IF(ISNUMBER(BY265),IF(ABS(BY265-[3]QC_indicators!$B$1)&gt;3*[3]QC_indicators!$C$1,"DF","no")))</f>
        <v>no</v>
      </c>
      <c r="EQ265"/>
      <c r="ER265" s="149" t="s">
        <v>349</v>
      </c>
      <c r="ES265"/>
      <c r="ET265" s="264" t="s">
        <v>3272</v>
      </c>
      <c r="EU265"/>
    </row>
    <row r="266" spans="1:151" s="139" customFormat="1" ht="15" hidden="1" customHeight="1">
      <c r="A266" s="1" t="s">
        <v>1232</v>
      </c>
      <c r="B266" t="s">
        <v>1233</v>
      </c>
      <c r="C266" t="s">
        <v>1234</v>
      </c>
      <c r="D266" t="s">
        <v>336</v>
      </c>
      <c r="E266" t="s">
        <v>1235</v>
      </c>
      <c r="F266" t="s">
        <v>1236</v>
      </c>
      <c r="G266" t="s">
        <v>1237</v>
      </c>
      <c r="H266"/>
      <c r="I266">
        <v>2018</v>
      </c>
      <c r="J266"/>
      <c r="K266" t="s">
        <v>1238</v>
      </c>
      <c r="L266"/>
      <c r="M266" t="str">
        <f t="shared" si="245"/>
        <v>Balasbaneh_2018</v>
      </c>
      <c r="N266" t="s">
        <v>222</v>
      </c>
      <c r="O266" s="140" t="s">
        <v>513</v>
      </c>
      <c r="P266"/>
      <c r="Q266" t="s">
        <v>224</v>
      </c>
      <c r="R266" s="262" t="s">
        <v>223</v>
      </c>
      <c r="S266" s="1" t="s">
        <v>1264</v>
      </c>
      <c r="T266" s="264" t="s">
        <v>3109</v>
      </c>
      <c r="U266" s="264" t="s">
        <v>3115</v>
      </c>
      <c r="V266">
        <v>0</v>
      </c>
      <c r="W266">
        <v>0</v>
      </c>
      <c r="X266">
        <v>0</v>
      </c>
      <c r="Y266">
        <v>0</v>
      </c>
      <c r="Z266">
        <v>0</v>
      </c>
      <c r="AA266">
        <v>0</v>
      </c>
      <c r="AB266">
        <v>0</v>
      </c>
      <c r="AC266">
        <v>0</v>
      </c>
      <c r="AD266">
        <v>0</v>
      </c>
      <c r="AE266">
        <v>0</v>
      </c>
      <c r="AF266">
        <v>0</v>
      </c>
      <c r="AG266">
        <v>0</v>
      </c>
      <c r="AH266">
        <v>0</v>
      </c>
      <c r="AI266">
        <v>0</v>
      </c>
      <c r="AJ266">
        <v>0</v>
      </c>
      <c r="AK266">
        <v>1</v>
      </c>
      <c r="AL266">
        <v>0</v>
      </c>
      <c r="AM266">
        <v>0</v>
      </c>
      <c r="AN266">
        <v>0</v>
      </c>
      <c r="AO266">
        <v>0</v>
      </c>
      <c r="AP266">
        <v>0</v>
      </c>
      <c r="AQ266">
        <v>0</v>
      </c>
      <c r="AR266">
        <v>0</v>
      </c>
      <c r="AS266">
        <v>0</v>
      </c>
      <c r="AT266">
        <v>0</v>
      </c>
      <c r="AU266">
        <v>0</v>
      </c>
      <c r="AV266">
        <v>0</v>
      </c>
      <c r="AW266">
        <v>0</v>
      </c>
      <c r="AX266" s="141">
        <f t="shared" ref="AX266:AX297" si="246">COUNTIF(V266:AW266,"&lt;&gt;0")</f>
        <v>1</v>
      </c>
      <c r="AY266" s="141">
        <f t="shared" ref="AY266:AY272" si="247">COUNTIF(V266:AL266,"&lt;&gt;0")</f>
        <v>1</v>
      </c>
      <c r="AZ266">
        <f t="shared" ref="AZ266:AZ272" si="248">COUNTIF(V266:AC266,"&lt;&gt;0")</f>
        <v>0</v>
      </c>
      <c r="BA266">
        <f t="shared" ref="BA266:BA272" si="249">COUNTIF(AD266:AI266,"&lt;&gt;0")</f>
        <v>0</v>
      </c>
      <c r="BB266">
        <f t="shared" ref="BB266:BB272" si="250">COUNTIF(AJ266:AL266,"&lt;&gt;0")</f>
        <v>1</v>
      </c>
      <c r="BC266">
        <f t="shared" ref="BC266:BC272" si="251">COUNTIF(AS266:AW266,"&lt;&gt;0")</f>
        <v>0</v>
      </c>
      <c r="BD266">
        <f t="shared" ref="BD266:BD272" si="252">COUNTIF(AM266:AR266,"&lt;&gt;0")</f>
        <v>0</v>
      </c>
      <c r="BE266" t="str">
        <f t="array" ref="BE266">IF(AY266=1,INDEX($V$7:$AL$7,MATCH(TRUE,INDEX($V266:$AW266&lt;&gt;0,),0)),IF(AY266=0,INDEX($AM$7:$AW$7,MATCH(1,$AM266:$AW266,0)),IF(BF266="Multiple strategies","mixed drivers",IF(BF266="Supply chain","multiple supply","multiple silviculture"))))</f>
        <v>technologies/design switch</v>
      </c>
      <c r="BF266" s="2" t="str" cm="1">
        <f t="array" ref="BF266">IF(COUNTIF(AZ266:BB266,"&lt;&gt;0")=1,INDEX($V$4:$AW$4,MATCH(TRUE,INDEX($V266:$AW266&lt;&gt;0,),0)),IF(COUNTIF(AZ266:BB266,"&lt;&gt;0")=0,INDEX($AM$4:$AW$4,MATCH(1,$AM266:$AW266,0)),"Multiple strategies"))</f>
        <v>Technology</v>
      </c>
      <c r="BG266" s="1" t="s">
        <v>229</v>
      </c>
      <c r="BH266" t="s">
        <v>229</v>
      </c>
      <c r="BI266"/>
      <c r="BJ266" t="s">
        <v>345</v>
      </c>
      <c r="BK266">
        <v>0</v>
      </c>
      <c r="BL266">
        <v>23436</v>
      </c>
      <c r="BM266" s="143"/>
      <c r="BN266">
        <f t="shared" ref="BN266:BN272" si="253">BL266-BK266</f>
        <v>23436</v>
      </c>
      <c r="BO266" s="143">
        <f t="shared" si="240"/>
        <v>47.828571428571436</v>
      </c>
      <c r="BP266" t="s">
        <v>232</v>
      </c>
      <c r="BQ266" s="302" t="s">
        <v>1056</v>
      </c>
      <c r="BR266" t="s">
        <v>397</v>
      </c>
      <c r="BS266">
        <v>-25300</v>
      </c>
      <c r="BT266">
        <v>-702</v>
      </c>
      <c r="BU266" s="144">
        <v>2.7747035573122528E-2</v>
      </c>
      <c r="BV266">
        <v>24598</v>
      </c>
      <c r="BW266"/>
      <c r="BX266">
        <f t="shared" si="241"/>
        <v>24.597999999999999</v>
      </c>
      <c r="BY266">
        <f t="shared" si="236"/>
        <v>0.51429510155316593</v>
      </c>
      <c r="BZ266">
        <v>0</v>
      </c>
      <c r="CA266">
        <v>0</v>
      </c>
      <c r="CB266">
        <v>0</v>
      </c>
      <c r="CC266">
        <v>0</v>
      </c>
      <c r="CD266">
        <v>0</v>
      </c>
      <c r="CE266">
        <v>0</v>
      </c>
      <c r="CF266">
        <v>0</v>
      </c>
      <c r="CG266">
        <v>0</v>
      </c>
      <c r="CH266">
        <v>0</v>
      </c>
      <c r="CI266">
        <v>0</v>
      </c>
      <c r="CJ266">
        <v>0</v>
      </c>
      <c r="CK266">
        <v>0</v>
      </c>
      <c r="CL266">
        <v>0</v>
      </c>
      <c r="CM266">
        <v>0</v>
      </c>
      <c r="CN266" t="str">
        <f t="shared" si="242"/>
        <v>refOK</v>
      </c>
      <c r="CO266">
        <f t="shared" si="243"/>
        <v>0</v>
      </c>
      <c r="CP266">
        <f t="shared" si="244"/>
        <v>23436</v>
      </c>
      <c r="CQ266">
        <f t="shared" ref="CQ266:CQ272" si="254">IF($CN266="refOK",$BO266,-$BO266)</f>
        <v>47.828571428571436</v>
      </c>
      <c r="CR266">
        <f t="shared" si="238"/>
        <v>-25300</v>
      </c>
      <c r="CS266">
        <f t="shared" si="239"/>
        <v>-702</v>
      </c>
      <c r="CT266">
        <f t="shared" ref="CT266:CT272" si="255">IF($CN266="refNeedCorrection",-BX266,BX266)*IF($BP266="Emissions positive",-1,1)</f>
        <v>24.597999999999999</v>
      </c>
      <c r="CU266">
        <f t="shared" ref="CU266:CU297" si="256">IFERROR(CT266/CQ266,"")</f>
        <v>0.51429510155316593</v>
      </c>
      <c r="CV266" s="2">
        <f t="shared" ref="CV266:CV272" si="257">IFERROR((CS266-CR266)/ABS(CR266),"")</f>
        <v>0.97225296442687748</v>
      </c>
      <c r="CW266" s="1" t="s">
        <v>1202</v>
      </c>
      <c r="CX266" t="str">
        <f t="shared" ref="CX266:CX272" si="258">IF(OR($CW266="prd",$CW266="std",$CW266="cit"),"loc",IF(OR($CW266="eur",$CW266="reg",$CW266="coy"),"reg",$CW266))</f>
        <v>reg</v>
      </c>
      <c r="CY266" t="s">
        <v>348</v>
      </c>
      <c r="CZ266">
        <v>2014</v>
      </c>
      <c r="DA266">
        <v>2114</v>
      </c>
      <c r="DB266">
        <v>100</v>
      </c>
      <c r="DC266" t="str">
        <f t="shared" ref="DC266:DC297" si="259">IF(DB266=0,"0",IF(AND(DB266&gt;=1,DB266&lt;=30),"1-30",IF(AND(DB266&gt;30,DB266&lt;=70),"31-70",IF(AND(DB266&gt;70,DB266&lt;=100),"71-100",IF(DB266&gt;100,"+100")))))</f>
        <v>71-100</v>
      </c>
      <c r="DD266">
        <v>0</v>
      </c>
      <c r="DE266">
        <v>0</v>
      </c>
      <c r="DF266">
        <v>0</v>
      </c>
      <c r="DG266">
        <v>1</v>
      </c>
      <c r="DH266"/>
      <c r="DI266">
        <f t="shared" si="226"/>
        <v>1</v>
      </c>
      <c r="DJ266" t="str">
        <f t="shared" ref="DJ266:DJ297" si="260">IF(DI266=1,INDEX($DD$7:$DG$7,MATCH(1,$DD266:$DG266,0)),"mixedProduct")</f>
        <v>TimberInput</v>
      </c>
      <c r="DK266">
        <f t="shared" ref="DK266:DK272" si="261">IF(DD266=1,DK$7,0)</f>
        <v>0</v>
      </c>
      <c r="DL266">
        <f t="shared" ref="DL266:DL272" si="262">IF(DE266=1,DL$7,0)</f>
        <v>0</v>
      </c>
      <c r="DM266">
        <f t="shared" ref="DM266:DM272" si="263">IF(DF266=1,DM$7,0)</f>
        <v>0</v>
      </c>
      <c r="DN266" t="str">
        <f t="shared" ref="DN266:DN272" si="264">IF(DG266=1,DN$7,0)</f>
        <v>Timber</v>
      </c>
      <c r="DO266">
        <v>0</v>
      </c>
      <c r="DP266">
        <v>0</v>
      </c>
      <c r="DQ266">
        <v>0</v>
      </c>
      <c r="DR266">
        <v>0</v>
      </c>
      <c r="DS266">
        <v>0</v>
      </c>
      <c r="DT266">
        <f t="shared" ref="DT266:DT272" si="265">SUM(DO266:DP266)</f>
        <v>0</v>
      </c>
      <c r="DU266" s="143" t="str">
        <f t="shared" ref="DU266:DU272" si="266">IF(DO266=1,"self-calculated DF",IF(DP266=1,"external DF used","explicit C balance"))</f>
        <v>explicit C balance</v>
      </c>
      <c r="DV266">
        <v>0</v>
      </c>
      <c r="DW266">
        <v>0</v>
      </c>
      <c r="DX266">
        <v>0</v>
      </c>
      <c r="DY266">
        <v>0</v>
      </c>
      <c r="DZ266">
        <v>0</v>
      </c>
      <c r="EA266" s="143">
        <v>1</v>
      </c>
      <c r="EB266">
        <v>0</v>
      </c>
      <c r="EC266">
        <v>1</v>
      </c>
      <c r="ED266">
        <v>1</v>
      </c>
      <c r="EE266">
        <v>1</v>
      </c>
      <c r="EF266">
        <v>0</v>
      </c>
      <c r="EG266">
        <v>0</v>
      </c>
      <c r="EH266">
        <v>0</v>
      </c>
      <c r="EI266" s="2">
        <v>0</v>
      </c>
      <c r="EJ266" s="1"/>
      <c r="EK266" t="str">
        <f t="shared" ref="EK266:EK272" si="267">IF(AND(AND(AND(OR($DX266=1,$DW266=1),OR($EC266=1,$EA266=1)),SUM($DV266:$DZ266,$EF266)&gt;=4),SUM($EA266:$EE266)&gt;=2),"Whole sector","")</f>
        <v/>
      </c>
      <c r="EL266" t="str">
        <f t="shared" ref="EL266:EL272" si="268">IF(AND(AND(OR($DX266=1,$DW266=1),AND($EC266=0,$EA266=0)),SUM($DV266:$DZ266,$EF266)&gt;=4),"Ecosystem approach","")</f>
        <v/>
      </c>
      <c r="EM266" s="2" t="str">
        <f t="shared" si="237"/>
        <v>Technology approach</v>
      </c>
      <c r="EN266"/>
      <c r="EO266"/>
      <c r="EP266" t="str">
        <f>IF(ISNUMBER(BU266),IF(ABS(BU266-[3]QC_indicators!$B$2)&gt;3*[3]QC_indicators!$C$2,"C ratio",IF(ISNUMBER(BY266),IF(ABS(BY266-[3]QC_indicators!$B$1)&gt;3*[3]QC_indicators!$C$1,"DF","no"))),IF(ISNUMBER(BY266),IF(ABS(BY266-[3]QC_indicators!$B$1)&gt;3*[3]QC_indicators!$C$1,"DF","no")))</f>
        <v>no</v>
      </c>
      <c r="EQ266"/>
      <c r="ER266" s="149" t="s">
        <v>349</v>
      </c>
      <c r="ES266"/>
      <c r="ET266" s="264" t="s">
        <v>3272</v>
      </c>
      <c r="EU266"/>
    </row>
    <row r="267" spans="1:151" s="139" customFormat="1" ht="15" hidden="1" customHeight="1">
      <c r="A267" s="1" t="s">
        <v>1232</v>
      </c>
      <c r="B267" t="s">
        <v>1233</v>
      </c>
      <c r="C267" t="s">
        <v>1234</v>
      </c>
      <c r="D267" t="s">
        <v>336</v>
      </c>
      <c r="E267" t="s">
        <v>1235</v>
      </c>
      <c r="F267" t="s">
        <v>1236</v>
      </c>
      <c r="G267" t="s">
        <v>1237</v>
      </c>
      <c r="H267"/>
      <c r="I267">
        <v>2018</v>
      </c>
      <c r="J267"/>
      <c r="K267" t="s">
        <v>1238</v>
      </c>
      <c r="L267"/>
      <c r="M267" t="str">
        <f t="shared" si="245"/>
        <v>Balasbaneh_2018</v>
      </c>
      <c r="N267" t="s">
        <v>222</v>
      </c>
      <c r="O267" s="140" t="s">
        <v>513</v>
      </c>
      <c r="P267"/>
      <c r="Q267" t="s">
        <v>224</v>
      </c>
      <c r="R267" s="262" t="s">
        <v>223</v>
      </c>
      <c r="S267" s="1" t="s">
        <v>1265</v>
      </c>
      <c r="T267" s="264" t="s">
        <v>3114</v>
      </c>
      <c r="U267" s="264" t="s">
        <v>3110</v>
      </c>
      <c r="V267">
        <v>0</v>
      </c>
      <c r="W267">
        <v>0</v>
      </c>
      <c r="X267">
        <v>0</v>
      </c>
      <c r="Y267">
        <v>0</v>
      </c>
      <c r="Z267">
        <v>0</v>
      </c>
      <c r="AA267">
        <v>0</v>
      </c>
      <c r="AB267">
        <v>0</v>
      </c>
      <c r="AC267">
        <v>0</v>
      </c>
      <c r="AD267">
        <v>0</v>
      </c>
      <c r="AE267">
        <v>0</v>
      </c>
      <c r="AF267">
        <v>0</v>
      </c>
      <c r="AG267">
        <v>0</v>
      </c>
      <c r="AH267">
        <v>0</v>
      </c>
      <c r="AI267">
        <v>0</v>
      </c>
      <c r="AJ267">
        <v>0</v>
      </c>
      <c r="AK267">
        <v>1</v>
      </c>
      <c r="AL267">
        <v>0</v>
      </c>
      <c r="AM267">
        <v>0</v>
      </c>
      <c r="AN267">
        <v>0</v>
      </c>
      <c r="AO267">
        <v>0</v>
      </c>
      <c r="AP267">
        <v>0</v>
      </c>
      <c r="AQ267">
        <v>0</v>
      </c>
      <c r="AR267">
        <v>0</v>
      </c>
      <c r="AS267">
        <v>0</v>
      </c>
      <c r="AT267">
        <v>0</v>
      </c>
      <c r="AU267">
        <v>0</v>
      </c>
      <c r="AV267">
        <v>0</v>
      </c>
      <c r="AW267">
        <v>0</v>
      </c>
      <c r="AX267" s="141">
        <f t="shared" si="246"/>
        <v>1</v>
      </c>
      <c r="AY267" s="141">
        <f t="shared" si="247"/>
        <v>1</v>
      </c>
      <c r="AZ267">
        <f t="shared" si="248"/>
        <v>0</v>
      </c>
      <c r="BA267">
        <f t="shared" si="249"/>
        <v>0</v>
      </c>
      <c r="BB267">
        <f t="shared" si="250"/>
        <v>1</v>
      </c>
      <c r="BC267">
        <f t="shared" si="251"/>
        <v>0</v>
      </c>
      <c r="BD267">
        <f t="shared" si="252"/>
        <v>0</v>
      </c>
      <c r="BE267" t="str">
        <f t="array" ref="BE267">IF(AY267=1,INDEX($V$7:$AL$7,MATCH(TRUE,INDEX($V267:$AW267&lt;&gt;0,),0)),IF(AY267=0,INDEX($AM$7:$AW$7,MATCH(1,$AM267:$AW267,0)),IF(BF267="Multiple strategies","mixed drivers",IF(BF267="Supply chain","multiple supply","multiple silviculture"))))</f>
        <v>technologies/design switch</v>
      </c>
      <c r="BF267" s="2" t="str" cm="1">
        <f t="array" ref="BF267">IF(COUNTIF(AZ267:BB267,"&lt;&gt;0")=1,INDEX($V$4:$AW$4,MATCH(TRUE,INDEX($V267:$AW267&lt;&gt;0,),0)),IF(COUNTIF(AZ267:BB267,"&lt;&gt;0")=0,INDEX($AM$4:$AW$4,MATCH(1,$AM267:$AW267,0)),"Multiple strategies"))</f>
        <v>Technology</v>
      </c>
      <c r="BG267" s="1" t="s">
        <v>229</v>
      </c>
      <c r="BH267" t="s">
        <v>229</v>
      </c>
      <c r="BI267"/>
      <c r="BJ267" t="s">
        <v>345</v>
      </c>
      <c r="BK267">
        <v>0</v>
      </c>
      <c r="BL267">
        <v>15468</v>
      </c>
      <c r="BM267" s="143"/>
      <c r="BN267">
        <f t="shared" si="253"/>
        <v>15468</v>
      </c>
      <c r="BO267" s="143">
        <f t="shared" si="240"/>
        <v>31.567346938775515</v>
      </c>
      <c r="BP267" t="s">
        <v>232</v>
      </c>
      <c r="BQ267" s="302" t="s">
        <v>1056</v>
      </c>
      <c r="BR267" t="s">
        <v>397</v>
      </c>
      <c r="BS267">
        <v>-23200</v>
      </c>
      <c r="BT267">
        <v>-5840</v>
      </c>
      <c r="BU267" s="144">
        <v>0.25172413793103449</v>
      </c>
      <c r="BV267">
        <v>17360</v>
      </c>
      <c r="BW267"/>
      <c r="BX267">
        <f t="shared" si="241"/>
        <v>17.36</v>
      </c>
      <c r="BY267">
        <f t="shared" si="236"/>
        <v>0.54993535040082742</v>
      </c>
      <c r="BZ267">
        <v>0</v>
      </c>
      <c r="CA267">
        <v>0</v>
      </c>
      <c r="CB267">
        <v>0</v>
      </c>
      <c r="CC267">
        <v>0</v>
      </c>
      <c r="CD267">
        <v>0</v>
      </c>
      <c r="CE267">
        <v>0</v>
      </c>
      <c r="CF267">
        <v>0</v>
      </c>
      <c r="CG267">
        <v>0</v>
      </c>
      <c r="CH267">
        <v>0</v>
      </c>
      <c r="CI267">
        <v>0</v>
      </c>
      <c r="CJ267">
        <v>0</v>
      </c>
      <c r="CK267">
        <v>0</v>
      </c>
      <c r="CL267">
        <v>0</v>
      </c>
      <c r="CM267">
        <v>0</v>
      </c>
      <c r="CN267" t="str">
        <f t="shared" si="242"/>
        <v>refOK</v>
      </c>
      <c r="CO267">
        <f t="shared" si="243"/>
        <v>0</v>
      </c>
      <c r="CP267">
        <f t="shared" si="244"/>
        <v>15468</v>
      </c>
      <c r="CQ267">
        <f t="shared" si="254"/>
        <v>31.567346938775515</v>
      </c>
      <c r="CR267">
        <f t="shared" si="238"/>
        <v>-23200</v>
      </c>
      <c r="CS267">
        <f t="shared" si="239"/>
        <v>-5840</v>
      </c>
      <c r="CT267">
        <f t="shared" si="255"/>
        <v>17.36</v>
      </c>
      <c r="CU267">
        <f t="shared" si="256"/>
        <v>0.54993535040082742</v>
      </c>
      <c r="CV267" s="2">
        <f t="shared" si="257"/>
        <v>0.74827586206896557</v>
      </c>
      <c r="CW267" s="1" t="s">
        <v>1202</v>
      </c>
      <c r="CX267" t="str">
        <f t="shared" si="258"/>
        <v>reg</v>
      </c>
      <c r="CY267" t="s">
        <v>348</v>
      </c>
      <c r="CZ267">
        <v>2014</v>
      </c>
      <c r="DA267">
        <v>2034</v>
      </c>
      <c r="DB267">
        <v>20</v>
      </c>
      <c r="DC267" t="str">
        <f t="shared" si="259"/>
        <v>1-30</v>
      </c>
      <c r="DD267">
        <v>0</v>
      </c>
      <c r="DE267">
        <v>0</v>
      </c>
      <c r="DF267">
        <v>0</v>
      </c>
      <c r="DG267">
        <v>1</v>
      </c>
      <c r="DH267"/>
      <c r="DI267">
        <f t="shared" si="226"/>
        <v>1</v>
      </c>
      <c r="DJ267" t="str">
        <f t="shared" si="260"/>
        <v>TimberInput</v>
      </c>
      <c r="DK267">
        <f t="shared" si="261"/>
        <v>0</v>
      </c>
      <c r="DL267">
        <f t="shared" si="262"/>
        <v>0</v>
      </c>
      <c r="DM267">
        <f t="shared" si="263"/>
        <v>0</v>
      </c>
      <c r="DN267" t="str">
        <f t="shared" si="264"/>
        <v>Timber</v>
      </c>
      <c r="DO267">
        <v>0</v>
      </c>
      <c r="DP267">
        <v>0</v>
      </c>
      <c r="DQ267">
        <v>0</v>
      </c>
      <c r="DR267">
        <v>0</v>
      </c>
      <c r="DS267">
        <v>0</v>
      </c>
      <c r="DT267">
        <f t="shared" si="265"/>
        <v>0</v>
      </c>
      <c r="DU267" s="143" t="str">
        <f t="shared" si="266"/>
        <v>explicit C balance</v>
      </c>
      <c r="DV267">
        <v>0</v>
      </c>
      <c r="DW267">
        <v>0</v>
      </c>
      <c r="DX267">
        <v>0</v>
      </c>
      <c r="DY267">
        <v>0</v>
      </c>
      <c r="DZ267">
        <v>0</v>
      </c>
      <c r="EA267" s="143">
        <v>1</v>
      </c>
      <c r="EB267">
        <v>0</v>
      </c>
      <c r="EC267">
        <v>1</v>
      </c>
      <c r="ED267">
        <v>1</v>
      </c>
      <c r="EE267">
        <v>1</v>
      </c>
      <c r="EF267">
        <v>0</v>
      </c>
      <c r="EG267">
        <v>0</v>
      </c>
      <c r="EH267">
        <v>0</v>
      </c>
      <c r="EI267" s="2">
        <v>0</v>
      </c>
      <c r="EJ267" s="1"/>
      <c r="EK267" t="str">
        <f t="shared" si="267"/>
        <v/>
      </c>
      <c r="EL267" t="str">
        <f t="shared" si="268"/>
        <v/>
      </c>
      <c r="EM267" s="2" t="str">
        <f t="shared" si="237"/>
        <v>Technology approach</v>
      </c>
      <c r="EN267"/>
      <c r="EO267"/>
      <c r="EP267" t="str">
        <f>IF(ISNUMBER(BU267),IF(ABS(BU267-[3]QC_indicators!$B$2)&gt;3*[3]QC_indicators!$C$2,"C ratio",IF(ISNUMBER(BY267),IF(ABS(BY267-[3]QC_indicators!$B$1)&gt;3*[3]QC_indicators!$C$1,"DF","no"))),IF(ISNUMBER(BY267),IF(ABS(BY267-[3]QC_indicators!$B$1)&gt;3*[3]QC_indicators!$C$1,"DF","no")))</f>
        <v>no</v>
      </c>
      <c r="EQ267"/>
      <c r="ER267" s="149" t="s">
        <v>349</v>
      </c>
      <c r="ES267"/>
      <c r="ET267" s="264" t="s">
        <v>3272</v>
      </c>
      <c r="EU267"/>
    </row>
    <row r="268" spans="1:151" s="139" customFormat="1" ht="15" hidden="1" customHeight="1">
      <c r="A268" s="1" t="s">
        <v>1232</v>
      </c>
      <c r="B268" t="s">
        <v>1233</v>
      </c>
      <c r="C268" t="s">
        <v>1234</v>
      </c>
      <c r="D268" t="s">
        <v>336</v>
      </c>
      <c r="E268" t="s">
        <v>1235</v>
      </c>
      <c r="F268" t="s">
        <v>1236</v>
      </c>
      <c r="G268" t="s">
        <v>1237</v>
      </c>
      <c r="H268"/>
      <c r="I268">
        <v>2018</v>
      </c>
      <c r="J268"/>
      <c r="K268" t="s">
        <v>1238</v>
      </c>
      <c r="L268"/>
      <c r="M268" t="str">
        <f t="shared" si="245"/>
        <v>Balasbaneh_2018</v>
      </c>
      <c r="N268" t="s">
        <v>222</v>
      </c>
      <c r="O268" s="140" t="s">
        <v>513</v>
      </c>
      <c r="P268"/>
      <c r="Q268" t="s">
        <v>224</v>
      </c>
      <c r="R268" s="262" t="s">
        <v>223</v>
      </c>
      <c r="S268" s="1" t="s">
        <v>1266</v>
      </c>
      <c r="T268" s="264" t="s">
        <v>3109</v>
      </c>
      <c r="U268" s="264" t="s">
        <v>3115</v>
      </c>
      <c r="V268">
        <v>0</v>
      </c>
      <c r="W268">
        <v>0</v>
      </c>
      <c r="X268">
        <v>0</v>
      </c>
      <c r="Y268">
        <v>0</v>
      </c>
      <c r="Z268">
        <v>0</v>
      </c>
      <c r="AA268">
        <v>0</v>
      </c>
      <c r="AB268">
        <v>0</v>
      </c>
      <c r="AC268">
        <v>0</v>
      </c>
      <c r="AD268">
        <v>0</v>
      </c>
      <c r="AE268">
        <v>0</v>
      </c>
      <c r="AF268">
        <v>0</v>
      </c>
      <c r="AG268">
        <v>0</v>
      </c>
      <c r="AH268">
        <v>0</v>
      </c>
      <c r="AI268">
        <v>0</v>
      </c>
      <c r="AJ268">
        <v>0</v>
      </c>
      <c r="AK268">
        <v>1</v>
      </c>
      <c r="AL268">
        <v>0</v>
      </c>
      <c r="AM268">
        <v>0</v>
      </c>
      <c r="AN268">
        <v>0</v>
      </c>
      <c r="AO268">
        <v>0</v>
      </c>
      <c r="AP268">
        <v>0</v>
      </c>
      <c r="AQ268">
        <v>0</v>
      </c>
      <c r="AR268">
        <v>0</v>
      </c>
      <c r="AS268">
        <v>0</v>
      </c>
      <c r="AT268">
        <v>0</v>
      </c>
      <c r="AU268">
        <v>0</v>
      </c>
      <c r="AV268">
        <v>0</v>
      </c>
      <c r="AW268">
        <v>0</v>
      </c>
      <c r="AX268" s="141">
        <f t="shared" si="246"/>
        <v>1</v>
      </c>
      <c r="AY268" s="141">
        <f t="shared" si="247"/>
        <v>1</v>
      </c>
      <c r="AZ268">
        <f t="shared" si="248"/>
        <v>0</v>
      </c>
      <c r="BA268">
        <f t="shared" si="249"/>
        <v>0</v>
      </c>
      <c r="BB268">
        <f t="shared" si="250"/>
        <v>1</v>
      </c>
      <c r="BC268">
        <f t="shared" si="251"/>
        <v>0</v>
      </c>
      <c r="BD268">
        <f t="shared" si="252"/>
        <v>0</v>
      </c>
      <c r="BE268" t="str">
        <f t="array" ref="BE268">IF(AY268=1,INDEX($V$7:$AL$7,MATCH(TRUE,INDEX($V268:$AW268&lt;&gt;0,),0)),IF(AY268=0,INDEX($AM$7:$AW$7,MATCH(1,$AM268:$AW268,0)),IF(BF268="Multiple strategies","mixed drivers",IF(BF268="Supply chain","multiple supply","multiple silviculture"))))</f>
        <v>technologies/design switch</v>
      </c>
      <c r="BF268" s="2" t="str" cm="1">
        <f t="array" ref="BF268">IF(COUNTIF(AZ268:BB268,"&lt;&gt;0")=1,INDEX($V$4:$AW$4,MATCH(TRUE,INDEX($V268:$AW268&lt;&gt;0,),0)),IF(COUNTIF(AZ268:BB268,"&lt;&gt;0")=0,INDEX($AM$4:$AW$4,MATCH(1,$AM268:$AW268,0)),"Multiple strategies"))</f>
        <v>Technology</v>
      </c>
      <c r="BG268" s="1" t="s">
        <v>229</v>
      </c>
      <c r="BH268" t="s">
        <v>229</v>
      </c>
      <c r="BI268"/>
      <c r="BJ268" t="s">
        <v>345</v>
      </c>
      <c r="BK268">
        <v>0</v>
      </c>
      <c r="BL268">
        <v>23436</v>
      </c>
      <c r="BM268" s="143"/>
      <c r="BN268">
        <f t="shared" si="253"/>
        <v>23436</v>
      </c>
      <c r="BO268" s="143">
        <f t="shared" si="240"/>
        <v>47.828571428571436</v>
      </c>
      <c r="BP268" t="s">
        <v>232</v>
      </c>
      <c r="BQ268" s="302" t="s">
        <v>1056</v>
      </c>
      <c r="BR268" t="s">
        <v>397</v>
      </c>
      <c r="BS268">
        <v>-28500</v>
      </c>
      <c r="BT268">
        <v>-711</v>
      </c>
      <c r="BU268" s="144">
        <v>2.4947368421052631E-2</v>
      </c>
      <c r="BV268">
        <v>27789</v>
      </c>
      <c r="BW268"/>
      <c r="BX268">
        <f t="shared" si="241"/>
        <v>27.789000000000001</v>
      </c>
      <c r="BY268">
        <f t="shared" si="236"/>
        <v>0.58101254480286735</v>
      </c>
      <c r="BZ268">
        <v>0</v>
      </c>
      <c r="CA268">
        <v>0</v>
      </c>
      <c r="CB268">
        <v>0</v>
      </c>
      <c r="CC268">
        <v>0</v>
      </c>
      <c r="CD268">
        <v>0</v>
      </c>
      <c r="CE268">
        <v>0</v>
      </c>
      <c r="CF268">
        <v>0</v>
      </c>
      <c r="CG268">
        <v>0</v>
      </c>
      <c r="CH268">
        <v>0</v>
      </c>
      <c r="CI268">
        <v>0</v>
      </c>
      <c r="CJ268">
        <v>0</v>
      </c>
      <c r="CK268">
        <v>0</v>
      </c>
      <c r="CL268">
        <v>0</v>
      </c>
      <c r="CM268">
        <v>0</v>
      </c>
      <c r="CN268" t="str">
        <f t="shared" si="242"/>
        <v>refOK</v>
      </c>
      <c r="CO268">
        <f t="shared" si="243"/>
        <v>0</v>
      </c>
      <c r="CP268">
        <f t="shared" si="244"/>
        <v>23436</v>
      </c>
      <c r="CQ268">
        <f t="shared" si="254"/>
        <v>47.828571428571436</v>
      </c>
      <c r="CR268">
        <f t="shared" si="238"/>
        <v>-28500</v>
      </c>
      <c r="CS268">
        <f t="shared" si="239"/>
        <v>-711</v>
      </c>
      <c r="CT268">
        <f t="shared" si="255"/>
        <v>27.789000000000001</v>
      </c>
      <c r="CU268">
        <f t="shared" si="256"/>
        <v>0.58101254480286735</v>
      </c>
      <c r="CV268" s="2">
        <f t="shared" si="257"/>
        <v>0.97505263157894739</v>
      </c>
      <c r="CW268" s="1" t="s">
        <v>1202</v>
      </c>
      <c r="CX268" t="str">
        <f t="shared" si="258"/>
        <v>reg</v>
      </c>
      <c r="CY268" t="s">
        <v>348</v>
      </c>
      <c r="CZ268">
        <v>2014</v>
      </c>
      <c r="DA268">
        <v>2034</v>
      </c>
      <c r="DB268">
        <v>20</v>
      </c>
      <c r="DC268" t="str">
        <f t="shared" si="259"/>
        <v>1-30</v>
      </c>
      <c r="DD268">
        <v>0</v>
      </c>
      <c r="DE268">
        <v>0</v>
      </c>
      <c r="DF268">
        <v>0</v>
      </c>
      <c r="DG268">
        <v>1</v>
      </c>
      <c r="DH268"/>
      <c r="DI268">
        <f t="shared" si="226"/>
        <v>1</v>
      </c>
      <c r="DJ268" t="str">
        <f t="shared" si="260"/>
        <v>TimberInput</v>
      </c>
      <c r="DK268">
        <f t="shared" si="261"/>
        <v>0</v>
      </c>
      <c r="DL268">
        <f t="shared" si="262"/>
        <v>0</v>
      </c>
      <c r="DM268">
        <f t="shared" si="263"/>
        <v>0</v>
      </c>
      <c r="DN268" t="str">
        <f t="shared" si="264"/>
        <v>Timber</v>
      </c>
      <c r="DO268">
        <v>0</v>
      </c>
      <c r="DP268">
        <v>0</v>
      </c>
      <c r="DQ268">
        <v>0</v>
      </c>
      <c r="DR268">
        <v>0</v>
      </c>
      <c r="DS268">
        <v>0</v>
      </c>
      <c r="DT268">
        <f t="shared" si="265"/>
        <v>0</v>
      </c>
      <c r="DU268" s="143" t="str">
        <f t="shared" si="266"/>
        <v>explicit C balance</v>
      </c>
      <c r="DV268">
        <v>0</v>
      </c>
      <c r="DW268">
        <v>0</v>
      </c>
      <c r="DX268">
        <v>0</v>
      </c>
      <c r="DY268">
        <v>0</v>
      </c>
      <c r="DZ268">
        <v>0</v>
      </c>
      <c r="EA268" s="143">
        <v>1</v>
      </c>
      <c r="EB268">
        <v>0</v>
      </c>
      <c r="EC268">
        <v>1</v>
      </c>
      <c r="ED268">
        <v>1</v>
      </c>
      <c r="EE268">
        <v>1</v>
      </c>
      <c r="EF268">
        <v>0</v>
      </c>
      <c r="EG268">
        <v>0</v>
      </c>
      <c r="EH268">
        <v>0</v>
      </c>
      <c r="EI268" s="2">
        <v>0</v>
      </c>
      <c r="EJ268" s="1"/>
      <c r="EK268" t="str">
        <f t="shared" si="267"/>
        <v/>
      </c>
      <c r="EL268" t="str">
        <f t="shared" si="268"/>
        <v/>
      </c>
      <c r="EM268" s="2" t="str">
        <f t="shared" si="237"/>
        <v>Technology approach</v>
      </c>
      <c r="EN268"/>
      <c r="EO268"/>
      <c r="EP268" t="str">
        <f>IF(ISNUMBER(BU268),IF(ABS(BU268-[3]QC_indicators!$B$2)&gt;3*[3]QC_indicators!$C$2,"C ratio",IF(ISNUMBER(BY268),IF(ABS(BY268-[3]QC_indicators!$B$1)&gt;3*[3]QC_indicators!$C$1,"DF","no"))),IF(ISNUMBER(BY268),IF(ABS(BY268-[3]QC_indicators!$B$1)&gt;3*[3]QC_indicators!$C$1,"DF","no")))</f>
        <v>no</v>
      </c>
      <c r="EQ268"/>
      <c r="ER268" s="149" t="s">
        <v>349</v>
      </c>
      <c r="ES268"/>
      <c r="ET268" s="264" t="s">
        <v>3272</v>
      </c>
      <c r="EU268"/>
    </row>
    <row r="269" spans="1:151" s="139" customFormat="1" ht="15" hidden="1" customHeight="1">
      <c r="A269" s="1" t="s">
        <v>1232</v>
      </c>
      <c r="B269" t="s">
        <v>1233</v>
      </c>
      <c r="C269" t="s">
        <v>1234</v>
      </c>
      <c r="D269" t="s">
        <v>336</v>
      </c>
      <c r="E269" t="s">
        <v>1235</v>
      </c>
      <c r="F269" t="s">
        <v>1236</v>
      </c>
      <c r="G269" t="s">
        <v>1237</v>
      </c>
      <c r="H269"/>
      <c r="I269">
        <v>2018</v>
      </c>
      <c r="J269"/>
      <c r="K269" t="s">
        <v>1238</v>
      </c>
      <c r="L269"/>
      <c r="M269" t="str">
        <f t="shared" si="245"/>
        <v>Balasbaneh_2018</v>
      </c>
      <c r="N269" t="s">
        <v>222</v>
      </c>
      <c r="O269" s="140" t="s">
        <v>513</v>
      </c>
      <c r="P269"/>
      <c r="Q269" t="s">
        <v>224</v>
      </c>
      <c r="R269" s="262" t="s">
        <v>223</v>
      </c>
      <c r="S269" s="1" t="s">
        <v>1267</v>
      </c>
      <c r="T269" s="264" t="s">
        <v>3109</v>
      </c>
      <c r="U269" s="264" t="s">
        <v>3110</v>
      </c>
      <c r="V269">
        <v>0</v>
      </c>
      <c r="W269">
        <v>0</v>
      </c>
      <c r="X269">
        <v>0</v>
      </c>
      <c r="Y269">
        <v>0</v>
      </c>
      <c r="Z269">
        <v>0</v>
      </c>
      <c r="AA269">
        <v>0</v>
      </c>
      <c r="AB269">
        <v>0</v>
      </c>
      <c r="AC269">
        <v>0</v>
      </c>
      <c r="AD269">
        <v>0</v>
      </c>
      <c r="AE269">
        <v>0</v>
      </c>
      <c r="AF269">
        <v>0</v>
      </c>
      <c r="AG269">
        <v>0</v>
      </c>
      <c r="AH269">
        <v>0</v>
      </c>
      <c r="AI269">
        <v>0</v>
      </c>
      <c r="AJ269">
        <v>0</v>
      </c>
      <c r="AK269">
        <v>1</v>
      </c>
      <c r="AL269">
        <v>0</v>
      </c>
      <c r="AM269">
        <v>0</v>
      </c>
      <c r="AN269">
        <v>0</v>
      </c>
      <c r="AO269">
        <v>0</v>
      </c>
      <c r="AP269">
        <v>0</v>
      </c>
      <c r="AQ269">
        <v>0</v>
      </c>
      <c r="AR269">
        <v>0</v>
      </c>
      <c r="AS269">
        <v>0</v>
      </c>
      <c r="AT269">
        <v>0</v>
      </c>
      <c r="AU269">
        <v>0</v>
      </c>
      <c r="AV269">
        <v>0</v>
      </c>
      <c r="AW269">
        <v>0</v>
      </c>
      <c r="AX269" s="141">
        <f t="shared" si="246"/>
        <v>1</v>
      </c>
      <c r="AY269" s="141">
        <f t="shared" si="247"/>
        <v>1</v>
      </c>
      <c r="AZ269">
        <f t="shared" si="248"/>
        <v>0</v>
      </c>
      <c r="BA269">
        <f t="shared" si="249"/>
        <v>0</v>
      </c>
      <c r="BB269">
        <f t="shared" si="250"/>
        <v>1</v>
      </c>
      <c r="BC269">
        <f t="shared" si="251"/>
        <v>0</v>
      </c>
      <c r="BD269">
        <f t="shared" si="252"/>
        <v>0</v>
      </c>
      <c r="BE269" t="str">
        <f t="array" ref="BE269">IF(AY269=1,INDEX($V$7:$AL$7,MATCH(TRUE,INDEX($V269:$AW269&lt;&gt;0,),0)),IF(AY269=0,INDEX($AM$7:$AW$7,MATCH(1,$AM269:$AW269,0)),IF(BF269="Multiple strategies","mixed drivers",IF(BF269="Supply chain","multiple supply","multiple silviculture"))))</f>
        <v>technologies/design switch</v>
      </c>
      <c r="BF269" s="2" t="str" cm="1">
        <f t="array" ref="BF269">IF(COUNTIF(AZ269:BB269,"&lt;&gt;0")=1,INDEX($V$4:$AW$4,MATCH(TRUE,INDEX($V269:$AW269&lt;&gt;0,),0)),IF(COUNTIF(AZ269:BB269,"&lt;&gt;0")=0,INDEX($AM$4:$AW$4,MATCH(1,$AM269:$AW269,0)),"Multiple strategies"))</f>
        <v>Technology</v>
      </c>
      <c r="BG269" s="1" t="s">
        <v>229</v>
      </c>
      <c r="BH269" t="s">
        <v>229</v>
      </c>
      <c r="BI269"/>
      <c r="BJ269" t="s">
        <v>345</v>
      </c>
      <c r="BK269">
        <v>0</v>
      </c>
      <c r="BL269">
        <v>15468</v>
      </c>
      <c r="BM269" s="143"/>
      <c r="BN269">
        <f t="shared" si="253"/>
        <v>15468</v>
      </c>
      <c r="BO269" s="143">
        <f t="shared" si="240"/>
        <v>31.567346938775515</v>
      </c>
      <c r="BP269" t="s">
        <v>232</v>
      </c>
      <c r="BQ269" s="302" t="s">
        <v>1056</v>
      </c>
      <c r="BR269" t="s">
        <v>397</v>
      </c>
      <c r="BS269">
        <v>-25300</v>
      </c>
      <c r="BT269">
        <v>-5370</v>
      </c>
      <c r="BU269" s="144">
        <v>0.21225296442687747</v>
      </c>
      <c r="BV269">
        <v>19930</v>
      </c>
      <c r="BW269"/>
      <c r="BX269">
        <f t="shared" si="241"/>
        <v>19.93</v>
      </c>
      <c r="BY269">
        <f t="shared" si="236"/>
        <v>0.63134859063873794</v>
      </c>
      <c r="BZ269">
        <v>0</v>
      </c>
      <c r="CA269">
        <v>0</v>
      </c>
      <c r="CB269">
        <v>0</v>
      </c>
      <c r="CC269">
        <v>0</v>
      </c>
      <c r="CD269">
        <v>0</v>
      </c>
      <c r="CE269">
        <v>0</v>
      </c>
      <c r="CF269">
        <v>0</v>
      </c>
      <c r="CG269">
        <v>0</v>
      </c>
      <c r="CH269">
        <v>0</v>
      </c>
      <c r="CI269">
        <v>0</v>
      </c>
      <c r="CJ269">
        <v>0</v>
      </c>
      <c r="CK269">
        <v>0</v>
      </c>
      <c r="CL269">
        <v>0</v>
      </c>
      <c r="CM269">
        <v>0</v>
      </c>
      <c r="CN269" t="str">
        <f t="shared" si="242"/>
        <v>refOK</v>
      </c>
      <c r="CO269">
        <f t="shared" si="243"/>
        <v>0</v>
      </c>
      <c r="CP269">
        <f t="shared" si="244"/>
        <v>15468</v>
      </c>
      <c r="CQ269">
        <f t="shared" si="254"/>
        <v>31.567346938775515</v>
      </c>
      <c r="CR269">
        <f t="shared" si="238"/>
        <v>-25300</v>
      </c>
      <c r="CS269">
        <f t="shared" si="239"/>
        <v>-5370</v>
      </c>
      <c r="CT269">
        <f t="shared" si="255"/>
        <v>19.93</v>
      </c>
      <c r="CU269">
        <f t="shared" si="256"/>
        <v>0.63134859063873794</v>
      </c>
      <c r="CV269" s="2">
        <f t="shared" si="257"/>
        <v>0.78774703557312253</v>
      </c>
      <c r="CW269" s="1" t="s">
        <v>1202</v>
      </c>
      <c r="CX269" t="str">
        <f t="shared" si="258"/>
        <v>reg</v>
      </c>
      <c r="CY269" t="s">
        <v>348</v>
      </c>
      <c r="CZ269">
        <v>2014</v>
      </c>
      <c r="DA269">
        <v>2114</v>
      </c>
      <c r="DB269">
        <v>100</v>
      </c>
      <c r="DC269" t="str">
        <f t="shared" si="259"/>
        <v>71-100</v>
      </c>
      <c r="DD269">
        <v>0</v>
      </c>
      <c r="DE269">
        <v>0</v>
      </c>
      <c r="DF269">
        <v>0</v>
      </c>
      <c r="DG269">
        <v>1</v>
      </c>
      <c r="DH269"/>
      <c r="DI269">
        <f t="shared" si="226"/>
        <v>1</v>
      </c>
      <c r="DJ269" t="str">
        <f t="shared" si="260"/>
        <v>TimberInput</v>
      </c>
      <c r="DK269">
        <f t="shared" si="261"/>
        <v>0</v>
      </c>
      <c r="DL269">
        <f t="shared" si="262"/>
        <v>0</v>
      </c>
      <c r="DM269">
        <f t="shared" si="263"/>
        <v>0</v>
      </c>
      <c r="DN269" t="str">
        <f t="shared" si="264"/>
        <v>Timber</v>
      </c>
      <c r="DO269">
        <v>0</v>
      </c>
      <c r="DP269">
        <v>0</v>
      </c>
      <c r="DQ269">
        <v>0</v>
      </c>
      <c r="DR269">
        <v>0</v>
      </c>
      <c r="DS269">
        <v>0</v>
      </c>
      <c r="DT269">
        <f t="shared" si="265"/>
        <v>0</v>
      </c>
      <c r="DU269" s="143" t="str">
        <f t="shared" si="266"/>
        <v>explicit C balance</v>
      </c>
      <c r="DV269">
        <v>0</v>
      </c>
      <c r="DW269">
        <v>0</v>
      </c>
      <c r="DX269">
        <v>0</v>
      </c>
      <c r="DY269">
        <v>0</v>
      </c>
      <c r="DZ269">
        <v>0</v>
      </c>
      <c r="EA269" s="143">
        <v>1</v>
      </c>
      <c r="EB269">
        <v>0</v>
      </c>
      <c r="EC269">
        <v>1</v>
      </c>
      <c r="ED269">
        <v>1</v>
      </c>
      <c r="EE269">
        <v>1</v>
      </c>
      <c r="EF269">
        <v>0</v>
      </c>
      <c r="EG269">
        <v>0</v>
      </c>
      <c r="EH269">
        <v>0</v>
      </c>
      <c r="EI269" s="2">
        <v>0</v>
      </c>
      <c r="EJ269" s="1"/>
      <c r="EK269" t="str">
        <f t="shared" si="267"/>
        <v/>
      </c>
      <c r="EL269" t="str">
        <f t="shared" si="268"/>
        <v/>
      </c>
      <c r="EM269" s="2" t="str">
        <f t="shared" si="237"/>
        <v>Technology approach</v>
      </c>
      <c r="EN269"/>
      <c r="EO269"/>
      <c r="EP269" t="str">
        <f>IF(ISNUMBER(BU269),IF(ABS(BU269-[3]QC_indicators!$B$2)&gt;3*[3]QC_indicators!$C$2,"C ratio",IF(ISNUMBER(BY269),IF(ABS(BY269-[3]QC_indicators!$B$1)&gt;3*[3]QC_indicators!$C$1,"DF","no"))),IF(ISNUMBER(BY269),IF(ABS(BY269-[3]QC_indicators!$B$1)&gt;3*[3]QC_indicators!$C$1,"DF","no")))</f>
        <v>no</v>
      </c>
      <c r="EQ269"/>
      <c r="ER269" s="149" t="s">
        <v>349</v>
      </c>
      <c r="ES269"/>
      <c r="ET269" s="264" t="s">
        <v>3272</v>
      </c>
      <c r="EU269"/>
    </row>
    <row r="270" spans="1:151" s="139" customFormat="1" ht="15" hidden="1" customHeight="1">
      <c r="A270" s="1" t="s">
        <v>1232</v>
      </c>
      <c r="B270" t="s">
        <v>1233</v>
      </c>
      <c r="C270" t="s">
        <v>1234</v>
      </c>
      <c r="D270" t="s">
        <v>336</v>
      </c>
      <c r="E270" t="s">
        <v>1235</v>
      </c>
      <c r="F270" t="s">
        <v>1236</v>
      </c>
      <c r="G270" t="s">
        <v>1237</v>
      </c>
      <c r="H270"/>
      <c r="I270">
        <v>2018</v>
      </c>
      <c r="J270"/>
      <c r="K270" t="s">
        <v>1238</v>
      </c>
      <c r="L270"/>
      <c r="M270" t="str">
        <f t="shared" si="245"/>
        <v>Balasbaneh_2018</v>
      </c>
      <c r="N270" t="s">
        <v>222</v>
      </c>
      <c r="O270" s="140" t="s">
        <v>513</v>
      </c>
      <c r="P270"/>
      <c r="Q270" t="s">
        <v>224</v>
      </c>
      <c r="R270" s="262" t="s">
        <v>223</v>
      </c>
      <c r="S270" s="1" t="s">
        <v>1268</v>
      </c>
      <c r="T270" s="264" t="s">
        <v>3109</v>
      </c>
      <c r="U270" s="264" t="s">
        <v>3110</v>
      </c>
      <c r="V270">
        <v>0</v>
      </c>
      <c r="W270">
        <v>0</v>
      </c>
      <c r="X270">
        <v>0</v>
      </c>
      <c r="Y270">
        <v>0</v>
      </c>
      <c r="Z270">
        <v>0</v>
      </c>
      <c r="AA270">
        <v>0</v>
      </c>
      <c r="AB270">
        <v>0</v>
      </c>
      <c r="AC270">
        <v>0</v>
      </c>
      <c r="AD270">
        <v>0</v>
      </c>
      <c r="AE270">
        <v>0</v>
      </c>
      <c r="AF270">
        <v>0</v>
      </c>
      <c r="AG270">
        <v>0</v>
      </c>
      <c r="AH270">
        <v>0</v>
      </c>
      <c r="AI270">
        <v>0</v>
      </c>
      <c r="AJ270">
        <v>0</v>
      </c>
      <c r="AK270">
        <v>1</v>
      </c>
      <c r="AL270">
        <v>0</v>
      </c>
      <c r="AM270">
        <v>0</v>
      </c>
      <c r="AN270">
        <v>0</v>
      </c>
      <c r="AO270">
        <v>0</v>
      </c>
      <c r="AP270">
        <v>0</v>
      </c>
      <c r="AQ270">
        <v>0</v>
      </c>
      <c r="AR270">
        <v>0</v>
      </c>
      <c r="AS270">
        <v>0</v>
      </c>
      <c r="AT270">
        <v>0</v>
      </c>
      <c r="AU270">
        <v>0</v>
      </c>
      <c r="AV270">
        <v>0</v>
      </c>
      <c r="AW270">
        <v>0</v>
      </c>
      <c r="AX270" s="141">
        <f t="shared" si="246"/>
        <v>1</v>
      </c>
      <c r="AY270" s="141">
        <f t="shared" si="247"/>
        <v>1</v>
      </c>
      <c r="AZ270">
        <f t="shared" si="248"/>
        <v>0</v>
      </c>
      <c r="BA270">
        <f t="shared" si="249"/>
        <v>0</v>
      </c>
      <c r="BB270">
        <f t="shared" si="250"/>
        <v>1</v>
      </c>
      <c r="BC270">
        <f t="shared" si="251"/>
        <v>0</v>
      </c>
      <c r="BD270">
        <f t="shared" si="252"/>
        <v>0</v>
      </c>
      <c r="BE270" t="str">
        <f t="array" ref="BE270">IF(AY270=1,INDEX($V$7:$AL$7,MATCH(TRUE,INDEX($V270:$AW270&lt;&gt;0,),0)),IF(AY270=0,INDEX($AM$7:$AW$7,MATCH(1,$AM270:$AW270,0)),IF(BF270="Multiple strategies","mixed drivers",IF(BF270="Supply chain","multiple supply","multiple silviculture"))))</f>
        <v>technologies/design switch</v>
      </c>
      <c r="BF270" s="2" t="str" cm="1">
        <f t="array" ref="BF270">IF(COUNTIF(AZ270:BB270,"&lt;&gt;0")=1,INDEX($V$4:$AW$4,MATCH(TRUE,INDEX($V270:$AW270&lt;&gt;0,),0)),IF(COUNTIF(AZ270:BB270,"&lt;&gt;0")=0,INDEX($AM$4:$AW$4,MATCH(1,$AM270:$AW270,0)),"Multiple strategies"))</f>
        <v>Technology</v>
      </c>
      <c r="BG270" s="1" t="s">
        <v>229</v>
      </c>
      <c r="BH270" t="s">
        <v>229</v>
      </c>
      <c r="BI270"/>
      <c r="BJ270" t="s">
        <v>345</v>
      </c>
      <c r="BK270">
        <v>0</v>
      </c>
      <c r="BL270">
        <v>15468</v>
      </c>
      <c r="BM270" s="143"/>
      <c r="BN270">
        <f t="shared" si="253"/>
        <v>15468</v>
      </c>
      <c r="BO270" s="143">
        <f t="shared" si="240"/>
        <v>31.567346938775515</v>
      </c>
      <c r="BP270" t="s">
        <v>232</v>
      </c>
      <c r="BQ270" s="302" t="s">
        <v>1056</v>
      </c>
      <c r="BR270" t="s">
        <v>397</v>
      </c>
      <c r="BS270">
        <v>-28500</v>
      </c>
      <c r="BT270">
        <v>-5840</v>
      </c>
      <c r="BU270" s="144">
        <v>0.20491228070175438</v>
      </c>
      <c r="BV270">
        <v>22660</v>
      </c>
      <c r="BW270"/>
      <c r="BX270">
        <f t="shared" si="241"/>
        <v>22.66</v>
      </c>
      <c r="BY270">
        <f t="shared" si="236"/>
        <v>0.71783035945177132</v>
      </c>
      <c r="BZ270">
        <v>0</v>
      </c>
      <c r="CA270">
        <v>0</v>
      </c>
      <c r="CB270">
        <v>0</v>
      </c>
      <c r="CC270">
        <v>0</v>
      </c>
      <c r="CD270">
        <v>0</v>
      </c>
      <c r="CE270">
        <v>0</v>
      </c>
      <c r="CF270">
        <v>0</v>
      </c>
      <c r="CG270">
        <v>0</v>
      </c>
      <c r="CH270">
        <v>0</v>
      </c>
      <c r="CI270">
        <v>0</v>
      </c>
      <c r="CJ270">
        <v>0</v>
      </c>
      <c r="CK270">
        <v>0</v>
      </c>
      <c r="CL270">
        <v>0</v>
      </c>
      <c r="CM270">
        <v>0</v>
      </c>
      <c r="CN270" t="str">
        <f t="shared" si="242"/>
        <v>refOK</v>
      </c>
      <c r="CO270">
        <f t="shared" si="243"/>
        <v>0</v>
      </c>
      <c r="CP270">
        <f t="shared" si="244"/>
        <v>15468</v>
      </c>
      <c r="CQ270">
        <f t="shared" si="254"/>
        <v>31.567346938775515</v>
      </c>
      <c r="CR270">
        <f t="shared" si="238"/>
        <v>-28500</v>
      </c>
      <c r="CS270">
        <f t="shared" si="239"/>
        <v>-5840</v>
      </c>
      <c r="CT270">
        <f t="shared" si="255"/>
        <v>22.66</v>
      </c>
      <c r="CU270">
        <f t="shared" si="256"/>
        <v>0.71783035945177132</v>
      </c>
      <c r="CV270" s="2">
        <f t="shared" si="257"/>
        <v>0.79508771929824562</v>
      </c>
      <c r="CW270" s="1" t="s">
        <v>1202</v>
      </c>
      <c r="CX270" t="str">
        <f t="shared" si="258"/>
        <v>reg</v>
      </c>
      <c r="CY270" t="s">
        <v>348</v>
      </c>
      <c r="CZ270">
        <v>2014</v>
      </c>
      <c r="DA270">
        <v>2034</v>
      </c>
      <c r="DB270">
        <v>20</v>
      </c>
      <c r="DC270" t="str">
        <f t="shared" si="259"/>
        <v>1-30</v>
      </c>
      <c r="DD270">
        <v>0</v>
      </c>
      <c r="DE270">
        <v>0</v>
      </c>
      <c r="DF270">
        <v>0</v>
      </c>
      <c r="DG270">
        <v>1</v>
      </c>
      <c r="DH270"/>
      <c r="DI270">
        <f t="shared" si="226"/>
        <v>1</v>
      </c>
      <c r="DJ270" t="str">
        <f t="shared" si="260"/>
        <v>TimberInput</v>
      </c>
      <c r="DK270">
        <f t="shared" si="261"/>
        <v>0</v>
      </c>
      <c r="DL270">
        <f t="shared" si="262"/>
        <v>0</v>
      </c>
      <c r="DM270">
        <f t="shared" si="263"/>
        <v>0</v>
      </c>
      <c r="DN270" t="str">
        <f t="shared" si="264"/>
        <v>Timber</v>
      </c>
      <c r="DO270">
        <v>0</v>
      </c>
      <c r="DP270">
        <v>0</v>
      </c>
      <c r="DQ270">
        <v>0</v>
      </c>
      <c r="DR270">
        <v>0</v>
      </c>
      <c r="DS270">
        <v>0</v>
      </c>
      <c r="DT270">
        <f t="shared" si="265"/>
        <v>0</v>
      </c>
      <c r="DU270" s="143" t="str">
        <f t="shared" si="266"/>
        <v>explicit C balance</v>
      </c>
      <c r="DV270">
        <v>0</v>
      </c>
      <c r="DW270">
        <v>0</v>
      </c>
      <c r="DX270">
        <v>0</v>
      </c>
      <c r="DY270">
        <v>0</v>
      </c>
      <c r="DZ270">
        <v>0</v>
      </c>
      <c r="EA270" s="143">
        <v>1</v>
      </c>
      <c r="EB270">
        <v>0</v>
      </c>
      <c r="EC270">
        <v>1</v>
      </c>
      <c r="ED270">
        <v>1</v>
      </c>
      <c r="EE270">
        <v>1</v>
      </c>
      <c r="EF270">
        <v>0</v>
      </c>
      <c r="EG270">
        <v>0</v>
      </c>
      <c r="EH270">
        <v>0</v>
      </c>
      <c r="EI270" s="2">
        <v>0</v>
      </c>
      <c r="EJ270" s="1"/>
      <c r="EK270" t="str">
        <f t="shared" si="267"/>
        <v/>
      </c>
      <c r="EL270" t="str">
        <f t="shared" si="268"/>
        <v/>
      </c>
      <c r="EM270" s="2" t="str">
        <f t="shared" si="237"/>
        <v>Technology approach</v>
      </c>
      <c r="EN270"/>
      <c r="EO270"/>
      <c r="EP270" t="str">
        <f>IF(ISNUMBER(BU270),IF(ABS(BU270-[3]QC_indicators!$B$2)&gt;3*[3]QC_indicators!$C$2,"C ratio",IF(ISNUMBER(BY270),IF(ABS(BY270-[3]QC_indicators!$B$1)&gt;3*[3]QC_indicators!$C$1,"DF","no"))),IF(ISNUMBER(BY270),IF(ABS(BY270-[3]QC_indicators!$B$1)&gt;3*[3]QC_indicators!$C$1,"DF","no")))</f>
        <v>no</v>
      </c>
      <c r="EQ270"/>
      <c r="ER270" s="149" t="s">
        <v>349</v>
      </c>
      <c r="ES270"/>
      <c r="ET270" s="264" t="s">
        <v>3272</v>
      </c>
      <c r="EU270"/>
    </row>
    <row r="271" spans="1:151" s="139" customFormat="1" ht="15" hidden="1" customHeight="1">
      <c r="A271" s="1" t="s">
        <v>380</v>
      </c>
      <c r="B271" t="s">
        <v>381</v>
      </c>
      <c r="C271" t="s">
        <v>382</v>
      </c>
      <c r="D271" t="s">
        <v>383</v>
      </c>
      <c r="E271" t="s">
        <v>384</v>
      </c>
      <c r="F271" t="s">
        <v>385</v>
      </c>
      <c r="G271" t="s">
        <v>386</v>
      </c>
      <c r="H271" t="s">
        <v>254</v>
      </c>
      <c r="I271">
        <v>2022</v>
      </c>
      <c r="J271">
        <v>1</v>
      </c>
      <c r="K271" t="s">
        <v>387</v>
      </c>
      <c r="L271" t="s">
        <v>388</v>
      </c>
      <c r="M271" t="str">
        <f t="shared" si="245"/>
        <v>Balasbaneh_2022a</v>
      </c>
      <c r="N271" t="s">
        <v>222</v>
      </c>
      <c r="O271" s="145" t="s">
        <v>223</v>
      </c>
      <c r="P271"/>
      <c r="Q271" s="264" t="s">
        <v>389</v>
      </c>
      <c r="R271" s="269" t="s">
        <v>341</v>
      </c>
      <c r="S271" s="263" t="s">
        <v>390</v>
      </c>
      <c r="T271" s="264" t="s">
        <v>391</v>
      </c>
      <c r="U271" s="264" t="s">
        <v>392</v>
      </c>
      <c r="V271">
        <v>0</v>
      </c>
      <c r="W271">
        <v>0</v>
      </c>
      <c r="X271">
        <v>0</v>
      </c>
      <c r="Y271">
        <v>0</v>
      </c>
      <c r="Z271">
        <v>0</v>
      </c>
      <c r="AA271">
        <v>0</v>
      </c>
      <c r="AB271">
        <v>0</v>
      </c>
      <c r="AC271">
        <v>0</v>
      </c>
      <c r="AD271">
        <v>0</v>
      </c>
      <c r="AE271">
        <v>0</v>
      </c>
      <c r="AF271">
        <v>0</v>
      </c>
      <c r="AG271">
        <v>0</v>
      </c>
      <c r="AH271">
        <v>0</v>
      </c>
      <c r="AI271">
        <v>0</v>
      </c>
      <c r="AJ271">
        <v>0</v>
      </c>
      <c r="AK271">
        <v>1</v>
      </c>
      <c r="AL271">
        <v>0</v>
      </c>
      <c r="AM271">
        <v>0</v>
      </c>
      <c r="AN271">
        <v>0</v>
      </c>
      <c r="AO271">
        <v>0</v>
      </c>
      <c r="AP271">
        <v>0</v>
      </c>
      <c r="AQ271">
        <v>0</v>
      </c>
      <c r="AR271">
        <v>0</v>
      </c>
      <c r="AS271">
        <v>0</v>
      </c>
      <c r="AT271">
        <v>0</v>
      </c>
      <c r="AU271">
        <v>0</v>
      </c>
      <c r="AV271">
        <v>0</v>
      </c>
      <c r="AW271">
        <v>0</v>
      </c>
      <c r="AX271" s="141">
        <f t="shared" si="246"/>
        <v>1</v>
      </c>
      <c r="AY271" s="141">
        <f t="shared" si="247"/>
        <v>1</v>
      </c>
      <c r="AZ271">
        <f t="shared" si="248"/>
        <v>0</v>
      </c>
      <c r="BA271">
        <f t="shared" si="249"/>
        <v>0</v>
      </c>
      <c r="BB271">
        <f t="shared" si="250"/>
        <v>1</v>
      </c>
      <c r="BC271">
        <f t="shared" si="251"/>
        <v>0</v>
      </c>
      <c r="BD271">
        <f t="shared" si="252"/>
        <v>0</v>
      </c>
      <c r="BE271" t="str" cm="1">
        <f t="array" ref="BE271">IF(AY271=1,INDEX($V$7:$AL$7,MATCH(TRUE,INDEX($V271:$AW271&lt;&gt;0,),0)),IF(AY271=0,INDEX($AM$7:$AW$7,MATCH(1,$AM271:$AW271,0)),IF(BF271="Multiple strategies","mixed drivers",IF(BF271="Supply chain","multiple supply","multiple silviculture"))))</f>
        <v>technologies/design switch</v>
      </c>
      <c r="BF271" s="2" t="str" cm="1">
        <f t="array" ref="BF271">IF(COUNTIF(AZ271:BB271,"&lt;&gt;0")=1,INDEX($V$4:$AW$4,MATCH(TRUE,INDEX($V271:$AW271&lt;&gt;0,),0)),IF(COUNTIF(AZ271:BB271,"&lt;&gt;0")=0,INDEX($AM$4:$AW$4,MATCH(1,$AM271:$AW271,0)),"Multiple strategies"))</f>
        <v>Technology</v>
      </c>
      <c r="BG271" s="1" t="s">
        <v>229</v>
      </c>
      <c r="BH271" s="264" t="s">
        <v>393</v>
      </c>
      <c r="BI271" s="264" t="s">
        <v>394</v>
      </c>
      <c r="BJ271" s="264" t="s">
        <v>345</v>
      </c>
      <c r="BK271">
        <v>0</v>
      </c>
      <c r="BL271">
        <f>500+9300</f>
        <v>9800</v>
      </c>
      <c r="BM271"/>
      <c r="BN271">
        <f t="shared" si="253"/>
        <v>9800</v>
      </c>
      <c r="BO271">
        <f t="shared" si="240"/>
        <v>20.000000000000004</v>
      </c>
      <c r="BP271" s="264" t="s">
        <v>395</v>
      </c>
      <c r="BQ271" s="264" t="s">
        <v>396</v>
      </c>
      <c r="BR271" s="264" t="s">
        <v>397</v>
      </c>
      <c r="BS271">
        <v>26513</v>
      </c>
      <c r="BT271">
        <v>9005</v>
      </c>
      <c r="BU271" s="144">
        <f>IFERROR(BT271/BS271,"")</f>
        <v>0.33964470259872515</v>
      </c>
      <c r="BV271">
        <f>BT271-BS271</f>
        <v>-17508</v>
      </c>
      <c r="BW271"/>
      <c r="BX271">
        <f t="shared" si="241"/>
        <v>-17.507999999999999</v>
      </c>
      <c r="BY271">
        <f t="shared" si="236"/>
        <v>-0.87539999999999984</v>
      </c>
      <c r="BZ271">
        <v>1</v>
      </c>
      <c r="CA271">
        <v>0</v>
      </c>
      <c r="CB271">
        <v>0</v>
      </c>
      <c r="CC271">
        <v>0</v>
      </c>
      <c r="CD271">
        <v>0</v>
      </c>
      <c r="CE271">
        <v>0</v>
      </c>
      <c r="CF271">
        <v>0</v>
      </c>
      <c r="CG271">
        <v>0</v>
      </c>
      <c r="CH271">
        <v>0</v>
      </c>
      <c r="CI271">
        <v>0</v>
      </c>
      <c r="CJ271">
        <v>0</v>
      </c>
      <c r="CK271">
        <v>0</v>
      </c>
      <c r="CL271">
        <v>0</v>
      </c>
      <c r="CM271">
        <v>0</v>
      </c>
      <c r="CN271" t="str">
        <f t="shared" si="242"/>
        <v>refOK</v>
      </c>
      <c r="CO271"/>
      <c r="CP271"/>
      <c r="CQ271">
        <f t="shared" si="254"/>
        <v>20.000000000000004</v>
      </c>
      <c r="CR271">
        <f t="shared" si="238"/>
        <v>-26513</v>
      </c>
      <c r="CS271">
        <f t="shared" si="239"/>
        <v>-9005</v>
      </c>
      <c r="CT271">
        <f t="shared" si="255"/>
        <v>17.507999999999999</v>
      </c>
      <c r="CU271">
        <f t="shared" si="256"/>
        <v>0.87539999999999984</v>
      </c>
      <c r="CV271" s="2">
        <f t="shared" si="257"/>
        <v>0.66035529740127485</v>
      </c>
      <c r="CW271" s="263" t="s">
        <v>263</v>
      </c>
      <c r="CX271" s="264" t="str">
        <f t="shared" si="258"/>
        <v>loc</v>
      </c>
      <c r="CY271" s="264" t="s">
        <v>348</v>
      </c>
      <c r="CZ271"/>
      <c r="DA271"/>
      <c r="DB271">
        <v>0</v>
      </c>
      <c r="DC271" t="str">
        <f t="shared" si="259"/>
        <v>0</v>
      </c>
      <c r="DD271">
        <v>0</v>
      </c>
      <c r="DE271">
        <v>0</v>
      </c>
      <c r="DF271">
        <v>0</v>
      </c>
      <c r="DG271">
        <v>1</v>
      </c>
      <c r="DH271">
        <v>0</v>
      </c>
      <c r="DI271">
        <f>SUM(DD271:DH271)</f>
        <v>1</v>
      </c>
      <c r="DJ271" t="str">
        <f t="shared" si="260"/>
        <v>TimberInput</v>
      </c>
      <c r="DK271">
        <f t="shared" si="261"/>
        <v>0</v>
      </c>
      <c r="DL271">
        <f t="shared" si="262"/>
        <v>0</v>
      </c>
      <c r="DM271">
        <f t="shared" si="263"/>
        <v>0</v>
      </c>
      <c r="DN271" t="str">
        <f t="shared" si="264"/>
        <v>Timber</v>
      </c>
      <c r="DO271">
        <v>0</v>
      </c>
      <c r="DP271">
        <v>0</v>
      </c>
      <c r="DQ271">
        <v>0</v>
      </c>
      <c r="DR271">
        <v>0</v>
      </c>
      <c r="DS271">
        <v>0</v>
      </c>
      <c r="DT271">
        <f t="shared" si="265"/>
        <v>0</v>
      </c>
      <c r="DU271" t="str">
        <f t="shared" si="266"/>
        <v>explicit C balance</v>
      </c>
      <c r="DV271">
        <v>0</v>
      </c>
      <c r="DW271">
        <v>0</v>
      </c>
      <c r="DX271">
        <v>0</v>
      </c>
      <c r="DY271">
        <v>0</v>
      </c>
      <c r="DZ271">
        <v>0</v>
      </c>
      <c r="EA271" s="143">
        <v>1</v>
      </c>
      <c r="EB271">
        <v>1</v>
      </c>
      <c r="EC271">
        <v>1</v>
      </c>
      <c r="ED271">
        <v>1</v>
      </c>
      <c r="EE271">
        <v>1</v>
      </c>
      <c r="EF271">
        <v>0</v>
      </c>
      <c r="EG271">
        <v>0</v>
      </c>
      <c r="EH271">
        <v>0</v>
      </c>
      <c r="EI271" s="2">
        <v>0</v>
      </c>
      <c r="EJ271" s="1"/>
      <c r="EK271" t="str">
        <f t="shared" si="267"/>
        <v/>
      </c>
      <c r="EL271" t="str">
        <f t="shared" si="268"/>
        <v/>
      </c>
      <c r="EM271" s="2" t="str">
        <f t="shared" si="237"/>
        <v>Technology approach</v>
      </c>
      <c r="EN271"/>
      <c r="EO271"/>
      <c r="EP271" t="str">
        <f>IF(ISNUMBER(BU271),IF(ABS(BU271-[4]QC_indicators!$B$2)&gt;3*[4]QC_indicators!$C$2,"C ratio",IF(ISNUMBER(BY271),IF(ABS(BY271-[4]QC_indicators!$B$1)&gt;3*[4]QC_indicators!$C$1,"DF","no"))),IF(ISNUMBER(BY271),IF(ABS(BY271-[4]QC_indicators!$B$1)&gt;3*[4]QC_indicators!$C$1,"DF","no")))</f>
        <v>no</v>
      </c>
      <c r="EQ271"/>
      <c r="ER271"/>
      <c r="ES271"/>
      <c r="ET271" s="305" t="s">
        <v>1163</v>
      </c>
      <c r="EU271"/>
    </row>
    <row r="272" spans="1:151" s="139" customFormat="1" ht="15" hidden="1" customHeight="1">
      <c r="A272" s="1" t="s">
        <v>398</v>
      </c>
      <c r="B272" t="s">
        <v>399</v>
      </c>
      <c r="C272" t="s">
        <v>400</v>
      </c>
      <c r="D272" t="s">
        <v>401</v>
      </c>
      <c r="E272" t="s">
        <v>402</v>
      </c>
      <c r="F272" t="s">
        <v>403</v>
      </c>
      <c r="G272" t="s">
        <v>404</v>
      </c>
      <c r="H272" t="s">
        <v>254</v>
      </c>
      <c r="I272">
        <v>2022</v>
      </c>
      <c r="J272">
        <v>2</v>
      </c>
      <c r="K272" s="264" t="s">
        <v>405</v>
      </c>
      <c r="L272" t="s">
        <v>406</v>
      </c>
      <c r="M272" t="str">
        <f t="shared" si="245"/>
        <v>Balasbaneh_2022b</v>
      </c>
      <c r="N272" t="s">
        <v>222</v>
      </c>
      <c r="O272" s="145" t="s">
        <v>223</v>
      </c>
      <c r="P272"/>
      <c r="Q272" t="s">
        <v>389</v>
      </c>
      <c r="R272" s="269" t="s">
        <v>274</v>
      </c>
      <c r="S272" s="1" t="s">
        <v>390</v>
      </c>
      <c r="T272" t="s">
        <v>407</v>
      </c>
      <c r="U272" t="s">
        <v>408</v>
      </c>
      <c r="V272">
        <v>0</v>
      </c>
      <c r="W272">
        <v>0</v>
      </c>
      <c r="X272">
        <v>0</v>
      </c>
      <c r="Y272">
        <v>0</v>
      </c>
      <c r="Z272">
        <v>0</v>
      </c>
      <c r="AA272">
        <v>0</v>
      </c>
      <c r="AB272">
        <v>0</v>
      </c>
      <c r="AC272">
        <v>0</v>
      </c>
      <c r="AD272">
        <v>0</v>
      </c>
      <c r="AE272">
        <v>0</v>
      </c>
      <c r="AF272">
        <v>0</v>
      </c>
      <c r="AG272">
        <v>0</v>
      </c>
      <c r="AH272">
        <v>0</v>
      </c>
      <c r="AI272">
        <v>0</v>
      </c>
      <c r="AJ272">
        <v>0</v>
      </c>
      <c r="AK272">
        <v>1</v>
      </c>
      <c r="AL272">
        <v>0</v>
      </c>
      <c r="AM272">
        <v>0</v>
      </c>
      <c r="AN272">
        <v>0</v>
      </c>
      <c r="AO272">
        <v>0</v>
      </c>
      <c r="AP272">
        <v>0</v>
      </c>
      <c r="AQ272">
        <v>0</v>
      </c>
      <c r="AR272">
        <v>0</v>
      </c>
      <c r="AS272">
        <v>0</v>
      </c>
      <c r="AT272">
        <v>0</v>
      </c>
      <c r="AU272">
        <v>0</v>
      </c>
      <c r="AV272">
        <v>0</v>
      </c>
      <c r="AW272">
        <v>0</v>
      </c>
      <c r="AX272" s="141">
        <f t="shared" si="246"/>
        <v>1</v>
      </c>
      <c r="AY272" s="141">
        <f t="shared" si="247"/>
        <v>1</v>
      </c>
      <c r="AZ272">
        <f t="shared" si="248"/>
        <v>0</v>
      </c>
      <c r="BA272">
        <f t="shared" si="249"/>
        <v>0</v>
      </c>
      <c r="BB272">
        <f t="shared" si="250"/>
        <v>1</v>
      </c>
      <c r="BC272">
        <f t="shared" si="251"/>
        <v>0</v>
      </c>
      <c r="BD272">
        <f t="shared" si="252"/>
        <v>0</v>
      </c>
      <c r="BE272" t="str">
        <f t="array" ref="BE272">IF(AY272=1,INDEX($V$7:$AL$7,MATCH(TRUE,INDEX($V272:$AW272&lt;&gt;0,),0)),IF(AY272=0,INDEX($AM$7:$AW$7,MATCH(1,$AM272:$AW272,0)),IF(BF272="Multiple strategies","mixed drivers",IF(BF272="Supply chain","multiple supply","multiple silviculture"))))</f>
        <v>technologies/design switch</v>
      </c>
      <c r="BF272" s="2" t="str" cm="1">
        <f t="array" ref="BF272">IF(COUNTIF(AZ272:BB272,"&lt;&gt;0")=1,INDEX($V$4:$AW$4,MATCH(TRUE,INDEX($V272:$AW272&lt;&gt;0,),0)),IF(COUNTIF(AZ272:BB272,"&lt;&gt;0")=0,INDEX($AM$4:$AW$4,MATCH(1,$AM272:$AW272,0)),"Multiple strategies"))</f>
        <v>Technology</v>
      </c>
      <c r="BG272" s="1" t="s">
        <v>229</v>
      </c>
      <c r="BH272" s="264" t="s">
        <v>409</v>
      </c>
      <c r="BI272" t="s">
        <v>410</v>
      </c>
      <c r="BJ272" t="s">
        <v>345</v>
      </c>
      <c r="BK272">
        <v>0</v>
      </c>
      <c r="BL272">
        <v>5500</v>
      </c>
      <c r="BM272"/>
      <c r="BN272">
        <f t="shared" si="253"/>
        <v>5500</v>
      </c>
      <c r="BO272">
        <f t="shared" si="240"/>
        <v>11.224489795918368</v>
      </c>
      <c r="BP272" t="s">
        <v>395</v>
      </c>
      <c r="BQ272" t="s">
        <v>411</v>
      </c>
      <c r="BR272" t="s">
        <v>397</v>
      </c>
      <c r="BS272">
        <f>13000-2500</f>
        <v>10500</v>
      </c>
      <c r="BT272">
        <f>8500-3200</f>
        <v>5300</v>
      </c>
      <c r="BU272" s="144">
        <f>IFERROR(BT272/BS272,"")</f>
        <v>0.50476190476190474</v>
      </c>
      <c r="BV272">
        <f>BT272-BS272</f>
        <v>-5200</v>
      </c>
      <c r="BW272"/>
      <c r="BX272">
        <f t="shared" si="241"/>
        <v>-5.2</v>
      </c>
      <c r="BY272">
        <f t="shared" si="236"/>
        <v>-0.46327272727272728</v>
      </c>
      <c r="BZ272">
        <v>1</v>
      </c>
      <c r="CA272">
        <v>0</v>
      </c>
      <c r="CB272">
        <v>0</v>
      </c>
      <c r="CC272">
        <v>0</v>
      </c>
      <c r="CD272">
        <v>0</v>
      </c>
      <c r="CE272">
        <v>0</v>
      </c>
      <c r="CF272">
        <v>0</v>
      </c>
      <c r="CG272">
        <v>0</v>
      </c>
      <c r="CH272">
        <v>0</v>
      </c>
      <c r="CI272">
        <v>0</v>
      </c>
      <c r="CJ272">
        <v>0</v>
      </c>
      <c r="CK272">
        <v>0</v>
      </c>
      <c r="CL272">
        <v>0</v>
      </c>
      <c r="CM272">
        <v>0</v>
      </c>
      <c r="CN272" t="str">
        <f t="shared" si="242"/>
        <v>refOK</v>
      </c>
      <c r="CO272"/>
      <c r="CP272"/>
      <c r="CQ272">
        <f t="shared" si="254"/>
        <v>11.224489795918368</v>
      </c>
      <c r="CR272">
        <f t="shared" si="238"/>
        <v>-10500</v>
      </c>
      <c r="CS272">
        <f t="shared" si="239"/>
        <v>-5300</v>
      </c>
      <c r="CT272">
        <f t="shared" si="255"/>
        <v>5.2</v>
      </c>
      <c r="CU272">
        <f t="shared" si="256"/>
        <v>0.46327272727272728</v>
      </c>
      <c r="CV272" s="2">
        <f t="shared" si="257"/>
        <v>0.49523809523809526</v>
      </c>
      <c r="CW272" s="1" t="s">
        <v>263</v>
      </c>
      <c r="CX272" t="str">
        <f t="shared" si="258"/>
        <v>loc</v>
      </c>
      <c r="CY272" t="s">
        <v>348</v>
      </c>
      <c r="CZ272"/>
      <c r="DA272"/>
      <c r="DB272">
        <v>0</v>
      </c>
      <c r="DC272" t="str">
        <f t="shared" si="259"/>
        <v>0</v>
      </c>
      <c r="DD272">
        <v>0</v>
      </c>
      <c r="DE272">
        <v>0</v>
      </c>
      <c r="DF272">
        <v>0</v>
      </c>
      <c r="DG272">
        <v>1</v>
      </c>
      <c r="DH272">
        <v>0</v>
      </c>
      <c r="DI272">
        <f>SUM(DD272:DH272)</f>
        <v>1</v>
      </c>
      <c r="DJ272" t="str">
        <f t="shared" si="260"/>
        <v>TimberInput</v>
      </c>
      <c r="DK272">
        <f t="shared" si="261"/>
        <v>0</v>
      </c>
      <c r="DL272">
        <f t="shared" si="262"/>
        <v>0</v>
      </c>
      <c r="DM272">
        <f t="shared" si="263"/>
        <v>0</v>
      </c>
      <c r="DN272" t="str">
        <f t="shared" si="264"/>
        <v>Timber</v>
      </c>
      <c r="DO272">
        <v>0</v>
      </c>
      <c r="DP272">
        <v>0</v>
      </c>
      <c r="DQ272">
        <v>0</v>
      </c>
      <c r="DR272">
        <v>0</v>
      </c>
      <c r="DS272">
        <v>0</v>
      </c>
      <c r="DT272">
        <f t="shared" si="265"/>
        <v>0</v>
      </c>
      <c r="DU272" t="str">
        <f t="shared" si="266"/>
        <v>explicit C balance</v>
      </c>
      <c r="DV272">
        <v>0</v>
      </c>
      <c r="DW272">
        <v>0</v>
      </c>
      <c r="DX272">
        <v>0</v>
      </c>
      <c r="DY272">
        <v>0</v>
      </c>
      <c r="DZ272">
        <v>0</v>
      </c>
      <c r="EA272" s="143">
        <v>1</v>
      </c>
      <c r="EB272">
        <v>1</v>
      </c>
      <c r="EC272">
        <v>1</v>
      </c>
      <c r="ED272">
        <v>0</v>
      </c>
      <c r="EE272">
        <v>1</v>
      </c>
      <c r="EF272">
        <v>0</v>
      </c>
      <c r="EG272">
        <v>0</v>
      </c>
      <c r="EH272">
        <v>0</v>
      </c>
      <c r="EI272" s="2">
        <v>0</v>
      </c>
      <c r="EJ272" s="1"/>
      <c r="EK272" t="str">
        <f t="shared" si="267"/>
        <v/>
      </c>
      <c r="EL272" t="str">
        <f t="shared" si="268"/>
        <v/>
      </c>
      <c r="EM272" s="2" t="str">
        <f t="shared" si="237"/>
        <v>Technology approach</v>
      </c>
      <c r="EN272"/>
      <c r="EO272"/>
      <c r="EP272" t="str">
        <f>IF(ISNUMBER(BU272),IF(ABS(BU272-[2]QC_indicators!$B$2)&gt;3*[2]QC_indicators!$C$2,"C ratio",IF(ISNUMBER(BY272),IF(ABS(BY272-[2]QC_indicators!$B$1)&gt;3*[2]QC_indicators!$C$1,"DF","no"))),IF(ISNUMBER(BY272),IF(ABS(BY272-[2]QC_indicators!$B$1)&gt;3*[2]QC_indicators!$C$1,"DF","no")))</f>
        <v>no</v>
      </c>
      <c r="EQ272"/>
      <c r="ER272"/>
      <c r="ES272"/>
      <c r="ET272" s="264" t="s">
        <v>3150</v>
      </c>
      <c r="EU272"/>
    </row>
    <row r="273" spans="1:151" s="139" customFormat="1" ht="15" hidden="1" customHeight="1">
      <c r="A273" s="1" t="s">
        <v>4455</v>
      </c>
      <c r="B273" t="s">
        <v>4456</v>
      </c>
      <c r="C273" t="s">
        <v>4457</v>
      </c>
      <c r="D273" t="s">
        <v>4458</v>
      </c>
      <c r="E273" t="s">
        <v>4459</v>
      </c>
      <c r="F273" t="s">
        <v>4460</v>
      </c>
      <c r="G273" t="s">
        <v>4461</v>
      </c>
      <c r="H273"/>
      <c r="I273">
        <v>2017</v>
      </c>
      <c r="J273"/>
      <c r="K273" t="s">
        <v>4462</v>
      </c>
      <c r="L273"/>
      <c r="M273" t="str">
        <f t="shared" si="245"/>
        <v>Barik_2017</v>
      </c>
      <c r="N273" t="s">
        <v>2582</v>
      </c>
      <c r="O273" s="140" t="s">
        <v>513</v>
      </c>
      <c r="P273"/>
      <c r="Q273" s="311" t="s">
        <v>224</v>
      </c>
      <c r="R273" s="312"/>
      <c r="S273" s="1"/>
      <c r="T273"/>
      <c r="U273" s="143"/>
      <c r="V273"/>
      <c r="W273"/>
      <c r="X273"/>
      <c r="Y273"/>
      <c r="Z273"/>
      <c r="AA273"/>
      <c r="AB273"/>
      <c r="AC273"/>
      <c r="AD273"/>
      <c r="AE273"/>
      <c r="AF273"/>
      <c r="AG273"/>
      <c r="AH273"/>
      <c r="AI273"/>
      <c r="AJ273"/>
      <c r="AK273"/>
      <c r="AL273"/>
      <c r="AM273"/>
      <c r="AN273"/>
      <c r="AO273"/>
      <c r="AP273"/>
      <c r="AQ273"/>
      <c r="AR273"/>
      <c r="AS273"/>
      <c r="AT273"/>
      <c r="AU273"/>
      <c r="AV273"/>
      <c r="AW273"/>
      <c r="AX273" s="141"/>
      <c r="AY273" s="141"/>
      <c r="AZ273"/>
      <c r="BA273"/>
      <c r="BB273"/>
      <c r="BC273"/>
      <c r="BD273"/>
      <c r="BE273"/>
      <c r="BF273" s="2"/>
      <c r="BG273" s="142"/>
      <c r="BH273"/>
      <c r="BI273"/>
      <c r="BJ273" s="143"/>
      <c r="BK273"/>
      <c r="BL273" s="143"/>
      <c r="BM273" s="143"/>
      <c r="BN273" s="143"/>
      <c r="BO273" s="143"/>
      <c r="BP273"/>
      <c r="BQ273"/>
      <c r="BR273"/>
      <c r="BS273" s="143"/>
      <c r="BT273"/>
      <c r="BU273" s="144"/>
      <c r="BV273"/>
      <c r="BW273"/>
      <c r="BX273"/>
      <c r="BY273" t="str">
        <f t="shared" si="236"/>
        <v/>
      </c>
      <c r="BZ273"/>
      <c r="CA273"/>
      <c r="CB273"/>
      <c r="CC273"/>
      <c r="CD273"/>
      <c r="CE273"/>
      <c r="CF273"/>
      <c r="CG273"/>
      <c r="CH273"/>
      <c r="CI273"/>
      <c r="CJ273"/>
      <c r="CK273"/>
      <c r="CL273"/>
      <c r="CM273"/>
      <c r="CN273"/>
      <c r="CO273"/>
      <c r="CP273"/>
      <c r="CQ273"/>
      <c r="CR273"/>
      <c r="CS273"/>
      <c r="CT273"/>
      <c r="CU273"/>
      <c r="CV273" s="2"/>
      <c r="CW273" s="1"/>
      <c r="CX273"/>
      <c r="CY273"/>
      <c r="CZ273"/>
      <c r="DA273" s="143"/>
      <c r="DB273" s="143"/>
      <c r="DC273"/>
      <c r="DD273"/>
      <c r="DE273"/>
      <c r="DF273"/>
      <c r="DG273"/>
      <c r="DH273"/>
      <c r="DI273"/>
      <c r="DJ273"/>
      <c r="DK273"/>
      <c r="DL273"/>
      <c r="DM273"/>
      <c r="DN273"/>
      <c r="DO273"/>
      <c r="DP273" s="143"/>
      <c r="DQ273" s="143"/>
      <c r="DR273"/>
      <c r="DS273" s="143"/>
      <c r="DT273"/>
      <c r="DU273" s="143"/>
      <c r="DV273" s="143"/>
      <c r="DW273" s="143"/>
      <c r="DX273"/>
      <c r="DY273"/>
      <c r="DZ273"/>
      <c r="EA273"/>
      <c r="EB273" s="143"/>
      <c r="EC273"/>
      <c r="ED273" s="143"/>
      <c r="EE273"/>
      <c r="EF273"/>
      <c r="EG273" s="143"/>
      <c r="EH273"/>
      <c r="EI273" s="2"/>
      <c r="EJ273" s="1"/>
      <c r="EK273" t="str">
        <f>IF(AND(AND(AND(OR($DX273=1,$DW273=1),OR($EC273=1,$EA273=1)),SUM($DV273:$DZ273,$EF273)&gt;=3),SUM($EA273:$EE273)&gt;=2),"Whole sector","")</f>
        <v/>
      </c>
      <c r="EL273" t="str">
        <f>IF(AND(AND(OR($DX273=1,$DW273=1),AND($EC273=0,$EA273=0)),SUM($DV273:$DZ273,$EF273)&gt;=3),"Ecosystem approach","")</f>
        <v/>
      </c>
      <c r="EM273" s="2" t="str">
        <f t="shared" si="237"/>
        <v/>
      </c>
      <c r="EN273"/>
      <c r="EO273" t="s">
        <v>450</v>
      </c>
      <c r="EP273" t="b">
        <f>IF(ISNUMBER(BU273),IF(ABS(BU273-[1]QC_indicators!$B$2)&gt;3*[1]QC_indicators!$C$2,"C ratio",IF(ISNUMBER(BY273),IF(ABS(BY273-[1]QC_indicators!$B$1)&gt;3*[1]QC_indicators!$C$1,"DF","no"))),IF(ISNUMBER(BY273),IF(ABS(BY273-[1]QC_indicators!$B$1)&gt;3*[1]QC_indicators!$C$1,"DF","no")))</f>
        <v>0</v>
      </c>
      <c r="EQ273"/>
      <c r="ER273"/>
      <c r="ES273"/>
      <c r="ET273"/>
      <c r="EU273"/>
    </row>
    <row r="274" spans="1:151" s="139" customFormat="1" ht="15" hidden="1" customHeight="1">
      <c r="A274" s="1" t="s">
        <v>1269</v>
      </c>
      <c r="B274" t="s">
        <v>1270</v>
      </c>
      <c r="C274" t="s">
        <v>1271</v>
      </c>
      <c r="D274" t="s">
        <v>1272</v>
      </c>
      <c r="E274" t="s">
        <v>1273</v>
      </c>
      <c r="F274" t="s">
        <v>1274</v>
      </c>
      <c r="G274" t="s">
        <v>1275</v>
      </c>
      <c r="H274"/>
      <c r="I274">
        <v>2019</v>
      </c>
      <c r="J274"/>
      <c r="K274" t="s">
        <v>1276</v>
      </c>
      <c r="L274"/>
      <c r="M274" t="str">
        <f t="shared" si="245"/>
        <v>Baskent_2019</v>
      </c>
      <c r="N274" t="s">
        <v>222</v>
      </c>
      <c r="O274" s="140" t="s">
        <v>513</v>
      </c>
      <c r="P274"/>
      <c r="Q274" t="s">
        <v>224</v>
      </c>
      <c r="R274" s="269" t="s">
        <v>274</v>
      </c>
      <c r="S274" s="1" t="s">
        <v>1277</v>
      </c>
      <c r="T274" s="143" t="s">
        <v>1278</v>
      </c>
      <c r="U274" t="s">
        <v>1110</v>
      </c>
      <c r="V274" s="143">
        <v>0</v>
      </c>
      <c r="W274" s="143">
        <v>0</v>
      </c>
      <c r="X274" s="143">
        <v>0</v>
      </c>
      <c r="Y274" s="143">
        <v>1</v>
      </c>
      <c r="Z274" s="143">
        <v>2</v>
      </c>
      <c r="AA274" s="143">
        <v>0</v>
      </c>
      <c r="AB274" s="143">
        <v>0</v>
      </c>
      <c r="AC274" s="143">
        <v>0</v>
      </c>
      <c r="AD274">
        <v>0</v>
      </c>
      <c r="AE274">
        <v>0</v>
      </c>
      <c r="AF274">
        <v>2</v>
      </c>
      <c r="AG274">
        <v>0</v>
      </c>
      <c r="AH274">
        <v>0</v>
      </c>
      <c r="AI274">
        <v>0</v>
      </c>
      <c r="AJ274">
        <v>2</v>
      </c>
      <c r="AK274">
        <v>0</v>
      </c>
      <c r="AL274">
        <v>0</v>
      </c>
      <c r="AM274">
        <v>0</v>
      </c>
      <c r="AN274">
        <v>2</v>
      </c>
      <c r="AO274">
        <v>2</v>
      </c>
      <c r="AP274">
        <v>0</v>
      </c>
      <c r="AQ274">
        <v>0</v>
      </c>
      <c r="AR274">
        <v>0</v>
      </c>
      <c r="AS274">
        <v>2</v>
      </c>
      <c r="AT274">
        <v>0</v>
      </c>
      <c r="AU274">
        <v>0</v>
      </c>
      <c r="AV274">
        <v>0</v>
      </c>
      <c r="AW274">
        <v>2</v>
      </c>
      <c r="AX274" s="141">
        <f t="shared" ref="AX274:AX285" si="269">COUNTIF(V274:AW274,"&lt;&gt;0")</f>
        <v>8</v>
      </c>
      <c r="AY274" s="141">
        <f t="shared" ref="AY274:AY285" si="270">COUNTIF(V274:AL274,"&lt;&gt;0")</f>
        <v>4</v>
      </c>
      <c r="AZ274">
        <f t="shared" ref="AZ274:AZ285" si="271">COUNTIF(V274:AC274,"&lt;&gt;0")</f>
        <v>2</v>
      </c>
      <c r="BA274">
        <f t="shared" ref="BA274:BA285" si="272">COUNTIF(AD274:AI274,"&lt;&gt;0")</f>
        <v>1</v>
      </c>
      <c r="BB274">
        <f t="shared" ref="BB274:BB285" si="273">COUNTIF(AJ274:AL274,"&lt;&gt;0")</f>
        <v>1</v>
      </c>
      <c r="BC274">
        <f t="shared" ref="BC274:BC285" si="274">COUNTIF(AS274:AW274,"&lt;&gt;0")</f>
        <v>2</v>
      </c>
      <c r="BD274">
        <f t="shared" ref="BD274:BD285" si="275">COUNTIF(AM274:AR274,"&lt;&gt;0")</f>
        <v>2</v>
      </c>
      <c r="BE274" t="str">
        <f t="array" ref="BE274">IF(AY274=1,INDEX($V$7:$AL$7,MATCH(TRUE,INDEX($V274:$AW274&lt;&gt;0,),0)),IF(AY274=0,INDEX($AM$7:$AW$7,MATCH(1,$AM274:$AW274,0)),IF(BF274="Multiple strategies","mixed drivers",IF(BF274="Supply chain","multiple supply","multiple silviculture"))))</f>
        <v>mixed drivers</v>
      </c>
      <c r="BF274" s="2" t="str" cm="1">
        <f t="array" ref="BF274">IF(COUNTIF(AZ274:BB274,"&lt;&gt;0")=1,INDEX($V$4:$AW$4,MATCH(TRUE,INDEX($V274:$AW274&lt;&gt;0,),0)),IF(COUNTIF(AZ274:BB274,"&lt;&gt;0")=0,INDEX($AM$4:$AW$4,MATCH(1,$AM274:$AW274,0)),"Multiple strategies"))</f>
        <v>Multiple strategies</v>
      </c>
      <c r="BG274" s="1" t="s">
        <v>321</v>
      </c>
      <c r="BH274" t="s">
        <v>1279</v>
      </c>
      <c r="BI274"/>
      <c r="BJ274" s="143" t="s">
        <v>278</v>
      </c>
      <c r="BK274">
        <v>21.305418719211811</v>
      </c>
      <c r="BL274">
        <v>22.204433497536925</v>
      </c>
      <c r="BM274">
        <f t="shared" ref="BM274:BM285" si="276">BL274/BK274</f>
        <v>1.0421965317919071</v>
      </c>
      <c r="BN274">
        <f t="shared" ref="BN274:BN285" si="277">BL274-BK274</f>
        <v>0.89901477832511389</v>
      </c>
      <c r="BO274" s="143">
        <f t="shared" ref="BO274:BO285" si="278">BN274*tC_to_m3</f>
        <v>3.9036681646770037</v>
      </c>
      <c r="BP274" t="s">
        <v>232</v>
      </c>
      <c r="BQ274" t="s">
        <v>787</v>
      </c>
      <c r="BR274" s="143" t="s">
        <v>278</v>
      </c>
      <c r="BS274">
        <v>54.215357944132023</v>
      </c>
      <c r="BT274">
        <v>42.123971298234274</v>
      </c>
      <c r="BU274" s="144">
        <f t="shared" ref="BU274:BU285" si="279">IFERROR(BT274/BS274,"")</f>
        <v>0.77697488120695035</v>
      </c>
      <c r="BV274">
        <f t="shared" ref="BV274:BV285" si="280">BT274-BS274</f>
        <v>-12.091386645897749</v>
      </c>
      <c r="BW274"/>
      <c r="BX274">
        <f t="shared" ref="BX274:BX285" si="281">BV274*C_to_CO2</f>
        <v>-44.375388990444741</v>
      </c>
      <c r="BY274">
        <f t="shared" si="236"/>
        <v>-11.367613003580297</v>
      </c>
      <c r="BZ274" s="143">
        <v>0</v>
      </c>
      <c r="CA274" s="143">
        <v>0</v>
      </c>
      <c r="CB274" s="143">
        <v>0</v>
      </c>
      <c r="CC274" s="143">
        <v>0</v>
      </c>
      <c r="CD274" s="143">
        <v>0</v>
      </c>
      <c r="CE274" s="143">
        <v>0</v>
      </c>
      <c r="CF274" s="143">
        <v>0</v>
      </c>
      <c r="CG274" s="143">
        <v>1</v>
      </c>
      <c r="CH274" s="143">
        <v>0</v>
      </c>
      <c r="CI274" s="143">
        <v>1</v>
      </c>
      <c r="CJ274" s="143">
        <v>1</v>
      </c>
      <c r="CK274" s="143">
        <v>0</v>
      </c>
      <c r="CL274" s="143">
        <v>1</v>
      </c>
      <c r="CM274" s="143">
        <v>0</v>
      </c>
      <c r="CN274" t="str">
        <f t="shared" ref="CN274:CN285" si="282">IF($BL274&lt;$BK274,"refNeedCorrection","refOK")</f>
        <v>refOK</v>
      </c>
      <c r="CO274">
        <f t="shared" ref="CO274:CO285" si="283">IF($CN274="refOK",$BK274,$BL274)</f>
        <v>21.305418719211811</v>
      </c>
      <c r="CP274">
        <f t="shared" ref="CP274:CP285" si="284">IF($CN274="refOK",$BL274,$BK274)</f>
        <v>22.204433497536925</v>
      </c>
      <c r="CQ274">
        <f t="shared" ref="CQ274:CQ285" si="285">IF($CN274="refOK",$BO274,-$BO274)</f>
        <v>3.9036681646770037</v>
      </c>
      <c r="CR274">
        <f t="shared" ref="CR274:CR285" si="286">IF($CN274="refOK",$BS274,$BT274)*IF($BP274="Emissions positive",-1,1)</f>
        <v>54.215357944132023</v>
      </c>
      <c r="CS274">
        <f t="shared" ref="CS274:CS285" si="287">IF($CN274="refOK",$BT274,$BS274)*IF($BP274="Emissions positive",-1,1)</f>
        <v>42.123971298234274</v>
      </c>
      <c r="CT274">
        <f t="shared" ref="CT274:CT285" si="288">IF($CN274="refNeedCorrection",-BX274,BX274)*IF($BP274="Emissions positive",-1,1)</f>
        <v>-44.375388990444741</v>
      </c>
      <c r="CU274">
        <f t="shared" ref="CU274:CU285" si="289">IFERROR(CT274/CQ274,"")</f>
        <v>-11.367613003580297</v>
      </c>
      <c r="CV274" s="2">
        <f t="shared" ref="CV274:CV285" si="290">IFERROR((CS274-CR274)/ABS(CR274),"")</f>
        <v>-0.22302511879304959</v>
      </c>
      <c r="CW274" s="1" t="s">
        <v>1198</v>
      </c>
      <c r="CX274" t="str">
        <f t="shared" ref="CX274:CX285" si="291">IF(OR($CW274="prd",$CW274="std",$CW274="cit"),"loc",IF(OR($CW274="eur",$CW274="reg",$CW274="coy"),"reg",$CW274))</f>
        <v>reg</v>
      </c>
      <c r="CY274" t="s">
        <v>1280</v>
      </c>
      <c r="CZ274">
        <v>2010</v>
      </c>
      <c r="DA274" s="143">
        <v>2100</v>
      </c>
      <c r="DB274" s="143">
        <f t="shared" ref="DB274:DB285" si="292">DA274-CZ274</f>
        <v>90</v>
      </c>
      <c r="DC274" t="str">
        <f t="shared" ref="DC274:DC285" si="293">IF(DB274=0,"0",IF(AND(DB274&gt;=1,DB274&lt;=30),"1-30",IF(AND(DB274&gt;30,DB274&lt;=70),"31-70",IF(AND(DB274&gt;70,DB274&lt;=100),"71-100",IF(DB274&gt;100,"+100")))))</f>
        <v>71-100</v>
      </c>
      <c r="DD274">
        <v>1</v>
      </c>
      <c r="DE274">
        <v>1</v>
      </c>
      <c r="DF274">
        <v>1</v>
      </c>
      <c r="DG274">
        <v>1</v>
      </c>
      <c r="DH274"/>
      <c r="DI274">
        <f t="shared" ref="DI274:DI285" si="294">SUM(DD274:DG274)</f>
        <v>4</v>
      </c>
      <c r="DJ274" t="str">
        <f t="shared" ref="DJ274:DJ285" si="295">IF(DI274=1,INDEX($DD$7:$DG$7,MATCH(1,$DD274:$DG274,0)),"mixedProduct")</f>
        <v>mixedProduct</v>
      </c>
      <c r="DK274" t="str">
        <f t="shared" ref="DK274:DK285" si="296">IF(DD274=1,DK$7,0)</f>
        <v>Upstream</v>
      </c>
      <c r="DL274" t="str">
        <f t="shared" ref="DL274:DL285" si="297">IF(DE274=1,DL$7,0)</f>
        <v>Energy</v>
      </c>
      <c r="DM274" t="str">
        <f t="shared" ref="DM274:DM285" si="298">IF(DF274=1,DM$7,0)</f>
        <v>Pulp/Paper</v>
      </c>
      <c r="DN274" t="str">
        <f t="shared" ref="DN274:DN285" si="299">IF(DG274=1,DN$7,0)</f>
        <v>Timber</v>
      </c>
      <c r="DO274" s="143">
        <v>1</v>
      </c>
      <c r="DP274">
        <v>0</v>
      </c>
      <c r="DQ274" s="143">
        <v>0</v>
      </c>
      <c r="DR274" s="143">
        <v>0</v>
      </c>
      <c r="DS274" s="143" t="s">
        <v>1281</v>
      </c>
      <c r="DT274">
        <f t="shared" ref="DT274:DT285" si="300">SUM(DO274:DP274)</f>
        <v>1</v>
      </c>
      <c r="DU274" s="143" t="str">
        <f t="shared" ref="DU274:DU285" si="301">IF(DO274=1,"self-calculated DF",IF(DP274=1,"external DF used","explicit C balance"))</f>
        <v>self-calculated DF</v>
      </c>
      <c r="DV274" s="143">
        <v>0</v>
      </c>
      <c r="DW274">
        <v>1</v>
      </c>
      <c r="DX274" s="143">
        <v>1</v>
      </c>
      <c r="DY274" s="143">
        <v>1</v>
      </c>
      <c r="DZ274">
        <v>1</v>
      </c>
      <c r="EA274">
        <v>0</v>
      </c>
      <c r="EB274" s="143">
        <v>0</v>
      </c>
      <c r="EC274">
        <v>0</v>
      </c>
      <c r="ED274" s="143">
        <v>0</v>
      </c>
      <c r="EE274">
        <v>0</v>
      </c>
      <c r="EF274">
        <v>1</v>
      </c>
      <c r="EG274" s="143">
        <v>0</v>
      </c>
      <c r="EH274">
        <v>0</v>
      </c>
      <c r="EI274" s="2">
        <v>0</v>
      </c>
      <c r="EJ274" s="1"/>
      <c r="EK274" t="str">
        <f t="shared" ref="EK274:EK285" si="302">IF(AND(AND(AND(OR($DX274=1,$DW274=1),OR($EC274=1,$EA274=1)),SUM($DV274:$DZ274,$EF274)&gt;=4),SUM($EA274:$EE274)&gt;=2),"Whole sector","")</f>
        <v/>
      </c>
      <c r="EL274" t="str">
        <f t="shared" ref="EL274:EL285" si="303">IF(AND(AND(OR($DX274=1,$DW274=1),AND($EC274=0,$EA274=0)),SUM($DV274:$DZ274,$EF274)&gt;=4),"Ecosystem approach","")</f>
        <v>Ecosystem approach</v>
      </c>
      <c r="EM274" s="2" t="str">
        <f t="shared" si="237"/>
        <v/>
      </c>
      <c r="EN274" t="s">
        <v>1282</v>
      </c>
      <c r="EO274"/>
      <c r="EP274" t="str">
        <f>IF(ISNUMBER(BU274),IF(ABS(BU274-[2]QC_indicators!$B$2)&gt;3*[2]QC_indicators!$C$2,"C ratio",IF(ISNUMBER(BY274),IF(ABS(BY274-[2]QC_indicators!$B$1)&gt;3*[2]QC_indicators!$C$1,"DF","no"))),IF(ISNUMBER(BY274),IF(ABS(BY274-[2]QC_indicators!$B$1)&gt;3*[2]QC_indicators!$C$1,"DF","no")))</f>
        <v>DF</v>
      </c>
      <c r="EQ274" t="s">
        <v>286</v>
      </c>
      <c r="ER274" t="s">
        <v>1283</v>
      </c>
      <c r="ES274"/>
      <c r="ET274" s="264" t="s">
        <v>3272</v>
      </c>
      <c r="EU274"/>
    </row>
    <row r="275" spans="1:151" s="139" customFormat="1" ht="15" hidden="1" customHeight="1">
      <c r="A275" s="1" t="s">
        <v>1269</v>
      </c>
      <c r="B275" t="s">
        <v>1270</v>
      </c>
      <c r="C275" t="s">
        <v>1271</v>
      </c>
      <c r="D275" t="s">
        <v>1272</v>
      </c>
      <c r="E275" t="s">
        <v>1273</v>
      </c>
      <c r="F275" t="s">
        <v>1274</v>
      </c>
      <c r="G275" t="s">
        <v>1275</v>
      </c>
      <c r="H275"/>
      <c r="I275">
        <v>2019</v>
      </c>
      <c r="J275"/>
      <c r="K275" s="264" t="s">
        <v>1276</v>
      </c>
      <c r="L275"/>
      <c r="M275" t="str">
        <f t="shared" si="245"/>
        <v>Baskent_2019</v>
      </c>
      <c r="N275" t="s">
        <v>222</v>
      </c>
      <c r="O275" s="140" t="s">
        <v>513</v>
      </c>
      <c r="P275"/>
      <c r="Q275" t="s">
        <v>224</v>
      </c>
      <c r="R275" s="269" t="s">
        <v>274</v>
      </c>
      <c r="S275" s="1" t="s">
        <v>1277</v>
      </c>
      <c r="T275" s="143" t="s">
        <v>1278</v>
      </c>
      <c r="U275" t="s">
        <v>1110</v>
      </c>
      <c r="V275" s="143">
        <v>0</v>
      </c>
      <c r="W275" s="143">
        <v>0</v>
      </c>
      <c r="X275" s="143">
        <v>0</v>
      </c>
      <c r="Y275" s="143">
        <v>1</v>
      </c>
      <c r="Z275" s="143">
        <v>2</v>
      </c>
      <c r="AA275" s="143">
        <v>0</v>
      </c>
      <c r="AB275" s="143">
        <v>0</v>
      </c>
      <c r="AC275" s="143">
        <v>0</v>
      </c>
      <c r="AD275">
        <v>0</v>
      </c>
      <c r="AE275">
        <v>0</v>
      </c>
      <c r="AF275">
        <v>2</v>
      </c>
      <c r="AG275">
        <v>0</v>
      </c>
      <c r="AH275">
        <v>0</v>
      </c>
      <c r="AI275">
        <v>0</v>
      </c>
      <c r="AJ275">
        <v>2</v>
      </c>
      <c r="AK275">
        <v>0</v>
      </c>
      <c r="AL275">
        <v>0</v>
      </c>
      <c r="AM275">
        <v>0</v>
      </c>
      <c r="AN275">
        <v>2</v>
      </c>
      <c r="AO275">
        <v>2</v>
      </c>
      <c r="AP275">
        <v>0</v>
      </c>
      <c r="AQ275">
        <v>0</v>
      </c>
      <c r="AR275">
        <v>0</v>
      </c>
      <c r="AS275">
        <v>2</v>
      </c>
      <c r="AT275">
        <v>0</v>
      </c>
      <c r="AU275">
        <v>0</v>
      </c>
      <c r="AV275">
        <v>0</v>
      </c>
      <c r="AW275">
        <v>2</v>
      </c>
      <c r="AX275" s="141">
        <f t="shared" si="269"/>
        <v>8</v>
      </c>
      <c r="AY275" s="141">
        <f t="shared" si="270"/>
        <v>4</v>
      </c>
      <c r="AZ275">
        <f t="shared" si="271"/>
        <v>2</v>
      </c>
      <c r="BA275">
        <f t="shared" si="272"/>
        <v>1</v>
      </c>
      <c r="BB275">
        <f t="shared" si="273"/>
        <v>1</v>
      </c>
      <c r="BC275">
        <f t="shared" si="274"/>
        <v>2</v>
      </c>
      <c r="BD275">
        <f t="shared" si="275"/>
        <v>2</v>
      </c>
      <c r="BE275" t="str">
        <f t="array" ref="BE275">IF(AY275=1,INDEX($V$7:$AL$7,MATCH(TRUE,INDEX($V275:$AW275&lt;&gt;0,),0)),IF(AY275=0,INDEX($AM$7:$AW$7,MATCH(1,$AM275:$AW275,0)),IF(BF275="Multiple strategies","mixed drivers",IF(BF275="Supply chain","multiple supply","multiple silviculture"))))</f>
        <v>mixed drivers</v>
      </c>
      <c r="BF275" s="2" t="str" cm="1">
        <f t="array" ref="BF275">IF(COUNTIF(AZ275:BB275,"&lt;&gt;0")=1,INDEX($V$4:$AW$4,MATCH(TRUE,INDEX($V275:$AW275&lt;&gt;0,),0)),IF(COUNTIF(AZ275:BB275,"&lt;&gt;0")=0,INDEX($AM$4:$AW$4,MATCH(1,$AM275:$AW275,0)),"Multiple strategies"))</f>
        <v>Multiple strategies</v>
      </c>
      <c r="BG275" s="1" t="s">
        <v>321</v>
      </c>
      <c r="BH275" t="s">
        <v>1279</v>
      </c>
      <c r="BI275"/>
      <c r="BJ275" s="143" t="s">
        <v>278</v>
      </c>
      <c r="BK275">
        <v>21.305418719211811</v>
      </c>
      <c r="BL275">
        <v>22.204433497536925</v>
      </c>
      <c r="BM275">
        <f t="shared" si="276"/>
        <v>1.0421965317919071</v>
      </c>
      <c r="BN275">
        <f t="shared" si="277"/>
        <v>0.89901477832511389</v>
      </c>
      <c r="BO275" s="143">
        <f t="shared" si="278"/>
        <v>3.9036681646770037</v>
      </c>
      <c r="BP275" t="s">
        <v>232</v>
      </c>
      <c r="BQ275" t="s">
        <v>787</v>
      </c>
      <c r="BR275" s="143" t="s">
        <v>278</v>
      </c>
      <c r="BS275">
        <v>42.671145411137601</v>
      </c>
      <c r="BT275">
        <v>32.530120481927703</v>
      </c>
      <c r="BU275" s="144">
        <f t="shared" si="279"/>
        <v>0.76234467503740855</v>
      </c>
      <c r="BV275">
        <f t="shared" si="280"/>
        <v>-10.141024929209898</v>
      </c>
      <c r="BW275"/>
      <c r="BX275">
        <f t="shared" si="281"/>
        <v>-37.217561490200325</v>
      </c>
      <c r="BY275">
        <f t="shared" si="236"/>
        <v>-9.5339972354642413</v>
      </c>
      <c r="BZ275" s="143">
        <v>0</v>
      </c>
      <c r="CA275" s="143">
        <v>0</v>
      </c>
      <c r="CB275" s="143">
        <v>0</v>
      </c>
      <c r="CC275" s="143">
        <v>0</v>
      </c>
      <c r="CD275" s="143">
        <v>0</v>
      </c>
      <c r="CE275" s="143">
        <v>0</v>
      </c>
      <c r="CF275" s="143">
        <v>0</v>
      </c>
      <c r="CG275" s="143">
        <v>1</v>
      </c>
      <c r="CH275" s="143">
        <v>0</v>
      </c>
      <c r="CI275" s="143">
        <v>1</v>
      </c>
      <c r="CJ275" s="143">
        <v>1</v>
      </c>
      <c r="CK275" s="143">
        <v>0</v>
      </c>
      <c r="CL275" s="143">
        <v>1</v>
      </c>
      <c r="CM275" s="143">
        <v>0</v>
      </c>
      <c r="CN275" t="str">
        <f t="shared" si="282"/>
        <v>refOK</v>
      </c>
      <c r="CO275">
        <f t="shared" si="283"/>
        <v>21.305418719211811</v>
      </c>
      <c r="CP275">
        <f t="shared" si="284"/>
        <v>22.204433497536925</v>
      </c>
      <c r="CQ275">
        <f t="shared" si="285"/>
        <v>3.9036681646770037</v>
      </c>
      <c r="CR275">
        <f t="shared" si="286"/>
        <v>42.671145411137601</v>
      </c>
      <c r="CS275">
        <f t="shared" si="287"/>
        <v>32.530120481927703</v>
      </c>
      <c r="CT275">
        <f t="shared" si="288"/>
        <v>-37.217561490200325</v>
      </c>
      <c r="CU275">
        <f t="shared" si="289"/>
        <v>-9.5339972354642413</v>
      </c>
      <c r="CV275" s="2">
        <f t="shared" si="290"/>
        <v>-0.23765532496259142</v>
      </c>
      <c r="CW275" s="1" t="s">
        <v>1198</v>
      </c>
      <c r="CX275" t="str">
        <f t="shared" si="291"/>
        <v>reg</v>
      </c>
      <c r="CY275" t="s">
        <v>1280</v>
      </c>
      <c r="CZ275">
        <v>2010</v>
      </c>
      <c r="DA275" s="143">
        <v>2100</v>
      </c>
      <c r="DB275" s="143">
        <f t="shared" si="292"/>
        <v>90</v>
      </c>
      <c r="DC275" t="str">
        <f t="shared" si="293"/>
        <v>71-100</v>
      </c>
      <c r="DD275">
        <v>1</v>
      </c>
      <c r="DE275">
        <v>0</v>
      </c>
      <c r="DF275">
        <v>0</v>
      </c>
      <c r="DG275">
        <v>0</v>
      </c>
      <c r="DH275"/>
      <c r="DI275">
        <f t="shared" si="294"/>
        <v>1</v>
      </c>
      <c r="DJ275" t="str">
        <f t="shared" si="295"/>
        <v>UpstreamInput</v>
      </c>
      <c r="DK275" t="str">
        <f t="shared" si="296"/>
        <v>Upstream</v>
      </c>
      <c r="DL275">
        <f t="shared" si="297"/>
        <v>0</v>
      </c>
      <c r="DM275">
        <f t="shared" si="298"/>
        <v>0</v>
      </c>
      <c r="DN275">
        <f t="shared" si="299"/>
        <v>0</v>
      </c>
      <c r="DO275" s="143">
        <v>1</v>
      </c>
      <c r="DP275">
        <v>0</v>
      </c>
      <c r="DQ275" s="143">
        <v>0</v>
      </c>
      <c r="DR275" s="143">
        <v>0</v>
      </c>
      <c r="DS275" s="143" t="s">
        <v>1281</v>
      </c>
      <c r="DT275">
        <f t="shared" si="300"/>
        <v>1</v>
      </c>
      <c r="DU275" s="143" t="str">
        <f t="shared" si="301"/>
        <v>self-calculated DF</v>
      </c>
      <c r="DV275" s="143">
        <v>0</v>
      </c>
      <c r="DW275">
        <v>1</v>
      </c>
      <c r="DX275" s="143">
        <v>1</v>
      </c>
      <c r="DY275" s="143">
        <v>0</v>
      </c>
      <c r="DZ275">
        <v>0</v>
      </c>
      <c r="EA275">
        <v>0</v>
      </c>
      <c r="EB275" s="143">
        <v>0</v>
      </c>
      <c r="EC275">
        <v>0</v>
      </c>
      <c r="ED275" s="143">
        <v>0</v>
      </c>
      <c r="EE275">
        <v>0</v>
      </c>
      <c r="EF275">
        <v>1</v>
      </c>
      <c r="EG275" s="143">
        <v>0</v>
      </c>
      <c r="EH275">
        <v>0</v>
      </c>
      <c r="EI275" s="2">
        <v>0</v>
      </c>
      <c r="EJ275" s="1"/>
      <c r="EK275" t="str">
        <f t="shared" si="302"/>
        <v/>
      </c>
      <c r="EL275" t="str">
        <f t="shared" si="303"/>
        <v/>
      </c>
      <c r="EM275" s="2" t="str">
        <f t="shared" si="237"/>
        <v/>
      </c>
      <c r="EN275" t="s">
        <v>1282</v>
      </c>
      <c r="EO275"/>
      <c r="EP275" t="str">
        <f>IF(ISNUMBER(BU275),IF(ABS(BU275-[2]QC_indicators!$B$2)&gt;3*[2]QC_indicators!$C$2,"C ratio",IF(ISNUMBER(BY275),IF(ABS(BY275-[2]QC_indicators!$B$1)&gt;3*[2]QC_indicators!$C$1,"DF","no"))),IF(ISNUMBER(BY275),IF(ABS(BY275-[2]QC_indicators!$B$1)&gt;3*[2]QC_indicators!$C$1,"DF","no")))</f>
        <v>DF</v>
      </c>
      <c r="EQ275" t="s">
        <v>286</v>
      </c>
      <c r="ER275" t="s">
        <v>1283</v>
      </c>
      <c r="ES275"/>
      <c r="ET275" s="264" t="s">
        <v>3272</v>
      </c>
      <c r="EU275"/>
    </row>
    <row r="276" spans="1:151" s="139" customFormat="1" ht="15" hidden="1" customHeight="1">
      <c r="A276" s="1" t="s">
        <v>1269</v>
      </c>
      <c r="B276" t="s">
        <v>1270</v>
      </c>
      <c r="C276" t="s">
        <v>1271</v>
      </c>
      <c r="D276" t="s">
        <v>1272</v>
      </c>
      <c r="E276" t="s">
        <v>1273</v>
      </c>
      <c r="F276" t="s">
        <v>1274</v>
      </c>
      <c r="G276" t="s">
        <v>1275</v>
      </c>
      <c r="H276"/>
      <c r="I276">
        <v>2019</v>
      </c>
      <c r="J276"/>
      <c r="K276" t="s">
        <v>1276</v>
      </c>
      <c r="L276"/>
      <c r="M276" t="str">
        <f t="shared" si="245"/>
        <v>Baskent_2019</v>
      </c>
      <c r="N276" t="s">
        <v>222</v>
      </c>
      <c r="O276" s="140" t="s">
        <v>513</v>
      </c>
      <c r="P276"/>
      <c r="Q276" t="s">
        <v>224</v>
      </c>
      <c r="R276" s="269" t="s">
        <v>274</v>
      </c>
      <c r="S276" s="1" t="s">
        <v>1277</v>
      </c>
      <c r="T276" s="143" t="s">
        <v>1278</v>
      </c>
      <c r="U276" t="s">
        <v>1110</v>
      </c>
      <c r="V276" s="143">
        <v>0</v>
      </c>
      <c r="W276" s="143">
        <v>0</v>
      </c>
      <c r="X276" s="143">
        <v>0</v>
      </c>
      <c r="Y276" s="143">
        <v>1</v>
      </c>
      <c r="Z276" s="143">
        <v>2</v>
      </c>
      <c r="AA276" s="143">
        <v>0</v>
      </c>
      <c r="AB276" s="143">
        <v>0</v>
      </c>
      <c r="AC276" s="143">
        <v>0</v>
      </c>
      <c r="AD276">
        <v>0</v>
      </c>
      <c r="AE276">
        <v>0</v>
      </c>
      <c r="AF276">
        <v>2</v>
      </c>
      <c r="AG276">
        <v>0</v>
      </c>
      <c r="AH276">
        <v>0</v>
      </c>
      <c r="AI276">
        <v>0</v>
      </c>
      <c r="AJ276">
        <v>2</v>
      </c>
      <c r="AK276">
        <v>0</v>
      </c>
      <c r="AL276">
        <v>0</v>
      </c>
      <c r="AM276">
        <v>0</v>
      </c>
      <c r="AN276">
        <v>2</v>
      </c>
      <c r="AO276">
        <v>2</v>
      </c>
      <c r="AP276">
        <v>0</v>
      </c>
      <c r="AQ276">
        <v>0</v>
      </c>
      <c r="AR276">
        <v>0</v>
      </c>
      <c r="AS276">
        <v>2</v>
      </c>
      <c r="AT276">
        <v>0</v>
      </c>
      <c r="AU276">
        <v>0</v>
      </c>
      <c r="AV276">
        <v>0</v>
      </c>
      <c r="AW276">
        <v>2</v>
      </c>
      <c r="AX276" s="141">
        <f t="shared" si="269"/>
        <v>8</v>
      </c>
      <c r="AY276" s="141">
        <f t="shared" si="270"/>
        <v>4</v>
      </c>
      <c r="AZ276">
        <f t="shared" si="271"/>
        <v>2</v>
      </c>
      <c r="BA276">
        <f t="shared" si="272"/>
        <v>1</v>
      </c>
      <c r="BB276">
        <f t="shared" si="273"/>
        <v>1</v>
      </c>
      <c r="BC276">
        <f t="shared" si="274"/>
        <v>2</v>
      </c>
      <c r="BD276">
        <f t="shared" si="275"/>
        <v>2</v>
      </c>
      <c r="BE276" t="str">
        <f t="array" ref="BE276">IF(AY276=1,INDEX($V$7:$AL$7,MATCH(TRUE,INDEX($V276:$AW276&lt;&gt;0,),0)),IF(AY276=0,INDEX($AM$7:$AW$7,MATCH(1,$AM276:$AW276,0)),IF(BF276="Multiple strategies","mixed drivers",IF(BF276="Supply chain","multiple supply","multiple silviculture"))))</f>
        <v>mixed drivers</v>
      </c>
      <c r="BF276" s="2" t="str" cm="1">
        <f t="array" ref="BF276">IF(COUNTIF(AZ276:BB276,"&lt;&gt;0")=1,INDEX($V$4:$AW$4,MATCH(TRUE,INDEX($V276:$AW276&lt;&gt;0,),0)),IF(COUNTIF(AZ276:BB276,"&lt;&gt;0")=0,INDEX($AM$4:$AW$4,MATCH(1,$AM276:$AW276,0)),"Multiple strategies"))</f>
        <v>Multiple strategies</v>
      </c>
      <c r="BG276" s="1" t="s">
        <v>321</v>
      </c>
      <c r="BH276" t="s">
        <v>1279</v>
      </c>
      <c r="BI276"/>
      <c r="BJ276" s="143" t="s">
        <v>278</v>
      </c>
      <c r="BK276">
        <v>21.305418719211811</v>
      </c>
      <c r="BL276">
        <v>22.204433497536925</v>
      </c>
      <c r="BM276">
        <f t="shared" si="276"/>
        <v>1.0421965317919071</v>
      </c>
      <c r="BN276">
        <f t="shared" si="277"/>
        <v>0.89901477832511389</v>
      </c>
      <c r="BO276" s="143">
        <f t="shared" si="278"/>
        <v>3.9036681646770037</v>
      </c>
      <c r="BP276" t="s">
        <v>232</v>
      </c>
      <c r="BQ276" t="s">
        <v>787</v>
      </c>
      <c r="BR276" s="143" t="s">
        <v>278</v>
      </c>
      <c r="BS276">
        <v>34.822007358186738</v>
      </c>
      <c r="BT276">
        <v>33.994657876790122</v>
      </c>
      <c r="BU276" s="144">
        <f t="shared" si="279"/>
        <v>0.9762406149396754</v>
      </c>
      <c r="BV276">
        <f t="shared" si="280"/>
        <v>-0.82734948139661668</v>
      </c>
      <c r="BW276"/>
      <c r="BX276">
        <f t="shared" si="281"/>
        <v>-3.0363725967255832</v>
      </c>
      <c r="BY276">
        <f t="shared" si="236"/>
        <v>-0.77782548839594257</v>
      </c>
      <c r="BZ276" s="143">
        <v>0</v>
      </c>
      <c r="CA276" s="143">
        <v>0</v>
      </c>
      <c r="CB276" s="143">
        <v>0</v>
      </c>
      <c r="CC276" s="143">
        <v>0</v>
      </c>
      <c r="CD276" s="143">
        <v>0</v>
      </c>
      <c r="CE276" s="143">
        <v>0</v>
      </c>
      <c r="CF276" s="143">
        <v>0</v>
      </c>
      <c r="CG276" s="143">
        <v>1</v>
      </c>
      <c r="CH276" s="143">
        <v>0</v>
      </c>
      <c r="CI276" s="143">
        <v>1</v>
      </c>
      <c r="CJ276" s="143">
        <v>1</v>
      </c>
      <c r="CK276" s="143">
        <v>0</v>
      </c>
      <c r="CL276" s="143">
        <v>1</v>
      </c>
      <c r="CM276" s="143">
        <v>0</v>
      </c>
      <c r="CN276" t="str">
        <f t="shared" si="282"/>
        <v>refOK</v>
      </c>
      <c r="CO276">
        <f t="shared" si="283"/>
        <v>21.305418719211811</v>
      </c>
      <c r="CP276">
        <f t="shared" si="284"/>
        <v>22.204433497536925</v>
      </c>
      <c r="CQ276">
        <f t="shared" si="285"/>
        <v>3.9036681646770037</v>
      </c>
      <c r="CR276">
        <f t="shared" si="286"/>
        <v>34.822007358186738</v>
      </c>
      <c r="CS276">
        <f t="shared" si="287"/>
        <v>33.994657876790122</v>
      </c>
      <c r="CT276">
        <f t="shared" si="288"/>
        <v>-3.0363725967255832</v>
      </c>
      <c r="CU276">
        <f t="shared" si="289"/>
        <v>-0.77782548839594257</v>
      </c>
      <c r="CV276" s="2">
        <f t="shared" si="290"/>
        <v>-2.3759385060324639E-2</v>
      </c>
      <c r="CW276" s="1" t="s">
        <v>1198</v>
      </c>
      <c r="CX276" t="str">
        <f t="shared" si="291"/>
        <v>reg</v>
      </c>
      <c r="CY276" t="s">
        <v>1280</v>
      </c>
      <c r="CZ276">
        <v>2010</v>
      </c>
      <c r="DA276" s="143">
        <v>2100</v>
      </c>
      <c r="DB276" s="143">
        <f t="shared" si="292"/>
        <v>90</v>
      </c>
      <c r="DC276" t="str">
        <f t="shared" si="293"/>
        <v>71-100</v>
      </c>
      <c r="DD276">
        <v>1</v>
      </c>
      <c r="DE276">
        <v>1</v>
      </c>
      <c r="DF276">
        <v>1</v>
      </c>
      <c r="DG276">
        <v>1</v>
      </c>
      <c r="DH276"/>
      <c r="DI276">
        <f t="shared" si="294"/>
        <v>4</v>
      </c>
      <c r="DJ276" t="str">
        <f t="shared" si="295"/>
        <v>mixedProduct</v>
      </c>
      <c r="DK276" t="str">
        <f t="shared" si="296"/>
        <v>Upstream</v>
      </c>
      <c r="DL276" t="str">
        <f t="shared" si="297"/>
        <v>Energy</v>
      </c>
      <c r="DM276" t="str">
        <f t="shared" si="298"/>
        <v>Pulp/Paper</v>
      </c>
      <c r="DN276" t="str">
        <f t="shared" si="299"/>
        <v>Timber</v>
      </c>
      <c r="DO276" s="143">
        <v>1</v>
      </c>
      <c r="DP276">
        <v>0</v>
      </c>
      <c r="DQ276" s="143">
        <v>0</v>
      </c>
      <c r="DR276" s="143">
        <v>0</v>
      </c>
      <c r="DS276" s="143" t="s">
        <v>1281</v>
      </c>
      <c r="DT276">
        <f t="shared" si="300"/>
        <v>1</v>
      </c>
      <c r="DU276" s="143" t="str">
        <f t="shared" si="301"/>
        <v>self-calculated DF</v>
      </c>
      <c r="DV276" s="143">
        <v>0</v>
      </c>
      <c r="DW276">
        <v>1</v>
      </c>
      <c r="DX276" s="143">
        <v>1</v>
      </c>
      <c r="DY276" s="143">
        <v>1</v>
      </c>
      <c r="DZ276">
        <v>1</v>
      </c>
      <c r="EA276">
        <v>1</v>
      </c>
      <c r="EB276" s="143">
        <v>0</v>
      </c>
      <c r="EC276">
        <v>0</v>
      </c>
      <c r="ED276" s="143">
        <v>0</v>
      </c>
      <c r="EE276">
        <v>0</v>
      </c>
      <c r="EF276">
        <v>1</v>
      </c>
      <c r="EG276" s="143">
        <v>0</v>
      </c>
      <c r="EH276">
        <v>0</v>
      </c>
      <c r="EI276" s="2">
        <v>0</v>
      </c>
      <c r="EJ276" s="1"/>
      <c r="EK276" t="str">
        <f t="shared" si="302"/>
        <v/>
      </c>
      <c r="EL276" t="str">
        <f t="shared" si="303"/>
        <v/>
      </c>
      <c r="EM276" s="2" t="str">
        <f t="shared" si="237"/>
        <v/>
      </c>
      <c r="EN276" t="s">
        <v>1282</v>
      </c>
      <c r="EO276"/>
      <c r="EP276" t="str">
        <f>IF(ISNUMBER(BU276),IF(ABS(BU276-[2]QC_indicators!$B$2)&gt;3*[2]QC_indicators!$C$2,"C ratio",IF(ISNUMBER(BY276),IF(ABS(BY276-[2]QC_indicators!$B$1)&gt;3*[2]QC_indicators!$C$1,"DF","no"))),IF(ISNUMBER(BY276),IF(ABS(BY276-[2]QC_indicators!$B$1)&gt;3*[2]QC_indicators!$C$1,"DF","no")))</f>
        <v>no</v>
      </c>
      <c r="EQ276" t="s">
        <v>286</v>
      </c>
      <c r="ER276" t="s">
        <v>1283</v>
      </c>
      <c r="ES276"/>
      <c r="ET276" s="264" t="s">
        <v>3272</v>
      </c>
      <c r="EU276"/>
    </row>
    <row r="277" spans="1:151" s="139" customFormat="1" ht="15" hidden="1" customHeight="1">
      <c r="A277" s="1" t="s">
        <v>1269</v>
      </c>
      <c r="B277" t="s">
        <v>1270</v>
      </c>
      <c r="C277" t="s">
        <v>1271</v>
      </c>
      <c r="D277" t="s">
        <v>1272</v>
      </c>
      <c r="E277" t="s">
        <v>1273</v>
      </c>
      <c r="F277" t="s">
        <v>1274</v>
      </c>
      <c r="G277" t="s">
        <v>1275</v>
      </c>
      <c r="H277"/>
      <c r="I277">
        <v>2019</v>
      </c>
      <c r="J277"/>
      <c r="K277" t="s">
        <v>1276</v>
      </c>
      <c r="L277"/>
      <c r="M277" t="str">
        <f t="shared" si="245"/>
        <v>Baskent_2019</v>
      </c>
      <c r="N277" t="s">
        <v>222</v>
      </c>
      <c r="O277" s="140" t="s">
        <v>513</v>
      </c>
      <c r="P277"/>
      <c r="Q277" t="s">
        <v>224</v>
      </c>
      <c r="R277" s="269" t="s">
        <v>274</v>
      </c>
      <c r="S277" s="1" t="s">
        <v>1277</v>
      </c>
      <c r="T277" t="s">
        <v>1110</v>
      </c>
      <c r="U277" s="143" t="s">
        <v>1284</v>
      </c>
      <c r="V277" s="143">
        <v>0</v>
      </c>
      <c r="W277" s="143">
        <v>0</v>
      </c>
      <c r="X277" s="143">
        <v>0</v>
      </c>
      <c r="Y277" s="143">
        <v>1</v>
      </c>
      <c r="Z277" s="143">
        <v>2</v>
      </c>
      <c r="AA277" s="143">
        <v>0</v>
      </c>
      <c r="AB277" s="143">
        <v>0</v>
      </c>
      <c r="AC277" s="143">
        <v>0</v>
      </c>
      <c r="AD277">
        <v>0</v>
      </c>
      <c r="AE277">
        <v>0</v>
      </c>
      <c r="AF277">
        <v>2</v>
      </c>
      <c r="AG277">
        <v>0</v>
      </c>
      <c r="AH277">
        <v>0</v>
      </c>
      <c r="AI277">
        <v>0</v>
      </c>
      <c r="AJ277">
        <v>2</v>
      </c>
      <c r="AK277">
        <v>0</v>
      </c>
      <c r="AL277">
        <v>0</v>
      </c>
      <c r="AM277">
        <v>0</v>
      </c>
      <c r="AN277">
        <v>2</v>
      </c>
      <c r="AO277">
        <v>2</v>
      </c>
      <c r="AP277">
        <v>0</v>
      </c>
      <c r="AQ277">
        <v>0</v>
      </c>
      <c r="AR277">
        <v>0</v>
      </c>
      <c r="AS277">
        <v>2</v>
      </c>
      <c r="AT277">
        <v>0</v>
      </c>
      <c r="AU277">
        <v>0</v>
      </c>
      <c r="AV277">
        <v>0</v>
      </c>
      <c r="AW277">
        <v>2</v>
      </c>
      <c r="AX277" s="141">
        <f t="shared" si="269"/>
        <v>8</v>
      </c>
      <c r="AY277" s="141">
        <f t="shared" si="270"/>
        <v>4</v>
      </c>
      <c r="AZ277">
        <f t="shared" si="271"/>
        <v>2</v>
      </c>
      <c r="BA277">
        <f t="shared" si="272"/>
        <v>1</v>
      </c>
      <c r="BB277">
        <f t="shared" si="273"/>
        <v>1</v>
      </c>
      <c r="BC277">
        <f t="shared" si="274"/>
        <v>2</v>
      </c>
      <c r="BD277">
        <f t="shared" si="275"/>
        <v>2</v>
      </c>
      <c r="BE277" t="str">
        <f t="array" ref="BE277">IF(AY277=1,INDEX($V$7:$AL$7,MATCH(TRUE,INDEX($V277:$AW277&lt;&gt;0,),0)),IF(AY277=0,INDEX($AM$7:$AW$7,MATCH(1,$AM277:$AW277,0)),IF(BF277="Multiple strategies","mixed drivers",IF(BF277="Supply chain","multiple supply","multiple silviculture"))))</f>
        <v>mixed drivers</v>
      </c>
      <c r="BF277" s="2" t="str" cm="1">
        <f t="array" ref="BF277">IF(COUNTIF(AZ277:BB277,"&lt;&gt;0")=1,INDEX($V$4:$AW$4,MATCH(TRUE,INDEX($V277:$AW277&lt;&gt;0,),0)),IF(COUNTIF(AZ277:BB277,"&lt;&gt;0")=0,INDEX($AM$4:$AW$4,MATCH(1,$AM277:$AW277,0)),"Multiple strategies"))</f>
        <v>Multiple strategies</v>
      </c>
      <c r="BG277" s="1" t="s">
        <v>321</v>
      </c>
      <c r="BH277" t="s">
        <v>1279</v>
      </c>
      <c r="BI277"/>
      <c r="BJ277" s="143" t="s">
        <v>278</v>
      </c>
      <c r="BK277">
        <v>10.270935960591125</v>
      </c>
      <c r="BL277">
        <v>11.20689655172413</v>
      </c>
      <c r="BM277" s="143">
        <f t="shared" si="276"/>
        <v>1.091127098321343</v>
      </c>
      <c r="BN277">
        <f t="shared" si="277"/>
        <v>0.93596059113300534</v>
      </c>
      <c r="BO277" s="143">
        <f t="shared" si="278"/>
        <v>4.0640928837733625</v>
      </c>
      <c r="BP277" t="s">
        <v>232</v>
      </c>
      <c r="BQ277" t="s">
        <v>787</v>
      </c>
      <c r="BR277" s="143" t="s">
        <v>278</v>
      </c>
      <c r="BS277">
        <v>30.8433734939759</v>
      </c>
      <c r="BT277">
        <v>30.8433734939759</v>
      </c>
      <c r="BU277" s="144">
        <f t="shared" si="279"/>
        <v>1</v>
      </c>
      <c r="BV277">
        <f t="shared" si="280"/>
        <v>0</v>
      </c>
      <c r="BW277"/>
      <c r="BX277">
        <f t="shared" si="281"/>
        <v>0</v>
      </c>
      <c r="BY277">
        <f t="shared" si="236"/>
        <v>0</v>
      </c>
      <c r="BZ277" s="143">
        <v>0</v>
      </c>
      <c r="CA277" s="143">
        <v>0</v>
      </c>
      <c r="CB277" s="143">
        <v>0</v>
      </c>
      <c r="CC277" s="143">
        <v>0</v>
      </c>
      <c r="CD277" s="143">
        <v>0</v>
      </c>
      <c r="CE277" s="143">
        <v>0</v>
      </c>
      <c r="CF277" s="143">
        <v>0</v>
      </c>
      <c r="CG277" s="143">
        <v>1</v>
      </c>
      <c r="CH277" s="143">
        <v>0</v>
      </c>
      <c r="CI277" s="143">
        <v>1</v>
      </c>
      <c r="CJ277" s="143">
        <v>1</v>
      </c>
      <c r="CK277" s="143">
        <v>0</v>
      </c>
      <c r="CL277" s="143">
        <v>1</v>
      </c>
      <c r="CM277" s="143">
        <v>0</v>
      </c>
      <c r="CN277" t="str">
        <f t="shared" si="282"/>
        <v>refOK</v>
      </c>
      <c r="CO277">
        <f t="shared" si="283"/>
        <v>10.270935960591125</v>
      </c>
      <c r="CP277">
        <f t="shared" si="284"/>
        <v>11.20689655172413</v>
      </c>
      <c r="CQ277">
        <f t="shared" si="285"/>
        <v>4.0640928837733625</v>
      </c>
      <c r="CR277">
        <f t="shared" si="286"/>
        <v>30.8433734939759</v>
      </c>
      <c r="CS277">
        <f t="shared" si="287"/>
        <v>30.8433734939759</v>
      </c>
      <c r="CT277">
        <f t="shared" si="288"/>
        <v>0</v>
      </c>
      <c r="CU277">
        <f t="shared" si="289"/>
        <v>0</v>
      </c>
      <c r="CV277" s="2">
        <f t="shared" si="290"/>
        <v>0</v>
      </c>
      <c r="CW277" s="1" t="s">
        <v>1198</v>
      </c>
      <c r="CX277" t="str">
        <f t="shared" si="291"/>
        <v>reg</v>
      </c>
      <c r="CY277" t="s">
        <v>1280</v>
      </c>
      <c r="CZ277">
        <v>2010</v>
      </c>
      <c r="DA277" s="143">
        <v>2060</v>
      </c>
      <c r="DB277" s="143">
        <f t="shared" si="292"/>
        <v>50</v>
      </c>
      <c r="DC277" t="str">
        <f t="shared" si="293"/>
        <v>31-70</v>
      </c>
      <c r="DD277">
        <v>1</v>
      </c>
      <c r="DE277">
        <v>0</v>
      </c>
      <c r="DF277">
        <v>0</v>
      </c>
      <c r="DG277">
        <v>0</v>
      </c>
      <c r="DH277"/>
      <c r="DI277">
        <f t="shared" si="294"/>
        <v>1</v>
      </c>
      <c r="DJ277" t="str">
        <f t="shared" si="295"/>
        <v>UpstreamInput</v>
      </c>
      <c r="DK277" t="str">
        <f t="shared" si="296"/>
        <v>Upstream</v>
      </c>
      <c r="DL277">
        <f t="shared" si="297"/>
        <v>0</v>
      </c>
      <c r="DM277">
        <f t="shared" si="298"/>
        <v>0</v>
      </c>
      <c r="DN277">
        <f t="shared" si="299"/>
        <v>0</v>
      </c>
      <c r="DO277" s="143">
        <v>1</v>
      </c>
      <c r="DP277">
        <v>0</v>
      </c>
      <c r="DQ277" s="143">
        <v>0</v>
      </c>
      <c r="DR277" s="143">
        <v>0</v>
      </c>
      <c r="DS277" s="143" t="s">
        <v>1281</v>
      </c>
      <c r="DT277">
        <f t="shared" si="300"/>
        <v>1</v>
      </c>
      <c r="DU277" s="143" t="str">
        <f t="shared" si="301"/>
        <v>self-calculated DF</v>
      </c>
      <c r="DV277" s="143">
        <v>0</v>
      </c>
      <c r="DW277">
        <v>1</v>
      </c>
      <c r="DX277" s="143">
        <v>1</v>
      </c>
      <c r="DY277" s="143">
        <v>0</v>
      </c>
      <c r="DZ277">
        <v>0</v>
      </c>
      <c r="EA277">
        <v>0</v>
      </c>
      <c r="EB277" s="143">
        <v>0</v>
      </c>
      <c r="EC277">
        <v>0</v>
      </c>
      <c r="ED277" s="143">
        <v>0</v>
      </c>
      <c r="EE277">
        <v>0</v>
      </c>
      <c r="EF277">
        <v>1</v>
      </c>
      <c r="EG277" s="143">
        <v>0</v>
      </c>
      <c r="EH277">
        <v>0</v>
      </c>
      <c r="EI277" s="2">
        <v>0</v>
      </c>
      <c r="EJ277" s="1"/>
      <c r="EK277" t="str">
        <f t="shared" si="302"/>
        <v/>
      </c>
      <c r="EL277" t="str">
        <f t="shared" si="303"/>
        <v/>
      </c>
      <c r="EM277" s="2" t="str">
        <f t="shared" si="237"/>
        <v/>
      </c>
      <c r="EN277" t="s">
        <v>1282</v>
      </c>
      <c r="EO277"/>
      <c r="EP277" t="str">
        <f>IF(ISNUMBER(BU277),IF(ABS(BU277-[2]QC_indicators!$B$2)&gt;3*[2]QC_indicators!$C$2,"C ratio",IF(ISNUMBER(BY277),IF(ABS(BY277-[2]QC_indicators!$B$1)&gt;3*[2]QC_indicators!$C$1,"DF","no"))),IF(ISNUMBER(BY277),IF(ABS(BY277-[2]QC_indicators!$B$1)&gt;3*[2]QC_indicators!$C$1,"DF","no")))</f>
        <v>no</v>
      </c>
      <c r="EQ277" t="s">
        <v>286</v>
      </c>
      <c r="ER277" t="s">
        <v>1283</v>
      </c>
      <c r="ES277"/>
      <c r="ET277" s="264" t="s">
        <v>3272</v>
      </c>
      <c r="EU277"/>
    </row>
    <row r="278" spans="1:151" s="139" customFormat="1" ht="15" hidden="1" customHeight="1">
      <c r="A278" s="1" t="s">
        <v>1269</v>
      </c>
      <c r="B278" t="s">
        <v>1270</v>
      </c>
      <c r="C278" t="s">
        <v>1271</v>
      </c>
      <c r="D278" t="s">
        <v>1272</v>
      </c>
      <c r="E278" t="s">
        <v>1273</v>
      </c>
      <c r="F278" t="s">
        <v>1274</v>
      </c>
      <c r="G278" t="s">
        <v>1275</v>
      </c>
      <c r="H278"/>
      <c r="I278">
        <v>2019</v>
      </c>
      <c r="J278"/>
      <c r="K278" t="s">
        <v>1276</v>
      </c>
      <c r="L278"/>
      <c r="M278" t="str">
        <f t="shared" si="245"/>
        <v>Baskent_2019</v>
      </c>
      <c r="N278" t="s">
        <v>222</v>
      </c>
      <c r="O278" s="140" t="s">
        <v>513</v>
      </c>
      <c r="P278"/>
      <c r="Q278" t="s">
        <v>224</v>
      </c>
      <c r="R278" s="269" t="s">
        <v>274</v>
      </c>
      <c r="S278" s="1" t="s">
        <v>1277</v>
      </c>
      <c r="T278" t="s">
        <v>1110</v>
      </c>
      <c r="U278" s="143" t="s">
        <v>1284</v>
      </c>
      <c r="V278" s="143">
        <v>0</v>
      </c>
      <c r="W278" s="143">
        <v>0</v>
      </c>
      <c r="X278" s="143">
        <v>0</v>
      </c>
      <c r="Y278" s="143">
        <v>1</v>
      </c>
      <c r="Z278" s="143">
        <v>2</v>
      </c>
      <c r="AA278" s="143">
        <v>0</v>
      </c>
      <c r="AB278" s="143">
        <v>0</v>
      </c>
      <c r="AC278" s="143">
        <v>0</v>
      </c>
      <c r="AD278">
        <v>0</v>
      </c>
      <c r="AE278">
        <v>0</v>
      </c>
      <c r="AF278">
        <v>2</v>
      </c>
      <c r="AG278">
        <v>0</v>
      </c>
      <c r="AH278">
        <v>0</v>
      </c>
      <c r="AI278">
        <v>0</v>
      </c>
      <c r="AJ278">
        <v>2</v>
      </c>
      <c r="AK278">
        <v>0</v>
      </c>
      <c r="AL278">
        <v>0</v>
      </c>
      <c r="AM278">
        <v>0</v>
      </c>
      <c r="AN278">
        <v>2</v>
      </c>
      <c r="AO278">
        <v>2</v>
      </c>
      <c r="AP278">
        <v>0</v>
      </c>
      <c r="AQ278">
        <v>0</v>
      </c>
      <c r="AR278">
        <v>0</v>
      </c>
      <c r="AS278">
        <v>2</v>
      </c>
      <c r="AT278">
        <v>0</v>
      </c>
      <c r="AU278">
        <v>0</v>
      </c>
      <c r="AV278">
        <v>0</v>
      </c>
      <c r="AW278">
        <v>2</v>
      </c>
      <c r="AX278" s="141">
        <f t="shared" si="269"/>
        <v>8</v>
      </c>
      <c r="AY278" s="141">
        <f t="shared" si="270"/>
        <v>4</v>
      </c>
      <c r="AZ278">
        <f t="shared" si="271"/>
        <v>2</v>
      </c>
      <c r="BA278">
        <f t="shared" si="272"/>
        <v>1</v>
      </c>
      <c r="BB278">
        <f t="shared" si="273"/>
        <v>1</v>
      </c>
      <c r="BC278">
        <f t="shared" si="274"/>
        <v>2</v>
      </c>
      <c r="BD278">
        <f t="shared" si="275"/>
        <v>2</v>
      </c>
      <c r="BE278" t="str">
        <f t="array" ref="BE278">IF(AY278=1,INDEX($V$7:$AL$7,MATCH(TRUE,INDEX($V278:$AW278&lt;&gt;0,),0)),IF(AY278=0,INDEX($AM$7:$AW$7,MATCH(1,$AM278:$AW278,0)),IF(BF278="Multiple strategies","mixed drivers",IF(BF278="Supply chain","multiple supply","multiple silviculture"))))</f>
        <v>mixed drivers</v>
      </c>
      <c r="BF278" s="2" t="str" cm="1">
        <f t="array" ref="BF278">IF(COUNTIF(AZ278:BB278,"&lt;&gt;0")=1,INDEX($V$4:$AW$4,MATCH(TRUE,INDEX($V278:$AW278&lt;&gt;0,),0)),IF(COUNTIF(AZ278:BB278,"&lt;&gt;0")=0,INDEX($AM$4:$AW$4,MATCH(1,$AM278:$AW278,0)),"Multiple strategies"))</f>
        <v>Multiple strategies</v>
      </c>
      <c r="BG278" s="1" t="s">
        <v>321</v>
      </c>
      <c r="BH278" t="s">
        <v>1279</v>
      </c>
      <c r="BI278"/>
      <c r="BJ278" s="143" t="s">
        <v>278</v>
      </c>
      <c r="BK278">
        <v>10.270935960591125</v>
      </c>
      <c r="BL278">
        <v>11.20689655172413</v>
      </c>
      <c r="BM278" s="143">
        <f t="shared" si="276"/>
        <v>1.091127098321343</v>
      </c>
      <c r="BN278">
        <f t="shared" si="277"/>
        <v>0.93596059113300534</v>
      </c>
      <c r="BO278" s="143">
        <f t="shared" si="278"/>
        <v>4.0640928837733625</v>
      </c>
      <c r="BP278" t="s">
        <v>232</v>
      </c>
      <c r="BQ278" t="s">
        <v>787</v>
      </c>
      <c r="BR278" s="143" t="s">
        <v>278</v>
      </c>
      <c r="BS278">
        <v>33.994657876790122</v>
      </c>
      <c r="BT278">
        <v>34.185894521482062</v>
      </c>
      <c r="BU278" s="144">
        <f t="shared" si="279"/>
        <v>1.0056254910811298</v>
      </c>
      <c r="BV278">
        <f t="shared" si="280"/>
        <v>0.19123664469194068</v>
      </c>
      <c r="BW278"/>
      <c r="BX278">
        <f t="shared" si="281"/>
        <v>0.70183848601942234</v>
      </c>
      <c r="BY278">
        <f t="shared" si="236"/>
        <v>0.1726925309265547</v>
      </c>
      <c r="BZ278" s="143">
        <v>0</v>
      </c>
      <c r="CA278" s="143">
        <v>0</v>
      </c>
      <c r="CB278" s="143">
        <v>0</v>
      </c>
      <c r="CC278" s="143">
        <v>0</v>
      </c>
      <c r="CD278" s="143">
        <v>0</v>
      </c>
      <c r="CE278" s="143">
        <v>0</v>
      </c>
      <c r="CF278" s="143">
        <v>0</v>
      </c>
      <c r="CG278" s="143">
        <v>1</v>
      </c>
      <c r="CH278" s="143">
        <v>0</v>
      </c>
      <c r="CI278" s="143">
        <v>1</v>
      </c>
      <c r="CJ278" s="143">
        <v>1</v>
      </c>
      <c r="CK278" s="143">
        <v>0</v>
      </c>
      <c r="CL278" s="143">
        <v>1</v>
      </c>
      <c r="CM278" s="143">
        <v>0</v>
      </c>
      <c r="CN278" t="str">
        <f t="shared" si="282"/>
        <v>refOK</v>
      </c>
      <c r="CO278">
        <f t="shared" si="283"/>
        <v>10.270935960591125</v>
      </c>
      <c r="CP278">
        <f t="shared" si="284"/>
        <v>11.20689655172413</v>
      </c>
      <c r="CQ278">
        <f t="shared" si="285"/>
        <v>4.0640928837733625</v>
      </c>
      <c r="CR278">
        <f t="shared" si="286"/>
        <v>33.994657876790122</v>
      </c>
      <c r="CS278">
        <f t="shared" si="287"/>
        <v>34.185894521482062</v>
      </c>
      <c r="CT278">
        <f t="shared" si="288"/>
        <v>0.70183848601942234</v>
      </c>
      <c r="CU278">
        <f t="shared" si="289"/>
        <v>0.1726925309265547</v>
      </c>
      <c r="CV278" s="2">
        <f t="shared" si="290"/>
        <v>5.6254910811297694E-3</v>
      </c>
      <c r="CW278" s="1" t="s">
        <v>1198</v>
      </c>
      <c r="CX278" t="str">
        <f t="shared" si="291"/>
        <v>reg</v>
      </c>
      <c r="CY278" t="s">
        <v>1280</v>
      </c>
      <c r="CZ278">
        <v>2010</v>
      </c>
      <c r="DA278" s="143">
        <v>2060</v>
      </c>
      <c r="DB278" s="143">
        <f t="shared" si="292"/>
        <v>50</v>
      </c>
      <c r="DC278" t="str">
        <f t="shared" si="293"/>
        <v>31-70</v>
      </c>
      <c r="DD278">
        <v>1</v>
      </c>
      <c r="DE278">
        <v>1</v>
      </c>
      <c r="DF278">
        <v>1</v>
      </c>
      <c r="DG278">
        <v>1</v>
      </c>
      <c r="DH278"/>
      <c r="DI278">
        <f t="shared" si="294"/>
        <v>4</v>
      </c>
      <c r="DJ278" t="str">
        <f t="shared" si="295"/>
        <v>mixedProduct</v>
      </c>
      <c r="DK278" t="str">
        <f t="shared" si="296"/>
        <v>Upstream</v>
      </c>
      <c r="DL278" t="str">
        <f t="shared" si="297"/>
        <v>Energy</v>
      </c>
      <c r="DM278" t="str">
        <f t="shared" si="298"/>
        <v>Pulp/Paper</v>
      </c>
      <c r="DN278" t="str">
        <f t="shared" si="299"/>
        <v>Timber</v>
      </c>
      <c r="DO278" s="143">
        <v>1</v>
      </c>
      <c r="DP278">
        <v>0</v>
      </c>
      <c r="DQ278" s="143">
        <v>0</v>
      </c>
      <c r="DR278" s="143">
        <v>0</v>
      </c>
      <c r="DS278" s="143" t="s">
        <v>1281</v>
      </c>
      <c r="DT278">
        <f t="shared" si="300"/>
        <v>1</v>
      </c>
      <c r="DU278" s="143" t="str">
        <f t="shared" si="301"/>
        <v>self-calculated DF</v>
      </c>
      <c r="DV278" s="143">
        <v>0</v>
      </c>
      <c r="DW278">
        <v>1</v>
      </c>
      <c r="DX278" s="143">
        <v>1</v>
      </c>
      <c r="DY278" s="143">
        <v>1</v>
      </c>
      <c r="DZ278">
        <v>1</v>
      </c>
      <c r="EA278">
        <v>0</v>
      </c>
      <c r="EB278" s="143">
        <v>0</v>
      </c>
      <c r="EC278">
        <v>0</v>
      </c>
      <c r="ED278" s="143">
        <v>0</v>
      </c>
      <c r="EE278">
        <v>0</v>
      </c>
      <c r="EF278">
        <v>1</v>
      </c>
      <c r="EG278" s="143">
        <v>0</v>
      </c>
      <c r="EH278">
        <v>0</v>
      </c>
      <c r="EI278" s="2">
        <v>0</v>
      </c>
      <c r="EJ278" s="1"/>
      <c r="EK278" t="str">
        <f t="shared" si="302"/>
        <v/>
      </c>
      <c r="EL278" t="str">
        <f t="shared" si="303"/>
        <v>Ecosystem approach</v>
      </c>
      <c r="EM278" s="2" t="str">
        <f t="shared" si="237"/>
        <v/>
      </c>
      <c r="EN278" t="s">
        <v>1282</v>
      </c>
      <c r="EO278"/>
      <c r="EP278" t="str">
        <f>IF(ISNUMBER(BU278),IF(ABS(BU278-[2]QC_indicators!$B$2)&gt;3*[2]QC_indicators!$C$2,"C ratio",IF(ISNUMBER(BY278),IF(ABS(BY278-[2]QC_indicators!$B$1)&gt;3*[2]QC_indicators!$C$1,"DF","no"))),IF(ISNUMBER(BY278),IF(ABS(BY278-[2]QC_indicators!$B$1)&gt;3*[2]QC_indicators!$C$1,"DF","no")))</f>
        <v>no</v>
      </c>
      <c r="EQ278" t="s">
        <v>286</v>
      </c>
      <c r="ER278" t="s">
        <v>1283</v>
      </c>
      <c r="ES278"/>
      <c r="ET278" s="264" t="s">
        <v>3272</v>
      </c>
      <c r="EU278"/>
    </row>
    <row r="279" spans="1:151" s="139" customFormat="1" ht="15" hidden="1" customHeight="1">
      <c r="A279" s="1" t="s">
        <v>1269</v>
      </c>
      <c r="B279" t="s">
        <v>1270</v>
      </c>
      <c r="C279" t="s">
        <v>1271</v>
      </c>
      <c r="D279" t="s">
        <v>1272</v>
      </c>
      <c r="E279" t="s">
        <v>1273</v>
      </c>
      <c r="F279" t="s">
        <v>1274</v>
      </c>
      <c r="G279" t="s">
        <v>1275</v>
      </c>
      <c r="H279"/>
      <c r="I279">
        <v>2019</v>
      </c>
      <c r="J279"/>
      <c r="K279" t="s">
        <v>1276</v>
      </c>
      <c r="L279"/>
      <c r="M279" t="str">
        <f t="shared" si="245"/>
        <v>Baskent_2019</v>
      </c>
      <c r="N279" t="s">
        <v>222</v>
      </c>
      <c r="O279" s="140" t="s">
        <v>513</v>
      </c>
      <c r="P279"/>
      <c r="Q279" t="s">
        <v>224</v>
      </c>
      <c r="R279" s="269" t="s">
        <v>274</v>
      </c>
      <c r="S279" s="1" t="s">
        <v>1277</v>
      </c>
      <c r="T279" t="s">
        <v>1110</v>
      </c>
      <c r="U279" s="143" t="s">
        <v>1284</v>
      </c>
      <c r="V279" s="143">
        <v>0</v>
      </c>
      <c r="W279" s="143">
        <v>0</v>
      </c>
      <c r="X279" s="143">
        <v>0</v>
      </c>
      <c r="Y279" s="143">
        <v>1</v>
      </c>
      <c r="Z279" s="143">
        <v>2</v>
      </c>
      <c r="AA279" s="143">
        <v>0</v>
      </c>
      <c r="AB279" s="143">
        <v>0</v>
      </c>
      <c r="AC279" s="143">
        <v>0</v>
      </c>
      <c r="AD279">
        <v>0</v>
      </c>
      <c r="AE279">
        <v>0</v>
      </c>
      <c r="AF279">
        <v>2</v>
      </c>
      <c r="AG279">
        <v>0</v>
      </c>
      <c r="AH279">
        <v>0</v>
      </c>
      <c r="AI279">
        <v>0</v>
      </c>
      <c r="AJ279">
        <v>2</v>
      </c>
      <c r="AK279">
        <v>0</v>
      </c>
      <c r="AL279">
        <v>0</v>
      </c>
      <c r="AM279">
        <v>0</v>
      </c>
      <c r="AN279">
        <v>2</v>
      </c>
      <c r="AO279">
        <v>2</v>
      </c>
      <c r="AP279">
        <v>0</v>
      </c>
      <c r="AQ279">
        <v>0</v>
      </c>
      <c r="AR279">
        <v>0</v>
      </c>
      <c r="AS279">
        <v>2</v>
      </c>
      <c r="AT279">
        <v>0</v>
      </c>
      <c r="AU279">
        <v>0</v>
      </c>
      <c r="AV279">
        <v>0</v>
      </c>
      <c r="AW279">
        <v>2</v>
      </c>
      <c r="AX279" s="141">
        <f t="shared" si="269"/>
        <v>8</v>
      </c>
      <c r="AY279" s="141">
        <f t="shared" si="270"/>
        <v>4</v>
      </c>
      <c r="AZ279">
        <f t="shared" si="271"/>
        <v>2</v>
      </c>
      <c r="BA279">
        <f t="shared" si="272"/>
        <v>1</v>
      </c>
      <c r="BB279">
        <f t="shared" si="273"/>
        <v>1</v>
      </c>
      <c r="BC279">
        <f t="shared" si="274"/>
        <v>2</v>
      </c>
      <c r="BD279">
        <f t="shared" si="275"/>
        <v>2</v>
      </c>
      <c r="BE279" t="str">
        <f t="array" ref="BE279">IF(AY279=1,INDEX($V$7:$AL$7,MATCH(TRUE,INDEX($V279:$AW279&lt;&gt;0,),0)),IF(AY279=0,INDEX($AM$7:$AW$7,MATCH(1,$AM279:$AW279,0)),IF(BF279="Multiple strategies","mixed drivers",IF(BF279="Supply chain","multiple supply","multiple silviculture"))))</f>
        <v>mixed drivers</v>
      </c>
      <c r="BF279" s="2" t="str" cm="1">
        <f t="array" ref="BF279">IF(COUNTIF(AZ279:BB279,"&lt;&gt;0")=1,INDEX($V$4:$AW$4,MATCH(TRUE,INDEX($V279:$AW279&lt;&gt;0,),0)),IF(COUNTIF(AZ279:BB279,"&lt;&gt;0")=0,INDEX($AM$4:$AW$4,MATCH(1,$AM279:$AW279,0)),"Multiple strategies"))</f>
        <v>Multiple strategies</v>
      </c>
      <c r="BG279" s="1" t="s">
        <v>321</v>
      </c>
      <c r="BH279" t="s">
        <v>1279</v>
      </c>
      <c r="BI279"/>
      <c r="BJ279" s="143" t="s">
        <v>278</v>
      </c>
      <c r="BK279">
        <v>10.270935960591125</v>
      </c>
      <c r="BL279">
        <v>11.20689655172413</v>
      </c>
      <c r="BM279" s="143">
        <f t="shared" si="276"/>
        <v>1.091127098321343</v>
      </c>
      <c r="BN279">
        <f t="shared" si="277"/>
        <v>0.93596059113300534</v>
      </c>
      <c r="BO279" s="143">
        <f t="shared" si="278"/>
        <v>4.0640928837733625</v>
      </c>
      <c r="BP279" t="s">
        <v>232</v>
      </c>
      <c r="BQ279" t="s">
        <v>787</v>
      </c>
      <c r="BR279" s="143" t="s">
        <v>278</v>
      </c>
      <c r="BS279">
        <v>38.33684792940457</v>
      </c>
      <c r="BT279">
        <v>39.060818992069535</v>
      </c>
      <c r="BU279" s="144">
        <f t="shared" si="279"/>
        <v>1.0188844702099171</v>
      </c>
      <c r="BV279">
        <f t="shared" si="280"/>
        <v>0.72397106266496536</v>
      </c>
      <c r="BW279"/>
      <c r="BX279">
        <f t="shared" si="281"/>
        <v>2.6569737999804226</v>
      </c>
      <c r="BY279">
        <f t="shared" si="236"/>
        <v>0.65376798118686674</v>
      </c>
      <c r="BZ279" s="143">
        <v>0</v>
      </c>
      <c r="CA279" s="143">
        <v>0</v>
      </c>
      <c r="CB279" s="143">
        <v>0</v>
      </c>
      <c r="CC279" s="143">
        <v>0</v>
      </c>
      <c r="CD279" s="143">
        <v>0</v>
      </c>
      <c r="CE279" s="143">
        <v>0</v>
      </c>
      <c r="CF279" s="143">
        <v>0</v>
      </c>
      <c r="CG279" s="143">
        <v>1</v>
      </c>
      <c r="CH279" s="143">
        <v>0</v>
      </c>
      <c r="CI279" s="143">
        <v>1</v>
      </c>
      <c r="CJ279" s="143">
        <v>1</v>
      </c>
      <c r="CK279" s="143">
        <v>0</v>
      </c>
      <c r="CL279" s="143">
        <v>1</v>
      </c>
      <c r="CM279" s="143">
        <v>0</v>
      </c>
      <c r="CN279" t="str">
        <f t="shared" si="282"/>
        <v>refOK</v>
      </c>
      <c r="CO279">
        <f t="shared" si="283"/>
        <v>10.270935960591125</v>
      </c>
      <c r="CP279">
        <f t="shared" si="284"/>
        <v>11.20689655172413</v>
      </c>
      <c r="CQ279">
        <f t="shared" si="285"/>
        <v>4.0640928837733625</v>
      </c>
      <c r="CR279">
        <f t="shared" si="286"/>
        <v>38.33684792940457</v>
      </c>
      <c r="CS279">
        <f t="shared" si="287"/>
        <v>39.060818992069535</v>
      </c>
      <c r="CT279">
        <f t="shared" si="288"/>
        <v>2.6569737999804226</v>
      </c>
      <c r="CU279">
        <f t="shared" si="289"/>
        <v>0.65376798118686674</v>
      </c>
      <c r="CV279" s="2">
        <f t="shared" si="290"/>
        <v>1.8884470209917171E-2</v>
      </c>
      <c r="CW279" s="1" t="s">
        <v>1198</v>
      </c>
      <c r="CX279" t="str">
        <f t="shared" si="291"/>
        <v>reg</v>
      </c>
      <c r="CY279" t="s">
        <v>1280</v>
      </c>
      <c r="CZ279">
        <v>2010</v>
      </c>
      <c r="DA279" s="143">
        <v>2060</v>
      </c>
      <c r="DB279" s="143">
        <f t="shared" si="292"/>
        <v>50</v>
      </c>
      <c r="DC279" t="str">
        <f t="shared" si="293"/>
        <v>31-70</v>
      </c>
      <c r="DD279">
        <v>1</v>
      </c>
      <c r="DE279">
        <v>1</v>
      </c>
      <c r="DF279">
        <v>1</v>
      </c>
      <c r="DG279">
        <v>1</v>
      </c>
      <c r="DH279"/>
      <c r="DI279">
        <f t="shared" si="294"/>
        <v>4</v>
      </c>
      <c r="DJ279" t="str">
        <f t="shared" si="295"/>
        <v>mixedProduct</v>
      </c>
      <c r="DK279" t="str">
        <f t="shared" si="296"/>
        <v>Upstream</v>
      </c>
      <c r="DL279" t="str">
        <f t="shared" si="297"/>
        <v>Energy</v>
      </c>
      <c r="DM279" t="str">
        <f t="shared" si="298"/>
        <v>Pulp/Paper</v>
      </c>
      <c r="DN279" t="str">
        <f t="shared" si="299"/>
        <v>Timber</v>
      </c>
      <c r="DO279" s="143">
        <v>1</v>
      </c>
      <c r="DP279">
        <v>0</v>
      </c>
      <c r="DQ279" s="143">
        <v>0</v>
      </c>
      <c r="DR279" s="143">
        <v>0</v>
      </c>
      <c r="DS279" s="143" t="s">
        <v>1281</v>
      </c>
      <c r="DT279">
        <f t="shared" si="300"/>
        <v>1</v>
      </c>
      <c r="DU279" s="143" t="str">
        <f t="shared" si="301"/>
        <v>self-calculated DF</v>
      </c>
      <c r="DV279" s="143">
        <v>0</v>
      </c>
      <c r="DW279">
        <v>1</v>
      </c>
      <c r="DX279" s="143">
        <v>1</v>
      </c>
      <c r="DY279" s="143">
        <v>1</v>
      </c>
      <c r="DZ279">
        <v>1</v>
      </c>
      <c r="EA279">
        <v>1</v>
      </c>
      <c r="EB279" s="143">
        <v>0</v>
      </c>
      <c r="EC279">
        <v>0</v>
      </c>
      <c r="ED279" s="143">
        <v>0</v>
      </c>
      <c r="EE279">
        <v>0</v>
      </c>
      <c r="EF279">
        <v>1</v>
      </c>
      <c r="EG279" s="143">
        <v>0</v>
      </c>
      <c r="EH279">
        <v>0</v>
      </c>
      <c r="EI279" s="2">
        <v>0</v>
      </c>
      <c r="EJ279" s="1"/>
      <c r="EK279" t="str">
        <f t="shared" si="302"/>
        <v/>
      </c>
      <c r="EL279" t="str">
        <f t="shared" si="303"/>
        <v/>
      </c>
      <c r="EM279" s="2" t="str">
        <f t="shared" si="237"/>
        <v/>
      </c>
      <c r="EN279" t="s">
        <v>1282</v>
      </c>
      <c r="EO279"/>
      <c r="EP279" t="str">
        <f>IF(ISNUMBER(BU279),IF(ABS(BU279-[2]QC_indicators!$B$2)&gt;3*[2]QC_indicators!$C$2,"C ratio",IF(ISNUMBER(BY279),IF(ABS(BY279-[2]QC_indicators!$B$1)&gt;3*[2]QC_indicators!$C$1,"DF","no"))),IF(ISNUMBER(BY279),IF(ABS(BY279-[2]QC_indicators!$B$1)&gt;3*[2]QC_indicators!$C$1,"DF","no")))</f>
        <v>no</v>
      </c>
      <c r="EQ279" t="s">
        <v>286</v>
      </c>
      <c r="ER279" t="s">
        <v>1283</v>
      </c>
      <c r="ES279"/>
      <c r="ET279" s="264" t="s">
        <v>3272</v>
      </c>
      <c r="EU279"/>
    </row>
    <row r="280" spans="1:151" s="139" customFormat="1" ht="15" hidden="1" customHeight="1">
      <c r="A280" s="1" t="s">
        <v>1269</v>
      </c>
      <c r="B280" t="s">
        <v>1270</v>
      </c>
      <c r="C280" t="s">
        <v>1271</v>
      </c>
      <c r="D280" t="s">
        <v>1272</v>
      </c>
      <c r="E280" t="s">
        <v>1273</v>
      </c>
      <c r="F280" t="s">
        <v>1274</v>
      </c>
      <c r="G280" t="s">
        <v>1275</v>
      </c>
      <c r="H280"/>
      <c r="I280">
        <v>2019</v>
      </c>
      <c r="J280"/>
      <c r="K280" t="s">
        <v>1276</v>
      </c>
      <c r="L280"/>
      <c r="M280" t="str">
        <f t="shared" si="245"/>
        <v>Baskent_2019</v>
      </c>
      <c r="N280" t="s">
        <v>222</v>
      </c>
      <c r="O280" s="140" t="s">
        <v>513</v>
      </c>
      <c r="P280"/>
      <c r="Q280" t="s">
        <v>224</v>
      </c>
      <c r="R280" s="269" t="s">
        <v>274</v>
      </c>
      <c r="S280" s="1" t="s">
        <v>1277</v>
      </c>
      <c r="T280" t="s">
        <v>1110</v>
      </c>
      <c r="U280" s="143" t="s">
        <v>1284</v>
      </c>
      <c r="V280" s="143">
        <v>0</v>
      </c>
      <c r="W280" s="143">
        <v>0</v>
      </c>
      <c r="X280" s="143">
        <v>0</v>
      </c>
      <c r="Y280" s="143">
        <v>1</v>
      </c>
      <c r="Z280" s="143">
        <v>2</v>
      </c>
      <c r="AA280" s="143">
        <v>0</v>
      </c>
      <c r="AB280" s="143">
        <v>0</v>
      </c>
      <c r="AC280" s="143">
        <v>0</v>
      </c>
      <c r="AD280">
        <v>0</v>
      </c>
      <c r="AE280">
        <v>0</v>
      </c>
      <c r="AF280">
        <v>2</v>
      </c>
      <c r="AG280">
        <v>0</v>
      </c>
      <c r="AH280">
        <v>0</v>
      </c>
      <c r="AI280">
        <v>0</v>
      </c>
      <c r="AJ280">
        <v>2</v>
      </c>
      <c r="AK280">
        <v>0</v>
      </c>
      <c r="AL280">
        <v>0</v>
      </c>
      <c r="AM280">
        <v>0</v>
      </c>
      <c r="AN280">
        <v>2</v>
      </c>
      <c r="AO280">
        <v>2</v>
      </c>
      <c r="AP280">
        <v>0</v>
      </c>
      <c r="AQ280">
        <v>0</v>
      </c>
      <c r="AR280">
        <v>0</v>
      </c>
      <c r="AS280">
        <v>2</v>
      </c>
      <c r="AT280">
        <v>0</v>
      </c>
      <c r="AU280">
        <v>0</v>
      </c>
      <c r="AV280">
        <v>0</v>
      </c>
      <c r="AW280">
        <v>2</v>
      </c>
      <c r="AX280" s="141">
        <f t="shared" si="269"/>
        <v>8</v>
      </c>
      <c r="AY280" s="141">
        <f t="shared" si="270"/>
        <v>4</v>
      </c>
      <c r="AZ280">
        <f t="shared" si="271"/>
        <v>2</v>
      </c>
      <c r="BA280">
        <f t="shared" si="272"/>
        <v>1</v>
      </c>
      <c r="BB280">
        <f t="shared" si="273"/>
        <v>1</v>
      </c>
      <c r="BC280">
        <f t="shared" si="274"/>
        <v>2</v>
      </c>
      <c r="BD280">
        <f t="shared" si="275"/>
        <v>2</v>
      </c>
      <c r="BE280" t="str">
        <f t="array" ref="BE280">IF(AY280=1,INDEX($V$7:$AL$7,MATCH(TRUE,INDEX($V280:$AW280&lt;&gt;0,),0)),IF(AY280=0,INDEX($AM$7:$AW$7,MATCH(1,$AM280:$AW280,0)),IF(BF280="Multiple strategies","mixed drivers",IF(BF280="Supply chain","multiple supply","multiple silviculture"))))</f>
        <v>mixed drivers</v>
      </c>
      <c r="BF280" s="2" t="str" cm="1">
        <f t="array" ref="BF280">IF(COUNTIF(AZ280:BB280,"&lt;&gt;0")=1,INDEX($V$4:$AW$4,MATCH(TRUE,INDEX($V280:$AW280&lt;&gt;0,),0)),IF(COUNTIF(AZ280:BB280,"&lt;&gt;0")=0,INDEX($AM$4:$AW$4,MATCH(1,$AM280:$AW280,0)),"Multiple strategies"))</f>
        <v>Multiple strategies</v>
      </c>
      <c r="BG280" s="1" t="s">
        <v>321</v>
      </c>
      <c r="BH280" t="s">
        <v>1279</v>
      </c>
      <c r="BI280"/>
      <c r="BJ280" s="143" t="s">
        <v>278</v>
      </c>
      <c r="BK280">
        <v>22.204433497536925</v>
      </c>
      <c r="BL280">
        <v>22.426108374384221</v>
      </c>
      <c r="BM280" s="143">
        <f t="shared" si="276"/>
        <v>1.0099833610648921</v>
      </c>
      <c r="BN280">
        <f t="shared" si="277"/>
        <v>0.22167487684729537</v>
      </c>
      <c r="BO280" s="143">
        <f t="shared" si="278"/>
        <v>0.96254831457792178</v>
      </c>
      <c r="BP280" t="s">
        <v>232</v>
      </c>
      <c r="BQ280" t="s">
        <v>787</v>
      </c>
      <c r="BR280" s="143" t="s">
        <v>278</v>
      </c>
      <c r="BS280">
        <v>33.994657876790122</v>
      </c>
      <c r="BT280">
        <v>34.185894521482062</v>
      </c>
      <c r="BU280" s="144">
        <f t="shared" si="279"/>
        <v>1.0056254910811298</v>
      </c>
      <c r="BV280">
        <f t="shared" si="280"/>
        <v>0.19123664469194068</v>
      </c>
      <c r="BW280"/>
      <c r="BX280">
        <f t="shared" si="281"/>
        <v>0.70183848601942234</v>
      </c>
      <c r="BY280">
        <f t="shared" si="236"/>
        <v>0.7291462416898824</v>
      </c>
      <c r="BZ280" s="143">
        <v>0</v>
      </c>
      <c r="CA280" s="143">
        <v>0</v>
      </c>
      <c r="CB280" s="143">
        <v>0</v>
      </c>
      <c r="CC280" s="143">
        <v>0</v>
      </c>
      <c r="CD280" s="143">
        <v>0</v>
      </c>
      <c r="CE280" s="143">
        <v>0</v>
      </c>
      <c r="CF280" s="143">
        <v>0</v>
      </c>
      <c r="CG280" s="143">
        <v>1</v>
      </c>
      <c r="CH280" s="143">
        <v>0</v>
      </c>
      <c r="CI280" s="143">
        <v>1</v>
      </c>
      <c r="CJ280" s="143">
        <v>1</v>
      </c>
      <c r="CK280" s="143">
        <v>0</v>
      </c>
      <c r="CL280" s="143">
        <v>1</v>
      </c>
      <c r="CM280" s="143">
        <v>0</v>
      </c>
      <c r="CN280" t="str">
        <f t="shared" si="282"/>
        <v>refOK</v>
      </c>
      <c r="CO280">
        <f t="shared" si="283"/>
        <v>22.204433497536925</v>
      </c>
      <c r="CP280">
        <f t="shared" si="284"/>
        <v>22.426108374384221</v>
      </c>
      <c r="CQ280">
        <f t="shared" si="285"/>
        <v>0.96254831457792178</v>
      </c>
      <c r="CR280">
        <f t="shared" si="286"/>
        <v>33.994657876790122</v>
      </c>
      <c r="CS280">
        <f t="shared" si="287"/>
        <v>34.185894521482062</v>
      </c>
      <c r="CT280">
        <f t="shared" si="288"/>
        <v>0.70183848601942234</v>
      </c>
      <c r="CU280">
        <f t="shared" si="289"/>
        <v>0.7291462416898824</v>
      </c>
      <c r="CV280" s="2">
        <f t="shared" si="290"/>
        <v>5.6254910811297694E-3</v>
      </c>
      <c r="CW280" s="1" t="s">
        <v>1198</v>
      </c>
      <c r="CX280" t="str">
        <f t="shared" si="291"/>
        <v>reg</v>
      </c>
      <c r="CY280" t="s">
        <v>1280</v>
      </c>
      <c r="CZ280">
        <v>2010</v>
      </c>
      <c r="DA280" s="143">
        <v>2100</v>
      </c>
      <c r="DB280" s="143">
        <f t="shared" si="292"/>
        <v>90</v>
      </c>
      <c r="DC280" t="str">
        <f t="shared" si="293"/>
        <v>71-100</v>
      </c>
      <c r="DD280">
        <v>1</v>
      </c>
      <c r="DE280">
        <v>1</v>
      </c>
      <c r="DF280">
        <v>1</v>
      </c>
      <c r="DG280">
        <v>1</v>
      </c>
      <c r="DH280"/>
      <c r="DI280">
        <f t="shared" si="294"/>
        <v>4</v>
      </c>
      <c r="DJ280" t="str">
        <f t="shared" si="295"/>
        <v>mixedProduct</v>
      </c>
      <c r="DK280" t="str">
        <f t="shared" si="296"/>
        <v>Upstream</v>
      </c>
      <c r="DL280" t="str">
        <f t="shared" si="297"/>
        <v>Energy</v>
      </c>
      <c r="DM280" t="str">
        <f t="shared" si="298"/>
        <v>Pulp/Paper</v>
      </c>
      <c r="DN280" t="str">
        <f t="shared" si="299"/>
        <v>Timber</v>
      </c>
      <c r="DO280" s="143">
        <v>1</v>
      </c>
      <c r="DP280">
        <v>0</v>
      </c>
      <c r="DQ280" s="143">
        <v>0</v>
      </c>
      <c r="DR280" s="143">
        <v>0</v>
      </c>
      <c r="DS280" s="143" t="s">
        <v>1281</v>
      </c>
      <c r="DT280">
        <f t="shared" si="300"/>
        <v>1</v>
      </c>
      <c r="DU280" s="143" t="str">
        <f t="shared" si="301"/>
        <v>self-calculated DF</v>
      </c>
      <c r="DV280" s="143">
        <v>0</v>
      </c>
      <c r="DW280">
        <v>1</v>
      </c>
      <c r="DX280" s="143">
        <v>1</v>
      </c>
      <c r="DY280" s="143">
        <v>1</v>
      </c>
      <c r="DZ280">
        <v>1</v>
      </c>
      <c r="EA280">
        <v>0</v>
      </c>
      <c r="EB280" s="143">
        <v>0</v>
      </c>
      <c r="EC280">
        <v>0</v>
      </c>
      <c r="ED280" s="143">
        <v>0</v>
      </c>
      <c r="EE280">
        <v>0</v>
      </c>
      <c r="EF280">
        <v>1</v>
      </c>
      <c r="EG280" s="143">
        <v>0</v>
      </c>
      <c r="EH280">
        <v>0</v>
      </c>
      <c r="EI280" s="2">
        <v>0</v>
      </c>
      <c r="EJ280" s="1"/>
      <c r="EK280" t="str">
        <f t="shared" si="302"/>
        <v/>
      </c>
      <c r="EL280" t="str">
        <f t="shared" si="303"/>
        <v>Ecosystem approach</v>
      </c>
      <c r="EM280" s="2" t="str">
        <f t="shared" si="237"/>
        <v/>
      </c>
      <c r="EN280" t="s">
        <v>1282</v>
      </c>
      <c r="EO280"/>
      <c r="EP280" t="str">
        <f>IF(ISNUMBER(BU280),IF(ABS(BU280-[2]QC_indicators!$B$2)&gt;3*[2]QC_indicators!$C$2,"C ratio",IF(ISNUMBER(BY280),IF(ABS(BY280-[2]QC_indicators!$B$1)&gt;3*[2]QC_indicators!$C$1,"DF","no"))),IF(ISNUMBER(BY280),IF(ABS(BY280-[2]QC_indicators!$B$1)&gt;3*[2]QC_indicators!$C$1,"DF","no")))</f>
        <v>no</v>
      </c>
      <c r="EQ280" t="s">
        <v>286</v>
      </c>
      <c r="ER280" t="s">
        <v>1283</v>
      </c>
      <c r="ES280"/>
      <c r="ET280" s="264" t="s">
        <v>3272</v>
      </c>
      <c r="EU280"/>
    </row>
    <row r="281" spans="1:151" s="139" customFormat="1" ht="15" hidden="1" customHeight="1">
      <c r="A281" s="1" t="s">
        <v>1269</v>
      </c>
      <c r="B281" t="s">
        <v>1270</v>
      </c>
      <c r="C281" t="s">
        <v>1271</v>
      </c>
      <c r="D281" t="s">
        <v>1272</v>
      </c>
      <c r="E281" t="s">
        <v>1273</v>
      </c>
      <c r="F281" t="s">
        <v>1274</v>
      </c>
      <c r="G281" t="s">
        <v>1275</v>
      </c>
      <c r="H281"/>
      <c r="I281">
        <v>2019</v>
      </c>
      <c r="J281"/>
      <c r="K281" t="s">
        <v>1276</v>
      </c>
      <c r="L281"/>
      <c r="M281" t="str">
        <f t="shared" si="245"/>
        <v>Baskent_2019</v>
      </c>
      <c r="N281" t="s">
        <v>222</v>
      </c>
      <c r="O281" s="140" t="s">
        <v>513</v>
      </c>
      <c r="P281"/>
      <c r="Q281" t="s">
        <v>224</v>
      </c>
      <c r="R281" s="269" t="s">
        <v>274</v>
      </c>
      <c r="S281" s="1" t="s">
        <v>1277</v>
      </c>
      <c r="T281" t="s">
        <v>1110</v>
      </c>
      <c r="U281" s="143" t="s">
        <v>1278</v>
      </c>
      <c r="V281" s="143">
        <v>0</v>
      </c>
      <c r="W281" s="143">
        <v>0</v>
      </c>
      <c r="X281" s="143">
        <v>0</v>
      </c>
      <c r="Y281" s="143">
        <v>1</v>
      </c>
      <c r="Z281" s="143">
        <v>2</v>
      </c>
      <c r="AA281" s="143">
        <v>0</v>
      </c>
      <c r="AB281" s="143">
        <v>0</v>
      </c>
      <c r="AC281" s="143">
        <v>0</v>
      </c>
      <c r="AD281">
        <v>0</v>
      </c>
      <c r="AE281">
        <v>0</v>
      </c>
      <c r="AF281">
        <v>2</v>
      </c>
      <c r="AG281">
        <v>0</v>
      </c>
      <c r="AH281">
        <v>0</v>
      </c>
      <c r="AI281">
        <v>0</v>
      </c>
      <c r="AJ281">
        <v>2</v>
      </c>
      <c r="AK281">
        <v>0</v>
      </c>
      <c r="AL281">
        <v>0</v>
      </c>
      <c r="AM281">
        <v>0</v>
      </c>
      <c r="AN281">
        <v>2</v>
      </c>
      <c r="AO281">
        <v>2</v>
      </c>
      <c r="AP281">
        <v>0</v>
      </c>
      <c r="AQ281">
        <v>0</v>
      </c>
      <c r="AR281">
        <v>0</v>
      </c>
      <c r="AS281">
        <v>2</v>
      </c>
      <c r="AT281">
        <v>0</v>
      </c>
      <c r="AU281">
        <v>0</v>
      </c>
      <c r="AV281">
        <v>0</v>
      </c>
      <c r="AW281">
        <v>2</v>
      </c>
      <c r="AX281" s="141">
        <f t="shared" si="269"/>
        <v>8</v>
      </c>
      <c r="AY281" s="141">
        <f t="shared" si="270"/>
        <v>4</v>
      </c>
      <c r="AZ281">
        <f t="shared" si="271"/>
        <v>2</v>
      </c>
      <c r="BA281">
        <f t="shared" si="272"/>
        <v>1</v>
      </c>
      <c r="BB281">
        <f t="shared" si="273"/>
        <v>1</v>
      </c>
      <c r="BC281">
        <f t="shared" si="274"/>
        <v>2</v>
      </c>
      <c r="BD281">
        <f t="shared" si="275"/>
        <v>2</v>
      </c>
      <c r="BE281" t="str">
        <f t="array" ref="BE281">IF(AY281=1,INDEX($V$7:$AL$7,MATCH(TRUE,INDEX($V281:$AW281&lt;&gt;0,),0)),IF(AY281=0,INDEX($AM$7:$AW$7,MATCH(1,$AM281:$AW281,0)),IF(BF281="Multiple strategies","mixed drivers",IF(BF281="Supply chain","multiple supply","multiple silviculture"))))</f>
        <v>mixed drivers</v>
      </c>
      <c r="BF281" s="2" t="str" cm="1">
        <f t="array" ref="BF281">IF(COUNTIF(AZ281:BB281,"&lt;&gt;0")=1,INDEX($V$4:$AW$4,MATCH(TRUE,INDEX($V281:$AW281&lt;&gt;0,),0)),IF(COUNTIF(AZ281:BB281,"&lt;&gt;0")=0,INDEX($AM$4:$AW$4,MATCH(1,$AM281:$AW281,0)),"Multiple strategies"))</f>
        <v>Multiple strategies</v>
      </c>
      <c r="BG281" s="1" t="s">
        <v>321</v>
      </c>
      <c r="BH281" t="s">
        <v>1279</v>
      </c>
      <c r="BI281"/>
      <c r="BJ281" s="143" t="s">
        <v>278</v>
      </c>
      <c r="BK281">
        <v>10.270935960591125</v>
      </c>
      <c r="BL281">
        <v>10.566502463054182</v>
      </c>
      <c r="BM281" s="143">
        <f t="shared" si="276"/>
        <v>1.0287769784172665</v>
      </c>
      <c r="BN281">
        <f t="shared" si="277"/>
        <v>0.29556650246305693</v>
      </c>
      <c r="BO281" s="143">
        <f t="shared" si="278"/>
        <v>1.2833977527705469</v>
      </c>
      <c r="BP281" t="s">
        <v>232</v>
      </c>
      <c r="BQ281" t="s">
        <v>787</v>
      </c>
      <c r="BR281" s="143" t="s">
        <v>278</v>
      </c>
      <c r="BS281">
        <v>30.8433734939759</v>
      </c>
      <c r="BT281">
        <v>31.526844706012898</v>
      </c>
      <c r="BU281" s="144">
        <f t="shared" si="279"/>
        <v>1.022159418202762</v>
      </c>
      <c r="BV281">
        <f t="shared" si="280"/>
        <v>0.68347121203699857</v>
      </c>
      <c r="BW281"/>
      <c r="BX281">
        <f t="shared" si="281"/>
        <v>2.5083393481757845</v>
      </c>
      <c r="BY281">
        <f t="shared" si="236"/>
        <v>1.9544520338771698</v>
      </c>
      <c r="BZ281" s="143">
        <v>0</v>
      </c>
      <c r="CA281" s="143">
        <v>0</v>
      </c>
      <c r="CB281" s="143">
        <v>0</v>
      </c>
      <c r="CC281" s="143">
        <v>0</v>
      </c>
      <c r="CD281" s="143">
        <v>0</v>
      </c>
      <c r="CE281" s="143">
        <v>0</v>
      </c>
      <c r="CF281" s="143">
        <v>0</v>
      </c>
      <c r="CG281" s="143">
        <v>1</v>
      </c>
      <c r="CH281" s="143">
        <v>0</v>
      </c>
      <c r="CI281" s="143">
        <v>1</v>
      </c>
      <c r="CJ281" s="143">
        <v>1</v>
      </c>
      <c r="CK281" s="143">
        <v>0</v>
      </c>
      <c r="CL281" s="143">
        <v>1</v>
      </c>
      <c r="CM281" s="143">
        <v>0</v>
      </c>
      <c r="CN281" t="str">
        <f t="shared" si="282"/>
        <v>refOK</v>
      </c>
      <c r="CO281">
        <f t="shared" si="283"/>
        <v>10.270935960591125</v>
      </c>
      <c r="CP281">
        <f t="shared" si="284"/>
        <v>10.566502463054182</v>
      </c>
      <c r="CQ281">
        <f t="shared" si="285"/>
        <v>1.2833977527705469</v>
      </c>
      <c r="CR281">
        <f t="shared" si="286"/>
        <v>30.8433734939759</v>
      </c>
      <c r="CS281">
        <f t="shared" si="287"/>
        <v>31.526844706012898</v>
      </c>
      <c r="CT281">
        <f t="shared" si="288"/>
        <v>2.5083393481757845</v>
      </c>
      <c r="CU281">
        <f t="shared" si="289"/>
        <v>1.9544520338771698</v>
      </c>
      <c r="CV281" s="2">
        <f t="shared" si="290"/>
        <v>2.2159418202762064E-2</v>
      </c>
      <c r="CW281" s="1" t="s">
        <v>1198</v>
      </c>
      <c r="CX281" t="str">
        <f t="shared" si="291"/>
        <v>reg</v>
      </c>
      <c r="CY281" t="s">
        <v>1280</v>
      </c>
      <c r="CZ281">
        <v>2010</v>
      </c>
      <c r="DA281" s="143">
        <v>2060</v>
      </c>
      <c r="DB281" s="143">
        <f t="shared" si="292"/>
        <v>50</v>
      </c>
      <c r="DC281" t="str">
        <f t="shared" si="293"/>
        <v>31-70</v>
      </c>
      <c r="DD281">
        <v>1</v>
      </c>
      <c r="DE281">
        <v>0</v>
      </c>
      <c r="DF281">
        <v>0</v>
      </c>
      <c r="DG281">
        <v>0</v>
      </c>
      <c r="DH281"/>
      <c r="DI281">
        <f t="shared" si="294"/>
        <v>1</v>
      </c>
      <c r="DJ281" t="str">
        <f t="shared" si="295"/>
        <v>UpstreamInput</v>
      </c>
      <c r="DK281" t="str">
        <f t="shared" si="296"/>
        <v>Upstream</v>
      </c>
      <c r="DL281">
        <f t="shared" si="297"/>
        <v>0</v>
      </c>
      <c r="DM281">
        <f t="shared" si="298"/>
        <v>0</v>
      </c>
      <c r="DN281">
        <f t="shared" si="299"/>
        <v>0</v>
      </c>
      <c r="DO281" s="143">
        <v>1</v>
      </c>
      <c r="DP281">
        <v>0</v>
      </c>
      <c r="DQ281" s="143">
        <v>0</v>
      </c>
      <c r="DR281" s="143">
        <v>0</v>
      </c>
      <c r="DS281" s="143" t="s">
        <v>1281</v>
      </c>
      <c r="DT281">
        <f t="shared" si="300"/>
        <v>1</v>
      </c>
      <c r="DU281" s="143" t="str">
        <f t="shared" si="301"/>
        <v>self-calculated DF</v>
      </c>
      <c r="DV281" s="143">
        <v>0</v>
      </c>
      <c r="DW281">
        <v>1</v>
      </c>
      <c r="DX281" s="143">
        <v>1</v>
      </c>
      <c r="DY281" s="143">
        <v>0</v>
      </c>
      <c r="DZ281">
        <v>0</v>
      </c>
      <c r="EA281">
        <v>0</v>
      </c>
      <c r="EB281" s="143">
        <v>0</v>
      </c>
      <c r="EC281">
        <v>0</v>
      </c>
      <c r="ED281" s="143">
        <v>0</v>
      </c>
      <c r="EE281">
        <v>0</v>
      </c>
      <c r="EF281">
        <v>1</v>
      </c>
      <c r="EG281" s="143">
        <v>0</v>
      </c>
      <c r="EH281">
        <v>0</v>
      </c>
      <c r="EI281" s="2">
        <v>0</v>
      </c>
      <c r="EJ281" s="1"/>
      <c r="EK281" t="str">
        <f t="shared" si="302"/>
        <v/>
      </c>
      <c r="EL281" t="str">
        <f t="shared" si="303"/>
        <v/>
      </c>
      <c r="EM281" s="2" t="str">
        <f t="shared" si="237"/>
        <v/>
      </c>
      <c r="EN281" t="s">
        <v>1282</v>
      </c>
      <c r="EO281"/>
      <c r="EP281" t="str">
        <f>IF(ISNUMBER(BU281),IF(ABS(BU281-[2]QC_indicators!$B$2)&gt;3*[2]QC_indicators!$C$2,"C ratio",IF(ISNUMBER(BY281),IF(ABS(BY281-[2]QC_indicators!$B$1)&gt;3*[2]QC_indicators!$C$1,"DF","no"))),IF(ISNUMBER(BY281),IF(ABS(BY281-[2]QC_indicators!$B$1)&gt;3*[2]QC_indicators!$C$1,"DF","no")))</f>
        <v>no</v>
      </c>
      <c r="EQ281" t="s">
        <v>286</v>
      </c>
      <c r="ER281" t="s">
        <v>1283</v>
      </c>
      <c r="ES281"/>
      <c r="ET281" s="264" t="s">
        <v>3272</v>
      </c>
      <c r="EU281"/>
    </row>
    <row r="282" spans="1:151" s="139" customFormat="1" ht="15" hidden="1" customHeight="1">
      <c r="A282" s="1" t="s">
        <v>1269</v>
      </c>
      <c r="B282" t="s">
        <v>1270</v>
      </c>
      <c r="C282" t="s">
        <v>1271</v>
      </c>
      <c r="D282" t="s">
        <v>1272</v>
      </c>
      <c r="E282" t="s">
        <v>1273</v>
      </c>
      <c r="F282" t="s">
        <v>1274</v>
      </c>
      <c r="G282" t="s">
        <v>1275</v>
      </c>
      <c r="H282"/>
      <c r="I282">
        <v>2019</v>
      </c>
      <c r="J282"/>
      <c r="K282" t="s">
        <v>1276</v>
      </c>
      <c r="L282"/>
      <c r="M282" t="str">
        <f t="shared" si="245"/>
        <v>Baskent_2019</v>
      </c>
      <c r="N282" t="s">
        <v>222</v>
      </c>
      <c r="O282" s="140" t="s">
        <v>513</v>
      </c>
      <c r="P282"/>
      <c r="Q282" t="s">
        <v>224</v>
      </c>
      <c r="R282" s="269" t="s">
        <v>274</v>
      </c>
      <c r="S282" s="1" t="s">
        <v>1277</v>
      </c>
      <c r="T282" t="s">
        <v>1110</v>
      </c>
      <c r="U282" s="143" t="s">
        <v>1278</v>
      </c>
      <c r="V282" s="143">
        <v>0</v>
      </c>
      <c r="W282" s="143">
        <v>0</v>
      </c>
      <c r="X282" s="143">
        <v>0</v>
      </c>
      <c r="Y282" s="143">
        <v>1</v>
      </c>
      <c r="Z282" s="143">
        <v>2</v>
      </c>
      <c r="AA282" s="143">
        <v>0</v>
      </c>
      <c r="AB282" s="143">
        <v>0</v>
      </c>
      <c r="AC282" s="143">
        <v>0</v>
      </c>
      <c r="AD282">
        <v>0</v>
      </c>
      <c r="AE282">
        <v>0</v>
      </c>
      <c r="AF282">
        <v>2</v>
      </c>
      <c r="AG282">
        <v>0</v>
      </c>
      <c r="AH282">
        <v>0</v>
      </c>
      <c r="AI282">
        <v>0</v>
      </c>
      <c r="AJ282">
        <v>2</v>
      </c>
      <c r="AK282">
        <v>0</v>
      </c>
      <c r="AL282">
        <v>0</v>
      </c>
      <c r="AM282">
        <v>0</v>
      </c>
      <c r="AN282">
        <v>2</v>
      </c>
      <c r="AO282">
        <v>2</v>
      </c>
      <c r="AP282">
        <v>0</v>
      </c>
      <c r="AQ282">
        <v>0</v>
      </c>
      <c r="AR282">
        <v>0</v>
      </c>
      <c r="AS282">
        <v>2</v>
      </c>
      <c r="AT282">
        <v>0</v>
      </c>
      <c r="AU282">
        <v>0</v>
      </c>
      <c r="AV282">
        <v>0</v>
      </c>
      <c r="AW282">
        <v>2</v>
      </c>
      <c r="AX282" s="141">
        <f t="shared" si="269"/>
        <v>8</v>
      </c>
      <c r="AY282" s="141">
        <f t="shared" si="270"/>
        <v>4</v>
      </c>
      <c r="AZ282">
        <f t="shared" si="271"/>
        <v>2</v>
      </c>
      <c r="BA282">
        <f t="shared" si="272"/>
        <v>1</v>
      </c>
      <c r="BB282">
        <f t="shared" si="273"/>
        <v>1</v>
      </c>
      <c r="BC282">
        <f t="shared" si="274"/>
        <v>2</v>
      </c>
      <c r="BD282">
        <f t="shared" si="275"/>
        <v>2</v>
      </c>
      <c r="BE282" t="str">
        <f t="array" ref="BE282">IF(AY282=1,INDEX($V$7:$AL$7,MATCH(TRUE,INDEX($V282:$AW282&lt;&gt;0,),0)),IF(AY282=0,INDEX($AM$7:$AW$7,MATCH(1,$AM282:$AW282,0)),IF(BF282="Multiple strategies","mixed drivers",IF(BF282="Supply chain","multiple supply","multiple silviculture"))))</f>
        <v>mixed drivers</v>
      </c>
      <c r="BF282" s="2" t="str" cm="1">
        <f t="array" ref="BF282">IF(COUNTIF(AZ282:BB282,"&lt;&gt;0")=1,INDEX($V$4:$AW$4,MATCH(TRUE,INDEX($V282:$AW282&lt;&gt;0,),0)),IF(COUNTIF(AZ282:BB282,"&lt;&gt;0")=0,INDEX($AM$4:$AW$4,MATCH(1,$AM282:$AW282,0)),"Multiple strategies"))</f>
        <v>Multiple strategies</v>
      </c>
      <c r="BG282" s="1" t="s">
        <v>321</v>
      </c>
      <c r="BH282" t="s">
        <v>1279</v>
      </c>
      <c r="BI282"/>
      <c r="BJ282" s="143" t="s">
        <v>278</v>
      </c>
      <c r="BK282">
        <v>10.270935960591125</v>
      </c>
      <c r="BL282">
        <v>10.566502463054182</v>
      </c>
      <c r="BM282" s="143">
        <f t="shared" si="276"/>
        <v>1.0287769784172665</v>
      </c>
      <c r="BN282">
        <f t="shared" si="277"/>
        <v>0.29556650246305693</v>
      </c>
      <c r="BO282" s="143">
        <f t="shared" si="278"/>
        <v>1.2833977527705469</v>
      </c>
      <c r="BP282" t="s">
        <v>232</v>
      </c>
      <c r="BQ282" t="s">
        <v>787</v>
      </c>
      <c r="BR282" s="143" t="s">
        <v>278</v>
      </c>
      <c r="BS282">
        <v>33.994657876790122</v>
      </c>
      <c r="BT282">
        <v>34.822007358186738</v>
      </c>
      <c r="BU282" s="144">
        <f t="shared" si="279"/>
        <v>1.0243376322360782</v>
      </c>
      <c r="BV282">
        <f t="shared" si="280"/>
        <v>0.82734948139661668</v>
      </c>
      <c r="BW282"/>
      <c r="BX282">
        <f t="shared" si="281"/>
        <v>3.0363725967255832</v>
      </c>
      <c r="BY282">
        <f t="shared" si="236"/>
        <v>2.3658858605376123</v>
      </c>
      <c r="BZ282" s="143">
        <v>0</v>
      </c>
      <c r="CA282" s="143">
        <v>0</v>
      </c>
      <c r="CB282" s="143">
        <v>0</v>
      </c>
      <c r="CC282" s="143">
        <v>0</v>
      </c>
      <c r="CD282" s="143">
        <v>0</v>
      </c>
      <c r="CE282" s="143">
        <v>0</v>
      </c>
      <c r="CF282" s="143">
        <v>0</v>
      </c>
      <c r="CG282" s="143">
        <v>1</v>
      </c>
      <c r="CH282" s="143">
        <v>0</v>
      </c>
      <c r="CI282" s="143">
        <v>1</v>
      </c>
      <c r="CJ282" s="143">
        <v>1</v>
      </c>
      <c r="CK282" s="143">
        <v>0</v>
      </c>
      <c r="CL282" s="143">
        <v>1</v>
      </c>
      <c r="CM282" s="143">
        <v>0</v>
      </c>
      <c r="CN282" t="str">
        <f t="shared" si="282"/>
        <v>refOK</v>
      </c>
      <c r="CO282">
        <f t="shared" si="283"/>
        <v>10.270935960591125</v>
      </c>
      <c r="CP282">
        <f t="shared" si="284"/>
        <v>10.566502463054182</v>
      </c>
      <c r="CQ282">
        <f t="shared" si="285"/>
        <v>1.2833977527705469</v>
      </c>
      <c r="CR282">
        <f t="shared" si="286"/>
        <v>33.994657876790122</v>
      </c>
      <c r="CS282">
        <f t="shared" si="287"/>
        <v>34.822007358186738</v>
      </c>
      <c r="CT282">
        <f t="shared" si="288"/>
        <v>3.0363725967255832</v>
      </c>
      <c r="CU282">
        <f t="shared" si="289"/>
        <v>2.3658858605376123</v>
      </c>
      <c r="CV282" s="2">
        <f t="shared" si="290"/>
        <v>2.4337632236078193E-2</v>
      </c>
      <c r="CW282" s="1" t="s">
        <v>1198</v>
      </c>
      <c r="CX282" t="str">
        <f t="shared" si="291"/>
        <v>reg</v>
      </c>
      <c r="CY282" t="s">
        <v>1280</v>
      </c>
      <c r="CZ282">
        <v>2010</v>
      </c>
      <c r="DA282" s="143">
        <v>2060</v>
      </c>
      <c r="DB282" s="143">
        <f t="shared" si="292"/>
        <v>50</v>
      </c>
      <c r="DC282" t="str">
        <f t="shared" si="293"/>
        <v>31-70</v>
      </c>
      <c r="DD282">
        <v>1</v>
      </c>
      <c r="DE282">
        <v>1</v>
      </c>
      <c r="DF282">
        <v>1</v>
      </c>
      <c r="DG282">
        <v>1</v>
      </c>
      <c r="DH282"/>
      <c r="DI282">
        <f t="shared" si="294"/>
        <v>4</v>
      </c>
      <c r="DJ282" t="str">
        <f t="shared" si="295"/>
        <v>mixedProduct</v>
      </c>
      <c r="DK282" t="str">
        <f t="shared" si="296"/>
        <v>Upstream</v>
      </c>
      <c r="DL282" t="str">
        <f t="shared" si="297"/>
        <v>Energy</v>
      </c>
      <c r="DM282" t="str">
        <f t="shared" si="298"/>
        <v>Pulp/Paper</v>
      </c>
      <c r="DN282" t="str">
        <f t="shared" si="299"/>
        <v>Timber</v>
      </c>
      <c r="DO282" s="143">
        <v>1</v>
      </c>
      <c r="DP282">
        <v>0</v>
      </c>
      <c r="DQ282" s="143">
        <v>0</v>
      </c>
      <c r="DR282" s="143">
        <v>0</v>
      </c>
      <c r="DS282" s="143" t="s">
        <v>1281</v>
      </c>
      <c r="DT282">
        <f t="shared" si="300"/>
        <v>1</v>
      </c>
      <c r="DU282" s="143" t="str">
        <f t="shared" si="301"/>
        <v>self-calculated DF</v>
      </c>
      <c r="DV282" s="143">
        <v>0</v>
      </c>
      <c r="DW282">
        <v>1</v>
      </c>
      <c r="DX282" s="143">
        <v>1</v>
      </c>
      <c r="DY282" s="143">
        <v>1</v>
      </c>
      <c r="DZ282">
        <v>1</v>
      </c>
      <c r="EA282">
        <v>0</v>
      </c>
      <c r="EB282" s="143">
        <v>0</v>
      </c>
      <c r="EC282">
        <v>0</v>
      </c>
      <c r="ED282" s="143">
        <v>0</v>
      </c>
      <c r="EE282">
        <v>0</v>
      </c>
      <c r="EF282">
        <v>1</v>
      </c>
      <c r="EG282" s="143">
        <v>0</v>
      </c>
      <c r="EH282">
        <v>0</v>
      </c>
      <c r="EI282" s="2">
        <v>0</v>
      </c>
      <c r="EJ282" s="1"/>
      <c r="EK282" t="str">
        <f t="shared" si="302"/>
        <v/>
      </c>
      <c r="EL282" t="str">
        <f t="shared" si="303"/>
        <v>Ecosystem approach</v>
      </c>
      <c r="EM282" s="2" t="str">
        <f t="shared" si="237"/>
        <v/>
      </c>
      <c r="EN282" t="s">
        <v>1282</v>
      </c>
      <c r="EO282"/>
      <c r="EP282" t="str">
        <f>IF(ISNUMBER(BU282),IF(ABS(BU282-[2]QC_indicators!$B$2)&gt;3*[2]QC_indicators!$C$2,"C ratio",IF(ISNUMBER(BY282),IF(ABS(BY282-[2]QC_indicators!$B$1)&gt;3*[2]QC_indicators!$C$1,"DF","no"))),IF(ISNUMBER(BY282),IF(ABS(BY282-[2]QC_indicators!$B$1)&gt;3*[2]QC_indicators!$C$1,"DF","no")))</f>
        <v>no</v>
      </c>
      <c r="EQ282" t="s">
        <v>286</v>
      </c>
      <c r="ER282" t="s">
        <v>1283</v>
      </c>
      <c r="ES282"/>
      <c r="ET282" s="264" t="s">
        <v>3272</v>
      </c>
      <c r="EU282"/>
    </row>
    <row r="283" spans="1:151" s="139" customFormat="1" ht="15" hidden="1" customHeight="1">
      <c r="A283" s="1" t="s">
        <v>1269</v>
      </c>
      <c r="B283" t="s">
        <v>1270</v>
      </c>
      <c r="C283" t="s">
        <v>1271</v>
      </c>
      <c r="D283" t="s">
        <v>1272</v>
      </c>
      <c r="E283" t="s">
        <v>1273</v>
      </c>
      <c r="F283" t="s">
        <v>1274</v>
      </c>
      <c r="G283" t="s">
        <v>1275</v>
      </c>
      <c r="H283"/>
      <c r="I283">
        <v>2019</v>
      </c>
      <c r="J283"/>
      <c r="K283" t="s">
        <v>1276</v>
      </c>
      <c r="L283"/>
      <c r="M283" t="str">
        <f t="shared" si="245"/>
        <v>Baskent_2019</v>
      </c>
      <c r="N283" t="s">
        <v>222</v>
      </c>
      <c r="O283" s="140" t="s">
        <v>513</v>
      </c>
      <c r="P283"/>
      <c r="Q283" t="s">
        <v>224</v>
      </c>
      <c r="R283" s="269" t="s">
        <v>274</v>
      </c>
      <c r="S283" s="1" t="s">
        <v>1277</v>
      </c>
      <c r="T283" t="s">
        <v>1110</v>
      </c>
      <c r="U283" s="143" t="s">
        <v>1278</v>
      </c>
      <c r="V283" s="143">
        <v>0</v>
      </c>
      <c r="W283" s="143">
        <v>0</v>
      </c>
      <c r="X283" s="143">
        <v>0</v>
      </c>
      <c r="Y283" s="143">
        <v>1</v>
      </c>
      <c r="Z283" s="143">
        <v>2</v>
      </c>
      <c r="AA283" s="143">
        <v>0</v>
      </c>
      <c r="AB283" s="143">
        <v>0</v>
      </c>
      <c r="AC283" s="143">
        <v>0</v>
      </c>
      <c r="AD283">
        <v>0</v>
      </c>
      <c r="AE283">
        <v>0</v>
      </c>
      <c r="AF283">
        <v>2</v>
      </c>
      <c r="AG283">
        <v>0</v>
      </c>
      <c r="AH283">
        <v>0</v>
      </c>
      <c r="AI283">
        <v>0</v>
      </c>
      <c r="AJ283">
        <v>2</v>
      </c>
      <c r="AK283">
        <v>0</v>
      </c>
      <c r="AL283">
        <v>0</v>
      </c>
      <c r="AM283">
        <v>0</v>
      </c>
      <c r="AN283">
        <v>2</v>
      </c>
      <c r="AO283">
        <v>2</v>
      </c>
      <c r="AP283">
        <v>0</v>
      </c>
      <c r="AQ283">
        <v>0</v>
      </c>
      <c r="AR283">
        <v>0</v>
      </c>
      <c r="AS283">
        <v>2</v>
      </c>
      <c r="AT283">
        <v>0</v>
      </c>
      <c r="AU283">
        <v>0</v>
      </c>
      <c r="AV283">
        <v>0</v>
      </c>
      <c r="AW283">
        <v>2</v>
      </c>
      <c r="AX283" s="141">
        <f t="shared" si="269"/>
        <v>8</v>
      </c>
      <c r="AY283" s="141">
        <f t="shared" si="270"/>
        <v>4</v>
      </c>
      <c r="AZ283">
        <f t="shared" si="271"/>
        <v>2</v>
      </c>
      <c r="BA283">
        <f t="shared" si="272"/>
        <v>1</v>
      </c>
      <c r="BB283">
        <f t="shared" si="273"/>
        <v>1</v>
      </c>
      <c r="BC283">
        <f t="shared" si="274"/>
        <v>2</v>
      </c>
      <c r="BD283">
        <f t="shared" si="275"/>
        <v>2</v>
      </c>
      <c r="BE283" t="str">
        <f t="array" ref="BE283">IF(AY283=1,INDEX($V$7:$AL$7,MATCH(TRUE,INDEX($V283:$AW283&lt;&gt;0,),0)),IF(AY283=0,INDEX($AM$7:$AW$7,MATCH(1,$AM283:$AW283,0)),IF(BF283="Multiple strategies","mixed drivers",IF(BF283="Supply chain","multiple supply","multiple silviculture"))))</f>
        <v>mixed drivers</v>
      </c>
      <c r="BF283" s="2" t="str" cm="1">
        <f t="array" ref="BF283">IF(COUNTIF(AZ283:BB283,"&lt;&gt;0")=1,INDEX($V$4:$AW$4,MATCH(TRUE,INDEX($V283:$AW283&lt;&gt;0,),0)),IF(COUNTIF(AZ283:BB283,"&lt;&gt;0")=0,INDEX($AM$4:$AW$4,MATCH(1,$AM283:$AW283,0)),"Multiple strategies"))</f>
        <v>Multiple strategies</v>
      </c>
      <c r="BG283" s="1" t="s">
        <v>321</v>
      </c>
      <c r="BH283" t="s">
        <v>1279</v>
      </c>
      <c r="BI283"/>
      <c r="BJ283" s="143" t="s">
        <v>278</v>
      </c>
      <c r="BK283">
        <v>10.270935960591125</v>
      </c>
      <c r="BL283">
        <v>10.566502463054182</v>
      </c>
      <c r="BM283" s="143">
        <f t="shared" si="276"/>
        <v>1.0287769784172665</v>
      </c>
      <c r="BN283">
        <f t="shared" si="277"/>
        <v>0.29556650246305693</v>
      </c>
      <c r="BO283" s="143">
        <f t="shared" si="278"/>
        <v>1.2833977527705469</v>
      </c>
      <c r="BP283" t="s">
        <v>232</v>
      </c>
      <c r="BQ283" t="s">
        <v>787</v>
      </c>
      <c r="BR283" s="143" t="s">
        <v>278</v>
      </c>
      <c r="BS283">
        <v>38.33684792940457</v>
      </c>
      <c r="BT283">
        <v>40.680525417714911</v>
      </c>
      <c r="BU283" s="144">
        <f t="shared" si="279"/>
        <v>1.0611338076783492</v>
      </c>
      <c r="BV283">
        <f t="shared" si="280"/>
        <v>2.3436774883103411</v>
      </c>
      <c r="BW283"/>
      <c r="BX283">
        <f t="shared" si="281"/>
        <v>8.6012963820989512</v>
      </c>
      <c r="BY283">
        <f t="shared" si="236"/>
        <v>6.7019724504977685</v>
      </c>
      <c r="BZ283" s="143">
        <v>0</v>
      </c>
      <c r="CA283" s="143">
        <v>0</v>
      </c>
      <c r="CB283" s="143">
        <v>0</v>
      </c>
      <c r="CC283" s="143">
        <v>0</v>
      </c>
      <c r="CD283" s="143">
        <v>0</v>
      </c>
      <c r="CE283" s="143">
        <v>0</v>
      </c>
      <c r="CF283" s="143">
        <v>0</v>
      </c>
      <c r="CG283" s="143">
        <v>1</v>
      </c>
      <c r="CH283" s="143">
        <v>0</v>
      </c>
      <c r="CI283" s="143">
        <v>1</v>
      </c>
      <c r="CJ283" s="143">
        <v>1</v>
      </c>
      <c r="CK283" s="143">
        <v>0</v>
      </c>
      <c r="CL283" s="143">
        <v>1</v>
      </c>
      <c r="CM283" s="143">
        <v>0</v>
      </c>
      <c r="CN283" t="str">
        <f t="shared" si="282"/>
        <v>refOK</v>
      </c>
      <c r="CO283">
        <f t="shared" si="283"/>
        <v>10.270935960591125</v>
      </c>
      <c r="CP283">
        <f t="shared" si="284"/>
        <v>10.566502463054182</v>
      </c>
      <c r="CQ283">
        <f t="shared" si="285"/>
        <v>1.2833977527705469</v>
      </c>
      <c r="CR283">
        <f t="shared" si="286"/>
        <v>38.33684792940457</v>
      </c>
      <c r="CS283">
        <f t="shared" si="287"/>
        <v>40.680525417714911</v>
      </c>
      <c r="CT283">
        <f t="shared" si="288"/>
        <v>8.6012963820989512</v>
      </c>
      <c r="CU283">
        <f t="shared" si="289"/>
        <v>6.7019724504977685</v>
      </c>
      <c r="CV283" s="2">
        <f t="shared" si="290"/>
        <v>6.1133807678349264E-2</v>
      </c>
      <c r="CW283" s="1" t="s">
        <v>1198</v>
      </c>
      <c r="CX283" t="str">
        <f t="shared" si="291"/>
        <v>reg</v>
      </c>
      <c r="CY283" t="s">
        <v>1280</v>
      </c>
      <c r="CZ283">
        <v>2010</v>
      </c>
      <c r="DA283" s="143">
        <v>2060</v>
      </c>
      <c r="DB283" s="143">
        <f t="shared" si="292"/>
        <v>50</v>
      </c>
      <c r="DC283" t="str">
        <f t="shared" si="293"/>
        <v>31-70</v>
      </c>
      <c r="DD283">
        <v>1</v>
      </c>
      <c r="DE283">
        <v>1</v>
      </c>
      <c r="DF283">
        <v>1</v>
      </c>
      <c r="DG283">
        <v>1</v>
      </c>
      <c r="DH283"/>
      <c r="DI283">
        <f t="shared" si="294"/>
        <v>4</v>
      </c>
      <c r="DJ283" t="str">
        <f t="shared" si="295"/>
        <v>mixedProduct</v>
      </c>
      <c r="DK283" t="str">
        <f t="shared" si="296"/>
        <v>Upstream</v>
      </c>
      <c r="DL283" t="str">
        <f t="shared" si="297"/>
        <v>Energy</v>
      </c>
      <c r="DM283" t="str">
        <f t="shared" si="298"/>
        <v>Pulp/Paper</v>
      </c>
      <c r="DN283" t="str">
        <f t="shared" si="299"/>
        <v>Timber</v>
      </c>
      <c r="DO283" s="143">
        <v>1</v>
      </c>
      <c r="DP283">
        <v>0</v>
      </c>
      <c r="DQ283" s="143">
        <v>0</v>
      </c>
      <c r="DR283" s="143">
        <v>0</v>
      </c>
      <c r="DS283" s="143" t="s">
        <v>1281</v>
      </c>
      <c r="DT283">
        <f t="shared" si="300"/>
        <v>1</v>
      </c>
      <c r="DU283" s="143" t="str">
        <f t="shared" si="301"/>
        <v>self-calculated DF</v>
      </c>
      <c r="DV283" s="143">
        <v>0</v>
      </c>
      <c r="DW283">
        <v>1</v>
      </c>
      <c r="DX283" s="143">
        <v>1</v>
      </c>
      <c r="DY283" s="143">
        <v>1</v>
      </c>
      <c r="DZ283">
        <v>1</v>
      </c>
      <c r="EA283">
        <v>1</v>
      </c>
      <c r="EB283" s="143">
        <v>0</v>
      </c>
      <c r="EC283">
        <v>0</v>
      </c>
      <c r="ED283" s="143">
        <v>0</v>
      </c>
      <c r="EE283">
        <v>0</v>
      </c>
      <c r="EF283">
        <v>1</v>
      </c>
      <c r="EG283" s="143">
        <v>0</v>
      </c>
      <c r="EH283">
        <v>0</v>
      </c>
      <c r="EI283" s="2">
        <v>0</v>
      </c>
      <c r="EJ283" s="1"/>
      <c r="EK283" t="str">
        <f t="shared" si="302"/>
        <v/>
      </c>
      <c r="EL283" t="str">
        <f t="shared" si="303"/>
        <v/>
      </c>
      <c r="EM283" s="2" t="str">
        <f t="shared" si="237"/>
        <v/>
      </c>
      <c r="EN283" t="s">
        <v>1282</v>
      </c>
      <c r="EO283"/>
      <c r="EP283" t="str">
        <f>IF(ISNUMBER(BU283),IF(ABS(BU283-[2]QC_indicators!$B$2)&gt;3*[2]QC_indicators!$C$2,"C ratio",IF(ISNUMBER(BY283),IF(ABS(BY283-[2]QC_indicators!$B$1)&gt;3*[2]QC_indicators!$C$1,"DF","no"))),IF(ISNUMBER(BY283),IF(ABS(BY283-[2]QC_indicators!$B$1)&gt;3*[2]QC_indicators!$C$1,"DF","no")))</f>
        <v>no</v>
      </c>
      <c r="EQ283" t="s">
        <v>286</v>
      </c>
      <c r="ER283" t="s">
        <v>1283</v>
      </c>
      <c r="ES283"/>
      <c r="ET283" s="264" t="s">
        <v>3272</v>
      </c>
      <c r="EU283"/>
    </row>
    <row r="284" spans="1:151" s="139" customFormat="1" ht="15" hidden="1" customHeight="1">
      <c r="A284" s="1" t="s">
        <v>1269</v>
      </c>
      <c r="B284" t="s">
        <v>1270</v>
      </c>
      <c r="C284" t="s">
        <v>1271</v>
      </c>
      <c r="D284" t="s">
        <v>1272</v>
      </c>
      <c r="E284" t="s">
        <v>1273</v>
      </c>
      <c r="F284" t="s">
        <v>1274</v>
      </c>
      <c r="G284" t="s">
        <v>1275</v>
      </c>
      <c r="H284"/>
      <c r="I284">
        <v>2019</v>
      </c>
      <c r="J284"/>
      <c r="K284" t="s">
        <v>1276</v>
      </c>
      <c r="L284"/>
      <c r="M284" t="str">
        <f t="shared" si="245"/>
        <v>Baskent_2019</v>
      </c>
      <c r="N284" t="s">
        <v>222</v>
      </c>
      <c r="O284" s="140" t="s">
        <v>513</v>
      </c>
      <c r="P284"/>
      <c r="Q284" t="s">
        <v>224</v>
      </c>
      <c r="R284" s="269" t="s">
        <v>274</v>
      </c>
      <c r="S284" s="1" t="s">
        <v>1277</v>
      </c>
      <c r="T284" t="s">
        <v>1110</v>
      </c>
      <c r="U284" s="143" t="s">
        <v>1284</v>
      </c>
      <c r="V284" s="143">
        <v>0</v>
      </c>
      <c r="W284" s="143">
        <v>0</v>
      </c>
      <c r="X284" s="143">
        <v>0</v>
      </c>
      <c r="Y284" s="143">
        <v>1</v>
      </c>
      <c r="Z284" s="143">
        <v>2</v>
      </c>
      <c r="AA284" s="143">
        <v>0</v>
      </c>
      <c r="AB284" s="143">
        <v>0</v>
      </c>
      <c r="AC284" s="143">
        <v>0</v>
      </c>
      <c r="AD284">
        <v>0</v>
      </c>
      <c r="AE284">
        <v>0</v>
      </c>
      <c r="AF284">
        <v>2</v>
      </c>
      <c r="AG284">
        <v>0</v>
      </c>
      <c r="AH284">
        <v>0</v>
      </c>
      <c r="AI284">
        <v>0</v>
      </c>
      <c r="AJ284">
        <v>2</v>
      </c>
      <c r="AK284">
        <v>0</v>
      </c>
      <c r="AL284">
        <v>0</v>
      </c>
      <c r="AM284">
        <v>0</v>
      </c>
      <c r="AN284">
        <v>2</v>
      </c>
      <c r="AO284">
        <v>2</v>
      </c>
      <c r="AP284">
        <v>0</v>
      </c>
      <c r="AQ284">
        <v>0</v>
      </c>
      <c r="AR284">
        <v>0</v>
      </c>
      <c r="AS284">
        <v>2</v>
      </c>
      <c r="AT284">
        <v>0</v>
      </c>
      <c r="AU284">
        <v>0</v>
      </c>
      <c r="AV284">
        <v>0</v>
      </c>
      <c r="AW284">
        <v>2</v>
      </c>
      <c r="AX284" s="141">
        <f t="shared" si="269"/>
        <v>8</v>
      </c>
      <c r="AY284" s="141">
        <f t="shared" si="270"/>
        <v>4</v>
      </c>
      <c r="AZ284">
        <f t="shared" si="271"/>
        <v>2</v>
      </c>
      <c r="BA284">
        <f t="shared" si="272"/>
        <v>1</v>
      </c>
      <c r="BB284">
        <f t="shared" si="273"/>
        <v>1</v>
      </c>
      <c r="BC284">
        <f t="shared" si="274"/>
        <v>2</v>
      </c>
      <c r="BD284">
        <f t="shared" si="275"/>
        <v>2</v>
      </c>
      <c r="BE284" t="str">
        <f t="array" ref="BE284">IF(AY284=1,INDEX($V$7:$AL$7,MATCH(TRUE,INDEX($V284:$AW284&lt;&gt;0,),0)),IF(AY284=0,INDEX($AM$7:$AW$7,MATCH(1,$AM284:$AW284,0)),IF(BF284="Multiple strategies","mixed drivers",IF(BF284="Supply chain","multiple supply","multiple silviculture"))))</f>
        <v>mixed drivers</v>
      </c>
      <c r="BF284" s="2" t="str" cm="1">
        <f t="array" ref="BF284">IF(COUNTIF(AZ284:BB284,"&lt;&gt;0")=1,INDEX($V$4:$AW$4,MATCH(TRUE,INDEX($V284:$AW284&lt;&gt;0,),0)),IF(COUNTIF(AZ284:BB284,"&lt;&gt;0")=0,INDEX($AM$4:$AW$4,MATCH(1,$AM284:$AW284,0)),"Multiple strategies"))</f>
        <v>Multiple strategies</v>
      </c>
      <c r="BG284" s="1" t="s">
        <v>321</v>
      </c>
      <c r="BH284" t="s">
        <v>1279</v>
      </c>
      <c r="BI284"/>
      <c r="BJ284" s="143" t="s">
        <v>278</v>
      </c>
      <c r="BK284">
        <v>22.204433497536925</v>
      </c>
      <c r="BL284">
        <v>22.426108374384221</v>
      </c>
      <c r="BM284" s="143">
        <f t="shared" si="276"/>
        <v>1.0099833610648921</v>
      </c>
      <c r="BN284">
        <f t="shared" si="277"/>
        <v>0.22167487684729537</v>
      </c>
      <c r="BO284" s="143">
        <f t="shared" si="278"/>
        <v>0.96254831457792178</v>
      </c>
      <c r="BP284" t="s">
        <v>232</v>
      </c>
      <c r="BQ284" t="s">
        <v>787</v>
      </c>
      <c r="BR284" s="143" t="s">
        <v>278</v>
      </c>
      <c r="BS284">
        <v>32.530120481927703</v>
      </c>
      <c r="BT284">
        <v>35.060240963855399</v>
      </c>
      <c r="BU284" s="144">
        <f t="shared" si="279"/>
        <v>1.0777777777777773</v>
      </c>
      <c r="BV284">
        <f t="shared" si="280"/>
        <v>2.5301204819276961</v>
      </c>
      <c r="BW284"/>
      <c r="BX284">
        <f t="shared" si="281"/>
        <v>9.2855421686746453</v>
      </c>
      <c r="BY284">
        <f t="shared" si="236"/>
        <v>9.6468322971884923</v>
      </c>
      <c r="BZ284" s="143">
        <v>0</v>
      </c>
      <c r="CA284" s="143">
        <v>0</v>
      </c>
      <c r="CB284" s="143">
        <v>0</v>
      </c>
      <c r="CC284" s="143">
        <v>0</v>
      </c>
      <c r="CD284" s="143">
        <v>0</v>
      </c>
      <c r="CE284" s="143">
        <v>0</v>
      </c>
      <c r="CF284" s="143">
        <v>0</v>
      </c>
      <c r="CG284" s="143">
        <v>1</v>
      </c>
      <c r="CH284" s="143">
        <v>0</v>
      </c>
      <c r="CI284" s="143">
        <v>1</v>
      </c>
      <c r="CJ284" s="143">
        <v>1</v>
      </c>
      <c r="CK284" s="143">
        <v>0</v>
      </c>
      <c r="CL284" s="143">
        <v>1</v>
      </c>
      <c r="CM284" s="143">
        <v>0</v>
      </c>
      <c r="CN284" t="str">
        <f t="shared" si="282"/>
        <v>refOK</v>
      </c>
      <c r="CO284">
        <f t="shared" si="283"/>
        <v>22.204433497536925</v>
      </c>
      <c r="CP284">
        <f t="shared" si="284"/>
        <v>22.426108374384221</v>
      </c>
      <c r="CQ284">
        <f t="shared" si="285"/>
        <v>0.96254831457792178</v>
      </c>
      <c r="CR284">
        <f t="shared" si="286"/>
        <v>32.530120481927703</v>
      </c>
      <c r="CS284">
        <f t="shared" si="287"/>
        <v>35.060240963855399</v>
      </c>
      <c r="CT284">
        <f t="shared" si="288"/>
        <v>9.2855421686746453</v>
      </c>
      <c r="CU284">
        <f t="shared" si="289"/>
        <v>9.6468322971884923</v>
      </c>
      <c r="CV284" s="2">
        <f t="shared" si="290"/>
        <v>7.7777777777777349E-2</v>
      </c>
      <c r="CW284" s="1" t="s">
        <v>1198</v>
      </c>
      <c r="CX284" t="str">
        <f t="shared" si="291"/>
        <v>reg</v>
      </c>
      <c r="CY284" t="s">
        <v>1280</v>
      </c>
      <c r="CZ284">
        <v>2010</v>
      </c>
      <c r="DA284" s="143">
        <v>2100</v>
      </c>
      <c r="DB284" s="143">
        <f t="shared" si="292"/>
        <v>90</v>
      </c>
      <c r="DC284" t="str">
        <f t="shared" si="293"/>
        <v>71-100</v>
      </c>
      <c r="DD284">
        <v>1</v>
      </c>
      <c r="DE284">
        <v>0</v>
      </c>
      <c r="DF284">
        <v>0</v>
      </c>
      <c r="DG284">
        <v>0</v>
      </c>
      <c r="DH284"/>
      <c r="DI284">
        <f t="shared" si="294"/>
        <v>1</v>
      </c>
      <c r="DJ284" t="str">
        <f t="shared" si="295"/>
        <v>UpstreamInput</v>
      </c>
      <c r="DK284" t="str">
        <f t="shared" si="296"/>
        <v>Upstream</v>
      </c>
      <c r="DL284">
        <f t="shared" si="297"/>
        <v>0</v>
      </c>
      <c r="DM284">
        <f t="shared" si="298"/>
        <v>0</v>
      </c>
      <c r="DN284">
        <f t="shared" si="299"/>
        <v>0</v>
      </c>
      <c r="DO284" s="143">
        <v>1</v>
      </c>
      <c r="DP284">
        <v>0</v>
      </c>
      <c r="DQ284" s="143">
        <v>0</v>
      </c>
      <c r="DR284" s="143">
        <v>0</v>
      </c>
      <c r="DS284" s="143" t="s">
        <v>1281</v>
      </c>
      <c r="DT284">
        <f t="shared" si="300"/>
        <v>1</v>
      </c>
      <c r="DU284" s="143" t="str">
        <f t="shared" si="301"/>
        <v>self-calculated DF</v>
      </c>
      <c r="DV284" s="143">
        <v>0</v>
      </c>
      <c r="DW284">
        <v>1</v>
      </c>
      <c r="DX284" s="143">
        <v>1</v>
      </c>
      <c r="DY284" s="143">
        <v>0</v>
      </c>
      <c r="DZ284">
        <v>0</v>
      </c>
      <c r="EA284">
        <v>0</v>
      </c>
      <c r="EB284" s="143">
        <v>0</v>
      </c>
      <c r="EC284">
        <v>0</v>
      </c>
      <c r="ED284" s="143">
        <v>0</v>
      </c>
      <c r="EE284">
        <v>0</v>
      </c>
      <c r="EF284">
        <v>1</v>
      </c>
      <c r="EG284" s="143">
        <v>0</v>
      </c>
      <c r="EH284">
        <v>0</v>
      </c>
      <c r="EI284" s="2">
        <v>0</v>
      </c>
      <c r="EJ284" s="1"/>
      <c r="EK284" t="str">
        <f t="shared" si="302"/>
        <v/>
      </c>
      <c r="EL284" t="str">
        <f t="shared" si="303"/>
        <v/>
      </c>
      <c r="EM284" s="2" t="str">
        <f t="shared" si="237"/>
        <v/>
      </c>
      <c r="EN284" t="s">
        <v>1282</v>
      </c>
      <c r="EO284"/>
      <c r="EP284" t="str">
        <f>IF(ISNUMBER(BU284),IF(ABS(BU284-[2]QC_indicators!$B$2)&gt;3*[2]QC_indicators!$C$2,"C ratio",IF(ISNUMBER(BY284),IF(ABS(BY284-[2]QC_indicators!$B$1)&gt;3*[2]QC_indicators!$C$1,"DF","no"))),IF(ISNUMBER(BY284),IF(ABS(BY284-[2]QC_indicators!$B$1)&gt;3*[2]QC_indicators!$C$1,"DF","no")))</f>
        <v>DF</v>
      </c>
      <c r="EQ284" t="s">
        <v>286</v>
      </c>
      <c r="ER284" t="s">
        <v>1283</v>
      </c>
      <c r="ES284"/>
      <c r="ET284" s="264" t="s">
        <v>3272</v>
      </c>
      <c r="EU284"/>
    </row>
    <row r="285" spans="1:151" s="139" customFormat="1" ht="15" hidden="1" customHeight="1">
      <c r="A285" s="1" t="s">
        <v>1269</v>
      </c>
      <c r="B285" t="s">
        <v>1270</v>
      </c>
      <c r="C285" t="s">
        <v>1271</v>
      </c>
      <c r="D285" t="s">
        <v>1272</v>
      </c>
      <c r="E285" t="s">
        <v>1273</v>
      </c>
      <c r="F285" t="s">
        <v>1274</v>
      </c>
      <c r="G285" t="s">
        <v>1275</v>
      </c>
      <c r="H285"/>
      <c r="I285">
        <v>2019</v>
      </c>
      <c r="J285"/>
      <c r="K285" t="s">
        <v>1276</v>
      </c>
      <c r="L285"/>
      <c r="M285" t="str">
        <f t="shared" si="245"/>
        <v>Baskent_2019</v>
      </c>
      <c r="N285" t="s">
        <v>222</v>
      </c>
      <c r="O285" s="140" t="s">
        <v>513</v>
      </c>
      <c r="P285"/>
      <c r="Q285" t="s">
        <v>224</v>
      </c>
      <c r="R285" s="269" t="s">
        <v>274</v>
      </c>
      <c r="S285" s="1" t="s">
        <v>1277</v>
      </c>
      <c r="T285" t="s">
        <v>1110</v>
      </c>
      <c r="U285" s="143" t="s">
        <v>1284</v>
      </c>
      <c r="V285" s="143">
        <v>0</v>
      </c>
      <c r="W285" s="143">
        <v>0</v>
      </c>
      <c r="X285" s="143">
        <v>0</v>
      </c>
      <c r="Y285" s="143">
        <v>1</v>
      </c>
      <c r="Z285" s="143">
        <v>2</v>
      </c>
      <c r="AA285" s="143">
        <v>0</v>
      </c>
      <c r="AB285" s="143">
        <v>0</v>
      </c>
      <c r="AC285" s="143">
        <v>0</v>
      </c>
      <c r="AD285">
        <v>0</v>
      </c>
      <c r="AE285">
        <v>0</v>
      </c>
      <c r="AF285">
        <v>2</v>
      </c>
      <c r="AG285">
        <v>0</v>
      </c>
      <c r="AH285">
        <v>0</v>
      </c>
      <c r="AI285">
        <v>0</v>
      </c>
      <c r="AJ285">
        <v>2</v>
      </c>
      <c r="AK285">
        <v>0</v>
      </c>
      <c r="AL285">
        <v>0</v>
      </c>
      <c r="AM285">
        <v>0</v>
      </c>
      <c r="AN285">
        <v>2</v>
      </c>
      <c r="AO285">
        <v>2</v>
      </c>
      <c r="AP285">
        <v>0</v>
      </c>
      <c r="AQ285">
        <v>0</v>
      </c>
      <c r="AR285">
        <v>0</v>
      </c>
      <c r="AS285">
        <v>2</v>
      </c>
      <c r="AT285">
        <v>0</v>
      </c>
      <c r="AU285">
        <v>0</v>
      </c>
      <c r="AV285">
        <v>0</v>
      </c>
      <c r="AW285">
        <v>2</v>
      </c>
      <c r="AX285" s="141">
        <f t="shared" si="269"/>
        <v>8</v>
      </c>
      <c r="AY285" s="141">
        <f t="shared" si="270"/>
        <v>4</v>
      </c>
      <c r="AZ285">
        <f t="shared" si="271"/>
        <v>2</v>
      </c>
      <c r="BA285">
        <f t="shared" si="272"/>
        <v>1</v>
      </c>
      <c r="BB285">
        <f t="shared" si="273"/>
        <v>1</v>
      </c>
      <c r="BC285">
        <f t="shared" si="274"/>
        <v>2</v>
      </c>
      <c r="BD285">
        <f t="shared" si="275"/>
        <v>2</v>
      </c>
      <c r="BE285" t="str">
        <f t="array" ref="BE285">IF(AY285=1,INDEX($V$7:$AL$7,MATCH(TRUE,INDEX($V285:$AW285&lt;&gt;0,),0)),IF(AY285=0,INDEX($AM$7:$AW$7,MATCH(1,$AM285:$AW285,0)),IF(BF285="Multiple strategies","mixed drivers",IF(BF285="Supply chain","multiple supply","multiple silviculture"))))</f>
        <v>mixed drivers</v>
      </c>
      <c r="BF285" s="2" t="str" cm="1">
        <f t="array" ref="BF285">IF(COUNTIF(AZ285:BB285,"&lt;&gt;0")=1,INDEX($V$4:$AW$4,MATCH(TRUE,INDEX($V285:$AW285&lt;&gt;0,),0)),IF(COUNTIF(AZ285:BB285,"&lt;&gt;0")=0,INDEX($AM$4:$AW$4,MATCH(1,$AM285:$AW285,0)),"Multiple strategies"))</f>
        <v>Multiple strategies</v>
      </c>
      <c r="BG285" s="1" t="s">
        <v>321</v>
      </c>
      <c r="BH285" t="s">
        <v>1279</v>
      </c>
      <c r="BI285"/>
      <c r="BJ285" s="143" t="s">
        <v>278</v>
      </c>
      <c r="BK285">
        <v>22.204433497536925</v>
      </c>
      <c r="BL285">
        <v>22.426108374384221</v>
      </c>
      <c r="BM285" s="143">
        <f t="shared" si="276"/>
        <v>1.0099833610648921</v>
      </c>
      <c r="BN285">
        <f t="shared" si="277"/>
        <v>0.22167487684729537</v>
      </c>
      <c r="BO285" s="143">
        <f t="shared" si="278"/>
        <v>0.96254831457792178</v>
      </c>
      <c r="BP285" t="s">
        <v>232</v>
      </c>
      <c r="BQ285" t="s">
        <v>787</v>
      </c>
      <c r="BR285" s="143" t="s">
        <v>278</v>
      </c>
      <c r="BS285">
        <v>42.123971298234274</v>
      </c>
      <c r="BT285">
        <v>45.12148839762213</v>
      </c>
      <c r="BU285" s="144">
        <f t="shared" si="279"/>
        <v>1.0711594136783942</v>
      </c>
      <c r="BV285">
        <f t="shared" si="280"/>
        <v>2.9975170993878564</v>
      </c>
      <c r="BW285"/>
      <c r="BX285">
        <f t="shared" si="281"/>
        <v>11.000887754753432</v>
      </c>
      <c r="BY285">
        <f t="shared" si="236"/>
        <v>11.428920074082027</v>
      </c>
      <c r="BZ285" s="143">
        <v>0</v>
      </c>
      <c r="CA285" s="143">
        <v>0</v>
      </c>
      <c r="CB285" s="143">
        <v>0</v>
      </c>
      <c r="CC285" s="143">
        <v>0</v>
      </c>
      <c r="CD285" s="143">
        <v>0</v>
      </c>
      <c r="CE285" s="143">
        <v>0</v>
      </c>
      <c r="CF285" s="143">
        <v>0</v>
      </c>
      <c r="CG285" s="143">
        <v>1</v>
      </c>
      <c r="CH285" s="143">
        <v>0</v>
      </c>
      <c r="CI285" s="143">
        <v>1</v>
      </c>
      <c r="CJ285" s="143">
        <v>1</v>
      </c>
      <c r="CK285" s="143">
        <v>0</v>
      </c>
      <c r="CL285" s="143">
        <v>1</v>
      </c>
      <c r="CM285" s="143">
        <v>0</v>
      </c>
      <c r="CN285" t="str">
        <f t="shared" si="282"/>
        <v>refOK</v>
      </c>
      <c r="CO285">
        <f t="shared" si="283"/>
        <v>22.204433497536925</v>
      </c>
      <c r="CP285">
        <f t="shared" si="284"/>
        <v>22.426108374384221</v>
      </c>
      <c r="CQ285">
        <f t="shared" si="285"/>
        <v>0.96254831457792178</v>
      </c>
      <c r="CR285">
        <f t="shared" si="286"/>
        <v>42.123971298234274</v>
      </c>
      <c r="CS285">
        <f t="shared" si="287"/>
        <v>45.12148839762213</v>
      </c>
      <c r="CT285">
        <f t="shared" si="288"/>
        <v>11.000887754753432</v>
      </c>
      <c r="CU285">
        <f t="shared" si="289"/>
        <v>11.428920074082027</v>
      </c>
      <c r="CV285" s="2">
        <f t="shared" si="290"/>
        <v>7.1159413678394193E-2</v>
      </c>
      <c r="CW285" s="1" t="s">
        <v>1198</v>
      </c>
      <c r="CX285" t="str">
        <f t="shared" si="291"/>
        <v>reg</v>
      </c>
      <c r="CY285" t="s">
        <v>1280</v>
      </c>
      <c r="CZ285">
        <v>2010</v>
      </c>
      <c r="DA285" s="143">
        <v>2100</v>
      </c>
      <c r="DB285" s="143">
        <f t="shared" si="292"/>
        <v>90</v>
      </c>
      <c r="DC285" t="str">
        <f t="shared" si="293"/>
        <v>71-100</v>
      </c>
      <c r="DD285">
        <v>1</v>
      </c>
      <c r="DE285">
        <v>1</v>
      </c>
      <c r="DF285">
        <v>1</v>
      </c>
      <c r="DG285">
        <v>1</v>
      </c>
      <c r="DH285"/>
      <c r="DI285">
        <f t="shared" si="294"/>
        <v>4</v>
      </c>
      <c r="DJ285" t="str">
        <f t="shared" si="295"/>
        <v>mixedProduct</v>
      </c>
      <c r="DK285" t="str">
        <f t="shared" si="296"/>
        <v>Upstream</v>
      </c>
      <c r="DL285" t="str">
        <f t="shared" si="297"/>
        <v>Energy</v>
      </c>
      <c r="DM285" t="str">
        <f t="shared" si="298"/>
        <v>Pulp/Paper</v>
      </c>
      <c r="DN285" t="str">
        <f t="shared" si="299"/>
        <v>Timber</v>
      </c>
      <c r="DO285" s="143">
        <v>1</v>
      </c>
      <c r="DP285">
        <v>0</v>
      </c>
      <c r="DQ285" s="143">
        <v>0</v>
      </c>
      <c r="DR285" s="143">
        <v>0</v>
      </c>
      <c r="DS285" s="143" t="s">
        <v>1281</v>
      </c>
      <c r="DT285">
        <f t="shared" si="300"/>
        <v>1</v>
      </c>
      <c r="DU285" s="143" t="str">
        <f t="shared" si="301"/>
        <v>self-calculated DF</v>
      </c>
      <c r="DV285" s="143">
        <v>0</v>
      </c>
      <c r="DW285">
        <v>1</v>
      </c>
      <c r="DX285" s="143">
        <v>1</v>
      </c>
      <c r="DY285" s="143">
        <v>1</v>
      </c>
      <c r="DZ285">
        <v>1</v>
      </c>
      <c r="EA285">
        <v>1</v>
      </c>
      <c r="EB285" s="143">
        <v>0</v>
      </c>
      <c r="EC285">
        <v>0</v>
      </c>
      <c r="ED285" s="143">
        <v>0</v>
      </c>
      <c r="EE285">
        <v>0</v>
      </c>
      <c r="EF285">
        <v>1</v>
      </c>
      <c r="EG285" s="143">
        <v>0</v>
      </c>
      <c r="EH285">
        <v>0</v>
      </c>
      <c r="EI285" s="2">
        <v>0</v>
      </c>
      <c r="EJ285" s="1"/>
      <c r="EK285" t="str">
        <f t="shared" si="302"/>
        <v/>
      </c>
      <c r="EL285" t="str">
        <f t="shared" si="303"/>
        <v/>
      </c>
      <c r="EM285" s="2" t="str">
        <f t="shared" si="237"/>
        <v/>
      </c>
      <c r="EN285" t="s">
        <v>1282</v>
      </c>
      <c r="EO285"/>
      <c r="EP285" t="str">
        <f>IF(ISNUMBER(BU285),IF(ABS(BU285-[2]QC_indicators!$B$2)&gt;3*[2]QC_indicators!$C$2,"C ratio",IF(ISNUMBER(BY285),IF(ABS(BY285-[2]QC_indicators!$B$1)&gt;3*[2]QC_indicators!$C$1,"DF","no"))),IF(ISNUMBER(BY285),IF(ABS(BY285-[2]QC_indicators!$B$1)&gt;3*[2]QC_indicators!$C$1,"DF","no")))</f>
        <v>DF</v>
      </c>
      <c r="EQ285" t="s">
        <v>286</v>
      </c>
      <c r="ER285" t="s">
        <v>1283</v>
      </c>
      <c r="ES285"/>
      <c r="ET285" s="264" t="s">
        <v>3272</v>
      </c>
      <c r="EU285"/>
    </row>
    <row r="286" spans="1:151" s="139" customFormat="1" ht="15" hidden="1" customHeight="1">
      <c r="A286" s="1" t="s">
        <v>925</v>
      </c>
      <c r="B286" t="s">
        <v>4463</v>
      </c>
      <c r="C286" t="s">
        <v>4464</v>
      </c>
      <c r="D286" t="s">
        <v>4465</v>
      </c>
      <c r="E286" t="s">
        <v>4466</v>
      </c>
      <c r="F286" t="s">
        <v>4467</v>
      </c>
      <c r="G286" t="s">
        <v>931</v>
      </c>
      <c r="H286"/>
      <c r="I286">
        <v>2020</v>
      </c>
      <c r="J286"/>
      <c r="K286" t="s">
        <v>4468</v>
      </c>
      <c r="L286"/>
      <c r="M286" t="str">
        <f t="shared" si="245"/>
        <v>Baul_2020</v>
      </c>
      <c r="N286" t="s">
        <v>2582</v>
      </c>
      <c r="O286" s="140" t="s">
        <v>1153</v>
      </c>
      <c r="P286"/>
      <c r="Q286" s="311" t="s">
        <v>224</v>
      </c>
      <c r="R286" s="312"/>
      <c r="S286" s="1"/>
      <c r="T286"/>
      <c r="U286"/>
      <c r="V286"/>
      <c r="W286"/>
      <c r="X286"/>
      <c r="Y286"/>
      <c r="Z286"/>
      <c r="AA286"/>
      <c r="AB286"/>
      <c r="AC286"/>
      <c r="AD286"/>
      <c r="AE286"/>
      <c r="AF286"/>
      <c r="AG286"/>
      <c r="AH286"/>
      <c r="AI286"/>
      <c r="AJ286"/>
      <c r="AK286"/>
      <c r="AL286"/>
      <c r="AM286"/>
      <c r="AN286"/>
      <c r="AO286"/>
      <c r="AP286"/>
      <c r="AQ286"/>
      <c r="AR286"/>
      <c r="AS286"/>
      <c r="AT286"/>
      <c r="AU286"/>
      <c r="AV286"/>
      <c r="AW286"/>
      <c r="AX286" s="141"/>
      <c r="AY286" s="141"/>
      <c r="AZ286"/>
      <c r="BA286"/>
      <c r="BB286"/>
      <c r="BC286"/>
      <c r="BD286"/>
      <c r="BE286"/>
      <c r="BF286" s="2"/>
      <c r="BG286" s="1"/>
      <c r="BH286"/>
      <c r="BI286"/>
      <c r="BJ286" s="143"/>
      <c r="BK286"/>
      <c r="BL286" s="143"/>
      <c r="BM286" s="143"/>
      <c r="BN286" s="143"/>
      <c r="BO286" s="143"/>
      <c r="BP286"/>
      <c r="BQ286"/>
      <c r="BR286"/>
      <c r="BS286" s="143"/>
      <c r="BT286"/>
      <c r="BU286" s="144"/>
      <c r="BV286"/>
      <c r="BW286"/>
      <c r="BX286"/>
      <c r="BY286" t="str">
        <f t="shared" si="236"/>
        <v/>
      </c>
      <c r="BZ286"/>
      <c r="CA286"/>
      <c r="CB286"/>
      <c r="CC286"/>
      <c r="CD286"/>
      <c r="CE286"/>
      <c r="CF286"/>
      <c r="CG286"/>
      <c r="CH286"/>
      <c r="CI286"/>
      <c r="CJ286"/>
      <c r="CK286"/>
      <c r="CL286"/>
      <c r="CM286"/>
      <c r="CN286"/>
      <c r="CO286"/>
      <c r="CP286"/>
      <c r="CQ286"/>
      <c r="CR286"/>
      <c r="CS286"/>
      <c r="CT286"/>
      <c r="CU286"/>
      <c r="CV286" s="2"/>
      <c r="CW286" s="1"/>
      <c r="CX286"/>
      <c r="CY286"/>
      <c r="CZ286"/>
      <c r="DA286" s="143"/>
      <c r="DB286" s="143"/>
      <c r="DC286"/>
      <c r="DD286"/>
      <c r="DE286"/>
      <c r="DF286"/>
      <c r="DG286"/>
      <c r="DH286"/>
      <c r="DI286"/>
      <c r="DJ286"/>
      <c r="DK286"/>
      <c r="DL286"/>
      <c r="DM286"/>
      <c r="DN286"/>
      <c r="DO286" s="143"/>
      <c r="DP286"/>
      <c r="DQ286" s="143"/>
      <c r="DR286" s="143"/>
      <c r="DS286" s="143"/>
      <c r="DT286"/>
      <c r="DU286" s="143"/>
      <c r="DV286"/>
      <c r="DW286"/>
      <c r="DX286"/>
      <c r="DY286"/>
      <c r="DZ286"/>
      <c r="EA286"/>
      <c r="EB286"/>
      <c r="EC286"/>
      <c r="ED286"/>
      <c r="EE286"/>
      <c r="EF286"/>
      <c r="EG286"/>
      <c r="EH286"/>
      <c r="EI286" s="2"/>
      <c r="EJ286" s="1"/>
      <c r="EK286" t="str">
        <f>IF(AND(AND(AND(OR($DX286=1,$DW286=1),OR($EC286=1,$EA286=1)),SUM($DV286:$DZ286,$EF286)&gt;=3),SUM($EA286:$EE286)&gt;=2),"Whole sector","")</f>
        <v/>
      </c>
      <c r="EL286" t="str">
        <f>IF(AND(AND(OR($DX286=1,$DW286=1),AND($EC286=0,$EA286=0)),SUM($DV286:$DZ286,$EF286)&gt;=3),"Ecosystem approach","")</f>
        <v/>
      </c>
      <c r="EM286" s="2" t="str">
        <f t="shared" si="237"/>
        <v/>
      </c>
      <c r="EN286"/>
      <c r="EO286"/>
      <c r="EP286" t="b">
        <f>IF(ISNUMBER(BU286),IF(ABS(BU286-[1]QC_indicators!$B$2)&gt;3*[1]QC_indicators!$C$2,"C ratio",IF(ISNUMBER(BY286),IF(ABS(BY286-[1]QC_indicators!$B$1)&gt;3*[1]QC_indicators!$C$1,"DF","no"))),IF(ISNUMBER(BY286),IF(ABS(BY286-[1]QC_indicators!$B$1)&gt;3*[1]QC_indicators!$C$1,"DF","no")))</f>
        <v>0</v>
      </c>
      <c r="EQ286"/>
      <c r="ER286" s="311" t="s">
        <v>4469</v>
      </c>
      <c r="ES286"/>
      <c r="ET286"/>
      <c r="EU286"/>
    </row>
    <row r="287" spans="1:151" s="139" customFormat="1" ht="15" hidden="1" customHeight="1">
      <c r="A287" s="1" t="s">
        <v>4758</v>
      </c>
      <c r="B287" t="s">
        <v>4759</v>
      </c>
      <c r="C287" t="s">
        <v>4760</v>
      </c>
      <c r="D287" t="s">
        <v>4761</v>
      </c>
      <c r="E287" t="s">
        <v>4762</v>
      </c>
      <c r="F287" t="s">
        <v>4763</v>
      </c>
      <c r="G287" t="s">
        <v>4764</v>
      </c>
      <c r="H287" t="s">
        <v>254</v>
      </c>
      <c r="I287">
        <v>2021</v>
      </c>
      <c r="J287">
        <v>2</v>
      </c>
      <c r="K287" t="s">
        <v>4765</v>
      </c>
      <c r="L287"/>
      <c r="M287" t="str">
        <f t="shared" si="245"/>
        <v>Baul_2021</v>
      </c>
      <c r="N287" t="s">
        <v>1351</v>
      </c>
      <c r="O287" s="145" t="s">
        <v>1153</v>
      </c>
      <c r="P287"/>
      <c r="Q287" s="311" t="s">
        <v>224</v>
      </c>
      <c r="R287" s="312"/>
      <c r="S287" s="1"/>
      <c r="T287"/>
      <c r="U287"/>
      <c r="V287"/>
      <c r="W287"/>
      <c r="X287"/>
      <c r="Y287"/>
      <c r="Z287"/>
      <c r="AA287"/>
      <c r="AB287"/>
      <c r="AC287"/>
      <c r="AD287"/>
      <c r="AE287"/>
      <c r="AF287"/>
      <c r="AG287"/>
      <c r="AH287"/>
      <c r="AI287"/>
      <c r="AJ287"/>
      <c r="AK287"/>
      <c r="AL287"/>
      <c r="AM287"/>
      <c r="AN287"/>
      <c r="AO287"/>
      <c r="AP287"/>
      <c r="AQ287"/>
      <c r="AR287"/>
      <c r="AS287"/>
      <c r="AT287"/>
      <c r="AU287"/>
      <c r="AV287"/>
      <c r="AW287"/>
      <c r="AX287" s="141"/>
      <c r="AY287" s="141"/>
      <c r="AZ287"/>
      <c r="BA287"/>
      <c r="BB287"/>
      <c r="BC287"/>
      <c r="BD287"/>
      <c r="BE287"/>
      <c r="BF287" s="2"/>
      <c r="BG287" s="1"/>
      <c r="BH287"/>
      <c r="BI287"/>
      <c r="BJ287"/>
      <c r="BK287"/>
      <c r="BL287"/>
      <c r="BM287"/>
      <c r="BN287"/>
      <c r="BO287"/>
      <c r="BP287" s="143"/>
      <c r="BQ287" s="143"/>
      <c r="BR287"/>
      <c r="BS287"/>
      <c r="BT287"/>
      <c r="BU287" s="144"/>
      <c r="BV287"/>
      <c r="BW287"/>
      <c r="BX287"/>
      <c r="BY287" t="str">
        <f t="shared" si="236"/>
        <v/>
      </c>
      <c r="BZ287"/>
      <c r="CA287"/>
      <c r="CB287"/>
      <c r="CC287"/>
      <c r="CD287"/>
      <c r="CE287"/>
      <c r="CF287"/>
      <c r="CG287"/>
      <c r="CH287"/>
      <c r="CI287"/>
      <c r="CJ287"/>
      <c r="CK287"/>
      <c r="CL287"/>
      <c r="CM287"/>
      <c r="CN287"/>
      <c r="CO287"/>
      <c r="CP287"/>
      <c r="CQ287"/>
      <c r="CR287"/>
      <c r="CS287"/>
      <c r="CT287"/>
      <c r="CU287"/>
      <c r="CV287" s="2"/>
      <c r="CW287" s="1"/>
      <c r="CX287"/>
      <c r="CY287"/>
      <c r="CZ287"/>
      <c r="DA287"/>
      <c r="DB287"/>
      <c r="DC287"/>
      <c r="DD287"/>
      <c r="DE287"/>
      <c r="DF287"/>
      <c r="DG287"/>
      <c r="DH287"/>
      <c r="DI287"/>
      <c r="DJ287"/>
      <c r="DK287"/>
      <c r="DL287"/>
      <c r="DM287"/>
      <c r="DN287"/>
      <c r="DO287"/>
      <c r="DP287"/>
      <c r="DQ287"/>
      <c r="DR287"/>
      <c r="DS287"/>
      <c r="DT287"/>
      <c r="DU287" s="143"/>
      <c r="DV287"/>
      <c r="DW287"/>
      <c r="DX287"/>
      <c r="DY287"/>
      <c r="DZ287"/>
      <c r="EA287"/>
      <c r="EB287"/>
      <c r="EC287"/>
      <c r="ED287"/>
      <c r="EE287"/>
      <c r="EF287"/>
      <c r="EG287"/>
      <c r="EH287"/>
      <c r="EI287" s="2"/>
      <c r="EJ287" s="1"/>
      <c r="EK287" t="str">
        <f>IF(AND(AND(AND(OR($DX287=1,$DW287=1),OR($EC287=1,$EA287=1)),SUM($DV287:$DZ287,$EF287)&gt;=3),SUM($EA287:$EE287)&gt;=2),"Whole sector","")</f>
        <v/>
      </c>
      <c r="EL287" t="str">
        <f>IF(AND(AND(OR($DX287=1,$DW287=1),AND($EC287=0,$EA287=0)),SUM($DV287:$DZ287,$EF287)&gt;=3),"Ecosystem approach","")</f>
        <v/>
      </c>
      <c r="EM287" s="2" t="str">
        <f t="shared" si="237"/>
        <v/>
      </c>
      <c r="EN287" t="s">
        <v>4766</v>
      </c>
      <c r="EO287" s="149" t="s">
        <v>4767</v>
      </c>
      <c r="EP287" t="b">
        <f>IF(ISNUMBER(BU287),IF(ABS(BU287-[1]QC_indicators!$B$2)&gt;3*[1]QC_indicators!$C$2,"C ratio",IF(ISNUMBER(BY287),IF(ABS(BY287-[1]QC_indicators!$B$1)&gt;3*[1]QC_indicators!$C$1,"DF","no"))),IF(ISNUMBER(BY287),IF(ABS(BY287-[1]QC_indicators!$B$1)&gt;3*[1]QC_indicators!$C$1,"DF","no")))</f>
        <v>0</v>
      </c>
      <c r="EQ287"/>
      <c r="ER287"/>
      <c r="ES287"/>
      <c r="ET287"/>
      <c r="EU287"/>
    </row>
    <row r="288" spans="1:151" s="139" customFormat="1" ht="15" hidden="1" customHeight="1">
      <c r="A288" s="1" t="s">
        <v>4938</v>
      </c>
      <c r="B288" t="s">
        <v>4939</v>
      </c>
      <c r="C288" t="s">
        <v>4940</v>
      </c>
      <c r="D288" t="s">
        <v>4941</v>
      </c>
      <c r="E288" t="s">
        <v>4942</v>
      </c>
      <c r="F288" t="s">
        <v>4943</v>
      </c>
      <c r="G288" t="s">
        <v>4944</v>
      </c>
      <c r="H288" t="s">
        <v>254</v>
      </c>
      <c r="I288">
        <v>2019</v>
      </c>
      <c r="J288">
        <v>1</v>
      </c>
      <c r="K288" t="s">
        <v>4945</v>
      </c>
      <c r="L288"/>
      <c r="M288" t="str">
        <f t="shared" si="245"/>
        <v>Berdechowski_2019</v>
      </c>
      <c r="N288" t="s">
        <v>2583</v>
      </c>
      <c r="O288" s="145" t="s">
        <v>223</v>
      </c>
      <c r="P288"/>
      <c r="Q288" s="311" t="s">
        <v>256</v>
      </c>
      <c r="R288" s="312"/>
      <c r="S288" s="1"/>
      <c r="T288"/>
      <c r="U288"/>
      <c r="V288"/>
      <c r="W288"/>
      <c r="X288"/>
      <c r="Y288"/>
      <c r="Z288"/>
      <c r="AA288"/>
      <c r="AB288"/>
      <c r="AC288"/>
      <c r="AD288"/>
      <c r="AE288"/>
      <c r="AF288"/>
      <c r="AG288"/>
      <c r="AH288"/>
      <c r="AI288"/>
      <c r="AJ288"/>
      <c r="AK288"/>
      <c r="AL288"/>
      <c r="AM288"/>
      <c r="AN288"/>
      <c r="AO288"/>
      <c r="AP288"/>
      <c r="AQ288"/>
      <c r="AR288"/>
      <c r="AS288"/>
      <c r="AT288"/>
      <c r="AU288"/>
      <c r="AV288"/>
      <c r="AW288"/>
      <c r="AX288" s="141"/>
      <c r="AY288" s="141"/>
      <c r="AZ288"/>
      <c r="BA288"/>
      <c r="BB288"/>
      <c r="BC288"/>
      <c r="BD288"/>
      <c r="BE288"/>
      <c r="BF288" s="2"/>
      <c r="BG288" s="1"/>
      <c r="BH288"/>
      <c r="BI288"/>
      <c r="BJ288"/>
      <c r="BK288"/>
      <c r="BL288"/>
      <c r="BM288" s="143"/>
      <c r="BN288"/>
      <c r="BO288"/>
      <c r="BP288"/>
      <c r="BQ288"/>
      <c r="BR288"/>
      <c r="BS288"/>
      <c r="BT288"/>
      <c r="BU288" s="144"/>
      <c r="BV288"/>
      <c r="BW288"/>
      <c r="BX288"/>
      <c r="BY288" t="str">
        <f t="shared" si="236"/>
        <v/>
      </c>
      <c r="BZ288"/>
      <c r="CA288"/>
      <c r="CB288"/>
      <c r="CC288"/>
      <c r="CD288"/>
      <c r="CE288"/>
      <c r="CF288"/>
      <c r="CG288"/>
      <c r="CH288"/>
      <c r="CI288"/>
      <c r="CJ288"/>
      <c r="CK288"/>
      <c r="CL288"/>
      <c r="CM288"/>
      <c r="CN288"/>
      <c r="CO288"/>
      <c r="CP288"/>
      <c r="CQ288"/>
      <c r="CR288"/>
      <c r="CS288"/>
      <c r="CT288"/>
      <c r="CU288"/>
      <c r="CV288" s="2"/>
      <c r="CW288" s="1"/>
      <c r="CX288"/>
      <c r="CY288"/>
      <c r="CZ288"/>
      <c r="DA288"/>
      <c r="DB288"/>
      <c r="DC288"/>
      <c r="DD288"/>
      <c r="DE288"/>
      <c r="DF288"/>
      <c r="DG288"/>
      <c r="DH288"/>
      <c r="DI288"/>
      <c r="DJ288"/>
      <c r="DK288"/>
      <c r="DL288"/>
      <c r="DM288"/>
      <c r="DN288"/>
      <c r="DO288"/>
      <c r="DP288"/>
      <c r="DQ288"/>
      <c r="DR288"/>
      <c r="DS288"/>
      <c r="DT288"/>
      <c r="DU288" s="143"/>
      <c r="DV288"/>
      <c r="DW288"/>
      <c r="DX288"/>
      <c r="DY288"/>
      <c r="DZ288"/>
      <c r="EA288"/>
      <c r="EB288"/>
      <c r="EC288"/>
      <c r="ED288"/>
      <c r="EE288"/>
      <c r="EF288"/>
      <c r="EG288"/>
      <c r="EH288"/>
      <c r="EI288" s="2"/>
      <c r="EJ288" s="1"/>
      <c r="EK288" t="str">
        <f>IF(AND(AND(AND(OR($DX288=1,$DW288=1),OR($EC288=1,$EA288=1)),SUM($DV288:$DZ288,$EF288)&gt;=3),SUM($EA288:$EE288)&gt;=2),"Whole sector","")</f>
        <v/>
      </c>
      <c r="EL288" t="str">
        <f>IF(AND(AND(OR($DX288=1,$DW288=1),AND($EC288=0,$EA288=0)),SUM($DV288:$DZ288,$EF288)&gt;=3),"Ecosystem approach","")</f>
        <v/>
      </c>
      <c r="EM288" s="2" t="str">
        <f t="shared" si="237"/>
        <v/>
      </c>
      <c r="EN288" t="s">
        <v>4946</v>
      </c>
      <c r="EO288" t="s">
        <v>450</v>
      </c>
      <c r="EP288" t="b">
        <f>IF(ISNUMBER(BU288),IF(ABS(BU288-[1]QC_indicators!$B$2)&gt;3*[1]QC_indicators!$C$2,"C ratio",IF(ISNUMBER(BY288),IF(ABS(BY288-[1]QC_indicators!$B$1)&gt;3*[1]QC_indicators!$C$1,"DF","no"))),IF(ISNUMBER(BY288),IF(ABS(BY288-[1]QC_indicators!$B$1)&gt;3*[1]QC_indicators!$C$1,"DF","no")))</f>
        <v>0</v>
      </c>
      <c r="EQ288"/>
      <c r="ER288"/>
      <c r="ES288"/>
      <c r="ET288"/>
      <c r="EU288"/>
    </row>
    <row r="289" spans="1:151" s="139" customFormat="1" ht="15" hidden="1" customHeight="1">
      <c r="A289" s="1" t="s">
        <v>4938</v>
      </c>
      <c r="B289" t="s">
        <v>4939</v>
      </c>
      <c r="C289" t="s">
        <v>4940</v>
      </c>
      <c r="D289" t="s">
        <v>4941</v>
      </c>
      <c r="E289" t="s">
        <v>4942</v>
      </c>
      <c r="F289" t="s">
        <v>4943</v>
      </c>
      <c r="G289" t="s">
        <v>4944</v>
      </c>
      <c r="H289" t="s">
        <v>254</v>
      </c>
      <c r="I289">
        <v>2019</v>
      </c>
      <c r="J289">
        <v>1</v>
      </c>
      <c r="K289" t="s">
        <v>4945</v>
      </c>
      <c r="L289"/>
      <c r="M289" t="str">
        <f t="shared" si="245"/>
        <v>Berdechowski_2019</v>
      </c>
      <c r="N289" t="s">
        <v>2583</v>
      </c>
      <c r="O289" s="145" t="s">
        <v>223</v>
      </c>
      <c r="P289"/>
      <c r="Q289" s="311" t="s">
        <v>256</v>
      </c>
      <c r="R289" s="312"/>
      <c r="S289" s="1"/>
      <c r="T289"/>
      <c r="U289"/>
      <c r="V289"/>
      <c r="W289"/>
      <c r="X289"/>
      <c r="Y289"/>
      <c r="Z289"/>
      <c r="AA289"/>
      <c r="AB289"/>
      <c r="AC289"/>
      <c r="AD289"/>
      <c r="AE289"/>
      <c r="AF289"/>
      <c r="AG289"/>
      <c r="AH289"/>
      <c r="AI289"/>
      <c r="AJ289"/>
      <c r="AK289"/>
      <c r="AL289"/>
      <c r="AM289"/>
      <c r="AN289"/>
      <c r="AO289"/>
      <c r="AP289"/>
      <c r="AQ289"/>
      <c r="AR289"/>
      <c r="AS289"/>
      <c r="AT289"/>
      <c r="AU289"/>
      <c r="AV289"/>
      <c r="AW289"/>
      <c r="AX289" s="141"/>
      <c r="AY289" s="141"/>
      <c r="AZ289"/>
      <c r="BA289"/>
      <c r="BB289"/>
      <c r="BC289"/>
      <c r="BD289"/>
      <c r="BE289"/>
      <c r="BF289" s="2"/>
      <c r="BG289" s="1"/>
      <c r="BH289"/>
      <c r="BI289"/>
      <c r="BJ289"/>
      <c r="BK289"/>
      <c r="BL289"/>
      <c r="BM289" s="143"/>
      <c r="BN289"/>
      <c r="BO289"/>
      <c r="BP289"/>
      <c r="BQ289"/>
      <c r="BR289"/>
      <c r="BS289"/>
      <c r="BT289"/>
      <c r="BU289"/>
      <c r="BV289"/>
      <c r="BW289"/>
      <c r="BX289"/>
      <c r="BY289" t="str">
        <f t="shared" si="236"/>
        <v/>
      </c>
      <c r="BZ289"/>
      <c r="CA289"/>
      <c r="CB289"/>
      <c r="CC289"/>
      <c r="CD289"/>
      <c r="CE289"/>
      <c r="CF289"/>
      <c r="CG289"/>
      <c r="CH289"/>
      <c r="CI289"/>
      <c r="CJ289"/>
      <c r="CK289"/>
      <c r="CL289"/>
      <c r="CM289"/>
      <c r="CN289"/>
      <c r="CO289"/>
      <c r="CP289"/>
      <c r="CQ289"/>
      <c r="CR289"/>
      <c r="CS289"/>
      <c r="CT289"/>
      <c r="CU289"/>
      <c r="CV289" s="2"/>
      <c r="CW289" s="1"/>
      <c r="CX289"/>
      <c r="CY289"/>
      <c r="CZ289"/>
      <c r="DA289"/>
      <c r="DB289"/>
      <c r="DC289"/>
      <c r="DD289"/>
      <c r="DE289"/>
      <c r="DF289"/>
      <c r="DG289"/>
      <c r="DH289"/>
      <c r="DI289"/>
      <c r="DJ289"/>
      <c r="DK289"/>
      <c r="DL289"/>
      <c r="DM289"/>
      <c r="DN289"/>
      <c r="DO289"/>
      <c r="DP289"/>
      <c r="DQ289"/>
      <c r="DR289"/>
      <c r="DS289"/>
      <c r="DT289"/>
      <c r="DU289" s="143"/>
      <c r="DV289"/>
      <c r="DW289"/>
      <c r="DX289"/>
      <c r="DY289"/>
      <c r="DZ289"/>
      <c r="EA289"/>
      <c r="EB289"/>
      <c r="EC289"/>
      <c r="ED289"/>
      <c r="EE289"/>
      <c r="EF289"/>
      <c r="EG289"/>
      <c r="EH289"/>
      <c r="EI289" s="2"/>
      <c r="EJ289" s="1"/>
      <c r="EK289" t="str">
        <f>IF(AND(AND(AND(OR($DX289=1,$DW289=1),OR($EC289=1,$EA289=1)),SUM($DV289:$DZ289,$EF289)&gt;=3),SUM($EA289:$EE289)&gt;=2),"Whole sector","")</f>
        <v/>
      </c>
      <c r="EL289" t="str">
        <f>IF(AND(AND(OR($DX289=1,$DW289=1),AND($EC289=0,$EA289=0)),SUM($DV289:$DZ289,$EF289)&gt;=3),"Ecosystem approach","")</f>
        <v/>
      </c>
      <c r="EM289" s="2" t="str">
        <f t="shared" si="237"/>
        <v/>
      </c>
      <c r="EN289" t="s">
        <v>4946</v>
      </c>
      <c r="EO289"/>
      <c r="EP289" t="b">
        <f>IF(ISNUMBER(BU289),IF(ABS(BU289-[1]QC_indicators!$B$2)&gt;3*[1]QC_indicators!$C$2,"C ratio",IF(ISNUMBER(BY289),IF(ABS(BY289-[1]QC_indicators!$B$1)&gt;3*[1]QC_indicators!$C$1,"DF","no"))),IF(ISNUMBER(BY289),IF(ABS(BY289-[1]QC_indicators!$B$1)&gt;3*[1]QC_indicators!$C$1,"DF","no")))</f>
        <v>0</v>
      </c>
      <c r="EQ289"/>
      <c r="ER289"/>
      <c r="ES289"/>
      <c r="ET289"/>
      <c r="EU289"/>
    </row>
    <row r="290" spans="1:151" s="139" customFormat="1" ht="15" hidden="1" customHeight="1">
      <c r="A290" s="1" t="s">
        <v>412</v>
      </c>
      <c r="B290" t="s">
        <v>413</v>
      </c>
      <c r="C290" t="s">
        <v>414</v>
      </c>
      <c r="D290" t="s">
        <v>415</v>
      </c>
      <c r="E290" t="s">
        <v>416</v>
      </c>
      <c r="F290" t="s">
        <v>417</v>
      </c>
      <c r="G290" t="s">
        <v>418</v>
      </c>
      <c r="H290" t="s">
        <v>254</v>
      </c>
      <c r="I290">
        <v>2022</v>
      </c>
      <c r="J290">
        <v>4</v>
      </c>
      <c r="K290" t="s">
        <v>419</v>
      </c>
      <c r="L290"/>
      <c r="M290" t="str">
        <f t="shared" si="245"/>
        <v>Bergman_2022</v>
      </c>
      <c r="N290" t="s">
        <v>222</v>
      </c>
      <c r="O290" s="145" t="s">
        <v>223</v>
      </c>
      <c r="P290"/>
      <c r="Q290" t="s">
        <v>389</v>
      </c>
      <c r="R290" s="255" t="s">
        <v>225</v>
      </c>
      <c r="S290" s="1" t="s">
        <v>420</v>
      </c>
      <c r="T290" t="s">
        <v>421</v>
      </c>
      <c r="U290" t="s">
        <v>422</v>
      </c>
      <c r="V290">
        <v>0</v>
      </c>
      <c r="W290">
        <v>0</v>
      </c>
      <c r="X290">
        <v>0</v>
      </c>
      <c r="Y290">
        <v>0</v>
      </c>
      <c r="Z290">
        <v>0</v>
      </c>
      <c r="AA290">
        <v>0</v>
      </c>
      <c r="AB290">
        <v>0</v>
      </c>
      <c r="AC290">
        <v>0</v>
      </c>
      <c r="AD290">
        <v>0</v>
      </c>
      <c r="AE290">
        <v>0</v>
      </c>
      <c r="AF290">
        <v>0</v>
      </c>
      <c r="AG290">
        <v>0</v>
      </c>
      <c r="AH290">
        <v>0</v>
      </c>
      <c r="AI290">
        <v>0</v>
      </c>
      <c r="AJ290">
        <v>1</v>
      </c>
      <c r="AK290">
        <v>0</v>
      </c>
      <c r="AL290">
        <v>0</v>
      </c>
      <c r="AM290">
        <v>0</v>
      </c>
      <c r="AN290">
        <v>0</v>
      </c>
      <c r="AO290">
        <v>0</v>
      </c>
      <c r="AP290">
        <v>0</v>
      </c>
      <c r="AQ290">
        <v>0</v>
      </c>
      <c r="AR290">
        <v>0</v>
      </c>
      <c r="AS290">
        <v>0</v>
      </c>
      <c r="AT290">
        <v>0</v>
      </c>
      <c r="AU290">
        <v>0</v>
      </c>
      <c r="AV290">
        <v>0</v>
      </c>
      <c r="AW290">
        <v>0</v>
      </c>
      <c r="AX290" s="141">
        <f>COUNTIF(V290:AW290,"&lt;&gt;0")</f>
        <v>1</v>
      </c>
      <c r="AY290" s="141">
        <f>COUNTIF(V290:AL290,"&lt;&gt;0")</f>
        <v>1</v>
      </c>
      <c r="AZ290">
        <f>COUNTIF(V290:AC290,"&lt;&gt;0")</f>
        <v>0</v>
      </c>
      <c r="BA290">
        <f>COUNTIF(AD290:AI290,"&lt;&gt;0")</f>
        <v>0</v>
      </c>
      <c r="BB290">
        <f>COUNTIF(AJ290:AL290,"&lt;&gt;0")</f>
        <v>1</v>
      </c>
      <c r="BC290">
        <f>COUNTIF(AS290:AW290,"&lt;&gt;0")</f>
        <v>0</v>
      </c>
      <c r="BD290">
        <f>COUNTIF(AM290:AR290,"&lt;&gt;0")</f>
        <v>0</v>
      </c>
      <c r="BE290" t="str">
        <f t="array" ref="BE290">IF(AY290=1,INDEX($V$7:$AL$7,MATCH(TRUE,INDEX($V290:$AW290&lt;&gt;0,),0)),IF(AY290=0,INDEX($AM$7:$AW$7,MATCH(1,$AM290:$AW290,0)),IF(BF290="Multiple strategies","mixed drivers",IF(BF290="Supply chain","multiple supply","multiple silviculture"))))</f>
        <v>efficiency improvement</v>
      </c>
      <c r="BF290" s="2" t="str" cm="1">
        <f t="array" ref="BF290">IF(COUNTIF(AZ290:BB290,"&lt;&gt;0")=1,INDEX($V$4:$AW$4,MATCH(TRUE,INDEX($V290:$AW290&lt;&gt;0,),0)),IF(COUNTIF(AZ290:BB290,"&lt;&gt;0")=0,INDEX($AM$4:$AW$4,MATCH(1,$AM290:$AW290,0)),"Multiple strategies"))</f>
        <v>Technology</v>
      </c>
      <c r="BG290" s="1" t="s">
        <v>229</v>
      </c>
      <c r="BH290" t="s">
        <v>423</v>
      </c>
      <c r="BI290" t="s">
        <v>424</v>
      </c>
      <c r="BJ290" t="s">
        <v>425</v>
      </c>
      <c r="BK290">
        <v>5932</v>
      </c>
      <c r="BL290">
        <v>15385</v>
      </c>
      <c r="BM290"/>
      <c r="BN290">
        <f>BL290-BK290</f>
        <v>9453</v>
      </c>
      <c r="BO290">
        <f>BN290*kg_to_m3</f>
        <v>19.291836734693881</v>
      </c>
      <c r="BP290" t="s">
        <v>395</v>
      </c>
      <c r="BQ290" s="260" t="s">
        <v>3271</v>
      </c>
      <c r="BR290" t="s">
        <v>427</v>
      </c>
      <c r="BS290">
        <f>242+16+53+48</f>
        <v>359</v>
      </c>
      <c r="BT290">
        <f>641+60+48</f>
        <v>749</v>
      </c>
      <c r="BU290" s="144">
        <f>IFERROR(BT290/BS290,"")</f>
        <v>2.0863509749303621</v>
      </c>
      <c r="BV290">
        <f>BT290-BS290</f>
        <v>390</v>
      </c>
      <c r="BW290"/>
      <c r="BX290">
        <f>BV290/1000</f>
        <v>0.39</v>
      </c>
      <c r="BY290">
        <f t="shared" si="236"/>
        <v>2.0215804506505869E-2</v>
      </c>
      <c r="BZ290">
        <v>0</v>
      </c>
      <c r="CA290">
        <v>0</v>
      </c>
      <c r="CB290">
        <v>0</v>
      </c>
      <c r="CC290">
        <v>0</v>
      </c>
      <c r="CD290">
        <v>0</v>
      </c>
      <c r="CE290">
        <v>0</v>
      </c>
      <c r="CF290">
        <v>0</v>
      </c>
      <c r="CG290">
        <v>0</v>
      </c>
      <c r="CH290">
        <v>0</v>
      </c>
      <c r="CI290">
        <v>0</v>
      </c>
      <c r="CJ290">
        <v>0</v>
      </c>
      <c r="CK290">
        <v>0</v>
      </c>
      <c r="CL290">
        <v>0</v>
      </c>
      <c r="CM290">
        <v>0</v>
      </c>
      <c r="CN290" t="str">
        <f>IF($BL290&lt;$BK290,"refNeedCorrection","refOK")</f>
        <v>refOK</v>
      </c>
      <c r="CO290">
        <f>IF($CN290="refOK",$BK290,$BL290)</f>
        <v>5932</v>
      </c>
      <c r="CP290">
        <f>IF($CN290="refOK",$BL290,$BK290)</f>
        <v>15385</v>
      </c>
      <c r="CQ290">
        <f>IF($CN290="refOK",$BO290,-$BO290)</f>
        <v>19.291836734693881</v>
      </c>
      <c r="CR290">
        <f>IF($CN290="refOK",$BT290,$BS290)*IF($BP290="Emissions positive",-1,1)</f>
        <v>-749</v>
      </c>
      <c r="CS290">
        <f>IF($CN290="refOK",$BS290,$BT290)*IF($BP290="Emissions positive",-1,1)</f>
        <v>-359</v>
      </c>
      <c r="CT290">
        <f>IF($CN290="refNeedCorrection",-BX290,BX290)*IF($BP290="Emissions positive",-1,1)</f>
        <v>-0.39</v>
      </c>
      <c r="CU290">
        <f>IFERROR(CT290/CQ290,"")</f>
        <v>-2.0215804506505869E-2</v>
      </c>
      <c r="CV290" s="2">
        <f>IFERROR((CS290-CR290)/ABS(CR290),"")</f>
        <v>0.52069425901201605</v>
      </c>
      <c r="CW290" s="1" t="s">
        <v>263</v>
      </c>
      <c r="CX290" t="str">
        <f>IF(OR($CW290="prd",$CW290="std",$CW290="cit"),"loc",IF(OR($CW290="eur",$CW290="reg",$CW290="coy"),"reg",$CW290))</f>
        <v>loc</v>
      </c>
      <c r="CY290" t="s">
        <v>428</v>
      </c>
      <c r="CZ290"/>
      <c r="DA290"/>
      <c r="DB290">
        <v>0</v>
      </c>
      <c r="DC290" t="str">
        <f>IF(DB290=0,"0",IF(AND(DB290&gt;=1,DB290&lt;=30),"1-30",IF(AND(DB290&gt;30,DB290&lt;=70),"31-70",IF(AND(DB290&gt;70,DB290&lt;=100),"71-100",IF(DB290&gt;100,"+100")))))</f>
        <v>0</v>
      </c>
      <c r="DD290">
        <v>0</v>
      </c>
      <c r="DE290">
        <v>1</v>
      </c>
      <c r="DF290">
        <v>0</v>
      </c>
      <c r="DG290">
        <v>0</v>
      </c>
      <c r="DH290">
        <v>0</v>
      </c>
      <c r="DI290">
        <f>SUM(DD290:DH290)</f>
        <v>1</v>
      </c>
      <c r="DJ290" t="str">
        <f>IF(DI290=1,INDEX($DD$7:$DG$7,MATCH(1,$DD290:$DG290,0)),"mixedProduct")</f>
        <v>EnergyInput</v>
      </c>
      <c r="DK290">
        <f t="shared" ref="DK290:DN293" si="304">IF(DD290=1,DK$7,0)</f>
        <v>0</v>
      </c>
      <c r="DL290" t="str">
        <f t="shared" si="304"/>
        <v>Energy</v>
      </c>
      <c r="DM290">
        <f t="shared" si="304"/>
        <v>0</v>
      </c>
      <c r="DN290">
        <f t="shared" si="304"/>
        <v>0</v>
      </c>
      <c r="DO290">
        <v>0</v>
      </c>
      <c r="DP290">
        <v>0</v>
      </c>
      <c r="DQ290">
        <v>0</v>
      </c>
      <c r="DR290">
        <v>0</v>
      </c>
      <c r="DS290">
        <v>0</v>
      </c>
      <c r="DT290">
        <f>SUM(DO290:DP290)</f>
        <v>0</v>
      </c>
      <c r="DU290" t="str">
        <f>IF(DO290=1,"self-calculated DF",IF(DP290=1,"external DF used","explicit C balance"))</f>
        <v>explicit C balance</v>
      </c>
      <c r="DV290">
        <v>0</v>
      </c>
      <c r="DW290">
        <v>1</v>
      </c>
      <c r="DX290">
        <v>0</v>
      </c>
      <c r="DY290">
        <v>0</v>
      </c>
      <c r="DZ290">
        <v>1</v>
      </c>
      <c r="EA290" s="143">
        <v>0</v>
      </c>
      <c r="EB290">
        <v>0</v>
      </c>
      <c r="EC290">
        <v>1</v>
      </c>
      <c r="ED290">
        <v>0</v>
      </c>
      <c r="EE290">
        <v>0</v>
      </c>
      <c r="EF290">
        <v>0</v>
      </c>
      <c r="EG290">
        <v>0</v>
      </c>
      <c r="EH290">
        <v>0</v>
      </c>
      <c r="EI290" s="2">
        <v>0</v>
      </c>
      <c r="EJ290" s="1"/>
      <c r="EK290" t="str">
        <f>IF(AND(AND(AND(OR($DX290=1,$DW290=1),OR($EC290=1,$EA290=1)),SUM($DV290:$DZ290,$EF290)&gt;=4),SUM($EA290:$EE290)&gt;=2),"Whole sector","")</f>
        <v/>
      </c>
      <c r="EL290" t="str">
        <f>IF(AND(AND(OR($DX290=1,$DW290=1),AND($EC290=0,$EA290=0)),SUM($DV290:$DZ290,$EF290)&gt;=4),"Ecosystem approach","")</f>
        <v/>
      </c>
      <c r="EM290" s="2" t="str">
        <f t="shared" si="237"/>
        <v/>
      </c>
      <c r="EN290"/>
      <c r="EO290"/>
      <c r="EP290" t="str">
        <f>IF(ISNUMBER(BU290),IF(ABS(BU290-[5]QC_indicators!$B$2)&gt;3*[5]QC_indicators!$C$2,"C ratio",IF(ISNUMBER(BY290),IF(ABS(BY290-[5]QC_indicators!$B$1)&gt;3*[5]QC_indicators!$C$1,"DF","no"))),IF(ISNUMBER(BY290),IF(ABS(BY290-[5]QC_indicators!$B$1)&gt;3*[5]QC_indicators!$C$1,"DF","no")))</f>
        <v>no</v>
      </c>
      <c r="EQ290"/>
      <c r="ER290"/>
      <c r="ES290"/>
      <c r="ET290" s="264" t="s">
        <v>3272</v>
      </c>
      <c r="EU290"/>
    </row>
    <row r="291" spans="1:151" s="139" customFormat="1" ht="15" hidden="1" customHeight="1">
      <c r="A291" s="1" t="s">
        <v>412</v>
      </c>
      <c r="B291" t="s">
        <v>413</v>
      </c>
      <c r="C291" t="s">
        <v>414</v>
      </c>
      <c r="D291" t="s">
        <v>415</v>
      </c>
      <c r="E291" t="s">
        <v>416</v>
      </c>
      <c r="F291" t="s">
        <v>417</v>
      </c>
      <c r="G291" t="s">
        <v>418</v>
      </c>
      <c r="H291" t="s">
        <v>254</v>
      </c>
      <c r="I291">
        <v>2022</v>
      </c>
      <c r="J291">
        <v>4</v>
      </c>
      <c r="K291" t="s">
        <v>419</v>
      </c>
      <c r="L291"/>
      <c r="M291" t="str">
        <f t="shared" si="245"/>
        <v>Bergman_2022</v>
      </c>
      <c r="N291" t="s">
        <v>222</v>
      </c>
      <c r="O291" s="145" t="s">
        <v>223</v>
      </c>
      <c r="P291"/>
      <c r="Q291" t="s">
        <v>389</v>
      </c>
      <c r="R291" s="255" t="s">
        <v>225</v>
      </c>
      <c r="S291" s="1" t="s">
        <v>420</v>
      </c>
      <c r="T291" t="s">
        <v>421</v>
      </c>
      <c r="U291" t="s">
        <v>422</v>
      </c>
      <c r="V291">
        <v>0</v>
      </c>
      <c r="W291">
        <v>0</v>
      </c>
      <c r="X291">
        <v>0</v>
      </c>
      <c r="Y291">
        <v>0</v>
      </c>
      <c r="Z291">
        <v>0</v>
      </c>
      <c r="AA291">
        <v>0</v>
      </c>
      <c r="AB291">
        <v>0</v>
      </c>
      <c r="AC291">
        <v>0</v>
      </c>
      <c r="AD291">
        <v>0</v>
      </c>
      <c r="AE291">
        <v>0</v>
      </c>
      <c r="AF291">
        <v>0</v>
      </c>
      <c r="AG291">
        <v>0</v>
      </c>
      <c r="AH291">
        <v>0</v>
      </c>
      <c r="AI291">
        <v>0</v>
      </c>
      <c r="AJ291">
        <v>1</v>
      </c>
      <c r="AK291">
        <v>0</v>
      </c>
      <c r="AL291">
        <v>0</v>
      </c>
      <c r="AM291">
        <v>0</v>
      </c>
      <c r="AN291">
        <v>0</v>
      </c>
      <c r="AO291">
        <v>0</v>
      </c>
      <c r="AP291">
        <v>0</v>
      </c>
      <c r="AQ291">
        <v>0</v>
      </c>
      <c r="AR291">
        <v>0</v>
      </c>
      <c r="AS291">
        <v>0</v>
      </c>
      <c r="AT291">
        <v>0</v>
      </c>
      <c r="AU291">
        <v>0</v>
      </c>
      <c r="AV291">
        <v>0</v>
      </c>
      <c r="AW291">
        <v>0</v>
      </c>
      <c r="AX291" s="141">
        <f>COUNTIF(V291:AW291,"&lt;&gt;0")</f>
        <v>1</v>
      </c>
      <c r="AY291" s="141">
        <f>COUNTIF(V291:AL291,"&lt;&gt;0")</f>
        <v>1</v>
      </c>
      <c r="AZ291">
        <f>COUNTIF(V291:AC291,"&lt;&gt;0")</f>
        <v>0</v>
      </c>
      <c r="BA291">
        <f>COUNTIF(AD291:AI291,"&lt;&gt;0")</f>
        <v>0</v>
      </c>
      <c r="BB291">
        <f>COUNTIF(AJ291:AL291,"&lt;&gt;0")</f>
        <v>1</v>
      </c>
      <c r="BC291">
        <f>COUNTIF(AS291:AW291,"&lt;&gt;0")</f>
        <v>0</v>
      </c>
      <c r="BD291">
        <f>COUNTIF(AM291:AR291,"&lt;&gt;0")</f>
        <v>0</v>
      </c>
      <c r="BE291" t="str">
        <f t="array" ref="BE291">IF(AY291=1,INDEX($V$7:$AL$7,MATCH(TRUE,INDEX($V291:$AW291&lt;&gt;0,),0)),IF(AY291=0,INDEX($AM$7:$AW$7,MATCH(1,$AM291:$AW291,0)),IF(BF291="Multiple strategies","mixed drivers",IF(BF291="Supply chain","multiple supply","multiple silviculture"))))</f>
        <v>efficiency improvement</v>
      </c>
      <c r="BF291" s="2" t="str" cm="1">
        <f t="array" ref="BF291">IF(COUNTIF(AZ291:BB291,"&lt;&gt;0")=1,INDEX($V$4:$AW$4,MATCH(TRUE,INDEX($V291:$AW291&lt;&gt;0,),0)),IF(COUNTIF(AZ291:BB291,"&lt;&gt;0")=0,INDEX($AM$4:$AW$4,MATCH(1,$AM291:$AW291,0)),"Multiple strategies"))</f>
        <v>Technology</v>
      </c>
      <c r="BG291" s="1" t="s">
        <v>229</v>
      </c>
      <c r="BH291" t="s">
        <v>423</v>
      </c>
      <c r="BI291" t="s">
        <v>424</v>
      </c>
      <c r="BJ291" t="s">
        <v>425</v>
      </c>
      <c r="BK291">
        <v>5932</v>
      </c>
      <c r="BL291">
        <v>15385</v>
      </c>
      <c r="BM291"/>
      <c r="BN291">
        <f>BL291-BK291</f>
        <v>9453</v>
      </c>
      <c r="BO291">
        <f>BN291*kg_to_m3</f>
        <v>19.291836734693881</v>
      </c>
      <c r="BP291" t="s">
        <v>395</v>
      </c>
      <c r="BQ291" s="260" t="s">
        <v>3271</v>
      </c>
      <c r="BR291" t="s">
        <v>427</v>
      </c>
      <c r="BS291">
        <f>19+246+24+17</f>
        <v>306</v>
      </c>
      <c r="BT291">
        <f>712+27+17</f>
        <v>756</v>
      </c>
      <c r="BU291" s="144">
        <f>IFERROR(BT291/BS291,"")</f>
        <v>2.4705882352941178</v>
      </c>
      <c r="BV291">
        <f>BT291-BS291</f>
        <v>450</v>
      </c>
      <c r="BW291"/>
      <c r="BX291">
        <f>BV291/1000</f>
        <v>0.45</v>
      </c>
      <c r="BY291">
        <f t="shared" si="236"/>
        <v>2.3325928276737542E-2</v>
      </c>
      <c r="BZ291">
        <v>0</v>
      </c>
      <c r="CA291">
        <v>0</v>
      </c>
      <c r="CB291">
        <v>0</v>
      </c>
      <c r="CC291">
        <v>0</v>
      </c>
      <c r="CD291">
        <v>0</v>
      </c>
      <c r="CE291">
        <v>0</v>
      </c>
      <c r="CF291">
        <v>0</v>
      </c>
      <c r="CG291">
        <v>0</v>
      </c>
      <c r="CH291">
        <v>0</v>
      </c>
      <c r="CI291">
        <v>0</v>
      </c>
      <c r="CJ291">
        <v>0</v>
      </c>
      <c r="CK291">
        <v>0</v>
      </c>
      <c r="CL291">
        <v>0</v>
      </c>
      <c r="CM291">
        <v>0</v>
      </c>
      <c r="CN291" t="str">
        <f>IF($BL291&lt;$BK291,"refNeedCorrection","refOK")</f>
        <v>refOK</v>
      </c>
      <c r="CO291"/>
      <c r="CP291"/>
      <c r="CQ291">
        <f>IF($CN291="refOK",$BO291,-$BO291)</f>
        <v>19.291836734693881</v>
      </c>
      <c r="CR291">
        <f>IF($CN291="refOK",$BT291,$BS291)*IF($BP291="Emissions positive",-1,1)</f>
        <v>-756</v>
      </c>
      <c r="CS291">
        <f>IF($CN291="refOK",$BS291,$BT291)*IF($BP291="Emissions positive",-1,1)</f>
        <v>-306</v>
      </c>
      <c r="CT291">
        <f>IF($CN291="refNeedCorrection",-BX291,BX291)*IF($BP291="Emissions positive",-1,1)</f>
        <v>-0.45</v>
      </c>
      <c r="CU291">
        <f>IFERROR(CT291/CQ291,"")</f>
        <v>-2.3325928276737542E-2</v>
      </c>
      <c r="CV291" s="2">
        <f>IFERROR((CS291-CR291)/ABS(CR291),"")</f>
        <v>0.59523809523809523</v>
      </c>
      <c r="CW291" s="1" t="s">
        <v>263</v>
      </c>
      <c r="CX291" t="str">
        <f>IF(OR($CW291="prd",$CW291="std",$CW291="cit"),"loc",IF(OR($CW291="eur",$CW291="reg",$CW291="coy"),"reg",$CW291))</f>
        <v>loc</v>
      </c>
      <c r="CY291" t="s">
        <v>428</v>
      </c>
      <c r="CZ291"/>
      <c r="DA291"/>
      <c r="DB291">
        <v>0</v>
      </c>
      <c r="DC291" t="str">
        <f>IF(DB291=0,"0",IF(AND(DB291&gt;=1,DB291&lt;=30),"1-30",IF(AND(DB291&gt;30,DB291&lt;=70),"31-70",IF(AND(DB291&gt;70,DB291&lt;=100),"71-100",IF(DB291&gt;100,"+100")))))</f>
        <v>0</v>
      </c>
      <c r="DD291">
        <v>0</v>
      </c>
      <c r="DE291">
        <v>1</v>
      </c>
      <c r="DF291">
        <v>0</v>
      </c>
      <c r="DG291">
        <v>0</v>
      </c>
      <c r="DH291">
        <v>0</v>
      </c>
      <c r="DI291">
        <f>SUM(DD291:DH291)</f>
        <v>1</v>
      </c>
      <c r="DJ291" t="str">
        <f>IF(DI291=1,INDEX($DD$7:$DG$7,MATCH(1,$DD291:$DG291,0)),"mixedProduct")</f>
        <v>EnergyInput</v>
      </c>
      <c r="DK291">
        <f t="shared" si="304"/>
        <v>0</v>
      </c>
      <c r="DL291" t="str">
        <f t="shared" si="304"/>
        <v>Energy</v>
      </c>
      <c r="DM291">
        <f t="shared" si="304"/>
        <v>0</v>
      </c>
      <c r="DN291">
        <f t="shared" si="304"/>
        <v>0</v>
      </c>
      <c r="DO291">
        <v>0</v>
      </c>
      <c r="DP291">
        <v>0</v>
      </c>
      <c r="DQ291">
        <v>0</v>
      </c>
      <c r="DR291">
        <v>0</v>
      </c>
      <c r="DS291">
        <v>0</v>
      </c>
      <c r="DT291">
        <f>SUM(DO291:DP291)</f>
        <v>0</v>
      </c>
      <c r="DU291" t="str">
        <f>IF(DO291=1,"self-calculated DF",IF(DP291=1,"external DF used","explicit C balance"))</f>
        <v>explicit C balance</v>
      </c>
      <c r="DV291">
        <v>0</v>
      </c>
      <c r="DW291">
        <v>1</v>
      </c>
      <c r="DX291">
        <v>0</v>
      </c>
      <c r="DY291">
        <v>0</v>
      </c>
      <c r="DZ291">
        <v>1</v>
      </c>
      <c r="EA291" s="143">
        <v>0</v>
      </c>
      <c r="EB291">
        <v>0</v>
      </c>
      <c r="EC291">
        <v>1</v>
      </c>
      <c r="ED291">
        <v>0</v>
      </c>
      <c r="EE291">
        <v>0</v>
      </c>
      <c r="EF291">
        <v>0</v>
      </c>
      <c r="EG291">
        <v>0</v>
      </c>
      <c r="EH291">
        <v>0</v>
      </c>
      <c r="EI291" s="2">
        <v>0</v>
      </c>
      <c r="EJ291" s="1"/>
      <c r="EK291" t="str">
        <f>IF(AND(AND(AND(OR($DX291=1,$DW291=1),OR($EC291=1,$EA291=1)),SUM($DV291:$DZ291,$EF291)&gt;=4),SUM($EA291:$EE291)&gt;=2),"Whole sector","")</f>
        <v/>
      </c>
      <c r="EL291" t="str">
        <f>IF(AND(AND(OR($DX291=1,$DW291=1),AND($EC291=0,$EA291=0)),SUM($DV291:$DZ291,$EF291)&gt;=4),"Ecosystem approach","")</f>
        <v/>
      </c>
      <c r="EM291" s="2" t="str">
        <f t="shared" si="237"/>
        <v/>
      </c>
      <c r="EN291"/>
      <c r="EO291"/>
      <c r="EP291" t="str">
        <f>IF(ISNUMBER(BU291),IF(ABS(BU291-[5]QC_indicators!$B$2)&gt;3*[5]QC_indicators!$C$2,"C ratio",IF(ISNUMBER(BY291),IF(ABS(BY291-[5]QC_indicators!$B$1)&gt;3*[5]QC_indicators!$C$1,"DF","no"))),IF(ISNUMBER(BY291),IF(ABS(BY291-[5]QC_indicators!$B$1)&gt;3*[5]QC_indicators!$C$1,"DF","no")))</f>
        <v>no</v>
      </c>
      <c r="EQ291"/>
      <c r="ER291"/>
      <c r="ES291"/>
      <c r="ET291" s="264" t="s">
        <v>3272</v>
      </c>
      <c r="EU291"/>
    </row>
    <row r="292" spans="1:151" s="139" customFormat="1" ht="15" hidden="1" customHeight="1">
      <c r="A292" s="1" t="s">
        <v>412</v>
      </c>
      <c r="B292" t="s">
        <v>413</v>
      </c>
      <c r="C292" t="s">
        <v>414</v>
      </c>
      <c r="D292" t="s">
        <v>415</v>
      </c>
      <c r="E292" t="s">
        <v>416</v>
      </c>
      <c r="F292" t="s">
        <v>417</v>
      </c>
      <c r="G292" t="s">
        <v>418</v>
      </c>
      <c r="H292" t="s">
        <v>254</v>
      </c>
      <c r="I292">
        <v>2022</v>
      </c>
      <c r="J292">
        <v>4</v>
      </c>
      <c r="K292" t="s">
        <v>419</v>
      </c>
      <c r="L292"/>
      <c r="M292" t="str">
        <f t="shared" si="245"/>
        <v>Bergman_2022</v>
      </c>
      <c r="N292" t="s">
        <v>222</v>
      </c>
      <c r="O292" s="145" t="s">
        <v>223</v>
      </c>
      <c r="P292"/>
      <c r="Q292" t="s">
        <v>389</v>
      </c>
      <c r="R292" s="255" t="s">
        <v>225</v>
      </c>
      <c r="S292" s="1" t="s">
        <v>420</v>
      </c>
      <c r="T292" t="s">
        <v>421</v>
      </c>
      <c r="U292" t="s">
        <v>422</v>
      </c>
      <c r="V292">
        <v>0</v>
      </c>
      <c r="W292">
        <v>0</v>
      </c>
      <c r="X292">
        <v>0</v>
      </c>
      <c r="Y292">
        <v>0</v>
      </c>
      <c r="Z292">
        <v>0</v>
      </c>
      <c r="AA292">
        <v>0</v>
      </c>
      <c r="AB292">
        <v>0</v>
      </c>
      <c r="AC292">
        <v>0</v>
      </c>
      <c r="AD292">
        <v>0</v>
      </c>
      <c r="AE292">
        <v>0</v>
      </c>
      <c r="AF292">
        <v>0</v>
      </c>
      <c r="AG292">
        <v>0</v>
      </c>
      <c r="AH292">
        <v>0</v>
      </c>
      <c r="AI292">
        <v>0</v>
      </c>
      <c r="AJ292">
        <v>1</v>
      </c>
      <c r="AK292">
        <v>0</v>
      </c>
      <c r="AL292">
        <v>0</v>
      </c>
      <c r="AM292">
        <v>0</v>
      </c>
      <c r="AN292">
        <v>0</v>
      </c>
      <c r="AO292">
        <v>0</v>
      </c>
      <c r="AP292">
        <v>0</v>
      </c>
      <c r="AQ292">
        <v>0</v>
      </c>
      <c r="AR292">
        <v>0</v>
      </c>
      <c r="AS292">
        <v>0</v>
      </c>
      <c r="AT292">
        <v>0</v>
      </c>
      <c r="AU292">
        <v>0</v>
      </c>
      <c r="AV292">
        <v>0</v>
      </c>
      <c r="AW292">
        <v>0</v>
      </c>
      <c r="AX292" s="141">
        <f>COUNTIF(V292:AW292,"&lt;&gt;0")</f>
        <v>1</v>
      </c>
      <c r="AY292" s="141">
        <f>COUNTIF(V292:AL292,"&lt;&gt;0")</f>
        <v>1</v>
      </c>
      <c r="AZ292">
        <f>COUNTIF(V292:AC292,"&lt;&gt;0")</f>
        <v>0</v>
      </c>
      <c r="BA292">
        <f>COUNTIF(AD292:AI292,"&lt;&gt;0")</f>
        <v>0</v>
      </c>
      <c r="BB292">
        <f>COUNTIF(AJ292:AL292,"&lt;&gt;0")</f>
        <v>1</v>
      </c>
      <c r="BC292">
        <f>COUNTIF(AS292:AW292,"&lt;&gt;0")</f>
        <v>0</v>
      </c>
      <c r="BD292">
        <f>COUNTIF(AM292:AR292,"&lt;&gt;0")</f>
        <v>0</v>
      </c>
      <c r="BE292" t="str">
        <f t="array" ref="BE292">IF(AY292=1,INDEX($V$7:$AL$7,MATCH(TRUE,INDEX($V292:$AW292&lt;&gt;0,),0)),IF(AY292=0,INDEX($AM$7:$AW$7,MATCH(1,$AM292:$AW292,0)),IF(BF292="Multiple strategies","mixed drivers",IF(BF292="Supply chain","multiple supply","multiple silviculture"))))</f>
        <v>efficiency improvement</v>
      </c>
      <c r="BF292" s="2" t="str" cm="1">
        <f t="array" ref="BF292">IF(COUNTIF(AZ292:BB292,"&lt;&gt;0")=1,INDEX($V$4:$AW$4,MATCH(TRUE,INDEX($V292:$AW292&lt;&gt;0,),0)),IF(COUNTIF(AZ292:BB292,"&lt;&gt;0")=0,INDEX($AM$4:$AW$4,MATCH(1,$AM292:$AW292,0)),"Multiple strategies"))</f>
        <v>Technology</v>
      </c>
      <c r="BG292" s="1" t="s">
        <v>229</v>
      </c>
      <c r="BH292" t="s">
        <v>423</v>
      </c>
      <c r="BI292" t="s">
        <v>424</v>
      </c>
      <c r="BJ292" t="s">
        <v>425</v>
      </c>
      <c r="BK292">
        <v>5932</v>
      </c>
      <c r="BL292">
        <v>15385</v>
      </c>
      <c r="BM292"/>
      <c r="BN292">
        <f>BL292-BK292</f>
        <v>9453</v>
      </c>
      <c r="BO292">
        <f>BN292*kg_to_m3</f>
        <v>19.291836734693881</v>
      </c>
      <c r="BP292" t="s">
        <v>395</v>
      </c>
      <c r="BQ292" s="260" t="s">
        <v>3271</v>
      </c>
      <c r="BR292" t="s">
        <v>427</v>
      </c>
      <c r="BS292">
        <f>84+16+242+53+48</f>
        <v>443</v>
      </c>
      <c r="BT292">
        <f>260+641+60+48</f>
        <v>1009</v>
      </c>
      <c r="BU292" s="144">
        <f>IFERROR(BT292/BS292,"")</f>
        <v>2.2776523702031604</v>
      </c>
      <c r="BV292">
        <f>BT292-BS292</f>
        <v>566</v>
      </c>
      <c r="BW292"/>
      <c r="BX292">
        <f>BV292/1000</f>
        <v>0.56599999999999995</v>
      </c>
      <c r="BY292">
        <f t="shared" si="236"/>
        <v>2.9338834232518769E-2</v>
      </c>
      <c r="BZ292">
        <v>0</v>
      </c>
      <c r="CA292">
        <v>0</v>
      </c>
      <c r="CB292">
        <v>0</v>
      </c>
      <c r="CC292">
        <v>0</v>
      </c>
      <c r="CD292">
        <v>0</v>
      </c>
      <c r="CE292">
        <v>0</v>
      </c>
      <c r="CF292">
        <v>0</v>
      </c>
      <c r="CG292">
        <v>0</v>
      </c>
      <c r="CH292">
        <v>0</v>
      </c>
      <c r="CI292">
        <v>0</v>
      </c>
      <c r="CJ292">
        <v>0</v>
      </c>
      <c r="CK292">
        <v>0</v>
      </c>
      <c r="CL292">
        <v>0</v>
      </c>
      <c r="CM292">
        <v>0</v>
      </c>
      <c r="CN292" t="str">
        <f>IF($BL292&lt;$BL291,"refNeedCorrection","refOK")</f>
        <v>refOK</v>
      </c>
      <c r="CO292"/>
      <c r="CP292"/>
      <c r="CQ292">
        <f>IF($CN292="refOK",$BO292,-$BO292)</f>
        <v>19.291836734693881</v>
      </c>
      <c r="CR292">
        <f>IF($CN292="refOK",$BT292,$BS292)*IF($BP292="Emissions positive",-1,1)</f>
        <v>-1009</v>
      </c>
      <c r="CS292">
        <f>IF($CN292="refOK",$BS292,$BT292)*IF($BP292="Emissions positive",-1,1)</f>
        <v>-443</v>
      </c>
      <c r="CT292">
        <f>IF($CN292="refNeedCorrection",-BX292,BX292)*IF($BP292="Emissions positive",-1,1)</f>
        <v>-0.56599999999999995</v>
      </c>
      <c r="CU292">
        <f>IFERROR(CT292/CQ292,"")</f>
        <v>-2.9338834232518769E-2</v>
      </c>
      <c r="CV292" s="2">
        <f>IFERROR((CS292-CR292)/ABS(CR292),"")</f>
        <v>0.56095143706640238</v>
      </c>
      <c r="CW292" s="1" t="s">
        <v>263</v>
      </c>
      <c r="CX292" t="str">
        <f>IF(OR($CW292="prd",$CW292="std",$CW292="cit"),"loc",IF(OR($CW292="eur",$CW292="reg",$CW292="coy"),"reg",$CW292))</f>
        <v>loc</v>
      </c>
      <c r="CY292" t="s">
        <v>428</v>
      </c>
      <c r="CZ292"/>
      <c r="DA292"/>
      <c r="DB292">
        <v>0</v>
      </c>
      <c r="DC292" t="str">
        <f>IF(DB292=0,"0",IF(AND(DB292&gt;=1,DB292&lt;=30),"1-30",IF(AND(DB292&gt;30,DB292&lt;=70),"31-70",IF(AND(DB292&gt;70,DB292&lt;=100),"71-100",IF(DB292&gt;100,"+100")))))</f>
        <v>0</v>
      </c>
      <c r="DD292">
        <v>0</v>
      </c>
      <c r="DE292">
        <v>1</v>
      </c>
      <c r="DF292">
        <v>0</v>
      </c>
      <c r="DG292">
        <v>0</v>
      </c>
      <c r="DH292">
        <v>0</v>
      </c>
      <c r="DI292">
        <f>SUM(DD292:DH292)</f>
        <v>1</v>
      </c>
      <c r="DJ292" t="str">
        <f>IF(DI292=1,INDEX($DD$7:$DG$7,MATCH(1,$DD292:$DG292,0)),"mixedProduct")</f>
        <v>EnergyInput</v>
      </c>
      <c r="DK292">
        <f t="shared" si="304"/>
        <v>0</v>
      </c>
      <c r="DL292" t="str">
        <f t="shared" si="304"/>
        <v>Energy</v>
      </c>
      <c r="DM292">
        <f t="shared" si="304"/>
        <v>0</v>
      </c>
      <c r="DN292">
        <f t="shared" si="304"/>
        <v>0</v>
      </c>
      <c r="DO292">
        <v>0</v>
      </c>
      <c r="DP292">
        <v>0</v>
      </c>
      <c r="DQ292">
        <v>0</v>
      </c>
      <c r="DR292">
        <v>0</v>
      </c>
      <c r="DS292">
        <v>0</v>
      </c>
      <c r="DT292">
        <f>SUM(DO292:DP292)</f>
        <v>0</v>
      </c>
      <c r="DU292" t="str">
        <f>IF(DO292=1,"self-calculated DF",IF(DP292=1,"external DF used","explicit C balance"))</f>
        <v>explicit C balance</v>
      </c>
      <c r="DV292">
        <v>0</v>
      </c>
      <c r="DW292">
        <v>1</v>
      </c>
      <c r="DX292">
        <v>0</v>
      </c>
      <c r="DY292">
        <v>0</v>
      </c>
      <c r="DZ292">
        <v>1</v>
      </c>
      <c r="EA292" s="143">
        <v>0</v>
      </c>
      <c r="EB292">
        <v>1</v>
      </c>
      <c r="EC292">
        <v>1</v>
      </c>
      <c r="ED292">
        <v>0</v>
      </c>
      <c r="EE292">
        <v>0</v>
      </c>
      <c r="EF292">
        <v>0</v>
      </c>
      <c r="EG292">
        <v>0</v>
      </c>
      <c r="EH292">
        <v>0</v>
      </c>
      <c r="EI292" s="2">
        <v>0</v>
      </c>
      <c r="EJ292" s="1"/>
      <c r="EK292" t="str">
        <f>IF(AND(AND(AND(OR($DX292=1,$DW292=1),OR($EC292=1,$EA292=1)),SUM($DV292:$DZ292,$EF292)&gt;=4),SUM($EA292:$EE292)&gt;=2),"Whole sector","")</f>
        <v/>
      </c>
      <c r="EL292" t="str">
        <f>IF(AND(AND(OR($DX292=1,$DW292=1),AND($EC292=0,$EA292=0)),SUM($DV292:$DZ292,$EF292)&gt;=4),"Ecosystem approach","")</f>
        <v/>
      </c>
      <c r="EM292" s="2" t="str">
        <f t="shared" si="237"/>
        <v/>
      </c>
      <c r="EN292"/>
      <c r="EO292"/>
      <c r="EP292" t="str">
        <f>IF(ISNUMBER(BU292),IF(ABS(BU292-[5]QC_indicators!$B$2)&gt;3*[5]QC_indicators!$C$2,"C ratio",IF(ISNUMBER(BY292),IF(ABS(BY292-[5]QC_indicators!$B$1)&gt;3*[5]QC_indicators!$C$1,"DF","no"))),IF(ISNUMBER(BY292),IF(ABS(BY292-[5]QC_indicators!$B$1)&gt;3*[5]QC_indicators!$C$1,"DF","no")))</f>
        <v>no</v>
      </c>
      <c r="EQ292"/>
      <c r="ER292"/>
      <c r="ES292"/>
      <c r="ET292" s="264" t="s">
        <v>3272</v>
      </c>
      <c r="EU292"/>
    </row>
    <row r="293" spans="1:151" s="139" customFormat="1" ht="15" hidden="1" customHeight="1">
      <c r="A293" s="1" t="s">
        <v>412</v>
      </c>
      <c r="B293" t="s">
        <v>413</v>
      </c>
      <c r="C293" t="s">
        <v>414</v>
      </c>
      <c r="D293" t="s">
        <v>415</v>
      </c>
      <c r="E293" t="s">
        <v>416</v>
      </c>
      <c r="F293" t="s">
        <v>417</v>
      </c>
      <c r="G293" t="s">
        <v>418</v>
      </c>
      <c r="H293" t="s">
        <v>254</v>
      </c>
      <c r="I293">
        <v>2022</v>
      </c>
      <c r="J293">
        <v>4</v>
      </c>
      <c r="K293" t="s">
        <v>419</v>
      </c>
      <c r="L293"/>
      <c r="M293" t="str">
        <f t="shared" si="245"/>
        <v>Bergman_2022</v>
      </c>
      <c r="N293" t="s">
        <v>222</v>
      </c>
      <c r="O293" s="145" t="s">
        <v>223</v>
      </c>
      <c r="P293"/>
      <c r="Q293" t="s">
        <v>389</v>
      </c>
      <c r="R293" s="255" t="s">
        <v>225</v>
      </c>
      <c r="S293" s="1" t="s">
        <v>420</v>
      </c>
      <c r="T293" t="s">
        <v>421</v>
      </c>
      <c r="U293" t="s">
        <v>422</v>
      </c>
      <c r="V293">
        <v>0</v>
      </c>
      <c r="W293">
        <v>0</v>
      </c>
      <c r="X293">
        <v>0</v>
      </c>
      <c r="Y293">
        <v>0</v>
      </c>
      <c r="Z293">
        <v>0</v>
      </c>
      <c r="AA293">
        <v>0</v>
      </c>
      <c r="AB293">
        <v>0</v>
      </c>
      <c r="AC293">
        <v>0</v>
      </c>
      <c r="AD293">
        <v>0</v>
      </c>
      <c r="AE293">
        <v>0</v>
      </c>
      <c r="AF293">
        <v>0</v>
      </c>
      <c r="AG293">
        <v>0</v>
      </c>
      <c r="AH293">
        <v>0</v>
      </c>
      <c r="AI293">
        <v>0</v>
      </c>
      <c r="AJ293">
        <v>1</v>
      </c>
      <c r="AK293">
        <v>0</v>
      </c>
      <c r="AL293">
        <v>0</v>
      </c>
      <c r="AM293">
        <v>0</v>
      </c>
      <c r="AN293">
        <v>0</v>
      </c>
      <c r="AO293">
        <v>0</v>
      </c>
      <c r="AP293">
        <v>0</v>
      </c>
      <c r="AQ293">
        <v>0</v>
      </c>
      <c r="AR293">
        <v>0</v>
      </c>
      <c r="AS293">
        <v>0</v>
      </c>
      <c r="AT293">
        <v>0</v>
      </c>
      <c r="AU293">
        <v>0</v>
      </c>
      <c r="AV293">
        <v>0</v>
      </c>
      <c r="AW293">
        <v>0</v>
      </c>
      <c r="AX293" s="141">
        <f>COUNTIF(V293:AW293,"&lt;&gt;0")</f>
        <v>1</v>
      </c>
      <c r="AY293" s="141">
        <f>COUNTIF(V293:AL293,"&lt;&gt;0")</f>
        <v>1</v>
      </c>
      <c r="AZ293">
        <f>COUNTIF(V293:AC293,"&lt;&gt;0")</f>
        <v>0</v>
      </c>
      <c r="BA293">
        <f>COUNTIF(AD293:AI293,"&lt;&gt;0")</f>
        <v>0</v>
      </c>
      <c r="BB293">
        <f>COUNTIF(AJ293:AL293,"&lt;&gt;0")</f>
        <v>1</v>
      </c>
      <c r="BC293">
        <f>COUNTIF(AS293:AW293,"&lt;&gt;0")</f>
        <v>0</v>
      </c>
      <c r="BD293">
        <f>COUNTIF(AM293:AR293,"&lt;&gt;0")</f>
        <v>0</v>
      </c>
      <c r="BE293" t="str">
        <f t="array" ref="BE293">IF(AY293=1,INDEX($V$7:$AL$7,MATCH(TRUE,INDEX($V293:$AW293&lt;&gt;0,),0)),IF(AY293=0,INDEX($AM$7:$AW$7,MATCH(1,$AM293:$AW293,0)),IF(BF293="Multiple strategies","mixed drivers",IF(BF293="Supply chain","multiple supply","multiple silviculture"))))</f>
        <v>efficiency improvement</v>
      </c>
      <c r="BF293" s="2" t="str" cm="1">
        <f t="array" ref="BF293">IF(COUNTIF(AZ293:BB293,"&lt;&gt;0")=1,INDEX($V$4:$AW$4,MATCH(TRUE,INDEX($V293:$AW293&lt;&gt;0,),0)),IF(COUNTIF(AZ293:BB293,"&lt;&gt;0")=0,INDEX($AM$4:$AW$4,MATCH(1,$AM293:$AW293,0)),"Multiple strategies"))</f>
        <v>Technology</v>
      </c>
      <c r="BG293" s="1" t="s">
        <v>229</v>
      </c>
      <c r="BH293" t="s">
        <v>423</v>
      </c>
      <c r="BI293" t="s">
        <v>424</v>
      </c>
      <c r="BJ293" t="s">
        <v>425</v>
      </c>
      <c r="BK293">
        <v>5932</v>
      </c>
      <c r="BL293">
        <v>15385</v>
      </c>
      <c r="BM293"/>
      <c r="BN293">
        <f>BL293-BK293</f>
        <v>9453</v>
      </c>
      <c r="BO293">
        <f>BN293*kg_to_m3</f>
        <v>19.291836734693881</v>
      </c>
      <c r="BP293" t="s">
        <v>395</v>
      </c>
      <c r="BQ293" s="260" t="s">
        <v>3271</v>
      </c>
      <c r="BR293" t="s">
        <v>427</v>
      </c>
      <c r="BS293">
        <f>101+19+246+24+17</f>
        <v>407</v>
      </c>
      <c r="BT293">
        <f>260+712+27+17</f>
        <v>1016</v>
      </c>
      <c r="BU293" s="144">
        <f>IFERROR(BT293/BS293,"")</f>
        <v>2.4963144963144965</v>
      </c>
      <c r="BV293">
        <f>BT293-BS293</f>
        <v>609</v>
      </c>
      <c r="BW293"/>
      <c r="BX293">
        <f>BV293/1000</f>
        <v>0.60899999999999999</v>
      </c>
      <c r="BY293">
        <f t="shared" si="236"/>
        <v>3.1567756267851473E-2</v>
      </c>
      <c r="BZ293">
        <v>0</v>
      </c>
      <c r="CA293">
        <v>0</v>
      </c>
      <c r="CB293">
        <v>0</v>
      </c>
      <c r="CC293">
        <v>0</v>
      </c>
      <c r="CD293">
        <v>0</v>
      </c>
      <c r="CE293">
        <v>0</v>
      </c>
      <c r="CF293">
        <v>0</v>
      </c>
      <c r="CG293">
        <v>0</v>
      </c>
      <c r="CH293">
        <v>0</v>
      </c>
      <c r="CI293">
        <v>0</v>
      </c>
      <c r="CJ293">
        <v>0</v>
      </c>
      <c r="CK293">
        <v>0</v>
      </c>
      <c r="CL293">
        <v>0</v>
      </c>
      <c r="CM293">
        <v>0</v>
      </c>
      <c r="CN293" t="str">
        <f>IF($BL293&lt;$BK293,"refNeedCorrection","refOK")</f>
        <v>refOK</v>
      </c>
      <c r="CO293"/>
      <c r="CP293"/>
      <c r="CQ293">
        <f>IF($CN293="refOK",$BO293,-$BO293)</f>
        <v>19.291836734693881</v>
      </c>
      <c r="CR293">
        <f>IF($CN293="refOK",$BT293,$BS293)*IF($BP293="Emissions positive",-1,1)</f>
        <v>-1016</v>
      </c>
      <c r="CS293">
        <f>IF($CN293="refOK",$BS293,$BT293)*IF($BP293="Emissions positive",-1,1)</f>
        <v>-407</v>
      </c>
      <c r="CT293">
        <f>IF($CN293="refNeedCorrection",-BX293,BX293)*IF($BP293="Emissions positive",-1,1)</f>
        <v>-0.60899999999999999</v>
      </c>
      <c r="CU293">
        <f>IFERROR(CT293/CQ293,"")</f>
        <v>-3.1567756267851473E-2</v>
      </c>
      <c r="CV293" s="2">
        <f>IFERROR((CS293-CR293)/ABS(CR293),"")</f>
        <v>0.59940944881889768</v>
      </c>
      <c r="CW293" s="1" t="s">
        <v>263</v>
      </c>
      <c r="CX293" t="str">
        <f>IF(OR($CW293="prd",$CW293="std",$CW293="cit"),"loc",IF(OR($CW293="eur",$CW293="reg",$CW293="coy"),"reg",$CW293))</f>
        <v>loc</v>
      </c>
      <c r="CY293" t="s">
        <v>428</v>
      </c>
      <c r="CZ293"/>
      <c r="DA293"/>
      <c r="DB293">
        <v>0</v>
      </c>
      <c r="DC293" t="str">
        <f>IF(DB293=0,"0",IF(AND(DB293&gt;=1,DB293&lt;=30),"1-30",IF(AND(DB293&gt;30,DB293&lt;=70),"31-70",IF(AND(DB293&gt;70,DB293&lt;=100),"71-100",IF(DB293&gt;100,"+100")))))</f>
        <v>0</v>
      </c>
      <c r="DD293">
        <v>0</v>
      </c>
      <c r="DE293">
        <v>1</v>
      </c>
      <c r="DF293">
        <v>0</v>
      </c>
      <c r="DG293">
        <v>0</v>
      </c>
      <c r="DH293">
        <v>0</v>
      </c>
      <c r="DI293">
        <f>SUM(DD293:DH293)</f>
        <v>1</v>
      </c>
      <c r="DJ293" t="str">
        <f>IF(DI293=1,INDEX($DD$7:$DG$7,MATCH(1,$DD293:$DG293,0)),"mixedProduct")</f>
        <v>EnergyInput</v>
      </c>
      <c r="DK293">
        <f t="shared" si="304"/>
        <v>0</v>
      </c>
      <c r="DL293" t="str">
        <f t="shared" si="304"/>
        <v>Energy</v>
      </c>
      <c r="DM293">
        <f t="shared" si="304"/>
        <v>0</v>
      </c>
      <c r="DN293">
        <f t="shared" si="304"/>
        <v>0</v>
      </c>
      <c r="DO293">
        <v>0</v>
      </c>
      <c r="DP293">
        <v>0</v>
      </c>
      <c r="DQ293">
        <v>0</v>
      </c>
      <c r="DR293">
        <v>0</v>
      </c>
      <c r="DS293">
        <v>0</v>
      </c>
      <c r="DT293">
        <f>SUM(DO293:DP293)</f>
        <v>0</v>
      </c>
      <c r="DU293" t="str">
        <f>IF(DO293=1,"self-calculated DF",IF(DP293=1,"external DF used","explicit C balance"))</f>
        <v>explicit C balance</v>
      </c>
      <c r="DV293">
        <v>0</v>
      </c>
      <c r="DW293">
        <v>1</v>
      </c>
      <c r="DX293">
        <v>0</v>
      </c>
      <c r="DY293">
        <v>0</v>
      </c>
      <c r="DZ293">
        <v>1</v>
      </c>
      <c r="EA293" s="143">
        <v>0</v>
      </c>
      <c r="EB293">
        <v>1</v>
      </c>
      <c r="EC293">
        <v>1</v>
      </c>
      <c r="ED293">
        <v>0</v>
      </c>
      <c r="EE293">
        <v>0</v>
      </c>
      <c r="EF293">
        <v>0</v>
      </c>
      <c r="EG293">
        <v>0</v>
      </c>
      <c r="EH293">
        <v>0</v>
      </c>
      <c r="EI293" s="2">
        <v>0</v>
      </c>
      <c r="EJ293" s="1"/>
      <c r="EK293" t="str">
        <f>IF(AND(AND(AND(OR($DX293=1,$DW293=1),OR($EC293=1,$EA293=1)),SUM($DV293:$DZ293,$EF293)&gt;=4),SUM($EA293:$EE293)&gt;=2),"Whole sector","")</f>
        <v/>
      </c>
      <c r="EL293" t="str">
        <f>IF(AND(AND(OR($DX293=1,$DW293=1),AND($EC293=0,$EA293=0)),SUM($DV293:$DZ293,$EF293)&gt;=4),"Ecosystem approach","")</f>
        <v/>
      </c>
      <c r="EM293" s="2" t="str">
        <f t="shared" si="237"/>
        <v/>
      </c>
      <c r="EN293"/>
      <c r="EO293"/>
      <c r="EP293" t="str">
        <f>IF(ISNUMBER(BU293),IF(ABS(BU293-[5]QC_indicators!$B$2)&gt;3*[5]QC_indicators!$C$2,"C ratio",IF(ISNUMBER(BY293),IF(ABS(BY293-[5]QC_indicators!$B$1)&gt;3*[5]QC_indicators!$C$1,"DF","no"))),IF(ISNUMBER(BY293),IF(ABS(BY293-[5]QC_indicators!$B$1)&gt;3*[5]QC_indicators!$C$1,"DF","no")))</f>
        <v>no</v>
      </c>
      <c r="EQ293"/>
      <c r="ER293"/>
      <c r="ES293"/>
      <c r="ET293" s="264" t="s">
        <v>3272</v>
      </c>
      <c r="EU293"/>
    </row>
    <row r="294" spans="1:151" s="139" customFormat="1" ht="15" hidden="1" customHeight="1">
      <c r="A294" s="174" t="s">
        <v>1956</v>
      </c>
      <c r="B294" s="141" t="s">
        <v>4383</v>
      </c>
      <c r="C294" s="141" t="s">
        <v>4384</v>
      </c>
      <c r="D294" s="141" t="s">
        <v>4385</v>
      </c>
      <c r="E294" s="141" t="s">
        <v>4386</v>
      </c>
      <c r="F294" s="141" t="s">
        <v>4387</v>
      </c>
      <c r="G294" s="141" t="s">
        <v>1962</v>
      </c>
      <c r="H294" s="141"/>
      <c r="I294" s="141">
        <v>2020</v>
      </c>
      <c r="J294" s="141"/>
      <c r="K294" s="141" t="s">
        <v>4388</v>
      </c>
      <c r="L294" s="141"/>
      <c r="M294" t="str">
        <f t="shared" si="245"/>
        <v>Biber_2020</v>
      </c>
      <c r="N294" t="s">
        <v>2584</v>
      </c>
      <c r="O294" s="141" t="s">
        <v>225</v>
      </c>
      <c r="P294" s="141"/>
      <c r="Q294" s="311" t="s">
        <v>224</v>
      </c>
      <c r="R294" s="312"/>
      <c r="S294" s="174"/>
      <c r="T294" s="141"/>
      <c r="U294" s="163"/>
      <c r="V294" s="141"/>
      <c r="W294" s="141"/>
      <c r="X294" s="141"/>
      <c r="Y294" s="141"/>
      <c r="Z294" s="141"/>
      <c r="AA294" s="141"/>
      <c r="AB294" s="141"/>
      <c r="AC294" s="141"/>
      <c r="AD294" s="141"/>
      <c r="AE294" s="141"/>
      <c r="AF294" s="141"/>
      <c r="AG294" s="141"/>
      <c r="AH294" s="141"/>
      <c r="AI294" s="141"/>
      <c r="AJ294" s="141"/>
      <c r="AK294" s="141"/>
      <c r="AL294" s="141"/>
      <c r="AM294" s="141"/>
      <c r="AN294" s="141"/>
      <c r="AO294" s="141"/>
      <c r="AP294" s="141"/>
      <c r="AQ294" s="141"/>
      <c r="AR294" s="141"/>
      <c r="AS294" s="141"/>
      <c r="AT294" s="141"/>
      <c r="AU294" s="141"/>
      <c r="AV294" s="141"/>
      <c r="AW294" s="141"/>
      <c r="AX294" s="141"/>
      <c r="AY294" s="141"/>
      <c r="AZ294"/>
      <c r="BA294"/>
      <c r="BB294"/>
      <c r="BC294"/>
      <c r="BD294"/>
      <c r="BE294"/>
      <c r="BF294" s="2"/>
      <c r="BG294" s="173"/>
      <c r="BH294" s="141"/>
      <c r="BI294" s="141"/>
      <c r="BJ294" s="163"/>
      <c r="BK294" s="141"/>
      <c r="BL294" s="163"/>
      <c r="BM294" s="163"/>
      <c r="BN294" s="163"/>
      <c r="BO294" s="163"/>
      <c r="BP294" s="163"/>
      <c r="BQ294" s="163"/>
      <c r="BR294" s="141"/>
      <c r="BS294" s="163"/>
      <c r="BT294" s="141"/>
      <c r="BU294" s="144"/>
      <c r="BV294" s="141"/>
      <c r="BW294" s="141"/>
      <c r="BX294" s="141"/>
      <c r="BY294" t="str">
        <f t="shared" si="236"/>
        <v/>
      </c>
      <c r="BZ294" s="141"/>
      <c r="CA294" s="141"/>
      <c r="CB294" s="141"/>
      <c r="CC294" s="141"/>
      <c r="CD294" s="141"/>
      <c r="CE294" s="141"/>
      <c r="CF294" s="141"/>
      <c r="CG294" s="141"/>
      <c r="CH294" s="141"/>
      <c r="CI294" s="141"/>
      <c r="CJ294" s="141"/>
      <c r="CK294" s="141"/>
      <c r="CL294" s="141"/>
      <c r="CM294" s="141"/>
      <c r="CN294"/>
      <c r="CO294"/>
      <c r="CP294"/>
      <c r="CQ294"/>
      <c r="CR294"/>
      <c r="CS294"/>
      <c r="CT294"/>
      <c r="CU294"/>
      <c r="CV294" s="2"/>
      <c r="CW294" s="174"/>
      <c r="CX294" s="311"/>
      <c r="CY294" s="141"/>
      <c r="CZ294" s="141"/>
      <c r="DA294" s="163"/>
      <c r="DB294" s="163"/>
      <c r="DC294"/>
      <c r="DD294" s="141"/>
      <c r="DE294" s="141"/>
      <c r="DF294" s="141"/>
      <c r="DG294" s="141"/>
      <c r="DH294"/>
      <c r="DI294"/>
      <c r="DJ294"/>
      <c r="DK294"/>
      <c r="DL294"/>
      <c r="DM294"/>
      <c r="DN294"/>
      <c r="DO294" s="163"/>
      <c r="DP294" s="141"/>
      <c r="DQ294" s="163"/>
      <c r="DR294" s="141"/>
      <c r="DS294" s="163"/>
      <c r="DT294"/>
      <c r="DU294" s="143"/>
      <c r="DV294" s="163"/>
      <c r="DW294" s="141"/>
      <c r="DX294" s="163"/>
      <c r="DY294" s="163"/>
      <c r="DZ294" s="141"/>
      <c r="EA294" s="141"/>
      <c r="EB294" s="163"/>
      <c r="EC294" s="141"/>
      <c r="ED294" s="163"/>
      <c r="EE294" s="141"/>
      <c r="EF294" s="141"/>
      <c r="EG294" s="163"/>
      <c r="EH294" s="141"/>
      <c r="EI294" s="177"/>
      <c r="EJ294" s="1"/>
      <c r="EK294" t="str">
        <f>IF(AND(AND(AND(OR($DX294=1,$DW294=1),OR($EC294=1,$EA294=1)),SUM($DV294:$DZ294,$EF294)&gt;=3),SUM($EA294:$EE294)&gt;=2),"Whole sector","")</f>
        <v/>
      </c>
      <c r="EL294" t="str">
        <f>IF(AND(AND(OR($DX294=1,$DW294=1),AND($EC294=0,$EA294=0)),SUM($DV294:$DZ294,$EF294)&gt;=3),"Ecosystem approach","")</f>
        <v/>
      </c>
      <c r="EM294" s="2" t="str">
        <f t="shared" si="237"/>
        <v/>
      </c>
      <c r="EN294" s="141"/>
      <c r="EO294" t="s">
        <v>4389</v>
      </c>
      <c r="EP294" t="b">
        <f>IF(ISNUMBER(BU294),IF(ABS(BU294-[1]QC_indicators!$B$2)&gt;3*[1]QC_indicators!$C$2,"C ratio",IF(ISNUMBER(BY294),IF(ABS(BY294-[1]QC_indicators!$B$1)&gt;3*[1]QC_indicators!$C$1,"DF","no"))),IF(ISNUMBER(BY294),IF(ABS(BY294-[1]QC_indicators!$B$1)&gt;3*[1]QC_indicators!$C$1,"DF","no")))</f>
        <v>0</v>
      </c>
      <c r="EQ294"/>
      <c r="ER294"/>
      <c r="ES294"/>
      <c r="ET294"/>
    </row>
    <row r="295" spans="1:151" s="139" customFormat="1" ht="15" hidden="1" customHeight="1">
      <c r="A295" s="174" t="s">
        <v>848</v>
      </c>
      <c r="B295" s="141" t="s">
        <v>5070</v>
      </c>
      <c r="C295" s="141" t="s">
        <v>5071</v>
      </c>
      <c r="D295" s="141" t="s">
        <v>5072</v>
      </c>
      <c r="E295" s="141" t="s">
        <v>5073</v>
      </c>
      <c r="F295" s="141" t="s">
        <v>5074</v>
      </c>
      <c r="G295" s="141" t="s">
        <v>854</v>
      </c>
      <c r="H295" s="141"/>
      <c r="I295" s="141">
        <v>2018</v>
      </c>
      <c r="J295" s="141"/>
      <c r="K295" s="141" t="s">
        <v>5075</v>
      </c>
      <c r="L295" s="141"/>
      <c r="M295" t="str">
        <f t="shared" si="245"/>
        <v>Birdsey_2018</v>
      </c>
      <c r="N295" t="s">
        <v>2585</v>
      </c>
      <c r="O295" s="141" t="s">
        <v>225</v>
      </c>
      <c r="P295" s="141"/>
      <c r="Q295" s="311" t="s">
        <v>224</v>
      </c>
      <c r="R295" s="312"/>
      <c r="S295" s="174"/>
      <c r="T295" s="141"/>
      <c r="U295" s="163"/>
      <c r="V295" s="141"/>
      <c r="W295" s="141"/>
      <c r="X295" s="141"/>
      <c r="Y295" s="141"/>
      <c r="Z295" s="141"/>
      <c r="AA295" s="141"/>
      <c r="AB295" s="141"/>
      <c r="AC295" s="141"/>
      <c r="AD295" s="141"/>
      <c r="AE295" s="141"/>
      <c r="AF295" s="141"/>
      <c r="AG295" s="141"/>
      <c r="AH295" s="141"/>
      <c r="AI295" s="141"/>
      <c r="AJ295" s="141"/>
      <c r="AK295" s="141"/>
      <c r="AL295" s="141"/>
      <c r="AM295" s="141"/>
      <c r="AN295" s="141"/>
      <c r="AO295" s="141"/>
      <c r="AP295" s="141"/>
      <c r="AQ295" s="141"/>
      <c r="AR295" s="141"/>
      <c r="AS295" s="141"/>
      <c r="AT295" s="141"/>
      <c r="AU295" s="141"/>
      <c r="AV295" s="141"/>
      <c r="AW295" s="141"/>
      <c r="AX295" s="141"/>
      <c r="AY295" s="141"/>
      <c r="AZ295"/>
      <c r="BA295"/>
      <c r="BB295"/>
      <c r="BC295"/>
      <c r="BD295"/>
      <c r="BE295"/>
      <c r="BF295" s="2"/>
      <c r="BG295" s="1"/>
      <c r="BH295" s="141"/>
      <c r="BI295" s="141"/>
      <c r="BJ295" s="163"/>
      <c r="BK295" s="141"/>
      <c r="BL295" s="163"/>
      <c r="BM295" s="163"/>
      <c r="BN295" s="163"/>
      <c r="BO295" s="163"/>
      <c r="BP295" s="163"/>
      <c r="BQ295" s="163"/>
      <c r="BR295" s="141"/>
      <c r="BS295" s="163"/>
      <c r="BT295" s="141"/>
      <c r="BU295" s="144"/>
      <c r="BV295" s="141"/>
      <c r="BW295" s="141"/>
      <c r="BX295" s="141"/>
      <c r="BY295" t="str">
        <f t="shared" si="236"/>
        <v/>
      </c>
      <c r="BZ295" s="141"/>
      <c r="CA295" s="141"/>
      <c r="CB295" s="141"/>
      <c r="CC295" s="141"/>
      <c r="CD295" s="141"/>
      <c r="CE295" s="141"/>
      <c r="CF295" s="141"/>
      <c r="CG295" s="141"/>
      <c r="CH295" s="141"/>
      <c r="CI295" s="141"/>
      <c r="CJ295" s="141"/>
      <c r="CK295" s="141"/>
      <c r="CL295" s="141"/>
      <c r="CM295" s="141"/>
      <c r="CN295"/>
      <c r="CO295"/>
      <c r="CP295"/>
      <c r="CQ295"/>
      <c r="CR295"/>
      <c r="CS295"/>
      <c r="CT295"/>
      <c r="CU295"/>
      <c r="CV295" s="2"/>
      <c r="CW295" s="174"/>
      <c r="CX295"/>
      <c r="CY295" s="141"/>
      <c r="CZ295" s="141"/>
      <c r="DA295" s="163"/>
      <c r="DB295" s="163"/>
      <c r="DC295"/>
      <c r="DD295" s="141"/>
      <c r="DE295" s="141"/>
      <c r="DF295" s="141"/>
      <c r="DG295" s="141"/>
      <c r="DH295"/>
      <c r="DI295"/>
      <c r="DJ295"/>
      <c r="DK295"/>
      <c r="DL295"/>
      <c r="DM295"/>
      <c r="DN295"/>
      <c r="DO295" s="163"/>
      <c r="DP295" s="141"/>
      <c r="DQ295" s="163"/>
      <c r="DR295" s="141"/>
      <c r="DS295" s="163"/>
      <c r="DT295"/>
      <c r="DU295" s="143"/>
      <c r="DV295" s="163"/>
      <c r="DW295" s="141"/>
      <c r="DX295" s="163"/>
      <c r="DY295" s="163"/>
      <c r="DZ295" s="141"/>
      <c r="EA295" s="141"/>
      <c r="EB295" s="163"/>
      <c r="EC295" s="141"/>
      <c r="ED295" s="163"/>
      <c r="EE295" s="141"/>
      <c r="EF295" s="141"/>
      <c r="EG295" s="163"/>
      <c r="EH295" s="141"/>
      <c r="EI295" s="177"/>
      <c r="EJ295" s="1"/>
      <c r="EK295" t="str">
        <f>IF(AND(AND(AND(OR($DX295=1,$DW295=1),OR($EC295=1,$EA295=1)),SUM($DV295:$DZ295,$EF295)&gt;=3),SUM($EA295:$EE295)&gt;=2),"Whole sector","")</f>
        <v/>
      </c>
      <c r="EL295" t="str">
        <f>IF(AND(AND(OR($DX295=1,$DW295=1),AND($EC295=0,$EA295=0)),SUM($DV295:$DZ295,$EF295)&gt;=3),"Ecosystem approach","")</f>
        <v/>
      </c>
      <c r="EM295" s="2" t="str">
        <f t="shared" si="237"/>
        <v/>
      </c>
      <c r="EN295" s="141"/>
      <c r="EO295" t="s">
        <v>450</v>
      </c>
      <c r="EP295" t="b">
        <f>IF(ISNUMBER(BU295),IF(ABS(BU295-[1]QC_indicators!$B$2)&gt;3*[1]QC_indicators!$C$2,"C ratio",IF(ISNUMBER(BY295),IF(ABS(BY295-[1]QC_indicators!$B$1)&gt;3*[1]QC_indicators!$C$1,"DF","no"))),IF(ISNUMBER(BY295),IF(ABS(BY295-[1]QC_indicators!$B$1)&gt;3*[1]QC_indicators!$C$1,"DF","no")))</f>
        <v>0</v>
      </c>
      <c r="EQ295"/>
      <c r="ER295"/>
      <c r="ES295"/>
      <c r="ET295"/>
      <c r="EU295"/>
    </row>
    <row r="296" spans="1:151" s="139" customFormat="1" ht="15" hidden="1" customHeight="1">
      <c r="A296" s="1" t="s">
        <v>430</v>
      </c>
      <c r="B296" t="s">
        <v>431</v>
      </c>
      <c r="C296" t="s">
        <v>432</v>
      </c>
      <c r="D296" t="s">
        <v>433</v>
      </c>
      <c r="E296" t="s">
        <v>434</v>
      </c>
      <c r="F296" t="s">
        <v>435</v>
      </c>
      <c r="G296" t="s">
        <v>436</v>
      </c>
      <c r="H296" t="s">
        <v>254</v>
      </c>
      <c r="I296">
        <v>2000</v>
      </c>
      <c r="J296">
        <v>174</v>
      </c>
      <c r="K296" t="s">
        <v>437</v>
      </c>
      <c r="L296"/>
      <c r="M296" t="str">
        <f t="shared" si="245"/>
        <v>Borjesson_2000</v>
      </c>
      <c r="N296" t="s">
        <v>222</v>
      </c>
      <c r="O296" s="145" t="s">
        <v>223</v>
      </c>
      <c r="P296"/>
      <c r="Q296" t="s">
        <v>256</v>
      </c>
      <c r="R296" s="255" t="s">
        <v>225</v>
      </c>
      <c r="S296" s="1" t="s">
        <v>438</v>
      </c>
      <c r="T296" t="s">
        <v>439</v>
      </c>
      <c r="U296" t="s">
        <v>440</v>
      </c>
      <c r="V296">
        <v>0</v>
      </c>
      <c r="W296">
        <v>0</v>
      </c>
      <c r="X296">
        <v>0</v>
      </c>
      <c r="Y296">
        <v>0</v>
      </c>
      <c r="Z296">
        <v>0</v>
      </c>
      <c r="AA296">
        <v>0</v>
      </c>
      <c r="AB296">
        <v>0</v>
      </c>
      <c r="AC296">
        <v>0</v>
      </c>
      <c r="AD296">
        <v>0</v>
      </c>
      <c r="AE296">
        <v>0</v>
      </c>
      <c r="AF296">
        <v>0</v>
      </c>
      <c r="AG296">
        <v>0</v>
      </c>
      <c r="AH296">
        <v>0</v>
      </c>
      <c r="AI296">
        <v>0</v>
      </c>
      <c r="AJ296">
        <v>0</v>
      </c>
      <c r="AK296">
        <v>1</v>
      </c>
      <c r="AL296">
        <v>0</v>
      </c>
      <c r="AM296">
        <v>0</v>
      </c>
      <c r="AN296">
        <v>0</v>
      </c>
      <c r="AO296">
        <v>0</v>
      </c>
      <c r="AP296">
        <v>0</v>
      </c>
      <c r="AQ296">
        <v>0</v>
      </c>
      <c r="AR296">
        <v>0</v>
      </c>
      <c r="AS296">
        <v>0</v>
      </c>
      <c r="AT296">
        <v>0</v>
      </c>
      <c r="AU296">
        <v>0</v>
      </c>
      <c r="AV296">
        <v>0</v>
      </c>
      <c r="AW296">
        <v>0</v>
      </c>
      <c r="AX296" s="141">
        <f t="shared" ref="AX296:AX339" si="305">COUNTIF(V296:AW296,"&lt;&gt;0")</f>
        <v>1</v>
      </c>
      <c r="AY296" s="141">
        <f t="shared" ref="AY296:AY339" si="306">COUNTIF(V296:AL296,"&lt;&gt;0")</f>
        <v>1</v>
      </c>
      <c r="AZ296">
        <f t="shared" ref="AZ296:AZ339" si="307">COUNTIF(V296:AC296,"&lt;&gt;0")</f>
        <v>0</v>
      </c>
      <c r="BA296">
        <f t="shared" ref="BA296:BA339" si="308">COUNTIF(AD296:AI296,"&lt;&gt;0")</f>
        <v>0</v>
      </c>
      <c r="BB296">
        <f t="shared" ref="BB296:BB339" si="309">COUNTIF(AJ296:AL296,"&lt;&gt;0")</f>
        <v>1</v>
      </c>
      <c r="BC296">
        <f t="shared" ref="BC296:BC339" si="310">COUNTIF(AS296:AW296,"&lt;&gt;0")</f>
        <v>0</v>
      </c>
      <c r="BD296">
        <f t="shared" ref="BD296:BD339" si="311">COUNTIF(AM296:AR296,"&lt;&gt;0")</f>
        <v>0</v>
      </c>
      <c r="BE296" t="str">
        <f t="array" ref="BE296">IF(AY296=1,INDEX($V$7:$AL$7,MATCH(TRUE,INDEX($V296:$AW296&lt;&gt;0,),0)),IF(AY296=0,INDEX($AM$7:$AW$7,MATCH(1,$AM296:$AW296,0)),IF(BF296="Multiple strategies","mixed drivers",IF(BF296="Supply chain","multiple supply","multiple silviculture"))))</f>
        <v>technologies/design switch</v>
      </c>
      <c r="BF296" s="2" t="str" cm="1">
        <f t="array" ref="BF296">IF(COUNTIF(AZ296:BB296,"&lt;&gt;0")=1,INDEX($V$4:$AW$4,MATCH(TRUE,INDEX($V296:$AW296&lt;&gt;0,),0)),IF(COUNTIF(AZ296:BB296,"&lt;&gt;0")=0,INDEX($AM$4:$AW$4,MATCH(1,$AM296:$AW296,0)),"Multiple strategies"))</f>
        <v>Technology</v>
      </c>
      <c r="BG296" s="142" t="s">
        <v>229</v>
      </c>
      <c r="BH296" t="s">
        <v>441</v>
      </c>
      <c r="BI296" s="264" t="s">
        <v>3273</v>
      </c>
      <c r="BJ296" s="143" t="s">
        <v>442</v>
      </c>
      <c r="BK296">
        <v>0</v>
      </c>
      <c r="BL296">
        <f>3*44</f>
        <v>132</v>
      </c>
      <c r="BM296" s="143" t="e">
        <f>BL296/BK296</f>
        <v>#DIV/0!</v>
      </c>
      <c r="BN296">
        <f t="shared" ref="BN296:BN339" si="312">BL296-BK296</f>
        <v>132</v>
      </c>
      <c r="BO296">
        <f t="shared" ref="BO296:BO325" si="313">BN296*tC_to_m3</f>
        <v>573.16543638732094</v>
      </c>
      <c r="BP296" t="s">
        <v>232</v>
      </c>
      <c r="BQ296" s="260" t="s">
        <v>813</v>
      </c>
      <c r="BR296" t="s">
        <v>443</v>
      </c>
      <c r="BS296" s="141">
        <v>25</v>
      </c>
      <c r="BT296" s="141">
        <v>31</v>
      </c>
      <c r="BU296" s="144">
        <f t="shared" ref="BU296:BU339" si="314">IFERROR(BT296/BS296,"")</f>
        <v>1.24</v>
      </c>
      <c r="BV296">
        <f t="shared" ref="BV296:BV339" si="315">BT296-BS296</f>
        <v>6</v>
      </c>
      <c r="BW296"/>
      <c r="BX296">
        <f t="shared" ref="BX296:BX339" si="316">BV296*C_to_CO2</f>
        <v>22.02</v>
      </c>
      <c r="BY296">
        <f t="shared" si="236"/>
        <v>3.8418227272727271E-2</v>
      </c>
      <c r="BZ296" s="143">
        <v>0</v>
      </c>
      <c r="CA296" s="143">
        <v>0</v>
      </c>
      <c r="CB296" s="143">
        <v>0</v>
      </c>
      <c r="CC296" s="143">
        <v>0</v>
      </c>
      <c r="CD296" s="143">
        <v>0</v>
      </c>
      <c r="CE296" s="143">
        <v>0</v>
      </c>
      <c r="CF296" s="143">
        <v>0</v>
      </c>
      <c r="CG296" s="143">
        <v>0</v>
      </c>
      <c r="CH296" s="143">
        <v>0</v>
      </c>
      <c r="CI296" s="143">
        <v>0</v>
      </c>
      <c r="CJ296" s="143">
        <v>0</v>
      </c>
      <c r="CK296" s="143">
        <v>0</v>
      </c>
      <c r="CL296" s="143">
        <v>0</v>
      </c>
      <c r="CM296">
        <v>0</v>
      </c>
      <c r="CN296" t="str">
        <f t="shared" ref="CN296:CN321" si="317">IF($BL296&lt;$BK296,"refNeedCorrection","refOK")</f>
        <v>refOK</v>
      </c>
      <c r="CO296">
        <f t="shared" ref="CO296:CO339" si="318">IF($CN296="refOK",$BK296,$BL296)</f>
        <v>0</v>
      </c>
      <c r="CP296">
        <f t="shared" ref="CP296:CP339" si="319">IF($CN296="refOK",$BL296,$BK296)</f>
        <v>132</v>
      </c>
      <c r="CQ296">
        <f t="shared" ref="CQ296:CQ339" si="320">IF($CN296="refOK",$BO296,-$BO296)</f>
        <v>573.16543638732094</v>
      </c>
      <c r="CR296">
        <f t="shared" ref="CR296:CR339" si="321">IF($CN296="refOK",$BS296,$BT296)*IF($BP296="Emissions positive",-1,1)</f>
        <v>25</v>
      </c>
      <c r="CS296">
        <f t="shared" ref="CS296:CS339" si="322">IF($CN296="refOK",$BT296,$BS296)*IF($BP296="Emissions positive",-1,1)</f>
        <v>31</v>
      </c>
      <c r="CT296">
        <f t="shared" ref="CT296:CT339" si="323">IF($CN296="refNeedCorrection",-BX296,BX296)*IF($BP296="Emissions positive",-1,1)</f>
        <v>22.02</v>
      </c>
      <c r="CU296">
        <f t="shared" ref="CU296:CU339" si="324">IFERROR(CT296/CQ296,"")</f>
        <v>3.8418227272727271E-2</v>
      </c>
      <c r="CV296" s="2">
        <f t="shared" ref="CV296:CV339" si="325">IFERROR((CS296-CR296)/ABS(CR296),"")</f>
        <v>0.24</v>
      </c>
      <c r="CW296" s="1" t="s">
        <v>263</v>
      </c>
      <c r="CX296" t="str">
        <f t="shared" ref="CX296:CX339" si="326">IF(OR($CW296="prd",$CW296="std",$CW296="cit"),"loc",IF(OR($CW296="eur",$CW296="reg",$CW296="coy"),"reg",$CW296))</f>
        <v>loc</v>
      </c>
      <c r="CY296" t="s">
        <v>444</v>
      </c>
      <c r="CZ296"/>
      <c r="DA296"/>
      <c r="DB296">
        <v>300</v>
      </c>
      <c r="DC296" t="str">
        <f t="shared" ref="DC296:DC339" si="327">IF(DB296=0,"0",IF(AND(DB296&gt;=1,DB296&lt;=30),"1-30",IF(AND(DB296&gt;30,DB296&lt;=70),"31-70",IF(AND(DB296&gt;70,DB296&lt;=100),"71-100",IF(DB296&gt;100,"+100")))))</f>
        <v>+100</v>
      </c>
      <c r="DD296">
        <v>0</v>
      </c>
      <c r="DE296">
        <v>0</v>
      </c>
      <c r="DF296">
        <v>0</v>
      </c>
      <c r="DG296">
        <v>1</v>
      </c>
      <c r="DH296"/>
      <c r="DI296">
        <f t="shared" ref="DI296:DI339" si="328">SUM(DD296:DG296)</f>
        <v>1</v>
      </c>
      <c r="DJ296" t="str">
        <f t="shared" ref="DJ296:DJ339" si="329">IF(DI296=1,INDEX($DD$7:$DG$7,MATCH(1,$DD296:$DG296,0)),"mixedProduct")</f>
        <v>TimberInput</v>
      </c>
      <c r="DK296">
        <f t="shared" ref="DK296:DK339" si="330">IF(DD296=1,DK$7,0)</f>
        <v>0</v>
      </c>
      <c r="DL296">
        <f t="shared" ref="DL296:DL339" si="331">IF(DE296=1,DL$7,0)</f>
        <v>0</v>
      </c>
      <c r="DM296">
        <f t="shared" ref="DM296:DM339" si="332">IF(DF296=1,DM$7,0)</f>
        <v>0</v>
      </c>
      <c r="DN296" t="str">
        <f t="shared" ref="DN296:DN339" si="333">IF(DG296=1,DN$7,0)</f>
        <v>Timber</v>
      </c>
      <c r="DO296">
        <v>1</v>
      </c>
      <c r="DP296" s="143">
        <v>0</v>
      </c>
      <c r="DQ296" s="143">
        <v>0</v>
      </c>
      <c r="DR296" s="143">
        <v>0</v>
      </c>
      <c r="DS296">
        <v>0</v>
      </c>
      <c r="DT296">
        <f t="shared" ref="DT296:DT339" si="334">SUM(DO296:DP296)</f>
        <v>1</v>
      </c>
      <c r="DU296" s="143" t="str">
        <f t="shared" ref="DU296:DU339" si="335">IF(DO296=1,"self-calculated DF",IF(DP296=1,"external DF used","explicit C balance"))</f>
        <v>self-calculated DF</v>
      </c>
      <c r="DV296">
        <v>0</v>
      </c>
      <c r="DW296" s="143">
        <v>0</v>
      </c>
      <c r="DX296" s="143">
        <v>1</v>
      </c>
      <c r="DY296" s="143">
        <v>1</v>
      </c>
      <c r="DZ296">
        <v>1</v>
      </c>
      <c r="EA296" s="143">
        <v>1</v>
      </c>
      <c r="EB296">
        <v>0</v>
      </c>
      <c r="EC296" s="143">
        <v>1</v>
      </c>
      <c r="ED296" s="143">
        <v>0</v>
      </c>
      <c r="EE296">
        <v>0</v>
      </c>
      <c r="EF296">
        <v>0</v>
      </c>
      <c r="EG296" s="143">
        <v>0</v>
      </c>
      <c r="EH296" s="143">
        <v>0</v>
      </c>
      <c r="EI296" s="2">
        <v>0</v>
      </c>
      <c r="EJ296" s="1"/>
      <c r="EK296" t="str">
        <f t="shared" ref="EK296:EK339" si="336">IF(AND(AND(AND(OR($DX296=1,$DW296=1),OR($EC296=1,$EA296=1)),SUM($DV296:$DZ296,$EF296)&gt;=4),SUM($EA296:$EE296)&gt;=2),"Whole sector","")</f>
        <v/>
      </c>
      <c r="EL296" t="str">
        <f t="shared" ref="EL296:EL339" si="337">IF(AND(AND(OR($DX296=1,$DW296=1),AND($EC296=0,$EA296=0)),SUM($DV296:$DZ296,$EF296)&gt;=4),"Ecosystem approach","")</f>
        <v/>
      </c>
      <c r="EM296" s="2" t="str">
        <f t="shared" si="237"/>
        <v/>
      </c>
      <c r="EN296" t="s">
        <v>445</v>
      </c>
      <c r="EO296"/>
      <c r="EP296" t="str">
        <f>IF(ISNUMBER(BU296),IF(ABS(BU296-[5]QC_indicators!$B$2)&gt;3*[5]QC_indicators!$C$2,"C ratio",IF(ISNUMBER(BY296),IF(ABS(BY296-[5]QC_indicators!$B$1)&gt;3*[5]QC_indicators!$C$1,"DF","no"))),IF(ISNUMBER(BY296),IF(ABS(BY296-[5]QC_indicators!$B$1)&gt;3*[5]QC_indicators!$C$1,"DF","no")))</f>
        <v>no</v>
      </c>
      <c r="EQ296"/>
      <c r="ER296"/>
      <c r="ES296"/>
      <c r="ET296" s="264" t="s">
        <v>3272</v>
      </c>
      <c r="EU296"/>
    </row>
    <row r="297" spans="1:151" s="139" customFormat="1" ht="15" hidden="1" customHeight="1">
      <c r="A297" s="1" t="s">
        <v>430</v>
      </c>
      <c r="B297" t="s">
        <v>431</v>
      </c>
      <c r="C297" t="s">
        <v>432</v>
      </c>
      <c r="D297" t="s">
        <v>433</v>
      </c>
      <c r="E297" t="s">
        <v>434</v>
      </c>
      <c r="F297" t="s">
        <v>435</v>
      </c>
      <c r="G297" t="s">
        <v>436</v>
      </c>
      <c r="H297" t="s">
        <v>254</v>
      </c>
      <c r="I297">
        <v>2000</v>
      </c>
      <c r="J297">
        <v>174</v>
      </c>
      <c r="K297" t="s">
        <v>437</v>
      </c>
      <c r="L297"/>
      <c r="M297" t="str">
        <f t="shared" si="245"/>
        <v>Borjesson_2000</v>
      </c>
      <c r="N297" t="s">
        <v>222</v>
      </c>
      <c r="O297" s="145" t="s">
        <v>223</v>
      </c>
      <c r="P297"/>
      <c r="Q297" t="s">
        <v>256</v>
      </c>
      <c r="R297" s="255" t="s">
        <v>225</v>
      </c>
      <c r="S297" s="1" t="s">
        <v>438</v>
      </c>
      <c r="T297" t="s">
        <v>446</v>
      </c>
      <c r="U297" t="s">
        <v>440</v>
      </c>
      <c r="V297">
        <v>0</v>
      </c>
      <c r="W297">
        <v>0</v>
      </c>
      <c r="X297">
        <v>0</v>
      </c>
      <c r="Y297">
        <v>0</v>
      </c>
      <c r="Z297">
        <v>0</v>
      </c>
      <c r="AA297">
        <v>0</v>
      </c>
      <c r="AB297">
        <v>0</v>
      </c>
      <c r="AC297">
        <v>0</v>
      </c>
      <c r="AD297">
        <v>0</v>
      </c>
      <c r="AE297">
        <v>0</v>
      </c>
      <c r="AF297">
        <v>0</v>
      </c>
      <c r="AG297">
        <v>0</v>
      </c>
      <c r="AH297">
        <v>0</v>
      </c>
      <c r="AI297">
        <v>0</v>
      </c>
      <c r="AJ297">
        <v>0</v>
      </c>
      <c r="AK297">
        <v>1</v>
      </c>
      <c r="AL297">
        <v>0</v>
      </c>
      <c r="AM297">
        <v>0</v>
      </c>
      <c r="AN297">
        <v>0</v>
      </c>
      <c r="AO297">
        <v>0</v>
      </c>
      <c r="AP297">
        <v>0</v>
      </c>
      <c r="AQ297">
        <v>0</v>
      </c>
      <c r="AR297">
        <v>0</v>
      </c>
      <c r="AS297">
        <v>0</v>
      </c>
      <c r="AT297">
        <v>0</v>
      </c>
      <c r="AU297">
        <v>0</v>
      </c>
      <c r="AV297">
        <v>0</v>
      </c>
      <c r="AW297">
        <v>0</v>
      </c>
      <c r="AX297" s="141">
        <f t="shared" si="305"/>
        <v>1</v>
      </c>
      <c r="AY297" s="141">
        <f t="shared" si="306"/>
        <v>1</v>
      </c>
      <c r="AZ297">
        <f t="shared" si="307"/>
        <v>0</v>
      </c>
      <c r="BA297">
        <f t="shared" si="308"/>
        <v>0</v>
      </c>
      <c r="BB297">
        <f t="shared" si="309"/>
        <v>1</v>
      </c>
      <c r="BC297">
        <f t="shared" si="310"/>
        <v>0</v>
      </c>
      <c r="BD297">
        <f t="shared" si="311"/>
        <v>0</v>
      </c>
      <c r="BE297" t="str">
        <f t="array" ref="BE297">IF(AY297=1,INDEX($V$7:$AL$7,MATCH(TRUE,INDEX($V297:$AW297&lt;&gt;0,),0)),IF(AY297=0,INDEX($AM$7:$AW$7,MATCH(1,$AM297:$AW297,0)),IF(BF297="Multiple strategies","mixed drivers",IF(BF297="Supply chain","multiple supply","multiple silviculture"))))</f>
        <v>technologies/design switch</v>
      </c>
      <c r="BF297" s="2" t="str" cm="1">
        <f t="array" ref="BF297">IF(COUNTIF(AZ297:BB297,"&lt;&gt;0")=1,INDEX($V$4:$AW$4,MATCH(TRUE,INDEX($V297:$AW297&lt;&gt;0,),0)),IF(COUNTIF(AZ297:BB297,"&lt;&gt;0")=0,INDEX($AM$4:$AW$4,MATCH(1,$AM297:$AW297,0)),"Multiple strategies"))</f>
        <v>Technology</v>
      </c>
      <c r="BG297" s="142" t="s">
        <v>229</v>
      </c>
      <c r="BH297" t="s">
        <v>441</v>
      </c>
      <c r="BI297" s="264" t="s">
        <v>3273</v>
      </c>
      <c r="BJ297" s="143" t="s">
        <v>442</v>
      </c>
      <c r="BK297">
        <v>0</v>
      </c>
      <c r="BL297">
        <f>3*44</f>
        <v>132</v>
      </c>
      <c r="BM297" s="143" t="e">
        <f>BL297/BK297</f>
        <v>#DIV/0!</v>
      </c>
      <c r="BN297">
        <f t="shared" si="312"/>
        <v>132</v>
      </c>
      <c r="BO297">
        <f t="shared" si="313"/>
        <v>573.16543638732094</v>
      </c>
      <c r="BP297" t="s">
        <v>232</v>
      </c>
      <c r="BQ297" s="260" t="s">
        <v>813</v>
      </c>
      <c r="BR297" t="s">
        <v>443</v>
      </c>
      <c r="BS297" s="141">
        <v>18</v>
      </c>
      <c r="BT297" s="141">
        <v>31</v>
      </c>
      <c r="BU297" s="144">
        <f t="shared" si="314"/>
        <v>1.7222222222222223</v>
      </c>
      <c r="BV297">
        <f t="shared" si="315"/>
        <v>13</v>
      </c>
      <c r="BW297"/>
      <c r="BX297">
        <f t="shared" si="316"/>
        <v>47.71</v>
      </c>
      <c r="BY297">
        <f t="shared" si="236"/>
        <v>8.3239492424242417E-2</v>
      </c>
      <c r="BZ297" s="143">
        <v>0</v>
      </c>
      <c r="CA297" s="143">
        <v>0</v>
      </c>
      <c r="CB297" s="143">
        <v>0</v>
      </c>
      <c r="CC297" s="143">
        <v>0</v>
      </c>
      <c r="CD297" s="143">
        <v>0</v>
      </c>
      <c r="CE297" s="143">
        <v>0</v>
      </c>
      <c r="CF297" s="143">
        <v>0</v>
      </c>
      <c r="CG297" s="143">
        <v>0</v>
      </c>
      <c r="CH297" s="143">
        <v>0</v>
      </c>
      <c r="CI297" s="143">
        <v>0</v>
      </c>
      <c r="CJ297" s="143">
        <v>0</v>
      </c>
      <c r="CK297" s="143">
        <v>0</v>
      </c>
      <c r="CL297" s="143">
        <v>0</v>
      </c>
      <c r="CM297">
        <v>0</v>
      </c>
      <c r="CN297" t="str">
        <f t="shared" si="317"/>
        <v>refOK</v>
      </c>
      <c r="CO297">
        <f t="shared" si="318"/>
        <v>0</v>
      </c>
      <c r="CP297">
        <f t="shared" si="319"/>
        <v>132</v>
      </c>
      <c r="CQ297">
        <f t="shared" si="320"/>
        <v>573.16543638732094</v>
      </c>
      <c r="CR297">
        <f t="shared" si="321"/>
        <v>18</v>
      </c>
      <c r="CS297">
        <f t="shared" si="322"/>
        <v>31</v>
      </c>
      <c r="CT297">
        <f t="shared" si="323"/>
        <v>47.71</v>
      </c>
      <c r="CU297">
        <f t="shared" si="324"/>
        <v>8.3239492424242417E-2</v>
      </c>
      <c r="CV297" s="2">
        <f t="shared" si="325"/>
        <v>0.72222222222222221</v>
      </c>
      <c r="CW297" s="1" t="s">
        <v>263</v>
      </c>
      <c r="CX297" t="str">
        <f t="shared" si="326"/>
        <v>loc</v>
      </c>
      <c r="CY297" t="s">
        <v>444</v>
      </c>
      <c r="CZ297"/>
      <c r="DA297"/>
      <c r="DB297">
        <v>300</v>
      </c>
      <c r="DC297" t="str">
        <f t="shared" si="327"/>
        <v>+100</v>
      </c>
      <c r="DD297">
        <v>0</v>
      </c>
      <c r="DE297">
        <v>0</v>
      </c>
      <c r="DF297">
        <v>0</v>
      </c>
      <c r="DG297">
        <v>1</v>
      </c>
      <c r="DH297"/>
      <c r="DI297">
        <f t="shared" si="328"/>
        <v>1</v>
      </c>
      <c r="DJ297" t="str">
        <f t="shared" si="329"/>
        <v>TimberInput</v>
      </c>
      <c r="DK297">
        <f t="shared" si="330"/>
        <v>0</v>
      </c>
      <c r="DL297">
        <f t="shared" si="331"/>
        <v>0</v>
      </c>
      <c r="DM297">
        <f t="shared" si="332"/>
        <v>0</v>
      </c>
      <c r="DN297" t="str">
        <f t="shared" si="333"/>
        <v>Timber</v>
      </c>
      <c r="DO297">
        <v>1</v>
      </c>
      <c r="DP297" s="143">
        <v>0</v>
      </c>
      <c r="DQ297" s="143">
        <v>0</v>
      </c>
      <c r="DR297" s="143">
        <v>0</v>
      </c>
      <c r="DS297">
        <v>0</v>
      </c>
      <c r="DT297">
        <f t="shared" si="334"/>
        <v>1</v>
      </c>
      <c r="DU297" s="143" t="str">
        <f t="shared" si="335"/>
        <v>self-calculated DF</v>
      </c>
      <c r="DV297">
        <v>0</v>
      </c>
      <c r="DW297" s="143">
        <v>0</v>
      </c>
      <c r="DX297" s="143">
        <v>1</v>
      </c>
      <c r="DY297" s="143">
        <v>1</v>
      </c>
      <c r="DZ297">
        <v>1</v>
      </c>
      <c r="EA297" s="143">
        <v>1</v>
      </c>
      <c r="EB297">
        <v>0</v>
      </c>
      <c r="EC297" s="143">
        <v>1</v>
      </c>
      <c r="ED297" s="143">
        <v>0</v>
      </c>
      <c r="EE297">
        <v>0</v>
      </c>
      <c r="EF297">
        <v>0</v>
      </c>
      <c r="EG297" s="143">
        <v>0</v>
      </c>
      <c r="EH297" s="143">
        <v>0</v>
      </c>
      <c r="EI297" s="2">
        <v>0</v>
      </c>
      <c r="EJ297" s="1"/>
      <c r="EK297" t="str">
        <f t="shared" si="336"/>
        <v/>
      </c>
      <c r="EL297" t="str">
        <f t="shared" si="337"/>
        <v/>
      </c>
      <c r="EM297" s="2" t="str">
        <f t="shared" si="237"/>
        <v/>
      </c>
      <c r="EN297" t="s">
        <v>445</v>
      </c>
      <c r="EO297"/>
      <c r="EP297" t="str">
        <f>IF(ISNUMBER(BU297),IF(ABS(BU297-[5]QC_indicators!$B$2)&gt;3*[5]QC_indicators!$C$2,"C ratio",IF(ISNUMBER(BY297),IF(ABS(BY297-[5]QC_indicators!$B$1)&gt;3*[5]QC_indicators!$C$1,"DF","no"))),IF(ISNUMBER(BY297),IF(ABS(BY297-[5]QC_indicators!$B$1)&gt;3*[5]QC_indicators!$C$1,"DF","no")))</f>
        <v>no</v>
      </c>
      <c r="EQ297"/>
      <c r="ER297"/>
      <c r="ES297"/>
      <c r="ET297" s="264" t="s">
        <v>3272</v>
      </c>
      <c r="EU297"/>
    </row>
    <row r="298" spans="1:151" s="139" customFormat="1" ht="15" hidden="1" customHeight="1">
      <c r="A298" s="1" t="s">
        <v>430</v>
      </c>
      <c r="B298" t="s">
        <v>431</v>
      </c>
      <c r="C298" t="s">
        <v>432</v>
      </c>
      <c r="D298" t="s">
        <v>433</v>
      </c>
      <c r="E298" t="s">
        <v>434</v>
      </c>
      <c r="F298" t="s">
        <v>435</v>
      </c>
      <c r="G298" t="s">
        <v>436</v>
      </c>
      <c r="H298" t="s">
        <v>254</v>
      </c>
      <c r="I298">
        <v>2000</v>
      </c>
      <c r="J298">
        <v>174</v>
      </c>
      <c r="K298" t="s">
        <v>437</v>
      </c>
      <c r="L298"/>
      <c r="M298" t="str">
        <f t="shared" si="245"/>
        <v>Borjesson_2000</v>
      </c>
      <c r="N298" t="s">
        <v>222</v>
      </c>
      <c r="O298" s="145" t="s">
        <v>223</v>
      </c>
      <c r="P298"/>
      <c r="Q298" t="s">
        <v>256</v>
      </c>
      <c r="R298" s="255" t="s">
        <v>225</v>
      </c>
      <c r="S298" s="1" t="s">
        <v>438</v>
      </c>
      <c r="T298" t="s">
        <v>447</v>
      </c>
      <c r="U298" t="s">
        <v>440</v>
      </c>
      <c r="V298">
        <v>0</v>
      </c>
      <c r="W298">
        <v>0</v>
      </c>
      <c r="X298">
        <v>0</v>
      </c>
      <c r="Y298">
        <v>0</v>
      </c>
      <c r="Z298">
        <v>0</v>
      </c>
      <c r="AA298">
        <v>0</v>
      </c>
      <c r="AB298">
        <v>0</v>
      </c>
      <c r="AC298">
        <v>0</v>
      </c>
      <c r="AD298">
        <v>0</v>
      </c>
      <c r="AE298">
        <v>0</v>
      </c>
      <c r="AF298">
        <v>0</v>
      </c>
      <c r="AG298">
        <v>0</v>
      </c>
      <c r="AH298">
        <v>0</v>
      </c>
      <c r="AI298">
        <v>0</v>
      </c>
      <c r="AJ298">
        <v>0</v>
      </c>
      <c r="AK298">
        <v>1</v>
      </c>
      <c r="AL298">
        <v>0</v>
      </c>
      <c r="AM298">
        <v>0</v>
      </c>
      <c r="AN298">
        <v>0</v>
      </c>
      <c r="AO298">
        <v>0</v>
      </c>
      <c r="AP298">
        <v>0</v>
      </c>
      <c r="AQ298">
        <v>0</v>
      </c>
      <c r="AR298">
        <v>0</v>
      </c>
      <c r="AS298">
        <v>0</v>
      </c>
      <c r="AT298">
        <v>0</v>
      </c>
      <c r="AU298">
        <v>0</v>
      </c>
      <c r="AV298">
        <v>0</v>
      </c>
      <c r="AW298">
        <v>0</v>
      </c>
      <c r="AX298" s="141">
        <f t="shared" si="305"/>
        <v>1</v>
      </c>
      <c r="AY298" s="141">
        <f t="shared" si="306"/>
        <v>1</v>
      </c>
      <c r="AZ298">
        <f t="shared" si="307"/>
        <v>0</v>
      </c>
      <c r="BA298">
        <f t="shared" si="308"/>
        <v>0</v>
      </c>
      <c r="BB298">
        <f t="shared" si="309"/>
        <v>1</v>
      </c>
      <c r="BC298">
        <f t="shared" si="310"/>
        <v>0</v>
      </c>
      <c r="BD298">
        <f t="shared" si="311"/>
        <v>0</v>
      </c>
      <c r="BE298" t="str">
        <f t="array" ref="BE298">IF(AY298=1,INDEX($V$7:$AL$7,MATCH(TRUE,INDEX($V298:$AW298&lt;&gt;0,),0)),IF(AY298=0,INDEX($AM$7:$AW$7,MATCH(1,$AM298:$AW298,0)),IF(BF298="Multiple strategies","mixed drivers",IF(BF298="Supply chain","multiple supply","multiple silviculture"))))</f>
        <v>technologies/design switch</v>
      </c>
      <c r="BF298" s="2" t="str" cm="1">
        <f t="array" ref="BF298">IF(COUNTIF(AZ298:BB298,"&lt;&gt;0")=1,INDEX($V$4:$AW$4,MATCH(TRUE,INDEX($V298:$AW298&lt;&gt;0,),0)),IF(COUNTIF(AZ298:BB298,"&lt;&gt;0")=0,INDEX($AM$4:$AW$4,MATCH(1,$AM298:$AW298,0)),"Multiple strategies"))</f>
        <v>Technology</v>
      </c>
      <c r="BG298" s="142" t="s">
        <v>229</v>
      </c>
      <c r="BH298" t="s">
        <v>441</v>
      </c>
      <c r="BI298" s="264" t="s">
        <v>3273</v>
      </c>
      <c r="BJ298" s="143" t="s">
        <v>442</v>
      </c>
      <c r="BK298">
        <v>0</v>
      </c>
      <c r="BL298">
        <f>3*44</f>
        <v>132</v>
      </c>
      <c r="BM298" s="143" t="e">
        <f>BL298/BK298</f>
        <v>#DIV/0!</v>
      </c>
      <c r="BN298">
        <f t="shared" si="312"/>
        <v>132</v>
      </c>
      <c r="BO298">
        <f t="shared" si="313"/>
        <v>573.16543638732094</v>
      </c>
      <c r="BP298" t="s">
        <v>232</v>
      </c>
      <c r="BQ298" s="260" t="s">
        <v>813</v>
      </c>
      <c r="BR298" t="s">
        <v>443</v>
      </c>
      <c r="BS298" s="141">
        <v>6</v>
      </c>
      <c r="BT298" s="141">
        <v>31</v>
      </c>
      <c r="BU298" s="144">
        <f t="shared" si="314"/>
        <v>5.166666666666667</v>
      </c>
      <c r="BV298">
        <f t="shared" si="315"/>
        <v>25</v>
      </c>
      <c r="BW298"/>
      <c r="BX298">
        <f t="shared" si="316"/>
        <v>91.75</v>
      </c>
      <c r="BY298">
        <f t="shared" si="236"/>
        <v>0.16007594696969696</v>
      </c>
      <c r="BZ298" s="143">
        <v>0</v>
      </c>
      <c r="CA298" s="143">
        <v>0</v>
      </c>
      <c r="CB298" s="143">
        <v>0</v>
      </c>
      <c r="CC298" s="143">
        <v>0</v>
      </c>
      <c r="CD298" s="143">
        <v>0</v>
      </c>
      <c r="CE298" s="143">
        <v>0</v>
      </c>
      <c r="CF298" s="143">
        <v>0</v>
      </c>
      <c r="CG298" s="143">
        <v>0</v>
      </c>
      <c r="CH298" s="143">
        <v>0</v>
      </c>
      <c r="CI298" s="143">
        <v>0</v>
      </c>
      <c r="CJ298" s="143">
        <v>0</v>
      </c>
      <c r="CK298" s="143">
        <v>0</v>
      </c>
      <c r="CL298" s="143">
        <v>0</v>
      </c>
      <c r="CM298">
        <v>0</v>
      </c>
      <c r="CN298" t="str">
        <f t="shared" si="317"/>
        <v>refOK</v>
      </c>
      <c r="CO298">
        <f t="shared" si="318"/>
        <v>0</v>
      </c>
      <c r="CP298">
        <f t="shared" si="319"/>
        <v>132</v>
      </c>
      <c r="CQ298">
        <f t="shared" si="320"/>
        <v>573.16543638732094</v>
      </c>
      <c r="CR298">
        <f t="shared" si="321"/>
        <v>6</v>
      </c>
      <c r="CS298">
        <f t="shared" si="322"/>
        <v>31</v>
      </c>
      <c r="CT298">
        <f t="shared" si="323"/>
        <v>91.75</v>
      </c>
      <c r="CU298">
        <f t="shared" si="324"/>
        <v>0.16007594696969696</v>
      </c>
      <c r="CV298" s="2">
        <f t="shared" si="325"/>
        <v>4.166666666666667</v>
      </c>
      <c r="CW298" s="1" t="s">
        <v>263</v>
      </c>
      <c r="CX298" t="str">
        <f t="shared" si="326"/>
        <v>loc</v>
      </c>
      <c r="CY298" t="s">
        <v>444</v>
      </c>
      <c r="CZ298"/>
      <c r="DA298"/>
      <c r="DB298">
        <v>300</v>
      </c>
      <c r="DC298" t="str">
        <f t="shared" si="327"/>
        <v>+100</v>
      </c>
      <c r="DD298">
        <v>0</v>
      </c>
      <c r="DE298">
        <v>0</v>
      </c>
      <c r="DF298">
        <v>0</v>
      </c>
      <c r="DG298">
        <v>1</v>
      </c>
      <c r="DH298"/>
      <c r="DI298">
        <f t="shared" si="328"/>
        <v>1</v>
      </c>
      <c r="DJ298" t="str">
        <f t="shared" si="329"/>
        <v>TimberInput</v>
      </c>
      <c r="DK298">
        <f t="shared" si="330"/>
        <v>0</v>
      </c>
      <c r="DL298">
        <f t="shared" si="331"/>
        <v>0</v>
      </c>
      <c r="DM298">
        <f t="shared" si="332"/>
        <v>0</v>
      </c>
      <c r="DN298" t="str">
        <f t="shared" si="333"/>
        <v>Timber</v>
      </c>
      <c r="DO298">
        <v>1</v>
      </c>
      <c r="DP298" s="143">
        <v>0</v>
      </c>
      <c r="DQ298" s="143">
        <v>0</v>
      </c>
      <c r="DR298" s="143">
        <v>0</v>
      </c>
      <c r="DS298">
        <v>0</v>
      </c>
      <c r="DT298">
        <f t="shared" si="334"/>
        <v>1</v>
      </c>
      <c r="DU298" s="143" t="str">
        <f t="shared" si="335"/>
        <v>self-calculated DF</v>
      </c>
      <c r="DV298">
        <v>0</v>
      </c>
      <c r="DW298" s="143">
        <v>0</v>
      </c>
      <c r="DX298" s="143">
        <v>1</v>
      </c>
      <c r="DY298" s="143">
        <v>1</v>
      </c>
      <c r="DZ298">
        <v>1</v>
      </c>
      <c r="EA298" s="143">
        <v>1</v>
      </c>
      <c r="EB298">
        <v>0</v>
      </c>
      <c r="EC298" s="143">
        <v>1</v>
      </c>
      <c r="ED298" s="143">
        <v>0</v>
      </c>
      <c r="EE298">
        <v>0</v>
      </c>
      <c r="EF298">
        <v>0</v>
      </c>
      <c r="EG298" s="143">
        <v>0</v>
      </c>
      <c r="EH298" s="143">
        <v>0</v>
      </c>
      <c r="EI298" s="2">
        <v>0</v>
      </c>
      <c r="EJ298" s="1"/>
      <c r="EK298" t="str">
        <f t="shared" si="336"/>
        <v/>
      </c>
      <c r="EL298" t="str">
        <f t="shared" si="337"/>
        <v/>
      </c>
      <c r="EM298" s="2" t="str">
        <f t="shared" si="237"/>
        <v/>
      </c>
      <c r="EN298" t="s">
        <v>445</v>
      </c>
      <c r="EO298"/>
      <c r="EP298" t="str">
        <f>IF(ISNUMBER(BU298),IF(ABS(BU298-[5]QC_indicators!$B$2)&gt;3*[5]QC_indicators!$C$2,"C ratio",IF(ISNUMBER(BY298),IF(ABS(BY298-[5]QC_indicators!$B$1)&gt;3*[5]QC_indicators!$C$1,"DF","no"))),IF(ISNUMBER(BY298),IF(ABS(BY298-[5]QC_indicators!$B$1)&gt;3*[5]QC_indicators!$C$1,"DF","no")))</f>
        <v>no</v>
      </c>
      <c r="EQ298"/>
      <c r="ER298"/>
      <c r="ES298"/>
      <c r="ET298" s="264" t="s">
        <v>3272</v>
      </c>
      <c r="EU298"/>
    </row>
    <row r="299" spans="1:151" s="139" customFormat="1" ht="15" hidden="1" customHeight="1">
      <c r="A299" s="1" t="s">
        <v>430</v>
      </c>
      <c r="B299" t="s">
        <v>431</v>
      </c>
      <c r="C299" t="s">
        <v>432</v>
      </c>
      <c r="D299" t="s">
        <v>433</v>
      </c>
      <c r="E299" t="s">
        <v>434</v>
      </c>
      <c r="F299" t="s">
        <v>435</v>
      </c>
      <c r="G299" t="s">
        <v>436</v>
      </c>
      <c r="H299" t="s">
        <v>254</v>
      </c>
      <c r="I299">
        <v>2000</v>
      </c>
      <c r="J299">
        <v>174</v>
      </c>
      <c r="K299" t="s">
        <v>437</v>
      </c>
      <c r="L299"/>
      <c r="M299" t="str">
        <f t="shared" si="245"/>
        <v>Borjesson_2000</v>
      </c>
      <c r="N299" t="s">
        <v>222</v>
      </c>
      <c r="O299" s="145" t="s">
        <v>223</v>
      </c>
      <c r="P299"/>
      <c r="Q299" t="s">
        <v>256</v>
      </c>
      <c r="R299" s="255" t="s">
        <v>225</v>
      </c>
      <c r="S299" s="1" t="s">
        <v>475</v>
      </c>
      <c r="T299" t="s">
        <v>480</v>
      </c>
      <c r="U299" t="s">
        <v>481</v>
      </c>
      <c r="V299">
        <v>0</v>
      </c>
      <c r="W299">
        <v>0</v>
      </c>
      <c r="X299">
        <v>0</v>
      </c>
      <c r="Y299">
        <v>0</v>
      </c>
      <c r="Z299">
        <v>0</v>
      </c>
      <c r="AA299">
        <v>0</v>
      </c>
      <c r="AB299">
        <v>0</v>
      </c>
      <c r="AC299">
        <v>0</v>
      </c>
      <c r="AD299">
        <v>0</v>
      </c>
      <c r="AE299">
        <v>0</v>
      </c>
      <c r="AF299">
        <v>0</v>
      </c>
      <c r="AG299">
        <v>0</v>
      </c>
      <c r="AH299">
        <v>0</v>
      </c>
      <c r="AI299">
        <v>0</v>
      </c>
      <c r="AJ299">
        <v>0</v>
      </c>
      <c r="AK299">
        <v>1</v>
      </c>
      <c r="AL299">
        <v>0</v>
      </c>
      <c r="AM299">
        <v>0</v>
      </c>
      <c r="AN299">
        <v>0</v>
      </c>
      <c r="AO299">
        <v>0</v>
      </c>
      <c r="AP299">
        <v>0</v>
      </c>
      <c r="AQ299">
        <v>0</v>
      </c>
      <c r="AR299">
        <v>0</v>
      </c>
      <c r="AS299">
        <v>0</v>
      </c>
      <c r="AT299">
        <v>0</v>
      </c>
      <c r="AU299">
        <v>0</v>
      </c>
      <c r="AV299">
        <v>0</v>
      </c>
      <c r="AW299">
        <v>0</v>
      </c>
      <c r="AX299" s="141">
        <f t="shared" si="305"/>
        <v>1</v>
      </c>
      <c r="AY299" s="141">
        <f t="shared" si="306"/>
        <v>1</v>
      </c>
      <c r="AZ299">
        <f t="shared" si="307"/>
        <v>0</v>
      </c>
      <c r="BA299">
        <f t="shared" si="308"/>
        <v>0</v>
      </c>
      <c r="BB299">
        <f t="shared" si="309"/>
        <v>1</v>
      </c>
      <c r="BC299">
        <f t="shared" si="310"/>
        <v>0</v>
      </c>
      <c r="BD299">
        <f t="shared" si="311"/>
        <v>0</v>
      </c>
      <c r="BE299" t="str">
        <f t="array" ref="BE299">IF(AY299=1,INDEX($V$7:$AL$7,MATCH(TRUE,INDEX($V299:$AW299&lt;&gt;0,),0)),IF(AY299=0,INDEX($AM$7:$AW$7,MATCH(1,$AM299:$AW299,0)),IF(BF299="Multiple strategies","mixed drivers",IF(BF299="Supply chain","multiple supply","multiple silviculture"))))</f>
        <v>technologies/design switch</v>
      </c>
      <c r="BF299" s="2" t="str" cm="1">
        <f t="array" ref="BF299">IF(COUNTIF(AZ299:BB299,"&lt;&gt;0")=1,INDEX($V$4:$AW$4,MATCH(TRUE,INDEX($V299:$AW299&lt;&gt;0,),0)),IF(COUNTIF(AZ299:BB299,"&lt;&gt;0")=0,INDEX($AM$4:$AW$4,MATCH(1,$AM299:$AW299,0)),"Multiple strategies"))</f>
        <v>Technology</v>
      </c>
      <c r="BG299" s="142" t="s">
        <v>321</v>
      </c>
      <c r="BH299" t="s">
        <v>478</v>
      </c>
      <c r="BI299" s="264" t="s">
        <v>3275</v>
      </c>
      <c r="BJ299" t="s">
        <v>442</v>
      </c>
      <c r="BK299">
        <v>0</v>
      </c>
      <c r="BL299">
        <v>45</v>
      </c>
      <c r="BM299" s="143"/>
      <c r="BN299">
        <f t="shared" si="312"/>
        <v>45</v>
      </c>
      <c r="BO299">
        <f t="shared" si="313"/>
        <v>195.39730785931394</v>
      </c>
      <c r="BP299" t="s">
        <v>232</v>
      </c>
      <c r="BQ299" s="260" t="s">
        <v>813</v>
      </c>
      <c r="BR299" t="s">
        <v>443</v>
      </c>
      <c r="BS299" s="141">
        <v>3</v>
      </c>
      <c r="BT299" s="141">
        <v>12</v>
      </c>
      <c r="BU299" s="144">
        <f t="shared" si="314"/>
        <v>4</v>
      </c>
      <c r="BV299">
        <f t="shared" si="315"/>
        <v>9</v>
      </c>
      <c r="BW299"/>
      <c r="BX299">
        <f t="shared" si="316"/>
        <v>33.03</v>
      </c>
      <c r="BY299">
        <f t="shared" si="236"/>
        <v>0.1690402</v>
      </c>
      <c r="BZ299" s="143">
        <v>0</v>
      </c>
      <c r="CA299" s="143">
        <v>0</v>
      </c>
      <c r="CB299" s="143">
        <v>0</v>
      </c>
      <c r="CC299" s="143">
        <v>0</v>
      </c>
      <c r="CD299" s="143">
        <v>0</v>
      </c>
      <c r="CE299" s="143">
        <v>0</v>
      </c>
      <c r="CF299" s="143">
        <v>0</v>
      </c>
      <c r="CG299" s="143">
        <v>0</v>
      </c>
      <c r="CH299" s="143">
        <v>0</v>
      </c>
      <c r="CI299" s="143">
        <v>0</v>
      </c>
      <c r="CJ299" s="143">
        <v>0</v>
      </c>
      <c r="CK299" s="143">
        <v>0</v>
      </c>
      <c r="CL299" s="143">
        <v>0</v>
      </c>
      <c r="CM299">
        <v>0</v>
      </c>
      <c r="CN299" t="str">
        <f t="shared" si="317"/>
        <v>refOK</v>
      </c>
      <c r="CO299">
        <f t="shared" si="318"/>
        <v>0</v>
      </c>
      <c r="CP299">
        <f t="shared" si="319"/>
        <v>45</v>
      </c>
      <c r="CQ299">
        <f t="shared" si="320"/>
        <v>195.39730785931394</v>
      </c>
      <c r="CR299">
        <f t="shared" si="321"/>
        <v>3</v>
      </c>
      <c r="CS299">
        <f t="shared" si="322"/>
        <v>12</v>
      </c>
      <c r="CT299">
        <f t="shared" si="323"/>
        <v>33.03</v>
      </c>
      <c r="CU299">
        <f t="shared" si="324"/>
        <v>0.1690402</v>
      </c>
      <c r="CV299" s="2">
        <f t="shared" si="325"/>
        <v>3</v>
      </c>
      <c r="CW299" s="1" t="s">
        <v>263</v>
      </c>
      <c r="CX299" t="str">
        <f t="shared" si="326"/>
        <v>loc</v>
      </c>
      <c r="CY299" t="s">
        <v>444</v>
      </c>
      <c r="CZ299"/>
      <c r="DA299"/>
      <c r="DB299">
        <v>300</v>
      </c>
      <c r="DC299" t="str">
        <f t="shared" si="327"/>
        <v>+100</v>
      </c>
      <c r="DD299">
        <v>0</v>
      </c>
      <c r="DE299">
        <v>1</v>
      </c>
      <c r="DF299">
        <v>0</v>
      </c>
      <c r="DG299">
        <v>0</v>
      </c>
      <c r="DH299"/>
      <c r="DI299">
        <f t="shared" si="328"/>
        <v>1</v>
      </c>
      <c r="DJ299" t="str">
        <f t="shared" si="329"/>
        <v>EnergyInput</v>
      </c>
      <c r="DK299">
        <f t="shared" si="330"/>
        <v>0</v>
      </c>
      <c r="DL299" t="str">
        <f t="shared" si="331"/>
        <v>Energy</v>
      </c>
      <c r="DM299">
        <f t="shared" si="332"/>
        <v>0</v>
      </c>
      <c r="DN299">
        <f t="shared" si="333"/>
        <v>0</v>
      </c>
      <c r="DO299">
        <v>1</v>
      </c>
      <c r="DP299" s="143">
        <v>0</v>
      </c>
      <c r="DQ299" s="143">
        <v>0</v>
      </c>
      <c r="DR299" s="143">
        <v>0</v>
      </c>
      <c r="DS299">
        <v>0</v>
      </c>
      <c r="DT299">
        <f t="shared" si="334"/>
        <v>1</v>
      </c>
      <c r="DU299" s="143" t="str">
        <f t="shared" si="335"/>
        <v>self-calculated DF</v>
      </c>
      <c r="DV299">
        <v>0</v>
      </c>
      <c r="DW299" s="143">
        <v>0</v>
      </c>
      <c r="DX299" s="143">
        <v>1</v>
      </c>
      <c r="DY299" s="143">
        <v>1</v>
      </c>
      <c r="DZ299">
        <v>1</v>
      </c>
      <c r="EA299" s="143">
        <v>1</v>
      </c>
      <c r="EB299">
        <v>0</v>
      </c>
      <c r="EC299" s="143">
        <v>1</v>
      </c>
      <c r="ED299" s="143">
        <v>0</v>
      </c>
      <c r="EE299">
        <v>0</v>
      </c>
      <c r="EF299">
        <v>0</v>
      </c>
      <c r="EG299" s="143">
        <v>0</v>
      </c>
      <c r="EH299" s="143">
        <v>0</v>
      </c>
      <c r="EI299" s="2">
        <v>0</v>
      </c>
      <c r="EJ299" s="1"/>
      <c r="EK299" t="str">
        <f t="shared" si="336"/>
        <v/>
      </c>
      <c r="EL299" t="str">
        <f t="shared" si="337"/>
        <v/>
      </c>
      <c r="EM299" s="2" t="str">
        <f t="shared" si="237"/>
        <v/>
      </c>
      <c r="EN299"/>
      <c r="EO299"/>
      <c r="EP299" t="str">
        <f>IF(ISNUMBER(BU299),IF(ABS(BU299-[5]QC_indicators!$B$2)&gt;3*[5]QC_indicators!$C$2,"C ratio",IF(ISNUMBER(BY299),IF(ABS(BY299-[5]QC_indicators!$B$1)&gt;3*[5]QC_indicators!$C$1,"DF","no"))),IF(ISNUMBER(BY299),IF(ABS(BY299-[5]QC_indicators!$B$1)&gt;3*[5]QC_indicators!$C$1,"DF","no")))</f>
        <v>no</v>
      </c>
      <c r="EQ299"/>
      <c r="ER299" t="s">
        <v>479</v>
      </c>
      <c r="ES299"/>
      <c r="ET299" s="264" t="s">
        <v>3272</v>
      </c>
      <c r="EU299"/>
    </row>
    <row r="300" spans="1:151" s="139" customFormat="1" ht="15" hidden="1" customHeight="1">
      <c r="A300" s="1" t="s">
        <v>430</v>
      </c>
      <c r="B300" t="s">
        <v>431</v>
      </c>
      <c r="C300" t="s">
        <v>432</v>
      </c>
      <c r="D300" t="s">
        <v>433</v>
      </c>
      <c r="E300" t="s">
        <v>434</v>
      </c>
      <c r="F300" t="s">
        <v>435</v>
      </c>
      <c r="G300" t="s">
        <v>436</v>
      </c>
      <c r="H300" t="s">
        <v>254</v>
      </c>
      <c r="I300">
        <v>2000</v>
      </c>
      <c r="J300">
        <v>174</v>
      </c>
      <c r="K300" t="s">
        <v>437</v>
      </c>
      <c r="L300"/>
      <c r="M300" t="str">
        <f t="shared" si="245"/>
        <v>Borjesson_2000</v>
      </c>
      <c r="N300" t="s">
        <v>222</v>
      </c>
      <c r="O300" s="145" t="s">
        <v>223</v>
      </c>
      <c r="P300"/>
      <c r="Q300" t="s">
        <v>256</v>
      </c>
      <c r="R300" s="255" t="s">
        <v>225</v>
      </c>
      <c r="S300" s="1" t="s">
        <v>475</v>
      </c>
      <c r="T300" t="s">
        <v>476</v>
      </c>
      <c r="U300" t="s">
        <v>477</v>
      </c>
      <c r="V300">
        <v>0</v>
      </c>
      <c r="W300">
        <v>0</v>
      </c>
      <c r="X300">
        <v>0</v>
      </c>
      <c r="Y300">
        <v>0</v>
      </c>
      <c r="Z300">
        <v>0</v>
      </c>
      <c r="AA300">
        <v>0</v>
      </c>
      <c r="AB300">
        <v>0</v>
      </c>
      <c r="AC300">
        <v>0</v>
      </c>
      <c r="AD300">
        <v>0</v>
      </c>
      <c r="AE300">
        <v>0</v>
      </c>
      <c r="AF300">
        <v>0</v>
      </c>
      <c r="AG300">
        <v>0</v>
      </c>
      <c r="AH300">
        <v>0</v>
      </c>
      <c r="AI300">
        <v>0</v>
      </c>
      <c r="AJ300">
        <v>0</v>
      </c>
      <c r="AK300">
        <v>1</v>
      </c>
      <c r="AL300">
        <v>0</v>
      </c>
      <c r="AM300">
        <v>0</v>
      </c>
      <c r="AN300">
        <v>0</v>
      </c>
      <c r="AO300">
        <v>0</v>
      </c>
      <c r="AP300">
        <v>0</v>
      </c>
      <c r="AQ300">
        <v>0</v>
      </c>
      <c r="AR300">
        <v>0</v>
      </c>
      <c r="AS300">
        <v>0</v>
      </c>
      <c r="AT300">
        <v>0</v>
      </c>
      <c r="AU300">
        <v>0</v>
      </c>
      <c r="AV300">
        <v>0</v>
      </c>
      <c r="AW300">
        <v>0</v>
      </c>
      <c r="AX300" s="141">
        <f t="shared" si="305"/>
        <v>1</v>
      </c>
      <c r="AY300" s="141">
        <f t="shared" si="306"/>
        <v>1</v>
      </c>
      <c r="AZ300">
        <f t="shared" si="307"/>
        <v>0</v>
      </c>
      <c r="BA300">
        <f t="shared" si="308"/>
        <v>0</v>
      </c>
      <c r="BB300">
        <f t="shared" si="309"/>
        <v>1</v>
      </c>
      <c r="BC300">
        <f t="shared" si="310"/>
        <v>0</v>
      </c>
      <c r="BD300">
        <f t="shared" si="311"/>
        <v>0</v>
      </c>
      <c r="BE300" t="str">
        <f t="array" ref="BE300">IF(AY300=1,INDEX($V$7:$AL$7,MATCH(TRUE,INDEX($V300:$AW300&lt;&gt;0,),0)),IF(AY300=0,INDEX($AM$7:$AW$7,MATCH(1,$AM300:$AW300,0)),IF(BF300="Multiple strategies","mixed drivers",IF(BF300="Supply chain","multiple supply","multiple silviculture"))))</f>
        <v>technologies/design switch</v>
      </c>
      <c r="BF300" s="2" t="str" cm="1">
        <f t="array" ref="BF300">IF(COUNTIF(AZ300:BB300,"&lt;&gt;0")=1,INDEX($V$4:$AW$4,MATCH(TRUE,INDEX($V300:$AW300&lt;&gt;0,),0)),IF(COUNTIF(AZ300:BB300,"&lt;&gt;0")=0,INDEX($AM$4:$AW$4,MATCH(1,$AM300:$AW300,0)),"Multiple strategies"))</f>
        <v>Technology</v>
      </c>
      <c r="BG300" s="142" t="s">
        <v>321</v>
      </c>
      <c r="BH300" t="s">
        <v>478</v>
      </c>
      <c r="BI300" s="264" t="s">
        <v>3274</v>
      </c>
      <c r="BJ300" t="s">
        <v>442</v>
      </c>
      <c r="BK300">
        <v>0</v>
      </c>
      <c r="BL300">
        <v>54</v>
      </c>
      <c r="BM300" s="143"/>
      <c r="BN300">
        <f t="shared" si="312"/>
        <v>54</v>
      </c>
      <c r="BO300">
        <f t="shared" si="313"/>
        <v>234.47676943117673</v>
      </c>
      <c r="BP300" t="s">
        <v>232</v>
      </c>
      <c r="BQ300" s="260" t="s">
        <v>813</v>
      </c>
      <c r="BR300" t="s">
        <v>443</v>
      </c>
      <c r="BS300" s="141">
        <v>6</v>
      </c>
      <c r="BT300" s="141">
        <v>17</v>
      </c>
      <c r="BU300" s="144">
        <f t="shared" si="314"/>
        <v>2.8333333333333335</v>
      </c>
      <c r="BV300">
        <f t="shared" si="315"/>
        <v>11</v>
      </c>
      <c r="BW300"/>
      <c r="BX300">
        <f t="shared" si="316"/>
        <v>40.369999999999997</v>
      </c>
      <c r="BY300">
        <f t="shared" ref="BY300:BY363" si="338">IFERROR(BX300/BO300,"")</f>
        <v>0.17217057407407405</v>
      </c>
      <c r="BZ300" s="143">
        <v>0</v>
      </c>
      <c r="CA300" s="143">
        <v>0</v>
      </c>
      <c r="CB300" s="143">
        <v>0</v>
      </c>
      <c r="CC300" s="143">
        <v>0</v>
      </c>
      <c r="CD300" s="143">
        <v>0</v>
      </c>
      <c r="CE300" s="143">
        <v>0</v>
      </c>
      <c r="CF300" s="143">
        <v>0</v>
      </c>
      <c r="CG300" s="143">
        <v>0</v>
      </c>
      <c r="CH300" s="143">
        <v>0</v>
      </c>
      <c r="CI300" s="143">
        <v>0</v>
      </c>
      <c r="CJ300" s="143">
        <v>0</v>
      </c>
      <c r="CK300" s="143">
        <v>0</v>
      </c>
      <c r="CL300" s="143">
        <v>0</v>
      </c>
      <c r="CM300">
        <v>0</v>
      </c>
      <c r="CN300" t="str">
        <f t="shared" si="317"/>
        <v>refOK</v>
      </c>
      <c r="CO300">
        <f t="shared" si="318"/>
        <v>0</v>
      </c>
      <c r="CP300">
        <f t="shared" si="319"/>
        <v>54</v>
      </c>
      <c r="CQ300">
        <f t="shared" si="320"/>
        <v>234.47676943117673</v>
      </c>
      <c r="CR300">
        <f t="shared" si="321"/>
        <v>6</v>
      </c>
      <c r="CS300">
        <f t="shared" si="322"/>
        <v>17</v>
      </c>
      <c r="CT300">
        <f t="shared" si="323"/>
        <v>40.369999999999997</v>
      </c>
      <c r="CU300">
        <f t="shared" si="324"/>
        <v>0.17217057407407405</v>
      </c>
      <c r="CV300" s="2">
        <f t="shared" si="325"/>
        <v>1.8333333333333333</v>
      </c>
      <c r="CW300" s="1" t="s">
        <v>263</v>
      </c>
      <c r="CX300" t="str">
        <f t="shared" si="326"/>
        <v>loc</v>
      </c>
      <c r="CY300" t="s">
        <v>444</v>
      </c>
      <c r="CZ300"/>
      <c r="DA300"/>
      <c r="DB300">
        <v>300</v>
      </c>
      <c r="DC300" t="str">
        <f t="shared" si="327"/>
        <v>+100</v>
      </c>
      <c r="DD300">
        <v>0</v>
      </c>
      <c r="DE300">
        <v>1</v>
      </c>
      <c r="DF300">
        <v>0</v>
      </c>
      <c r="DG300">
        <v>0</v>
      </c>
      <c r="DH300"/>
      <c r="DI300">
        <f t="shared" si="328"/>
        <v>1</v>
      </c>
      <c r="DJ300" t="str">
        <f t="shared" si="329"/>
        <v>EnergyInput</v>
      </c>
      <c r="DK300">
        <f t="shared" si="330"/>
        <v>0</v>
      </c>
      <c r="DL300" t="str">
        <f t="shared" si="331"/>
        <v>Energy</v>
      </c>
      <c r="DM300">
        <f t="shared" si="332"/>
        <v>0</v>
      </c>
      <c r="DN300">
        <f t="shared" si="333"/>
        <v>0</v>
      </c>
      <c r="DO300">
        <v>1</v>
      </c>
      <c r="DP300" s="143">
        <v>0</v>
      </c>
      <c r="DQ300" s="143">
        <v>0</v>
      </c>
      <c r="DR300" s="143">
        <v>0</v>
      </c>
      <c r="DS300">
        <v>0</v>
      </c>
      <c r="DT300">
        <f t="shared" si="334"/>
        <v>1</v>
      </c>
      <c r="DU300" s="143" t="str">
        <f t="shared" si="335"/>
        <v>self-calculated DF</v>
      </c>
      <c r="DV300">
        <v>0</v>
      </c>
      <c r="DW300" s="143">
        <v>0</v>
      </c>
      <c r="DX300" s="143">
        <v>1</v>
      </c>
      <c r="DY300" s="143">
        <v>1</v>
      </c>
      <c r="DZ300">
        <v>1</v>
      </c>
      <c r="EA300" s="143">
        <v>1</v>
      </c>
      <c r="EB300">
        <v>0</v>
      </c>
      <c r="EC300" s="143">
        <v>1</v>
      </c>
      <c r="ED300" s="143">
        <v>0</v>
      </c>
      <c r="EE300">
        <v>0</v>
      </c>
      <c r="EF300">
        <v>0</v>
      </c>
      <c r="EG300" s="143">
        <v>0</v>
      </c>
      <c r="EH300" s="143">
        <v>0</v>
      </c>
      <c r="EI300" s="2">
        <v>0</v>
      </c>
      <c r="EJ300" s="1"/>
      <c r="EK300" t="str">
        <f t="shared" si="336"/>
        <v/>
      </c>
      <c r="EL300" t="str">
        <f t="shared" si="337"/>
        <v/>
      </c>
      <c r="EM300" s="2" t="str">
        <f t="shared" ref="EM300:EM363" si="339">IF(AND(AND(AND($DX300=0,$DW300=0),OR($EC300=1,$EA300=1)),SUM($EB300:$EE300)&gt;=2),"Technology approach","")</f>
        <v/>
      </c>
      <c r="EN300"/>
      <c r="EO300"/>
      <c r="EP300" t="str">
        <f>IF(ISNUMBER(BU300),IF(ABS(BU300-[5]QC_indicators!$B$2)&gt;3*[5]QC_indicators!$C$2,"C ratio",IF(ISNUMBER(BY300),IF(ABS(BY300-[5]QC_indicators!$B$1)&gt;3*[5]QC_indicators!$C$1,"DF","no"))),IF(ISNUMBER(BY300),IF(ABS(BY300-[5]QC_indicators!$B$1)&gt;3*[5]QC_indicators!$C$1,"DF","no")))</f>
        <v>no</v>
      </c>
      <c r="EQ300"/>
      <c r="ER300" t="s">
        <v>479</v>
      </c>
      <c r="ES300"/>
      <c r="ET300" s="264" t="s">
        <v>3272</v>
      </c>
      <c r="EU300"/>
    </row>
    <row r="301" spans="1:151" s="139" customFormat="1" ht="15" hidden="1" customHeight="1">
      <c r="A301" s="1" t="s">
        <v>430</v>
      </c>
      <c r="B301" t="s">
        <v>431</v>
      </c>
      <c r="C301" t="s">
        <v>432</v>
      </c>
      <c r="D301" t="s">
        <v>433</v>
      </c>
      <c r="E301" t="s">
        <v>434</v>
      </c>
      <c r="F301" t="s">
        <v>435</v>
      </c>
      <c r="G301" t="s">
        <v>436</v>
      </c>
      <c r="H301" t="s">
        <v>254</v>
      </c>
      <c r="I301">
        <v>2000</v>
      </c>
      <c r="J301">
        <v>174</v>
      </c>
      <c r="K301" t="s">
        <v>437</v>
      </c>
      <c r="L301"/>
      <c r="M301" t="str">
        <f t="shared" si="245"/>
        <v>Borjesson_2000</v>
      </c>
      <c r="N301" t="s">
        <v>222</v>
      </c>
      <c r="O301" s="145" t="s">
        <v>223</v>
      </c>
      <c r="P301"/>
      <c r="Q301" t="s">
        <v>256</v>
      </c>
      <c r="R301" s="255" t="s">
        <v>225</v>
      </c>
      <c r="S301" s="1" t="s">
        <v>438</v>
      </c>
      <c r="T301" t="s">
        <v>439</v>
      </c>
      <c r="U301" t="s">
        <v>448</v>
      </c>
      <c r="V301">
        <v>0</v>
      </c>
      <c r="W301">
        <v>0</v>
      </c>
      <c r="X301">
        <v>0</v>
      </c>
      <c r="Y301">
        <v>0</v>
      </c>
      <c r="Z301">
        <v>0</v>
      </c>
      <c r="AA301">
        <v>0</v>
      </c>
      <c r="AB301">
        <v>0</v>
      </c>
      <c r="AC301">
        <v>0</v>
      </c>
      <c r="AD301">
        <v>0</v>
      </c>
      <c r="AE301">
        <v>0</v>
      </c>
      <c r="AF301">
        <v>0</v>
      </c>
      <c r="AG301">
        <v>0</v>
      </c>
      <c r="AH301">
        <v>0</v>
      </c>
      <c r="AI301">
        <v>0</v>
      </c>
      <c r="AJ301">
        <v>0</v>
      </c>
      <c r="AK301">
        <v>1</v>
      </c>
      <c r="AL301">
        <v>0</v>
      </c>
      <c r="AM301">
        <v>0</v>
      </c>
      <c r="AN301">
        <v>0</v>
      </c>
      <c r="AO301">
        <v>0</v>
      </c>
      <c r="AP301">
        <v>0</v>
      </c>
      <c r="AQ301">
        <v>0</v>
      </c>
      <c r="AR301">
        <v>0</v>
      </c>
      <c r="AS301">
        <v>0</v>
      </c>
      <c r="AT301">
        <v>0</v>
      </c>
      <c r="AU301">
        <v>0</v>
      </c>
      <c r="AV301">
        <v>0</v>
      </c>
      <c r="AW301">
        <v>0</v>
      </c>
      <c r="AX301" s="141">
        <f t="shared" si="305"/>
        <v>1</v>
      </c>
      <c r="AY301" s="141">
        <f t="shared" si="306"/>
        <v>1</v>
      </c>
      <c r="AZ301">
        <f t="shared" si="307"/>
        <v>0</v>
      </c>
      <c r="BA301">
        <f t="shared" si="308"/>
        <v>0</v>
      </c>
      <c r="BB301">
        <f t="shared" si="309"/>
        <v>1</v>
      </c>
      <c r="BC301">
        <f t="shared" si="310"/>
        <v>0</v>
      </c>
      <c r="BD301">
        <f t="shared" si="311"/>
        <v>0</v>
      </c>
      <c r="BE301" t="str">
        <f t="array" ref="BE301">IF(AY301=1,INDEX($V$7:$AL$7,MATCH(TRUE,INDEX($V301:$AW301&lt;&gt;0,),0)),IF(AY301=0,INDEX($AM$7:$AW$7,MATCH(1,$AM301:$AW301,0)),IF(BF301="Multiple strategies","mixed drivers",IF(BF301="Supply chain","multiple supply","multiple silviculture"))))</f>
        <v>technologies/design switch</v>
      </c>
      <c r="BF301" s="2" t="str" cm="1">
        <f t="array" ref="BF301">IF(COUNTIF(AZ301:BB301,"&lt;&gt;0")=1,INDEX($V$4:$AW$4,MATCH(TRUE,INDEX($V301:$AW301&lt;&gt;0,),0)),IF(COUNTIF(AZ301:BB301,"&lt;&gt;0")=0,INDEX($AM$4:$AW$4,MATCH(1,$AM301:$AW301,0)),"Multiple strategies"))</f>
        <v>Technology</v>
      </c>
      <c r="BG301" s="142" t="s">
        <v>229</v>
      </c>
      <c r="BH301" t="s">
        <v>441</v>
      </c>
      <c r="BI301" s="264" t="s">
        <v>3273</v>
      </c>
      <c r="BJ301" s="143" t="s">
        <v>442</v>
      </c>
      <c r="BK301">
        <v>0</v>
      </c>
      <c r="BL301">
        <f>3*44</f>
        <v>132</v>
      </c>
      <c r="BM301" s="143" t="e">
        <f>BL301/BK301</f>
        <v>#DIV/0!</v>
      </c>
      <c r="BN301">
        <f t="shared" si="312"/>
        <v>132</v>
      </c>
      <c r="BO301">
        <f t="shared" si="313"/>
        <v>573.16543638732094</v>
      </c>
      <c r="BP301" t="s">
        <v>232</v>
      </c>
      <c r="BQ301" s="260" t="s">
        <v>813</v>
      </c>
      <c r="BR301" t="s">
        <v>443</v>
      </c>
      <c r="BS301" s="141">
        <v>25</v>
      </c>
      <c r="BT301" s="141">
        <v>53</v>
      </c>
      <c r="BU301" s="144">
        <f t="shared" si="314"/>
        <v>2.12</v>
      </c>
      <c r="BV301">
        <f t="shared" si="315"/>
        <v>28</v>
      </c>
      <c r="BW301"/>
      <c r="BX301">
        <f t="shared" si="316"/>
        <v>102.75999999999999</v>
      </c>
      <c r="BY301">
        <f t="shared" si="338"/>
        <v>0.17928506060606059</v>
      </c>
      <c r="BZ301" s="143">
        <v>0</v>
      </c>
      <c r="CA301" s="143">
        <v>0</v>
      </c>
      <c r="CB301" s="143">
        <v>0</v>
      </c>
      <c r="CC301" s="143">
        <v>0</v>
      </c>
      <c r="CD301" s="143">
        <v>0</v>
      </c>
      <c r="CE301" s="143">
        <v>0</v>
      </c>
      <c r="CF301" s="143">
        <v>0</v>
      </c>
      <c r="CG301" s="143">
        <v>0</v>
      </c>
      <c r="CH301" s="143">
        <v>0</v>
      </c>
      <c r="CI301" s="143">
        <v>0</v>
      </c>
      <c r="CJ301" s="143">
        <v>0</v>
      </c>
      <c r="CK301" s="143">
        <v>0</v>
      </c>
      <c r="CL301" s="143">
        <v>0</v>
      </c>
      <c r="CM301">
        <v>0</v>
      </c>
      <c r="CN301" t="str">
        <f t="shared" si="317"/>
        <v>refOK</v>
      </c>
      <c r="CO301">
        <f t="shared" si="318"/>
        <v>0</v>
      </c>
      <c r="CP301">
        <f t="shared" si="319"/>
        <v>132</v>
      </c>
      <c r="CQ301">
        <f t="shared" si="320"/>
        <v>573.16543638732094</v>
      </c>
      <c r="CR301">
        <f t="shared" si="321"/>
        <v>25</v>
      </c>
      <c r="CS301">
        <f t="shared" si="322"/>
        <v>53</v>
      </c>
      <c r="CT301">
        <f t="shared" si="323"/>
        <v>102.75999999999999</v>
      </c>
      <c r="CU301">
        <f t="shared" si="324"/>
        <v>0.17928506060606059</v>
      </c>
      <c r="CV301" s="2">
        <f t="shared" si="325"/>
        <v>1.1200000000000001</v>
      </c>
      <c r="CW301" s="1" t="s">
        <v>263</v>
      </c>
      <c r="CX301" t="str">
        <f t="shared" si="326"/>
        <v>loc</v>
      </c>
      <c r="CY301" t="s">
        <v>444</v>
      </c>
      <c r="CZ301"/>
      <c r="DA301"/>
      <c r="DB301">
        <v>300</v>
      </c>
      <c r="DC301" t="str">
        <f t="shared" si="327"/>
        <v>+100</v>
      </c>
      <c r="DD301">
        <v>0</v>
      </c>
      <c r="DE301">
        <v>0</v>
      </c>
      <c r="DF301">
        <v>0</v>
      </c>
      <c r="DG301">
        <v>1</v>
      </c>
      <c r="DH301"/>
      <c r="DI301">
        <f t="shared" si="328"/>
        <v>1</v>
      </c>
      <c r="DJ301" t="str">
        <f t="shared" si="329"/>
        <v>TimberInput</v>
      </c>
      <c r="DK301">
        <f t="shared" si="330"/>
        <v>0</v>
      </c>
      <c r="DL301">
        <f t="shared" si="331"/>
        <v>0</v>
      </c>
      <c r="DM301">
        <f t="shared" si="332"/>
        <v>0</v>
      </c>
      <c r="DN301" t="str">
        <f t="shared" si="333"/>
        <v>Timber</v>
      </c>
      <c r="DO301">
        <v>1</v>
      </c>
      <c r="DP301" s="143">
        <v>0</v>
      </c>
      <c r="DQ301" s="143">
        <v>0</v>
      </c>
      <c r="DR301" s="143">
        <v>0</v>
      </c>
      <c r="DS301">
        <v>0</v>
      </c>
      <c r="DT301">
        <f t="shared" si="334"/>
        <v>1</v>
      </c>
      <c r="DU301" s="143" t="str">
        <f t="shared" si="335"/>
        <v>self-calculated DF</v>
      </c>
      <c r="DV301">
        <v>0</v>
      </c>
      <c r="DW301" s="143">
        <v>0</v>
      </c>
      <c r="DX301" s="143">
        <v>1</v>
      </c>
      <c r="DY301" s="143">
        <v>1</v>
      </c>
      <c r="DZ301">
        <v>1</v>
      </c>
      <c r="EA301" s="143">
        <v>1</v>
      </c>
      <c r="EB301">
        <v>0</v>
      </c>
      <c r="EC301" s="143">
        <v>1</v>
      </c>
      <c r="ED301" s="143">
        <v>0</v>
      </c>
      <c r="EE301">
        <v>0</v>
      </c>
      <c r="EF301">
        <v>0</v>
      </c>
      <c r="EG301" s="143">
        <v>0</v>
      </c>
      <c r="EH301" s="143">
        <v>0</v>
      </c>
      <c r="EI301" s="2">
        <v>0</v>
      </c>
      <c r="EJ301" s="1"/>
      <c r="EK301" t="str">
        <f t="shared" si="336"/>
        <v/>
      </c>
      <c r="EL301" t="str">
        <f t="shared" si="337"/>
        <v/>
      </c>
      <c r="EM301" s="2" t="str">
        <f t="shared" si="339"/>
        <v/>
      </c>
      <c r="EN301" t="s">
        <v>445</v>
      </c>
      <c r="EO301"/>
      <c r="EP301" t="str">
        <f>IF(ISNUMBER(BU301),IF(ABS(BU301-[5]QC_indicators!$B$2)&gt;3*[5]QC_indicators!$C$2,"C ratio",IF(ISNUMBER(BY301),IF(ABS(BY301-[5]QC_indicators!$B$1)&gt;3*[5]QC_indicators!$C$1,"DF","no"))),IF(ISNUMBER(BY301),IF(ABS(BY301-[5]QC_indicators!$B$1)&gt;3*[5]QC_indicators!$C$1,"DF","no")))</f>
        <v>no</v>
      </c>
      <c r="EQ301"/>
      <c r="ER301"/>
      <c r="ES301"/>
      <c r="ET301" s="264" t="s">
        <v>3272</v>
      </c>
      <c r="EU301"/>
    </row>
    <row r="302" spans="1:151" s="139" customFormat="1" ht="15" hidden="1" customHeight="1">
      <c r="A302" s="1" t="s">
        <v>430</v>
      </c>
      <c r="B302" t="s">
        <v>431</v>
      </c>
      <c r="C302" t="s">
        <v>432</v>
      </c>
      <c r="D302" t="s">
        <v>433</v>
      </c>
      <c r="E302" t="s">
        <v>434</v>
      </c>
      <c r="F302" t="s">
        <v>435</v>
      </c>
      <c r="G302" t="s">
        <v>436</v>
      </c>
      <c r="H302" t="s">
        <v>254</v>
      </c>
      <c r="I302">
        <v>2000</v>
      </c>
      <c r="J302">
        <v>174</v>
      </c>
      <c r="K302" t="s">
        <v>437</v>
      </c>
      <c r="L302"/>
      <c r="M302" t="str">
        <f t="shared" si="245"/>
        <v>Borjesson_2000</v>
      </c>
      <c r="N302" t="s">
        <v>222</v>
      </c>
      <c r="O302" s="145" t="s">
        <v>223</v>
      </c>
      <c r="P302"/>
      <c r="Q302" t="s">
        <v>256</v>
      </c>
      <c r="R302" s="255" t="s">
        <v>225</v>
      </c>
      <c r="S302" s="1" t="s">
        <v>438</v>
      </c>
      <c r="T302" t="s">
        <v>449</v>
      </c>
      <c r="U302" t="s">
        <v>440</v>
      </c>
      <c r="V302">
        <v>0</v>
      </c>
      <c r="W302">
        <v>0</v>
      </c>
      <c r="X302">
        <v>0</v>
      </c>
      <c r="Y302">
        <v>0</v>
      </c>
      <c r="Z302">
        <v>0</v>
      </c>
      <c r="AA302">
        <v>0</v>
      </c>
      <c r="AB302">
        <v>0</v>
      </c>
      <c r="AC302">
        <v>0</v>
      </c>
      <c r="AD302">
        <v>0</v>
      </c>
      <c r="AE302">
        <v>0</v>
      </c>
      <c r="AF302">
        <v>0</v>
      </c>
      <c r="AG302">
        <v>0</v>
      </c>
      <c r="AH302">
        <v>0</v>
      </c>
      <c r="AI302">
        <v>0</v>
      </c>
      <c r="AJ302">
        <v>0</v>
      </c>
      <c r="AK302">
        <v>1</v>
      </c>
      <c r="AL302">
        <v>0</v>
      </c>
      <c r="AM302">
        <v>0</v>
      </c>
      <c r="AN302">
        <v>0</v>
      </c>
      <c r="AO302">
        <v>0</v>
      </c>
      <c r="AP302">
        <v>0</v>
      </c>
      <c r="AQ302">
        <v>0</v>
      </c>
      <c r="AR302">
        <v>0</v>
      </c>
      <c r="AS302">
        <v>0</v>
      </c>
      <c r="AT302">
        <v>0</v>
      </c>
      <c r="AU302">
        <v>0</v>
      </c>
      <c r="AV302">
        <v>0</v>
      </c>
      <c r="AW302">
        <v>0</v>
      </c>
      <c r="AX302" s="141">
        <f t="shared" si="305"/>
        <v>1</v>
      </c>
      <c r="AY302" s="141">
        <f t="shared" si="306"/>
        <v>1</v>
      </c>
      <c r="AZ302">
        <f t="shared" si="307"/>
        <v>0</v>
      </c>
      <c r="BA302">
        <f t="shared" si="308"/>
        <v>0</v>
      </c>
      <c r="BB302">
        <f t="shared" si="309"/>
        <v>1</v>
      </c>
      <c r="BC302">
        <f t="shared" si="310"/>
        <v>0</v>
      </c>
      <c r="BD302">
        <f t="shared" si="311"/>
        <v>0</v>
      </c>
      <c r="BE302" t="str">
        <f t="array" ref="BE302">IF(AY302=1,INDEX($V$7:$AL$7,MATCH(TRUE,INDEX($V302:$AW302&lt;&gt;0,),0)),IF(AY302=0,INDEX($AM$7:$AW$7,MATCH(1,$AM302:$AW302,0)),IF(BF302="Multiple strategies","mixed drivers",IF(BF302="Supply chain","multiple supply","multiple silviculture"))))</f>
        <v>technologies/design switch</v>
      </c>
      <c r="BF302" s="2" t="str" cm="1">
        <f t="array" ref="BF302">IF(COUNTIF(AZ302:BB302,"&lt;&gt;0")=1,INDEX($V$4:$AW$4,MATCH(TRUE,INDEX($V302:$AW302&lt;&gt;0,),0)),IF(COUNTIF(AZ302:BB302,"&lt;&gt;0")=0,INDEX($AM$4:$AW$4,MATCH(1,$AM302:$AW302,0)),"Multiple strategies"))</f>
        <v>Technology</v>
      </c>
      <c r="BG302" s="142" t="s">
        <v>229</v>
      </c>
      <c r="BH302" t="s">
        <v>441</v>
      </c>
      <c r="BI302" s="264" t="s">
        <v>3273</v>
      </c>
      <c r="BJ302" s="143" t="s">
        <v>442</v>
      </c>
      <c r="BK302">
        <v>0</v>
      </c>
      <c r="BL302">
        <f>3*44</f>
        <v>132</v>
      </c>
      <c r="BM302" s="143" t="e">
        <f>BL302/BK302</f>
        <v>#DIV/0!</v>
      </c>
      <c r="BN302">
        <f t="shared" si="312"/>
        <v>132</v>
      </c>
      <c r="BO302">
        <f t="shared" si="313"/>
        <v>573.16543638732094</v>
      </c>
      <c r="BP302" t="s">
        <v>232</v>
      </c>
      <c r="BQ302" s="260" t="s">
        <v>813</v>
      </c>
      <c r="BR302" t="s">
        <v>443</v>
      </c>
      <c r="BS302" s="141">
        <v>3</v>
      </c>
      <c r="BT302" s="141">
        <v>31</v>
      </c>
      <c r="BU302" s="144">
        <f t="shared" si="314"/>
        <v>10.333333333333334</v>
      </c>
      <c r="BV302">
        <f t="shared" si="315"/>
        <v>28</v>
      </c>
      <c r="BW302"/>
      <c r="BX302">
        <f t="shared" si="316"/>
        <v>102.75999999999999</v>
      </c>
      <c r="BY302">
        <f t="shared" si="338"/>
        <v>0.17928506060606059</v>
      </c>
      <c r="BZ302" s="143">
        <v>0</v>
      </c>
      <c r="CA302" s="143">
        <v>0</v>
      </c>
      <c r="CB302" s="143">
        <v>0</v>
      </c>
      <c r="CC302" s="143">
        <v>0</v>
      </c>
      <c r="CD302" s="143">
        <v>0</v>
      </c>
      <c r="CE302" s="143">
        <v>0</v>
      </c>
      <c r="CF302" s="143">
        <v>0</v>
      </c>
      <c r="CG302" s="143">
        <v>0</v>
      </c>
      <c r="CH302" s="143">
        <v>0</v>
      </c>
      <c r="CI302" s="143">
        <v>0</v>
      </c>
      <c r="CJ302" s="143">
        <v>0</v>
      </c>
      <c r="CK302" s="143">
        <v>0</v>
      </c>
      <c r="CL302" s="143">
        <v>0</v>
      </c>
      <c r="CM302">
        <v>0</v>
      </c>
      <c r="CN302" t="str">
        <f t="shared" si="317"/>
        <v>refOK</v>
      </c>
      <c r="CO302">
        <f t="shared" si="318"/>
        <v>0</v>
      </c>
      <c r="CP302">
        <f t="shared" si="319"/>
        <v>132</v>
      </c>
      <c r="CQ302">
        <f t="shared" si="320"/>
        <v>573.16543638732094</v>
      </c>
      <c r="CR302">
        <f t="shared" si="321"/>
        <v>3</v>
      </c>
      <c r="CS302">
        <f t="shared" si="322"/>
        <v>31</v>
      </c>
      <c r="CT302">
        <f t="shared" si="323"/>
        <v>102.75999999999999</v>
      </c>
      <c r="CU302">
        <f t="shared" si="324"/>
        <v>0.17928506060606059</v>
      </c>
      <c r="CV302" s="2">
        <f t="shared" si="325"/>
        <v>9.3333333333333339</v>
      </c>
      <c r="CW302" s="1" t="s">
        <v>263</v>
      </c>
      <c r="CX302" t="str">
        <f t="shared" si="326"/>
        <v>loc</v>
      </c>
      <c r="CY302" t="s">
        <v>444</v>
      </c>
      <c r="CZ302"/>
      <c r="DA302"/>
      <c r="DB302">
        <v>300</v>
      </c>
      <c r="DC302" t="str">
        <f t="shared" si="327"/>
        <v>+100</v>
      </c>
      <c r="DD302">
        <v>0</v>
      </c>
      <c r="DE302">
        <v>0</v>
      </c>
      <c r="DF302">
        <v>0</v>
      </c>
      <c r="DG302">
        <v>1</v>
      </c>
      <c r="DH302"/>
      <c r="DI302">
        <f t="shared" si="328"/>
        <v>1</v>
      </c>
      <c r="DJ302" t="str">
        <f t="shared" si="329"/>
        <v>TimberInput</v>
      </c>
      <c r="DK302">
        <f t="shared" si="330"/>
        <v>0</v>
      </c>
      <c r="DL302">
        <f t="shared" si="331"/>
        <v>0</v>
      </c>
      <c r="DM302">
        <f t="shared" si="332"/>
        <v>0</v>
      </c>
      <c r="DN302" t="str">
        <f t="shared" si="333"/>
        <v>Timber</v>
      </c>
      <c r="DO302">
        <v>1</v>
      </c>
      <c r="DP302" s="143">
        <v>0</v>
      </c>
      <c r="DQ302" s="143">
        <v>0</v>
      </c>
      <c r="DR302" s="143">
        <v>0</v>
      </c>
      <c r="DS302">
        <v>0</v>
      </c>
      <c r="DT302">
        <f t="shared" si="334"/>
        <v>1</v>
      </c>
      <c r="DU302" s="143" t="str">
        <f t="shared" si="335"/>
        <v>self-calculated DF</v>
      </c>
      <c r="DV302">
        <v>0</v>
      </c>
      <c r="DW302" s="143">
        <v>0</v>
      </c>
      <c r="DX302" s="143">
        <v>1</v>
      </c>
      <c r="DY302" s="143">
        <v>1</v>
      </c>
      <c r="DZ302">
        <v>1</v>
      </c>
      <c r="EA302" s="143">
        <v>1</v>
      </c>
      <c r="EB302">
        <v>0</v>
      </c>
      <c r="EC302" s="143">
        <v>1</v>
      </c>
      <c r="ED302" s="143">
        <v>0</v>
      </c>
      <c r="EE302">
        <v>0</v>
      </c>
      <c r="EF302">
        <v>0</v>
      </c>
      <c r="EG302" s="143">
        <v>0</v>
      </c>
      <c r="EH302" s="143">
        <v>0</v>
      </c>
      <c r="EI302" s="2">
        <v>0</v>
      </c>
      <c r="EJ302" s="1"/>
      <c r="EK302" t="str">
        <f t="shared" si="336"/>
        <v/>
      </c>
      <c r="EL302" t="str">
        <f t="shared" si="337"/>
        <v/>
      </c>
      <c r="EM302" s="2" t="str">
        <f t="shared" si="339"/>
        <v/>
      </c>
      <c r="EN302" t="s">
        <v>445</v>
      </c>
      <c r="EO302"/>
      <c r="EP302" t="str">
        <f>IF(ISNUMBER(BU302),IF(ABS(BU302-[5]QC_indicators!$B$2)&gt;3*[5]QC_indicators!$C$2,"C ratio",IF(ISNUMBER(BY302),IF(ABS(BY302-[5]QC_indicators!$B$1)&gt;3*[5]QC_indicators!$C$1,"DF","no"))),IF(ISNUMBER(BY302),IF(ABS(BY302-[5]QC_indicators!$B$1)&gt;3*[5]QC_indicators!$C$1,"DF","no")))</f>
        <v>no</v>
      </c>
      <c r="EQ302"/>
      <c r="ER302"/>
      <c r="ES302"/>
      <c r="ET302" s="264" t="s">
        <v>3272</v>
      </c>
      <c r="EU302"/>
    </row>
    <row r="303" spans="1:151" s="139" customFormat="1" ht="15" hidden="1" customHeight="1">
      <c r="A303" s="1" t="s">
        <v>430</v>
      </c>
      <c r="B303" t="s">
        <v>431</v>
      </c>
      <c r="C303" t="s">
        <v>432</v>
      </c>
      <c r="D303" t="s">
        <v>433</v>
      </c>
      <c r="E303" t="s">
        <v>434</v>
      </c>
      <c r="F303" t="s">
        <v>435</v>
      </c>
      <c r="G303" t="s">
        <v>436</v>
      </c>
      <c r="H303" t="s">
        <v>254</v>
      </c>
      <c r="I303">
        <v>2000</v>
      </c>
      <c r="J303">
        <v>174</v>
      </c>
      <c r="K303" t="s">
        <v>437</v>
      </c>
      <c r="L303"/>
      <c r="M303" t="str">
        <f t="shared" si="245"/>
        <v>Borjesson_2000</v>
      </c>
      <c r="N303" t="s">
        <v>222</v>
      </c>
      <c r="O303" s="145" t="s">
        <v>223</v>
      </c>
      <c r="P303"/>
      <c r="Q303" t="s">
        <v>256</v>
      </c>
      <c r="R303" s="255" t="s">
        <v>225</v>
      </c>
      <c r="S303" s="1" t="s">
        <v>438</v>
      </c>
      <c r="T303" t="s">
        <v>446</v>
      </c>
      <c r="U303" t="s">
        <v>448</v>
      </c>
      <c r="V303">
        <v>0</v>
      </c>
      <c r="W303">
        <v>0</v>
      </c>
      <c r="X303">
        <v>0</v>
      </c>
      <c r="Y303">
        <v>0</v>
      </c>
      <c r="Z303">
        <v>0</v>
      </c>
      <c r="AA303">
        <v>0</v>
      </c>
      <c r="AB303">
        <v>0</v>
      </c>
      <c r="AC303">
        <v>0</v>
      </c>
      <c r="AD303">
        <v>0</v>
      </c>
      <c r="AE303">
        <v>0</v>
      </c>
      <c r="AF303">
        <v>0</v>
      </c>
      <c r="AG303">
        <v>0</v>
      </c>
      <c r="AH303">
        <v>0</v>
      </c>
      <c r="AI303">
        <v>0</v>
      </c>
      <c r="AJ303">
        <v>0</v>
      </c>
      <c r="AK303">
        <v>1</v>
      </c>
      <c r="AL303">
        <v>0</v>
      </c>
      <c r="AM303">
        <v>0</v>
      </c>
      <c r="AN303">
        <v>0</v>
      </c>
      <c r="AO303">
        <v>0</v>
      </c>
      <c r="AP303">
        <v>0</v>
      </c>
      <c r="AQ303">
        <v>0</v>
      </c>
      <c r="AR303">
        <v>0</v>
      </c>
      <c r="AS303">
        <v>0</v>
      </c>
      <c r="AT303">
        <v>0</v>
      </c>
      <c r="AU303">
        <v>0</v>
      </c>
      <c r="AV303">
        <v>0</v>
      </c>
      <c r="AW303">
        <v>0</v>
      </c>
      <c r="AX303" s="141">
        <f t="shared" si="305"/>
        <v>1</v>
      </c>
      <c r="AY303" s="141">
        <f t="shared" si="306"/>
        <v>1</v>
      </c>
      <c r="AZ303">
        <f t="shared" si="307"/>
        <v>0</v>
      </c>
      <c r="BA303">
        <f t="shared" si="308"/>
        <v>0</v>
      </c>
      <c r="BB303">
        <f t="shared" si="309"/>
        <v>1</v>
      </c>
      <c r="BC303">
        <f t="shared" si="310"/>
        <v>0</v>
      </c>
      <c r="BD303">
        <f t="shared" si="311"/>
        <v>0</v>
      </c>
      <c r="BE303" t="str">
        <f t="array" ref="BE303">IF(AY303=1,INDEX($V$7:$AL$7,MATCH(TRUE,INDEX($V303:$AW303&lt;&gt;0,),0)),IF(AY303=0,INDEX($AM$7:$AW$7,MATCH(1,$AM303:$AW303,0)),IF(BF303="Multiple strategies","mixed drivers",IF(BF303="Supply chain","multiple supply","multiple silviculture"))))</f>
        <v>technologies/design switch</v>
      </c>
      <c r="BF303" s="2" t="str" cm="1">
        <f t="array" ref="BF303">IF(COUNTIF(AZ303:BB303,"&lt;&gt;0")=1,INDEX($V$4:$AW$4,MATCH(TRUE,INDEX($V303:$AW303&lt;&gt;0,),0)),IF(COUNTIF(AZ303:BB303,"&lt;&gt;0")=0,INDEX($AM$4:$AW$4,MATCH(1,$AM303:$AW303,0)),"Multiple strategies"))</f>
        <v>Technology</v>
      </c>
      <c r="BG303" s="142" t="s">
        <v>229</v>
      </c>
      <c r="BH303" t="s">
        <v>441</v>
      </c>
      <c r="BI303" s="264" t="s">
        <v>3273</v>
      </c>
      <c r="BJ303" s="143" t="s">
        <v>442</v>
      </c>
      <c r="BK303">
        <v>0</v>
      </c>
      <c r="BL303">
        <f>3*44</f>
        <v>132</v>
      </c>
      <c r="BM303" s="143" t="e">
        <f>BL303/BK303</f>
        <v>#DIV/0!</v>
      </c>
      <c r="BN303">
        <f t="shared" si="312"/>
        <v>132</v>
      </c>
      <c r="BO303">
        <f t="shared" si="313"/>
        <v>573.16543638732094</v>
      </c>
      <c r="BP303" t="s">
        <v>232</v>
      </c>
      <c r="BQ303" s="260" t="s">
        <v>813</v>
      </c>
      <c r="BR303" t="s">
        <v>443</v>
      </c>
      <c r="BS303" s="141">
        <v>18</v>
      </c>
      <c r="BT303" s="141">
        <v>53</v>
      </c>
      <c r="BU303" s="144">
        <f t="shared" si="314"/>
        <v>2.9444444444444446</v>
      </c>
      <c r="BV303">
        <f t="shared" si="315"/>
        <v>35</v>
      </c>
      <c r="BW303"/>
      <c r="BX303">
        <f t="shared" si="316"/>
        <v>128.44999999999999</v>
      </c>
      <c r="BY303">
        <f t="shared" si="338"/>
        <v>0.22410632575757572</v>
      </c>
      <c r="BZ303" s="143">
        <v>0</v>
      </c>
      <c r="CA303" s="143">
        <v>0</v>
      </c>
      <c r="CB303" s="143">
        <v>0</v>
      </c>
      <c r="CC303" s="143">
        <v>0</v>
      </c>
      <c r="CD303" s="143">
        <v>0</v>
      </c>
      <c r="CE303" s="143">
        <v>0</v>
      </c>
      <c r="CF303" s="143">
        <v>0</v>
      </c>
      <c r="CG303" s="143">
        <v>0</v>
      </c>
      <c r="CH303" s="143">
        <v>0</v>
      </c>
      <c r="CI303" s="143">
        <v>0</v>
      </c>
      <c r="CJ303" s="143">
        <v>0</v>
      </c>
      <c r="CK303" s="143">
        <v>0</v>
      </c>
      <c r="CL303" s="143">
        <v>0</v>
      </c>
      <c r="CM303">
        <v>0</v>
      </c>
      <c r="CN303" t="str">
        <f t="shared" si="317"/>
        <v>refOK</v>
      </c>
      <c r="CO303">
        <f t="shared" si="318"/>
        <v>0</v>
      </c>
      <c r="CP303">
        <f t="shared" si="319"/>
        <v>132</v>
      </c>
      <c r="CQ303">
        <f t="shared" si="320"/>
        <v>573.16543638732094</v>
      </c>
      <c r="CR303">
        <f t="shared" si="321"/>
        <v>18</v>
      </c>
      <c r="CS303">
        <f t="shared" si="322"/>
        <v>53</v>
      </c>
      <c r="CT303">
        <f t="shared" si="323"/>
        <v>128.44999999999999</v>
      </c>
      <c r="CU303">
        <f t="shared" si="324"/>
        <v>0.22410632575757572</v>
      </c>
      <c r="CV303" s="2">
        <f t="shared" si="325"/>
        <v>1.9444444444444444</v>
      </c>
      <c r="CW303" s="1" t="s">
        <v>263</v>
      </c>
      <c r="CX303" t="str">
        <f t="shared" si="326"/>
        <v>loc</v>
      </c>
      <c r="CY303" t="s">
        <v>444</v>
      </c>
      <c r="CZ303"/>
      <c r="DA303"/>
      <c r="DB303">
        <v>300</v>
      </c>
      <c r="DC303" t="str">
        <f t="shared" si="327"/>
        <v>+100</v>
      </c>
      <c r="DD303">
        <v>0</v>
      </c>
      <c r="DE303">
        <v>0</v>
      </c>
      <c r="DF303">
        <v>0</v>
      </c>
      <c r="DG303">
        <v>1</v>
      </c>
      <c r="DH303"/>
      <c r="DI303">
        <f t="shared" si="328"/>
        <v>1</v>
      </c>
      <c r="DJ303" t="str">
        <f t="shared" si="329"/>
        <v>TimberInput</v>
      </c>
      <c r="DK303">
        <f t="shared" si="330"/>
        <v>0</v>
      </c>
      <c r="DL303">
        <f t="shared" si="331"/>
        <v>0</v>
      </c>
      <c r="DM303">
        <f t="shared" si="332"/>
        <v>0</v>
      </c>
      <c r="DN303" t="str">
        <f t="shared" si="333"/>
        <v>Timber</v>
      </c>
      <c r="DO303">
        <v>1</v>
      </c>
      <c r="DP303" s="143">
        <v>0</v>
      </c>
      <c r="DQ303" s="143">
        <v>0</v>
      </c>
      <c r="DR303" s="143">
        <v>0</v>
      </c>
      <c r="DS303">
        <v>0</v>
      </c>
      <c r="DT303">
        <f t="shared" si="334"/>
        <v>1</v>
      </c>
      <c r="DU303" s="143" t="str">
        <f t="shared" si="335"/>
        <v>self-calculated DF</v>
      </c>
      <c r="DV303">
        <v>0</v>
      </c>
      <c r="DW303" s="143">
        <v>0</v>
      </c>
      <c r="DX303" s="143">
        <v>1</v>
      </c>
      <c r="DY303" s="143">
        <v>1</v>
      </c>
      <c r="DZ303">
        <v>1</v>
      </c>
      <c r="EA303" s="143">
        <v>1</v>
      </c>
      <c r="EB303">
        <v>0</v>
      </c>
      <c r="EC303" s="143">
        <v>1</v>
      </c>
      <c r="ED303" s="143">
        <v>0</v>
      </c>
      <c r="EE303">
        <v>0</v>
      </c>
      <c r="EF303">
        <v>0</v>
      </c>
      <c r="EG303" s="143">
        <v>0</v>
      </c>
      <c r="EH303" s="143">
        <v>0</v>
      </c>
      <c r="EI303" s="2">
        <v>0</v>
      </c>
      <c r="EJ303" s="1"/>
      <c r="EK303" t="str">
        <f t="shared" si="336"/>
        <v/>
      </c>
      <c r="EL303" t="str">
        <f t="shared" si="337"/>
        <v/>
      </c>
      <c r="EM303" s="2" t="str">
        <f t="shared" si="339"/>
        <v/>
      </c>
      <c r="EN303" t="s">
        <v>445</v>
      </c>
      <c r="EO303"/>
      <c r="EP303" t="str">
        <f>IF(ISNUMBER(BU303),IF(ABS(BU303-[5]QC_indicators!$B$2)&gt;3*[5]QC_indicators!$C$2,"C ratio",IF(ISNUMBER(BY303),IF(ABS(BY303-[5]QC_indicators!$B$1)&gt;3*[5]QC_indicators!$C$1,"DF","no"))),IF(ISNUMBER(BY303),IF(ABS(BY303-[5]QC_indicators!$B$1)&gt;3*[5]QC_indicators!$C$1,"DF","no")))</f>
        <v>no</v>
      </c>
      <c r="EQ303"/>
      <c r="ER303"/>
      <c r="ES303"/>
      <c r="ET303" s="264" t="s">
        <v>3272</v>
      </c>
      <c r="EU303"/>
    </row>
    <row r="304" spans="1:151" s="139" customFormat="1" ht="15" hidden="1" customHeight="1">
      <c r="A304" s="1" t="s">
        <v>430</v>
      </c>
      <c r="B304" t="s">
        <v>431</v>
      </c>
      <c r="C304" t="s">
        <v>432</v>
      </c>
      <c r="D304" t="s">
        <v>433</v>
      </c>
      <c r="E304" t="s">
        <v>434</v>
      </c>
      <c r="F304" t="s">
        <v>435</v>
      </c>
      <c r="G304" t="s">
        <v>436</v>
      </c>
      <c r="H304" t="s">
        <v>254</v>
      </c>
      <c r="I304">
        <v>2000</v>
      </c>
      <c r="J304">
        <v>174</v>
      </c>
      <c r="K304" t="s">
        <v>437</v>
      </c>
      <c r="L304"/>
      <c r="M304" t="str">
        <f t="shared" si="245"/>
        <v>Borjesson_2000</v>
      </c>
      <c r="N304" t="s">
        <v>222</v>
      </c>
      <c r="O304" s="145" t="s">
        <v>223</v>
      </c>
      <c r="P304"/>
      <c r="Q304" t="s">
        <v>256</v>
      </c>
      <c r="R304" s="255" t="s">
        <v>225</v>
      </c>
      <c r="S304" s="1" t="s">
        <v>475</v>
      </c>
      <c r="T304" t="s">
        <v>480</v>
      </c>
      <c r="U304" t="s">
        <v>483</v>
      </c>
      <c r="V304">
        <v>0</v>
      </c>
      <c r="W304">
        <v>0</v>
      </c>
      <c r="X304">
        <v>0</v>
      </c>
      <c r="Y304">
        <v>0</v>
      </c>
      <c r="Z304">
        <v>0</v>
      </c>
      <c r="AA304">
        <v>0</v>
      </c>
      <c r="AB304">
        <v>0</v>
      </c>
      <c r="AC304">
        <v>0</v>
      </c>
      <c r="AD304">
        <v>0</v>
      </c>
      <c r="AE304">
        <v>0</v>
      </c>
      <c r="AF304">
        <v>0</v>
      </c>
      <c r="AG304">
        <v>0</v>
      </c>
      <c r="AH304">
        <v>0</v>
      </c>
      <c r="AI304">
        <v>0</v>
      </c>
      <c r="AJ304">
        <v>0</v>
      </c>
      <c r="AK304">
        <v>1</v>
      </c>
      <c r="AL304">
        <v>0</v>
      </c>
      <c r="AM304">
        <v>0</v>
      </c>
      <c r="AN304">
        <v>0</v>
      </c>
      <c r="AO304">
        <v>0</v>
      </c>
      <c r="AP304">
        <v>0</v>
      </c>
      <c r="AQ304">
        <v>0</v>
      </c>
      <c r="AR304">
        <v>0</v>
      </c>
      <c r="AS304">
        <v>0</v>
      </c>
      <c r="AT304">
        <v>0</v>
      </c>
      <c r="AU304">
        <v>0</v>
      </c>
      <c r="AV304">
        <v>0</v>
      </c>
      <c r="AW304">
        <v>0</v>
      </c>
      <c r="AX304" s="141">
        <f t="shared" si="305"/>
        <v>1</v>
      </c>
      <c r="AY304" s="141">
        <f t="shared" si="306"/>
        <v>1</v>
      </c>
      <c r="AZ304">
        <f t="shared" si="307"/>
        <v>0</v>
      </c>
      <c r="BA304">
        <f t="shared" si="308"/>
        <v>0</v>
      </c>
      <c r="BB304">
        <f t="shared" si="309"/>
        <v>1</v>
      </c>
      <c r="BC304">
        <f t="shared" si="310"/>
        <v>0</v>
      </c>
      <c r="BD304">
        <f t="shared" si="311"/>
        <v>0</v>
      </c>
      <c r="BE304" t="str">
        <f t="array" ref="BE304">IF(AY304=1,INDEX($V$7:$AL$7,MATCH(TRUE,INDEX($V304:$AW304&lt;&gt;0,),0)),IF(AY304=0,INDEX($AM$7:$AW$7,MATCH(1,$AM304:$AW304,0)),IF(BF304="Multiple strategies","mixed drivers",IF(BF304="Supply chain","multiple supply","multiple silviculture"))))</f>
        <v>technologies/design switch</v>
      </c>
      <c r="BF304" s="2" t="str" cm="1">
        <f t="array" ref="BF304">IF(COUNTIF(AZ304:BB304,"&lt;&gt;0")=1,INDEX($V$4:$AW$4,MATCH(TRUE,INDEX($V304:$AW304&lt;&gt;0,),0)),IF(COUNTIF(AZ304:BB304,"&lt;&gt;0")=0,INDEX($AM$4:$AW$4,MATCH(1,$AM304:$AW304,0)),"Multiple strategies"))</f>
        <v>Technology</v>
      </c>
      <c r="BG304" s="142" t="s">
        <v>321</v>
      </c>
      <c r="BH304" t="s">
        <v>478</v>
      </c>
      <c r="BI304" s="264" t="s">
        <v>3275</v>
      </c>
      <c r="BJ304" t="s">
        <v>442</v>
      </c>
      <c r="BK304">
        <v>0</v>
      </c>
      <c r="BL304">
        <v>45</v>
      </c>
      <c r="BM304" s="143"/>
      <c r="BN304">
        <f t="shared" si="312"/>
        <v>45</v>
      </c>
      <c r="BO304">
        <f t="shared" si="313"/>
        <v>195.39730785931394</v>
      </c>
      <c r="BP304" t="s">
        <v>232</v>
      </c>
      <c r="BQ304" s="260" t="s">
        <v>813</v>
      </c>
      <c r="BR304" t="s">
        <v>443</v>
      </c>
      <c r="BS304" s="141">
        <v>3</v>
      </c>
      <c r="BT304" s="141">
        <v>18</v>
      </c>
      <c r="BU304" s="144">
        <f t="shared" si="314"/>
        <v>6</v>
      </c>
      <c r="BV304">
        <f t="shared" si="315"/>
        <v>15</v>
      </c>
      <c r="BW304"/>
      <c r="BX304">
        <f t="shared" si="316"/>
        <v>55.05</v>
      </c>
      <c r="BY304">
        <f t="shared" si="338"/>
        <v>0.28173366666666666</v>
      </c>
      <c r="BZ304" s="143">
        <v>0</v>
      </c>
      <c r="CA304" s="143">
        <v>0</v>
      </c>
      <c r="CB304" s="143">
        <v>0</v>
      </c>
      <c r="CC304" s="143">
        <v>0</v>
      </c>
      <c r="CD304" s="143">
        <v>0</v>
      </c>
      <c r="CE304" s="143">
        <v>0</v>
      </c>
      <c r="CF304" s="143">
        <v>0</v>
      </c>
      <c r="CG304" s="143">
        <v>0</v>
      </c>
      <c r="CH304" s="143">
        <v>0</v>
      </c>
      <c r="CI304" s="143">
        <v>0</v>
      </c>
      <c r="CJ304" s="143">
        <v>0</v>
      </c>
      <c r="CK304" s="143">
        <v>0</v>
      </c>
      <c r="CL304" s="143">
        <v>0</v>
      </c>
      <c r="CM304">
        <v>0</v>
      </c>
      <c r="CN304" t="str">
        <f t="shared" si="317"/>
        <v>refOK</v>
      </c>
      <c r="CO304">
        <f t="shared" si="318"/>
        <v>0</v>
      </c>
      <c r="CP304">
        <f t="shared" si="319"/>
        <v>45</v>
      </c>
      <c r="CQ304">
        <f t="shared" si="320"/>
        <v>195.39730785931394</v>
      </c>
      <c r="CR304">
        <f t="shared" si="321"/>
        <v>3</v>
      </c>
      <c r="CS304">
        <f t="shared" si="322"/>
        <v>18</v>
      </c>
      <c r="CT304">
        <f t="shared" si="323"/>
        <v>55.05</v>
      </c>
      <c r="CU304">
        <f t="shared" si="324"/>
        <v>0.28173366666666666</v>
      </c>
      <c r="CV304" s="2">
        <f t="shared" si="325"/>
        <v>5</v>
      </c>
      <c r="CW304" s="1" t="s">
        <v>263</v>
      </c>
      <c r="CX304" t="str">
        <f t="shared" si="326"/>
        <v>loc</v>
      </c>
      <c r="CY304" t="s">
        <v>444</v>
      </c>
      <c r="CZ304"/>
      <c r="DA304"/>
      <c r="DB304">
        <v>300</v>
      </c>
      <c r="DC304" t="str">
        <f t="shared" si="327"/>
        <v>+100</v>
      </c>
      <c r="DD304">
        <v>0</v>
      </c>
      <c r="DE304">
        <v>1</v>
      </c>
      <c r="DF304">
        <v>0</v>
      </c>
      <c r="DG304">
        <v>0</v>
      </c>
      <c r="DH304"/>
      <c r="DI304">
        <f t="shared" si="328"/>
        <v>1</v>
      </c>
      <c r="DJ304" t="str">
        <f t="shared" si="329"/>
        <v>EnergyInput</v>
      </c>
      <c r="DK304">
        <f t="shared" si="330"/>
        <v>0</v>
      </c>
      <c r="DL304" t="str">
        <f t="shared" si="331"/>
        <v>Energy</v>
      </c>
      <c r="DM304">
        <f t="shared" si="332"/>
        <v>0</v>
      </c>
      <c r="DN304">
        <f t="shared" si="333"/>
        <v>0</v>
      </c>
      <c r="DO304">
        <v>1</v>
      </c>
      <c r="DP304" s="143">
        <v>0</v>
      </c>
      <c r="DQ304" s="143">
        <v>0</v>
      </c>
      <c r="DR304" s="143">
        <v>0</v>
      </c>
      <c r="DS304">
        <v>0</v>
      </c>
      <c r="DT304">
        <f t="shared" si="334"/>
        <v>1</v>
      </c>
      <c r="DU304" s="143" t="str">
        <f t="shared" si="335"/>
        <v>self-calculated DF</v>
      </c>
      <c r="DV304">
        <v>0</v>
      </c>
      <c r="DW304" s="143">
        <v>0</v>
      </c>
      <c r="DX304" s="143">
        <v>1</v>
      </c>
      <c r="DY304" s="143">
        <v>1</v>
      </c>
      <c r="DZ304">
        <v>1</v>
      </c>
      <c r="EA304" s="143">
        <v>1</v>
      </c>
      <c r="EB304">
        <v>0</v>
      </c>
      <c r="EC304" s="143">
        <v>1</v>
      </c>
      <c r="ED304" s="143">
        <v>0</v>
      </c>
      <c r="EE304">
        <v>0</v>
      </c>
      <c r="EF304">
        <v>0</v>
      </c>
      <c r="EG304" s="143">
        <v>0</v>
      </c>
      <c r="EH304" s="143">
        <v>0</v>
      </c>
      <c r="EI304" s="2">
        <v>0</v>
      </c>
      <c r="EJ304" s="1"/>
      <c r="EK304" t="str">
        <f t="shared" si="336"/>
        <v/>
      </c>
      <c r="EL304" t="str">
        <f t="shared" si="337"/>
        <v/>
      </c>
      <c r="EM304" s="2" t="str">
        <f t="shared" si="339"/>
        <v/>
      </c>
      <c r="EN304"/>
      <c r="EO304"/>
      <c r="EP304" t="str">
        <f>IF(ISNUMBER(BU304),IF(ABS(BU304-[5]QC_indicators!$B$2)&gt;3*[5]QC_indicators!$C$2,"C ratio",IF(ISNUMBER(BY304),IF(ABS(BY304-[5]QC_indicators!$B$1)&gt;3*[5]QC_indicators!$C$1,"DF","no"))),IF(ISNUMBER(BY304),IF(ABS(BY304-[5]QC_indicators!$B$1)&gt;3*[5]QC_indicators!$C$1,"DF","no")))</f>
        <v>no</v>
      </c>
      <c r="EQ304"/>
      <c r="ER304" t="s">
        <v>479</v>
      </c>
      <c r="ES304"/>
      <c r="ET304" s="264" t="s">
        <v>3272</v>
      </c>
      <c r="EU304"/>
    </row>
    <row r="305" spans="1:151" s="139" customFormat="1" ht="15" hidden="1" customHeight="1">
      <c r="A305" s="1" t="s">
        <v>430</v>
      </c>
      <c r="B305" t="s">
        <v>431</v>
      </c>
      <c r="C305" t="s">
        <v>432</v>
      </c>
      <c r="D305" t="s">
        <v>433</v>
      </c>
      <c r="E305" t="s">
        <v>434</v>
      </c>
      <c r="F305" t="s">
        <v>435</v>
      </c>
      <c r="G305" t="s">
        <v>436</v>
      </c>
      <c r="H305" t="s">
        <v>254</v>
      </c>
      <c r="I305">
        <v>2000</v>
      </c>
      <c r="J305">
        <v>174</v>
      </c>
      <c r="K305" t="s">
        <v>437</v>
      </c>
      <c r="L305"/>
      <c r="M305" t="str">
        <f t="shared" si="245"/>
        <v>Borjesson_2000</v>
      </c>
      <c r="N305" t="s">
        <v>222</v>
      </c>
      <c r="O305" s="145" t="s">
        <v>223</v>
      </c>
      <c r="P305"/>
      <c r="Q305" t="s">
        <v>256</v>
      </c>
      <c r="R305" s="255" t="s">
        <v>225</v>
      </c>
      <c r="S305" s="1" t="s">
        <v>475</v>
      </c>
      <c r="T305" t="s">
        <v>476</v>
      </c>
      <c r="U305" t="s">
        <v>482</v>
      </c>
      <c r="V305">
        <v>0</v>
      </c>
      <c r="W305">
        <v>0</v>
      </c>
      <c r="X305">
        <v>0</v>
      </c>
      <c r="Y305">
        <v>0</v>
      </c>
      <c r="Z305">
        <v>0</v>
      </c>
      <c r="AA305">
        <v>0</v>
      </c>
      <c r="AB305">
        <v>0</v>
      </c>
      <c r="AC305">
        <v>0</v>
      </c>
      <c r="AD305">
        <v>0</v>
      </c>
      <c r="AE305">
        <v>0</v>
      </c>
      <c r="AF305">
        <v>0</v>
      </c>
      <c r="AG305">
        <v>0</v>
      </c>
      <c r="AH305">
        <v>0</v>
      </c>
      <c r="AI305">
        <v>0</v>
      </c>
      <c r="AJ305">
        <v>0</v>
      </c>
      <c r="AK305">
        <v>1</v>
      </c>
      <c r="AL305">
        <v>0</v>
      </c>
      <c r="AM305">
        <v>0</v>
      </c>
      <c r="AN305">
        <v>0</v>
      </c>
      <c r="AO305">
        <v>0</v>
      </c>
      <c r="AP305">
        <v>0</v>
      </c>
      <c r="AQ305">
        <v>0</v>
      </c>
      <c r="AR305">
        <v>0</v>
      </c>
      <c r="AS305">
        <v>0</v>
      </c>
      <c r="AT305">
        <v>0</v>
      </c>
      <c r="AU305">
        <v>0</v>
      </c>
      <c r="AV305">
        <v>0</v>
      </c>
      <c r="AW305">
        <v>0</v>
      </c>
      <c r="AX305" s="141">
        <f t="shared" si="305"/>
        <v>1</v>
      </c>
      <c r="AY305" s="141">
        <f t="shared" si="306"/>
        <v>1</v>
      </c>
      <c r="AZ305">
        <f t="shared" si="307"/>
        <v>0</v>
      </c>
      <c r="BA305">
        <f t="shared" si="308"/>
        <v>0</v>
      </c>
      <c r="BB305">
        <f t="shared" si="309"/>
        <v>1</v>
      </c>
      <c r="BC305">
        <f t="shared" si="310"/>
        <v>0</v>
      </c>
      <c r="BD305">
        <f t="shared" si="311"/>
        <v>0</v>
      </c>
      <c r="BE305" t="str">
        <f t="array" ref="BE305">IF(AY305=1,INDEX($V$7:$AL$7,MATCH(TRUE,INDEX($V305:$AW305&lt;&gt;0,),0)),IF(AY305=0,INDEX($AM$7:$AW$7,MATCH(1,$AM305:$AW305,0)),IF(BF305="Multiple strategies","mixed drivers",IF(BF305="Supply chain","multiple supply","multiple silviculture"))))</f>
        <v>technologies/design switch</v>
      </c>
      <c r="BF305" s="2" t="str" cm="1">
        <f t="array" ref="BF305">IF(COUNTIF(AZ305:BB305,"&lt;&gt;0")=1,INDEX($V$4:$AW$4,MATCH(TRUE,INDEX($V305:$AW305&lt;&gt;0,),0)),IF(COUNTIF(AZ305:BB305,"&lt;&gt;0")=0,INDEX($AM$4:$AW$4,MATCH(1,$AM305:$AW305,0)),"Multiple strategies"))</f>
        <v>Technology</v>
      </c>
      <c r="BG305" s="142" t="s">
        <v>321</v>
      </c>
      <c r="BH305" t="s">
        <v>478</v>
      </c>
      <c r="BI305" s="264" t="s">
        <v>3274</v>
      </c>
      <c r="BJ305" t="s">
        <v>442</v>
      </c>
      <c r="BK305">
        <v>0</v>
      </c>
      <c r="BL305">
        <v>54</v>
      </c>
      <c r="BM305" s="143"/>
      <c r="BN305">
        <f t="shared" si="312"/>
        <v>54</v>
      </c>
      <c r="BO305">
        <f t="shared" si="313"/>
        <v>234.47676943117673</v>
      </c>
      <c r="BP305" t="s">
        <v>232</v>
      </c>
      <c r="BQ305" s="260" t="s">
        <v>813</v>
      </c>
      <c r="BR305" t="s">
        <v>443</v>
      </c>
      <c r="BS305" s="141">
        <v>6</v>
      </c>
      <c r="BT305" s="141">
        <v>25</v>
      </c>
      <c r="BU305" s="144">
        <f t="shared" si="314"/>
        <v>4.166666666666667</v>
      </c>
      <c r="BV305">
        <f t="shared" si="315"/>
        <v>19</v>
      </c>
      <c r="BW305"/>
      <c r="BX305">
        <f t="shared" si="316"/>
        <v>69.73</v>
      </c>
      <c r="BY305">
        <f t="shared" si="338"/>
        <v>0.29738553703703702</v>
      </c>
      <c r="BZ305" s="143">
        <v>0</v>
      </c>
      <c r="CA305" s="143">
        <v>0</v>
      </c>
      <c r="CB305" s="143">
        <v>0</v>
      </c>
      <c r="CC305" s="143">
        <v>0</v>
      </c>
      <c r="CD305" s="143">
        <v>0</v>
      </c>
      <c r="CE305" s="143">
        <v>0</v>
      </c>
      <c r="CF305" s="143">
        <v>0</v>
      </c>
      <c r="CG305" s="143">
        <v>0</v>
      </c>
      <c r="CH305" s="143">
        <v>0</v>
      </c>
      <c r="CI305" s="143">
        <v>0</v>
      </c>
      <c r="CJ305" s="143">
        <v>0</v>
      </c>
      <c r="CK305" s="143">
        <v>0</v>
      </c>
      <c r="CL305" s="143">
        <v>0</v>
      </c>
      <c r="CM305">
        <v>0</v>
      </c>
      <c r="CN305" t="str">
        <f t="shared" si="317"/>
        <v>refOK</v>
      </c>
      <c r="CO305">
        <f t="shared" si="318"/>
        <v>0</v>
      </c>
      <c r="CP305">
        <f t="shared" si="319"/>
        <v>54</v>
      </c>
      <c r="CQ305">
        <f t="shared" si="320"/>
        <v>234.47676943117673</v>
      </c>
      <c r="CR305">
        <f t="shared" si="321"/>
        <v>6</v>
      </c>
      <c r="CS305">
        <f t="shared" si="322"/>
        <v>25</v>
      </c>
      <c r="CT305">
        <f t="shared" si="323"/>
        <v>69.73</v>
      </c>
      <c r="CU305">
        <f t="shared" si="324"/>
        <v>0.29738553703703702</v>
      </c>
      <c r="CV305" s="2">
        <f t="shared" si="325"/>
        <v>3.1666666666666665</v>
      </c>
      <c r="CW305" s="1" t="s">
        <v>263</v>
      </c>
      <c r="CX305" t="str">
        <f t="shared" si="326"/>
        <v>loc</v>
      </c>
      <c r="CY305" t="s">
        <v>444</v>
      </c>
      <c r="CZ305"/>
      <c r="DA305"/>
      <c r="DB305">
        <v>300</v>
      </c>
      <c r="DC305" t="str">
        <f t="shared" si="327"/>
        <v>+100</v>
      </c>
      <c r="DD305">
        <v>0</v>
      </c>
      <c r="DE305">
        <v>1</v>
      </c>
      <c r="DF305">
        <v>0</v>
      </c>
      <c r="DG305">
        <v>0</v>
      </c>
      <c r="DH305"/>
      <c r="DI305">
        <f t="shared" si="328"/>
        <v>1</v>
      </c>
      <c r="DJ305" t="str">
        <f t="shared" si="329"/>
        <v>EnergyInput</v>
      </c>
      <c r="DK305">
        <f t="shared" si="330"/>
        <v>0</v>
      </c>
      <c r="DL305" t="str">
        <f t="shared" si="331"/>
        <v>Energy</v>
      </c>
      <c r="DM305">
        <f t="shared" si="332"/>
        <v>0</v>
      </c>
      <c r="DN305">
        <f t="shared" si="333"/>
        <v>0</v>
      </c>
      <c r="DO305">
        <v>1</v>
      </c>
      <c r="DP305" s="143">
        <v>0</v>
      </c>
      <c r="DQ305" s="143">
        <v>0</v>
      </c>
      <c r="DR305" s="143">
        <v>0</v>
      </c>
      <c r="DS305">
        <v>0</v>
      </c>
      <c r="DT305">
        <f t="shared" si="334"/>
        <v>1</v>
      </c>
      <c r="DU305" s="143" t="str">
        <f t="shared" si="335"/>
        <v>self-calculated DF</v>
      </c>
      <c r="DV305">
        <v>0</v>
      </c>
      <c r="DW305" s="143">
        <v>0</v>
      </c>
      <c r="DX305" s="143">
        <v>1</v>
      </c>
      <c r="DY305" s="143">
        <v>1</v>
      </c>
      <c r="DZ305">
        <v>1</v>
      </c>
      <c r="EA305" s="143">
        <v>1</v>
      </c>
      <c r="EB305">
        <v>0</v>
      </c>
      <c r="EC305" s="143">
        <v>1</v>
      </c>
      <c r="ED305" s="143">
        <v>0</v>
      </c>
      <c r="EE305">
        <v>0</v>
      </c>
      <c r="EF305">
        <v>0</v>
      </c>
      <c r="EG305" s="143">
        <v>0</v>
      </c>
      <c r="EH305" s="143">
        <v>0</v>
      </c>
      <c r="EI305" s="2">
        <v>0</v>
      </c>
      <c r="EJ305" s="1"/>
      <c r="EK305" t="str">
        <f t="shared" si="336"/>
        <v/>
      </c>
      <c r="EL305" t="str">
        <f t="shared" si="337"/>
        <v/>
      </c>
      <c r="EM305" s="2" t="str">
        <f t="shared" si="339"/>
        <v/>
      </c>
      <c r="EN305"/>
      <c r="EO305"/>
      <c r="EP305" t="str">
        <f>IF(ISNUMBER(BU305),IF(ABS(BU305-[5]QC_indicators!$B$2)&gt;3*[5]QC_indicators!$C$2,"C ratio",IF(ISNUMBER(BY305),IF(ABS(BY305-[5]QC_indicators!$B$1)&gt;3*[5]QC_indicators!$C$1,"DF","no"))),IF(ISNUMBER(BY305),IF(ABS(BY305-[5]QC_indicators!$B$1)&gt;3*[5]QC_indicators!$C$1,"DF","no")))</f>
        <v>no</v>
      </c>
      <c r="EQ305"/>
      <c r="ER305" t="s">
        <v>479</v>
      </c>
      <c r="ES305"/>
      <c r="ET305" s="264" t="s">
        <v>3272</v>
      </c>
      <c r="EU305"/>
    </row>
    <row r="306" spans="1:151" s="139" customFormat="1" ht="15" hidden="1" customHeight="1">
      <c r="A306" s="1" t="s">
        <v>430</v>
      </c>
      <c r="B306" t="s">
        <v>431</v>
      </c>
      <c r="C306" t="s">
        <v>432</v>
      </c>
      <c r="D306" t="s">
        <v>433</v>
      </c>
      <c r="E306" t="s">
        <v>434</v>
      </c>
      <c r="F306" t="s">
        <v>435</v>
      </c>
      <c r="G306" t="s">
        <v>436</v>
      </c>
      <c r="H306" t="s">
        <v>254</v>
      </c>
      <c r="I306">
        <v>2000</v>
      </c>
      <c r="J306">
        <v>174</v>
      </c>
      <c r="K306" t="s">
        <v>437</v>
      </c>
      <c r="L306"/>
      <c r="M306" t="str">
        <f t="shared" si="245"/>
        <v>Borjesson_2000</v>
      </c>
      <c r="N306" t="s">
        <v>222</v>
      </c>
      <c r="O306" s="145" t="s">
        <v>223</v>
      </c>
      <c r="P306"/>
      <c r="Q306" t="s">
        <v>256</v>
      </c>
      <c r="R306" s="255" t="s">
        <v>225</v>
      </c>
      <c r="S306" s="1" t="s">
        <v>438</v>
      </c>
      <c r="T306" t="s">
        <v>447</v>
      </c>
      <c r="U306" t="s">
        <v>448</v>
      </c>
      <c r="V306">
        <v>0</v>
      </c>
      <c r="W306">
        <v>0</v>
      </c>
      <c r="X306">
        <v>0</v>
      </c>
      <c r="Y306">
        <v>0</v>
      </c>
      <c r="Z306">
        <v>0</v>
      </c>
      <c r="AA306">
        <v>0</v>
      </c>
      <c r="AB306">
        <v>0</v>
      </c>
      <c r="AC306">
        <v>0</v>
      </c>
      <c r="AD306">
        <v>0</v>
      </c>
      <c r="AE306">
        <v>0</v>
      </c>
      <c r="AF306">
        <v>0</v>
      </c>
      <c r="AG306">
        <v>0</v>
      </c>
      <c r="AH306">
        <v>0</v>
      </c>
      <c r="AI306">
        <v>0</v>
      </c>
      <c r="AJ306">
        <v>0</v>
      </c>
      <c r="AK306">
        <v>1</v>
      </c>
      <c r="AL306">
        <v>0</v>
      </c>
      <c r="AM306">
        <v>0</v>
      </c>
      <c r="AN306">
        <v>0</v>
      </c>
      <c r="AO306">
        <v>0</v>
      </c>
      <c r="AP306">
        <v>0</v>
      </c>
      <c r="AQ306">
        <v>0</v>
      </c>
      <c r="AR306">
        <v>0</v>
      </c>
      <c r="AS306">
        <v>0</v>
      </c>
      <c r="AT306">
        <v>0</v>
      </c>
      <c r="AU306">
        <v>0</v>
      </c>
      <c r="AV306">
        <v>0</v>
      </c>
      <c r="AW306">
        <v>0</v>
      </c>
      <c r="AX306" s="141">
        <f t="shared" si="305"/>
        <v>1</v>
      </c>
      <c r="AY306" s="141">
        <f t="shared" si="306"/>
        <v>1</v>
      </c>
      <c r="AZ306">
        <f t="shared" si="307"/>
        <v>0</v>
      </c>
      <c r="BA306">
        <f t="shared" si="308"/>
        <v>0</v>
      </c>
      <c r="BB306">
        <f t="shared" si="309"/>
        <v>1</v>
      </c>
      <c r="BC306">
        <f t="shared" si="310"/>
        <v>0</v>
      </c>
      <c r="BD306">
        <f t="shared" si="311"/>
        <v>0</v>
      </c>
      <c r="BE306" t="str">
        <f t="array" ref="BE306">IF(AY306=1,INDEX($V$7:$AL$7,MATCH(TRUE,INDEX($V306:$AW306&lt;&gt;0,),0)),IF(AY306=0,INDEX($AM$7:$AW$7,MATCH(1,$AM306:$AW306,0)),IF(BF306="Multiple strategies","mixed drivers",IF(BF306="Supply chain","multiple supply","multiple silviculture"))))</f>
        <v>technologies/design switch</v>
      </c>
      <c r="BF306" s="2" t="str" cm="1">
        <f t="array" ref="BF306">IF(COUNTIF(AZ306:BB306,"&lt;&gt;0")=1,INDEX($V$4:$AW$4,MATCH(TRUE,INDEX($V306:$AW306&lt;&gt;0,),0)),IF(COUNTIF(AZ306:BB306,"&lt;&gt;0")=0,INDEX($AM$4:$AW$4,MATCH(1,$AM306:$AW306,0)),"Multiple strategies"))</f>
        <v>Technology</v>
      </c>
      <c r="BG306" s="142" t="s">
        <v>229</v>
      </c>
      <c r="BH306" t="s">
        <v>441</v>
      </c>
      <c r="BI306" s="264" t="s">
        <v>3273</v>
      </c>
      <c r="BJ306" s="143" t="s">
        <v>442</v>
      </c>
      <c r="BK306">
        <v>0</v>
      </c>
      <c r="BL306">
        <f>3*44</f>
        <v>132</v>
      </c>
      <c r="BM306" s="143" t="e">
        <f>BL306/BK306</f>
        <v>#DIV/0!</v>
      </c>
      <c r="BN306">
        <f t="shared" si="312"/>
        <v>132</v>
      </c>
      <c r="BO306">
        <f t="shared" si="313"/>
        <v>573.16543638732094</v>
      </c>
      <c r="BP306" t="s">
        <v>232</v>
      </c>
      <c r="BQ306" s="260" t="s">
        <v>813</v>
      </c>
      <c r="BR306" t="s">
        <v>443</v>
      </c>
      <c r="BS306" s="141">
        <v>6</v>
      </c>
      <c r="BT306" s="141">
        <v>53</v>
      </c>
      <c r="BU306" s="144">
        <f t="shared" si="314"/>
        <v>8.8333333333333339</v>
      </c>
      <c r="BV306">
        <f t="shared" si="315"/>
        <v>47</v>
      </c>
      <c r="BW306"/>
      <c r="BX306">
        <f t="shared" si="316"/>
        <v>172.49</v>
      </c>
      <c r="BY306">
        <f t="shared" si="338"/>
        <v>0.30094278030303029</v>
      </c>
      <c r="BZ306" s="143">
        <v>0</v>
      </c>
      <c r="CA306" s="143">
        <v>0</v>
      </c>
      <c r="CB306" s="143">
        <v>0</v>
      </c>
      <c r="CC306" s="143">
        <v>0</v>
      </c>
      <c r="CD306" s="143">
        <v>0</v>
      </c>
      <c r="CE306" s="143">
        <v>0</v>
      </c>
      <c r="CF306" s="143">
        <v>0</v>
      </c>
      <c r="CG306" s="143">
        <v>0</v>
      </c>
      <c r="CH306" s="143">
        <v>0</v>
      </c>
      <c r="CI306" s="143">
        <v>0</v>
      </c>
      <c r="CJ306" s="143">
        <v>0</v>
      </c>
      <c r="CK306" s="143">
        <v>0</v>
      </c>
      <c r="CL306" s="143">
        <v>0</v>
      </c>
      <c r="CM306">
        <v>0</v>
      </c>
      <c r="CN306" t="str">
        <f t="shared" si="317"/>
        <v>refOK</v>
      </c>
      <c r="CO306">
        <f t="shared" si="318"/>
        <v>0</v>
      </c>
      <c r="CP306">
        <f t="shared" si="319"/>
        <v>132</v>
      </c>
      <c r="CQ306">
        <f t="shared" si="320"/>
        <v>573.16543638732094</v>
      </c>
      <c r="CR306">
        <f t="shared" si="321"/>
        <v>6</v>
      </c>
      <c r="CS306">
        <f t="shared" si="322"/>
        <v>53</v>
      </c>
      <c r="CT306">
        <f t="shared" si="323"/>
        <v>172.49</v>
      </c>
      <c r="CU306">
        <f t="shared" si="324"/>
        <v>0.30094278030303029</v>
      </c>
      <c r="CV306" s="2">
        <f t="shared" si="325"/>
        <v>7.833333333333333</v>
      </c>
      <c r="CW306" s="1" t="s">
        <v>263</v>
      </c>
      <c r="CX306" t="str">
        <f t="shared" si="326"/>
        <v>loc</v>
      </c>
      <c r="CY306" t="s">
        <v>444</v>
      </c>
      <c r="CZ306"/>
      <c r="DA306"/>
      <c r="DB306">
        <v>300</v>
      </c>
      <c r="DC306" t="str">
        <f t="shared" si="327"/>
        <v>+100</v>
      </c>
      <c r="DD306">
        <v>0</v>
      </c>
      <c r="DE306">
        <v>0</v>
      </c>
      <c r="DF306">
        <v>0</v>
      </c>
      <c r="DG306">
        <v>1</v>
      </c>
      <c r="DH306"/>
      <c r="DI306">
        <f t="shared" si="328"/>
        <v>1</v>
      </c>
      <c r="DJ306" t="str">
        <f t="shared" si="329"/>
        <v>TimberInput</v>
      </c>
      <c r="DK306">
        <f t="shared" si="330"/>
        <v>0</v>
      </c>
      <c r="DL306">
        <f t="shared" si="331"/>
        <v>0</v>
      </c>
      <c r="DM306">
        <f t="shared" si="332"/>
        <v>0</v>
      </c>
      <c r="DN306" t="str">
        <f t="shared" si="333"/>
        <v>Timber</v>
      </c>
      <c r="DO306">
        <v>1</v>
      </c>
      <c r="DP306" s="143">
        <v>0</v>
      </c>
      <c r="DQ306" s="143">
        <v>0</v>
      </c>
      <c r="DR306" s="143">
        <v>0</v>
      </c>
      <c r="DS306">
        <v>0</v>
      </c>
      <c r="DT306">
        <f t="shared" si="334"/>
        <v>1</v>
      </c>
      <c r="DU306" s="143" t="str">
        <f t="shared" si="335"/>
        <v>self-calculated DF</v>
      </c>
      <c r="DV306">
        <v>0</v>
      </c>
      <c r="DW306" s="143">
        <v>0</v>
      </c>
      <c r="DX306" s="143">
        <v>1</v>
      </c>
      <c r="DY306" s="143">
        <v>1</v>
      </c>
      <c r="DZ306">
        <v>1</v>
      </c>
      <c r="EA306" s="143">
        <v>1</v>
      </c>
      <c r="EB306">
        <v>0</v>
      </c>
      <c r="EC306" s="143">
        <v>1</v>
      </c>
      <c r="ED306" s="143">
        <v>0</v>
      </c>
      <c r="EE306">
        <v>0</v>
      </c>
      <c r="EF306">
        <v>0</v>
      </c>
      <c r="EG306" s="143">
        <v>0</v>
      </c>
      <c r="EH306" s="143">
        <v>0</v>
      </c>
      <c r="EI306" s="2">
        <v>0</v>
      </c>
      <c r="EJ306" s="1"/>
      <c r="EK306" t="str">
        <f t="shared" si="336"/>
        <v/>
      </c>
      <c r="EL306" t="str">
        <f t="shared" si="337"/>
        <v/>
      </c>
      <c r="EM306" s="2" t="str">
        <f t="shared" si="339"/>
        <v/>
      </c>
      <c r="EN306" t="s">
        <v>445</v>
      </c>
      <c r="EO306"/>
      <c r="EP306" t="str">
        <f>IF(ISNUMBER(BU306),IF(ABS(BU306-[5]QC_indicators!$B$2)&gt;3*[5]QC_indicators!$C$2,"C ratio",IF(ISNUMBER(BY306),IF(ABS(BY306-[5]QC_indicators!$B$1)&gt;3*[5]QC_indicators!$C$1,"DF","no"))),IF(ISNUMBER(BY306),IF(ABS(BY306-[5]QC_indicators!$B$1)&gt;3*[5]QC_indicators!$C$1,"DF","no")))</f>
        <v>no</v>
      </c>
      <c r="EQ306"/>
      <c r="ER306"/>
      <c r="ES306"/>
      <c r="ET306" s="264" t="s">
        <v>3272</v>
      </c>
      <c r="EU306"/>
    </row>
    <row r="307" spans="1:151" s="139" customFormat="1" ht="15" hidden="1" customHeight="1">
      <c r="A307" s="1" t="s">
        <v>430</v>
      </c>
      <c r="B307" t="s">
        <v>431</v>
      </c>
      <c r="C307" t="s">
        <v>432</v>
      </c>
      <c r="D307" t="s">
        <v>433</v>
      </c>
      <c r="E307" t="s">
        <v>434</v>
      </c>
      <c r="F307" t="s">
        <v>435</v>
      </c>
      <c r="G307" t="s">
        <v>436</v>
      </c>
      <c r="H307" t="s">
        <v>254</v>
      </c>
      <c r="I307">
        <v>2000</v>
      </c>
      <c r="J307">
        <v>174</v>
      </c>
      <c r="K307" t="s">
        <v>437</v>
      </c>
      <c r="L307"/>
      <c r="M307" t="str">
        <f t="shared" si="245"/>
        <v>Borjesson_2000</v>
      </c>
      <c r="N307" t="s">
        <v>222</v>
      </c>
      <c r="O307" s="145" t="s">
        <v>223</v>
      </c>
      <c r="P307"/>
      <c r="Q307" t="s">
        <v>256</v>
      </c>
      <c r="R307" s="255" t="s">
        <v>225</v>
      </c>
      <c r="S307" s="1" t="s">
        <v>438</v>
      </c>
      <c r="T307" t="s">
        <v>449</v>
      </c>
      <c r="U307" t="s">
        <v>448</v>
      </c>
      <c r="V307">
        <v>0</v>
      </c>
      <c r="W307">
        <v>0</v>
      </c>
      <c r="X307">
        <v>0</v>
      </c>
      <c r="Y307">
        <v>0</v>
      </c>
      <c r="Z307">
        <v>0</v>
      </c>
      <c r="AA307">
        <v>0</v>
      </c>
      <c r="AB307">
        <v>0</v>
      </c>
      <c r="AC307">
        <v>0</v>
      </c>
      <c r="AD307">
        <v>0</v>
      </c>
      <c r="AE307">
        <v>0</v>
      </c>
      <c r="AF307">
        <v>0</v>
      </c>
      <c r="AG307">
        <v>0</v>
      </c>
      <c r="AH307">
        <v>0</v>
      </c>
      <c r="AI307">
        <v>0</v>
      </c>
      <c r="AJ307">
        <v>0</v>
      </c>
      <c r="AK307">
        <v>1</v>
      </c>
      <c r="AL307">
        <v>0</v>
      </c>
      <c r="AM307">
        <v>0</v>
      </c>
      <c r="AN307">
        <v>0</v>
      </c>
      <c r="AO307">
        <v>0</v>
      </c>
      <c r="AP307">
        <v>0</v>
      </c>
      <c r="AQ307">
        <v>0</v>
      </c>
      <c r="AR307">
        <v>0</v>
      </c>
      <c r="AS307">
        <v>0</v>
      </c>
      <c r="AT307">
        <v>0</v>
      </c>
      <c r="AU307">
        <v>0</v>
      </c>
      <c r="AV307">
        <v>0</v>
      </c>
      <c r="AW307">
        <v>0</v>
      </c>
      <c r="AX307" s="141">
        <f t="shared" si="305"/>
        <v>1</v>
      </c>
      <c r="AY307" s="141">
        <f t="shared" si="306"/>
        <v>1</v>
      </c>
      <c r="AZ307">
        <f t="shared" si="307"/>
        <v>0</v>
      </c>
      <c r="BA307">
        <f t="shared" si="308"/>
        <v>0</v>
      </c>
      <c r="BB307">
        <f t="shared" si="309"/>
        <v>1</v>
      </c>
      <c r="BC307">
        <f t="shared" si="310"/>
        <v>0</v>
      </c>
      <c r="BD307">
        <f t="shared" si="311"/>
        <v>0</v>
      </c>
      <c r="BE307" t="str">
        <f t="array" ref="BE307">IF(AY307=1,INDEX($V$7:$AL$7,MATCH(TRUE,INDEX($V307:$AW307&lt;&gt;0,),0)),IF(AY307=0,INDEX($AM$7:$AW$7,MATCH(1,$AM307:$AW307,0)),IF(BF307="Multiple strategies","mixed drivers",IF(BF307="Supply chain","multiple supply","multiple silviculture"))))</f>
        <v>technologies/design switch</v>
      </c>
      <c r="BF307" s="2" t="str" cm="1">
        <f t="array" ref="BF307">IF(COUNTIF(AZ307:BB307,"&lt;&gt;0")=1,INDEX($V$4:$AW$4,MATCH(TRUE,INDEX($V307:$AW307&lt;&gt;0,),0)),IF(COUNTIF(AZ307:BB307,"&lt;&gt;0")=0,INDEX($AM$4:$AW$4,MATCH(1,$AM307:$AW307,0)),"Multiple strategies"))</f>
        <v>Technology</v>
      </c>
      <c r="BG307" s="142" t="s">
        <v>229</v>
      </c>
      <c r="BH307" t="s">
        <v>441</v>
      </c>
      <c r="BI307" s="264" t="s">
        <v>3273</v>
      </c>
      <c r="BJ307" s="143" t="s">
        <v>442</v>
      </c>
      <c r="BK307">
        <v>0</v>
      </c>
      <c r="BL307">
        <f>3*44</f>
        <v>132</v>
      </c>
      <c r="BM307" s="143" t="e">
        <f>BL307/BK307</f>
        <v>#DIV/0!</v>
      </c>
      <c r="BN307">
        <f t="shared" si="312"/>
        <v>132</v>
      </c>
      <c r="BO307">
        <f t="shared" si="313"/>
        <v>573.16543638732094</v>
      </c>
      <c r="BP307" t="s">
        <v>232</v>
      </c>
      <c r="BQ307" s="260" t="s">
        <v>813</v>
      </c>
      <c r="BR307" t="s">
        <v>443</v>
      </c>
      <c r="BS307" s="141">
        <v>3</v>
      </c>
      <c r="BT307" s="141">
        <v>53</v>
      </c>
      <c r="BU307" s="144">
        <f t="shared" si="314"/>
        <v>17.666666666666668</v>
      </c>
      <c r="BV307">
        <f t="shared" si="315"/>
        <v>50</v>
      </c>
      <c r="BW307"/>
      <c r="BX307">
        <f t="shared" si="316"/>
        <v>183.5</v>
      </c>
      <c r="BY307">
        <f t="shared" si="338"/>
        <v>0.32015189393939392</v>
      </c>
      <c r="BZ307" s="143">
        <v>0</v>
      </c>
      <c r="CA307" s="143">
        <v>0</v>
      </c>
      <c r="CB307" s="143">
        <v>0</v>
      </c>
      <c r="CC307" s="143">
        <v>0</v>
      </c>
      <c r="CD307" s="143">
        <v>0</v>
      </c>
      <c r="CE307" s="143">
        <v>0</v>
      </c>
      <c r="CF307" s="143">
        <v>0</v>
      </c>
      <c r="CG307" s="143">
        <v>0</v>
      </c>
      <c r="CH307" s="143">
        <v>0</v>
      </c>
      <c r="CI307" s="143">
        <v>0</v>
      </c>
      <c r="CJ307" s="143">
        <v>0</v>
      </c>
      <c r="CK307" s="143">
        <v>0</v>
      </c>
      <c r="CL307" s="143">
        <v>0</v>
      </c>
      <c r="CM307">
        <v>0</v>
      </c>
      <c r="CN307" t="str">
        <f t="shared" si="317"/>
        <v>refOK</v>
      </c>
      <c r="CO307">
        <f t="shared" si="318"/>
        <v>0</v>
      </c>
      <c r="CP307">
        <f t="shared" si="319"/>
        <v>132</v>
      </c>
      <c r="CQ307">
        <f t="shared" si="320"/>
        <v>573.16543638732094</v>
      </c>
      <c r="CR307">
        <f t="shared" si="321"/>
        <v>3</v>
      </c>
      <c r="CS307">
        <f t="shared" si="322"/>
        <v>53</v>
      </c>
      <c r="CT307">
        <f t="shared" si="323"/>
        <v>183.5</v>
      </c>
      <c r="CU307">
        <f t="shared" si="324"/>
        <v>0.32015189393939392</v>
      </c>
      <c r="CV307" s="2">
        <f t="shared" si="325"/>
        <v>16.666666666666668</v>
      </c>
      <c r="CW307" s="1" t="s">
        <v>263</v>
      </c>
      <c r="CX307" t="str">
        <f t="shared" si="326"/>
        <v>loc</v>
      </c>
      <c r="CY307" t="s">
        <v>444</v>
      </c>
      <c r="CZ307"/>
      <c r="DA307"/>
      <c r="DB307">
        <v>300</v>
      </c>
      <c r="DC307" t="str">
        <f t="shared" si="327"/>
        <v>+100</v>
      </c>
      <c r="DD307">
        <v>0</v>
      </c>
      <c r="DE307">
        <v>0</v>
      </c>
      <c r="DF307">
        <v>0</v>
      </c>
      <c r="DG307">
        <v>1</v>
      </c>
      <c r="DH307"/>
      <c r="DI307">
        <f t="shared" si="328"/>
        <v>1</v>
      </c>
      <c r="DJ307" t="str">
        <f t="shared" si="329"/>
        <v>TimberInput</v>
      </c>
      <c r="DK307">
        <f t="shared" si="330"/>
        <v>0</v>
      </c>
      <c r="DL307">
        <f t="shared" si="331"/>
        <v>0</v>
      </c>
      <c r="DM307">
        <f t="shared" si="332"/>
        <v>0</v>
      </c>
      <c r="DN307" t="str">
        <f t="shared" si="333"/>
        <v>Timber</v>
      </c>
      <c r="DO307">
        <v>1</v>
      </c>
      <c r="DP307" s="143">
        <v>0</v>
      </c>
      <c r="DQ307" s="143">
        <v>0</v>
      </c>
      <c r="DR307" s="143">
        <v>0</v>
      </c>
      <c r="DS307">
        <v>0</v>
      </c>
      <c r="DT307">
        <f t="shared" si="334"/>
        <v>1</v>
      </c>
      <c r="DU307" s="143" t="str">
        <f t="shared" si="335"/>
        <v>self-calculated DF</v>
      </c>
      <c r="DV307">
        <v>0</v>
      </c>
      <c r="DW307" s="143">
        <v>0</v>
      </c>
      <c r="DX307" s="143">
        <v>1</v>
      </c>
      <c r="DY307" s="143">
        <v>1</v>
      </c>
      <c r="DZ307">
        <v>1</v>
      </c>
      <c r="EA307" s="143">
        <v>1</v>
      </c>
      <c r="EB307">
        <v>0</v>
      </c>
      <c r="EC307" s="143">
        <v>1</v>
      </c>
      <c r="ED307" s="143">
        <v>0</v>
      </c>
      <c r="EE307">
        <v>0</v>
      </c>
      <c r="EF307">
        <v>0</v>
      </c>
      <c r="EG307" s="143">
        <v>0</v>
      </c>
      <c r="EH307" s="143">
        <v>0</v>
      </c>
      <c r="EI307" s="2">
        <v>0</v>
      </c>
      <c r="EJ307" s="1"/>
      <c r="EK307" t="str">
        <f t="shared" si="336"/>
        <v/>
      </c>
      <c r="EL307" t="str">
        <f t="shared" si="337"/>
        <v/>
      </c>
      <c r="EM307" s="2" t="str">
        <f t="shared" si="339"/>
        <v/>
      </c>
      <c r="EN307" t="s">
        <v>445</v>
      </c>
      <c r="EO307"/>
      <c r="EP307" t="str">
        <f>IF(ISNUMBER(BU307),IF(ABS(BU307-[5]QC_indicators!$B$2)&gt;3*[5]QC_indicators!$C$2,"C ratio",IF(ISNUMBER(BY307),IF(ABS(BY307-[5]QC_indicators!$B$1)&gt;3*[5]QC_indicators!$C$1,"DF","no"))),IF(ISNUMBER(BY307),IF(ABS(BY307-[5]QC_indicators!$B$1)&gt;3*[5]QC_indicators!$C$1,"DF","no")))</f>
        <v>no</v>
      </c>
      <c r="EQ307" t="s">
        <v>450</v>
      </c>
      <c r="ER307"/>
      <c r="ES307"/>
      <c r="ET307" s="264" t="s">
        <v>3272</v>
      </c>
      <c r="EU307"/>
    </row>
    <row r="308" spans="1:151" s="139" customFormat="1" ht="15" hidden="1" customHeight="1">
      <c r="A308" s="1" t="s">
        <v>430</v>
      </c>
      <c r="B308" t="s">
        <v>431</v>
      </c>
      <c r="C308" t="s">
        <v>432</v>
      </c>
      <c r="D308" t="s">
        <v>433</v>
      </c>
      <c r="E308" t="s">
        <v>434</v>
      </c>
      <c r="F308" t="s">
        <v>435</v>
      </c>
      <c r="G308" t="s">
        <v>436</v>
      </c>
      <c r="H308" t="s">
        <v>254</v>
      </c>
      <c r="I308">
        <v>2000</v>
      </c>
      <c r="J308">
        <v>174</v>
      </c>
      <c r="K308" t="s">
        <v>437</v>
      </c>
      <c r="L308"/>
      <c r="M308" t="str">
        <f t="shared" si="245"/>
        <v>Borjesson_2000</v>
      </c>
      <c r="N308" t="s">
        <v>222</v>
      </c>
      <c r="O308" s="145" t="s">
        <v>223</v>
      </c>
      <c r="P308"/>
      <c r="Q308" t="s">
        <v>256</v>
      </c>
      <c r="R308" s="255" t="s">
        <v>225</v>
      </c>
      <c r="S308" s="1" t="s">
        <v>438</v>
      </c>
      <c r="T308" t="s">
        <v>451</v>
      </c>
      <c r="U308" t="s">
        <v>452</v>
      </c>
      <c r="V308">
        <v>0</v>
      </c>
      <c r="W308">
        <v>0</v>
      </c>
      <c r="X308">
        <v>0</v>
      </c>
      <c r="Y308">
        <v>0</v>
      </c>
      <c r="Z308">
        <v>0</v>
      </c>
      <c r="AA308">
        <v>0</v>
      </c>
      <c r="AB308">
        <v>0</v>
      </c>
      <c r="AC308">
        <v>0</v>
      </c>
      <c r="AD308">
        <v>0</v>
      </c>
      <c r="AE308">
        <v>0</v>
      </c>
      <c r="AF308">
        <v>0</v>
      </c>
      <c r="AG308">
        <v>0</v>
      </c>
      <c r="AH308">
        <v>0</v>
      </c>
      <c r="AI308">
        <v>0</v>
      </c>
      <c r="AJ308">
        <v>0</v>
      </c>
      <c r="AK308">
        <v>1</v>
      </c>
      <c r="AL308">
        <v>0</v>
      </c>
      <c r="AM308">
        <v>0</v>
      </c>
      <c r="AN308">
        <v>0</v>
      </c>
      <c r="AO308">
        <v>0</v>
      </c>
      <c r="AP308">
        <v>0</v>
      </c>
      <c r="AQ308">
        <v>0</v>
      </c>
      <c r="AR308">
        <v>0</v>
      </c>
      <c r="AS308">
        <v>0</v>
      </c>
      <c r="AT308">
        <v>0</v>
      </c>
      <c r="AU308">
        <v>0</v>
      </c>
      <c r="AV308">
        <v>0</v>
      </c>
      <c r="AW308">
        <v>0</v>
      </c>
      <c r="AX308" s="141">
        <f t="shared" si="305"/>
        <v>1</v>
      </c>
      <c r="AY308" s="141">
        <f t="shared" si="306"/>
        <v>1</v>
      </c>
      <c r="AZ308">
        <f t="shared" si="307"/>
        <v>0</v>
      </c>
      <c r="BA308">
        <f t="shared" si="308"/>
        <v>0</v>
      </c>
      <c r="BB308">
        <f t="shared" si="309"/>
        <v>1</v>
      </c>
      <c r="BC308">
        <f t="shared" si="310"/>
        <v>0</v>
      </c>
      <c r="BD308">
        <f t="shared" si="311"/>
        <v>0</v>
      </c>
      <c r="BE308" t="str">
        <f t="array" ref="BE308">IF(AY308=1,INDEX($V$7:$AL$7,MATCH(TRUE,INDEX($V308:$AW308&lt;&gt;0,),0)),IF(AY308=0,INDEX($AM$7:$AW$7,MATCH(1,$AM308:$AW308,0)),IF(BF308="Multiple strategies","mixed drivers",IF(BF308="Supply chain","multiple supply","multiple silviculture"))))</f>
        <v>technologies/design switch</v>
      </c>
      <c r="BF308" s="2" t="str" cm="1">
        <f t="array" ref="BF308">IF(COUNTIF(AZ308:BB308,"&lt;&gt;0")=1,INDEX($V$4:$AW$4,MATCH(TRUE,INDEX($V308:$AW308&lt;&gt;0,),0)),IF(COUNTIF(AZ308:BB308,"&lt;&gt;0")=0,INDEX($AM$4:$AW$4,MATCH(1,$AM308:$AW308,0)),"Multiple strategies"))</f>
        <v>Technology</v>
      </c>
      <c r="BG308" s="142" t="s">
        <v>229</v>
      </c>
      <c r="BH308" t="s">
        <v>441</v>
      </c>
      <c r="BI308" s="264" t="s">
        <v>3273</v>
      </c>
      <c r="BJ308" s="143" t="s">
        <v>442</v>
      </c>
      <c r="BK308">
        <v>0</v>
      </c>
      <c r="BL308">
        <f>3*44</f>
        <v>132</v>
      </c>
      <c r="BM308" s="143" t="e">
        <f>BL308/BK308</f>
        <v>#DIV/0!</v>
      </c>
      <c r="BN308">
        <f t="shared" si="312"/>
        <v>132</v>
      </c>
      <c r="BO308">
        <f t="shared" si="313"/>
        <v>573.16543638732094</v>
      </c>
      <c r="BP308" t="s">
        <v>232</v>
      </c>
      <c r="BQ308" s="260" t="s">
        <v>813</v>
      </c>
      <c r="BR308" t="s">
        <v>443</v>
      </c>
      <c r="BS308" s="141">
        <v>25</v>
      </c>
      <c r="BT308" s="141">
        <v>84</v>
      </c>
      <c r="BU308" s="144">
        <f t="shared" si="314"/>
        <v>3.36</v>
      </c>
      <c r="BV308">
        <f t="shared" si="315"/>
        <v>59</v>
      </c>
      <c r="BW308"/>
      <c r="BX308">
        <f t="shared" si="316"/>
        <v>216.53</v>
      </c>
      <c r="BY308">
        <f t="shared" si="338"/>
        <v>0.3777792348484848</v>
      </c>
      <c r="BZ308" s="143">
        <v>0</v>
      </c>
      <c r="CA308" s="143">
        <v>0</v>
      </c>
      <c r="CB308" s="143">
        <v>0</v>
      </c>
      <c r="CC308" s="143">
        <v>0</v>
      </c>
      <c r="CD308" s="143">
        <v>0</v>
      </c>
      <c r="CE308" s="143">
        <v>0</v>
      </c>
      <c r="CF308" s="143">
        <v>0</v>
      </c>
      <c r="CG308" s="143">
        <v>0</v>
      </c>
      <c r="CH308" s="143">
        <v>0</v>
      </c>
      <c r="CI308" s="143">
        <v>0</v>
      </c>
      <c r="CJ308" s="143">
        <v>0</v>
      </c>
      <c r="CK308" s="143">
        <v>0</v>
      </c>
      <c r="CL308" s="143">
        <v>0</v>
      </c>
      <c r="CM308">
        <v>0</v>
      </c>
      <c r="CN308" t="str">
        <f t="shared" si="317"/>
        <v>refOK</v>
      </c>
      <c r="CO308">
        <f t="shared" si="318"/>
        <v>0</v>
      </c>
      <c r="CP308">
        <f t="shared" si="319"/>
        <v>132</v>
      </c>
      <c r="CQ308">
        <f t="shared" si="320"/>
        <v>573.16543638732094</v>
      </c>
      <c r="CR308">
        <f t="shared" si="321"/>
        <v>25</v>
      </c>
      <c r="CS308">
        <f t="shared" si="322"/>
        <v>84</v>
      </c>
      <c r="CT308">
        <f t="shared" si="323"/>
        <v>216.53</v>
      </c>
      <c r="CU308">
        <f t="shared" si="324"/>
        <v>0.3777792348484848</v>
      </c>
      <c r="CV308" s="2">
        <f t="shared" si="325"/>
        <v>2.36</v>
      </c>
      <c r="CW308" s="1" t="s">
        <v>263</v>
      </c>
      <c r="CX308" t="str">
        <f t="shared" si="326"/>
        <v>loc</v>
      </c>
      <c r="CY308" t="s">
        <v>444</v>
      </c>
      <c r="CZ308"/>
      <c r="DA308"/>
      <c r="DB308">
        <v>300</v>
      </c>
      <c r="DC308" t="str">
        <f t="shared" si="327"/>
        <v>+100</v>
      </c>
      <c r="DD308">
        <v>0</v>
      </c>
      <c r="DE308">
        <v>0</v>
      </c>
      <c r="DF308">
        <v>0</v>
      </c>
      <c r="DG308">
        <v>1</v>
      </c>
      <c r="DH308"/>
      <c r="DI308">
        <f t="shared" si="328"/>
        <v>1</v>
      </c>
      <c r="DJ308" t="str">
        <f t="shared" si="329"/>
        <v>TimberInput</v>
      </c>
      <c r="DK308">
        <f t="shared" si="330"/>
        <v>0</v>
      </c>
      <c r="DL308">
        <f t="shared" si="331"/>
        <v>0</v>
      </c>
      <c r="DM308">
        <f t="shared" si="332"/>
        <v>0</v>
      </c>
      <c r="DN308" t="str">
        <f t="shared" si="333"/>
        <v>Timber</v>
      </c>
      <c r="DO308">
        <v>1</v>
      </c>
      <c r="DP308" s="143">
        <v>0</v>
      </c>
      <c r="DQ308" s="143">
        <v>0</v>
      </c>
      <c r="DR308" s="143">
        <v>0</v>
      </c>
      <c r="DS308">
        <v>0</v>
      </c>
      <c r="DT308">
        <f t="shared" si="334"/>
        <v>1</v>
      </c>
      <c r="DU308" s="143" t="str">
        <f t="shared" si="335"/>
        <v>self-calculated DF</v>
      </c>
      <c r="DV308">
        <v>0</v>
      </c>
      <c r="DW308" s="143">
        <v>0</v>
      </c>
      <c r="DX308" s="143">
        <v>1</v>
      </c>
      <c r="DY308" s="143">
        <v>1</v>
      </c>
      <c r="DZ308">
        <v>1</v>
      </c>
      <c r="EA308" s="143">
        <v>1</v>
      </c>
      <c r="EB308">
        <v>0</v>
      </c>
      <c r="EC308" s="143">
        <v>1</v>
      </c>
      <c r="ED308" s="143">
        <v>0</v>
      </c>
      <c r="EE308">
        <v>0</v>
      </c>
      <c r="EF308">
        <v>0</v>
      </c>
      <c r="EG308" s="143">
        <v>0</v>
      </c>
      <c r="EH308" s="143">
        <v>0</v>
      </c>
      <c r="EI308" s="2">
        <v>0</v>
      </c>
      <c r="EJ308" s="1"/>
      <c r="EK308" t="str">
        <f t="shared" si="336"/>
        <v/>
      </c>
      <c r="EL308" t="str">
        <f t="shared" si="337"/>
        <v/>
      </c>
      <c r="EM308" s="2" t="str">
        <f t="shared" si="339"/>
        <v/>
      </c>
      <c r="EN308" t="s">
        <v>445</v>
      </c>
      <c r="EO308"/>
      <c r="EP308" t="str">
        <f>IF(ISNUMBER(BU308),IF(ABS(BU308-[5]QC_indicators!$B$2)&gt;3*[5]QC_indicators!$C$2,"C ratio",IF(ISNUMBER(BY308),IF(ABS(BY308-[5]QC_indicators!$B$1)&gt;3*[5]QC_indicators!$C$1,"DF","no"))),IF(ISNUMBER(BY308),IF(ABS(BY308-[5]QC_indicators!$B$1)&gt;3*[5]QC_indicators!$C$1,"DF","no")))</f>
        <v>no</v>
      </c>
      <c r="EQ308"/>
      <c r="ER308"/>
      <c r="ES308"/>
      <c r="ET308" s="264" t="s">
        <v>3272</v>
      </c>
      <c r="EU308"/>
    </row>
    <row r="309" spans="1:151" s="139" customFormat="1" ht="15" hidden="1" customHeight="1">
      <c r="A309" s="1" t="s">
        <v>430</v>
      </c>
      <c r="B309" t="s">
        <v>431</v>
      </c>
      <c r="C309" t="s">
        <v>432</v>
      </c>
      <c r="D309" t="s">
        <v>433</v>
      </c>
      <c r="E309" t="s">
        <v>434</v>
      </c>
      <c r="F309" t="s">
        <v>435</v>
      </c>
      <c r="G309" t="s">
        <v>436</v>
      </c>
      <c r="H309" t="s">
        <v>254</v>
      </c>
      <c r="I309">
        <v>2000</v>
      </c>
      <c r="J309">
        <v>174</v>
      </c>
      <c r="K309" t="s">
        <v>437</v>
      </c>
      <c r="L309"/>
      <c r="M309" t="str">
        <f t="shared" si="245"/>
        <v>Borjesson_2000</v>
      </c>
      <c r="N309" t="s">
        <v>222</v>
      </c>
      <c r="O309" s="145" t="s">
        <v>223</v>
      </c>
      <c r="P309"/>
      <c r="Q309" t="s">
        <v>256</v>
      </c>
      <c r="R309" s="255" t="s">
        <v>225</v>
      </c>
      <c r="S309" s="1" t="s">
        <v>438</v>
      </c>
      <c r="T309" t="s">
        <v>453</v>
      </c>
      <c r="U309" t="s">
        <v>452</v>
      </c>
      <c r="V309">
        <v>0</v>
      </c>
      <c r="W309">
        <v>0</v>
      </c>
      <c r="X309">
        <v>0</v>
      </c>
      <c r="Y309">
        <v>0</v>
      </c>
      <c r="Z309">
        <v>0</v>
      </c>
      <c r="AA309">
        <v>0</v>
      </c>
      <c r="AB309">
        <v>0</v>
      </c>
      <c r="AC309">
        <v>0</v>
      </c>
      <c r="AD309">
        <v>0</v>
      </c>
      <c r="AE309">
        <v>0</v>
      </c>
      <c r="AF309">
        <v>0</v>
      </c>
      <c r="AG309">
        <v>0</v>
      </c>
      <c r="AH309">
        <v>0</v>
      </c>
      <c r="AI309">
        <v>0</v>
      </c>
      <c r="AJ309">
        <v>0</v>
      </c>
      <c r="AK309">
        <v>1</v>
      </c>
      <c r="AL309">
        <v>0</v>
      </c>
      <c r="AM309">
        <v>0</v>
      </c>
      <c r="AN309">
        <v>0</v>
      </c>
      <c r="AO309">
        <v>0</v>
      </c>
      <c r="AP309">
        <v>0</v>
      </c>
      <c r="AQ309">
        <v>0</v>
      </c>
      <c r="AR309">
        <v>0</v>
      </c>
      <c r="AS309">
        <v>0</v>
      </c>
      <c r="AT309">
        <v>0</v>
      </c>
      <c r="AU309">
        <v>0</v>
      </c>
      <c r="AV309">
        <v>0</v>
      </c>
      <c r="AW309">
        <v>0</v>
      </c>
      <c r="AX309" s="141">
        <f t="shared" si="305"/>
        <v>1</v>
      </c>
      <c r="AY309" s="141">
        <f t="shared" si="306"/>
        <v>1</v>
      </c>
      <c r="AZ309">
        <f t="shared" si="307"/>
        <v>0</v>
      </c>
      <c r="BA309">
        <f t="shared" si="308"/>
        <v>0</v>
      </c>
      <c r="BB309">
        <f t="shared" si="309"/>
        <v>1</v>
      </c>
      <c r="BC309">
        <f t="shared" si="310"/>
        <v>0</v>
      </c>
      <c r="BD309">
        <f t="shared" si="311"/>
        <v>0</v>
      </c>
      <c r="BE309" t="str">
        <f t="array" ref="BE309">IF(AY309=1,INDEX($V$7:$AL$7,MATCH(TRUE,INDEX($V309:$AW309&lt;&gt;0,),0)),IF(AY309=0,INDEX($AM$7:$AW$7,MATCH(1,$AM309:$AW309,0)),IF(BF309="Multiple strategies","mixed drivers",IF(BF309="Supply chain","multiple supply","multiple silviculture"))))</f>
        <v>technologies/design switch</v>
      </c>
      <c r="BF309" s="2" t="str" cm="1">
        <f t="array" ref="BF309">IF(COUNTIF(AZ309:BB309,"&lt;&gt;0")=1,INDEX($V$4:$AW$4,MATCH(TRUE,INDEX($V309:$AW309&lt;&gt;0,),0)),IF(COUNTIF(AZ309:BB309,"&lt;&gt;0")=0,INDEX($AM$4:$AW$4,MATCH(1,$AM309:$AW309,0)),"Multiple strategies"))</f>
        <v>Technology</v>
      </c>
      <c r="BG309" s="142" t="s">
        <v>229</v>
      </c>
      <c r="BH309" t="s">
        <v>441</v>
      </c>
      <c r="BI309" s="264" t="s">
        <v>3273</v>
      </c>
      <c r="BJ309" s="143" t="s">
        <v>442</v>
      </c>
      <c r="BK309">
        <v>0</v>
      </c>
      <c r="BL309">
        <f>3*44</f>
        <v>132</v>
      </c>
      <c r="BM309" s="143" t="e">
        <f>BL309/BK309</f>
        <v>#DIV/0!</v>
      </c>
      <c r="BN309">
        <f t="shared" si="312"/>
        <v>132</v>
      </c>
      <c r="BO309">
        <f t="shared" si="313"/>
        <v>573.16543638732094</v>
      </c>
      <c r="BP309" t="s">
        <v>232</v>
      </c>
      <c r="BQ309" s="260" t="s">
        <v>813</v>
      </c>
      <c r="BR309" t="s">
        <v>443</v>
      </c>
      <c r="BS309" s="141">
        <v>18</v>
      </c>
      <c r="BT309" s="141">
        <v>84</v>
      </c>
      <c r="BU309" s="144">
        <f t="shared" si="314"/>
        <v>4.666666666666667</v>
      </c>
      <c r="BV309">
        <f t="shared" si="315"/>
        <v>66</v>
      </c>
      <c r="BW309"/>
      <c r="BX309">
        <f t="shared" si="316"/>
        <v>242.22</v>
      </c>
      <c r="BY309">
        <f t="shared" si="338"/>
        <v>0.42260049999999993</v>
      </c>
      <c r="BZ309" s="143">
        <v>0</v>
      </c>
      <c r="CA309" s="143">
        <v>0</v>
      </c>
      <c r="CB309" s="143">
        <v>0</v>
      </c>
      <c r="CC309" s="143">
        <v>0</v>
      </c>
      <c r="CD309" s="143">
        <v>0</v>
      </c>
      <c r="CE309" s="143">
        <v>0</v>
      </c>
      <c r="CF309" s="143">
        <v>0</v>
      </c>
      <c r="CG309" s="143">
        <v>0</v>
      </c>
      <c r="CH309" s="143">
        <v>0</v>
      </c>
      <c r="CI309" s="143">
        <v>0</v>
      </c>
      <c r="CJ309" s="143">
        <v>0</v>
      </c>
      <c r="CK309" s="143">
        <v>0</v>
      </c>
      <c r="CL309" s="143">
        <v>0</v>
      </c>
      <c r="CM309">
        <v>0</v>
      </c>
      <c r="CN309" t="str">
        <f t="shared" si="317"/>
        <v>refOK</v>
      </c>
      <c r="CO309">
        <f t="shared" si="318"/>
        <v>0</v>
      </c>
      <c r="CP309">
        <f t="shared" si="319"/>
        <v>132</v>
      </c>
      <c r="CQ309">
        <f t="shared" si="320"/>
        <v>573.16543638732094</v>
      </c>
      <c r="CR309">
        <f t="shared" si="321"/>
        <v>18</v>
      </c>
      <c r="CS309">
        <f t="shared" si="322"/>
        <v>84</v>
      </c>
      <c r="CT309">
        <f t="shared" si="323"/>
        <v>242.22</v>
      </c>
      <c r="CU309">
        <f t="shared" si="324"/>
        <v>0.42260049999999993</v>
      </c>
      <c r="CV309" s="2">
        <f t="shared" si="325"/>
        <v>3.6666666666666665</v>
      </c>
      <c r="CW309" s="1" t="s">
        <v>263</v>
      </c>
      <c r="CX309" t="str">
        <f t="shared" si="326"/>
        <v>loc</v>
      </c>
      <c r="CY309" t="s">
        <v>444</v>
      </c>
      <c r="CZ309"/>
      <c r="DA309"/>
      <c r="DB309">
        <v>300</v>
      </c>
      <c r="DC309" t="str">
        <f t="shared" si="327"/>
        <v>+100</v>
      </c>
      <c r="DD309">
        <v>0</v>
      </c>
      <c r="DE309">
        <v>0</v>
      </c>
      <c r="DF309">
        <v>0</v>
      </c>
      <c r="DG309">
        <v>1</v>
      </c>
      <c r="DH309"/>
      <c r="DI309">
        <f t="shared" si="328"/>
        <v>1</v>
      </c>
      <c r="DJ309" t="str">
        <f t="shared" si="329"/>
        <v>TimberInput</v>
      </c>
      <c r="DK309">
        <f t="shared" si="330"/>
        <v>0</v>
      </c>
      <c r="DL309">
        <f t="shared" si="331"/>
        <v>0</v>
      </c>
      <c r="DM309">
        <f t="shared" si="332"/>
        <v>0</v>
      </c>
      <c r="DN309" t="str">
        <f t="shared" si="333"/>
        <v>Timber</v>
      </c>
      <c r="DO309">
        <v>1</v>
      </c>
      <c r="DP309" s="143">
        <v>0</v>
      </c>
      <c r="DQ309" s="143">
        <v>0</v>
      </c>
      <c r="DR309" s="143">
        <v>0</v>
      </c>
      <c r="DS309">
        <v>0</v>
      </c>
      <c r="DT309">
        <f t="shared" si="334"/>
        <v>1</v>
      </c>
      <c r="DU309" s="143" t="str">
        <f t="shared" si="335"/>
        <v>self-calculated DF</v>
      </c>
      <c r="DV309">
        <v>0</v>
      </c>
      <c r="DW309" s="143">
        <v>0</v>
      </c>
      <c r="DX309" s="143">
        <v>1</v>
      </c>
      <c r="DY309" s="143">
        <v>1</v>
      </c>
      <c r="DZ309">
        <v>1</v>
      </c>
      <c r="EA309" s="143">
        <v>1</v>
      </c>
      <c r="EB309">
        <v>0</v>
      </c>
      <c r="EC309" s="143">
        <v>1</v>
      </c>
      <c r="ED309" s="143">
        <v>0</v>
      </c>
      <c r="EE309">
        <v>0</v>
      </c>
      <c r="EF309">
        <v>0</v>
      </c>
      <c r="EG309" s="143">
        <v>0</v>
      </c>
      <c r="EH309" s="143">
        <v>0</v>
      </c>
      <c r="EI309" s="2">
        <v>0</v>
      </c>
      <c r="EJ309" s="1"/>
      <c r="EK309" t="str">
        <f t="shared" si="336"/>
        <v/>
      </c>
      <c r="EL309" t="str">
        <f t="shared" si="337"/>
        <v/>
      </c>
      <c r="EM309" s="2" t="str">
        <f t="shared" si="339"/>
        <v/>
      </c>
      <c r="EN309" t="s">
        <v>445</v>
      </c>
      <c r="EO309"/>
      <c r="EP309" t="str">
        <f>IF(ISNUMBER(BU309),IF(ABS(BU309-[5]QC_indicators!$B$2)&gt;3*[5]QC_indicators!$C$2,"C ratio",IF(ISNUMBER(BY309),IF(ABS(BY309-[5]QC_indicators!$B$1)&gt;3*[5]QC_indicators!$C$1,"DF","no"))),IF(ISNUMBER(BY309),IF(ABS(BY309-[5]QC_indicators!$B$1)&gt;3*[5]QC_indicators!$C$1,"DF","no")))</f>
        <v>no</v>
      </c>
      <c r="EQ309"/>
      <c r="ER309"/>
      <c r="ES309"/>
      <c r="ET309" s="264" t="s">
        <v>3272</v>
      </c>
      <c r="EU309"/>
    </row>
    <row r="310" spans="1:151" s="139" customFormat="1" ht="15" hidden="1" customHeight="1">
      <c r="A310" s="1" t="s">
        <v>430</v>
      </c>
      <c r="B310" t="s">
        <v>431</v>
      </c>
      <c r="C310" t="s">
        <v>432</v>
      </c>
      <c r="D310" t="s">
        <v>433</v>
      </c>
      <c r="E310" t="s">
        <v>434</v>
      </c>
      <c r="F310" t="s">
        <v>435</v>
      </c>
      <c r="G310" t="s">
        <v>436</v>
      </c>
      <c r="H310" t="s">
        <v>254</v>
      </c>
      <c r="I310">
        <v>2000</v>
      </c>
      <c r="J310">
        <v>174</v>
      </c>
      <c r="K310" t="s">
        <v>437</v>
      </c>
      <c r="L310"/>
      <c r="M310" t="str">
        <f t="shared" si="245"/>
        <v>Borjesson_2000</v>
      </c>
      <c r="N310" t="s">
        <v>222</v>
      </c>
      <c r="O310" s="145" t="s">
        <v>223</v>
      </c>
      <c r="P310"/>
      <c r="Q310" t="s">
        <v>256</v>
      </c>
      <c r="R310" s="255" t="s">
        <v>225</v>
      </c>
      <c r="S310" s="1" t="s">
        <v>454</v>
      </c>
      <c r="T310" t="s">
        <v>447</v>
      </c>
      <c r="U310" t="s">
        <v>455</v>
      </c>
      <c r="V310">
        <v>0</v>
      </c>
      <c r="W310">
        <v>0</v>
      </c>
      <c r="X310">
        <v>0</v>
      </c>
      <c r="Y310">
        <v>0</v>
      </c>
      <c r="Z310">
        <v>0</v>
      </c>
      <c r="AA310">
        <v>0</v>
      </c>
      <c r="AB310">
        <v>0</v>
      </c>
      <c r="AC310">
        <v>0</v>
      </c>
      <c r="AD310">
        <v>0</v>
      </c>
      <c r="AE310">
        <v>0</v>
      </c>
      <c r="AF310">
        <v>0</v>
      </c>
      <c r="AG310">
        <v>0</v>
      </c>
      <c r="AH310">
        <v>0</v>
      </c>
      <c r="AI310">
        <v>0</v>
      </c>
      <c r="AJ310">
        <v>0</v>
      </c>
      <c r="AK310">
        <v>1</v>
      </c>
      <c r="AL310">
        <v>0</v>
      </c>
      <c r="AM310">
        <v>0</v>
      </c>
      <c r="AN310">
        <v>0</v>
      </c>
      <c r="AO310">
        <v>0</v>
      </c>
      <c r="AP310">
        <v>0</v>
      </c>
      <c r="AQ310">
        <v>0</v>
      </c>
      <c r="AR310">
        <v>0</v>
      </c>
      <c r="AS310">
        <v>0</v>
      </c>
      <c r="AT310">
        <v>0</v>
      </c>
      <c r="AU310">
        <v>0</v>
      </c>
      <c r="AV310">
        <v>0</v>
      </c>
      <c r="AW310">
        <v>0</v>
      </c>
      <c r="AX310" s="141">
        <f t="shared" si="305"/>
        <v>1</v>
      </c>
      <c r="AY310" s="141">
        <f t="shared" si="306"/>
        <v>1</v>
      </c>
      <c r="AZ310">
        <f t="shared" si="307"/>
        <v>0</v>
      </c>
      <c r="BA310">
        <f t="shared" si="308"/>
        <v>0</v>
      </c>
      <c r="BB310">
        <f t="shared" si="309"/>
        <v>1</v>
      </c>
      <c r="BC310">
        <f t="shared" si="310"/>
        <v>0</v>
      </c>
      <c r="BD310">
        <f t="shared" si="311"/>
        <v>0</v>
      </c>
      <c r="BE310" t="str">
        <f t="array" ref="BE310">IF(AY310=1,INDEX($V$7:$AL$7,MATCH(TRUE,INDEX($V310:$AW310&lt;&gt;0,),0)),IF(AY310=0,INDEX($AM$7:$AW$7,MATCH(1,$AM310:$AW310,0)),IF(BF310="Multiple strategies","mixed drivers",IF(BF310="Supply chain","multiple supply","multiple silviculture"))))</f>
        <v>technologies/design switch</v>
      </c>
      <c r="BF310" s="2" t="str" cm="1">
        <f t="array" ref="BF310">IF(COUNTIF(AZ310:BB310,"&lt;&gt;0")=1,INDEX($V$4:$AW$4,MATCH(TRUE,INDEX($V310:$AW310&lt;&gt;0,),0)),IF(COUNTIF(AZ310:BB310,"&lt;&gt;0")=0,INDEX($AM$4:$AW$4,MATCH(1,$AM310:$AW310,0)),"Multiple strategies"))</f>
        <v>Technology</v>
      </c>
      <c r="BG310" s="142" t="s">
        <v>229</v>
      </c>
      <c r="BH310" t="s">
        <v>441</v>
      </c>
      <c r="BI310" s="264" t="s">
        <v>3273</v>
      </c>
      <c r="BJ310" t="s">
        <v>442</v>
      </c>
      <c r="BK310">
        <v>0</v>
      </c>
      <c r="BL310">
        <v>44</v>
      </c>
      <c r="BM310" s="143"/>
      <c r="BN310">
        <f t="shared" si="312"/>
        <v>44</v>
      </c>
      <c r="BO310">
        <f t="shared" si="313"/>
        <v>191.05514546244029</v>
      </c>
      <c r="BP310" t="s">
        <v>232</v>
      </c>
      <c r="BQ310" s="260" t="s">
        <v>813</v>
      </c>
      <c r="BR310" t="s">
        <v>443</v>
      </c>
      <c r="BS310" s="141">
        <v>42</v>
      </c>
      <c r="BT310" s="141">
        <v>64</v>
      </c>
      <c r="BU310" s="144">
        <f t="shared" si="314"/>
        <v>1.5238095238095237</v>
      </c>
      <c r="BV310">
        <f t="shared" si="315"/>
        <v>22</v>
      </c>
      <c r="BW310"/>
      <c r="BX310">
        <f t="shared" si="316"/>
        <v>80.739999999999995</v>
      </c>
      <c r="BY310">
        <f t="shared" si="338"/>
        <v>0.42260049999999999</v>
      </c>
      <c r="BZ310" s="143">
        <v>0</v>
      </c>
      <c r="CA310" s="143">
        <v>0</v>
      </c>
      <c r="CB310" s="143">
        <v>0</v>
      </c>
      <c r="CC310" s="143">
        <v>0</v>
      </c>
      <c r="CD310" s="143">
        <v>0</v>
      </c>
      <c r="CE310" s="143">
        <v>0</v>
      </c>
      <c r="CF310" s="143">
        <v>0</v>
      </c>
      <c r="CG310" s="143">
        <v>0</v>
      </c>
      <c r="CH310" s="143">
        <v>0</v>
      </c>
      <c r="CI310" s="143">
        <v>0</v>
      </c>
      <c r="CJ310" s="143">
        <v>0</v>
      </c>
      <c r="CK310" s="143">
        <v>0</v>
      </c>
      <c r="CL310" s="143">
        <v>0</v>
      </c>
      <c r="CM310">
        <v>0</v>
      </c>
      <c r="CN310" t="str">
        <f t="shared" si="317"/>
        <v>refOK</v>
      </c>
      <c r="CO310">
        <f t="shared" si="318"/>
        <v>0</v>
      </c>
      <c r="CP310">
        <f t="shared" si="319"/>
        <v>44</v>
      </c>
      <c r="CQ310">
        <f t="shared" si="320"/>
        <v>191.05514546244029</v>
      </c>
      <c r="CR310">
        <f t="shared" si="321"/>
        <v>42</v>
      </c>
      <c r="CS310">
        <f t="shared" si="322"/>
        <v>64</v>
      </c>
      <c r="CT310">
        <f t="shared" si="323"/>
        <v>80.739999999999995</v>
      </c>
      <c r="CU310">
        <f t="shared" si="324"/>
        <v>0.42260049999999999</v>
      </c>
      <c r="CV310" s="2">
        <f t="shared" si="325"/>
        <v>0.52380952380952384</v>
      </c>
      <c r="CW310" s="1" t="s">
        <v>263</v>
      </c>
      <c r="CX310" t="str">
        <f t="shared" si="326"/>
        <v>loc</v>
      </c>
      <c r="CY310" t="s">
        <v>444</v>
      </c>
      <c r="CZ310"/>
      <c r="DA310"/>
      <c r="DB310">
        <v>100</v>
      </c>
      <c r="DC310" t="str">
        <f t="shared" si="327"/>
        <v>71-100</v>
      </c>
      <c r="DD310">
        <v>0</v>
      </c>
      <c r="DE310">
        <v>0</v>
      </c>
      <c r="DF310">
        <v>0</v>
      </c>
      <c r="DG310">
        <v>1</v>
      </c>
      <c r="DH310"/>
      <c r="DI310">
        <f t="shared" si="328"/>
        <v>1</v>
      </c>
      <c r="DJ310" t="str">
        <f t="shared" si="329"/>
        <v>TimberInput</v>
      </c>
      <c r="DK310">
        <f t="shared" si="330"/>
        <v>0</v>
      </c>
      <c r="DL310">
        <f t="shared" si="331"/>
        <v>0</v>
      </c>
      <c r="DM310">
        <f t="shared" si="332"/>
        <v>0</v>
      </c>
      <c r="DN310" t="str">
        <f t="shared" si="333"/>
        <v>Timber</v>
      </c>
      <c r="DO310">
        <v>1</v>
      </c>
      <c r="DP310" s="143">
        <v>0</v>
      </c>
      <c r="DQ310" s="143">
        <v>0</v>
      </c>
      <c r="DR310" s="143">
        <v>0</v>
      </c>
      <c r="DS310">
        <v>0</v>
      </c>
      <c r="DT310">
        <f t="shared" si="334"/>
        <v>1</v>
      </c>
      <c r="DU310" s="143" t="str">
        <f t="shared" si="335"/>
        <v>self-calculated DF</v>
      </c>
      <c r="DV310">
        <v>0</v>
      </c>
      <c r="DW310" s="143">
        <v>0</v>
      </c>
      <c r="DX310" s="143">
        <v>1</v>
      </c>
      <c r="DY310" s="143">
        <v>1</v>
      </c>
      <c r="DZ310">
        <v>1</v>
      </c>
      <c r="EA310" s="143">
        <v>1</v>
      </c>
      <c r="EB310">
        <v>0</v>
      </c>
      <c r="EC310" s="143">
        <v>1</v>
      </c>
      <c r="ED310" s="143">
        <v>0</v>
      </c>
      <c r="EE310">
        <v>0</v>
      </c>
      <c r="EF310">
        <v>0</v>
      </c>
      <c r="EG310" s="143">
        <v>0</v>
      </c>
      <c r="EH310" s="143">
        <v>0</v>
      </c>
      <c r="EI310" s="2">
        <v>0</v>
      </c>
      <c r="EJ310" s="1"/>
      <c r="EK310" t="str">
        <f t="shared" si="336"/>
        <v/>
      </c>
      <c r="EL310" t="str">
        <f t="shared" si="337"/>
        <v/>
      </c>
      <c r="EM310" s="2" t="str">
        <f t="shared" si="339"/>
        <v/>
      </c>
      <c r="EN310"/>
      <c r="EO310"/>
      <c r="EP310" t="str">
        <f>IF(ISNUMBER(BU310),IF(ABS(BU310-[5]QC_indicators!$B$2)&gt;3*[5]QC_indicators!$C$2,"C ratio",IF(ISNUMBER(BY310),IF(ABS(BY310-[5]QC_indicators!$B$1)&gt;3*[5]QC_indicators!$C$1,"DF","no"))),IF(ISNUMBER(BY310),IF(ABS(BY310-[5]QC_indicators!$B$1)&gt;3*[5]QC_indicators!$C$1,"DF","no")))</f>
        <v>no</v>
      </c>
      <c r="EQ310"/>
      <c r="ER310"/>
      <c r="ES310"/>
      <c r="ET310" s="264" t="s">
        <v>3272</v>
      </c>
      <c r="EU310"/>
    </row>
    <row r="311" spans="1:151" s="139" customFormat="1" ht="15" hidden="1" customHeight="1">
      <c r="A311" s="1" t="s">
        <v>430</v>
      </c>
      <c r="B311" t="s">
        <v>431</v>
      </c>
      <c r="C311" t="s">
        <v>432</v>
      </c>
      <c r="D311" t="s">
        <v>433</v>
      </c>
      <c r="E311" t="s">
        <v>434</v>
      </c>
      <c r="F311" t="s">
        <v>435</v>
      </c>
      <c r="G311" t="s">
        <v>436</v>
      </c>
      <c r="H311" t="s">
        <v>254</v>
      </c>
      <c r="I311">
        <v>2000</v>
      </c>
      <c r="J311">
        <v>174</v>
      </c>
      <c r="K311" t="s">
        <v>437</v>
      </c>
      <c r="L311"/>
      <c r="M311" t="str">
        <f t="shared" si="245"/>
        <v>Borjesson_2000</v>
      </c>
      <c r="N311" t="s">
        <v>222</v>
      </c>
      <c r="O311" s="145" t="s">
        <v>223</v>
      </c>
      <c r="P311"/>
      <c r="Q311" t="s">
        <v>256</v>
      </c>
      <c r="R311" s="255" t="s">
        <v>225</v>
      </c>
      <c r="S311" s="1" t="s">
        <v>438</v>
      </c>
      <c r="T311" t="s">
        <v>439</v>
      </c>
      <c r="U311" t="s">
        <v>456</v>
      </c>
      <c r="V311">
        <v>0</v>
      </c>
      <c r="W311">
        <v>0</v>
      </c>
      <c r="X311">
        <v>0</v>
      </c>
      <c r="Y311">
        <v>0</v>
      </c>
      <c r="Z311">
        <v>0</v>
      </c>
      <c r="AA311">
        <v>0</v>
      </c>
      <c r="AB311">
        <v>0</v>
      </c>
      <c r="AC311">
        <v>0</v>
      </c>
      <c r="AD311">
        <v>0</v>
      </c>
      <c r="AE311">
        <v>0</v>
      </c>
      <c r="AF311">
        <v>0</v>
      </c>
      <c r="AG311">
        <v>0</v>
      </c>
      <c r="AH311">
        <v>0</v>
      </c>
      <c r="AI311">
        <v>0</v>
      </c>
      <c r="AJ311">
        <v>0</v>
      </c>
      <c r="AK311">
        <v>1</v>
      </c>
      <c r="AL311">
        <v>0</v>
      </c>
      <c r="AM311">
        <v>0</v>
      </c>
      <c r="AN311">
        <v>0</v>
      </c>
      <c r="AO311">
        <v>0</v>
      </c>
      <c r="AP311">
        <v>0</v>
      </c>
      <c r="AQ311">
        <v>0</v>
      </c>
      <c r="AR311">
        <v>0</v>
      </c>
      <c r="AS311">
        <v>0</v>
      </c>
      <c r="AT311">
        <v>0</v>
      </c>
      <c r="AU311">
        <v>0</v>
      </c>
      <c r="AV311">
        <v>0</v>
      </c>
      <c r="AW311">
        <v>0</v>
      </c>
      <c r="AX311" s="141">
        <f t="shared" si="305"/>
        <v>1</v>
      </c>
      <c r="AY311" s="141">
        <f t="shared" si="306"/>
        <v>1</v>
      </c>
      <c r="AZ311">
        <f t="shared" si="307"/>
        <v>0</v>
      </c>
      <c r="BA311">
        <f t="shared" si="308"/>
        <v>0</v>
      </c>
      <c r="BB311">
        <f t="shared" si="309"/>
        <v>1</v>
      </c>
      <c r="BC311">
        <f t="shared" si="310"/>
        <v>0</v>
      </c>
      <c r="BD311">
        <f t="shared" si="311"/>
        <v>0</v>
      </c>
      <c r="BE311" t="str">
        <f t="array" ref="BE311">IF(AY311=1,INDEX($V$7:$AL$7,MATCH(TRUE,INDEX($V311:$AW311&lt;&gt;0,),0)),IF(AY311=0,INDEX($AM$7:$AW$7,MATCH(1,$AM311:$AW311,0)),IF(BF311="Multiple strategies","mixed drivers",IF(BF311="Supply chain","multiple supply","multiple silviculture"))))</f>
        <v>technologies/design switch</v>
      </c>
      <c r="BF311" s="2" t="str" cm="1">
        <f t="array" ref="BF311">IF(COUNTIF(AZ311:BB311,"&lt;&gt;0")=1,INDEX($V$4:$AW$4,MATCH(TRUE,INDEX($V311:$AW311&lt;&gt;0,),0)),IF(COUNTIF(AZ311:BB311,"&lt;&gt;0")=0,INDEX($AM$4:$AW$4,MATCH(1,$AM311:$AW311,0)),"Multiple strategies"))</f>
        <v>Technology</v>
      </c>
      <c r="BG311" s="142" t="s">
        <v>229</v>
      </c>
      <c r="BH311" t="s">
        <v>441</v>
      </c>
      <c r="BI311" s="264" t="s">
        <v>3273</v>
      </c>
      <c r="BJ311" s="143" t="s">
        <v>442</v>
      </c>
      <c r="BK311">
        <v>0</v>
      </c>
      <c r="BL311">
        <f>3*44</f>
        <v>132</v>
      </c>
      <c r="BM311" s="143" t="e">
        <f>BL311/BK311</f>
        <v>#DIV/0!</v>
      </c>
      <c r="BN311">
        <f t="shared" si="312"/>
        <v>132</v>
      </c>
      <c r="BO311">
        <f t="shared" si="313"/>
        <v>573.16543638732094</v>
      </c>
      <c r="BP311" t="s">
        <v>232</v>
      </c>
      <c r="BQ311" s="260" t="s">
        <v>813</v>
      </c>
      <c r="BR311" t="s">
        <v>443</v>
      </c>
      <c r="BS311" s="141">
        <v>25</v>
      </c>
      <c r="BT311" s="141">
        <v>93</v>
      </c>
      <c r="BU311" s="144">
        <f t="shared" si="314"/>
        <v>3.72</v>
      </c>
      <c r="BV311">
        <f t="shared" si="315"/>
        <v>68</v>
      </c>
      <c r="BW311"/>
      <c r="BX311">
        <f t="shared" si="316"/>
        <v>249.56</v>
      </c>
      <c r="BY311">
        <f t="shared" si="338"/>
        <v>0.43540657575757574</v>
      </c>
      <c r="BZ311" s="143">
        <v>0</v>
      </c>
      <c r="CA311" s="143">
        <v>0</v>
      </c>
      <c r="CB311" s="143">
        <v>0</v>
      </c>
      <c r="CC311" s="143">
        <v>0</v>
      </c>
      <c r="CD311" s="143">
        <v>0</v>
      </c>
      <c r="CE311" s="143">
        <v>0</v>
      </c>
      <c r="CF311" s="143">
        <v>0</v>
      </c>
      <c r="CG311" s="143">
        <v>0</v>
      </c>
      <c r="CH311" s="143">
        <v>0</v>
      </c>
      <c r="CI311" s="143">
        <v>0</v>
      </c>
      <c r="CJ311" s="143">
        <v>0</v>
      </c>
      <c r="CK311" s="143">
        <v>0</v>
      </c>
      <c r="CL311" s="143">
        <v>0</v>
      </c>
      <c r="CM311">
        <v>0</v>
      </c>
      <c r="CN311" t="str">
        <f t="shared" si="317"/>
        <v>refOK</v>
      </c>
      <c r="CO311">
        <f t="shared" si="318"/>
        <v>0</v>
      </c>
      <c r="CP311">
        <f t="shared" si="319"/>
        <v>132</v>
      </c>
      <c r="CQ311">
        <f t="shared" si="320"/>
        <v>573.16543638732094</v>
      </c>
      <c r="CR311">
        <f t="shared" si="321"/>
        <v>25</v>
      </c>
      <c r="CS311">
        <f t="shared" si="322"/>
        <v>93</v>
      </c>
      <c r="CT311">
        <f t="shared" si="323"/>
        <v>249.56</v>
      </c>
      <c r="CU311">
        <f t="shared" si="324"/>
        <v>0.43540657575757574</v>
      </c>
      <c r="CV311" s="2">
        <f t="shared" si="325"/>
        <v>2.72</v>
      </c>
      <c r="CW311" s="1" t="s">
        <v>263</v>
      </c>
      <c r="CX311" t="str">
        <f t="shared" si="326"/>
        <v>loc</v>
      </c>
      <c r="CY311" t="s">
        <v>444</v>
      </c>
      <c r="CZ311"/>
      <c r="DA311"/>
      <c r="DB311">
        <v>300</v>
      </c>
      <c r="DC311" t="str">
        <f t="shared" si="327"/>
        <v>+100</v>
      </c>
      <c r="DD311">
        <v>0</v>
      </c>
      <c r="DE311">
        <v>0</v>
      </c>
      <c r="DF311">
        <v>0</v>
      </c>
      <c r="DG311">
        <v>1</v>
      </c>
      <c r="DH311"/>
      <c r="DI311">
        <f t="shared" si="328"/>
        <v>1</v>
      </c>
      <c r="DJ311" t="str">
        <f t="shared" si="329"/>
        <v>TimberInput</v>
      </c>
      <c r="DK311">
        <f t="shared" si="330"/>
        <v>0</v>
      </c>
      <c r="DL311">
        <f t="shared" si="331"/>
        <v>0</v>
      </c>
      <c r="DM311">
        <f t="shared" si="332"/>
        <v>0</v>
      </c>
      <c r="DN311" t="str">
        <f t="shared" si="333"/>
        <v>Timber</v>
      </c>
      <c r="DO311">
        <v>1</v>
      </c>
      <c r="DP311" s="143">
        <v>0</v>
      </c>
      <c r="DQ311" s="143">
        <v>0</v>
      </c>
      <c r="DR311" s="143">
        <v>0</v>
      </c>
      <c r="DS311">
        <v>0</v>
      </c>
      <c r="DT311">
        <f t="shared" si="334"/>
        <v>1</v>
      </c>
      <c r="DU311" s="143" t="str">
        <f t="shared" si="335"/>
        <v>self-calculated DF</v>
      </c>
      <c r="DV311">
        <v>0</v>
      </c>
      <c r="DW311" s="143">
        <v>0</v>
      </c>
      <c r="DX311" s="143">
        <v>1</v>
      </c>
      <c r="DY311" s="143">
        <v>1</v>
      </c>
      <c r="DZ311">
        <v>1</v>
      </c>
      <c r="EA311" s="143">
        <v>1</v>
      </c>
      <c r="EB311">
        <v>0</v>
      </c>
      <c r="EC311" s="143">
        <v>1</v>
      </c>
      <c r="ED311" s="143">
        <v>0</v>
      </c>
      <c r="EE311">
        <v>0</v>
      </c>
      <c r="EF311">
        <v>0</v>
      </c>
      <c r="EG311" s="143">
        <v>0</v>
      </c>
      <c r="EH311" s="143">
        <v>0</v>
      </c>
      <c r="EI311" s="2">
        <v>0</v>
      </c>
      <c r="EJ311" s="1"/>
      <c r="EK311" t="str">
        <f t="shared" si="336"/>
        <v/>
      </c>
      <c r="EL311" t="str">
        <f t="shared" si="337"/>
        <v/>
      </c>
      <c r="EM311" s="2" t="str">
        <f t="shared" si="339"/>
        <v/>
      </c>
      <c r="EN311" t="s">
        <v>445</v>
      </c>
      <c r="EO311"/>
      <c r="EP311" t="str">
        <f>IF(ISNUMBER(BU311),IF(ABS(BU311-[5]QC_indicators!$B$2)&gt;3*[5]QC_indicators!$C$2,"C ratio",IF(ISNUMBER(BY311),IF(ABS(BY311-[5]QC_indicators!$B$1)&gt;3*[5]QC_indicators!$C$1,"DF","no"))),IF(ISNUMBER(BY311),IF(ABS(BY311-[5]QC_indicators!$B$1)&gt;3*[5]QC_indicators!$C$1,"DF","no")))</f>
        <v>no</v>
      </c>
      <c r="EQ311"/>
      <c r="ER311"/>
      <c r="ES311"/>
      <c r="ET311" s="264" t="s">
        <v>3272</v>
      </c>
      <c r="EU311"/>
    </row>
    <row r="312" spans="1:151" s="139" customFormat="1" ht="15" hidden="1" customHeight="1">
      <c r="A312" s="1" t="s">
        <v>430</v>
      </c>
      <c r="B312" t="s">
        <v>431</v>
      </c>
      <c r="C312" t="s">
        <v>432</v>
      </c>
      <c r="D312" t="s">
        <v>433</v>
      </c>
      <c r="E312" t="s">
        <v>434</v>
      </c>
      <c r="F312" t="s">
        <v>435</v>
      </c>
      <c r="G312" t="s">
        <v>436</v>
      </c>
      <c r="H312" t="s">
        <v>254</v>
      </c>
      <c r="I312">
        <v>2000</v>
      </c>
      <c r="J312">
        <v>174</v>
      </c>
      <c r="K312" t="s">
        <v>437</v>
      </c>
      <c r="L312"/>
      <c r="M312" t="str">
        <f t="shared" si="245"/>
        <v>Borjesson_2000</v>
      </c>
      <c r="N312" t="s">
        <v>222</v>
      </c>
      <c r="O312" s="145" t="s">
        <v>223</v>
      </c>
      <c r="P312"/>
      <c r="Q312" t="s">
        <v>256</v>
      </c>
      <c r="R312" s="255" t="s">
        <v>225</v>
      </c>
      <c r="S312" s="1" t="s">
        <v>438</v>
      </c>
      <c r="T312" t="s">
        <v>446</v>
      </c>
      <c r="U312" t="s">
        <v>456</v>
      </c>
      <c r="V312">
        <v>0</v>
      </c>
      <c r="W312">
        <v>0</v>
      </c>
      <c r="X312">
        <v>0</v>
      </c>
      <c r="Y312">
        <v>0</v>
      </c>
      <c r="Z312">
        <v>0</v>
      </c>
      <c r="AA312">
        <v>0</v>
      </c>
      <c r="AB312">
        <v>0</v>
      </c>
      <c r="AC312">
        <v>0</v>
      </c>
      <c r="AD312">
        <v>0</v>
      </c>
      <c r="AE312">
        <v>0</v>
      </c>
      <c r="AF312">
        <v>0</v>
      </c>
      <c r="AG312">
        <v>0</v>
      </c>
      <c r="AH312">
        <v>0</v>
      </c>
      <c r="AI312">
        <v>0</v>
      </c>
      <c r="AJ312">
        <v>0</v>
      </c>
      <c r="AK312">
        <v>1</v>
      </c>
      <c r="AL312">
        <v>0</v>
      </c>
      <c r="AM312">
        <v>0</v>
      </c>
      <c r="AN312">
        <v>0</v>
      </c>
      <c r="AO312">
        <v>0</v>
      </c>
      <c r="AP312">
        <v>0</v>
      </c>
      <c r="AQ312">
        <v>0</v>
      </c>
      <c r="AR312">
        <v>0</v>
      </c>
      <c r="AS312">
        <v>0</v>
      </c>
      <c r="AT312">
        <v>0</v>
      </c>
      <c r="AU312">
        <v>0</v>
      </c>
      <c r="AV312">
        <v>0</v>
      </c>
      <c r="AW312">
        <v>0</v>
      </c>
      <c r="AX312" s="141">
        <f t="shared" si="305"/>
        <v>1</v>
      </c>
      <c r="AY312" s="141">
        <f t="shared" si="306"/>
        <v>1</v>
      </c>
      <c r="AZ312">
        <f t="shared" si="307"/>
        <v>0</v>
      </c>
      <c r="BA312">
        <f t="shared" si="308"/>
        <v>0</v>
      </c>
      <c r="BB312">
        <f t="shared" si="309"/>
        <v>1</v>
      </c>
      <c r="BC312">
        <f t="shared" si="310"/>
        <v>0</v>
      </c>
      <c r="BD312">
        <f t="shared" si="311"/>
        <v>0</v>
      </c>
      <c r="BE312" t="str">
        <f t="array" ref="BE312">IF(AY312=1,INDEX($V$7:$AL$7,MATCH(TRUE,INDEX($V312:$AW312&lt;&gt;0,),0)),IF(AY312=0,INDEX($AM$7:$AW$7,MATCH(1,$AM312:$AW312,0)),IF(BF312="Multiple strategies","mixed drivers",IF(BF312="Supply chain","multiple supply","multiple silviculture"))))</f>
        <v>technologies/design switch</v>
      </c>
      <c r="BF312" s="2" t="str" cm="1">
        <f t="array" ref="BF312">IF(COUNTIF(AZ312:BB312,"&lt;&gt;0")=1,INDEX($V$4:$AW$4,MATCH(TRUE,INDEX($V312:$AW312&lt;&gt;0,),0)),IF(COUNTIF(AZ312:BB312,"&lt;&gt;0")=0,INDEX($AM$4:$AW$4,MATCH(1,$AM312:$AW312,0)),"Multiple strategies"))</f>
        <v>Technology</v>
      </c>
      <c r="BG312" s="142" t="s">
        <v>229</v>
      </c>
      <c r="BH312" t="s">
        <v>441</v>
      </c>
      <c r="BI312" s="264" t="s">
        <v>3273</v>
      </c>
      <c r="BJ312" s="143" t="s">
        <v>442</v>
      </c>
      <c r="BK312">
        <v>0</v>
      </c>
      <c r="BL312">
        <f>3*44</f>
        <v>132</v>
      </c>
      <c r="BM312" s="143" t="e">
        <f>BL312/BK312</f>
        <v>#DIV/0!</v>
      </c>
      <c r="BN312">
        <f t="shared" si="312"/>
        <v>132</v>
      </c>
      <c r="BO312">
        <f t="shared" si="313"/>
        <v>573.16543638732094</v>
      </c>
      <c r="BP312" t="s">
        <v>232</v>
      </c>
      <c r="BQ312" s="260" t="s">
        <v>813</v>
      </c>
      <c r="BR312" t="s">
        <v>443</v>
      </c>
      <c r="BS312" s="141">
        <v>18</v>
      </c>
      <c r="BT312" s="141">
        <v>93</v>
      </c>
      <c r="BU312" s="144">
        <f t="shared" si="314"/>
        <v>5.166666666666667</v>
      </c>
      <c r="BV312">
        <f t="shared" si="315"/>
        <v>75</v>
      </c>
      <c r="BW312"/>
      <c r="BX312">
        <f t="shared" si="316"/>
        <v>275.25</v>
      </c>
      <c r="BY312">
        <f t="shared" si="338"/>
        <v>0.48022784090909088</v>
      </c>
      <c r="BZ312" s="143">
        <v>0</v>
      </c>
      <c r="CA312" s="143">
        <v>0</v>
      </c>
      <c r="CB312" s="143">
        <v>0</v>
      </c>
      <c r="CC312" s="143">
        <v>0</v>
      </c>
      <c r="CD312" s="143">
        <v>0</v>
      </c>
      <c r="CE312" s="143">
        <v>0</v>
      </c>
      <c r="CF312" s="143">
        <v>0</v>
      </c>
      <c r="CG312" s="143">
        <v>0</v>
      </c>
      <c r="CH312" s="143">
        <v>0</v>
      </c>
      <c r="CI312" s="143">
        <v>0</v>
      </c>
      <c r="CJ312" s="143">
        <v>0</v>
      </c>
      <c r="CK312" s="143">
        <v>0</v>
      </c>
      <c r="CL312" s="143">
        <v>0</v>
      </c>
      <c r="CM312">
        <v>0</v>
      </c>
      <c r="CN312" t="str">
        <f t="shared" si="317"/>
        <v>refOK</v>
      </c>
      <c r="CO312">
        <f t="shared" si="318"/>
        <v>0</v>
      </c>
      <c r="CP312">
        <f t="shared" si="319"/>
        <v>132</v>
      </c>
      <c r="CQ312">
        <f t="shared" si="320"/>
        <v>573.16543638732094</v>
      </c>
      <c r="CR312">
        <f t="shared" si="321"/>
        <v>18</v>
      </c>
      <c r="CS312">
        <f t="shared" si="322"/>
        <v>93</v>
      </c>
      <c r="CT312">
        <f t="shared" si="323"/>
        <v>275.25</v>
      </c>
      <c r="CU312">
        <f t="shared" si="324"/>
        <v>0.48022784090909088</v>
      </c>
      <c r="CV312" s="2">
        <f t="shared" si="325"/>
        <v>4.166666666666667</v>
      </c>
      <c r="CW312" s="1" t="s">
        <v>263</v>
      </c>
      <c r="CX312" t="str">
        <f t="shared" si="326"/>
        <v>loc</v>
      </c>
      <c r="CY312" t="s">
        <v>444</v>
      </c>
      <c r="CZ312"/>
      <c r="DA312"/>
      <c r="DB312">
        <v>300</v>
      </c>
      <c r="DC312" t="str">
        <f t="shared" si="327"/>
        <v>+100</v>
      </c>
      <c r="DD312">
        <v>0</v>
      </c>
      <c r="DE312">
        <v>0</v>
      </c>
      <c r="DF312">
        <v>0</v>
      </c>
      <c r="DG312">
        <v>1</v>
      </c>
      <c r="DH312"/>
      <c r="DI312">
        <f t="shared" si="328"/>
        <v>1</v>
      </c>
      <c r="DJ312" t="str">
        <f t="shared" si="329"/>
        <v>TimberInput</v>
      </c>
      <c r="DK312">
        <f t="shared" si="330"/>
        <v>0</v>
      </c>
      <c r="DL312">
        <f t="shared" si="331"/>
        <v>0</v>
      </c>
      <c r="DM312">
        <f t="shared" si="332"/>
        <v>0</v>
      </c>
      <c r="DN312" t="str">
        <f t="shared" si="333"/>
        <v>Timber</v>
      </c>
      <c r="DO312">
        <v>1</v>
      </c>
      <c r="DP312" s="143">
        <v>0</v>
      </c>
      <c r="DQ312" s="143">
        <v>0</v>
      </c>
      <c r="DR312" s="143">
        <v>0</v>
      </c>
      <c r="DS312">
        <v>0</v>
      </c>
      <c r="DT312">
        <f t="shared" si="334"/>
        <v>1</v>
      </c>
      <c r="DU312" s="143" t="str">
        <f t="shared" si="335"/>
        <v>self-calculated DF</v>
      </c>
      <c r="DV312">
        <v>0</v>
      </c>
      <c r="DW312" s="143">
        <v>0</v>
      </c>
      <c r="DX312" s="143">
        <v>1</v>
      </c>
      <c r="DY312" s="143">
        <v>1</v>
      </c>
      <c r="DZ312">
        <v>1</v>
      </c>
      <c r="EA312" s="143">
        <v>1</v>
      </c>
      <c r="EB312">
        <v>0</v>
      </c>
      <c r="EC312" s="143">
        <v>1</v>
      </c>
      <c r="ED312" s="143">
        <v>0</v>
      </c>
      <c r="EE312">
        <v>0</v>
      </c>
      <c r="EF312">
        <v>0</v>
      </c>
      <c r="EG312" s="143">
        <v>0</v>
      </c>
      <c r="EH312" s="143">
        <v>0</v>
      </c>
      <c r="EI312" s="2">
        <v>0</v>
      </c>
      <c r="EJ312" s="1"/>
      <c r="EK312" t="str">
        <f t="shared" si="336"/>
        <v/>
      </c>
      <c r="EL312" t="str">
        <f t="shared" si="337"/>
        <v/>
      </c>
      <c r="EM312" s="2" t="str">
        <f t="shared" si="339"/>
        <v/>
      </c>
      <c r="EN312" t="s">
        <v>445</v>
      </c>
      <c r="EO312"/>
      <c r="EP312" t="str">
        <f>IF(ISNUMBER(BU312),IF(ABS(BU312-[5]QC_indicators!$B$2)&gt;3*[5]QC_indicators!$C$2,"C ratio",IF(ISNUMBER(BY312),IF(ABS(BY312-[5]QC_indicators!$B$1)&gt;3*[5]QC_indicators!$C$1,"DF","no"))),IF(ISNUMBER(BY312),IF(ABS(BY312-[5]QC_indicators!$B$1)&gt;3*[5]QC_indicators!$C$1,"DF","no")))</f>
        <v>no</v>
      </c>
      <c r="EQ312"/>
      <c r="ER312"/>
      <c r="ES312"/>
      <c r="ET312" s="264" t="s">
        <v>3272</v>
      </c>
      <c r="EU312"/>
    </row>
    <row r="313" spans="1:151" s="139" customFormat="1" ht="15" hidden="1" customHeight="1">
      <c r="A313" s="1" t="s">
        <v>430</v>
      </c>
      <c r="B313" t="s">
        <v>431</v>
      </c>
      <c r="C313" t="s">
        <v>432</v>
      </c>
      <c r="D313" t="s">
        <v>433</v>
      </c>
      <c r="E313" t="s">
        <v>434</v>
      </c>
      <c r="F313" t="s">
        <v>435</v>
      </c>
      <c r="G313" t="s">
        <v>436</v>
      </c>
      <c r="H313" t="s">
        <v>254</v>
      </c>
      <c r="I313">
        <v>2000</v>
      </c>
      <c r="J313">
        <v>174</v>
      </c>
      <c r="K313" t="s">
        <v>437</v>
      </c>
      <c r="L313"/>
      <c r="M313" t="str">
        <f t="shared" si="245"/>
        <v>Borjesson_2000</v>
      </c>
      <c r="N313" t="s">
        <v>222</v>
      </c>
      <c r="O313" s="145" t="s">
        <v>223</v>
      </c>
      <c r="P313"/>
      <c r="Q313" t="s">
        <v>256</v>
      </c>
      <c r="R313" s="255" t="s">
        <v>225</v>
      </c>
      <c r="S313" s="1" t="s">
        <v>438</v>
      </c>
      <c r="T313" t="s">
        <v>447</v>
      </c>
      <c r="U313" t="s">
        <v>452</v>
      </c>
      <c r="V313">
        <v>0</v>
      </c>
      <c r="W313">
        <v>0</v>
      </c>
      <c r="X313">
        <v>0</v>
      </c>
      <c r="Y313">
        <v>0</v>
      </c>
      <c r="Z313">
        <v>0</v>
      </c>
      <c r="AA313">
        <v>0</v>
      </c>
      <c r="AB313">
        <v>0</v>
      </c>
      <c r="AC313">
        <v>0</v>
      </c>
      <c r="AD313">
        <v>0</v>
      </c>
      <c r="AE313">
        <v>0</v>
      </c>
      <c r="AF313">
        <v>0</v>
      </c>
      <c r="AG313">
        <v>0</v>
      </c>
      <c r="AH313">
        <v>0</v>
      </c>
      <c r="AI313">
        <v>0</v>
      </c>
      <c r="AJ313">
        <v>0</v>
      </c>
      <c r="AK313">
        <v>1</v>
      </c>
      <c r="AL313">
        <v>0</v>
      </c>
      <c r="AM313">
        <v>0</v>
      </c>
      <c r="AN313">
        <v>0</v>
      </c>
      <c r="AO313">
        <v>0</v>
      </c>
      <c r="AP313">
        <v>0</v>
      </c>
      <c r="AQ313">
        <v>0</v>
      </c>
      <c r="AR313">
        <v>0</v>
      </c>
      <c r="AS313">
        <v>0</v>
      </c>
      <c r="AT313">
        <v>0</v>
      </c>
      <c r="AU313">
        <v>0</v>
      </c>
      <c r="AV313">
        <v>0</v>
      </c>
      <c r="AW313">
        <v>0</v>
      </c>
      <c r="AX313" s="141">
        <f t="shared" si="305"/>
        <v>1</v>
      </c>
      <c r="AY313" s="141">
        <f t="shared" si="306"/>
        <v>1</v>
      </c>
      <c r="AZ313">
        <f t="shared" si="307"/>
        <v>0</v>
      </c>
      <c r="BA313">
        <f t="shared" si="308"/>
        <v>0</v>
      </c>
      <c r="BB313">
        <f t="shared" si="309"/>
        <v>1</v>
      </c>
      <c r="BC313">
        <f t="shared" si="310"/>
        <v>0</v>
      </c>
      <c r="BD313">
        <f t="shared" si="311"/>
        <v>0</v>
      </c>
      <c r="BE313" t="str">
        <f t="array" ref="BE313">IF(AY313=1,INDEX($V$7:$AL$7,MATCH(TRUE,INDEX($V313:$AW313&lt;&gt;0,),0)),IF(AY313=0,INDEX($AM$7:$AW$7,MATCH(1,$AM313:$AW313,0)),IF(BF313="Multiple strategies","mixed drivers",IF(BF313="Supply chain","multiple supply","multiple silviculture"))))</f>
        <v>technologies/design switch</v>
      </c>
      <c r="BF313" s="2" t="str" cm="1">
        <f t="array" ref="BF313">IF(COUNTIF(AZ313:BB313,"&lt;&gt;0")=1,INDEX($V$4:$AW$4,MATCH(TRUE,INDEX($V313:$AW313&lt;&gt;0,),0)),IF(COUNTIF(AZ313:BB313,"&lt;&gt;0")=0,INDEX($AM$4:$AW$4,MATCH(1,$AM313:$AW313,0)),"Multiple strategies"))</f>
        <v>Technology</v>
      </c>
      <c r="BG313" s="142" t="s">
        <v>229</v>
      </c>
      <c r="BH313" t="s">
        <v>441</v>
      </c>
      <c r="BI313" s="264" t="s">
        <v>3273</v>
      </c>
      <c r="BJ313" s="143" t="s">
        <v>442</v>
      </c>
      <c r="BK313">
        <v>0</v>
      </c>
      <c r="BL313">
        <f>3*44</f>
        <v>132</v>
      </c>
      <c r="BM313" s="143" t="e">
        <f>BL313/BK313</f>
        <v>#DIV/0!</v>
      </c>
      <c r="BN313">
        <f t="shared" si="312"/>
        <v>132</v>
      </c>
      <c r="BO313">
        <f t="shared" si="313"/>
        <v>573.16543638732094</v>
      </c>
      <c r="BP313" t="s">
        <v>232</v>
      </c>
      <c r="BQ313" s="260" t="s">
        <v>813</v>
      </c>
      <c r="BR313" t="s">
        <v>443</v>
      </c>
      <c r="BS313" s="141">
        <v>6</v>
      </c>
      <c r="BT313" s="141">
        <v>84</v>
      </c>
      <c r="BU313" s="144">
        <f t="shared" si="314"/>
        <v>14</v>
      </c>
      <c r="BV313">
        <f t="shared" si="315"/>
        <v>78</v>
      </c>
      <c r="BW313"/>
      <c r="BX313">
        <f t="shared" si="316"/>
        <v>286.26</v>
      </c>
      <c r="BY313">
        <f t="shared" si="338"/>
        <v>0.4994369545454545</v>
      </c>
      <c r="BZ313" s="143">
        <v>0</v>
      </c>
      <c r="CA313" s="143">
        <v>0</v>
      </c>
      <c r="CB313" s="143">
        <v>0</v>
      </c>
      <c r="CC313" s="143">
        <v>0</v>
      </c>
      <c r="CD313" s="143">
        <v>0</v>
      </c>
      <c r="CE313" s="143">
        <v>0</v>
      </c>
      <c r="CF313" s="143">
        <v>0</v>
      </c>
      <c r="CG313" s="143">
        <v>0</v>
      </c>
      <c r="CH313" s="143">
        <v>0</v>
      </c>
      <c r="CI313" s="143">
        <v>0</v>
      </c>
      <c r="CJ313" s="143">
        <v>0</v>
      </c>
      <c r="CK313" s="143">
        <v>0</v>
      </c>
      <c r="CL313" s="143">
        <v>0</v>
      </c>
      <c r="CM313">
        <v>0</v>
      </c>
      <c r="CN313" t="str">
        <f t="shared" si="317"/>
        <v>refOK</v>
      </c>
      <c r="CO313">
        <f t="shared" si="318"/>
        <v>0</v>
      </c>
      <c r="CP313">
        <f t="shared" si="319"/>
        <v>132</v>
      </c>
      <c r="CQ313">
        <f t="shared" si="320"/>
        <v>573.16543638732094</v>
      </c>
      <c r="CR313">
        <f t="shared" si="321"/>
        <v>6</v>
      </c>
      <c r="CS313">
        <f t="shared" si="322"/>
        <v>84</v>
      </c>
      <c r="CT313">
        <f t="shared" si="323"/>
        <v>286.26</v>
      </c>
      <c r="CU313">
        <f t="shared" si="324"/>
        <v>0.4994369545454545</v>
      </c>
      <c r="CV313" s="2">
        <f t="shared" si="325"/>
        <v>13</v>
      </c>
      <c r="CW313" s="1" t="s">
        <v>263</v>
      </c>
      <c r="CX313" t="str">
        <f t="shared" si="326"/>
        <v>loc</v>
      </c>
      <c r="CY313" t="s">
        <v>444</v>
      </c>
      <c r="CZ313"/>
      <c r="DA313"/>
      <c r="DB313">
        <v>300</v>
      </c>
      <c r="DC313" t="str">
        <f t="shared" si="327"/>
        <v>+100</v>
      </c>
      <c r="DD313">
        <v>0</v>
      </c>
      <c r="DE313">
        <v>0</v>
      </c>
      <c r="DF313">
        <v>0</v>
      </c>
      <c r="DG313">
        <v>1</v>
      </c>
      <c r="DH313"/>
      <c r="DI313">
        <f t="shared" si="328"/>
        <v>1</v>
      </c>
      <c r="DJ313" t="str">
        <f t="shared" si="329"/>
        <v>TimberInput</v>
      </c>
      <c r="DK313">
        <f t="shared" si="330"/>
        <v>0</v>
      </c>
      <c r="DL313">
        <f t="shared" si="331"/>
        <v>0</v>
      </c>
      <c r="DM313">
        <f t="shared" si="332"/>
        <v>0</v>
      </c>
      <c r="DN313" t="str">
        <f t="shared" si="333"/>
        <v>Timber</v>
      </c>
      <c r="DO313">
        <v>1</v>
      </c>
      <c r="DP313" s="143">
        <v>0</v>
      </c>
      <c r="DQ313" s="143">
        <v>0</v>
      </c>
      <c r="DR313" s="143">
        <v>0</v>
      </c>
      <c r="DS313">
        <v>0</v>
      </c>
      <c r="DT313">
        <f t="shared" si="334"/>
        <v>1</v>
      </c>
      <c r="DU313" s="143" t="str">
        <f t="shared" si="335"/>
        <v>self-calculated DF</v>
      </c>
      <c r="DV313">
        <v>0</v>
      </c>
      <c r="DW313" s="143">
        <v>0</v>
      </c>
      <c r="DX313" s="143">
        <v>1</v>
      </c>
      <c r="DY313" s="143">
        <v>1</v>
      </c>
      <c r="DZ313">
        <v>1</v>
      </c>
      <c r="EA313" s="143">
        <v>1</v>
      </c>
      <c r="EB313">
        <v>0</v>
      </c>
      <c r="EC313" s="143">
        <v>1</v>
      </c>
      <c r="ED313" s="143">
        <v>0</v>
      </c>
      <c r="EE313">
        <v>0</v>
      </c>
      <c r="EF313">
        <v>0</v>
      </c>
      <c r="EG313" s="143">
        <v>0</v>
      </c>
      <c r="EH313" s="143">
        <v>0</v>
      </c>
      <c r="EI313" s="2">
        <v>0</v>
      </c>
      <c r="EJ313" s="1"/>
      <c r="EK313" t="str">
        <f t="shared" si="336"/>
        <v/>
      </c>
      <c r="EL313" t="str">
        <f t="shared" si="337"/>
        <v/>
      </c>
      <c r="EM313" s="2" t="str">
        <f t="shared" si="339"/>
        <v/>
      </c>
      <c r="EN313" t="s">
        <v>445</v>
      </c>
      <c r="EO313"/>
      <c r="EP313" t="str">
        <f>IF(ISNUMBER(BU313),IF(ABS(BU313-[5]QC_indicators!$B$2)&gt;3*[5]QC_indicators!$C$2,"C ratio",IF(ISNUMBER(BY313),IF(ABS(BY313-[5]QC_indicators!$B$1)&gt;3*[5]QC_indicators!$C$1,"DF","no"))),IF(ISNUMBER(BY313),IF(ABS(BY313-[5]QC_indicators!$B$1)&gt;3*[5]QC_indicators!$C$1,"DF","no")))</f>
        <v>no</v>
      </c>
      <c r="EQ313" t="s">
        <v>450</v>
      </c>
      <c r="ER313"/>
      <c r="ES313"/>
      <c r="ET313" s="264" t="s">
        <v>3272</v>
      </c>
      <c r="EU313"/>
    </row>
    <row r="314" spans="1:151" s="139" customFormat="1" ht="15" hidden="1" customHeight="1">
      <c r="A314" s="1" t="s">
        <v>430</v>
      </c>
      <c r="B314" t="s">
        <v>431</v>
      </c>
      <c r="C314" t="s">
        <v>432</v>
      </c>
      <c r="D314" t="s">
        <v>433</v>
      </c>
      <c r="E314" t="s">
        <v>434</v>
      </c>
      <c r="F314" t="s">
        <v>435</v>
      </c>
      <c r="G314" t="s">
        <v>436</v>
      </c>
      <c r="H314" t="s">
        <v>254</v>
      </c>
      <c r="I314">
        <v>2000</v>
      </c>
      <c r="J314">
        <v>174</v>
      </c>
      <c r="K314" t="s">
        <v>437</v>
      </c>
      <c r="L314"/>
      <c r="M314" t="str">
        <f t="shared" si="245"/>
        <v>Borjesson_2000</v>
      </c>
      <c r="N314" t="s">
        <v>222</v>
      </c>
      <c r="O314" s="145" t="s">
        <v>223</v>
      </c>
      <c r="P314"/>
      <c r="Q314" t="s">
        <v>256</v>
      </c>
      <c r="R314" s="255" t="s">
        <v>225</v>
      </c>
      <c r="S314" s="1" t="s">
        <v>475</v>
      </c>
      <c r="T314" t="s">
        <v>480</v>
      </c>
      <c r="U314" t="s">
        <v>485</v>
      </c>
      <c r="V314">
        <v>0</v>
      </c>
      <c r="W314">
        <v>0</v>
      </c>
      <c r="X314">
        <v>0</v>
      </c>
      <c r="Y314">
        <v>0</v>
      </c>
      <c r="Z314">
        <v>0</v>
      </c>
      <c r="AA314">
        <v>0</v>
      </c>
      <c r="AB314">
        <v>0</v>
      </c>
      <c r="AC314">
        <v>0</v>
      </c>
      <c r="AD314">
        <v>0</v>
      </c>
      <c r="AE314">
        <v>0</v>
      </c>
      <c r="AF314">
        <v>0</v>
      </c>
      <c r="AG314">
        <v>0</v>
      </c>
      <c r="AH314">
        <v>0</v>
      </c>
      <c r="AI314">
        <v>0</v>
      </c>
      <c r="AJ314">
        <v>0</v>
      </c>
      <c r="AK314">
        <v>1</v>
      </c>
      <c r="AL314">
        <v>0</v>
      </c>
      <c r="AM314">
        <v>0</v>
      </c>
      <c r="AN314">
        <v>0</v>
      </c>
      <c r="AO314">
        <v>0</v>
      </c>
      <c r="AP314">
        <v>0</v>
      </c>
      <c r="AQ314">
        <v>0</v>
      </c>
      <c r="AR314">
        <v>0</v>
      </c>
      <c r="AS314">
        <v>0</v>
      </c>
      <c r="AT314">
        <v>0</v>
      </c>
      <c r="AU314">
        <v>0</v>
      </c>
      <c r="AV314">
        <v>0</v>
      </c>
      <c r="AW314">
        <v>0</v>
      </c>
      <c r="AX314" s="141">
        <f t="shared" si="305"/>
        <v>1</v>
      </c>
      <c r="AY314" s="141">
        <f t="shared" si="306"/>
        <v>1</v>
      </c>
      <c r="AZ314">
        <f t="shared" si="307"/>
        <v>0</v>
      </c>
      <c r="BA314">
        <f t="shared" si="308"/>
        <v>0</v>
      </c>
      <c r="BB314">
        <f t="shared" si="309"/>
        <v>1</v>
      </c>
      <c r="BC314">
        <f t="shared" si="310"/>
        <v>0</v>
      </c>
      <c r="BD314">
        <f t="shared" si="311"/>
        <v>0</v>
      </c>
      <c r="BE314" t="str">
        <f t="array" ref="BE314">IF(AY314=1,INDEX($V$7:$AL$7,MATCH(TRUE,INDEX($V314:$AW314&lt;&gt;0,),0)),IF(AY314=0,INDEX($AM$7:$AW$7,MATCH(1,$AM314:$AW314,0)),IF(BF314="Multiple strategies","mixed drivers",IF(BF314="Supply chain","multiple supply","multiple silviculture"))))</f>
        <v>technologies/design switch</v>
      </c>
      <c r="BF314" s="2" t="str" cm="1">
        <f t="array" ref="BF314">IF(COUNTIF(AZ314:BB314,"&lt;&gt;0")=1,INDEX($V$4:$AW$4,MATCH(TRUE,INDEX($V314:$AW314&lt;&gt;0,),0)),IF(COUNTIF(AZ314:BB314,"&lt;&gt;0")=0,INDEX($AM$4:$AW$4,MATCH(1,$AM314:$AW314,0)),"Multiple strategies"))</f>
        <v>Technology</v>
      </c>
      <c r="BG314" s="142" t="s">
        <v>321</v>
      </c>
      <c r="BH314" t="s">
        <v>478</v>
      </c>
      <c r="BI314" s="264" t="s">
        <v>3275</v>
      </c>
      <c r="BJ314" t="s">
        <v>442</v>
      </c>
      <c r="BK314">
        <v>0</v>
      </c>
      <c r="BL314">
        <v>45</v>
      </c>
      <c r="BM314" s="143"/>
      <c r="BN314">
        <f t="shared" si="312"/>
        <v>45</v>
      </c>
      <c r="BO314">
        <f t="shared" si="313"/>
        <v>195.39730785931394</v>
      </c>
      <c r="BP314" t="s">
        <v>232</v>
      </c>
      <c r="BQ314" s="260" t="s">
        <v>813</v>
      </c>
      <c r="BR314" t="s">
        <v>443</v>
      </c>
      <c r="BS314" s="141">
        <v>3</v>
      </c>
      <c r="BT314" s="141">
        <v>30</v>
      </c>
      <c r="BU314" s="144">
        <f t="shared" si="314"/>
        <v>10</v>
      </c>
      <c r="BV314">
        <f t="shared" si="315"/>
        <v>27</v>
      </c>
      <c r="BW314"/>
      <c r="BX314">
        <f t="shared" si="316"/>
        <v>99.09</v>
      </c>
      <c r="BY314">
        <f t="shared" si="338"/>
        <v>0.50712060000000003</v>
      </c>
      <c r="BZ314" s="143">
        <v>0</v>
      </c>
      <c r="CA314" s="143">
        <v>0</v>
      </c>
      <c r="CB314" s="143">
        <v>0</v>
      </c>
      <c r="CC314" s="143">
        <v>0</v>
      </c>
      <c r="CD314" s="143">
        <v>0</v>
      </c>
      <c r="CE314" s="143">
        <v>0</v>
      </c>
      <c r="CF314" s="143">
        <v>0</v>
      </c>
      <c r="CG314" s="143">
        <v>0</v>
      </c>
      <c r="CH314" s="143">
        <v>0</v>
      </c>
      <c r="CI314" s="143">
        <v>0</v>
      </c>
      <c r="CJ314" s="143">
        <v>0</v>
      </c>
      <c r="CK314" s="143">
        <v>0</v>
      </c>
      <c r="CL314" s="143">
        <v>0</v>
      </c>
      <c r="CM314">
        <v>0</v>
      </c>
      <c r="CN314" t="str">
        <f t="shared" si="317"/>
        <v>refOK</v>
      </c>
      <c r="CO314">
        <f t="shared" si="318"/>
        <v>0</v>
      </c>
      <c r="CP314">
        <f t="shared" si="319"/>
        <v>45</v>
      </c>
      <c r="CQ314">
        <f t="shared" si="320"/>
        <v>195.39730785931394</v>
      </c>
      <c r="CR314">
        <f t="shared" si="321"/>
        <v>3</v>
      </c>
      <c r="CS314">
        <f t="shared" si="322"/>
        <v>30</v>
      </c>
      <c r="CT314">
        <f t="shared" si="323"/>
        <v>99.09</v>
      </c>
      <c r="CU314">
        <f t="shared" si="324"/>
        <v>0.50712060000000003</v>
      </c>
      <c r="CV314" s="2">
        <f t="shared" si="325"/>
        <v>9</v>
      </c>
      <c r="CW314" s="1" t="s">
        <v>263</v>
      </c>
      <c r="CX314" t="str">
        <f t="shared" si="326"/>
        <v>loc</v>
      </c>
      <c r="CY314" t="s">
        <v>444</v>
      </c>
      <c r="CZ314"/>
      <c r="DA314"/>
      <c r="DB314">
        <v>300</v>
      </c>
      <c r="DC314" t="str">
        <f t="shared" si="327"/>
        <v>+100</v>
      </c>
      <c r="DD314">
        <v>0</v>
      </c>
      <c r="DE314">
        <v>1</v>
      </c>
      <c r="DF314">
        <v>0</v>
      </c>
      <c r="DG314">
        <v>0</v>
      </c>
      <c r="DH314"/>
      <c r="DI314">
        <f t="shared" si="328"/>
        <v>1</v>
      </c>
      <c r="DJ314" t="str">
        <f t="shared" si="329"/>
        <v>EnergyInput</v>
      </c>
      <c r="DK314">
        <f t="shared" si="330"/>
        <v>0</v>
      </c>
      <c r="DL314" t="str">
        <f t="shared" si="331"/>
        <v>Energy</v>
      </c>
      <c r="DM314">
        <f t="shared" si="332"/>
        <v>0</v>
      </c>
      <c r="DN314">
        <f t="shared" si="333"/>
        <v>0</v>
      </c>
      <c r="DO314">
        <v>1</v>
      </c>
      <c r="DP314" s="143">
        <v>0</v>
      </c>
      <c r="DQ314" s="143">
        <v>0</v>
      </c>
      <c r="DR314" s="143">
        <v>0</v>
      </c>
      <c r="DS314">
        <v>0</v>
      </c>
      <c r="DT314">
        <f t="shared" si="334"/>
        <v>1</v>
      </c>
      <c r="DU314" s="143" t="str">
        <f t="shared" si="335"/>
        <v>self-calculated DF</v>
      </c>
      <c r="DV314">
        <v>0</v>
      </c>
      <c r="DW314" s="143">
        <v>0</v>
      </c>
      <c r="DX314" s="143">
        <v>1</v>
      </c>
      <c r="DY314" s="143">
        <v>1</v>
      </c>
      <c r="DZ314">
        <v>1</v>
      </c>
      <c r="EA314" s="143">
        <v>1</v>
      </c>
      <c r="EB314">
        <v>0</v>
      </c>
      <c r="EC314" s="143">
        <v>1</v>
      </c>
      <c r="ED314" s="143">
        <v>0</v>
      </c>
      <c r="EE314">
        <v>0</v>
      </c>
      <c r="EF314">
        <v>0</v>
      </c>
      <c r="EG314" s="143">
        <v>0</v>
      </c>
      <c r="EH314" s="143">
        <v>0</v>
      </c>
      <c r="EI314" s="2">
        <v>0</v>
      </c>
      <c r="EJ314" s="1"/>
      <c r="EK314" t="str">
        <f t="shared" si="336"/>
        <v/>
      </c>
      <c r="EL314" t="str">
        <f t="shared" si="337"/>
        <v/>
      </c>
      <c r="EM314" s="2" t="str">
        <f t="shared" si="339"/>
        <v/>
      </c>
      <c r="EN314"/>
      <c r="EO314"/>
      <c r="EP314" t="str">
        <f>IF(ISNUMBER(BU314),IF(ABS(BU314-[5]QC_indicators!$B$2)&gt;3*[5]QC_indicators!$C$2,"C ratio",IF(ISNUMBER(BY314),IF(ABS(BY314-[5]QC_indicators!$B$1)&gt;3*[5]QC_indicators!$C$1,"DF","no"))),IF(ISNUMBER(BY314),IF(ABS(BY314-[5]QC_indicators!$B$1)&gt;3*[5]QC_indicators!$C$1,"DF","no")))</f>
        <v>no</v>
      </c>
      <c r="EQ314"/>
      <c r="ER314" t="s">
        <v>479</v>
      </c>
      <c r="ES314"/>
      <c r="ET314" s="264" t="s">
        <v>3272</v>
      </c>
      <c r="EU314"/>
    </row>
    <row r="315" spans="1:151" s="139" customFormat="1" ht="15" hidden="1" customHeight="1">
      <c r="A315" s="1" t="s">
        <v>430</v>
      </c>
      <c r="B315" t="s">
        <v>431</v>
      </c>
      <c r="C315" t="s">
        <v>432</v>
      </c>
      <c r="D315" t="s">
        <v>433</v>
      </c>
      <c r="E315" t="s">
        <v>434</v>
      </c>
      <c r="F315" t="s">
        <v>435</v>
      </c>
      <c r="G315" t="s">
        <v>436</v>
      </c>
      <c r="H315" t="s">
        <v>254</v>
      </c>
      <c r="I315">
        <v>2000</v>
      </c>
      <c r="J315">
        <v>174</v>
      </c>
      <c r="K315" t="s">
        <v>437</v>
      </c>
      <c r="L315"/>
      <c r="M315" t="str">
        <f t="shared" si="245"/>
        <v>Borjesson_2000</v>
      </c>
      <c r="N315" t="s">
        <v>222</v>
      </c>
      <c r="O315" s="145" t="s">
        <v>223</v>
      </c>
      <c r="P315"/>
      <c r="Q315" t="s">
        <v>256</v>
      </c>
      <c r="R315" s="255" t="s">
        <v>225</v>
      </c>
      <c r="S315" s="1" t="s">
        <v>475</v>
      </c>
      <c r="T315" t="s">
        <v>476</v>
      </c>
      <c r="U315" t="s">
        <v>484</v>
      </c>
      <c r="V315">
        <v>0</v>
      </c>
      <c r="W315">
        <v>0</v>
      </c>
      <c r="X315">
        <v>0</v>
      </c>
      <c r="Y315">
        <v>0</v>
      </c>
      <c r="Z315">
        <v>0</v>
      </c>
      <c r="AA315">
        <v>0</v>
      </c>
      <c r="AB315">
        <v>0</v>
      </c>
      <c r="AC315">
        <v>0</v>
      </c>
      <c r="AD315">
        <v>0</v>
      </c>
      <c r="AE315">
        <v>0</v>
      </c>
      <c r="AF315">
        <v>0</v>
      </c>
      <c r="AG315">
        <v>0</v>
      </c>
      <c r="AH315">
        <v>0</v>
      </c>
      <c r="AI315">
        <v>0</v>
      </c>
      <c r="AJ315">
        <v>0</v>
      </c>
      <c r="AK315">
        <v>1</v>
      </c>
      <c r="AL315">
        <v>0</v>
      </c>
      <c r="AM315">
        <v>0</v>
      </c>
      <c r="AN315">
        <v>0</v>
      </c>
      <c r="AO315">
        <v>0</v>
      </c>
      <c r="AP315">
        <v>0</v>
      </c>
      <c r="AQ315">
        <v>0</v>
      </c>
      <c r="AR315">
        <v>0</v>
      </c>
      <c r="AS315">
        <v>0</v>
      </c>
      <c r="AT315">
        <v>0</v>
      </c>
      <c r="AU315">
        <v>0</v>
      </c>
      <c r="AV315">
        <v>0</v>
      </c>
      <c r="AW315">
        <v>0</v>
      </c>
      <c r="AX315" s="141">
        <f t="shared" si="305"/>
        <v>1</v>
      </c>
      <c r="AY315" s="141">
        <f t="shared" si="306"/>
        <v>1</v>
      </c>
      <c r="AZ315">
        <f t="shared" si="307"/>
        <v>0</v>
      </c>
      <c r="BA315">
        <f t="shared" si="308"/>
        <v>0</v>
      </c>
      <c r="BB315">
        <f t="shared" si="309"/>
        <v>1</v>
      </c>
      <c r="BC315">
        <f t="shared" si="310"/>
        <v>0</v>
      </c>
      <c r="BD315">
        <f t="shared" si="311"/>
        <v>0</v>
      </c>
      <c r="BE315" t="str">
        <f t="array" ref="BE315">IF(AY315=1,INDEX($V$7:$AL$7,MATCH(TRUE,INDEX($V315:$AW315&lt;&gt;0,),0)),IF(AY315=0,INDEX($AM$7:$AW$7,MATCH(1,$AM315:$AW315,0)),IF(BF315="Multiple strategies","mixed drivers",IF(BF315="Supply chain","multiple supply","multiple silviculture"))))</f>
        <v>technologies/design switch</v>
      </c>
      <c r="BF315" s="2" t="str" cm="1">
        <f t="array" ref="BF315">IF(COUNTIF(AZ315:BB315,"&lt;&gt;0")=1,INDEX($V$4:$AW$4,MATCH(TRUE,INDEX($V315:$AW315&lt;&gt;0,),0)),IF(COUNTIF(AZ315:BB315,"&lt;&gt;0")=0,INDEX($AM$4:$AW$4,MATCH(1,$AM315:$AW315,0)),"Multiple strategies"))</f>
        <v>Technology</v>
      </c>
      <c r="BG315" s="142" t="s">
        <v>321</v>
      </c>
      <c r="BH315" t="s">
        <v>478</v>
      </c>
      <c r="BI315" s="264" t="s">
        <v>3274</v>
      </c>
      <c r="BJ315" t="s">
        <v>442</v>
      </c>
      <c r="BK315">
        <v>0</v>
      </c>
      <c r="BL315">
        <v>54</v>
      </c>
      <c r="BM315" s="143"/>
      <c r="BN315">
        <f t="shared" si="312"/>
        <v>54</v>
      </c>
      <c r="BO315">
        <f t="shared" si="313"/>
        <v>234.47676943117673</v>
      </c>
      <c r="BP315" t="s">
        <v>232</v>
      </c>
      <c r="BQ315" s="260" t="s">
        <v>813</v>
      </c>
      <c r="BR315" t="s">
        <v>443</v>
      </c>
      <c r="BS315" s="141">
        <v>6</v>
      </c>
      <c r="BT315" s="141">
        <v>39</v>
      </c>
      <c r="BU315" s="144">
        <f t="shared" si="314"/>
        <v>6.5</v>
      </c>
      <c r="BV315">
        <f t="shared" si="315"/>
        <v>33</v>
      </c>
      <c r="BW315"/>
      <c r="BX315">
        <f t="shared" si="316"/>
        <v>121.11</v>
      </c>
      <c r="BY315">
        <f t="shared" si="338"/>
        <v>0.51651172222222219</v>
      </c>
      <c r="BZ315" s="143">
        <v>0</v>
      </c>
      <c r="CA315" s="143">
        <v>0</v>
      </c>
      <c r="CB315" s="143">
        <v>0</v>
      </c>
      <c r="CC315" s="143">
        <v>0</v>
      </c>
      <c r="CD315" s="143">
        <v>0</v>
      </c>
      <c r="CE315" s="143">
        <v>0</v>
      </c>
      <c r="CF315" s="143">
        <v>0</v>
      </c>
      <c r="CG315" s="143">
        <v>0</v>
      </c>
      <c r="CH315" s="143">
        <v>0</v>
      </c>
      <c r="CI315" s="143">
        <v>0</v>
      </c>
      <c r="CJ315" s="143">
        <v>0</v>
      </c>
      <c r="CK315" s="143">
        <v>0</v>
      </c>
      <c r="CL315" s="143">
        <v>0</v>
      </c>
      <c r="CM315">
        <v>0</v>
      </c>
      <c r="CN315" t="str">
        <f t="shared" si="317"/>
        <v>refOK</v>
      </c>
      <c r="CO315">
        <f t="shared" si="318"/>
        <v>0</v>
      </c>
      <c r="CP315">
        <f t="shared" si="319"/>
        <v>54</v>
      </c>
      <c r="CQ315">
        <f t="shared" si="320"/>
        <v>234.47676943117673</v>
      </c>
      <c r="CR315">
        <f t="shared" si="321"/>
        <v>6</v>
      </c>
      <c r="CS315">
        <f t="shared" si="322"/>
        <v>39</v>
      </c>
      <c r="CT315">
        <f t="shared" si="323"/>
        <v>121.11</v>
      </c>
      <c r="CU315">
        <f t="shared" si="324"/>
        <v>0.51651172222222219</v>
      </c>
      <c r="CV315" s="2">
        <f t="shared" si="325"/>
        <v>5.5</v>
      </c>
      <c r="CW315" s="1" t="s">
        <v>263</v>
      </c>
      <c r="CX315" t="str">
        <f t="shared" si="326"/>
        <v>loc</v>
      </c>
      <c r="CY315" t="s">
        <v>444</v>
      </c>
      <c r="CZ315"/>
      <c r="DA315"/>
      <c r="DB315">
        <v>300</v>
      </c>
      <c r="DC315" t="str">
        <f t="shared" si="327"/>
        <v>+100</v>
      </c>
      <c r="DD315">
        <v>0</v>
      </c>
      <c r="DE315">
        <v>1</v>
      </c>
      <c r="DF315">
        <v>0</v>
      </c>
      <c r="DG315">
        <v>0</v>
      </c>
      <c r="DH315"/>
      <c r="DI315">
        <f t="shared" si="328"/>
        <v>1</v>
      </c>
      <c r="DJ315" t="str">
        <f t="shared" si="329"/>
        <v>EnergyInput</v>
      </c>
      <c r="DK315">
        <f t="shared" si="330"/>
        <v>0</v>
      </c>
      <c r="DL315" t="str">
        <f t="shared" si="331"/>
        <v>Energy</v>
      </c>
      <c r="DM315">
        <f t="shared" si="332"/>
        <v>0</v>
      </c>
      <c r="DN315">
        <f t="shared" si="333"/>
        <v>0</v>
      </c>
      <c r="DO315">
        <v>1</v>
      </c>
      <c r="DP315" s="143">
        <v>0</v>
      </c>
      <c r="DQ315" s="143">
        <v>0</v>
      </c>
      <c r="DR315" s="143">
        <v>0</v>
      </c>
      <c r="DS315">
        <v>0</v>
      </c>
      <c r="DT315">
        <f t="shared" si="334"/>
        <v>1</v>
      </c>
      <c r="DU315" s="143" t="str">
        <f t="shared" si="335"/>
        <v>self-calculated DF</v>
      </c>
      <c r="DV315">
        <v>0</v>
      </c>
      <c r="DW315" s="143">
        <v>0</v>
      </c>
      <c r="DX315" s="143">
        <v>1</v>
      </c>
      <c r="DY315" s="143">
        <v>1</v>
      </c>
      <c r="DZ315">
        <v>1</v>
      </c>
      <c r="EA315" s="143">
        <v>1</v>
      </c>
      <c r="EB315">
        <v>0</v>
      </c>
      <c r="EC315" s="143">
        <v>1</v>
      </c>
      <c r="ED315" s="143">
        <v>0</v>
      </c>
      <c r="EE315">
        <v>0</v>
      </c>
      <c r="EF315">
        <v>0</v>
      </c>
      <c r="EG315" s="143">
        <v>0</v>
      </c>
      <c r="EH315" s="143">
        <v>0</v>
      </c>
      <c r="EI315" s="2">
        <v>0</v>
      </c>
      <c r="EJ315" s="1"/>
      <c r="EK315" t="str">
        <f t="shared" si="336"/>
        <v/>
      </c>
      <c r="EL315" t="str">
        <f t="shared" si="337"/>
        <v/>
      </c>
      <c r="EM315" s="2" t="str">
        <f t="shared" si="339"/>
        <v/>
      </c>
      <c r="EN315"/>
      <c r="EO315"/>
      <c r="EP315" t="str">
        <f>IF(ISNUMBER(BU315),IF(ABS(BU315-[5]QC_indicators!$B$2)&gt;3*[5]QC_indicators!$C$2,"C ratio",IF(ISNUMBER(BY315),IF(ABS(BY315-[5]QC_indicators!$B$1)&gt;3*[5]QC_indicators!$C$1,"DF","no"))),IF(ISNUMBER(BY315),IF(ABS(BY315-[5]QC_indicators!$B$1)&gt;3*[5]QC_indicators!$C$1,"DF","no")))</f>
        <v>no</v>
      </c>
      <c r="EQ315"/>
      <c r="ER315" t="s">
        <v>479</v>
      </c>
      <c r="ES315"/>
      <c r="ET315" s="264" t="s">
        <v>3272</v>
      </c>
      <c r="EU315"/>
    </row>
    <row r="316" spans="1:151" s="139" customFormat="1" ht="15" hidden="1" customHeight="1">
      <c r="A316" s="1" t="s">
        <v>430</v>
      </c>
      <c r="B316" t="s">
        <v>431</v>
      </c>
      <c r="C316" t="s">
        <v>432</v>
      </c>
      <c r="D316" t="s">
        <v>433</v>
      </c>
      <c r="E316" t="s">
        <v>434</v>
      </c>
      <c r="F316" t="s">
        <v>435</v>
      </c>
      <c r="G316" t="s">
        <v>436</v>
      </c>
      <c r="H316" t="s">
        <v>254</v>
      </c>
      <c r="I316">
        <v>2000</v>
      </c>
      <c r="J316">
        <v>174</v>
      </c>
      <c r="K316" t="s">
        <v>437</v>
      </c>
      <c r="L316"/>
      <c r="M316" t="str">
        <f t="shared" si="245"/>
        <v>Borjesson_2000</v>
      </c>
      <c r="N316" t="s">
        <v>222</v>
      </c>
      <c r="O316" s="145" t="s">
        <v>223</v>
      </c>
      <c r="P316"/>
      <c r="Q316" t="s">
        <v>256</v>
      </c>
      <c r="R316" s="255" t="s">
        <v>225</v>
      </c>
      <c r="S316" s="1" t="s">
        <v>438</v>
      </c>
      <c r="T316" t="s">
        <v>449</v>
      </c>
      <c r="U316" t="s">
        <v>452</v>
      </c>
      <c r="V316">
        <v>0</v>
      </c>
      <c r="W316">
        <v>0</v>
      </c>
      <c r="X316">
        <v>0</v>
      </c>
      <c r="Y316">
        <v>0</v>
      </c>
      <c r="Z316">
        <v>0</v>
      </c>
      <c r="AA316">
        <v>0</v>
      </c>
      <c r="AB316">
        <v>0</v>
      </c>
      <c r="AC316">
        <v>0</v>
      </c>
      <c r="AD316">
        <v>0</v>
      </c>
      <c r="AE316">
        <v>0</v>
      </c>
      <c r="AF316">
        <v>0</v>
      </c>
      <c r="AG316">
        <v>0</v>
      </c>
      <c r="AH316">
        <v>0</v>
      </c>
      <c r="AI316">
        <v>0</v>
      </c>
      <c r="AJ316">
        <v>0</v>
      </c>
      <c r="AK316">
        <v>1</v>
      </c>
      <c r="AL316">
        <v>0</v>
      </c>
      <c r="AM316">
        <v>0</v>
      </c>
      <c r="AN316">
        <v>0</v>
      </c>
      <c r="AO316">
        <v>0</v>
      </c>
      <c r="AP316">
        <v>0</v>
      </c>
      <c r="AQ316">
        <v>0</v>
      </c>
      <c r="AR316">
        <v>0</v>
      </c>
      <c r="AS316">
        <v>0</v>
      </c>
      <c r="AT316">
        <v>0</v>
      </c>
      <c r="AU316">
        <v>0</v>
      </c>
      <c r="AV316">
        <v>0</v>
      </c>
      <c r="AW316">
        <v>0</v>
      </c>
      <c r="AX316" s="141">
        <f t="shared" si="305"/>
        <v>1</v>
      </c>
      <c r="AY316" s="141">
        <f t="shared" si="306"/>
        <v>1</v>
      </c>
      <c r="AZ316">
        <f t="shared" si="307"/>
        <v>0</v>
      </c>
      <c r="BA316">
        <f t="shared" si="308"/>
        <v>0</v>
      </c>
      <c r="BB316">
        <f t="shared" si="309"/>
        <v>1</v>
      </c>
      <c r="BC316">
        <f t="shared" si="310"/>
        <v>0</v>
      </c>
      <c r="BD316">
        <f t="shared" si="311"/>
        <v>0</v>
      </c>
      <c r="BE316" t="str">
        <f t="array" ref="BE316">IF(AY316=1,INDEX($V$7:$AL$7,MATCH(TRUE,INDEX($V316:$AW316&lt;&gt;0,),0)),IF(AY316=0,INDEX($AM$7:$AW$7,MATCH(1,$AM316:$AW316,0)),IF(BF316="Multiple strategies","mixed drivers",IF(BF316="Supply chain","multiple supply","multiple silviculture"))))</f>
        <v>technologies/design switch</v>
      </c>
      <c r="BF316" s="2" t="str" cm="1">
        <f t="array" ref="BF316">IF(COUNTIF(AZ316:BB316,"&lt;&gt;0")=1,INDEX($V$4:$AW$4,MATCH(TRUE,INDEX($V316:$AW316&lt;&gt;0,),0)),IF(COUNTIF(AZ316:BB316,"&lt;&gt;0")=0,INDEX($AM$4:$AW$4,MATCH(1,$AM316:$AW316,0)),"Multiple strategies"))</f>
        <v>Technology</v>
      </c>
      <c r="BG316" s="142" t="s">
        <v>229</v>
      </c>
      <c r="BH316" t="s">
        <v>441</v>
      </c>
      <c r="BI316" s="264" t="s">
        <v>3273</v>
      </c>
      <c r="BJ316" s="143" t="s">
        <v>442</v>
      </c>
      <c r="BK316">
        <v>0</v>
      </c>
      <c r="BL316">
        <f>3*44</f>
        <v>132</v>
      </c>
      <c r="BM316" s="143" t="e">
        <f>BL316/BK316</f>
        <v>#DIV/0!</v>
      </c>
      <c r="BN316">
        <f t="shared" si="312"/>
        <v>132</v>
      </c>
      <c r="BO316">
        <f t="shared" si="313"/>
        <v>573.16543638732094</v>
      </c>
      <c r="BP316" t="s">
        <v>232</v>
      </c>
      <c r="BQ316" s="260" t="s">
        <v>813</v>
      </c>
      <c r="BR316" t="s">
        <v>443</v>
      </c>
      <c r="BS316" s="141">
        <v>3</v>
      </c>
      <c r="BT316" s="141">
        <v>84</v>
      </c>
      <c r="BU316" s="144">
        <f t="shared" si="314"/>
        <v>28</v>
      </c>
      <c r="BV316">
        <f t="shared" si="315"/>
        <v>81</v>
      </c>
      <c r="BW316"/>
      <c r="BX316">
        <f t="shared" si="316"/>
        <v>297.27</v>
      </c>
      <c r="BY316">
        <f t="shared" si="338"/>
        <v>0.51864606818181813</v>
      </c>
      <c r="BZ316" s="143">
        <v>0</v>
      </c>
      <c r="CA316" s="143">
        <v>0</v>
      </c>
      <c r="CB316" s="143">
        <v>0</v>
      </c>
      <c r="CC316" s="143">
        <v>0</v>
      </c>
      <c r="CD316" s="143">
        <v>0</v>
      </c>
      <c r="CE316" s="143">
        <v>0</v>
      </c>
      <c r="CF316" s="143">
        <v>0</v>
      </c>
      <c r="CG316" s="143">
        <v>0</v>
      </c>
      <c r="CH316" s="143">
        <v>0</v>
      </c>
      <c r="CI316" s="143">
        <v>0</v>
      </c>
      <c r="CJ316" s="143">
        <v>0</v>
      </c>
      <c r="CK316" s="143">
        <v>0</v>
      </c>
      <c r="CL316" s="143">
        <v>0</v>
      </c>
      <c r="CM316">
        <v>0</v>
      </c>
      <c r="CN316" t="str">
        <f t="shared" si="317"/>
        <v>refOK</v>
      </c>
      <c r="CO316">
        <f t="shared" si="318"/>
        <v>0</v>
      </c>
      <c r="CP316">
        <f t="shared" si="319"/>
        <v>132</v>
      </c>
      <c r="CQ316">
        <f t="shared" si="320"/>
        <v>573.16543638732094</v>
      </c>
      <c r="CR316">
        <f t="shared" si="321"/>
        <v>3</v>
      </c>
      <c r="CS316">
        <f t="shared" si="322"/>
        <v>84</v>
      </c>
      <c r="CT316">
        <f t="shared" si="323"/>
        <v>297.27</v>
      </c>
      <c r="CU316">
        <f t="shared" si="324"/>
        <v>0.51864606818181813</v>
      </c>
      <c r="CV316" s="2">
        <f t="shared" si="325"/>
        <v>27</v>
      </c>
      <c r="CW316" s="1" t="s">
        <v>263</v>
      </c>
      <c r="CX316" t="str">
        <f t="shared" si="326"/>
        <v>loc</v>
      </c>
      <c r="CY316" t="s">
        <v>444</v>
      </c>
      <c r="CZ316"/>
      <c r="DA316"/>
      <c r="DB316">
        <v>300</v>
      </c>
      <c r="DC316" t="str">
        <f t="shared" si="327"/>
        <v>+100</v>
      </c>
      <c r="DD316">
        <v>0</v>
      </c>
      <c r="DE316">
        <v>0</v>
      </c>
      <c r="DF316">
        <v>0</v>
      </c>
      <c r="DG316">
        <v>1</v>
      </c>
      <c r="DH316"/>
      <c r="DI316">
        <f t="shared" si="328"/>
        <v>1</v>
      </c>
      <c r="DJ316" t="str">
        <f t="shared" si="329"/>
        <v>TimberInput</v>
      </c>
      <c r="DK316">
        <f t="shared" si="330"/>
        <v>0</v>
      </c>
      <c r="DL316">
        <f t="shared" si="331"/>
        <v>0</v>
      </c>
      <c r="DM316">
        <f t="shared" si="332"/>
        <v>0</v>
      </c>
      <c r="DN316" t="str">
        <f t="shared" si="333"/>
        <v>Timber</v>
      </c>
      <c r="DO316">
        <v>1</v>
      </c>
      <c r="DP316" s="143">
        <v>0</v>
      </c>
      <c r="DQ316" s="143">
        <v>0</v>
      </c>
      <c r="DR316" s="143">
        <v>0</v>
      </c>
      <c r="DS316">
        <v>0</v>
      </c>
      <c r="DT316">
        <f t="shared" si="334"/>
        <v>1</v>
      </c>
      <c r="DU316" s="143" t="str">
        <f t="shared" si="335"/>
        <v>self-calculated DF</v>
      </c>
      <c r="DV316">
        <v>0</v>
      </c>
      <c r="DW316" s="143">
        <v>0</v>
      </c>
      <c r="DX316" s="143">
        <v>1</v>
      </c>
      <c r="DY316" s="143">
        <v>1</v>
      </c>
      <c r="DZ316">
        <v>1</v>
      </c>
      <c r="EA316" s="143">
        <v>1</v>
      </c>
      <c r="EB316">
        <v>0</v>
      </c>
      <c r="EC316" s="143">
        <v>1</v>
      </c>
      <c r="ED316" s="143">
        <v>0</v>
      </c>
      <c r="EE316">
        <v>0</v>
      </c>
      <c r="EF316">
        <v>0</v>
      </c>
      <c r="EG316" s="143">
        <v>0</v>
      </c>
      <c r="EH316" s="143">
        <v>0</v>
      </c>
      <c r="EI316" s="2">
        <v>0</v>
      </c>
      <c r="EJ316" s="1"/>
      <c r="EK316" t="str">
        <f t="shared" si="336"/>
        <v/>
      </c>
      <c r="EL316" t="str">
        <f t="shared" si="337"/>
        <v/>
      </c>
      <c r="EM316" s="2" t="str">
        <f t="shared" si="339"/>
        <v/>
      </c>
      <c r="EN316" t="s">
        <v>445</v>
      </c>
      <c r="EO316"/>
      <c r="EP316" t="str">
        <f>IF(ISNUMBER(BU316),IF(ABS(BU316-[5]QC_indicators!$B$2)&gt;3*[5]QC_indicators!$C$2,"C ratio",IF(ISNUMBER(BY316),IF(ABS(BY316-[5]QC_indicators!$B$1)&gt;3*[5]QC_indicators!$C$1,"DF","no"))),IF(ISNUMBER(BY316),IF(ABS(BY316-[5]QC_indicators!$B$1)&gt;3*[5]QC_indicators!$C$1,"DF","no")))</f>
        <v>C ratio</v>
      </c>
      <c r="EQ316" t="s">
        <v>450</v>
      </c>
      <c r="ER316"/>
      <c r="ES316"/>
      <c r="ET316" s="264" t="s">
        <v>3272</v>
      </c>
      <c r="EU316"/>
    </row>
    <row r="317" spans="1:151" s="139" customFormat="1" ht="15" hidden="1" customHeight="1">
      <c r="A317" s="1" t="s">
        <v>430</v>
      </c>
      <c r="B317" t="s">
        <v>431</v>
      </c>
      <c r="C317" t="s">
        <v>432</v>
      </c>
      <c r="D317" t="s">
        <v>433</v>
      </c>
      <c r="E317" t="s">
        <v>434</v>
      </c>
      <c r="F317" t="s">
        <v>435</v>
      </c>
      <c r="G317" t="s">
        <v>436</v>
      </c>
      <c r="H317" t="s">
        <v>254</v>
      </c>
      <c r="I317">
        <v>2000</v>
      </c>
      <c r="J317">
        <v>174</v>
      </c>
      <c r="K317" t="s">
        <v>437</v>
      </c>
      <c r="L317"/>
      <c r="M317" t="str">
        <f t="shared" si="245"/>
        <v>Borjesson_2000</v>
      </c>
      <c r="N317" t="s">
        <v>222</v>
      </c>
      <c r="O317" s="145" t="s">
        <v>223</v>
      </c>
      <c r="P317"/>
      <c r="Q317" t="s">
        <v>256</v>
      </c>
      <c r="R317" s="255" t="s">
        <v>225</v>
      </c>
      <c r="S317" s="1" t="s">
        <v>438</v>
      </c>
      <c r="T317" t="s">
        <v>447</v>
      </c>
      <c r="U317" t="s">
        <v>456</v>
      </c>
      <c r="V317">
        <v>0</v>
      </c>
      <c r="W317">
        <v>0</v>
      </c>
      <c r="X317">
        <v>0</v>
      </c>
      <c r="Y317">
        <v>0</v>
      </c>
      <c r="Z317">
        <v>0</v>
      </c>
      <c r="AA317">
        <v>0</v>
      </c>
      <c r="AB317">
        <v>0</v>
      </c>
      <c r="AC317">
        <v>0</v>
      </c>
      <c r="AD317">
        <v>0</v>
      </c>
      <c r="AE317">
        <v>0</v>
      </c>
      <c r="AF317">
        <v>0</v>
      </c>
      <c r="AG317">
        <v>0</v>
      </c>
      <c r="AH317">
        <v>0</v>
      </c>
      <c r="AI317">
        <v>0</v>
      </c>
      <c r="AJ317">
        <v>0</v>
      </c>
      <c r="AK317">
        <v>1</v>
      </c>
      <c r="AL317">
        <v>0</v>
      </c>
      <c r="AM317">
        <v>0</v>
      </c>
      <c r="AN317">
        <v>0</v>
      </c>
      <c r="AO317">
        <v>0</v>
      </c>
      <c r="AP317">
        <v>0</v>
      </c>
      <c r="AQ317">
        <v>0</v>
      </c>
      <c r="AR317">
        <v>0</v>
      </c>
      <c r="AS317">
        <v>0</v>
      </c>
      <c r="AT317">
        <v>0</v>
      </c>
      <c r="AU317">
        <v>0</v>
      </c>
      <c r="AV317">
        <v>0</v>
      </c>
      <c r="AW317">
        <v>0</v>
      </c>
      <c r="AX317" s="141">
        <f t="shared" si="305"/>
        <v>1</v>
      </c>
      <c r="AY317" s="141">
        <f t="shared" si="306"/>
        <v>1</v>
      </c>
      <c r="AZ317">
        <f t="shared" si="307"/>
        <v>0</v>
      </c>
      <c r="BA317">
        <f t="shared" si="308"/>
        <v>0</v>
      </c>
      <c r="BB317">
        <f t="shared" si="309"/>
        <v>1</v>
      </c>
      <c r="BC317">
        <f t="shared" si="310"/>
        <v>0</v>
      </c>
      <c r="BD317">
        <f t="shared" si="311"/>
        <v>0</v>
      </c>
      <c r="BE317" t="str">
        <f t="array" ref="BE317">IF(AY317=1,INDEX($V$7:$AL$7,MATCH(TRUE,INDEX($V317:$AW317&lt;&gt;0,),0)),IF(AY317=0,INDEX($AM$7:$AW$7,MATCH(1,$AM317:$AW317,0)),IF(BF317="Multiple strategies","mixed drivers",IF(BF317="Supply chain","multiple supply","multiple silviculture"))))</f>
        <v>technologies/design switch</v>
      </c>
      <c r="BF317" s="2" t="str" cm="1">
        <f t="array" ref="BF317">IF(COUNTIF(AZ317:BB317,"&lt;&gt;0")=1,INDEX($V$4:$AW$4,MATCH(TRUE,INDEX($V317:$AW317&lt;&gt;0,),0)),IF(COUNTIF(AZ317:BB317,"&lt;&gt;0")=0,INDEX($AM$4:$AW$4,MATCH(1,$AM317:$AW317,0)),"Multiple strategies"))</f>
        <v>Technology</v>
      </c>
      <c r="BG317" s="142" t="s">
        <v>229</v>
      </c>
      <c r="BH317" t="s">
        <v>441</v>
      </c>
      <c r="BI317" s="264" t="s">
        <v>3273</v>
      </c>
      <c r="BJ317" s="143" t="s">
        <v>442</v>
      </c>
      <c r="BK317">
        <v>0</v>
      </c>
      <c r="BL317">
        <f>3*44</f>
        <v>132</v>
      </c>
      <c r="BM317" s="143" t="e">
        <f>BL317/BK317</f>
        <v>#DIV/0!</v>
      </c>
      <c r="BN317">
        <f t="shared" si="312"/>
        <v>132</v>
      </c>
      <c r="BO317">
        <f t="shared" si="313"/>
        <v>573.16543638732094</v>
      </c>
      <c r="BP317" t="s">
        <v>232</v>
      </c>
      <c r="BQ317" s="260" t="s">
        <v>813</v>
      </c>
      <c r="BR317" t="s">
        <v>443</v>
      </c>
      <c r="BS317" s="141">
        <v>6</v>
      </c>
      <c r="BT317" s="141">
        <v>93</v>
      </c>
      <c r="BU317" s="144">
        <f t="shared" si="314"/>
        <v>15.5</v>
      </c>
      <c r="BV317">
        <f t="shared" si="315"/>
        <v>87</v>
      </c>
      <c r="BW317"/>
      <c r="BX317">
        <f t="shared" si="316"/>
        <v>319.29000000000002</v>
      </c>
      <c r="BY317">
        <f t="shared" si="338"/>
        <v>0.55706429545454539</v>
      </c>
      <c r="BZ317" s="143">
        <v>0</v>
      </c>
      <c r="CA317" s="143">
        <v>0</v>
      </c>
      <c r="CB317" s="143">
        <v>0</v>
      </c>
      <c r="CC317" s="143">
        <v>0</v>
      </c>
      <c r="CD317" s="143">
        <v>0</v>
      </c>
      <c r="CE317" s="143">
        <v>0</v>
      </c>
      <c r="CF317" s="143">
        <v>0</v>
      </c>
      <c r="CG317" s="143">
        <v>0</v>
      </c>
      <c r="CH317" s="143">
        <v>0</v>
      </c>
      <c r="CI317" s="143">
        <v>0</v>
      </c>
      <c r="CJ317" s="143">
        <v>0</v>
      </c>
      <c r="CK317" s="143">
        <v>0</v>
      </c>
      <c r="CL317" s="143">
        <v>0</v>
      </c>
      <c r="CM317">
        <v>0</v>
      </c>
      <c r="CN317" t="str">
        <f t="shared" si="317"/>
        <v>refOK</v>
      </c>
      <c r="CO317">
        <f t="shared" si="318"/>
        <v>0</v>
      </c>
      <c r="CP317">
        <f t="shared" si="319"/>
        <v>132</v>
      </c>
      <c r="CQ317">
        <f t="shared" si="320"/>
        <v>573.16543638732094</v>
      </c>
      <c r="CR317">
        <f t="shared" si="321"/>
        <v>6</v>
      </c>
      <c r="CS317">
        <f t="shared" si="322"/>
        <v>93</v>
      </c>
      <c r="CT317">
        <f t="shared" si="323"/>
        <v>319.29000000000002</v>
      </c>
      <c r="CU317">
        <f t="shared" si="324"/>
        <v>0.55706429545454539</v>
      </c>
      <c r="CV317" s="2">
        <f t="shared" si="325"/>
        <v>14.5</v>
      </c>
      <c r="CW317" s="1" t="s">
        <v>263</v>
      </c>
      <c r="CX317" t="str">
        <f t="shared" si="326"/>
        <v>loc</v>
      </c>
      <c r="CY317" t="s">
        <v>444</v>
      </c>
      <c r="CZ317"/>
      <c r="DA317"/>
      <c r="DB317">
        <v>300</v>
      </c>
      <c r="DC317" t="str">
        <f t="shared" si="327"/>
        <v>+100</v>
      </c>
      <c r="DD317">
        <v>0</v>
      </c>
      <c r="DE317">
        <v>0</v>
      </c>
      <c r="DF317">
        <v>0</v>
      </c>
      <c r="DG317">
        <v>1</v>
      </c>
      <c r="DH317"/>
      <c r="DI317">
        <f t="shared" si="328"/>
        <v>1</v>
      </c>
      <c r="DJ317" t="str">
        <f t="shared" si="329"/>
        <v>TimberInput</v>
      </c>
      <c r="DK317">
        <f t="shared" si="330"/>
        <v>0</v>
      </c>
      <c r="DL317">
        <f t="shared" si="331"/>
        <v>0</v>
      </c>
      <c r="DM317">
        <f t="shared" si="332"/>
        <v>0</v>
      </c>
      <c r="DN317" t="str">
        <f t="shared" si="333"/>
        <v>Timber</v>
      </c>
      <c r="DO317">
        <v>1</v>
      </c>
      <c r="DP317" s="143">
        <v>0</v>
      </c>
      <c r="DQ317" s="143">
        <v>0</v>
      </c>
      <c r="DR317" s="143">
        <v>0</v>
      </c>
      <c r="DS317">
        <v>0</v>
      </c>
      <c r="DT317">
        <f t="shared" si="334"/>
        <v>1</v>
      </c>
      <c r="DU317" s="143" t="str">
        <f t="shared" si="335"/>
        <v>self-calculated DF</v>
      </c>
      <c r="DV317">
        <v>0</v>
      </c>
      <c r="DW317" s="143">
        <v>0</v>
      </c>
      <c r="DX317" s="143">
        <v>1</v>
      </c>
      <c r="DY317" s="143">
        <v>1</v>
      </c>
      <c r="DZ317">
        <v>1</v>
      </c>
      <c r="EA317" s="143">
        <v>1</v>
      </c>
      <c r="EB317">
        <v>0</v>
      </c>
      <c r="EC317" s="143">
        <v>1</v>
      </c>
      <c r="ED317" s="143">
        <v>0</v>
      </c>
      <c r="EE317">
        <v>0</v>
      </c>
      <c r="EF317">
        <v>0</v>
      </c>
      <c r="EG317" s="143">
        <v>0</v>
      </c>
      <c r="EH317" s="143">
        <v>0</v>
      </c>
      <c r="EI317" s="2">
        <v>0</v>
      </c>
      <c r="EJ317" s="1"/>
      <c r="EK317" t="str">
        <f t="shared" si="336"/>
        <v/>
      </c>
      <c r="EL317" t="str">
        <f t="shared" si="337"/>
        <v/>
      </c>
      <c r="EM317" s="2" t="str">
        <f t="shared" si="339"/>
        <v/>
      </c>
      <c r="EN317" t="s">
        <v>445</v>
      </c>
      <c r="EO317"/>
      <c r="EP317" t="str">
        <f>IF(ISNUMBER(BU317),IF(ABS(BU317-[5]QC_indicators!$B$2)&gt;3*[5]QC_indicators!$C$2,"C ratio",IF(ISNUMBER(BY317),IF(ABS(BY317-[5]QC_indicators!$B$1)&gt;3*[5]QC_indicators!$C$1,"DF","no"))),IF(ISNUMBER(BY317),IF(ABS(BY317-[5]QC_indicators!$B$1)&gt;3*[5]QC_indicators!$C$1,"DF","no")))</f>
        <v>no</v>
      </c>
      <c r="EQ317" t="s">
        <v>450</v>
      </c>
      <c r="ER317"/>
      <c r="ES317"/>
      <c r="ET317" s="264" t="s">
        <v>3272</v>
      </c>
      <c r="EU317"/>
    </row>
    <row r="318" spans="1:151" s="139" customFormat="1" ht="15" hidden="1" customHeight="1">
      <c r="A318" s="1" t="s">
        <v>430</v>
      </c>
      <c r="B318" t="s">
        <v>431</v>
      </c>
      <c r="C318" t="s">
        <v>432</v>
      </c>
      <c r="D318" t="s">
        <v>433</v>
      </c>
      <c r="E318" t="s">
        <v>434</v>
      </c>
      <c r="F318" t="s">
        <v>435</v>
      </c>
      <c r="G318" t="s">
        <v>436</v>
      </c>
      <c r="H318" t="s">
        <v>254</v>
      </c>
      <c r="I318">
        <v>2000</v>
      </c>
      <c r="J318">
        <v>174</v>
      </c>
      <c r="K318" t="s">
        <v>437</v>
      </c>
      <c r="L318"/>
      <c r="M318" t="str">
        <f t="shared" si="245"/>
        <v>Borjesson_2000</v>
      </c>
      <c r="N318" t="s">
        <v>222</v>
      </c>
      <c r="O318" s="145" t="s">
        <v>223</v>
      </c>
      <c r="P318"/>
      <c r="Q318" t="s">
        <v>256</v>
      </c>
      <c r="R318" s="255" t="s">
        <v>225</v>
      </c>
      <c r="S318" s="1" t="s">
        <v>438</v>
      </c>
      <c r="T318" t="s">
        <v>449</v>
      </c>
      <c r="U318" t="s">
        <v>456</v>
      </c>
      <c r="V318">
        <v>0</v>
      </c>
      <c r="W318">
        <v>0</v>
      </c>
      <c r="X318">
        <v>0</v>
      </c>
      <c r="Y318">
        <v>0</v>
      </c>
      <c r="Z318">
        <v>0</v>
      </c>
      <c r="AA318">
        <v>0</v>
      </c>
      <c r="AB318">
        <v>0</v>
      </c>
      <c r="AC318">
        <v>0</v>
      </c>
      <c r="AD318">
        <v>0</v>
      </c>
      <c r="AE318">
        <v>0</v>
      </c>
      <c r="AF318">
        <v>0</v>
      </c>
      <c r="AG318">
        <v>0</v>
      </c>
      <c r="AH318">
        <v>0</v>
      </c>
      <c r="AI318">
        <v>0</v>
      </c>
      <c r="AJ318">
        <v>0</v>
      </c>
      <c r="AK318">
        <v>1</v>
      </c>
      <c r="AL318">
        <v>0</v>
      </c>
      <c r="AM318">
        <v>0</v>
      </c>
      <c r="AN318">
        <v>0</v>
      </c>
      <c r="AO318">
        <v>0</v>
      </c>
      <c r="AP318">
        <v>0</v>
      </c>
      <c r="AQ318">
        <v>0</v>
      </c>
      <c r="AR318">
        <v>0</v>
      </c>
      <c r="AS318">
        <v>0</v>
      </c>
      <c r="AT318">
        <v>0</v>
      </c>
      <c r="AU318">
        <v>0</v>
      </c>
      <c r="AV318">
        <v>0</v>
      </c>
      <c r="AW318">
        <v>0</v>
      </c>
      <c r="AX318" s="141">
        <f t="shared" si="305"/>
        <v>1</v>
      </c>
      <c r="AY318" s="141">
        <f t="shared" si="306"/>
        <v>1</v>
      </c>
      <c r="AZ318">
        <f t="shared" si="307"/>
        <v>0</v>
      </c>
      <c r="BA318">
        <f t="shared" si="308"/>
        <v>0</v>
      </c>
      <c r="BB318">
        <f t="shared" si="309"/>
        <v>1</v>
      </c>
      <c r="BC318">
        <f t="shared" si="310"/>
        <v>0</v>
      </c>
      <c r="BD318">
        <f t="shared" si="311"/>
        <v>0</v>
      </c>
      <c r="BE318" t="str">
        <f t="array" ref="BE318">IF(AY318=1,INDEX($V$7:$AL$7,MATCH(TRUE,INDEX($V318:$AW318&lt;&gt;0,),0)),IF(AY318=0,INDEX($AM$7:$AW$7,MATCH(1,$AM318:$AW318,0)),IF(BF318="Multiple strategies","mixed drivers",IF(BF318="Supply chain","multiple supply","multiple silviculture"))))</f>
        <v>technologies/design switch</v>
      </c>
      <c r="BF318" s="2" t="str" cm="1">
        <f t="array" ref="BF318">IF(COUNTIF(AZ318:BB318,"&lt;&gt;0")=1,INDEX($V$4:$AW$4,MATCH(TRUE,INDEX($V318:$AW318&lt;&gt;0,),0)),IF(COUNTIF(AZ318:BB318,"&lt;&gt;0")=0,INDEX($AM$4:$AW$4,MATCH(1,$AM318:$AW318,0)),"Multiple strategies"))</f>
        <v>Technology</v>
      </c>
      <c r="BG318" s="142" t="s">
        <v>229</v>
      </c>
      <c r="BH318" t="s">
        <v>441</v>
      </c>
      <c r="BI318" s="264" t="s">
        <v>3273</v>
      </c>
      <c r="BJ318" s="143" t="s">
        <v>442</v>
      </c>
      <c r="BK318">
        <v>0</v>
      </c>
      <c r="BL318">
        <f>3*44</f>
        <v>132</v>
      </c>
      <c r="BM318" s="143" t="e">
        <f>BL318/BK318</f>
        <v>#DIV/0!</v>
      </c>
      <c r="BN318">
        <f t="shared" si="312"/>
        <v>132</v>
      </c>
      <c r="BO318">
        <f t="shared" si="313"/>
        <v>573.16543638732094</v>
      </c>
      <c r="BP318" t="s">
        <v>232</v>
      </c>
      <c r="BQ318" s="260" t="s">
        <v>813</v>
      </c>
      <c r="BR318" t="s">
        <v>443</v>
      </c>
      <c r="BS318" s="141">
        <v>3</v>
      </c>
      <c r="BT318" s="141">
        <v>93</v>
      </c>
      <c r="BU318" s="144">
        <f t="shared" si="314"/>
        <v>31</v>
      </c>
      <c r="BV318">
        <f t="shared" si="315"/>
        <v>90</v>
      </c>
      <c r="BW318"/>
      <c r="BX318">
        <f t="shared" si="316"/>
        <v>330.3</v>
      </c>
      <c r="BY318">
        <f t="shared" si="338"/>
        <v>0.57627340909090907</v>
      </c>
      <c r="BZ318" s="143">
        <v>0</v>
      </c>
      <c r="CA318" s="143">
        <v>0</v>
      </c>
      <c r="CB318" s="143">
        <v>0</v>
      </c>
      <c r="CC318" s="143">
        <v>0</v>
      </c>
      <c r="CD318" s="143">
        <v>0</v>
      </c>
      <c r="CE318" s="143">
        <v>0</v>
      </c>
      <c r="CF318" s="143">
        <v>0</v>
      </c>
      <c r="CG318" s="143">
        <v>0</v>
      </c>
      <c r="CH318" s="143">
        <v>0</v>
      </c>
      <c r="CI318" s="143">
        <v>0</v>
      </c>
      <c r="CJ318" s="143">
        <v>0</v>
      </c>
      <c r="CK318" s="143">
        <v>0</v>
      </c>
      <c r="CL318" s="143">
        <v>0</v>
      </c>
      <c r="CM318">
        <v>0</v>
      </c>
      <c r="CN318" t="str">
        <f t="shared" si="317"/>
        <v>refOK</v>
      </c>
      <c r="CO318">
        <f t="shared" si="318"/>
        <v>0</v>
      </c>
      <c r="CP318">
        <f t="shared" si="319"/>
        <v>132</v>
      </c>
      <c r="CQ318">
        <f t="shared" si="320"/>
        <v>573.16543638732094</v>
      </c>
      <c r="CR318">
        <f t="shared" si="321"/>
        <v>3</v>
      </c>
      <c r="CS318">
        <f t="shared" si="322"/>
        <v>93</v>
      </c>
      <c r="CT318">
        <f t="shared" si="323"/>
        <v>330.3</v>
      </c>
      <c r="CU318">
        <f t="shared" si="324"/>
        <v>0.57627340909090907</v>
      </c>
      <c r="CV318" s="2">
        <f t="shared" si="325"/>
        <v>30</v>
      </c>
      <c r="CW318" s="1" t="s">
        <v>263</v>
      </c>
      <c r="CX318" t="str">
        <f t="shared" si="326"/>
        <v>loc</v>
      </c>
      <c r="CY318" t="s">
        <v>444</v>
      </c>
      <c r="CZ318"/>
      <c r="DA318"/>
      <c r="DB318">
        <v>300</v>
      </c>
      <c r="DC318" t="str">
        <f t="shared" si="327"/>
        <v>+100</v>
      </c>
      <c r="DD318">
        <v>0</v>
      </c>
      <c r="DE318">
        <v>0</v>
      </c>
      <c r="DF318">
        <v>0</v>
      </c>
      <c r="DG318">
        <v>1</v>
      </c>
      <c r="DH318"/>
      <c r="DI318">
        <f t="shared" si="328"/>
        <v>1</v>
      </c>
      <c r="DJ318" t="str">
        <f t="shared" si="329"/>
        <v>TimberInput</v>
      </c>
      <c r="DK318">
        <f t="shared" si="330"/>
        <v>0</v>
      </c>
      <c r="DL318">
        <f t="shared" si="331"/>
        <v>0</v>
      </c>
      <c r="DM318">
        <f t="shared" si="332"/>
        <v>0</v>
      </c>
      <c r="DN318" t="str">
        <f t="shared" si="333"/>
        <v>Timber</v>
      </c>
      <c r="DO318">
        <v>1</v>
      </c>
      <c r="DP318" s="143">
        <v>0</v>
      </c>
      <c r="DQ318" s="143">
        <v>0</v>
      </c>
      <c r="DR318" s="143">
        <v>0</v>
      </c>
      <c r="DS318">
        <v>0</v>
      </c>
      <c r="DT318">
        <f t="shared" si="334"/>
        <v>1</v>
      </c>
      <c r="DU318" s="143" t="str">
        <f t="shared" si="335"/>
        <v>self-calculated DF</v>
      </c>
      <c r="DV318">
        <v>0</v>
      </c>
      <c r="DW318" s="143">
        <v>0</v>
      </c>
      <c r="DX318" s="143">
        <v>1</v>
      </c>
      <c r="DY318" s="143">
        <v>1</v>
      </c>
      <c r="DZ318">
        <v>1</v>
      </c>
      <c r="EA318" s="143">
        <v>1</v>
      </c>
      <c r="EB318">
        <v>0</v>
      </c>
      <c r="EC318" s="143">
        <v>1</v>
      </c>
      <c r="ED318" s="143">
        <v>0</v>
      </c>
      <c r="EE318">
        <v>0</v>
      </c>
      <c r="EF318">
        <v>0</v>
      </c>
      <c r="EG318" s="143">
        <v>0</v>
      </c>
      <c r="EH318" s="143">
        <v>0</v>
      </c>
      <c r="EI318" s="2">
        <v>0</v>
      </c>
      <c r="EJ318" s="1"/>
      <c r="EK318" t="str">
        <f t="shared" si="336"/>
        <v/>
      </c>
      <c r="EL318" t="str">
        <f t="shared" si="337"/>
        <v/>
      </c>
      <c r="EM318" s="2" t="str">
        <f t="shared" si="339"/>
        <v/>
      </c>
      <c r="EN318" t="s">
        <v>445</v>
      </c>
      <c r="EO318"/>
      <c r="EP318" t="str">
        <f>IF(ISNUMBER(BU318),IF(ABS(BU318-[5]QC_indicators!$B$2)&gt;3*[5]QC_indicators!$C$2,"C ratio",IF(ISNUMBER(BY318),IF(ABS(BY318-[5]QC_indicators!$B$1)&gt;3*[5]QC_indicators!$C$1,"DF","no"))),IF(ISNUMBER(BY318),IF(ABS(BY318-[5]QC_indicators!$B$1)&gt;3*[5]QC_indicators!$C$1,"DF","no")))</f>
        <v>C ratio</v>
      </c>
      <c r="EQ318" t="s">
        <v>450</v>
      </c>
      <c r="ER318"/>
      <c r="ES318"/>
      <c r="ET318" s="264" t="s">
        <v>3272</v>
      </c>
      <c r="EU318"/>
    </row>
    <row r="319" spans="1:151" s="139" customFormat="1" ht="15" hidden="1" customHeight="1">
      <c r="A319" s="1" t="s">
        <v>430</v>
      </c>
      <c r="B319" t="s">
        <v>431</v>
      </c>
      <c r="C319" t="s">
        <v>432</v>
      </c>
      <c r="D319" t="s">
        <v>433</v>
      </c>
      <c r="E319" t="s">
        <v>434</v>
      </c>
      <c r="F319" t="s">
        <v>435</v>
      </c>
      <c r="G319" t="s">
        <v>436</v>
      </c>
      <c r="H319" t="s">
        <v>254</v>
      </c>
      <c r="I319">
        <v>2000</v>
      </c>
      <c r="J319">
        <v>174</v>
      </c>
      <c r="K319" t="s">
        <v>437</v>
      </c>
      <c r="L319"/>
      <c r="M319" t="str">
        <f t="shared" si="245"/>
        <v>Borjesson_2000</v>
      </c>
      <c r="N319" t="s">
        <v>222</v>
      </c>
      <c r="O319" s="145" t="s">
        <v>223</v>
      </c>
      <c r="P319"/>
      <c r="Q319" t="s">
        <v>256</v>
      </c>
      <c r="R319" s="255" t="s">
        <v>225</v>
      </c>
      <c r="S319" s="1" t="s">
        <v>454</v>
      </c>
      <c r="T319" t="s">
        <v>449</v>
      </c>
      <c r="U319" t="s">
        <v>455</v>
      </c>
      <c r="V319">
        <v>0</v>
      </c>
      <c r="W319">
        <v>0</v>
      </c>
      <c r="X319">
        <v>0</v>
      </c>
      <c r="Y319">
        <v>0</v>
      </c>
      <c r="Z319">
        <v>0</v>
      </c>
      <c r="AA319">
        <v>0</v>
      </c>
      <c r="AB319">
        <v>0</v>
      </c>
      <c r="AC319">
        <v>0</v>
      </c>
      <c r="AD319">
        <v>0</v>
      </c>
      <c r="AE319">
        <v>0</v>
      </c>
      <c r="AF319">
        <v>0</v>
      </c>
      <c r="AG319">
        <v>0</v>
      </c>
      <c r="AH319">
        <v>0</v>
      </c>
      <c r="AI319">
        <v>0</v>
      </c>
      <c r="AJ319">
        <v>0</v>
      </c>
      <c r="AK319">
        <v>1</v>
      </c>
      <c r="AL319">
        <v>0</v>
      </c>
      <c r="AM319">
        <v>0</v>
      </c>
      <c r="AN319">
        <v>0</v>
      </c>
      <c r="AO319">
        <v>0</v>
      </c>
      <c r="AP319">
        <v>0</v>
      </c>
      <c r="AQ319">
        <v>0</v>
      </c>
      <c r="AR319">
        <v>0</v>
      </c>
      <c r="AS319">
        <v>0</v>
      </c>
      <c r="AT319">
        <v>0</v>
      </c>
      <c r="AU319">
        <v>0</v>
      </c>
      <c r="AV319">
        <v>0</v>
      </c>
      <c r="AW319">
        <v>0</v>
      </c>
      <c r="AX319" s="141">
        <f t="shared" si="305"/>
        <v>1</v>
      </c>
      <c r="AY319" s="141">
        <f t="shared" si="306"/>
        <v>1</v>
      </c>
      <c r="AZ319">
        <f t="shared" si="307"/>
        <v>0</v>
      </c>
      <c r="BA319">
        <f t="shared" si="308"/>
        <v>0</v>
      </c>
      <c r="BB319">
        <f t="shared" si="309"/>
        <v>1</v>
      </c>
      <c r="BC319">
        <f t="shared" si="310"/>
        <v>0</v>
      </c>
      <c r="BD319">
        <f t="shared" si="311"/>
        <v>0</v>
      </c>
      <c r="BE319" t="str">
        <f t="array" ref="BE319">IF(AY319=1,INDEX($V$7:$AL$7,MATCH(TRUE,INDEX($V319:$AW319&lt;&gt;0,),0)),IF(AY319=0,INDEX($AM$7:$AW$7,MATCH(1,$AM319:$AW319,0)),IF(BF319="Multiple strategies","mixed drivers",IF(BF319="Supply chain","multiple supply","multiple silviculture"))))</f>
        <v>technologies/design switch</v>
      </c>
      <c r="BF319" s="2" t="str" cm="1">
        <f t="array" ref="BF319">IF(COUNTIF(AZ319:BB319,"&lt;&gt;0")=1,INDEX($V$4:$AW$4,MATCH(TRUE,INDEX($V319:$AW319&lt;&gt;0,),0)),IF(COUNTIF(AZ319:BB319,"&lt;&gt;0")=0,INDEX($AM$4:$AW$4,MATCH(1,$AM319:$AW319,0)),"Multiple strategies"))</f>
        <v>Technology</v>
      </c>
      <c r="BG319" s="142" t="s">
        <v>229</v>
      </c>
      <c r="BH319" t="s">
        <v>441</v>
      </c>
      <c r="BI319" s="264" t="s">
        <v>3273</v>
      </c>
      <c r="BJ319" t="s">
        <v>442</v>
      </c>
      <c r="BK319">
        <v>0</v>
      </c>
      <c r="BL319">
        <v>44</v>
      </c>
      <c r="BM319" s="143"/>
      <c r="BN319">
        <f t="shared" si="312"/>
        <v>44</v>
      </c>
      <c r="BO319">
        <f t="shared" si="313"/>
        <v>191.05514546244029</v>
      </c>
      <c r="BP319" t="s">
        <v>232</v>
      </c>
      <c r="BQ319" s="260" t="s">
        <v>813</v>
      </c>
      <c r="BR319" t="s">
        <v>443</v>
      </c>
      <c r="BS319" s="141">
        <v>33</v>
      </c>
      <c r="BT319" s="141">
        <v>64</v>
      </c>
      <c r="BU319" s="144">
        <f t="shared" si="314"/>
        <v>1.9393939393939394</v>
      </c>
      <c r="BV319">
        <f t="shared" si="315"/>
        <v>31</v>
      </c>
      <c r="BW319"/>
      <c r="BX319">
        <f t="shared" si="316"/>
        <v>113.77</v>
      </c>
      <c r="BY319">
        <f t="shared" si="338"/>
        <v>0.59548252272727276</v>
      </c>
      <c r="BZ319" s="143">
        <v>0</v>
      </c>
      <c r="CA319" s="143">
        <v>0</v>
      </c>
      <c r="CB319" s="143">
        <v>0</v>
      </c>
      <c r="CC319" s="143">
        <v>0</v>
      </c>
      <c r="CD319" s="143">
        <v>0</v>
      </c>
      <c r="CE319" s="143">
        <v>0</v>
      </c>
      <c r="CF319" s="143">
        <v>0</v>
      </c>
      <c r="CG319" s="143">
        <v>0</v>
      </c>
      <c r="CH319" s="143">
        <v>0</v>
      </c>
      <c r="CI319" s="143">
        <v>0</v>
      </c>
      <c r="CJ319" s="143">
        <v>0</v>
      </c>
      <c r="CK319" s="143">
        <v>0</v>
      </c>
      <c r="CL319" s="143">
        <v>0</v>
      </c>
      <c r="CM319">
        <v>0</v>
      </c>
      <c r="CN319" t="str">
        <f t="shared" si="317"/>
        <v>refOK</v>
      </c>
      <c r="CO319">
        <f t="shared" si="318"/>
        <v>0</v>
      </c>
      <c r="CP319">
        <f t="shared" si="319"/>
        <v>44</v>
      </c>
      <c r="CQ319">
        <f t="shared" si="320"/>
        <v>191.05514546244029</v>
      </c>
      <c r="CR319">
        <f t="shared" si="321"/>
        <v>33</v>
      </c>
      <c r="CS319">
        <f t="shared" si="322"/>
        <v>64</v>
      </c>
      <c r="CT319">
        <f t="shared" si="323"/>
        <v>113.77</v>
      </c>
      <c r="CU319">
        <f t="shared" si="324"/>
        <v>0.59548252272727276</v>
      </c>
      <c r="CV319" s="2">
        <f t="shared" si="325"/>
        <v>0.93939393939393945</v>
      </c>
      <c r="CW319" s="1" t="s">
        <v>263</v>
      </c>
      <c r="CX319" t="str">
        <f t="shared" si="326"/>
        <v>loc</v>
      </c>
      <c r="CY319" t="s">
        <v>444</v>
      </c>
      <c r="CZ319"/>
      <c r="DA319"/>
      <c r="DB319">
        <v>100</v>
      </c>
      <c r="DC319" t="str">
        <f t="shared" si="327"/>
        <v>71-100</v>
      </c>
      <c r="DD319">
        <v>0</v>
      </c>
      <c r="DE319">
        <v>0</v>
      </c>
      <c r="DF319">
        <v>0</v>
      </c>
      <c r="DG319">
        <v>1</v>
      </c>
      <c r="DH319"/>
      <c r="DI319">
        <f t="shared" si="328"/>
        <v>1</v>
      </c>
      <c r="DJ319" t="str">
        <f t="shared" si="329"/>
        <v>TimberInput</v>
      </c>
      <c r="DK319">
        <f t="shared" si="330"/>
        <v>0</v>
      </c>
      <c r="DL319">
        <f t="shared" si="331"/>
        <v>0</v>
      </c>
      <c r="DM319">
        <f t="shared" si="332"/>
        <v>0</v>
      </c>
      <c r="DN319" t="str">
        <f t="shared" si="333"/>
        <v>Timber</v>
      </c>
      <c r="DO319">
        <v>1</v>
      </c>
      <c r="DP319" s="143">
        <v>0</v>
      </c>
      <c r="DQ319" s="143">
        <v>0</v>
      </c>
      <c r="DR319" s="143">
        <v>0</v>
      </c>
      <c r="DS319">
        <v>0</v>
      </c>
      <c r="DT319">
        <f t="shared" si="334"/>
        <v>1</v>
      </c>
      <c r="DU319" s="143" t="str">
        <f t="shared" si="335"/>
        <v>self-calculated DF</v>
      </c>
      <c r="DV319">
        <v>0</v>
      </c>
      <c r="DW319" s="143">
        <v>0</v>
      </c>
      <c r="DX319" s="143">
        <v>1</v>
      </c>
      <c r="DY319" s="143">
        <v>1</v>
      </c>
      <c r="DZ319">
        <v>1</v>
      </c>
      <c r="EA319" s="143">
        <v>1</v>
      </c>
      <c r="EB319">
        <v>0</v>
      </c>
      <c r="EC319" s="143">
        <v>1</v>
      </c>
      <c r="ED319" s="143">
        <v>0</v>
      </c>
      <c r="EE319">
        <v>0</v>
      </c>
      <c r="EF319">
        <v>0</v>
      </c>
      <c r="EG319" s="143">
        <v>0</v>
      </c>
      <c r="EH319" s="143">
        <v>0</v>
      </c>
      <c r="EI319" s="2">
        <v>0</v>
      </c>
      <c r="EJ319" s="1"/>
      <c r="EK319" t="str">
        <f t="shared" si="336"/>
        <v/>
      </c>
      <c r="EL319" t="str">
        <f t="shared" si="337"/>
        <v/>
      </c>
      <c r="EM319" s="2" t="str">
        <f t="shared" si="339"/>
        <v/>
      </c>
      <c r="EN319"/>
      <c r="EO319"/>
      <c r="EP319" t="str">
        <f>IF(ISNUMBER(BU319),IF(ABS(BU319-[5]QC_indicators!$B$2)&gt;3*[5]QC_indicators!$C$2,"C ratio",IF(ISNUMBER(BY319),IF(ABS(BY319-[5]QC_indicators!$B$1)&gt;3*[5]QC_indicators!$C$1,"DF","no"))),IF(ISNUMBER(BY319),IF(ABS(BY319-[5]QC_indicators!$B$1)&gt;3*[5]QC_indicators!$C$1,"DF","no")))</f>
        <v>no</v>
      </c>
      <c r="EQ319"/>
      <c r="ER319"/>
      <c r="ES319"/>
      <c r="ET319" s="264" t="s">
        <v>3272</v>
      </c>
      <c r="EU319"/>
    </row>
    <row r="320" spans="1:151" s="139" customFormat="1" ht="15" hidden="1" customHeight="1">
      <c r="A320" s="1" t="s">
        <v>430</v>
      </c>
      <c r="B320" t="s">
        <v>431</v>
      </c>
      <c r="C320" t="s">
        <v>432</v>
      </c>
      <c r="D320" t="s">
        <v>433</v>
      </c>
      <c r="E320" t="s">
        <v>434</v>
      </c>
      <c r="F320" t="s">
        <v>435</v>
      </c>
      <c r="G320" t="s">
        <v>436</v>
      </c>
      <c r="H320" t="s">
        <v>254</v>
      </c>
      <c r="I320">
        <v>2000</v>
      </c>
      <c r="J320">
        <v>174</v>
      </c>
      <c r="K320" t="s">
        <v>437</v>
      </c>
      <c r="L320"/>
      <c r="M320" t="str">
        <f t="shared" si="245"/>
        <v>Borjesson_2000</v>
      </c>
      <c r="N320" t="s">
        <v>222</v>
      </c>
      <c r="O320" s="145" t="s">
        <v>223</v>
      </c>
      <c r="P320"/>
      <c r="Q320" t="s">
        <v>256</v>
      </c>
      <c r="R320" s="255" t="s">
        <v>225</v>
      </c>
      <c r="S320" s="1" t="s">
        <v>454</v>
      </c>
      <c r="T320" t="s">
        <v>451</v>
      </c>
      <c r="U320" t="s">
        <v>455</v>
      </c>
      <c r="V320">
        <v>0</v>
      </c>
      <c r="W320">
        <v>0</v>
      </c>
      <c r="X320">
        <v>0</v>
      </c>
      <c r="Y320">
        <v>0</v>
      </c>
      <c r="Z320">
        <v>0</v>
      </c>
      <c r="AA320">
        <v>0</v>
      </c>
      <c r="AB320">
        <v>0</v>
      </c>
      <c r="AC320">
        <v>0</v>
      </c>
      <c r="AD320">
        <v>0</v>
      </c>
      <c r="AE320">
        <v>0</v>
      </c>
      <c r="AF320">
        <v>0</v>
      </c>
      <c r="AG320">
        <v>0</v>
      </c>
      <c r="AH320">
        <v>0</v>
      </c>
      <c r="AI320">
        <v>0</v>
      </c>
      <c r="AJ320">
        <v>0</v>
      </c>
      <c r="AK320">
        <v>1</v>
      </c>
      <c r="AL320">
        <v>0</v>
      </c>
      <c r="AM320">
        <v>0</v>
      </c>
      <c r="AN320">
        <v>0</v>
      </c>
      <c r="AO320">
        <v>0</v>
      </c>
      <c r="AP320">
        <v>0</v>
      </c>
      <c r="AQ320">
        <v>0</v>
      </c>
      <c r="AR320">
        <v>0</v>
      </c>
      <c r="AS320">
        <v>0</v>
      </c>
      <c r="AT320">
        <v>0</v>
      </c>
      <c r="AU320">
        <v>0</v>
      </c>
      <c r="AV320">
        <v>0</v>
      </c>
      <c r="AW320">
        <v>0</v>
      </c>
      <c r="AX320" s="141">
        <f t="shared" si="305"/>
        <v>1</v>
      </c>
      <c r="AY320" s="141">
        <f t="shared" si="306"/>
        <v>1</v>
      </c>
      <c r="AZ320">
        <f t="shared" si="307"/>
        <v>0</v>
      </c>
      <c r="BA320">
        <f t="shared" si="308"/>
        <v>0</v>
      </c>
      <c r="BB320">
        <f t="shared" si="309"/>
        <v>1</v>
      </c>
      <c r="BC320">
        <f t="shared" si="310"/>
        <v>0</v>
      </c>
      <c r="BD320">
        <f t="shared" si="311"/>
        <v>0</v>
      </c>
      <c r="BE320" t="str">
        <f t="array" ref="BE320">IF(AY320=1,INDEX($V$7:$AL$7,MATCH(TRUE,INDEX($V320:$AW320&lt;&gt;0,),0)),IF(AY320=0,INDEX($AM$7:$AW$7,MATCH(1,$AM320:$AW320,0)),IF(BF320="Multiple strategies","mixed drivers",IF(BF320="Supply chain","multiple supply","multiple silviculture"))))</f>
        <v>technologies/design switch</v>
      </c>
      <c r="BF320" s="2" t="str" cm="1">
        <f t="array" ref="BF320">IF(COUNTIF(AZ320:BB320,"&lt;&gt;0")=1,INDEX($V$4:$AW$4,MATCH(TRUE,INDEX($V320:$AW320&lt;&gt;0,),0)),IF(COUNTIF(AZ320:BB320,"&lt;&gt;0")=0,INDEX($AM$4:$AW$4,MATCH(1,$AM320:$AW320,0)),"Multiple strategies"))</f>
        <v>Technology</v>
      </c>
      <c r="BG320" s="142" t="s">
        <v>229</v>
      </c>
      <c r="BH320" t="s">
        <v>441</v>
      </c>
      <c r="BI320" s="264" t="s">
        <v>3273</v>
      </c>
      <c r="BJ320" t="s">
        <v>442</v>
      </c>
      <c r="BK320">
        <v>0</v>
      </c>
      <c r="BL320">
        <v>44</v>
      </c>
      <c r="BM320" s="143"/>
      <c r="BN320">
        <f t="shared" si="312"/>
        <v>44</v>
      </c>
      <c r="BO320">
        <f t="shared" si="313"/>
        <v>191.05514546244029</v>
      </c>
      <c r="BP320" t="s">
        <v>232</v>
      </c>
      <c r="BQ320" s="260" t="s">
        <v>813</v>
      </c>
      <c r="BR320" t="s">
        <v>443</v>
      </c>
      <c r="BS320" s="141">
        <v>25</v>
      </c>
      <c r="BT320" s="141">
        <v>64</v>
      </c>
      <c r="BU320" s="144">
        <f t="shared" si="314"/>
        <v>2.56</v>
      </c>
      <c r="BV320">
        <f t="shared" si="315"/>
        <v>39</v>
      </c>
      <c r="BW320"/>
      <c r="BX320">
        <f t="shared" si="316"/>
        <v>143.13</v>
      </c>
      <c r="BY320">
        <f t="shared" si="338"/>
        <v>0.74915543181818178</v>
      </c>
      <c r="BZ320" s="143">
        <v>0</v>
      </c>
      <c r="CA320" s="143">
        <v>0</v>
      </c>
      <c r="CB320" s="143">
        <v>0</v>
      </c>
      <c r="CC320" s="143">
        <v>0</v>
      </c>
      <c r="CD320" s="143">
        <v>0</v>
      </c>
      <c r="CE320" s="143">
        <v>0</v>
      </c>
      <c r="CF320" s="143">
        <v>0</v>
      </c>
      <c r="CG320" s="143">
        <v>0</v>
      </c>
      <c r="CH320" s="143">
        <v>0</v>
      </c>
      <c r="CI320" s="143">
        <v>0</v>
      </c>
      <c r="CJ320" s="143">
        <v>0</v>
      </c>
      <c r="CK320" s="143">
        <v>0</v>
      </c>
      <c r="CL320" s="143">
        <v>0</v>
      </c>
      <c r="CM320">
        <v>0</v>
      </c>
      <c r="CN320" t="str">
        <f t="shared" si="317"/>
        <v>refOK</v>
      </c>
      <c r="CO320">
        <f t="shared" si="318"/>
        <v>0</v>
      </c>
      <c r="CP320">
        <f t="shared" si="319"/>
        <v>44</v>
      </c>
      <c r="CQ320">
        <f t="shared" si="320"/>
        <v>191.05514546244029</v>
      </c>
      <c r="CR320">
        <f t="shared" si="321"/>
        <v>25</v>
      </c>
      <c r="CS320">
        <f t="shared" si="322"/>
        <v>64</v>
      </c>
      <c r="CT320">
        <f t="shared" si="323"/>
        <v>143.13</v>
      </c>
      <c r="CU320">
        <f t="shared" si="324"/>
        <v>0.74915543181818178</v>
      </c>
      <c r="CV320" s="2">
        <f t="shared" si="325"/>
        <v>1.56</v>
      </c>
      <c r="CW320" s="1" t="s">
        <v>263</v>
      </c>
      <c r="CX320" t="str">
        <f t="shared" si="326"/>
        <v>loc</v>
      </c>
      <c r="CY320" t="s">
        <v>444</v>
      </c>
      <c r="CZ320"/>
      <c r="DA320"/>
      <c r="DB320">
        <v>100</v>
      </c>
      <c r="DC320" t="str">
        <f t="shared" si="327"/>
        <v>71-100</v>
      </c>
      <c r="DD320">
        <v>0</v>
      </c>
      <c r="DE320">
        <v>0</v>
      </c>
      <c r="DF320">
        <v>0</v>
      </c>
      <c r="DG320">
        <v>1</v>
      </c>
      <c r="DH320"/>
      <c r="DI320">
        <f t="shared" si="328"/>
        <v>1</v>
      </c>
      <c r="DJ320" t="str">
        <f t="shared" si="329"/>
        <v>TimberInput</v>
      </c>
      <c r="DK320">
        <f t="shared" si="330"/>
        <v>0</v>
      </c>
      <c r="DL320">
        <f t="shared" si="331"/>
        <v>0</v>
      </c>
      <c r="DM320">
        <f t="shared" si="332"/>
        <v>0</v>
      </c>
      <c r="DN320" t="str">
        <f t="shared" si="333"/>
        <v>Timber</v>
      </c>
      <c r="DO320">
        <v>1</v>
      </c>
      <c r="DP320" s="143">
        <v>0</v>
      </c>
      <c r="DQ320" s="143">
        <v>0</v>
      </c>
      <c r="DR320" s="143">
        <v>0</v>
      </c>
      <c r="DS320">
        <v>0</v>
      </c>
      <c r="DT320">
        <f t="shared" si="334"/>
        <v>1</v>
      </c>
      <c r="DU320" s="143" t="str">
        <f t="shared" si="335"/>
        <v>self-calculated DF</v>
      </c>
      <c r="DV320">
        <v>0</v>
      </c>
      <c r="DW320" s="143">
        <v>0</v>
      </c>
      <c r="DX320" s="143">
        <v>1</v>
      </c>
      <c r="DY320" s="143">
        <v>1</v>
      </c>
      <c r="DZ320">
        <v>1</v>
      </c>
      <c r="EA320" s="143">
        <v>1</v>
      </c>
      <c r="EB320">
        <v>0</v>
      </c>
      <c r="EC320" s="143">
        <v>1</v>
      </c>
      <c r="ED320" s="143">
        <v>0</v>
      </c>
      <c r="EE320">
        <v>0</v>
      </c>
      <c r="EF320">
        <v>0</v>
      </c>
      <c r="EG320" s="143">
        <v>0</v>
      </c>
      <c r="EH320" s="143">
        <v>0</v>
      </c>
      <c r="EI320" s="2">
        <v>0</v>
      </c>
      <c r="EJ320" s="1"/>
      <c r="EK320" t="str">
        <f t="shared" si="336"/>
        <v/>
      </c>
      <c r="EL320" t="str">
        <f t="shared" si="337"/>
        <v/>
      </c>
      <c r="EM320" s="2" t="str">
        <f t="shared" si="339"/>
        <v/>
      </c>
      <c r="EN320"/>
      <c r="EO320"/>
      <c r="EP320" t="str">
        <f>IF(ISNUMBER(BU320),IF(ABS(BU320-[5]QC_indicators!$B$2)&gt;3*[5]QC_indicators!$C$2,"C ratio",IF(ISNUMBER(BY320),IF(ABS(BY320-[5]QC_indicators!$B$1)&gt;3*[5]QC_indicators!$C$1,"DF","no"))),IF(ISNUMBER(BY320),IF(ABS(BY320-[5]QC_indicators!$B$1)&gt;3*[5]QC_indicators!$C$1,"DF","no")))</f>
        <v>no</v>
      </c>
      <c r="EQ320"/>
      <c r="ER320"/>
      <c r="ES320"/>
      <c r="ET320" s="264" t="s">
        <v>3272</v>
      </c>
      <c r="EU320"/>
    </row>
    <row r="321" spans="1:151" s="139" customFormat="1" ht="15" hidden="1" customHeight="1">
      <c r="A321" s="1" t="s">
        <v>430</v>
      </c>
      <c r="B321" t="s">
        <v>431</v>
      </c>
      <c r="C321" t="s">
        <v>432</v>
      </c>
      <c r="D321" t="s">
        <v>433</v>
      </c>
      <c r="E321" t="s">
        <v>434</v>
      </c>
      <c r="F321" t="s">
        <v>435</v>
      </c>
      <c r="G321" t="s">
        <v>436</v>
      </c>
      <c r="H321" t="s">
        <v>254</v>
      </c>
      <c r="I321">
        <v>2000</v>
      </c>
      <c r="J321">
        <v>174</v>
      </c>
      <c r="K321" t="s">
        <v>437</v>
      </c>
      <c r="L321"/>
      <c r="M321" t="str">
        <f t="shared" ref="M321:M384" si="340">LEFT($D321,FIND(",",$D321)-1)&amp;"_"&amp;I321&amp;L321</f>
        <v>Borjesson_2000</v>
      </c>
      <c r="N321" t="s">
        <v>222</v>
      </c>
      <c r="O321" s="145" t="s">
        <v>223</v>
      </c>
      <c r="P321"/>
      <c r="Q321" t="s">
        <v>256</v>
      </c>
      <c r="R321" s="255" t="s">
        <v>225</v>
      </c>
      <c r="S321" s="1" t="s">
        <v>454</v>
      </c>
      <c r="T321" t="s">
        <v>457</v>
      </c>
      <c r="U321" t="s">
        <v>455</v>
      </c>
      <c r="V321">
        <v>0</v>
      </c>
      <c r="W321">
        <v>0</v>
      </c>
      <c r="X321">
        <v>0</v>
      </c>
      <c r="Y321">
        <v>0</v>
      </c>
      <c r="Z321">
        <v>0</v>
      </c>
      <c r="AA321">
        <v>0</v>
      </c>
      <c r="AB321">
        <v>0</v>
      </c>
      <c r="AC321">
        <v>0</v>
      </c>
      <c r="AD321">
        <v>0</v>
      </c>
      <c r="AE321">
        <v>0</v>
      </c>
      <c r="AF321">
        <v>0</v>
      </c>
      <c r="AG321">
        <v>0</v>
      </c>
      <c r="AH321">
        <v>0</v>
      </c>
      <c r="AI321">
        <v>0</v>
      </c>
      <c r="AJ321">
        <v>0</v>
      </c>
      <c r="AK321">
        <v>1</v>
      </c>
      <c r="AL321">
        <v>0</v>
      </c>
      <c r="AM321">
        <v>0</v>
      </c>
      <c r="AN321">
        <v>0</v>
      </c>
      <c r="AO321">
        <v>0</v>
      </c>
      <c r="AP321">
        <v>0</v>
      </c>
      <c r="AQ321">
        <v>0</v>
      </c>
      <c r="AR321">
        <v>0</v>
      </c>
      <c r="AS321">
        <v>0</v>
      </c>
      <c r="AT321">
        <v>0</v>
      </c>
      <c r="AU321">
        <v>0</v>
      </c>
      <c r="AV321">
        <v>0</v>
      </c>
      <c r="AW321">
        <v>0</v>
      </c>
      <c r="AX321" s="141">
        <f t="shared" si="305"/>
        <v>1</v>
      </c>
      <c r="AY321" s="141">
        <f t="shared" si="306"/>
        <v>1</v>
      </c>
      <c r="AZ321">
        <f t="shared" si="307"/>
        <v>0</v>
      </c>
      <c r="BA321">
        <f t="shared" si="308"/>
        <v>0</v>
      </c>
      <c r="BB321">
        <f t="shared" si="309"/>
        <v>1</v>
      </c>
      <c r="BC321">
        <f t="shared" si="310"/>
        <v>0</v>
      </c>
      <c r="BD321">
        <f t="shared" si="311"/>
        <v>0</v>
      </c>
      <c r="BE321" t="str">
        <f t="array" ref="BE321">IF(AY321=1,INDEX($V$7:$AL$7,MATCH(TRUE,INDEX($V321:$AW321&lt;&gt;0,),0)),IF(AY321=0,INDEX($AM$7:$AW$7,MATCH(1,$AM321:$AW321,0)),IF(BF321="Multiple strategies","mixed drivers",IF(BF321="Supply chain","multiple supply","multiple silviculture"))))</f>
        <v>technologies/design switch</v>
      </c>
      <c r="BF321" s="2" t="str" cm="1">
        <f t="array" ref="BF321">IF(COUNTIF(AZ321:BB321,"&lt;&gt;0")=1,INDEX($V$4:$AW$4,MATCH(TRUE,INDEX($V321:$AW321&lt;&gt;0,),0)),IF(COUNTIF(AZ321:BB321,"&lt;&gt;0")=0,INDEX($AM$4:$AW$4,MATCH(1,$AM321:$AW321,0)),"Multiple strategies"))</f>
        <v>Technology</v>
      </c>
      <c r="BG321" s="142" t="s">
        <v>229</v>
      </c>
      <c r="BH321" t="s">
        <v>441</v>
      </c>
      <c r="BI321" s="264" t="s">
        <v>3273</v>
      </c>
      <c r="BJ321" t="s">
        <v>442</v>
      </c>
      <c r="BK321">
        <v>0</v>
      </c>
      <c r="BL321">
        <v>44</v>
      </c>
      <c r="BM321" s="143"/>
      <c r="BN321">
        <f t="shared" si="312"/>
        <v>44</v>
      </c>
      <c r="BO321">
        <f t="shared" si="313"/>
        <v>191.05514546244029</v>
      </c>
      <c r="BP321" t="s">
        <v>232</v>
      </c>
      <c r="BQ321" s="260" t="s">
        <v>813</v>
      </c>
      <c r="BR321" t="s">
        <v>443</v>
      </c>
      <c r="BS321" s="141">
        <v>18</v>
      </c>
      <c r="BT321" s="141">
        <v>64</v>
      </c>
      <c r="BU321" s="144">
        <f t="shared" si="314"/>
        <v>3.5555555555555554</v>
      </c>
      <c r="BV321">
        <f t="shared" si="315"/>
        <v>46</v>
      </c>
      <c r="BW321"/>
      <c r="BX321">
        <f t="shared" si="316"/>
        <v>168.82</v>
      </c>
      <c r="BY321">
        <f t="shared" si="338"/>
        <v>0.88361922727272724</v>
      </c>
      <c r="BZ321" s="143">
        <v>0</v>
      </c>
      <c r="CA321" s="143">
        <v>0</v>
      </c>
      <c r="CB321" s="143">
        <v>0</v>
      </c>
      <c r="CC321" s="143">
        <v>0</v>
      </c>
      <c r="CD321" s="143">
        <v>0</v>
      </c>
      <c r="CE321" s="143">
        <v>0</v>
      </c>
      <c r="CF321" s="143">
        <v>0</v>
      </c>
      <c r="CG321" s="143">
        <v>0</v>
      </c>
      <c r="CH321" s="143">
        <v>0</v>
      </c>
      <c r="CI321" s="143">
        <v>0</v>
      </c>
      <c r="CJ321" s="143">
        <v>0</v>
      </c>
      <c r="CK321" s="143">
        <v>0</v>
      </c>
      <c r="CL321" s="143">
        <v>0</v>
      </c>
      <c r="CM321">
        <v>0</v>
      </c>
      <c r="CN321" t="str">
        <f t="shared" si="317"/>
        <v>refOK</v>
      </c>
      <c r="CO321">
        <f t="shared" si="318"/>
        <v>0</v>
      </c>
      <c r="CP321">
        <f t="shared" si="319"/>
        <v>44</v>
      </c>
      <c r="CQ321">
        <f t="shared" si="320"/>
        <v>191.05514546244029</v>
      </c>
      <c r="CR321">
        <f t="shared" si="321"/>
        <v>18</v>
      </c>
      <c r="CS321">
        <f t="shared" si="322"/>
        <v>64</v>
      </c>
      <c r="CT321">
        <f t="shared" si="323"/>
        <v>168.82</v>
      </c>
      <c r="CU321">
        <f t="shared" si="324"/>
        <v>0.88361922727272724</v>
      </c>
      <c r="CV321" s="2">
        <f t="shared" si="325"/>
        <v>2.5555555555555554</v>
      </c>
      <c r="CW321" s="1" t="s">
        <v>263</v>
      </c>
      <c r="CX321" t="str">
        <f t="shared" si="326"/>
        <v>loc</v>
      </c>
      <c r="CY321" t="s">
        <v>444</v>
      </c>
      <c r="CZ321"/>
      <c r="DA321"/>
      <c r="DB321">
        <v>100</v>
      </c>
      <c r="DC321" t="str">
        <f t="shared" si="327"/>
        <v>71-100</v>
      </c>
      <c r="DD321">
        <v>0</v>
      </c>
      <c r="DE321">
        <v>0</v>
      </c>
      <c r="DF321">
        <v>0</v>
      </c>
      <c r="DG321">
        <v>1</v>
      </c>
      <c r="DH321"/>
      <c r="DI321">
        <f t="shared" si="328"/>
        <v>1</v>
      </c>
      <c r="DJ321" t="str">
        <f t="shared" si="329"/>
        <v>TimberInput</v>
      </c>
      <c r="DK321">
        <f t="shared" si="330"/>
        <v>0</v>
      </c>
      <c r="DL321">
        <f t="shared" si="331"/>
        <v>0</v>
      </c>
      <c r="DM321">
        <f t="shared" si="332"/>
        <v>0</v>
      </c>
      <c r="DN321" t="str">
        <f t="shared" si="333"/>
        <v>Timber</v>
      </c>
      <c r="DO321">
        <v>1</v>
      </c>
      <c r="DP321" s="143">
        <v>0</v>
      </c>
      <c r="DQ321" s="143">
        <v>0</v>
      </c>
      <c r="DR321" s="143">
        <v>0</v>
      </c>
      <c r="DS321">
        <v>0</v>
      </c>
      <c r="DT321">
        <f t="shared" si="334"/>
        <v>1</v>
      </c>
      <c r="DU321" s="143" t="str">
        <f t="shared" si="335"/>
        <v>self-calculated DF</v>
      </c>
      <c r="DV321">
        <v>0</v>
      </c>
      <c r="DW321" s="143">
        <v>0</v>
      </c>
      <c r="DX321" s="143">
        <v>1</v>
      </c>
      <c r="DY321" s="143">
        <v>1</v>
      </c>
      <c r="DZ321">
        <v>1</v>
      </c>
      <c r="EA321" s="143">
        <v>1</v>
      </c>
      <c r="EB321">
        <v>0</v>
      </c>
      <c r="EC321" s="143">
        <v>1</v>
      </c>
      <c r="ED321" s="143">
        <v>0</v>
      </c>
      <c r="EE321">
        <v>0</v>
      </c>
      <c r="EF321">
        <v>0</v>
      </c>
      <c r="EG321" s="143">
        <v>0</v>
      </c>
      <c r="EH321" s="143">
        <v>0</v>
      </c>
      <c r="EI321" s="2">
        <v>0</v>
      </c>
      <c r="EJ321" s="1"/>
      <c r="EK321" t="str">
        <f t="shared" si="336"/>
        <v/>
      </c>
      <c r="EL321" t="str">
        <f t="shared" si="337"/>
        <v/>
      </c>
      <c r="EM321" s="2" t="str">
        <f t="shared" si="339"/>
        <v/>
      </c>
      <c r="EN321"/>
      <c r="EO321"/>
      <c r="EP321" t="str">
        <f>IF(ISNUMBER(BU321),IF(ABS(BU321-[5]QC_indicators!$B$2)&gt;3*[5]QC_indicators!$C$2,"C ratio",IF(ISNUMBER(BY321),IF(ABS(BY321-[5]QC_indicators!$B$1)&gt;3*[5]QC_indicators!$C$1,"DF","no"))),IF(ISNUMBER(BY321),IF(ABS(BY321-[5]QC_indicators!$B$1)&gt;3*[5]QC_indicators!$C$1,"DF","no")))</f>
        <v>no</v>
      </c>
      <c r="EQ321"/>
      <c r="ER321"/>
      <c r="ES321"/>
      <c r="ET321" s="264" t="s">
        <v>3272</v>
      </c>
      <c r="EU321"/>
    </row>
    <row r="322" spans="1:151" s="139" customFormat="1" ht="15" hidden="1" customHeight="1">
      <c r="A322" s="1" t="s">
        <v>430</v>
      </c>
      <c r="B322" t="s">
        <v>431</v>
      </c>
      <c r="C322" t="s">
        <v>432</v>
      </c>
      <c r="D322" t="s">
        <v>433</v>
      </c>
      <c r="E322" t="s">
        <v>434</v>
      </c>
      <c r="F322" t="s">
        <v>435</v>
      </c>
      <c r="G322" t="s">
        <v>436</v>
      </c>
      <c r="H322" t="s">
        <v>254</v>
      </c>
      <c r="I322">
        <v>2000</v>
      </c>
      <c r="J322">
        <v>174</v>
      </c>
      <c r="K322" t="s">
        <v>437</v>
      </c>
      <c r="L322"/>
      <c r="M322" t="str">
        <f t="shared" si="340"/>
        <v>Borjesson_2000</v>
      </c>
      <c r="N322" t="s">
        <v>222</v>
      </c>
      <c r="O322" s="145" t="s">
        <v>223</v>
      </c>
      <c r="P322"/>
      <c r="Q322" t="s">
        <v>256</v>
      </c>
      <c r="R322" s="255" t="s">
        <v>225</v>
      </c>
      <c r="S322" s="1" t="s">
        <v>458</v>
      </c>
      <c r="T322" t="s">
        <v>459</v>
      </c>
      <c r="U322" t="s">
        <v>460</v>
      </c>
      <c r="V322">
        <v>0</v>
      </c>
      <c r="W322">
        <v>0</v>
      </c>
      <c r="X322">
        <v>0</v>
      </c>
      <c r="Y322">
        <v>0</v>
      </c>
      <c r="Z322">
        <v>0</v>
      </c>
      <c r="AA322">
        <v>0</v>
      </c>
      <c r="AB322">
        <v>0</v>
      </c>
      <c r="AC322">
        <v>0</v>
      </c>
      <c r="AD322">
        <v>0</v>
      </c>
      <c r="AE322">
        <v>0</v>
      </c>
      <c r="AF322">
        <v>0</v>
      </c>
      <c r="AG322">
        <v>0</v>
      </c>
      <c r="AH322">
        <v>0</v>
      </c>
      <c r="AI322">
        <v>1</v>
      </c>
      <c r="AJ322">
        <v>0</v>
      </c>
      <c r="AK322">
        <v>0</v>
      </c>
      <c r="AL322">
        <v>0</v>
      </c>
      <c r="AM322">
        <v>0</v>
      </c>
      <c r="AN322">
        <v>0</v>
      </c>
      <c r="AO322">
        <v>0</v>
      </c>
      <c r="AP322">
        <v>0</v>
      </c>
      <c r="AQ322">
        <v>0</v>
      </c>
      <c r="AR322">
        <v>0</v>
      </c>
      <c r="AS322">
        <v>0</v>
      </c>
      <c r="AT322">
        <v>0</v>
      </c>
      <c r="AU322">
        <v>0</v>
      </c>
      <c r="AV322">
        <v>0</v>
      </c>
      <c r="AW322">
        <v>0</v>
      </c>
      <c r="AX322" s="141">
        <f t="shared" si="305"/>
        <v>1</v>
      </c>
      <c r="AY322" s="141">
        <f t="shared" si="306"/>
        <v>1</v>
      </c>
      <c r="AZ322">
        <f t="shared" si="307"/>
        <v>0</v>
      </c>
      <c r="BA322">
        <f t="shared" si="308"/>
        <v>1</v>
      </c>
      <c r="BB322">
        <f t="shared" si="309"/>
        <v>0</v>
      </c>
      <c r="BC322">
        <f t="shared" si="310"/>
        <v>0</v>
      </c>
      <c r="BD322">
        <f t="shared" si="311"/>
        <v>0</v>
      </c>
      <c r="BE322" t="str">
        <f t="array" ref="BE322">IF(AY322=1,INDEX($V$7:$AL$7,MATCH(TRUE,INDEX($V322:$AW322&lt;&gt;0,),0)),IF(AY322=0,INDEX($AM$7:$AW$7,MATCH(1,$AM322:$AW322,0)),IF(BF322="Multiple strategies","mixed drivers",IF(BF322="Supply chain","multiple supply","multiple silviculture"))))</f>
        <v>products lifespan</v>
      </c>
      <c r="BF322" s="2" t="str" cm="1">
        <f t="array" ref="BF322">IF(COUNTIF(AZ322:BB322,"&lt;&gt;0")=1,INDEX($V$4:$AW$4,MATCH(TRUE,INDEX($V322:$AW322&lt;&gt;0,),0)),IF(COUNTIF(AZ322:BB322,"&lt;&gt;0")=0,INDEX($AM$4:$AW$4,MATCH(1,$AM322:$AW322,0)),"Multiple strategies"))</f>
        <v>Supply chain</v>
      </c>
      <c r="BG322" s="142" t="s">
        <v>229</v>
      </c>
      <c r="BH322" t="s">
        <v>441</v>
      </c>
      <c r="BI322" s="264" t="s">
        <v>3273</v>
      </c>
      <c r="BJ322" s="143" t="s">
        <v>442</v>
      </c>
      <c r="BK322">
        <v>44</v>
      </c>
      <c r="BL322">
        <v>44</v>
      </c>
      <c r="BM322" s="143">
        <f t="shared" ref="BM322:BM339" si="341">BL322/BK322</f>
        <v>1</v>
      </c>
      <c r="BN322">
        <f t="shared" si="312"/>
        <v>0</v>
      </c>
      <c r="BO322">
        <f t="shared" si="313"/>
        <v>0</v>
      </c>
      <c r="BP322" t="s">
        <v>232</v>
      </c>
      <c r="BQ322" s="260" t="s">
        <v>813</v>
      </c>
      <c r="BR322" t="s">
        <v>443</v>
      </c>
      <c r="BS322" s="141">
        <v>0</v>
      </c>
      <c r="BT322" s="141">
        <v>31</v>
      </c>
      <c r="BU322" s="144" t="str">
        <f t="shared" si="314"/>
        <v/>
      </c>
      <c r="BV322">
        <f t="shared" si="315"/>
        <v>31</v>
      </c>
      <c r="BW322"/>
      <c r="BX322">
        <f t="shared" si="316"/>
        <v>113.77</v>
      </c>
      <c r="BY322" t="str">
        <f t="shared" si="338"/>
        <v/>
      </c>
      <c r="BZ322" s="143">
        <v>0</v>
      </c>
      <c r="CA322" s="143">
        <v>0</v>
      </c>
      <c r="CB322" s="143">
        <v>0</v>
      </c>
      <c r="CC322" s="143">
        <v>0</v>
      </c>
      <c r="CD322" s="143">
        <v>0</v>
      </c>
      <c r="CE322" s="143">
        <v>0</v>
      </c>
      <c r="CF322" s="143">
        <v>0</v>
      </c>
      <c r="CG322" s="143">
        <v>0</v>
      </c>
      <c r="CH322" s="143">
        <v>0</v>
      </c>
      <c r="CI322" s="143">
        <v>0</v>
      </c>
      <c r="CJ322" s="143">
        <v>0</v>
      </c>
      <c r="CK322" s="143">
        <v>0</v>
      </c>
      <c r="CL322" s="143">
        <v>0</v>
      </c>
      <c r="CM322">
        <v>0</v>
      </c>
      <c r="CN322" t="str">
        <f>IF(BL322&lt;BK322,"refNeedCorrection","refOK")</f>
        <v>refOK</v>
      </c>
      <c r="CO322">
        <f t="shared" si="318"/>
        <v>44</v>
      </c>
      <c r="CP322">
        <f t="shared" si="319"/>
        <v>44</v>
      </c>
      <c r="CQ322">
        <f t="shared" si="320"/>
        <v>0</v>
      </c>
      <c r="CR322">
        <f t="shared" si="321"/>
        <v>0</v>
      </c>
      <c r="CS322">
        <f t="shared" si="322"/>
        <v>31</v>
      </c>
      <c r="CT322">
        <f t="shared" si="323"/>
        <v>113.77</v>
      </c>
      <c r="CU322" t="str">
        <f t="shared" si="324"/>
        <v/>
      </c>
      <c r="CV322" s="2" t="str">
        <f t="shared" si="325"/>
        <v/>
      </c>
      <c r="CW322" s="1" t="s">
        <v>263</v>
      </c>
      <c r="CX322" t="str">
        <f t="shared" si="326"/>
        <v>loc</v>
      </c>
      <c r="CY322" t="s">
        <v>444</v>
      </c>
      <c r="CZ322"/>
      <c r="DA322"/>
      <c r="DB322">
        <v>300</v>
      </c>
      <c r="DC322" t="str">
        <f t="shared" si="327"/>
        <v>+100</v>
      </c>
      <c r="DD322">
        <v>0</v>
      </c>
      <c r="DE322">
        <v>1</v>
      </c>
      <c r="DF322">
        <v>0</v>
      </c>
      <c r="DG322">
        <v>1</v>
      </c>
      <c r="DH322"/>
      <c r="DI322">
        <f t="shared" si="328"/>
        <v>2</v>
      </c>
      <c r="DJ322" t="str">
        <f t="shared" si="329"/>
        <v>mixedProduct</v>
      </c>
      <c r="DK322">
        <f t="shared" si="330"/>
        <v>0</v>
      </c>
      <c r="DL322" t="str">
        <f t="shared" si="331"/>
        <v>Energy</v>
      </c>
      <c r="DM322">
        <f t="shared" si="332"/>
        <v>0</v>
      </c>
      <c r="DN322" t="str">
        <f t="shared" si="333"/>
        <v>Timber</v>
      </c>
      <c r="DO322">
        <v>1</v>
      </c>
      <c r="DP322" s="143">
        <v>0</v>
      </c>
      <c r="DQ322" s="143">
        <v>0</v>
      </c>
      <c r="DR322" s="143">
        <v>0</v>
      </c>
      <c r="DS322">
        <v>0</v>
      </c>
      <c r="DT322">
        <f t="shared" si="334"/>
        <v>1</v>
      </c>
      <c r="DU322" s="143" t="str">
        <f t="shared" si="335"/>
        <v>self-calculated DF</v>
      </c>
      <c r="DV322">
        <v>0</v>
      </c>
      <c r="DW322" s="143">
        <v>0</v>
      </c>
      <c r="DX322" s="143">
        <v>1</v>
      </c>
      <c r="DY322" s="143">
        <v>1</v>
      </c>
      <c r="DZ322">
        <v>1</v>
      </c>
      <c r="EA322" s="143">
        <v>1</v>
      </c>
      <c r="EB322">
        <v>0</v>
      </c>
      <c r="EC322" s="143">
        <v>1</v>
      </c>
      <c r="ED322" s="143">
        <v>0</v>
      </c>
      <c r="EE322">
        <v>0</v>
      </c>
      <c r="EF322">
        <v>0</v>
      </c>
      <c r="EG322" s="143">
        <v>0</v>
      </c>
      <c r="EH322" s="143">
        <v>0</v>
      </c>
      <c r="EI322" s="2">
        <v>0</v>
      </c>
      <c r="EJ322" s="1"/>
      <c r="EK322" t="str">
        <f t="shared" si="336"/>
        <v/>
      </c>
      <c r="EL322" t="str">
        <f t="shared" si="337"/>
        <v/>
      </c>
      <c r="EM322" s="2" t="str">
        <f t="shared" si="339"/>
        <v/>
      </c>
      <c r="EN322"/>
      <c r="EO322"/>
      <c r="EP322" t="b">
        <f>IF(ISNUMBER(BU322),IF(ABS(BU322-[5]QC_indicators!$B$2)&gt;3*[5]QC_indicators!$C$2,"C ratio",IF(ISNUMBER(BY322),IF(ABS(BY322-[5]QC_indicators!$B$1)&gt;3*[5]QC_indicators!$C$1,"DF","no"))),IF(ISNUMBER(BY322),IF(ABS(BY322-[5]QC_indicators!$B$1)&gt;3*[5]QC_indicators!$C$1,"DF","no")))</f>
        <v>0</v>
      </c>
      <c r="EQ322"/>
      <c r="ER322"/>
      <c r="ES322"/>
      <c r="ET322" s="264" t="s">
        <v>3272</v>
      </c>
      <c r="EU322"/>
    </row>
    <row r="323" spans="1:151" s="139" customFormat="1" ht="15" hidden="1" customHeight="1">
      <c r="A323" s="1" t="s">
        <v>430</v>
      </c>
      <c r="B323" t="s">
        <v>431</v>
      </c>
      <c r="C323" t="s">
        <v>432</v>
      </c>
      <c r="D323" t="s">
        <v>433</v>
      </c>
      <c r="E323" t="s">
        <v>434</v>
      </c>
      <c r="F323" t="s">
        <v>435</v>
      </c>
      <c r="G323" t="s">
        <v>436</v>
      </c>
      <c r="H323" t="s">
        <v>254</v>
      </c>
      <c r="I323">
        <v>2000</v>
      </c>
      <c r="J323">
        <v>174</v>
      </c>
      <c r="K323" t="s">
        <v>437</v>
      </c>
      <c r="L323"/>
      <c r="M323" t="str">
        <f t="shared" si="340"/>
        <v>Borjesson_2000</v>
      </c>
      <c r="N323" t="s">
        <v>222</v>
      </c>
      <c r="O323" s="145" t="s">
        <v>223</v>
      </c>
      <c r="P323"/>
      <c r="Q323" t="s">
        <v>256</v>
      </c>
      <c r="R323" s="255" t="s">
        <v>225</v>
      </c>
      <c r="S323" s="1" t="s">
        <v>458</v>
      </c>
      <c r="T323" t="s">
        <v>461</v>
      </c>
      <c r="U323" t="s">
        <v>460</v>
      </c>
      <c r="V323">
        <v>0</v>
      </c>
      <c r="W323">
        <v>0</v>
      </c>
      <c r="X323">
        <v>0</v>
      </c>
      <c r="Y323">
        <v>0</v>
      </c>
      <c r="Z323">
        <v>0</v>
      </c>
      <c r="AA323">
        <v>0</v>
      </c>
      <c r="AB323">
        <v>0</v>
      </c>
      <c r="AC323">
        <v>0</v>
      </c>
      <c r="AD323">
        <v>0</v>
      </c>
      <c r="AE323">
        <v>0</v>
      </c>
      <c r="AF323">
        <v>0</v>
      </c>
      <c r="AG323">
        <v>0</v>
      </c>
      <c r="AH323">
        <v>0</v>
      </c>
      <c r="AI323">
        <v>1</v>
      </c>
      <c r="AJ323">
        <v>0</v>
      </c>
      <c r="AK323">
        <v>0</v>
      </c>
      <c r="AL323">
        <v>0</v>
      </c>
      <c r="AM323">
        <v>0</v>
      </c>
      <c r="AN323">
        <v>0</v>
      </c>
      <c r="AO323">
        <v>0</v>
      </c>
      <c r="AP323">
        <v>0</v>
      </c>
      <c r="AQ323">
        <v>0</v>
      </c>
      <c r="AR323">
        <v>0</v>
      </c>
      <c r="AS323">
        <v>0</v>
      </c>
      <c r="AT323">
        <v>0</v>
      </c>
      <c r="AU323">
        <v>0</v>
      </c>
      <c r="AV323">
        <v>0</v>
      </c>
      <c r="AW323">
        <v>0</v>
      </c>
      <c r="AX323" s="141">
        <f t="shared" si="305"/>
        <v>1</v>
      </c>
      <c r="AY323" s="141">
        <f t="shared" si="306"/>
        <v>1</v>
      </c>
      <c r="AZ323">
        <f t="shared" si="307"/>
        <v>0</v>
      </c>
      <c r="BA323">
        <f t="shared" si="308"/>
        <v>1</v>
      </c>
      <c r="BB323">
        <f t="shared" si="309"/>
        <v>0</v>
      </c>
      <c r="BC323">
        <f t="shared" si="310"/>
        <v>0</v>
      </c>
      <c r="BD323">
        <f t="shared" si="311"/>
        <v>0</v>
      </c>
      <c r="BE323" t="str">
        <f t="array" ref="BE323">IF(AY323=1,INDEX($V$7:$AL$7,MATCH(TRUE,INDEX($V323:$AW323&lt;&gt;0,),0)),IF(AY323=0,INDEX($AM$7:$AW$7,MATCH(1,$AM323:$AW323,0)),IF(BF323="Multiple strategies","mixed drivers",IF(BF323="Supply chain","multiple supply","multiple silviculture"))))</f>
        <v>products lifespan</v>
      </c>
      <c r="BF323" s="2" t="str" cm="1">
        <f t="array" ref="BF323">IF(COUNTIF(AZ323:BB323,"&lt;&gt;0")=1,INDEX($V$4:$AW$4,MATCH(TRUE,INDEX($V323:$AW323&lt;&gt;0,),0)),IF(COUNTIF(AZ323:BB323,"&lt;&gt;0")=0,INDEX($AM$4:$AW$4,MATCH(1,$AM323:$AW323,0)),"Multiple strategies"))</f>
        <v>Supply chain</v>
      </c>
      <c r="BG323" s="142" t="s">
        <v>229</v>
      </c>
      <c r="BH323" t="s">
        <v>441</v>
      </c>
      <c r="BI323" s="264" t="s">
        <v>3273</v>
      </c>
      <c r="BJ323" s="143" t="s">
        <v>442</v>
      </c>
      <c r="BK323">
        <v>44</v>
      </c>
      <c r="BL323">
        <v>44</v>
      </c>
      <c r="BM323" s="143">
        <f t="shared" si="341"/>
        <v>1</v>
      </c>
      <c r="BN323">
        <f t="shared" si="312"/>
        <v>0</v>
      </c>
      <c r="BO323">
        <f t="shared" si="313"/>
        <v>0</v>
      </c>
      <c r="BP323" t="s">
        <v>232</v>
      </c>
      <c r="BQ323" s="260" t="s">
        <v>813</v>
      </c>
      <c r="BR323" t="s">
        <v>443</v>
      </c>
      <c r="BS323" s="141">
        <v>57</v>
      </c>
      <c r="BT323" s="141">
        <v>53</v>
      </c>
      <c r="BU323" s="144">
        <f t="shared" si="314"/>
        <v>0.92982456140350878</v>
      </c>
      <c r="BV323">
        <f t="shared" si="315"/>
        <v>-4</v>
      </c>
      <c r="BW323"/>
      <c r="BX323">
        <f t="shared" si="316"/>
        <v>-14.68</v>
      </c>
      <c r="BY323" t="str">
        <f t="shared" si="338"/>
        <v/>
      </c>
      <c r="BZ323" s="143">
        <v>0</v>
      </c>
      <c r="CA323" s="143">
        <v>0</v>
      </c>
      <c r="CB323" s="143">
        <v>0</v>
      </c>
      <c r="CC323" s="143">
        <v>0</v>
      </c>
      <c r="CD323" s="143">
        <v>0</v>
      </c>
      <c r="CE323" s="143">
        <v>0</v>
      </c>
      <c r="CF323" s="143">
        <v>0</v>
      </c>
      <c r="CG323" s="143">
        <v>0</v>
      </c>
      <c r="CH323" s="143">
        <v>0</v>
      </c>
      <c r="CI323" s="143">
        <v>0</v>
      </c>
      <c r="CJ323" s="143">
        <v>0</v>
      </c>
      <c r="CK323" s="143">
        <v>0</v>
      </c>
      <c r="CL323" s="143">
        <v>0</v>
      </c>
      <c r="CM323">
        <v>0</v>
      </c>
      <c r="CN323" t="str">
        <f>IF($BL323&lt;$BK323,"refNeedCorrection","refOK")</f>
        <v>refOK</v>
      </c>
      <c r="CO323">
        <f t="shared" si="318"/>
        <v>44</v>
      </c>
      <c r="CP323">
        <f t="shared" si="319"/>
        <v>44</v>
      </c>
      <c r="CQ323">
        <f t="shared" si="320"/>
        <v>0</v>
      </c>
      <c r="CR323">
        <f t="shared" si="321"/>
        <v>57</v>
      </c>
      <c r="CS323">
        <f t="shared" si="322"/>
        <v>53</v>
      </c>
      <c r="CT323">
        <f t="shared" si="323"/>
        <v>-14.68</v>
      </c>
      <c r="CU323" t="str">
        <f t="shared" si="324"/>
        <v/>
      </c>
      <c r="CV323" s="2">
        <f t="shared" si="325"/>
        <v>-7.0175438596491224E-2</v>
      </c>
      <c r="CW323" s="1" t="s">
        <v>263</v>
      </c>
      <c r="CX323" t="str">
        <f t="shared" si="326"/>
        <v>loc</v>
      </c>
      <c r="CY323" t="s">
        <v>444</v>
      </c>
      <c r="CZ323"/>
      <c r="DA323"/>
      <c r="DB323">
        <v>300</v>
      </c>
      <c r="DC323" t="str">
        <f t="shared" si="327"/>
        <v>+100</v>
      </c>
      <c r="DD323">
        <v>0</v>
      </c>
      <c r="DE323">
        <v>1</v>
      </c>
      <c r="DF323">
        <v>0</v>
      </c>
      <c r="DG323">
        <v>1</v>
      </c>
      <c r="DH323"/>
      <c r="DI323">
        <f t="shared" si="328"/>
        <v>2</v>
      </c>
      <c r="DJ323" t="str">
        <f t="shared" si="329"/>
        <v>mixedProduct</v>
      </c>
      <c r="DK323">
        <f t="shared" si="330"/>
        <v>0</v>
      </c>
      <c r="DL323" t="str">
        <f t="shared" si="331"/>
        <v>Energy</v>
      </c>
      <c r="DM323">
        <f t="shared" si="332"/>
        <v>0</v>
      </c>
      <c r="DN323" t="str">
        <f t="shared" si="333"/>
        <v>Timber</v>
      </c>
      <c r="DO323">
        <v>1</v>
      </c>
      <c r="DP323" s="143">
        <v>0</v>
      </c>
      <c r="DQ323" s="143">
        <v>0</v>
      </c>
      <c r="DR323" s="143">
        <v>0</v>
      </c>
      <c r="DS323">
        <v>0</v>
      </c>
      <c r="DT323">
        <f t="shared" si="334"/>
        <v>1</v>
      </c>
      <c r="DU323" s="143" t="str">
        <f t="shared" si="335"/>
        <v>self-calculated DF</v>
      </c>
      <c r="DV323">
        <v>0</v>
      </c>
      <c r="DW323" s="143">
        <v>0</v>
      </c>
      <c r="DX323" s="143">
        <v>1</v>
      </c>
      <c r="DY323" s="143">
        <v>1</v>
      </c>
      <c r="DZ323">
        <v>1</v>
      </c>
      <c r="EA323" s="143">
        <v>1</v>
      </c>
      <c r="EB323">
        <v>0</v>
      </c>
      <c r="EC323" s="143">
        <v>1</v>
      </c>
      <c r="ED323" s="143">
        <v>0</v>
      </c>
      <c r="EE323">
        <v>0</v>
      </c>
      <c r="EF323">
        <v>0</v>
      </c>
      <c r="EG323" s="143">
        <v>0</v>
      </c>
      <c r="EH323" s="143">
        <v>0</v>
      </c>
      <c r="EI323" s="2">
        <v>0</v>
      </c>
      <c r="EJ323" s="1"/>
      <c r="EK323" t="str">
        <f t="shared" si="336"/>
        <v/>
      </c>
      <c r="EL323" t="str">
        <f t="shared" si="337"/>
        <v/>
      </c>
      <c r="EM323" s="2" t="str">
        <f t="shared" si="339"/>
        <v/>
      </c>
      <c r="EN323"/>
      <c r="EO323"/>
      <c r="EP323" t="b">
        <f>IF(ISNUMBER(BU323),IF(ABS(BU323-[5]QC_indicators!$B$2)&gt;3*[5]QC_indicators!$C$2,"C ratio",IF(ISNUMBER(BY323),IF(ABS(BY323-[5]QC_indicators!$B$1)&gt;3*[5]QC_indicators!$C$1,"DF","no"))),IF(ISNUMBER(BY323),IF(ABS(BY323-[5]QC_indicators!$B$1)&gt;3*[5]QC_indicators!$C$1,"DF","no")))</f>
        <v>0</v>
      </c>
      <c r="EQ323"/>
      <c r="ER323"/>
      <c r="ES323"/>
      <c r="ET323" s="264" t="s">
        <v>3272</v>
      </c>
      <c r="EU323"/>
    </row>
    <row r="324" spans="1:151" s="139" customFormat="1" ht="15" hidden="1" customHeight="1">
      <c r="A324" s="1" t="s">
        <v>430</v>
      </c>
      <c r="B324" t="s">
        <v>431</v>
      </c>
      <c r="C324" t="s">
        <v>432</v>
      </c>
      <c r="D324" t="s">
        <v>433</v>
      </c>
      <c r="E324" t="s">
        <v>434</v>
      </c>
      <c r="F324" t="s">
        <v>435</v>
      </c>
      <c r="G324" t="s">
        <v>436</v>
      </c>
      <c r="H324" t="s">
        <v>254</v>
      </c>
      <c r="I324">
        <v>2000</v>
      </c>
      <c r="J324">
        <v>174</v>
      </c>
      <c r="K324" t="s">
        <v>437</v>
      </c>
      <c r="L324"/>
      <c r="M324" t="str">
        <f t="shared" si="340"/>
        <v>Borjesson_2000</v>
      </c>
      <c r="N324" t="s">
        <v>222</v>
      </c>
      <c r="O324" s="145" t="s">
        <v>223</v>
      </c>
      <c r="P324"/>
      <c r="Q324" t="s">
        <v>256</v>
      </c>
      <c r="R324" s="255" t="s">
        <v>225</v>
      </c>
      <c r="S324" s="1" t="s">
        <v>458</v>
      </c>
      <c r="T324" t="s">
        <v>462</v>
      </c>
      <c r="U324" t="s">
        <v>460</v>
      </c>
      <c r="V324">
        <v>0</v>
      </c>
      <c r="W324">
        <v>0</v>
      </c>
      <c r="X324">
        <v>0</v>
      </c>
      <c r="Y324">
        <v>0</v>
      </c>
      <c r="Z324">
        <v>0</v>
      </c>
      <c r="AA324">
        <v>0</v>
      </c>
      <c r="AB324">
        <v>0</v>
      </c>
      <c r="AC324">
        <v>0</v>
      </c>
      <c r="AD324">
        <v>0</v>
      </c>
      <c r="AE324">
        <v>0</v>
      </c>
      <c r="AF324">
        <v>0</v>
      </c>
      <c r="AG324">
        <v>0</v>
      </c>
      <c r="AH324">
        <v>0</v>
      </c>
      <c r="AI324">
        <v>1</v>
      </c>
      <c r="AJ324">
        <v>0</v>
      </c>
      <c r="AK324">
        <v>0</v>
      </c>
      <c r="AL324">
        <v>0</v>
      </c>
      <c r="AM324">
        <v>0</v>
      </c>
      <c r="AN324">
        <v>0</v>
      </c>
      <c r="AO324">
        <v>0</v>
      </c>
      <c r="AP324">
        <v>0</v>
      </c>
      <c r="AQ324">
        <v>0</v>
      </c>
      <c r="AR324">
        <v>0</v>
      </c>
      <c r="AS324">
        <v>0</v>
      </c>
      <c r="AT324">
        <v>0</v>
      </c>
      <c r="AU324">
        <v>0</v>
      </c>
      <c r="AV324">
        <v>0</v>
      </c>
      <c r="AW324">
        <v>0</v>
      </c>
      <c r="AX324" s="141">
        <f t="shared" si="305"/>
        <v>1</v>
      </c>
      <c r="AY324" s="141">
        <f t="shared" si="306"/>
        <v>1</v>
      </c>
      <c r="AZ324">
        <f t="shared" si="307"/>
        <v>0</v>
      </c>
      <c r="BA324">
        <f t="shared" si="308"/>
        <v>1</v>
      </c>
      <c r="BB324">
        <f t="shared" si="309"/>
        <v>0</v>
      </c>
      <c r="BC324">
        <f t="shared" si="310"/>
        <v>0</v>
      </c>
      <c r="BD324">
        <f t="shared" si="311"/>
        <v>0</v>
      </c>
      <c r="BE324" t="str">
        <f t="array" ref="BE324">IF(AY324=1,INDEX($V$7:$AL$7,MATCH(TRUE,INDEX($V324:$AW324&lt;&gt;0,),0)),IF(AY324=0,INDEX($AM$7:$AW$7,MATCH(1,$AM324:$AW324,0)),IF(BF324="Multiple strategies","mixed drivers",IF(BF324="Supply chain","multiple supply","multiple silviculture"))))</f>
        <v>products lifespan</v>
      </c>
      <c r="BF324" s="2" t="str" cm="1">
        <f t="array" ref="BF324">IF(COUNTIF(AZ324:BB324,"&lt;&gt;0")=1,INDEX($V$4:$AW$4,MATCH(TRUE,INDEX($V324:$AW324&lt;&gt;0,),0)),IF(COUNTIF(AZ324:BB324,"&lt;&gt;0")=0,INDEX($AM$4:$AW$4,MATCH(1,$AM324:$AW324,0)),"Multiple strategies"))</f>
        <v>Supply chain</v>
      </c>
      <c r="BG324" s="142" t="s">
        <v>229</v>
      </c>
      <c r="BH324" t="s">
        <v>441</v>
      </c>
      <c r="BI324" s="264" t="s">
        <v>3273</v>
      </c>
      <c r="BJ324" s="143" t="s">
        <v>442</v>
      </c>
      <c r="BK324">
        <v>44</v>
      </c>
      <c r="BL324">
        <v>44</v>
      </c>
      <c r="BM324" s="143">
        <f t="shared" si="341"/>
        <v>1</v>
      </c>
      <c r="BN324">
        <f t="shared" si="312"/>
        <v>0</v>
      </c>
      <c r="BO324">
        <f t="shared" si="313"/>
        <v>0</v>
      </c>
      <c r="BP324" t="s">
        <v>232</v>
      </c>
      <c r="BQ324" s="260" t="s">
        <v>813</v>
      </c>
      <c r="BR324" t="s">
        <v>443</v>
      </c>
      <c r="BS324" s="141">
        <v>126</v>
      </c>
      <c r="BT324" s="141">
        <v>84</v>
      </c>
      <c r="BU324" s="144">
        <f t="shared" si="314"/>
        <v>0.66666666666666663</v>
      </c>
      <c r="BV324">
        <f t="shared" si="315"/>
        <v>-42</v>
      </c>
      <c r="BW324"/>
      <c r="BX324">
        <f t="shared" si="316"/>
        <v>-154.13999999999999</v>
      </c>
      <c r="BY324" t="str">
        <f t="shared" si="338"/>
        <v/>
      </c>
      <c r="BZ324" s="143">
        <v>0</v>
      </c>
      <c r="CA324" s="143">
        <v>0</v>
      </c>
      <c r="CB324" s="143">
        <v>0</v>
      </c>
      <c r="CC324" s="143">
        <v>0</v>
      </c>
      <c r="CD324" s="143">
        <v>0</v>
      </c>
      <c r="CE324" s="143">
        <v>0</v>
      </c>
      <c r="CF324" s="143">
        <v>0</v>
      </c>
      <c r="CG324" s="143">
        <v>0</v>
      </c>
      <c r="CH324" s="143">
        <v>0</v>
      </c>
      <c r="CI324" s="143">
        <v>0</v>
      </c>
      <c r="CJ324" s="143">
        <v>0</v>
      </c>
      <c r="CK324" s="143">
        <v>0</v>
      </c>
      <c r="CL324" s="143">
        <v>0</v>
      </c>
      <c r="CM324">
        <v>0</v>
      </c>
      <c r="CN324" t="str">
        <f>IF($BL324&lt;$BK324,"refNeedCorrection","refOK")</f>
        <v>refOK</v>
      </c>
      <c r="CO324">
        <f t="shared" si="318"/>
        <v>44</v>
      </c>
      <c r="CP324">
        <f t="shared" si="319"/>
        <v>44</v>
      </c>
      <c r="CQ324">
        <f t="shared" si="320"/>
        <v>0</v>
      </c>
      <c r="CR324">
        <f t="shared" si="321"/>
        <v>126</v>
      </c>
      <c r="CS324">
        <f t="shared" si="322"/>
        <v>84</v>
      </c>
      <c r="CT324">
        <f t="shared" si="323"/>
        <v>-154.13999999999999</v>
      </c>
      <c r="CU324" t="str">
        <f t="shared" si="324"/>
        <v/>
      </c>
      <c r="CV324" s="2">
        <f t="shared" si="325"/>
        <v>-0.33333333333333331</v>
      </c>
      <c r="CW324" s="1" t="s">
        <v>263</v>
      </c>
      <c r="CX324" t="str">
        <f t="shared" si="326"/>
        <v>loc</v>
      </c>
      <c r="CY324" t="s">
        <v>444</v>
      </c>
      <c r="CZ324"/>
      <c r="DA324"/>
      <c r="DB324">
        <v>300</v>
      </c>
      <c r="DC324" t="str">
        <f t="shared" si="327"/>
        <v>+100</v>
      </c>
      <c r="DD324">
        <v>0</v>
      </c>
      <c r="DE324">
        <v>1</v>
      </c>
      <c r="DF324">
        <v>0</v>
      </c>
      <c r="DG324">
        <v>1</v>
      </c>
      <c r="DH324"/>
      <c r="DI324">
        <f t="shared" si="328"/>
        <v>2</v>
      </c>
      <c r="DJ324" t="str">
        <f t="shared" si="329"/>
        <v>mixedProduct</v>
      </c>
      <c r="DK324">
        <f t="shared" si="330"/>
        <v>0</v>
      </c>
      <c r="DL324" t="str">
        <f t="shared" si="331"/>
        <v>Energy</v>
      </c>
      <c r="DM324">
        <f t="shared" si="332"/>
        <v>0</v>
      </c>
      <c r="DN324" t="str">
        <f t="shared" si="333"/>
        <v>Timber</v>
      </c>
      <c r="DO324">
        <v>1</v>
      </c>
      <c r="DP324" s="143">
        <v>0</v>
      </c>
      <c r="DQ324" s="143">
        <v>0</v>
      </c>
      <c r="DR324" s="143">
        <v>0</v>
      </c>
      <c r="DS324">
        <v>0</v>
      </c>
      <c r="DT324">
        <f t="shared" si="334"/>
        <v>1</v>
      </c>
      <c r="DU324" s="143" t="str">
        <f t="shared" si="335"/>
        <v>self-calculated DF</v>
      </c>
      <c r="DV324">
        <v>0</v>
      </c>
      <c r="DW324" s="143">
        <v>0</v>
      </c>
      <c r="DX324" s="143">
        <v>1</v>
      </c>
      <c r="DY324" s="143">
        <v>1</v>
      </c>
      <c r="DZ324">
        <v>1</v>
      </c>
      <c r="EA324" s="143">
        <v>1</v>
      </c>
      <c r="EB324">
        <v>0</v>
      </c>
      <c r="EC324" s="143">
        <v>1</v>
      </c>
      <c r="ED324" s="143">
        <v>0</v>
      </c>
      <c r="EE324">
        <v>0</v>
      </c>
      <c r="EF324">
        <v>0</v>
      </c>
      <c r="EG324" s="143">
        <v>0</v>
      </c>
      <c r="EH324" s="143">
        <v>0</v>
      </c>
      <c r="EI324" s="2">
        <v>0</v>
      </c>
      <c r="EJ324" s="1"/>
      <c r="EK324" t="str">
        <f t="shared" si="336"/>
        <v/>
      </c>
      <c r="EL324" t="str">
        <f t="shared" si="337"/>
        <v/>
      </c>
      <c r="EM324" s="2" t="str">
        <f t="shared" si="339"/>
        <v/>
      </c>
      <c r="EN324"/>
      <c r="EO324"/>
      <c r="EP324" t="b">
        <f>IF(ISNUMBER(BU324),IF(ABS(BU324-[5]QC_indicators!$B$2)&gt;3*[5]QC_indicators!$C$2,"C ratio",IF(ISNUMBER(BY324),IF(ABS(BY324-[5]QC_indicators!$B$1)&gt;3*[5]QC_indicators!$C$1,"DF","no"))),IF(ISNUMBER(BY324),IF(ABS(BY324-[5]QC_indicators!$B$1)&gt;3*[5]QC_indicators!$C$1,"DF","no")))</f>
        <v>0</v>
      </c>
      <c r="EQ324"/>
      <c r="ER324"/>
      <c r="ES324"/>
      <c r="ET324" s="264" t="s">
        <v>3272</v>
      </c>
      <c r="EU324"/>
    </row>
    <row r="325" spans="1:151" s="139" customFormat="1" ht="15" hidden="1" customHeight="1">
      <c r="A325" s="1" t="s">
        <v>430</v>
      </c>
      <c r="B325" t="s">
        <v>431</v>
      </c>
      <c r="C325" t="s">
        <v>432</v>
      </c>
      <c r="D325" t="s">
        <v>433</v>
      </c>
      <c r="E325" t="s">
        <v>434</v>
      </c>
      <c r="F325" t="s">
        <v>435</v>
      </c>
      <c r="G325" t="s">
        <v>436</v>
      </c>
      <c r="H325" t="s">
        <v>254</v>
      </c>
      <c r="I325">
        <v>2000</v>
      </c>
      <c r="J325">
        <v>174</v>
      </c>
      <c r="K325" t="s">
        <v>437</v>
      </c>
      <c r="L325"/>
      <c r="M325" t="str">
        <f t="shared" si="340"/>
        <v>Borjesson_2000</v>
      </c>
      <c r="N325" t="s">
        <v>222</v>
      </c>
      <c r="O325" s="145" t="s">
        <v>223</v>
      </c>
      <c r="P325"/>
      <c r="Q325" t="s">
        <v>256</v>
      </c>
      <c r="R325" s="255" t="s">
        <v>225</v>
      </c>
      <c r="S325" s="1" t="s">
        <v>458</v>
      </c>
      <c r="T325" t="s">
        <v>463</v>
      </c>
      <c r="U325" t="s">
        <v>460</v>
      </c>
      <c r="V325">
        <v>0</v>
      </c>
      <c r="W325">
        <v>0</v>
      </c>
      <c r="X325">
        <v>0</v>
      </c>
      <c r="Y325">
        <v>0</v>
      </c>
      <c r="Z325">
        <v>0</v>
      </c>
      <c r="AA325">
        <v>0</v>
      </c>
      <c r="AB325">
        <v>0</v>
      </c>
      <c r="AC325">
        <v>0</v>
      </c>
      <c r="AD325">
        <v>0</v>
      </c>
      <c r="AE325">
        <v>0</v>
      </c>
      <c r="AF325">
        <v>0</v>
      </c>
      <c r="AG325">
        <v>0</v>
      </c>
      <c r="AH325">
        <v>0</v>
      </c>
      <c r="AI325">
        <v>1</v>
      </c>
      <c r="AJ325">
        <v>0</v>
      </c>
      <c r="AK325">
        <v>0</v>
      </c>
      <c r="AL325">
        <v>0</v>
      </c>
      <c r="AM325">
        <v>0</v>
      </c>
      <c r="AN325">
        <v>0</v>
      </c>
      <c r="AO325">
        <v>0</v>
      </c>
      <c r="AP325">
        <v>0</v>
      </c>
      <c r="AQ325">
        <v>0</v>
      </c>
      <c r="AR325">
        <v>0</v>
      </c>
      <c r="AS325">
        <v>0</v>
      </c>
      <c r="AT325">
        <v>0</v>
      </c>
      <c r="AU325">
        <v>0</v>
      </c>
      <c r="AV325">
        <v>0</v>
      </c>
      <c r="AW325">
        <v>0</v>
      </c>
      <c r="AX325" s="141">
        <f t="shared" si="305"/>
        <v>1</v>
      </c>
      <c r="AY325" s="141">
        <f t="shared" si="306"/>
        <v>1</v>
      </c>
      <c r="AZ325">
        <f t="shared" si="307"/>
        <v>0</v>
      </c>
      <c r="BA325">
        <f t="shared" si="308"/>
        <v>1</v>
      </c>
      <c r="BB325">
        <f t="shared" si="309"/>
        <v>0</v>
      </c>
      <c r="BC325">
        <f t="shared" si="310"/>
        <v>0</v>
      </c>
      <c r="BD325">
        <f t="shared" si="311"/>
        <v>0</v>
      </c>
      <c r="BE325" t="str">
        <f t="array" ref="BE325">IF(AY325=1,INDEX($V$7:$AL$7,MATCH(TRUE,INDEX($V325:$AW325&lt;&gt;0,),0)),IF(AY325=0,INDEX($AM$7:$AW$7,MATCH(1,$AM325:$AW325,0)),IF(BF325="Multiple strategies","mixed drivers",IF(BF325="Supply chain","multiple supply","multiple silviculture"))))</f>
        <v>products lifespan</v>
      </c>
      <c r="BF325" s="2" t="str" cm="1">
        <f t="array" ref="BF325">IF(COUNTIF(AZ325:BB325,"&lt;&gt;0")=1,INDEX($V$4:$AW$4,MATCH(TRUE,INDEX($V325:$AW325&lt;&gt;0,),0)),IF(COUNTIF(AZ325:BB325,"&lt;&gt;0")=0,INDEX($AM$4:$AW$4,MATCH(1,$AM325:$AW325,0)),"Multiple strategies"))</f>
        <v>Supply chain</v>
      </c>
      <c r="BG325" s="142" t="s">
        <v>229</v>
      </c>
      <c r="BH325" t="s">
        <v>441</v>
      </c>
      <c r="BI325" s="264" t="s">
        <v>3273</v>
      </c>
      <c r="BJ325" s="143" t="s">
        <v>442</v>
      </c>
      <c r="BK325">
        <v>44</v>
      </c>
      <c r="BL325">
        <v>44</v>
      </c>
      <c r="BM325" s="143">
        <f t="shared" si="341"/>
        <v>1</v>
      </c>
      <c r="BN325">
        <f t="shared" si="312"/>
        <v>0</v>
      </c>
      <c r="BO325">
        <f t="shared" si="313"/>
        <v>0</v>
      </c>
      <c r="BP325" t="s">
        <v>232</v>
      </c>
      <c r="BQ325" s="260" t="s">
        <v>813</v>
      </c>
      <c r="BR325" t="s">
        <v>443</v>
      </c>
      <c r="BS325" s="141">
        <v>151</v>
      </c>
      <c r="BT325" s="141">
        <v>93</v>
      </c>
      <c r="BU325" s="144">
        <f t="shared" si="314"/>
        <v>0.61589403973509937</v>
      </c>
      <c r="BV325">
        <f t="shared" si="315"/>
        <v>-58</v>
      </c>
      <c r="BW325"/>
      <c r="BX325">
        <f t="shared" si="316"/>
        <v>-212.85999999999999</v>
      </c>
      <c r="BY325" t="str">
        <f t="shared" si="338"/>
        <v/>
      </c>
      <c r="BZ325" s="143">
        <v>0</v>
      </c>
      <c r="CA325" s="143">
        <v>0</v>
      </c>
      <c r="CB325" s="143">
        <v>0</v>
      </c>
      <c r="CC325" s="143">
        <v>0</v>
      </c>
      <c r="CD325" s="143">
        <v>0</v>
      </c>
      <c r="CE325" s="143">
        <v>0</v>
      </c>
      <c r="CF325" s="143">
        <v>0</v>
      </c>
      <c r="CG325" s="143">
        <v>0</v>
      </c>
      <c r="CH325" s="143">
        <v>0</v>
      </c>
      <c r="CI325" s="143">
        <v>0</v>
      </c>
      <c r="CJ325" s="143">
        <v>0</v>
      </c>
      <c r="CK325" s="143">
        <v>0</v>
      </c>
      <c r="CL325" s="143">
        <v>0</v>
      </c>
      <c r="CM325">
        <v>0</v>
      </c>
      <c r="CN325" t="str">
        <f>IF($BL325&lt;$BK325,"refNeedCorrection","refOK")</f>
        <v>refOK</v>
      </c>
      <c r="CO325">
        <f t="shared" si="318"/>
        <v>44</v>
      </c>
      <c r="CP325">
        <f t="shared" si="319"/>
        <v>44</v>
      </c>
      <c r="CQ325">
        <f t="shared" si="320"/>
        <v>0</v>
      </c>
      <c r="CR325">
        <f t="shared" si="321"/>
        <v>151</v>
      </c>
      <c r="CS325">
        <f t="shared" si="322"/>
        <v>93</v>
      </c>
      <c r="CT325">
        <f t="shared" si="323"/>
        <v>-212.85999999999999</v>
      </c>
      <c r="CU325" t="str">
        <f t="shared" si="324"/>
        <v/>
      </c>
      <c r="CV325" s="2">
        <f t="shared" si="325"/>
        <v>-0.38410596026490068</v>
      </c>
      <c r="CW325" s="1" t="s">
        <v>263</v>
      </c>
      <c r="CX325" t="str">
        <f t="shared" si="326"/>
        <v>loc</v>
      </c>
      <c r="CY325" t="s">
        <v>444</v>
      </c>
      <c r="CZ325"/>
      <c r="DA325"/>
      <c r="DB325">
        <v>300</v>
      </c>
      <c r="DC325" t="str">
        <f t="shared" si="327"/>
        <v>+100</v>
      </c>
      <c r="DD325">
        <v>0</v>
      </c>
      <c r="DE325">
        <v>1</v>
      </c>
      <c r="DF325">
        <v>0</v>
      </c>
      <c r="DG325">
        <v>1</v>
      </c>
      <c r="DH325"/>
      <c r="DI325">
        <f t="shared" si="328"/>
        <v>2</v>
      </c>
      <c r="DJ325" t="str">
        <f t="shared" si="329"/>
        <v>mixedProduct</v>
      </c>
      <c r="DK325">
        <f t="shared" si="330"/>
        <v>0</v>
      </c>
      <c r="DL325" t="str">
        <f t="shared" si="331"/>
        <v>Energy</v>
      </c>
      <c r="DM325">
        <f t="shared" si="332"/>
        <v>0</v>
      </c>
      <c r="DN325" t="str">
        <f t="shared" si="333"/>
        <v>Timber</v>
      </c>
      <c r="DO325">
        <v>1</v>
      </c>
      <c r="DP325" s="143">
        <v>0</v>
      </c>
      <c r="DQ325" s="143">
        <v>0</v>
      </c>
      <c r="DR325" s="143">
        <v>0</v>
      </c>
      <c r="DS325">
        <v>0</v>
      </c>
      <c r="DT325">
        <f t="shared" si="334"/>
        <v>1</v>
      </c>
      <c r="DU325" s="143" t="str">
        <f t="shared" si="335"/>
        <v>self-calculated DF</v>
      </c>
      <c r="DV325">
        <v>0</v>
      </c>
      <c r="DW325" s="143">
        <v>0</v>
      </c>
      <c r="DX325" s="143">
        <v>1</v>
      </c>
      <c r="DY325" s="143">
        <v>1</v>
      </c>
      <c r="DZ325">
        <v>1</v>
      </c>
      <c r="EA325" s="143">
        <v>1</v>
      </c>
      <c r="EB325">
        <v>0</v>
      </c>
      <c r="EC325" s="143">
        <v>1</v>
      </c>
      <c r="ED325" s="143">
        <v>0</v>
      </c>
      <c r="EE325">
        <v>0</v>
      </c>
      <c r="EF325">
        <v>0</v>
      </c>
      <c r="EG325" s="143">
        <v>0</v>
      </c>
      <c r="EH325" s="143">
        <v>0</v>
      </c>
      <c r="EI325" s="2">
        <v>0</v>
      </c>
      <c r="EJ325" s="1"/>
      <c r="EK325" t="str">
        <f t="shared" si="336"/>
        <v/>
      </c>
      <c r="EL325" t="str">
        <f t="shared" si="337"/>
        <v/>
      </c>
      <c r="EM325" s="2" t="str">
        <f t="shared" si="339"/>
        <v/>
      </c>
      <c r="EN325"/>
      <c r="EO325"/>
      <c r="EP325" t="b">
        <f>IF(ISNUMBER(BU325),IF(ABS(BU325-[5]QC_indicators!$B$2)&gt;3*[5]QC_indicators!$C$2,"C ratio",IF(ISNUMBER(BY325),IF(ABS(BY325-[5]QC_indicators!$B$1)&gt;3*[5]QC_indicators!$C$1,"DF","no"))),IF(ISNUMBER(BY325),IF(ABS(BY325-[5]QC_indicators!$B$1)&gt;3*[5]QC_indicators!$C$1,"DF","no")))</f>
        <v>0</v>
      </c>
      <c r="EQ325"/>
      <c r="ER325"/>
      <c r="ES325"/>
      <c r="ET325" s="264" t="s">
        <v>3272</v>
      </c>
      <c r="EU325"/>
    </row>
    <row r="326" spans="1:151" s="139" customFormat="1" ht="15" hidden="1" customHeight="1">
      <c r="A326" s="1" t="s">
        <v>430</v>
      </c>
      <c r="B326" t="s">
        <v>431</v>
      </c>
      <c r="C326" t="s">
        <v>432</v>
      </c>
      <c r="D326" t="s">
        <v>433</v>
      </c>
      <c r="E326" t="s">
        <v>434</v>
      </c>
      <c r="F326" t="s">
        <v>435</v>
      </c>
      <c r="G326" t="s">
        <v>436</v>
      </c>
      <c r="H326" t="s">
        <v>254</v>
      </c>
      <c r="I326">
        <v>2000</v>
      </c>
      <c r="J326">
        <v>174</v>
      </c>
      <c r="K326" t="s">
        <v>437</v>
      </c>
      <c r="L326"/>
      <c r="M326" t="str">
        <f t="shared" si="340"/>
        <v>Borjesson_2000</v>
      </c>
      <c r="N326" t="s">
        <v>222</v>
      </c>
      <c r="O326" s="145" t="s">
        <v>223</v>
      </c>
      <c r="P326"/>
      <c r="Q326" t="s">
        <v>256</v>
      </c>
      <c r="R326" s="255" t="s">
        <v>225</v>
      </c>
      <c r="S326" s="1" t="s">
        <v>464</v>
      </c>
      <c r="T326" t="s">
        <v>465</v>
      </c>
      <c r="U326" t="s">
        <v>466</v>
      </c>
      <c r="V326">
        <v>0</v>
      </c>
      <c r="W326">
        <v>0</v>
      </c>
      <c r="X326">
        <v>0</v>
      </c>
      <c r="Y326">
        <v>0</v>
      </c>
      <c r="Z326">
        <v>0</v>
      </c>
      <c r="AA326">
        <v>0</v>
      </c>
      <c r="AB326">
        <v>0</v>
      </c>
      <c r="AC326">
        <v>0</v>
      </c>
      <c r="AD326">
        <v>0</v>
      </c>
      <c r="AE326">
        <v>0</v>
      </c>
      <c r="AF326">
        <v>0</v>
      </c>
      <c r="AG326">
        <v>0</v>
      </c>
      <c r="AH326">
        <v>1</v>
      </c>
      <c r="AI326">
        <v>0</v>
      </c>
      <c r="AJ326">
        <v>0</v>
      </c>
      <c r="AK326">
        <v>0</v>
      </c>
      <c r="AL326">
        <v>0</v>
      </c>
      <c r="AM326">
        <v>0</v>
      </c>
      <c r="AN326">
        <v>0</v>
      </c>
      <c r="AO326">
        <v>0</v>
      </c>
      <c r="AP326">
        <v>0</v>
      </c>
      <c r="AQ326">
        <v>0</v>
      </c>
      <c r="AR326">
        <v>0</v>
      </c>
      <c r="AS326">
        <v>0</v>
      </c>
      <c r="AT326">
        <v>0</v>
      </c>
      <c r="AU326">
        <v>0</v>
      </c>
      <c r="AV326">
        <v>0</v>
      </c>
      <c r="AW326">
        <v>0</v>
      </c>
      <c r="AX326" s="141">
        <f t="shared" si="305"/>
        <v>1</v>
      </c>
      <c r="AY326" s="141">
        <f t="shared" si="306"/>
        <v>1</v>
      </c>
      <c r="AZ326">
        <f t="shared" si="307"/>
        <v>0</v>
      </c>
      <c r="BA326">
        <f t="shared" si="308"/>
        <v>1</v>
      </c>
      <c r="BB326">
        <f t="shared" si="309"/>
        <v>0</v>
      </c>
      <c r="BC326">
        <f t="shared" si="310"/>
        <v>0</v>
      </c>
      <c r="BD326">
        <f t="shared" si="311"/>
        <v>0</v>
      </c>
      <c r="BE326" t="str">
        <f t="array" ref="BE326">IF(AY326=1,INDEX($V$7:$AL$7,MATCH(TRUE,INDEX($V326:$AW326&lt;&gt;0,),0)),IF(AY326=0,INDEX($AM$7:$AW$7,MATCH(1,$AM326:$AW326,0)),IF(BF326="Multiple strategies","mixed drivers",IF(BF326="Supply chain","multiple supply","multiple silviculture"))))</f>
        <v xml:space="preserve">end of life disposal </v>
      </c>
      <c r="BF326" s="2" t="str" cm="1">
        <f t="array" ref="BF326">IF(COUNTIF(AZ326:BB326,"&lt;&gt;0")=1,INDEX($V$4:$AW$4,MATCH(TRUE,INDEX($V326:$AW326&lt;&gt;0,),0)),IF(COUNTIF(AZ326:BB326,"&lt;&gt;0")=0,INDEX($AM$4:$AW$4,MATCH(1,$AM326:$AW326,0)),"Multiple strategies"))</f>
        <v>Supply chain</v>
      </c>
      <c r="BG326" s="142" t="s">
        <v>229</v>
      </c>
      <c r="BH326" t="s">
        <v>441</v>
      </c>
      <c r="BI326" s="264" t="s">
        <v>3273</v>
      </c>
      <c r="BJ326" s="143" t="s">
        <v>442</v>
      </c>
      <c r="BK326">
        <v>44</v>
      </c>
      <c r="BL326">
        <v>44</v>
      </c>
      <c r="BM326" s="143">
        <f t="shared" si="341"/>
        <v>1</v>
      </c>
      <c r="BN326">
        <f t="shared" si="312"/>
        <v>0</v>
      </c>
      <c r="BO326">
        <v>0</v>
      </c>
      <c r="BP326" t="s">
        <v>232</v>
      </c>
      <c r="BQ326" s="260" t="s">
        <v>813</v>
      </c>
      <c r="BR326" t="s">
        <v>443</v>
      </c>
      <c r="BS326" s="141">
        <v>47</v>
      </c>
      <c r="BT326" s="141">
        <v>97</v>
      </c>
      <c r="BU326" s="144">
        <f t="shared" si="314"/>
        <v>2.0638297872340425</v>
      </c>
      <c r="BV326">
        <f t="shared" si="315"/>
        <v>50</v>
      </c>
      <c r="BW326"/>
      <c r="BX326">
        <f t="shared" si="316"/>
        <v>183.5</v>
      </c>
      <c r="BY326" t="str">
        <f t="shared" si="338"/>
        <v/>
      </c>
      <c r="BZ326" s="143">
        <v>0</v>
      </c>
      <c r="CA326" s="143">
        <v>0</v>
      </c>
      <c r="CB326" s="143">
        <v>0</v>
      </c>
      <c r="CC326" s="143">
        <v>0</v>
      </c>
      <c r="CD326" s="143">
        <v>0</v>
      </c>
      <c r="CE326" s="143">
        <v>0</v>
      </c>
      <c r="CF326" s="143">
        <v>0</v>
      </c>
      <c r="CG326" s="143">
        <v>0</v>
      </c>
      <c r="CH326" s="143">
        <v>0</v>
      </c>
      <c r="CI326" s="143">
        <v>0</v>
      </c>
      <c r="CJ326" s="143">
        <v>0</v>
      </c>
      <c r="CK326" s="143">
        <v>0</v>
      </c>
      <c r="CL326" s="143">
        <v>0</v>
      </c>
      <c r="CM326">
        <v>0</v>
      </c>
      <c r="CN326" t="str">
        <f>IF($BL326&lt;$BK326,"refNeedCorrection","refOK")</f>
        <v>refOK</v>
      </c>
      <c r="CO326">
        <f t="shared" si="318"/>
        <v>44</v>
      </c>
      <c r="CP326">
        <f t="shared" si="319"/>
        <v>44</v>
      </c>
      <c r="CQ326">
        <f t="shared" si="320"/>
        <v>0</v>
      </c>
      <c r="CR326">
        <f t="shared" si="321"/>
        <v>47</v>
      </c>
      <c r="CS326">
        <f t="shared" si="322"/>
        <v>97</v>
      </c>
      <c r="CT326">
        <f t="shared" si="323"/>
        <v>183.5</v>
      </c>
      <c r="CU326" t="str">
        <f t="shared" si="324"/>
        <v/>
      </c>
      <c r="CV326" s="2">
        <f t="shared" si="325"/>
        <v>1.0638297872340425</v>
      </c>
      <c r="CW326" s="1" t="s">
        <v>263</v>
      </c>
      <c r="CX326" t="str">
        <f t="shared" si="326"/>
        <v>loc</v>
      </c>
      <c r="CY326" t="s">
        <v>444</v>
      </c>
      <c r="CZ326"/>
      <c r="DA326"/>
      <c r="DB326">
        <v>300</v>
      </c>
      <c r="DC326" t="str">
        <f t="shared" si="327"/>
        <v>+100</v>
      </c>
      <c r="DD326">
        <v>0</v>
      </c>
      <c r="DE326">
        <v>1</v>
      </c>
      <c r="DF326">
        <v>0</v>
      </c>
      <c r="DG326">
        <v>0</v>
      </c>
      <c r="DH326"/>
      <c r="DI326">
        <f t="shared" si="328"/>
        <v>1</v>
      </c>
      <c r="DJ326" t="str">
        <f t="shared" si="329"/>
        <v>EnergyInput</v>
      </c>
      <c r="DK326">
        <f t="shared" si="330"/>
        <v>0</v>
      </c>
      <c r="DL326" t="str">
        <f t="shared" si="331"/>
        <v>Energy</v>
      </c>
      <c r="DM326">
        <f t="shared" si="332"/>
        <v>0</v>
      </c>
      <c r="DN326">
        <f t="shared" si="333"/>
        <v>0</v>
      </c>
      <c r="DO326">
        <v>1</v>
      </c>
      <c r="DP326" s="143">
        <v>0</v>
      </c>
      <c r="DQ326" s="143">
        <v>0</v>
      </c>
      <c r="DR326" s="143">
        <v>0</v>
      </c>
      <c r="DS326">
        <v>0</v>
      </c>
      <c r="DT326">
        <f t="shared" si="334"/>
        <v>1</v>
      </c>
      <c r="DU326" s="143" t="str">
        <f t="shared" si="335"/>
        <v>self-calculated DF</v>
      </c>
      <c r="DV326">
        <v>0</v>
      </c>
      <c r="DW326" s="143">
        <v>0</v>
      </c>
      <c r="DX326" s="143">
        <v>1</v>
      </c>
      <c r="DY326" s="143">
        <v>1</v>
      </c>
      <c r="DZ326">
        <v>1</v>
      </c>
      <c r="EA326" s="143">
        <v>1</v>
      </c>
      <c r="EB326">
        <v>0</v>
      </c>
      <c r="EC326" s="143">
        <v>1</v>
      </c>
      <c r="ED326" s="143">
        <v>0</v>
      </c>
      <c r="EE326">
        <v>0</v>
      </c>
      <c r="EF326">
        <v>0</v>
      </c>
      <c r="EG326" s="143">
        <v>0</v>
      </c>
      <c r="EH326" s="143">
        <v>0</v>
      </c>
      <c r="EI326" s="2">
        <v>0</v>
      </c>
      <c r="EJ326" s="1"/>
      <c r="EK326" t="str">
        <f t="shared" si="336"/>
        <v/>
      </c>
      <c r="EL326" t="str">
        <f t="shared" si="337"/>
        <v/>
      </c>
      <c r="EM326" s="2" t="str">
        <f t="shared" si="339"/>
        <v/>
      </c>
      <c r="EN326" t="s">
        <v>445</v>
      </c>
      <c r="EO326"/>
      <c r="EP326" t="b">
        <f>IF(ISNUMBER(BU326),IF(ABS(BU326-[5]QC_indicators!$B$2)&gt;3*[5]QC_indicators!$C$2,"C ratio",IF(ISNUMBER(BY326),IF(ABS(BY326-[5]QC_indicators!$B$1)&gt;3*[5]QC_indicators!$C$1,"DF","no"))),IF(ISNUMBER(BY326),IF(ABS(BY326-[5]QC_indicators!$B$1)&gt;3*[5]QC_indicators!$C$1,"DF","no")))</f>
        <v>0</v>
      </c>
      <c r="EQ326"/>
      <c r="ER326"/>
      <c r="ES326"/>
      <c r="ET326" s="264" t="s">
        <v>3272</v>
      </c>
      <c r="EU326"/>
    </row>
    <row r="327" spans="1:151" s="139" customFormat="1" ht="15" hidden="1" customHeight="1">
      <c r="A327" s="1" t="s">
        <v>430</v>
      </c>
      <c r="B327" t="s">
        <v>431</v>
      </c>
      <c r="C327" t="s">
        <v>432</v>
      </c>
      <c r="D327" t="s">
        <v>433</v>
      </c>
      <c r="E327" t="s">
        <v>434</v>
      </c>
      <c r="F327" t="s">
        <v>435</v>
      </c>
      <c r="G327" t="s">
        <v>436</v>
      </c>
      <c r="H327" t="s">
        <v>254</v>
      </c>
      <c r="I327">
        <v>2000</v>
      </c>
      <c r="J327">
        <v>174</v>
      </c>
      <c r="K327" t="s">
        <v>437</v>
      </c>
      <c r="L327"/>
      <c r="M327" t="str">
        <f t="shared" si="340"/>
        <v>Borjesson_2000</v>
      </c>
      <c r="N327" t="s">
        <v>222</v>
      </c>
      <c r="O327" s="145" t="s">
        <v>223</v>
      </c>
      <c r="P327"/>
      <c r="Q327" t="s">
        <v>256</v>
      </c>
      <c r="R327" s="255" t="s">
        <v>225</v>
      </c>
      <c r="S327" s="1" t="s">
        <v>464</v>
      </c>
      <c r="T327" t="s">
        <v>467</v>
      </c>
      <c r="U327" t="s">
        <v>466</v>
      </c>
      <c r="V327">
        <v>0</v>
      </c>
      <c r="W327">
        <v>0</v>
      </c>
      <c r="X327">
        <v>0</v>
      </c>
      <c r="Y327">
        <v>0</v>
      </c>
      <c r="Z327">
        <v>0</v>
      </c>
      <c r="AA327">
        <v>0</v>
      </c>
      <c r="AB327">
        <v>0</v>
      </c>
      <c r="AC327">
        <v>0</v>
      </c>
      <c r="AD327">
        <v>0</v>
      </c>
      <c r="AE327">
        <v>0</v>
      </c>
      <c r="AF327">
        <v>0</v>
      </c>
      <c r="AG327">
        <v>0</v>
      </c>
      <c r="AH327">
        <v>1</v>
      </c>
      <c r="AI327">
        <v>0</v>
      </c>
      <c r="AJ327">
        <v>0</v>
      </c>
      <c r="AK327">
        <v>0</v>
      </c>
      <c r="AL327">
        <v>0</v>
      </c>
      <c r="AM327">
        <v>0</v>
      </c>
      <c r="AN327">
        <v>0</v>
      </c>
      <c r="AO327">
        <v>0</v>
      </c>
      <c r="AP327">
        <v>0</v>
      </c>
      <c r="AQ327">
        <v>0</v>
      </c>
      <c r="AR327">
        <v>0</v>
      </c>
      <c r="AS327">
        <v>0</v>
      </c>
      <c r="AT327">
        <v>0</v>
      </c>
      <c r="AU327">
        <v>0</v>
      </c>
      <c r="AV327">
        <v>0</v>
      </c>
      <c r="AW327">
        <v>0</v>
      </c>
      <c r="AX327" s="141">
        <f t="shared" si="305"/>
        <v>1</v>
      </c>
      <c r="AY327" s="141">
        <f t="shared" si="306"/>
        <v>1</v>
      </c>
      <c r="AZ327">
        <f t="shared" si="307"/>
        <v>0</v>
      </c>
      <c r="BA327">
        <f t="shared" si="308"/>
        <v>1</v>
      </c>
      <c r="BB327">
        <f t="shared" si="309"/>
        <v>0</v>
      </c>
      <c r="BC327">
        <f t="shared" si="310"/>
        <v>0</v>
      </c>
      <c r="BD327">
        <f t="shared" si="311"/>
        <v>0</v>
      </c>
      <c r="BE327" t="str">
        <f t="array" ref="BE327">IF(AY327=1,INDEX($V$7:$AL$7,MATCH(TRUE,INDEX($V327:$AW327&lt;&gt;0,),0)),IF(AY327=0,INDEX($AM$7:$AW$7,MATCH(1,$AM327:$AW327,0)),IF(BF327="Multiple strategies","mixed drivers",IF(BF327="Supply chain","multiple supply","multiple silviculture"))))</f>
        <v xml:space="preserve">end of life disposal </v>
      </c>
      <c r="BF327" s="2" t="str" cm="1">
        <f t="array" ref="BF327">IF(COUNTIF(AZ327:BB327,"&lt;&gt;0")=1,INDEX($V$4:$AW$4,MATCH(TRUE,INDEX($V327:$AW327&lt;&gt;0,),0)),IF(COUNTIF(AZ327:BB327,"&lt;&gt;0")=0,INDEX($AM$4:$AW$4,MATCH(1,$AM327:$AW327,0)),"Multiple strategies"))</f>
        <v>Supply chain</v>
      </c>
      <c r="BG327" s="142" t="s">
        <v>229</v>
      </c>
      <c r="BH327" t="s">
        <v>441</v>
      </c>
      <c r="BI327" s="264" t="s">
        <v>3273</v>
      </c>
      <c r="BJ327" s="143" t="s">
        <v>442</v>
      </c>
      <c r="BK327">
        <f t="shared" ref="BK327:BL339" si="342">3*44</f>
        <v>132</v>
      </c>
      <c r="BL327">
        <f t="shared" si="342"/>
        <v>132</v>
      </c>
      <c r="BM327" s="143">
        <f t="shared" si="341"/>
        <v>1</v>
      </c>
      <c r="BN327">
        <f t="shared" si="312"/>
        <v>0</v>
      </c>
      <c r="BO327">
        <v>0</v>
      </c>
      <c r="BP327" t="s">
        <v>232</v>
      </c>
      <c r="BQ327" s="260" t="s">
        <v>813</v>
      </c>
      <c r="BR327" t="s">
        <v>443</v>
      </c>
      <c r="BS327" s="141">
        <v>-3</v>
      </c>
      <c r="BT327" s="141">
        <v>97</v>
      </c>
      <c r="BU327" s="144">
        <f t="shared" si="314"/>
        <v>-32.333333333333336</v>
      </c>
      <c r="BV327">
        <f t="shared" si="315"/>
        <v>100</v>
      </c>
      <c r="BW327"/>
      <c r="BX327">
        <f t="shared" si="316"/>
        <v>367</v>
      </c>
      <c r="BY327" t="str">
        <f t="shared" si="338"/>
        <v/>
      </c>
      <c r="BZ327" s="143">
        <v>0</v>
      </c>
      <c r="CA327" s="143">
        <v>0</v>
      </c>
      <c r="CB327" s="143">
        <v>0</v>
      </c>
      <c r="CC327" s="143">
        <v>0</v>
      </c>
      <c r="CD327" s="143">
        <v>0</v>
      </c>
      <c r="CE327" s="143">
        <v>0</v>
      </c>
      <c r="CF327" s="143">
        <v>0</v>
      </c>
      <c r="CG327" s="143">
        <v>0</v>
      </c>
      <c r="CH327" s="143">
        <v>0</v>
      </c>
      <c r="CI327" s="143">
        <v>0</v>
      </c>
      <c r="CJ327" s="143">
        <v>0</v>
      </c>
      <c r="CK327" s="143">
        <v>0</v>
      </c>
      <c r="CL327" s="143">
        <v>0</v>
      </c>
      <c r="CM327">
        <v>0</v>
      </c>
      <c r="CN327" t="str">
        <f>IF(BL327&lt;BK327,"refNeedCorrection","refOK")</f>
        <v>refOK</v>
      </c>
      <c r="CO327">
        <f t="shared" si="318"/>
        <v>132</v>
      </c>
      <c r="CP327">
        <f t="shared" si="319"/>
        <v>132</v>
      </c>
      <c r="CQ327">
        <f t="shared" si="320"/>
        <v>0</v>
      </c>
      <c r="CR327">
        <f t="shared" si="321"/>
        <v>-3</v>
      </c>
      <c r="CS327">
        <f t="shared" si="322"/>
        <v>97</v>
      </c>
      <c r="CT327">
        <f t="shared" si="323"/>
        <v>367</v>
      </c>
      <c r="CU327" t="str">
        <f t="shared" si="324"/>
        <v/>
      </c>
      <c r="CV327" s="2">
        <f t="shared" si="325"/>
        <v>33.333333333333336</v>
      </c>
      <c r="CW327" s="1" t="s">
        <v>263</v>
      </c>
      <c r="CX327" t="str">
        <f t="shared" si="326"/>
        <v>loc</v>
      </c>
      <c r="CY327" t="s">
        <v>444</v>
      </c>
      <c r="CZ327"/>
      <c r="DA327"/>
      <c r="DB327">
        <v>300</v>
      </c>
      <c r="DC327" t="str">
        <f t="shared" si="327"/>
        <v>+100</v>
      </c>
      <c r="DD327">
        <v>0</v>
      </c>
      <c r="DE327">
        <v>1</v>
      </c>
      <c r="DF327">
        <v>0</v>
      </c>
      <c r="DG327">
        <v>0</v>
      </c>
      <c r="DH327"/>
      <c r="DI327">
        <f t="shared" si="328"/>
        <v>1</v>
      </c>
      <c r="DJ327" t="str">
        <f t="shared" si="329"/>
        <v>EnergyInput</v>
      </c>
      <c r="DK327">
        <f t="shared" si="330"/>
        <v>0</v>
      </c>
      <c r="DL327" t="str">
        <f t="shared" si="331"/>
        <v>Energy</v>
      </c>
      <c r="DM327">
        <f t="shared" si="332"/>
        <v>0</v>
      </c>
      <c r="DN327">
        <f t="shared" si="333"/>
        <v>0</v>
      </c>
      <c r="DO327">
        <v>1</v>
      </c>
      <c r="DP327" s="143">
        <v>0</v>
      </c>
      <c r="DQ327" s="143">
        <v>0</v>
      </c>
      <c r="DR327" s="143">
        <v>0</v>
      </c>
      <c r="DS327">
        <v>0</v>
      </c>
      <c r="DT327">
        <f t="shared" si="334"/>
        <v>1</v>
      </c>
      <c r="DU327" s="143" t="str">
        <f t="shared" si="335"/>
        <v>self-calculated DF</v>
      </c>
      <c r="DV327">
        <v>0</v>
      </c>
      <c r="DW327" s="143">
        <v>0</v>
      </c>
      <c r="DX327" s="143">
        <v>1</v>
      </c>
      <c r="DY327" s="143">
        <v>1</v>
      </c>
      <c r="DZ327">
        <v>1</v>
      </c>
      <c r="EA327" s="143">
        <v>1</v>
      </c>
      <c r="EB327">
        <v>0</v>
      </c>
      <c r="EC327" s="143">
        <v>1</v>
      </c>
      <c r="ED327" s="143">
        <v>0</v>
      </c>
      <c r="EE327">
        <v>0</v>
      </c>
      <c r="EF327">
        <v>0</v>
      </c>
      <c r="EG327" s="143">
        <v>0</v>
      </c>
      <c r="EH327" s="143">
        <v>0</v>
      </c>
      <c r="EI327" s="2">
        <v>0</v>
      </c>
      <c r="EJ327" s="1"/>
      <c r="EK327" t="str">
        <f t="shared" si="336"/>
        <v/>
      </c>
      <c r="EL327" t="str">
        <f t="shared" si="337"/>
        <v/>
      </c>
      <c r="EM327" s="2" t="str">
        <f t="shared" si="339"/>
        <v/>
      </c>
      <c r="EN327" t="s">
        <v>445</v>
      </c>
      <c r="EO327"/>
      <c r="EP327" t="str">
        <f>IF(ISNUMBER(BU327),IF(ABS(BU327-[5]QC_indicators!$B$2)&gt;3*[5]QC_indicators!$C$2,"C ratio",IF(ISNUMBER(BY327),IF(ABS(BY327-[5]QC_indicators!$B$1)&gt;3*[5]QC_indicators!$C$1,"DF","no"))),IF(ISNUMBER(BY327),IF(ABS(BY327-[5]QC_indicators!$B$1)&gt;3*[5]QC_indicators!$C$1,"DF","no")))</f>
        <v>C ratio</v>
      </c>
      <c r="EQ327" t="s">
        <v>450</v>
      </c>
      <c r="ER327"/>
      <c r="ES327"/>
      <c r="ET327" s="264" t="s">
        <v>3272</v>
      </c>
      <c r="EU327"/>
    </row>
    <row r="328" spans="1:151" s="139" customFormat="1" ht="15" hidden="1" customHeight="1">
      <c r="A328" s="1" t="s">
        <v>430</v>
      </c>
      <c r="B328" t="s">
        <v>431</v>
      </c>
      <c r="C328" t="s">
        <v>432</v>
      </c>
      <c r="D328" t="s">
        <v>433</v>
      </c>
      <c r="E328" t="s">
        <v>434</v>
      </c>
      <c r="F328" t="s">
        <v>435</v>
      </c>
      <c r="G328" t="s">
        <v>436</v>
      </c>
      <c r="H328" t="s">
        <v>254</v>
      </c>
      <c r="I328">
        <v>2000</v>
      </c>
      <c r="J328">
        <v>174</v>
      </c>
      <c r="K328" t="s">
        <v>437</v>
      </c>
      <c r="L328"/>
      <c r="M328" t="str">
        <f t="shared" si="340"/>
        <v>Borjesson_2000</v>
      </c>
      <c r="N328" t="s">
        <v>222</v>
      </c>
      <c r="O328" s="145" t="s">
        <v>223</v>
      </c>
      <c r="P328"/>
      <c r="Q328" t="s">
        <v>256</v>
      </c>
      <c r="R328" s="255" t="s">
        <v>225</v>
      </c>
      <c r="S328" s="1" t="s">
        <v>464</v>
      </c>
      <c r="T328" t="s">
        <v>467</v>
      </c>
      <c r="U328" t="s">
        <v>468</v>
      </c>
      <c r="V328">
        <v>0</v>
      </c>
      <c r="W328">
        <v>0</v>
      </c>
      <c r="X328">
        <v>0</v>
      </c>
      <c r="Y328">
        <v>0</v>
      </c>
      <c r="Z328">
        <v>0</v>
      </c>
      <c r="AA328">
        <v>0</v>
      </c>
      <c r="AB328">
        <v>0</v>
      </c>
      <c r="AC328">
        <v>0</v>
      </c>
      <c r="AD328">
        <v>0</v>
      </c>
      <c r="AE328">
        <v>0</v>
      </c>
      <c r="AF328">
        <v>0</v>
      </c>
      <c r="AG328">
        <v>0</v>
      </c>
      <c r="AH328">
        <v>1</v>
      </c>
      <c r="AI328">
        <v>0</v>
      </c>
      <c r="AJ328">
        <v>0</v>
      </c>
      <c r="AK328">
        <v>0</v>
      </c>
      <c r="AL328">
        <v>0</v>
      </c>
      <c r="AM328">
        <v>0</v>
      </c>
      <c r="AN328">
        <v>0</v>
      </c>
      <c r="AO328">
        <v>0</v>
      </c>
      <c r="AP328">
        <v>0</v>
      </c>
      <c r="AQ328">
        <v>0</v>
      </c>
      <c r="AR328">
        <v>0</v>
      </c>
      <c r="AS328">
        <v>0</v>
      </c>
      <c r="AT328">
        <v>0</v>
      </c>
      <c r="AU328">
        <v>0</v>
      </c>
      <c r="AV328">
        <v>0</v>
      </c>
      <c r="AW328">
        <v>0</v>
      </c>
      <c r="AX328" s="141">
        <f t="shared" si="305"/>
        <v>1</v>
      </c>
      <c r="AY328" s="141">
        <f t="shared" si="306"/>
        <v>1</v>
      </c>
      <c r="AZ328">
        <f t="shared" si="307"/>
        <v>0</v>
      </c>
      <c r="BA328">
        <f t="shared" si="308"/>
        <v>1</v>
      </c>
      <c r="BB328">
        <f t="shared" si="309"/>
        <v>0</v>
      </c>
      <c r="BC328">
        <f t="shared" si="310"/>
        <v>0</v>
      </c>
      <c r="BD328">
        <f t="shared" si="311"/>
        <v>0</v>
      </c>
      <c r="BE328" t="str">
        <f t="array" ref="BE328">IF(AY328=1,INDEX($V$7:$AL$7,MATCH(TRUE,INDEX($V328:$AW328&lt;&gt;0,),0)),IF(AY328=0,INDEX($AM$7:$AW$7,MATCH(1,$AM328:$AW328,0)),IF(BF328="Multiple strategies","mixed drivers",IF(BF328="Supply chain","multiple supply","multiple silviculture"))))</f>
        <v xml:space="preserve">end of life disposal </v>
      </c>
      <c r="BF328" s="2" t="str" cm="1">
        <f t="array" ref="BF328">IF(COUNTIF(AZ328:BB328,"&lt;&gt;0")=1,INDEX($V$4:$AW$4,MATCH(TRUE,INDEX($V328:$AW328&lt;&gt;0,),0)),IF(COUNTIF(AZ328:BB328,"&lt;&gt;0")=0,INDEX($AM$4:$AW$4,MATCH(1,$AM328:$AW328,0)),"Multiple strategies"))</f>
        <v>Supply chain</v>
      </c>
      <c r="BG328" s="142" t="s">
        <v>229</v>
      </c>
      <c r="BH328" t="s">
        <v>441</v>
      </c>
      <c r="BI328" s="264" t="s">
        <v>3273</v>
      </c>
      <c r="BJ328" s="143" t="s">
        <v>442</v>
      </c>
      <c r="BK328">
        <f t="shared" si="342"/>
        <v>132</v>
      </c>
      <c r="BL328">
        <f t="shared" si="342"/>
        <v>132</v>
      </c>
      <c r="BM328" s="143">
        <f t="shared" si="341"/>
        <v>1</v>
      </c>
      <c r="BN328">
        <f t="shared" si="312"/>
        <v>0</v>
      </c>
      <c r="BO328">
        <v>0</v>
      </c>
      <c r="BP328" t="s">
        <v>232</v>
      </c>
      <c r="BQ328" s="260" t="s">
        <v>813</v>
      </c>
      <c r="BR328" t="s">
        <v>443</v>
      </c>
      <c r="BS328" s="141">
        <v>-3</v>
      </c>
      <c r="BT328" s="141">
        <v>79</v>
      </c>
      <c r="BU328" s="144">
        <f t="shared" si="314"/>
        <v>-26.333333333333332</v>
      </c>
      <c r="BV328">
        <f t="shared" si="315"/>
        <v>82</v>
      </c>
      <c r="BW328"/>
      <c r="BX328">
        <f t="shared" si="316"/>
        <v>300.94</v>
      </c>
      <c r="BY328" t="str">
        <f t="shared" si="338"/>
        <v/>
      </c>
      <c r="BZ328" s="143">
        <v>0</v>
      </c>
      <c r="CA328" s="143">
        <v>0</v>
      </c>
      <c r="CB328" s="143">
        <v>0</v>
      </c>
      <c r="CC328" s="143">
        <v>0</v>
      </c>
      <c r="CD328" s="143">
        <v>0</v>
      </c>
      <c r="CE328" s="143">
        <v>0</v>
      </c>
      <c r="CF328" s="143">
        <v>0</v>
      </c>
      <c r="CG328" s="143">
        <v>0</v>
      </c>
      <c r="CH328" s="143">
        <v>0</v>
      </c>
      <c r="CI328" s="143">
        <v>0</v>
      </c>
      <c r="CJ328" s="143">
        <v>0</v>
      </c>
      <c r="CK328" s="143">
        <v>0</v>
      </c>
      <c r="CL328" s="143">
        <v>0</v>
      </c>
      <c r="CM328">
        <v>0</v>
      </c>
      <c r="CN328" t="str">
        <f>IF(BL328&lt;BK328,"refNeedCorrection","refOK")</f>
        <v>refOK</v>
      </c>
      <c r="CO328">
        <f t="shared" si="318"/>
        <v>132</v>
      </c>
      <c r="CP328">
        <f t="shared" si="319"/>
        <v>132</v>
      </c>
      <c r="CQ328">
        <f t="shared" si="320"/>
        <v>0</v>
      </c>
      <c r="CR328">
        <f t="shared" si="321"/>
        <v>-3</v>
      </c>
      <c r="CS328">
        <f t="shared" si="322"/>
        <v>79</v>
      </c>
      <c r="CT328">
        <f t="shared" si="323"/>
        <v>300.94</v>
      </c>
      <c r="CU328" t="str">
        <f t="shared" si="324"/>
        <v/>
      </c>
      <c r="CV328" s="2">
        <f t="shared" si="325"/>
        <v>27.333333333333332</v>
      </c>
      <c r="CW328" s="1" t="s">
        <v>263</v>
      </c>
      <c r="CX328" t="str">
        <f t="shared" si="326"/>
        <v>loc</v>
      </c>
      <c r="CY328" t="s">
        <v>444</v>
      </c>
      <c r="CZ328"/>
      <c r="DA328"/>
      <c r="DB328">
        <v>300</v>
      </c>
      <c r="DC328" t="str">
        <f t="shared" si="327"/>
        <v>+100</v>
      </c>
      <c r="DD328">
        <v>0</v>
      </c>
      <c r="DE328">
        <v>1</v>
      </c>
      <c r="DF328">
        <v>0</v>
      </c>
      <c r="DG328">
        <v>0</v>
      </c>
      <c r="DH328"/>
      <c r="DI328">
        <f t="shared" si="328"/>
        <v>1</v>
      </c>
      <c r="DJ328" t="str">
        <f t="shared" si="329"/>
        <v>EnergyInput</v>
      </c>
      <c r="DK328">
        <f t="shared" si="330"/>
        <v>0</v>
      </c>
      <c r="DL328" t="str">
        <f t="shared" si="331"/>
        <v>Energy</v>
      </c>
      <c r="DM328">
        <f t="shared" si="332"/>
        <v>0</v>
      </c>
      <c r="DN328">
        <f t="shared" si="333"/>
        <v>0</v>
      </c>
      <c r="DO328">
        <v>1</v>
      </c>
      <c r="DP328" s="143">
        <v>0</v>
      </c>
      <c r="DQ328" s="143">
        <v>0</v>
      </c>
      <c r="DR328" s="143">
        <v>0</v>
      </c>
      <c r="DS328">
        <v>0</v>
      </c>
      <c r="DT328">
        <f t="shared" si="334"/>
        <v>1</v>
      </c>
      <c r="DU328" s="143" t="str">
        <f t="shared" si="335"/>
        <v>self-calculated DF</v>
      </c>
      <c r="DV328">
        <v>0</v>
      </c>
      <c r="DW328" s="143">
        <v>0</v>
      </c>
      <c r="DX328" s="143">
        <v>1</v>
      </c>
      <c r="DY328" s="143">
        <v>1</v>
      </c>
      <c r="DZ328">
        <v>1</v>
      </c>
      <c r="EA328" s="143">
        <v>1</v>
      </c>
      <c r="EB328">
        <v>0</v>
      </c>
      <c r="EC328" s="143">
        <v>1</v>
      </c>
      <c r="ED328" s="143">
        <v>0</v>
      </c>
      <c r="EE328">
        <v>0</v>
      </c>
      <c r="EF328">
        <v>0</v>
      </c>
      <c r="EG328" s="143">
        <v>0</v>
      </c>
      <c r="EH328" s="143">
        <v>0</v>
      </c>
      <c r="EI328" s="2">
        <v>0</v>
      </c>
      <c r="EJ328" s="1"/>
      <c r="EK328" t="str">
        <f t="shared" si="336"/>
        <v/>
      </c>
      <c r="EL328" t="str">
        <f t="shared" si="337"/>
        <v/>
      </c>
      <c r="EM328" s="2" t="str">
        <f t="shared" si="339"/>
        <v/>
      </c>
      <c r="EN328" t="s">
        <v>445</v>
      </c>
      <c r="EO328"/>
      <c r="EP328" t="str">
        <f>IF(ISNUMBER(BU328),IF(ABS(BU328-[5]QC_indicators!$B$2)&gt;3*[5]QC_indicators!$C$2,"C ratio",IF(ISNUMBER(BY328),IF(ABS(BY328-[5]QC_indicators!$B$1)&gt;3*[5]QC_indicators!$C$1,"DF","no"))),IF(ISNUMBER(BY328),IF(ABS(BY328-[5]QC_indicators!$B$1)&gt;3*[5]QC_indicators!$C$1,"DF","no")))</f>
        <v>C ratio</v>
      </c>
      <c r="EQ328" t="s">
        <v>450</v>
      </c>
      <c r="ER328"/>
      <c r="ES328"/>
      <c r="ET328" s="264" t="s">
        <v>3272</v>
      </c>
      <c r="EU328"/>
    </row>
    <row r="329" spans="1:151" s="139" customFormat="1" ht="15" hidden="1" customHeight="1">
      <c r="A329" s="1" t="s">
        <v>430</v>
      </c>
      <c r="B329" t="s">
        <v>431</v>
      </c>
      <c r="C329" t="s">
        <v>432</v>
      </c>
      <c r="D329" t="s">
        <v>433</v>
      </c>
      <c r="E329" t="s">
        <v>434</v>
      </c>
      <c r="F329" t="s">
        <v>435</v>
      </c>
      <c r="G329" t="s">
        <v>436</v>
      </c>
      <c r="H329" t="s">
        <v>254</v>
      </c>
      <c r="I329">
        <v>2000</v>
      </c>
      <c r="J329">
        <v>174</v>
      </c>
      <c r="K329" t="s">
        <v>437</v>
      </c>
      <c r="L329"/>
      <c r="M329" t="str">
        <f t="shared" si="340"/>
        <v>Borjesson_2000</v>
      </c>
      <c r="N329" t="s">
        <v>222</v>
      </c>
      <c r="O329" s="145" t="s">
        <v>223</v>
      </c>
      <c r="P329"/>
      <c r="Q329" t="s">
        <v>256</v>
      </c>
      <c r="R329" s="255" t="s">
        <v>225</v>
      </c>
      <c r="S329" s="1" t="s">
        <v>464</v>
      </c>
      <c r="T329" t="s">
        <v>465</v>
      </c>
      <c r="U329" t="s">
        <v>468</v>
      </c>
      <c r="V329">
        <v>0</v>
      </c>
      <c r="W329">
        <v>0</v>
      </c>
      <c r="X329">
        <v>0</v>
      </c>
      <c r="Y329">
        <v>0</v>
      </c>
      <c r="Z329">
        <v>0</v>
      </c>
      <c r="AA329">
        <v>0</v>
      </c>
      <c r="AB329">
        <v>0</v>
      </c>
      <c r="AC329">
        <v>0</v>
      </c>
      <c r="AD329">
        <v>0</v>
      </c>
      <c r="AE329">
        <v>0</v>
      </c>
      <c r="AF329">
        <v>0</v>
      </c>
      <c r="AG329">
        <v>0</v>
      </c>
      <c r="AH329">
        <v>1</v>
      </c>
      <c r="AI329">
        <v>0</v>
      </c>
      <c r="AJ329">
        <v>0</v>
      </c>
      <c r="AK329">
        <v>0</v>
      </c>
      <c r="AL329">
        <v>0</v>
      </c>
      <c r="AM329">
        <v>0</v>
      </c>
      <c r="AN329">
        <v>0</v>
      </c>
      <c r="AO329">
        <v>0</v>
      </c>
      <c r="AP329">
        <v>0</v>
      </c>
      <c r="AQ329">
        <v>0</v>
      </c>
      <c r="AR329">
        <v>0</v>
      </c>
      <c r="AS329">
        <v>0</v>
      </c>
      <c r="AT329">
        <v>0</v>
      </c>
      <c r="AU329">
        <v>0</v>
      </c>
      <c r="AV329">
        <v>0</v>
      </c>
      <c r="AW329">
        <v>0</v>
      </c>
      <c r="AX329" s="141">
        <f t="shared" si="305"/>
        <v>1</v>
      </c>
      <c r="AY329" s="141">
        <f t="shared" si="306"/>
        <v>1</v>
      </c>
      <c r="AZ329">
        <f t="shared" si="307"/>
        <v>0</v>
      </c>
      <c r="BA329">
        <f t="shared" si="308"/>
        <v>1</v>
      </c>
      <c r="BB329">
        <f t="shared" si="309"/>
        <v>0</v>
      </c>
      <c r="BC329">
        <f t="shared" si="310"/>
        <v>0</v>
      </c>
      <c r="BD329">
        <f t="shared" si="311"/>
        <v>0</v>
      </c>
      <c r="BE329" t="str">
        <f t="array" ref="BE329">IF(AY329=1,INDEX($V$7:$AL$7,MATCH(TRUE,INDEX($V329:$AW329&lt;&gt;0,),0)),IF(AY329=0,INDEX($AM$7:$AW$7,MATCH(1,$AM329:$AW329,0)),IF(BF329="Multiple strategies","mixed drivers",IF(BF329="Supply chain","multiple supply","multiple silviculture"))))</f>
        <v xml:space="preserve">end of life disposal </v>
      </c>
      <c r="BF329" s="2" t="str" cm="1">
        <f t="array" ref="BF329">IF(COUNTIF(AZ329:BB329,"&lt;&gt;0")=1,INDEX($V$4:$AW$4,MATCH(TRUE,INDEX($V329:$AW329&lt;&gt;0,),0)),IF(COUNTIF(AZ329:BB329,"&lt;&gt;0")=0,INDEX($AM$4:$AW$4,MATCH(1,$AM329:$AW329,0)),"Multiple strategies"))</f>
        <v>Supply chain</v>
      </c>
      <c r="BG329" s="142" t="s">
        <v>229</v>
      </c>
      <c r="BH329" t="s">
        <v>441</v>
      </c>
      <c r="BI329" s="264" t="s">
        <v>3273</v>
      </c>
      <c r="BJ329" s="143" t="s">
        <v>442</v>
      </c>
      <c r="BK329">
        <f t="shared" si="342"/>
        <v>132</v>
      </c>
      <c r="BL329">
        <f t="shared" si="342"/>
        <v>132</v>
      </c>
      <c r="BM329" s="143">
        <f t="shared" si="341"/>
        <v>1</v>
      </c>
      <c r="BN329">
        <f t="shared" si="312"/>
        <v>0</v>
      </c>
      <c r="BO329">
        <v>0</v>
      </c>
      <c r="BP329" t="s">
        <v>232</v>
      </c>
      <c r="BQ329" s="260" t="s">
        <v>813</v>
      </c>
      <c r="BR329" t="s">
        <v>443</v>
      </c>
      <c r="BS329" s="141">
        <v>47</v>
      </c>
      <c r="BT329" s="141">
        <v>79</v>
      </c>
      <c r="BU329" s="144">
        <f t="shared" si="314"/>
        <v>1.6808510638297873</v>
      </c>
      <c r="BV329">
        <f t="shared" si="315"/>
        <v>32</v>
      </c>
      <c r="BW329"/>
      <c r="BX329">
        <f t="shared" si="316"/>
        <v>117.44</v>
      </c>
      <c r="BY329" t="str">
        <f t="shared" si="338"/>
        <v/>
      </c>
      <c r="BZ329" s="143">
        <v>0</v>
      </c>
      <c r="CA329" s="143">
        <v>0</v>
      </c>
      <c r="CB329" s="143">
        <v>0</v>
      </c>
      <c r="CC329" s="143">
        <v>0</v>
      </c>
      <c r="CD329" s="143">
        <v>0</v>
      </c>
      <c r="CE329" s="143">
        <v>0</v>
      </c>
      <c r="CF329" s="143">
        <v>0</v>
      </c>
      <c r="CG329" s="143">
        <v>0</v>
      </c>
      <c r="CH329" s="143">
        <v>0</v>
      </c>
      <c r="CI329" s="143">
        <v>0</v>
      </c>
      <c r="CJ329" s="143">
        <v>0</v>
      </c>
      <c r="CK329" s="143">
        <v>0</v>
      </c>
      <c r="CL329" s="143">
        <v>0</v>
      </c>
      <c r="CM329">
        <v>0</v>
      </c>
      <c r="CN329" t="str">
        <f>IF($BL329&lt;$BK329,"refNeedCorrection","refOK")</f>
        <v>refOK</v>
      </c>
      <c r="CO329">
        <f t="shared" si="318"/>
        <v>132</v>
      </c>
      <c r="CP329">
        <f t="shared" si="319"/>
        <v>132</v>
      </c>
      <c r="CQ329">
        <f t="shared" si="320"/>
        <v>0</v>
      </c>
      <c r="CR329">
        <f t="shared" si="321"/>
        <v>47</v>
      </c>
      <c r="CS329">
        <f t="shared" si="322"/>
        <v>79</v>
      </c>
      <c r="CT329">
        <f t="shared" si="323"/>
        <v>117.44</v>
      </c>
      <c r="CU329" t="str">
        <f t="shared" si="324"/>
        <v/>
      </c>
      <c r="CV329" s="2">
        <f t="shared" si="325"/>
        <v>0.68085106382978722</v>
      </c>
      <c r="CW329" s="1" t="s">
        <v>263</v>
      </c>
      <c r="CX329" t="str">
        <f t="shared" si="326"/>
        <v>loc</v>
      </c>
      <c r="CY329" t="s">
        <v>444</v>
      </c>
      <c r="CZ329"/>
      <c r="DA329"/>
      <c r="DB329">
        <v>300</v>
      </c>
      <c r="DC329" t="str">
        <f t="shared" si="327"/>
        <v>+100</v>
      </c>
      <c r="DD329">
        <v>0</v>
      </c>
      <c r="DE329">
        <v>1</v>
      </c>
      <c r="DF329">
        <v>0</v>
      </c>
      <c r="DG329">
        <v>0</v>
      </c>
      <c r="DH329"/>
      <c r="DI329">
        <f t="shared" si="328"/>
        <v>1</v>
      </c>
      <c r="DJ329" t="str">
        <f t="shared" si="329"/>
        <v>EnergyInput</v>
      </c>
      <c r="DK329">
        <f t="shared" si="330"/>
        <v>0</v>
      </c>
      <c r="DL329" t="str">
        <f t="shared" si="331"/>
        <v>Energy</v>
      </c>
      <c r="DM329">
        <f t="shared" si="332"/>
        <v>0</v>
      </c>
      <c r="DN329">
        <f t="shared" si="333"/>
        <v>0</v>
      </c>
      <c r="DO329">
        <v>1</v>
      </c>
      <c r="DP329" s="143">
        <v>0</v>
      </c>
      <c r="DQ329" s="143">
        <v>0</v>
      </c>
      <c r="DR329" s="143">
        <v>0</v>
      </c>
      <c r="DS329">
        <v>0</v>
      </c>
      <c r="DT329">
        <f t="shared" si="334"/>
        <v>1</v>
      </c>
      <c r="DU329" s="143" t="str">
        <f t="shared" si="335"/>
        <v>self-calculated DF</v>
      </c>
      <c r="DV329">
        <v>0</v>
      </c>
      <c r="DW329" s="143">
        <v>0</v>
      </c>
      <c r="DX329" s="143">
        <v>1</v>
      </c>
      <c r="DY329" s="143">
        <v>1</v>
      </c>
      <c r="DZ329">
        <v>1</v>
      </c>
      <c r="EA329" s="143">
        <v>1</v>
      </c>
      <c r="EB329">
        <v>0</v>
      </c>
      <c r="EC329" s="143">
        <v>1</v>
      </c>
      <c r="ED329" s="143">
        <v>0</v>
      </c>
      <c r="EE329">
        <v>0</v>
      </c>
      <c r="EF329">
        <v>0</v>
      </c>
      <c r="EG329" s="143">
        <v>0</v>
      </c>
      <c r="EH329" s="143">
        <v>0</v>
      </c>
      <c r="EI329" s="2">
        <v>0</v>
      </c>
      <c r="EJ329" s="1"/>
      <c r="EK329" t="str">
        <f t="shared" si="336"/>
        <v/>
      </c>
      <c r="EL329" t="str">
        <f t="shared" si="337"/>
        <v/>
      </c>
      <c r="EM329" s="2" t="str">
        <f t="shared" si="339"/>
        <v/>
      </c>
      <c r="EN329" t="s">
        <v>445</v>
      </c>
      <c r="EO329"/>
      <c r="EP329" t="b">
        <f>IF(ISNUMBER(BU329),IF(ABS(BU329-[5]QC_indicators!$B$2)&gt;3*[5]QC_indicators!$C$2,"C ratio",IF(ISNUMBER(BY329),IF(ABS(BY329-[5]QC_indicators!$B$1)&gt;3*[5]QC_indicators!$C$1,"DF","no"))),IF(ISNUMBER(BY329),IF(ABS(BY329-[5]QC_indicators!$B$1)&gt;3*[5]QC_indicators!$C$1,"DF","no")))</f>
        <v>0</v>
      </c>
      <c r="EQ329"/>
      <c r="ER329"/>
      <c r="ES329"/>
      <c r="ET329" s="264" t="s">
        <v>3272</v>
      </c>
      <c r="EU329"/>
    </row>
    <row r="330" spans="1:151" s="139" customFormat="1" ht="15" hidden="1" customHeight="1">
      <c r="A330" s="1" t="s">
        <v>430</v>
      </c>
      <c r="B330" t="s">
        <v>431</v>
      </c>
      <c r="C330" t="s">
        <v>432</v>
      </c>
      <c r="D330" t="s">
        <v>433</v>
      </c>
      <c r="E330" t="s">
        <v>434</v>
      </c>
      <c r="F330" t="s">
        <v>435</v>
      </c>
      <c r="G330" t="s">
        <v>436</v>
      </c>
      <c r="H330" t="s">
        <v>254</v>
      </c>
      <c r="I330">
        <v>2000</v>
      </c>
      <c r="J330">
        <v>174</v>
      </c>
      <c r="K330" t="s">
        <v>437</v>
      </c>
      <c r="L330"/>
      <c r="M330" t="str">
        <f t="shared" si="340"/>
        <v>Borjesson_2000</v>
      </c>
      <c r="N330" t="s">
        <v>222</v>
      </c>
      <c r="O330" s="145" t="s">
        <v>223</v>
      </c>
      <c r="P330"/>
      <c r="Q330" t="s">
        <v>256</v>
      </c>
      <c r="R330" s="255" t="s">
        <v>225</v>
      </c>
      <c r="S330" s="1" t="s">
        <v>464</v>
      </c>
      <c r="T330" t="s">
        <v>467</v>
      </c>
      <c r="U330" t="s">
        <v>469</v>
      </c>
      <c r="V330">
        <v>0</v>
      </c>
      <c r="W330">
        <v>0</v>
      </c>
      <c r="X330">
        <v>0</v>
      </c>
      <c r="Y330">
        <v>0</v>
      </c>
      <c r="Z330">
        <v>0</v>
      </c>
      <c r="AA330">
        <v>0</v>
      </c>
      <c r="AB330">
        <v>0</v>
      </c>
      <c r="AC330">
        <v>0</v>
      </c>
      <c r="AD330">
        <v>0</v>
      </c>
      <c r="AE330">
        <v>0</v>
      </c>
      <c r="AF330">
        <v>0</v>
      </c>
      <c r="AG330">
        <v>0</v>
      </c>
      <c r="AH330">
        <v>1</v>
      </c>
      <c r="AI330">
        <v>0</v>
      </c>
      <c r="AJ330">
        <v>0</v>
      </c>
      <c r="AK330">
        <v>0</v>
      </c>
      <c r="AL330">
        <v>0</v>
      </c>
      <c r="AM330">
        <v>0</v>
      </c>
      <c r="AN330">
        <v>0</v>
      </c>
      <c r="AO330">
        <v>0</v>
      </c>
      <c r="AP330">
        <v>0</v>
      </c>
      <c r="AQ330">
        <v>0</v>
      </c>
      <c r="AR330">
        <v>0</v>
      </c>
      <c r="AS330">
        <v>0</v>
      </c>
      <c r="AT330">
        <v>0</v>
      </c>
      <c r="AU330">
        <v>0</v>
      </c>
      <c r="AV330">
        <v>0</v>
      </c>
      <c r="AW330">
        <v>0</v>
      </c>
      <c r="AX330" s="141">
        <f t="shared" si="305"/>
        <v>1</v>
      </c>
      <c r="AY330" s="141">
        <f t="shared" si="306"/>
        <v>1</v>
      </c>
      <c r="AZ330">
        <f t="shared" si="307"/>
        <v>0</v>
      </c>
      <c r="BA330">
        <f t="shared" si="308"/>
        <v>1</v>
      </c>
      <c r="BB330">
        <f t="shared" si="309"/>
        <v>0</v>
      </c>
      <c r="BC330">
        <f t="shared" si="310"/>
        <v>0</v>
      </c>
      <c r="BD330">
        <f t="shared" si="311"/>
        <v>0</v>
      </c>
      <c r="BE330" t="str">
        <f t="array" ref="BE330">IF(AY330=1,INDEX($V$7:$AL$7,MATCH(TRUE,INDEX($V330:$AW330&lt;&gt;0,),0)),IF(AY330=0,INDEX($AM$7:$AW$7,MATCH(1,$AM330:$AW330,0)),IF(BF330="Multiple strategies","mixed drivers",IF(BF330="Supply chain","multiple supply","multiple silviculture"))))</f>
        <v xml:space="preserve">end of life disposal </v>
      </c>
      <c r="BF330" s="2" t="str" cm="1">
        <f t="array" ref="BF330">IF(COUNTIF(AZ330:BB330,"&lt;&gt;0")=1,INDEX($V$4:$AW$4,MATCH(TRUE,INDEX($V330:$AW330&lt;&gt;0,),0)),IF(COUNTIF(AZ330:BB330,"&lt;&gt;0")=0,INDEX($AM$4:$AW$4,MATCH(1,$AM330:$AW330,0)),"Multiple strategies"))</f>
        <v>Supply chain</v>
      </c>
      <c r="BG330" s="142" t="s">
        <v>229</v>
      </c>
      <c r="BH330" t="s">
        <v>441</v>
      </c>
      <c r="BI330" s="264" t="s">
        <v>3273</v>
      </c>
      <c r="BJ330" s="143" t="s">
        <v>442</v>
      </c>
      <c r="BK330">
        <f t="shared" si="342"/>
        <v>132</v>
      </c>
      <c r="BL330">
        <f t="shared" si="342"/>
        <v>132</v>
      </c>
      <c r="BM330" s="143">
        <f t="shared" si="341"/>
        <v>1</v>
      </c>
      <c r="BN330">
        <f t="shared" si="312"/>
        <v>0</v>
      </c>
      <c r="BO330">
        <v>0</v>
      </c>
      <c r="BP330" t="s">
        <v>232</v>
      </c>
      <c r="BQ330" s="260" t="s">
        <v>813</v>
      </c>
      <c r="BR330" t="s">
        <v>443</v>
      </c>
      <c r="BS330" s="141">
        <v>-3</v>
      </c>
      <c r="BT330" s="141">
        <v>84</v>
      </c>
      <c r="BU330" s="144">
        <f t="shared" si="314"/>
        <v>-28</v>
      </c>
      <c r="BV330">
        <f t="shared" si="315"/>
        <v>87</v>
      </c>
      <c r="BW330"/>
      <c r="BX330">
        <f t="shared" si="316"/>
        <v>319.29000000000002</v>
      </c>
      <c r="BY330" t="str">
        <f t="shared" si="338"/>
        <v/>
      </c>
      <c r="BZ330" s="143">
        <v>0</v>
      </c>
      <c r="CA330" s="143">
        <v>0</v>
      </c>
      <c r="CB330" s="143">
        <v>0</v>
      </c>
      <c r="CC330" s="143">
        <v>0</v>
      </c>
      <c r="CD330" s="143">
        <v>0</v>
      </c>
      <c r="CE330" s="143">
        <v>0</v>
      </c>
      <c r="CF330" s="143">
        <v>0</v>
      </c>
      <c r="CG330" s="143">
        <v>0</v>
      </c>
      <c r="CH330" s="143">
        <v>0</v>
      </c>
      <c r="CI330" s="143">
        <v>0</v>
      </c>
      <c r="CJ330" s="143">
        <v>0</v>
      </c>
      <c r="CK330" s="143">
        <v>0</v>
      </c>
      <c r="CL330" s="143">
        <v>0</v>
      </c>
      <c r="CM330">
        <v>0</v>
      </c>
      <c r="CN330" t="str">
        <f>IF(BL330&lt;BK330,"refNeedCorrection","refOK")</f>
        <v>refOK</v>
      </c>
      <c r="CO330">
        <f t="shared" si="318"/>
        <v>132</v>
      </c>
      <c r="CP330">
        <f t="shared" si="319"/>
        <v>132</v>
      </c>
      <c r="CQ330">
        <f t="shared" si="320"/>
        <v>0</v>
      </c>
      <c r="CR330">
        <f t="shared" si="321"/>
        <v>-3</v>
      </c>
      <c r="CS330">
        <f t="shared" si="322"/>
        <v>84</v>
      </c>
      <c r="CT330">
        <f t="shared" si="323"/>
        <v>319.29000000000002</v>
      </c>
      <c r="CU330" t="str">
        <f t="shared" si="324"/>
        <v/>
      </c>
      <c r="CV330" s="2">
        <f t="shared" si="325"/>
        <v>29</v>
      </c>
      <c r="CW330" s="1" t="s">
        <v>263</v>
      </c>
      <c r="CX330" t="str">
        <f t="shared" si="326"/>
        <v>loc</v>
      </c>
      <c r="CY330" t="s">
        <v>444</v>
      </c>
      <c r="CZ330"/>
      <c r="DA330"/>
      <c r="DB330">
        <v>300</v>
      </c>
      <c r="DC330" t="str">
        <f t="shared" si="327"/>
        <v>+100</v>
      </c>
      <c r="DD330">
        <v>0</v>
      </c>
      <c r="DE330">
        <v>1</v>
      </c>
      <c r="DF330">
        <v>0</v>
      </c>
      <c r="DG330">
        <v>0</v>
      </c>
      <c r="DH330"/>
      <c r="DI330">
        <f t="shared" si="328"/>
        <v>1</v>
      </c>
      <c r="DJ330" t="str">
        <f t="shared" si="329"/>
        <v>EnergyInput</v>
      </c>
      <c r="DK330">
        <f t="shared" si="330"/>
        <v>0</v>
      </c>
      <c r="DL330" t="str">
        <f t="shared" si="331"/>
        <v>Energy</v>
      </c>
      <c r="DM330">
        <f t="shared" si="332"/>
        <v>0</v>
      </c>
      <c r="DN330">
        <f t="shared" si="333"/>
        <v>0</v>
      </c>
      <c r="DO330">
        <v>1</v>
      </c>
      <c r="DP330" s="143">
        <v>0</v>
      </c>
      <c r="DQ330" s="143">
        <v>0</v>
      </c>
      <c r="DR330" s="143">
        <v>0</v>
      </c>
      <c r="DS330">
        <v>0</v>
      </c>
      <c r="DT330">
        <f t="shared" si="334"/>
        <v>1</v>
      </c>
      <c r="DU330" s="143" t="str">
        <f t="shared" si="335"/>
        <v>self-calculated DF</v>
      </c>
      <c r="DV330">
        <v>0</v>
      </c>
      <c r="DW330" s="143">
        <v>0</v>
      </c>
      <c r="DX330" s="143">
        <v>1</v>
      </c>
      <c r="DY330" s="143">
        <v>1</v>
      </c>
      <c r="DZ330">
        <v>1</v>
      </c>
      <c r="EA330" s="143">
        <v>1</v>
      </c>
      <c r="EB330">
        <v>0</v>
      </c>
      <c r="EC330" s="143">
        <v>1</v>
      </c>
      <c r="ED330" s="143">
        <v>0</v>
      </c>
      <c r="EE330">
        <v>0</v>
      </c>
      <c r="EF330">
        <v>0</v>
      </c>
      <c r="EG330" s="143">
        <v>0</v>
      </c>
      <c r="EH330" s="143">
        <v>0</v>
      </c>
      <c r="EI330" s="2">
        <v>0</v>
      </c>
      <c r="EJ330" s="1"/>
      <c r="EK330" t="str">
        <f t="shared" si="336"/>
        <v/>
      </c>
      <c r="EL330" t="str">
        <f t="shared" si="337"/>
        <v/>
      </c>
      <c r="EM330" s="2" t="str">
        <f t="shared" si="339"/>
        <v/>
      </c>
      <c r="EN330" t="s">
        <v>445</v>
      </c>
      <c r="EO330"/>
      <c r="EP330" t="str">
        <f>IF(ISNUMBER(BU330),IF(ABS(BU330-[5]QC_indicators!$B$2)&gt;3*[5]QC_indicators!$C$2,"C ratio",IF(ISNUMBER(BY330),IF(ABS(BY330-[5]QC_indicators!$B$1)&gt;3*[5]QC_indicators!$C$1,"DF","no"))),IF(ISNUMBER(BY330),IF(ABS(BY330-[5]QC_indicators!$B$1)&gt;3*[5]QC_indicators!$C$1,"DF","no")))</f>
        <v>C ratio</v>
      </c>
      <c r="EQ330" t="s">
        <v>450</v>
      </c>
      <c r="ER330"/>
      <c r="ES330"/>
      <c r="ET330" s="264" t="s">
        <v>3272</v>
      </c>
      <c r="EU330"/>
    </row>
    <row r="331" spans="1:151" s="139" customFormat="1" ht="15" hidden="1" customHeight="1">
      <c r="A331" s="1" t="s">
        <v>430</v>
      </c>
      <c r="B331" t="s">
        <v>431</v>
      </c>
      <c r="C331" t="s">
        <v>432</v>
      </c>
      <c r="D331" t="s">
        <v>433</v>
      </c>
      <c r="E331" t="s">
        <v>434</v>
      </c>
      <c r="F331" t="s">
        <v>435</v>
      </c>
      <c r="G331" t="s">
        <v>436</v>
      </c>
      <c r="H331" t="s">
        <v>254</v>
      </c>
      <c r="I331">
        <v>2000</v>
      </c>
      <c r="J331">
        <v>174</v>
      </c>
      <c r="K331" t="s">
        <v>437</v>
      </c>
      <c r="L331"/>
      <c r="M331" t="str">
        <f t="shared" si="340"/>
        <v>Borjesson_2000</v>
      </c>
      <c r="N331" t="s">
        <v>222</v>
      </c>
      <c r="O331" s="145" t="s">
        <v>223</v>
      </c>
      <c r="P331"/>
      <c r="Q331" t="s">
        <v>256</v>
      </c>
      <c r="R331" s="255" t="s">
        <v>225</v>
      </c>
      <c r="S331" s="1" t="s">
        <v>464</v>
      </c>
      <c r="T331" t="s">
        <v>465</v>
      </c>
      <c r="U331" t="s">
        <v>469</v>
      </c>
      <c r="V331">
        <v>0</v>
      </c>
      <c r="W331">
        <v>0</v>
      </c>
      <c r="X331">
        <v>0</v>
      </c>
      <c r="Y331">
        <v>0</v>
      </c>
      <c r="Z331">
        <v>0</v>
      </c>
      <c r="AA331">
        <v>0</v>
      </c>
      <c r="AB331">
        <v>0</v>
      </c>
      <c r="AC331">
        <v>0</v>
      </c>
      <c r="AD331">
        <v>0</v>
      </c>
      <c r="AE331">
        <v>0</v>
      </c>
      <c r="AF331">
        <v>0</v>
      </c>
      <c r="AG331">
        <v>0</v>
      </c>
      <c r="AH331">
        <v>1</v>
      </c>
      <c r="AI331">
        <v>0</v>
      </c>
      <c r="AJ331">
        <v>0</v>
      </c>
      <c r="AK331">
        <v>0</v>
      </c>
      <c r="AL331">
        <v>0</v>
      </c>
      <c r="AM331">
        <v>0</v>
      </c>
      <c r="AN331">
        <v>0</v>
      </c>
      <c r="AO331">
        <v>0</v>
      </c>
      <c r="AP331">
        <v>0</v>
      </c>
      <c r="AQ331">
        <v>0</v>
      </c>
      <c r="AR331">
        <v>0</v>
      </c>
      <c r="AS331">
        <v>0</v>
      </c>
      <c r="AT331">
        <v>0</v>
      </c>
      <c r="AU331">
        <v>0</v>
      </c>
      <c r="AV331">
        <v>0</v>
      </c>
      <c r="AW331">
        <v>0</v>
      </c>
      <c r="AX331" s="141">
        <f t="shared" si="305"/>
        <v>1</v>
      </c>
      <c r="AY331" s="141">
        <f t="shared" si="306"/>
        <v>1</v>
      </c>
      <c r="AZ331">
        <f t="shared" si="307"/>
        <v>0</v>
      </c>
      <c r="BA331">
        <f t="shared" si="308"/>
        <v>1</v>
      </c>
      <c r="BB331">
        <f t="shared" si="309"/>
        <v>0</v>
      </c>
      <c r="BC331">
        <f t="shared" si="310"/>
        <v>0</v>
      </c>
      <c r="BD331">
        <f t="shared" si="311"/>
        <v>0</v>
      </c>
      <c r="BE331" t="str">
        <f t="array" ref="BE331">IF(AY331=1,INDEX($V$7:$AL$7,MATCH(TRUE,INDEX($V331:$AW331&lt;&gt;0,),0)),IF(AY331=0,INDEX($AM$7:$AW$7,MATCH(1,$AM331:$AW331,0)),IF(BF331="Multiple strategies","mixed drivers",IF(BF331="Supply chain","multiple supply","multiple silviculture"))))</f>
        <v xml:space="preserve">end of life disposal </v>
      </c>
      <c r="BF331" s="2" t="str" cm="1">
        <f t="array" ref="BF331">IF(COUNTIF(AZ331:BB331,"&lt;&gt;0")=1,INDEX($V$4:$AW$4,MATCH(TRUE,INDEX($V331:$AW331&lt;&gt;0,),0)),IF(COUNTIF(AZ331:BB331,"&lt;&gt;0")=0,INDEX($AM$4:$AW$4,MATCH(1,$AM331:$AW331,0)),"Multiple strategies"))</f>
        <v>Supply chain</v>
      </c>
      <c r="BG331" s="142" t="s">
        <v>229</v>
      </c>
      <c r="BH331" t="s">
        <v>441</v>
      </c>
      <c r="BI331" s="264" t="s">
        <v>3273</v>
      </c>
      <c r="BJ331" s="143" t="s">
        <v>442</v>
      </c>
      <c r="BK331">
        <f t="shared" si="342"/>
        <v>132</v>
      </c>
      <c r="BL331">
        <f t="shared" si="342"/>
        <v>132</v>
      </c>
      <c r="BM331" s="143">
        <f t="shared" si="341"/>
        <v>1</v>
      </c>
      <c r="BN331">
        <f t="shared" si="312"/>
        <v>0</v>
      </c>
      <c r="BO331">
        <v>0</v>
      </c>
      <c r="BP331" t="s">
        <v>232</v>
      </c>
      <c r="BQ331" s="260" t="s">
        <v>813</v>
      </c>
      <c r="BR331" t="s">
        <v>443</v>
      </c>
      <c r="BS331" s="141">
        <v>47</v>
      </c>
      <c r="BT331" s="141">
        <v>84</v>
      </c>
      <c r="BU331" s="144">
        <f t="shared" si="314"/>
        <v>1.7872340425531914</v>
      </c>
      <c r="BV331">
        <f t="shared" si="315"/>
        <v>37</v>
      </c>
      <c r="BW331"/>
      <c r="BX331">
        <f t="shared" si="316"/>
        <v>135.79</v>
      </c>
      <c r="BY331" t="str">
        <f t="shared" si="338"/>
        <v/>
      </c>
      <c r="BZ331" s="143">
        <v>0</v>
      </c>
      <c r="CA331" s="143">
        <v>0</v>
      </c>
      <c r="CB331" s="143">
        <v>0</v>
      </c>
      <c r="CC331" s="143">
        <v>0</v>
      </c>
      <c r="CD331" s="143">
        <v>0</v>
      </c>
      <c r="CE331" s="143">
        <v>0</v>
      </c>
      <c r="CF331" s="143">
        <v>0</v>
      </c>
      <c r="CG331" s="143">
        <v>0</v>
      </c>
      <c r="CH331" s="143">
        <v>0</v>
      </c>
      <c r="CI331" s="143">
        <v>0</v>
      </c>
      <c r="CJ331" s="143">
        <v>0</v>
      </c>
      <c r="CK331" s="143">
        <v>0</v>
      </c>
      <c r="CL331" s="143">
        <v>0</v>
      </c>
      <c r="CM331">
        <v>0</v>
      </c>
      <c r="CN331" t="str">
        <f>IF($BL331&lt;$BK331,"refNeedCorrection","refOK")</f>
        <v>refOK</v>
      </c>
      <c r="CO331">
        <f t="shared" si="318"/>
        <v>132</v>
      </c>
      <c r="CP331">
        <f t="shared" si="319"/>
        <v>132</v>
      </c>
      <c r="CQ331">
        <f t="shared" si="320"/>
        <v>0</v>
      </c>
      <c r="CR331">
        <f t="shared" si="321"/>
        <v>47</v>
      </c>
      <c r="CS331">
        <f t="shared" si="322"/>
        <v>84</v>
      </c>
      <c r="CT331">
        <f t="shared" si="323"/>
        <v>135.79</v>
      </c>
      <c r="CU331" t="str">
        <f t="shared" si="324"/>
        <v/>
      </c>
      <c r="CV331" s="2">
        <f t="shared" si="325"/>
        <v>0.78723404255319152</v>
      </c>
      <c r="CW331" s="1" t="s">
        <v>263</v>
      </c>
      <c r="CX331" t="str">
        <f t="shared" si="326"/>
        <v>loc</v>
      </c>
      <c r="CY331" t="s">
        <v>444</v>
      </c>
      <c r="CZ331"/>
      <c r="DA331"/>
      <c r="DB331">
        <v>300</v>
      </c>
      <c r="DC331" t="str">
        <f t="shared" si="327"/>
        <v>+100</v>
      </c>
      <c r="DD331">
        <v>0</v>
      </c>
      <c r="DE331">
        <v>1</v>
      </c>
      <c r="DF331">
        <v>0</v>
      </c>
      <c r="DG331">
        <v>0</v>
      </c>
      <c r="DH331"/>
      <c r="DI331">
        <f t="shared" si="328"/>
        <v>1</v>
      </c>
      <c r="DJ331" t="str">
        <f t="shared" si="329"/>
        <v>EnergyInput</v>
      </c>
      <c r="DK331">
        <f t="shared" si="330"/>
        <v>0</v>
      </c>
      <c r="DL331" t="str">
        <f t="shared" si="331"/>
        <v>Energy</v>
      </c>
      <c r="DM331">
        <f t="shared" si="332"/>
        <v>0</v>
      </c>
      <c r="DN331">
        <f t="shared" si="333"/>
        <v>0</v>
      </c>
      <c r="DO331">
        <v>1</v>
      </c>
      <c r="DP331" s="143">
        <v>0</v>
      </c>
      <c r="DQ331" s="143">
        <v>0</v>
      </c>
      <c r="DR331" s="143">
        <v>0</v>
      </c>
      <c r="DS331">
        <v>0</v>
      </c>
      <c r="DT331">
        <f t="shared" si="334"/>
        <v>1</v>
      </c>
      <c r="DU331" s="143" t="str">
        <f t="shared" si="335"/>
        <v>self-calculated DF</v>
      </c>
      <c r="DV331">
        <v>0</v>
      </c>
      <c r="DW331" s="143">
        <v>0</v>
      </c>
      <c r="DX331" s="143">
        <v>1</v>
      </c>
      <c r="DY331" s="143">
        <v>1</v>
      </c>
      <c r="DZ331">
        <v>1</v>
      </c>
      <c r="EA331" s="143">
        <v>1</v>
      </c>
      <c r="EB331">
        <v>0</v>
      </c>
      <c r="EC331" s="143">
        <v>1</v>
      </c>
      <c r="ED331" s="143">
        <v>0</v>
      </c>
      <c r="EE331">
        <v>0</v>
      </c>
      <c r="EF331">
        <v>0</v>
      </c>
      <c r="EG331" s="143">
        <v>0</v>
      </c>
      <c r="EH331" s="143">
        <v>0</v>
      </c>
      <c r="EI331" s="2">
        <v>0</v>
      </c>
      <c r="EJ331" s="1"/>
      <c r="EK331" t="str">
        <f t="shared" si="336"/>
        <v/>
      </c>
      <c r="EL331" t="str">
        <f t="shared" si="337"/>
        <v/>
      </c>
      <c r="EM331" s="2" t="str">
        <f t="shared" si="339"/>
        <v/>
      </c>
      <c r="EN331" t="s">
        <v>445</v>
      </c>
      <c r="EO331"/>
      <c r="EP331" t="b">
        <f>IF(ISNUMBER(BU331),IF(ABS(BU331-[5]QC_indicators!$B$2)&gt;3*[5]QC_indicators!$C$2,"C ratio",IF(ISNUMBER(BY331),IF(ABS(BY331-[5]QC_indicators!$B$1)&gt;3*[5]QC_indicators!$C$1,"DF","no"))),IF(ISNUMBER(BY331),IF(ABS(BY331-[5]QC_indicators!$B$1)&gt;3*[5]QC_indicators!$C$1,"DF","no")))</f>
        <v>0</v>
      </c>
      <c r="EQ331"/>
      <c r="ER331"/>
      <c r="ES331"/>
      <c r="ET331" s="264" t="s">
        <v>3272</v>
      </c>
      <c r="EU331"/>
    </row>
    <row r="332" spans="1:151" s="139" customFormat="1" ht="15" hidden="1" customHeight="1">
      <c r="A332" s="1" t="s">
        <v>430</v>
      </c>
      <c r="B332" t="s">
        <v>431</v>
      </c>
      <c r="C332" t="s">
        <v>432</v>
      </c>
      <c r="D332" t="s">
        <v>433</v>
      </c>
      <c r="E332" t="s">
        <v>434</v>
      </c>
      <c r="F332" t="s">
        <v>435</v>
      </c>
      <c r="G332" t="s">
        <v>436</v>
      </c>
      <c r="H332" t="s">
        <v>254</v>
      </c>
      <c r="I332">
        <v>2000</v>
      </c>
      <c r="J332">
        <v>174</v>
      </c>
      <c r="K332" t="s">
        <v>437</v>
      </c>
      <c r="L332"/>
      <c r="M332" t="str">
        <f t="shared" si="340"/>
        <v>Borjesson_2000</v>
      </c>
      <c r="N332" t="s">
        <v>222</v>
      </c>
      <c r="O332" s="145" t="s">
        <v>223</v>
      </c>
      <c r="P332"/>
      <c r="Q332" t="s">
        <v>256</v>
      </c>
      <c r="R332" s="255" t="s">
        <v>225</v>
      </c>
      <c r="S332" s="1" t="s">
        <v>464</v>
      </c>
      <c r="T332" t="s">
        <v>467</v>
      </c>
      <c r="U332" t="s">
        <v>470</v>
      </c>
      <c r="V332">
        <v>0</v>
      </c>
      <c r="W332">
        <v>0</v>
      </c>
      <c r="X332">
        <v>0</v>
      </c>
      <c r="Y332">
        <v>0</v>
      </c>
      <c r="Z332">
        <v>0</v>
      </c>
      <c r="AA332">
        <v>0</v>
      </c>
      <c r="AB332">
        <v>0</v>
      </c>
      <c r="AC332">
        <v>0</v>
      </c>
      <c r="AD332">
        <v>0</v>
      </c>
      <c r="AE332">
        <v>0</v>
      </c>
      <c r="AF332">
        <v>0</v>
      </c>
      <c r="AG332">
        <v>0</v>
      </c>
      <c r="AH332">
        <v>1</v>
      </c>
      <c r="AI332">
        <v>0</v>
      </c>
      <c r="AJ332">
        <v>0</v>
      </c>
      <c r="AK332">
        <v>0</v>
      </c>
      <c r="AL332">
        <v>0</v>
      </c>
      <c r="AM332">
        <v>0</v>
      </c>
      <c r="AN332">
        <v>0</v>
      </c>
      <c r="AO332">
        <v>0</v>
      </c>
      <c r="AP332">
        <v>0</v>
      </c>
      <c r="AQ332">
        <v>0</v>
      </c>
      <c r="AR332">
        <v>0</v>
      </c>
      <c r="AS332">
        <v>0</v>
      </c>
      <c r="AT332">
        <v>0</v>
      </c>
      <c r="AU332">
        <v>0</v>
      </c>
      <c r="AV332">
        <v>0</v>
      </c>
      <c r="AW332">
        <v>0</v>
      </c>
      <c r="AX332" s="141">
        <f t="shared" si="305"/>
        <v>1</v>
      </c>
      <c r="AY332" s="141">
        <f t="shared" si="306"/>
        <v>1</v>
      </c>
      <c r="AZ332">
        <f t="shared" si="307"/>
        <v>0</v>
      </c>
      <c r="BA332">
        <f t="shared" si="308"/>
        <v>1</v>
      </c>
      <c r="BB332">
        <f t="shared" si="309"/>
        <v>0</v>
      </c>
      <c r="BC332">
        <f t="shared" si="310"/>
        <v>0</v>
      </c>
      <c r="BD332">
        <f t="shared" si="311"/>
        <v>0</v>
      </c>
      <c r="BE332" t="str">
        <f t="array" ref="BE332">IF(AY332=1,INDEX($V$7:$AL$7,MATCH(TRUE,INDEX($V332:$AW332&lt;&gt;0,),0)),IF(AY332=0,INDEX($AM$7:$AW$7,MATCH(1,$AM332:$AW332,0)),IF(BF332="Multiple strategies","mixed drivers",IF(BF332="Supply chain","multiple supply","multiple silviculture"))))</f>
        <v xml:space="preserve">end of life disposal </v>
      </c>
      <c r="BF332" s="2" t="str" cm="1">
        <f t="array" ref="BF332">IF(COUNTIF(AZ332:BB332,"&lt;&gt;0")=1,INDEX($V$4:$AW$4,MATCH(TRUE,INDEX($V332:$AW332&lt;&gt;0,),0)),IF(COUNTIF(AZ332:BB332,"&lt;&gt;0")=0,INDEX($AM$4:$AW$4,MATCH(1,$AM332:$AW332,0)),"Multiple strategies"))</f>
        <v>Supply chain</v>
      </c>
      <c r="BG332" s="142" t="s">
        <v>229</v>
      </c>
      <c r="BH332" t="s">
        <v>441</v>
      </c>
      <c r="BI332" s="264" t="s">
        <v>3273</v>
      </c>
      <c r="BJ332" s="143" t="s">
        <v>442</v>
      </c>
      <c r="BK332">
        <f t="shared" si="342"/>
        <v>132</v>
      </c>
      <c r="BL332">
        <f t="shared" si="342"/>
        <v>132</v>
      </c>
      <c r="BM332" s="143">
        <f t="shared" si="341"/>
        <v>1</v>
      </c>
      <c r="BN332">
        <f t="shared" si="312"/>
        <v>0</v>
      </c>
      <c r="BO332">
        <v>0</v>
      </c>
      <c r="BP332" t="s">
        <v>232</v>
      </c>
      <c r="BQ332" s="260" t="s">
        <v>813</v>
      </c>
      <c r="BR332" t="s">
        <v>443</v>
      </c>
      <c r="BS332" s="141">
        <v>-3</v>
      </c>
      <c r="BT332" s="141">
        <v>111</v>
      </c>
      <c r="BU332" s="144">
        <f t="shared" si="314"/>
        <v>-37</v>
      </c>
      <c r="BV332">
        <f t="shared" si="315"/>
        <v>114</v>
      </c>
      <c r="BW332"/>
      <c r="BX332">
        <f t="shared" si="316"/>
        <v>418.38</v>
      </c>
      <c r="BY332" t="str">
        <f t="shared" si="338"/>
        <v/>
      </c>
      <c r="BZ332" s="143">
        <v>0</v>
      </c>
      <c r="CA332" s="143">
        <v>0</v>
      </c>
      <c r="CB332" s="143">
        <v>0</v>
      </c>
      <c r="CC332" s="143">
        <v>0</v>
      </c>
      <c r="CD332" s="143">
        <v>0</v>
      </c>
      <c r="CE332" s="143">
        <v>0</v>
      </c>
      <c r="CF332" s="143">
        <v>0</v>
      </c>
      <c r="CG332" s="143">
        <v>0</v>
      </c>
      <c r="CH332" s="143">
        <v>0</v>
      </c>
      <c r="CI332" s="143">
        <v>0</v>
      </c>
      <c r="CJ332" s="143">
        <v>0</v>
      </c>
      <c r="CK332" s="143">
        <v>0</v>
      </c>
      <c r="CL332" s="143">
        <v>0</v>
      </c>
      <c r="CM332">
        <v>0</v>
      </c>
      <c r="CN332" t="str">
        <f>IF(BL332&lt;BK332,"refNeedCorrection","refOK")</f>
        <v>refOK</v>
      </c>
      <c r="CO332">
        <f t="shared" si="318"/>
        <v>132</v>
      </c>
      <c r="CP332">
        <f t="shared" si="319"/>
        <v>132</v>
      </c>
      <c r="CQ332">
        <f t="shared" si="320"/>
        <v>0</v>
      </c>
      <c r="CR332">
        <f t="shared" si="321"/>
        <v>-3</v>
      </c>
      <c r="CS332">
        <f t="shared" si="322"/>
        <v>111</v>
      </c>
      <c r="CT332">
        <f t="shared" si="323"/>
        <v>418.38</v>
      </c>
      <c r="CU332" t="str">
        <f t="shared" si="324"/>
        <v/>
      </c>
      <c r="CV332" s="2">
        <f t="shared" si="325"/>
        <v>38</v>
      </c>
      <c r="CW332" s="1" t="s">
        <v>263</v>
      </c>
      <c r="CX332" t="str">
        <f t="shared" si="326"/>
        <v>loc</v>
      </c>
      <c r="CY332" t="s">
        <v>444</v>
      </c>
      <c r="CZ332"/>
      <c r="DA332"/>
      <c r="DB332">
        <v>300</v>
      </c>
      <c r="DC332" t="str">
        <f t="shared" si="327"/>
        <v>+100</v>
      </c>
      <c r="DD332">
        <v>0</v>
      </c>
      <c r="DE332">
        <v>1</v>
      </c>
      <c r="DF332">
        <v>0</v>
      </c>
      <c r="DG332">
        <v>0</v>
      </c>
      <c r="DH332"/>
      <c r="DI332">
        <f t="shared" si="328"/>
        <v>1</v>
      </c>
      <c r="DJ332" t="str">
        <f t="shared" si="329"/>
        <v>EnergyInput</v>
      </c>
      <c r="DK332">
        <f t="shared" si="330"/>
        <v>0</v>
      </c>
      <c r="DL332" t="str">
        <f t="shared" si="331"/>
        <v>Energy</v>
      </c>
      <c r="DM332">
        <f t="shared" si="332"/>
        <v>0</v>
      </c>
      <c r="DN332">
        <f t="shared" si="333"/>
        <v>0</v>
      </c>
      <c r="DO332">
        <v>1</v>
      </c>
      <c r="DP332" s="143">
        <v>0</v>
      </c>
      <c r="DQ332" s="143">
        <v>0</v>
      </c>
      <c r="DR332" s="143">
        <v>0</v>
      </c>
      <c r="DS332">
        <v>0</v>
      </c>
      <c r="DT332">
        <f t="shared" si="334"/>
        <v>1</v>
      </c>
      <c r="DU332" s="143" t="str">
        <f t="shared" si="335"/>
        <v>self-calculated DF</v>
      </c>
      <c r="DV332">
        <v>0</v>
      </c>
      <c r="DW332" s="143">
        <v>0</v>
      </c>
      <c r="DX332" s="143">
        <v>1</v>
      </c>
      <c r="DY332" s="143">
        <v>1</v>
      </c>
      <c r="DZ332">
        <v>1</v>
      </c>
      <c r="EA332" s="143">
        <v>1</v>
      </c>
      <c r="EB332">
        <v>0</v>
      </c>
      <c r="EC332" s="143">
        <v>1</v>
      </c>
      <c r="ED332" s="143">
        <v>0</v>
      </c>
      <c r="EE332">
        <v>0</v>
      </c>
      <c r="EF332">
        <v>0</v>
      </c>
      <c r="EG332" s="143">
        <v>0</v>
      </c>
      <c r="EH332" s="143">
        <v>0</v>
      </c>
      <c r="EI332" s="2">
        <v>0</v>
      </c>
      <c r="EJ332" s="1"/>
      <c r="EK332" t="str">
        <f t="shared" si="336"/>
        <v/>
      </c>
      <c r="EL332" t="str">
        <f t="shared" si="337"/>
        <v/>
      </c>
      <c r="EM332" s="2" t="str">
        <f t="shared" si="339"/>
        <v/>
      </c>
      <c r="EN332" t="s">
        <v>445</v>
      </c>
      <c r="EO332"/>
      <c r="EP332" t="str">
        <f>IF(ISNUMBER(BU332),IF(ABS(BU332-[5]QC_indicators!$B$2)&gt;3*[5]QC_indicators!$C$2,"C ratio",IF(ISNUMBER(BY332),IF(ABS(BY332-[5]QC_indicators!$B$1)&gt;3*[5]QC_indicators!$C$1,"DF","no"))),IF(ISNUMBER(BY332),IF(ABS(BY332-[5]QC_indicators!$B$1)&gt;3*[5]QC_indicators!$C$1,"DF","no")))</f>
        <v>C ratio</v>
      </c>
      <c r="EQ332" t="s">
        <v>450</v>
      </c>
      <c r="ER332"/>
      <c r="ES332"/>
      <c r="ET332" s="264" t="s">
        <v>3272</v>
      </c>
      <c r="EU332"/>
    </row>
    <row r="333" spans="1:151" s="139" customFormat="1" ht="15" hidden="1" customHeight="1">
      <c r="A333" s="1" t="s">
        <v>430</v>
      </c>
      <c r="B333" t="s">
        <v>431</v>
      </c>
      <c r="C333" t="s">
        <v>432</v>
      </c>
      <c r="D333" t="s">
        <v>433</v>
      </c>
      <c r="E333" t="s">
        <v>434</v>
      </c>
      <c r="F333" t="s">
        <v>435</v>
      </c>
      <c r="G333" t="s">
        <v>436</v>
      </c>
      <c r="H333" t="s">
        <v>254</v>
      </c>
      <c r="I333">
        <v>2000</v>
      </c>
      <c r="J333">
        <v>174</v>
      </c>
      <c r="K333" t="s">
        <v>437</v>
      </c>
      <c r="L333"/>
      <c r="M333" t="str">
        <f t="shared" si="340"/>
        <v>Borjesson_2000</v>
      </c>
      <c r="N333" t="s">
        <v>222</v>
      </c>
      <c r="O333" s="145" t="s">
        <v>223</v>
      </c>
      <c r="P333"/>
      <c r="Q333" t="s">
        <v>256</v>
      </c>
      <c r="R333" s="255" t="s">
        <v>225</v>
      </c>
      <c r="S333" s="1" t="s">
        <v>464</v>
      </c>
      <c r="T333" t="s">
        <v>465</v>
      </c>
      <c r="U333" t="s">
        <v>470</v>
      </c>
      <c r="V333">
        <v>0</v>
      </c>
      <c r="W333">
        <v>0</v>
      </c>
      <c r="X333">
        <v>0</v>
      </c>
      <c r="Y333">
        <v>0</v>
      </c>
      <c r="Z333">
        <v>0</v>
      </c>
      <c r="AA333">
        <v>0</v>
      </c>
      <c r="AB333">
        <v>0</v>
      </c>
      <c r="AC333">
        <v>0</v>
      </c>
      <c r="AD333">
        <v>0</v>
      </c>
      <c r="AE333">
        <v>0</v>
      </c>
      <c r="AF333">
        <v>0</v>
      </c>
      <c r="AG333">
        <v>0</v>
      </c>
      <c r="AH333">
        <v>1</v>
      </c>
      <c r="AI333">
        <v>0</v>
      </c>
      <c r="AJ333">
        <v>0</v>
      </c>
      <c r="AK333">
        <v>0</v>
      </c>
      <c r="AL333">
        <v>0</v>
      </c>
      <c r="AM333">
        <v>0</v>
      </c>
      <c r="AN333">
        <v>0</v>
      </c>
      <c r="AO333">
        <v>0</v>
      </c>
      <c r="AP333">
        <v>0</v>
      </c>
      <c r="AQ333">
        <v>0</v>
      </c>
      <c r="AR333">
        <v>0</v>
      </c>
      <c r="AS333">
        <v>0</v>
      </c>
      <c r="AT333">
        <v>0</v>
      </c>
      <c r="AU333">
        <v>0</v>
      </c>
      <c r="AV333">
        <v>0</v>
      </c>
      <c r="AW333">
        <v>0</v>
      </c>
      <c r="AX333" s="141">
        <f t="shared" si="305"/>
        <v>1</v>
      </c>
      <c r="AY333" s="141">
        <f t="shared" si="306"/>
        <v>1</v>
      </c>
      <c r="AZ333">
        <f t="shared" si="307"/>
        <v>0</v>
      </c>
      <c r="BA333">
        <f t="shared" si="308"/>
        <v>1</v>
      </c>
      <c r="BB333">
        <f t="shared" si="309"/>
        <v>0</v>
      </c>
      <c r="BC333">
        <f t="shared" si="310"/>
        <v>0</v>
      </c>
      <c r="BD333">
        <f t="shared" si="311"/>
        <v>0</v>
      </c>
      <c r="BE333" t="str">
        <f t="array" ref="BE333">IF(AY333=1,INDEX($V$7:$AL$7,MATCH(TRUE,INDEX($V333:$AW333&lt;&gt;0,),0)),IF(AY333=0,INDEX($AM$7:$AW$7,MATCH(1,$AM333:$AW333,0)),IF(BF333="Multiple strategies","mixed drivers",IF(BF333="Supply chain","multiple supply","multiple silviculture"))))</f>
        <v xml:space="preserve">end of life disposal </v>
      </c>
      <c r="BF333" s="2" t="str" cm="1">
        <f t="array" ref="BF333">IF(COUNTIF(AZ333:BB333,"&lt;&gt;0")=1,INDEX($V$4:$AW$4,MATCH(TRUE,INDEX($V333:$AW333&lt;&gt;0,),0)),IF(COUNTIF(AZ333:BB333,"&lt;&gt;0")=0,INDEX($AM$4:$AW$4,MATCH(1,$AM333:$AW333,0)),"Multiple strategies"))</f>
        <v>Supply chain</v>
      </c>
      <c r="BG333" s="142" t="s">
        <v>229</v>
      </c>
      <c r="BH333" t="s">
        <v>441</v>
      </c>
      <c r="BI333" s="264" t="s">
        <v>3273</v>
      </c>
      <c r="BJ333" s="143" t="s">
        <v>442</v>
      </c>
      <c r="BK333">
        <f t="shared" si="342"/>
        <v>132</v>
      </c>
      <c r="BL333">
        <f t="shared" si="342"/>
        <v>132</v>
      </c>
      <c r="BM333" s="143">
        <f t="shared" si="341"/>
        <v>1</v>
      </c>
      <c r="BN333">
        <f t="shared" si="312"/>
        <v>0</v>
      </c>
      <c r="BO333">
        <v>0</v>
      </c>
      <c r="BP333" t="s">
        <v>232</v>
      </c>
      <c r="BQ333" s="260" t="s">
        <v>813</v>
      </c>
      <c r="BR333" t="s">
        <v>443</v>
      </c>
      <c r="BS333" s="141">
        <v>47</v>
      </c>
      <c r="BT333" s="141">
        <v>111</v>
      </c>
      <c r="BU333" s="144">
        <f t="shared" si="314"/>
        <v>2.3617021276595747</v>
      </c>
      <c r="BV333">
        <f t="shared" si="315"/>
        <v>64</v>
      </c>
      <c r="BW333"/>
      <c r="BX333">
        <f t="shared" si="316"/>
        <v>234.88</v>
      </c>
      <c r="BY333" t="str">
        <f t="shared" si="338"/>
        <v/>
      </c>
      <c r="BZ333" s="143">
        <v>0</v>
      </c>
      <c r="CA333" s="143">
        <v>0</v>
      </c>
      <c r="CB333" s="143">
        <v>0</v>
      </c>
      <c r="CC333" s="143">
        <v>0</v>
      </c>
      <c r="CD333" s="143">
        <v>0</v>
      </c>
      <c r="CE333" s="143">
        <v>0</v>
      </c>
      <c r="CF333" s="143">
        <v>0</v>
      </c>
      <c r="CG333" s="143">
        <v>0</v>
      </c>
      <c r="CH333" s="143">
        <v>0</v>
      </c>
      <c r="CI333" s="143">
        <v>0</v>
      </c>
      <c r="CJ333" s="143">
        <v>0</v>
      </c>
      <c r="CK333" s="143">
        <v>0</v>
      </c>
      <c r="CL333" s="143">
        <v>0</v>
      </c>
      <c r="CM333">
        <v>0</v>
      </c>
      <c r="CN333" t="str">
        <f>IF($BL333&lt;$BK333,"refNeedCorrection","refOK")</f>
        <v>refOK</v>
      </c>
      <c r="CO333">
        <f t="shared" si="318"/>
        <v>132</v>
      </c>
      <c r="CP333">
        <f t="shared" si="319"/>
        <v>132</v>
      </c>
      <c r="CQ333">
        <f t="shared" si="320"/>
        <v>0</v>
      </c>
      <c r="CR333">
        <f t="shared" si="321"/>
        <v>47</v>
      </c>
      <c r="CS333">
        <f t="shared" si="322"/>
        <v>111</v>
      </c>
      <c r="CT333">
        <f t="shared" si="323"/>
        <v>234.88</v>
      </c>
      <c r="CU333" t="str">
        <f t="shared" si="324"/>
        <v/>
      </c>
      <c r="CV333" s="2">
        <f t="shared" si="325"/>
        <v>1.3617021276595744</v>
      </c>
      <c r="CW333" s="1" t="s">
        <v>263</v>
      </c>
      <c r="CX333" t="str">
        <f t="shared" si="326"/>
        <v>loc</v>
      </c>
      <c r="CY333" t="s">
        <v>444</v>
      </c>
      <c r="CZ333"/>
      <c r="DA333"/>
      <c r="DB333">
        <v>300</v>
      </c>
      <c r="DC333" t="str">
        <f t="shared" si="327"/>
        <v>+100</v>
      </c>
      <c r="DD333">
        <v>0</v>
      </c>
      <c r="DE333">
        <v>1</v>
      </c>
      <c r="DF333">
        <v>0</v>
      </c>
      <c r="DG333">
        <v>0</v>
      </c>
      <c r="DH333"/>
      <c r="DI333">
        <f t="shared" si="328"/>
        <v>1</v>
      </c>
      <c r="DJ333" t="str">
        <f t="shared" si="329"/>
        <v>EnergyInput</v>
      </c>
      <c r="DK333">
        <f t="shared" si="330"/>
        <v>0</v>
      </c>
      <c r="DL333" t="str">
        <f t="shared" si="331"/>
        <v>Energy</v>
      </c>
      <c r="DM333">
        <f t="shared" si="332"/>
        <v>0</v>
      </c>
      <c r="DN333">
        <f t="shared" si="333"/>
        <v>0</v>
      </c>
      <c r="DO333">
        <v>1</v>
      </c>
      <c r="DP333" s="143">
        <v>0</v>
      </c>
      <c r="DQ333" s="143">
        <v>0</v>
      </c>
      <c r="DR333" s="143">
        <v>0</v>
      </c>
      <c r="DS333">
        <v>0</v>
      </c>
      <c r="DT333">
        <f t="shared" si="334"/>
        <v>1</v>
      </c>
      <c r="DU333" s="143" t="str">
        <f t="shared" si="335"/>
        <v>self-calculated DF</v>
      </c>
      <c r="DV333">
        <v>0</v>
      </c>
      <c r="DW333" s="143">
        <v>0</v>
      </c>
      <c r="DX333" s="143">
        <v>1</v>
      </c>
      <c r="DY333" s="143">
        <v>1</v>
      </c>
      <c r="DZ333">
        <v>1</v>
      </c>
      <c r="EA333" s="143">
        <v>1</v>
      </c>
      <c r="EB333">
        <v>0</v>
      </c>
      <c r="EC333" s="143">
        <v>1</v>
      </c>
      <c r="ED333" s="143">
        <v>0</v>
      </c>
      <c r="EE333">
        <v>0</v>
      </c>
      <c r="EF333">
        <v>0</v>
      </c>
      <c r="EG333" s="143">
        <v>0</v>
      </c>
      <c r="EH333" s="143">
        <v>0</v>
      </c>
      <c r="EI333" s="2">
        <v>0</v>
      </c>
      <c r="EJ333" s="1"/>
      <c r="EK333" t="str">
        <f t="shared" si="336"/>
        <v/>
      </c>
      <c r="EL333" t="str">
        <f t="shared" si="337"/>
        <v/>
      </c>
      <c r="EM333" s="2" t="str">
        <f t="shared" si="339"/>
        <v/>
      </c>
      <c r="EN333" t="s">
        <v>445</v>
      </c>
      <c r="EO333"/>
      <c r="EP333" t="b">
        <f>IF(ISNUMBER(BU333),IF(ABS(BU333-[5]QC_indicators!$B$2)&gt;3*[5]QC_indicators!$C$2,"C ratio",IF(ISNUMBER(BY333),IF(ABS(BY333-[5]QC_indicators!$B$1)&gt;3*[5]QC_indicators!$C$1,"DF","no"))),IF(ISNUMBER(BY333),IF(ABS(BY333-[5]QC_indicators!$B$1)&gt;3*[5]QC_indicators!$C$1,"DF","no")))</f>
        <v>0</v>
      </c>
      <c r="EQ333"/>
      <c r="ER333"/>
      <c r="ES333"/>
      <c r="ET333" s="264" t="s">
        <v>3272</v>
      </c>
      <c r="EU333"/>
    </row>
    <row r="334" spans="1:151" s="139" customFormat="1" ht="15" hidden="1" customHeight="1">
      <c r="A334" s="1" t="s">
        <v>430</v>
      </c>
      <c r="B334" t="s">
        <v>431</v>
      </c>
      <c r="C334" t="s">
        <v>432</v>
      </c>
      <c r="D334" t="s">
        <v>433</v>
      </c>
      <c r="E334" t="s">
        <v>434</v>
      </c>
      <c r="F334" t="s">
        <v>435</v>
      </c>
      <c r="G334" t="s">
        <v>436</v>
      </c>
      <c r="H334" t="s">
        <v>254</v>
      </c>
      <c r="I334">
        <v>2000</v>
      </c>
      <c r="J334">
        <v>174</v>
      </c>
      <c r="K334" t="s">
        <v>437</v>
      </c>
      <c r="L334"/>
      <c r="M334" t="str">
        <f t="shared" si="340"/>
        <v>Borjesson_2000</v>
      </c>
      <c r="N334" t="s">
        <v>222</v>
      </c>
      <c r="O334" s="145" t="s">
        <v>223</v>
      </c>
      <c r="P334"/>
      <c r="Q334" t="s">
        <v>256</v>
      </c>
      <c r="R334" s="255" t="s">
        <v>225</v>
      </c>
      <c r="S334" s="1" t="s">
        <v>464</v>
      </c>
      <c r="T334" t="s">
        <v>467</v>
      </c>
      <c r="U334" t="s">
        <v>471</v>
      </c>
      <c r="V334">
        <v>0</v>
      </c>
      <c r="W334">
        <v>0</v>
      </c>
      <c r="X334">
        <v>0</v>
      </c>
      <c r="Y334">
        <v>0</v>
      </c>
      <c r="Z334">
        <v>0</v>
      </c>
      <c r="AA334">
        <v>0</v>
      </c>
      <c r="AB334">
        <v>0</v>
      </c>
      <c r="AC334">
        <v>0</v>
      </c>
      <c r="AD334">
        <v>0</v>
      </c>
      <c r="AE334">
        <v>0</v>
      </c>
      <c r="AF334">
        <v>0</v>
      </c>
      <c r="AG334">
        <v>0</v>
      </c>
      <c r="AH334">
        <v>1</v>
      </c>
      <c r="AI334">
        <v>0</v>
      </c>
      <c r="AJ334">
        <v>0</v>
      </c>
      <c r="AK334">
        <v>0</v>
      </c>
      <c r="AL334">
        <v>0</v>
      </c>
      <c r="AM334">
        <v>0</v>
      </c>
      <c r="AN334">
        <v>0</v>
      </c>
      <c r="AO334">
        <v>0</v>
      </c>
      <c r="AP334">
        <v>0</v>
      </c>
      <c r="AQ334">
        <v>0</v>
      </c>
      <c r="AR334">
        <v>0</v>
      </c>
      <c r="AS334">
        <v>0</v>
      </c>
      <c r="AT334">
        <v>0</v>
      </c>
      <c r="AU334">
        <v>0</v>
      </c>
      <c r="AV334">
        <v>0</v>
      </c>
      <c r="AW334">
        <v>0</v>
      </c>
      <c r="AX334" s="141">
        <f t="shared" si="305"/>
        <v>1</v>
      </c>
      <c r="AY334" s="141">
        <f t="shared" si="306"/>
        <v>1</v>
      </c>
      <c r="AZ334">
        <f t="shared" si="307"/>
        <v>0</v>
      </c>
      <c r="BA334">
        <f t="shared" si="308"/>
        <v>1</v>
      </c>
      <c r="BB334">
        <f t="shared" si="309"/>
        <v>0</v>
      </c>
      <c r="BC334">
        <f t="shared" si="310"/>
        <v>0</v>
      </c>
      <c r="BD334">
        <f t="shared" si="311"/>
        <v>0</v>
      </c>
      <c r="BE334" t="str">
        <f t="array" ref="BE334">IF(AY334=1,INDEX($V$7:$AL$7,MATCH(TRUE,INDEX($V334:$AW334&lt;&gt;0,),0)),IF(AY334=0,INDEX($AM$7:$AW$7,MATCH(1,$AM334:$AW334,0)),IF(BF334="Multiple strategies","mixed drivers",IF(BF334="Supply chain","multiple supply","multiple silviculture"))))</f>
        <v xml:space="preserve">end of life disposal </v>
      </c>
      <c r="BF334" s="2" t="str" cm="1">
        <f t="array" ref="BF334">IF(COUNTIF(AZ334:BB334,"&lt;&gt;0")=1,INDEX($V$4:$AW$4,MATCH(TRUE,INDEX($V334:$AW334&lt;&gt;0,),0)),IF(COUNTIF(AZ334:BB334,"&lt;&gt;0")=0,INDEX($AM$4:$AW$4,MATCH(1,$AM334:$AW334,0)),"Multiple strategies"))</f>
        <v>Supply chain</v>
      </c>
      <c r="BG334" s="142" t="s">
        <v>229</v>
      </c>
      <c r="BH334" t="s">
        <v>441</v>
      </c>
      <c r="BI334" s="264" t="s">
        <v>3273</v>
      </c>
      <c r="BJ334" s="143" t="s">
        <v>442</v>
      </c>
      <c r="BK334">
        <f t="shared" si="342"/>
        <v>132</v>
      </c>
      <c r="BL334">
        <f t="shared" si="342"/>
        <v>132</v>
      </c>
      <c r="BM334" s="143">
        <f t="shared" si="341"/>
        <v>1</v>
      </c>
      <c r="BN334">
        <f t="shared" si="312"/>
        <v>0</v>
      </c>
      <c r="BO334">
        <v>0</v>
      </c>
      <c r="BP334" t="s">
        <v>232</v>
      </c>
      <c r="BQ334" s="260" t="s">
        <v>813</v>
      </c>
      <c r="BR334" t="s">
        <v>443</v>
      </c>
      <c r="BS334" s="141">
        <v>-3</v>
      </c>
      <c r="BT334" s="141">
        <v>82</v>
      </c>
      <c r="BU334" s="144">
        <f t="shared" si="314"/>
        <v>-27.333333333333332</v>
      </c>
      <c r="BV334">
        <f t="shared" si="315"/>
        <v>85</v>
      </c>
      <c r="BW334"/>
      <c r="BX334">
        <f t="shared" si="316"/>
        <v>311.95</v>
      </c>
      <c r="BY334" t="str">
        <f t="shared" si="338"/>
        <v/>
      </c>
      <c r="BZ334" s="143">
        <v>0</v>
      </c>
      <c r="CA334" s="143">
        <v>0</v>
      </c>
      <c r="CB334" s="143">
        <v>0</v>
      </c>
      <c r="CC334" s="143">
        <v>0</v>
      </c>
      <c r="CD334" s="143">
        <v>0</v>
      </c>
      <c r="CE334" s="143">
        <v>0</v>
      </c>
      <c r="CF334" s="143">
        <v>0</v>
      </c>
      <c r="CG334" s="143">
        <v>0</v>
      </c>
      <c r="CH334" s="143">
        <v>0</v>
      </c>
      <c r="CI334" s="143">
        <v>0</v>
      </c>
      <c r="CJ334" s="143">
        <v>0</v>
      </c>
      <c r="CK334" s="143">
        <v>0</v>
      </c>
      <c r="CL334" s="143">
        <v>0</v>
      </c>
      <c r="CM334">
        <v>0</v>
      </c>
      <c r="CN334" t="str">
        <f>IF(BL334&lt;BK334,"refNeedCorrection","refOK")</f>
        <v>refOK</v>
      </c>
      <c r="CO334">
        <f t="shared" si="318"/>
        <v>132</v>
      </c>
      <c r="CP334">
        <f t="shared" si="319"/>
        <v>132</v>
      </c>
      <c r="CQ334">
        <f t="shared" si="320"/>
        <v>0</v>
      </c>
      <c r="CR334">
        <f t="shared" si="321"/>
        <v>-3</v>
      </c>
      <c r="CS334">
        <f t="shared" si="322"/>
        <v>82</v>
      </c>
      <c r="CT334">
        <f t="shared" si="323"/>
        <v>311.95</v>
      </c>
      <c r="CU334" t="str">
        <f t="shared" si="324"/>
        <v/>
      </c>
      <c r="CV334" s="2">
        <f t="shared" si="325"/>
        <v>28.333333333333332</v>
      </c>
      <c r="CW334" s="1" t="s">
        <v>263</v>
      </c>
      <c r="CX334" t="str">
        <f t="shared" si="326"/>
        <v>loc</v>
      </c>
      <c r="CY334" t="s">
        <v>444</v>
      </c>
      <c r="CZ334"/>
      <c r="DA334"/>
      <c r="DB334">
        <v>300</v>
      </c>
      <c r="DC334" t="str">
        <f t="shared" si="327"/>
        <v>+100</v>
      </c>
      <c r="DD334">
        <v>0</v>
      </c>
      <c r="DE334">
        <v>1</v>
      </c>
      <c r="DF334">
        <v>0</v>
      </c>
      <c r="DG334">
        <v>0</v>
      </c>
      <c r="DH334"/>
      <c r="DI334">
        <f t="shared" si="328"/>
        <v>1</v>
      </c>
      <c r="DJ334" t="str">
        <f t="shared" si="329"/>
        <v>EnergyInput</v>
      </c>
      <c r="DK334">
        <f t="shared" si="330"/>
        <v>0</v>
      </c>
      <c r="DL334" t="str">
        <f t="shared" si="331"/>
        <v>Energy</v>
      </c>
      <c r="DM334">
        <f t="shared" si="332"/>
        <v>0</v>
      </c>
      <c r="DN334">
        <f t="shared" si="333"/>
        <v>0</v>
      </c>
      <c r="DO334">
        <v>1</v>
      </c>
      <c r="DP334" s="143">
        <v>0</v>
      </c>
      <c r="DQ334" s="143">
        <v>0</v>
      </c>
      <c r="DR334" s="143">
        <v>0</v>
      </c>
      <c r="DS334">
        <v>0</v>
      </c>
      <c r="DT334">
        <f t="shared" si="334"/>
        <v>1</v>
      </c>
      <c r="DU334" s="143" t="str">
        <f t="shared" si="335"/>
        <v>self-calculated DF</v>
      </c>
      <c r="DV334">
        <v>0</v>
      </c>
      <c r="DW334" s="143">
        <v>0</v>
      </c>
      <c r="DX334" s="143">
        <v>1</v>
      </c>
      <c r="DY334" s="143">
        <v>1</v>
      </c>
      <c r="DZ334">
        <v>1</v>
      </c>
      <c r="EA334" s="143">
        <v>1</v>
      </c>
      <c r="EB334">
        <v>0</v>
      </c>
      <c r="EC334" s="143">
        <v>1</v>
      </c>
      <c r="ED334" s="143">
        <v>0</v>
      </c>
      <c r="EE334">
        <v>0</v>
      </c>
      <c r="EF334">
        <v>0</v>
      </c>
      <c r="EG334" s="143">
        <v>0</v>
      </c>
      <c r="EH334" s="143">
        <v>0</v>
      </c>
      <c r="EI334" s="2">
        <v>0</v>
      </c>
      <c r="EJ334" s="1"/>
      <c r="EK334" t="str">
        <f t="shared" si="336"/>
        <v/>
      </c>
      <c r="EL334" t="str">
        <f t="shared" si="337"/>
        <v/>
      </c>
      <c r="EM334" s="2" t="str">
        <f t="shared" si="339"/>
        <v/>
      </c>
      <c r="EN334" t="s">
        <v>445</v>
      </c>
      <c r="EO334"/>
      <c r="EP334" t="str">
        <f>IF(ISNUMBER(BU334),IF(ABS(BU334-[5]QC_indicators!$B$2)&gt;3*[5]QC_indicators!$C$2,"C ratio",IF(ISNUMBER(BY334),IF(ABS(BY334-[5]QC_indicators!$B$1)&gt;3*[5]QC_indicators!$C$1,"DF","no"))),IF(ISNUMBER(BY334),IF(ABS(BY334-[5]QC_indicators!$B$1)&gt;3*[5]QC_indicators!$C$1,"DF","no")))</f>
        <v>C ratio</v>
      </c>
      <c r="EQ334" t="s">
        <v>450</v>
      </c>
      <c r="ER334"/>
      <c r="ES334"/>
      <c r="ET334" s="264" t="s">
        <v>3272</v>
      </c>
      <c r="EU334"/>
    </row>
    <row r="335" spans="1:151" s="139" customFormat="1" ht="15" hidden="1" customHeight="1">
      <c r="A335" s="1" t="s">
        <v>430</v>
      </c>
      <c r="B335" t="s">
        <v>431</v>
      </c>
      <c r="C335" t="s">
        <v>432</v>
      </c>
      <c r="D335" t="s">
        <v>433</v>
      </c>
      <c r="E335" t="s">
        <v>434</v>
      </c>
      <c r="F335" t="s">
        <v>435</v>
      </c>
      <c r="G335" t="s">
        <v>436</v>
      </c>
      <c r="H335" t="s">
        <v>254</v>
      </c>
      <c r="I335">
        <v>2000</v>
      </c>
      <c r="J335">
        <v>174</v>
      </c>
      <c r="K335" t="s">
        <v>437</v>
      </c>
      <c r="L335"/>
      <c r="M335" t="str">
        <f t="shared" si="340"/>
        <v>Borjesson_2000</v>
      </c>
      <c r="N335" t="s">
        <v>222</v>
      </c>
      <c r="O335" s="145" t="s">
        <v>223</v>
      </c>
      <c r="P335"/>
      <c r="Q335" t="s">
        <v>256</v>
      </c>
      <c r="R335" s="255" t="s">
        <v>225</v>
      </c>
      <c r="S335" s="1" t="s">
        <v>464</v>
      </c>
      <c r="T335" t="s">
        <v>465</v>
      </c>
      <c r="U335" t="s">
        <v>471</v>
      </c>
      <c r="V335">
        <v>0</v>
      </c>
      <c r="W335">
        <v>0</v>
      </c>
      <c r="X335">
        <v>0</v>
      </c>
      <c r="Y335">
        <v>0</v>
      </c>
      <c r="Z335">
        <v>0</v>
      </c>
      <c r="AA335">
        <v>0</v>
      </c>
      <c r="AB335">
        <v>0</v>
      </c>
      <c r="AC335">
        <v>0</v>
      </c>
      <c r="AD335">
        <v>0</v>
      </c>
      <c r="AE335">
        <v>0</v>
      </c>
      <c r="AF335">
        <v>0</v>
      </c>
      <c r="AG335">
        <v>0</v>
      </c>
      <c r="AH335">
        <v>1</v>
      </c>
      <c r="AI335">
        <v>0</v>
      </c>
      <c r="AJ335">
        <v>0</v>
      </c>
      <c r="AK335">
        <v>0</v>
      </c>
      <c r="AL335">
        <v>0</v>
      </c>
      <c r="AM335">
        <v>0</v>
      </c>
      <c r="AN335">
        <v>0</v>
      </c>
      <c r="AO335">
        <v>0</v>
      </c>
      <c r="AP335">
        <v>0</v>
      </c>
      <c r="AQ335">
        <v>0</v>
      </c>
      <c r="AR335">
        <v>0</v>
      </c>
      <c r="AS335">
        <v>0</v>
      </c>
      <c r="AT335">
        <v>0</v>
      </c>
      <c r="AU335">
        <v>0</v>
      </c>
      <c r="AV335">
        <v>0</v>
      </c>
      <c r="AW335">
        <v>0</v>
      </c>
      <c r="AX335" s="141">
        <f t="shared" si="305"/>
        <v>1</v>
      </c>
      <c r="AY335" s="141">
        <f t="shared" si="306"/>
        <v>1</v>
      </c>
      <c r="AZ335">
        <f t="shared" si="307"/>
        <v>0</v>
      </c>
      <c r="BA335">
        <f t="shared" si="308"/>
        <v>1</v>
      </c>
      <c r="BB335">
        <f t="shared" si="309"/>
        <v>0</v>
      </c>
      <c r="BC335">
        <f t="shared" si="310"/>
        <v>0</v>
      </c>
      <c r="BD335">
        <f t="shared" si="311"/>
        <v>0</v>
      </c>
      <c r="BE335" t="str">
        <f t="array" ref="BE335">IF(AY335=1,INDEX($V$7:$AL$7,MATCH(TRUE,INDEX($V335:$AW335&lt;&gt;0,),0)),IF(AY335=0,INDEX($AM$7:$AW$7,MATCH(1,$AM335:$AW335,0)),IF(BF335="Multiple strategies","mixed drivers",IF(BF335="Supply chain","multiple supply","multiple silviculture"))))</f>
        <v xml:space="preserve">end of life disposal </v>
      </c>
      <c r="BF335" s="2" t="str" cm="1">
        <f t="array" ref="BF335">IF(COUNTIF(AZ335:BB335,"&lt;&gt;0")=1,INDEX($V$4:$AW$4,MATCH(TRUE,INDEX($V335:$AW335&lt;&gt;0,),0)),IF(COUNTIF(AZ335:BB335,"&lt;&gt;0")=0,INDEX($AM$4:$AW$4,MATCH(1,$AM335:$AW335,0)),"Multiple strategies"))</f>
        <v>Supply chain</v>
      </c>
      <c r="BG335" s="142" t="s">
        <v>229</v>
      </c>
      <c r="BH335" t="s">
        <v>441</v>
      </c>
      <c r="BI335" s="264" t="s">
        <v>3273</v>
      </c>
      <c r="BJ335" s="143" t="s">
        <v>442</v>
      </c>
      <c r="BK335">
        <f t="shared" si="342"/>
        <v>132</v>
      </c>
      <c r="BL335">
        <f t="shared" si="342"/>
        <v>132</v>
      </c>
      <c r="BM335" s="143">
        <f t="shared" si="341"/>
        <v>1</v>
      </c>
      <c r="BN335">
        <f t="shared" si="312"/>
        <v>0</v>
      </c>
      <c r="BO335">
        <v>0</v>
      </c>
      <c r="BP335" t="s">
        <v>232</v>
      </c>
      <c r="BQ335" s="260" t="s">
        <v>813</v>
      </c>
      <c r="BR335" t="s">
        <v>443</v>
      </c>
      <c r="BS335" s="141">
        <v>47</v>
      </c>
      <c r="BT335" s="141">
        <v>82</v>
      </c>
      <c r="BU335" s="144">
        <f t="shared" si="314"/>
        <v>1.7446808510638299</v>
      </c>
      <c r="BV335">
        <f t="shared" si="315"/>
        <v>35</v>
      </c>
      <c r="BW335"/>
      <c r="BX335">
        <f t="shared" si="316"/>
        <v>128.44999999999999</v>
      </c>
      <c r="BY335" t="str">
        <f t="shared" si="338"/>
        <v/>
      </c>
      <c r="BZ335" s="143">
        <v>0</v>
      </c>
      <c r="CA335" s="143">
        <v>0</v>
      </c>
      <c r="CB335" s="143">
        <v>0</v>
      </c>
      <c r="CC335" s="143">
        <v>0</v>
      </c>
      <c r="CD335" s="143">
        <v>0</v>
      </c>
      <c r="CE335" s="143">
        <v>0</v>
      </c>
      <c r="CF335" s="143">
        <v>0</v>
      </c>
      <c r="CG335" s="143">
        <v>0</v>
      </c>
      <c r="CH335" s="143">
        <v>0</v>
      </c>
      <c r="CI335" s="143">
        <v>0</v>
      </c>
      <c r="CJ335" s="143">
        <v>0</v>
      </c>
      <c r="CK335" s="143">
        <v>0</v>
      </c>
      <c r="CL335" s="143">
        <v>0</v>
      </c>
      <c r="CM335">
        <v>0</v>
      </c>
      <c r="CN335" t="str">
        <f>IF($BL335&lt;$BK335,"refNeedCorrection","refOK")</f>
        <v>refOK</v>
      </c>
      <c r="CO335">
        <f t="shared" si="318"/>
        <v>132</v>
      </c>
      <c r="CP335">
        <f t="shared" si="319"/>
        <v>132</v>
      </c>
      <c r="CQ335">
        <f t="shared" si="320"/>
        <v>0</v>
      </c>
      <c r="CR335">
        <f t="shared" si="321"/>
        <v>47</v>
      </c>
      <c r="CS335">
        <f t="shared" si="322"/>
        <v>82</v>
      </c>
      <c r="CT335">
        <f t="shared" si="323"/>
        <v>128.44999999999999</v>
      </c>
      <c r="CU335" t="str">
        <f t="shared" si="324"/>
        <v/>
      </c>
      <c r="CV335" s="2">
        <f t="shared" si="325"/>
        <v>0.74468085106382975</v>
      </c>
      <c r="CW335" s="1" t="s">
        <v>263</v>
      </c>
      <c r="CX335" t="str">
        <f t="shared" si="326"/>
        <v>loc</v>
      </c>
      <c r="CY335" t="s">
        <v>444</v>
      </c>
      <c r="CZ335"/>
      <c r="DA335"/>
      <c r="DB335">
        <v>300</v>
      </c>
      <c r="DC335" t="str">
        <f t="shared" si="327"/>
        <v>+100</v>
      </c>
      <c r="DD335">
        <v>0</v>
      </c>
      <c r="DE335">
        <v>1</v>
      </c>
      <c r="DF335">
        <v>0</v>
      </c>
      <c r="DG335">
        <v>0</v>
      </c>
      <c r="DH335"/>
      <c r="DI335">
        <f t="shared" si="328"/>
        <v>1</v>
      </c>
      <c r="DJ335" t="str">
        <f t="shared" si="329"/>
        <v>EnergyInput</v>
      </c>
      <c r="DK335">
        <f t="shared" si="330"/>
        <v>0</v>
      </c>
      <c r="DL335" t="str">
        <f t="shared" si="331"/>
        <v>Energy</v>
      </c>
      <c r="DM335">
        <f t="shared" si="332"/>
        <v>0</v>
      </c>
      <c r="DN335">
        <f t="shared" si="333"/>
        <v>0</v>
      </c>
      <c r="DO335">
        <v>1</v>
      </c>
      <c r="DP335" s="143">
        <v>0</v>
      </c>
      <c r="DQ335" s="143">
        <v>0</v>
      </c>
      <c r="DR335" s="143">
        <v>0</v>
      </c>
      <c r="DS335">
        <v>0</v>
      </c>
      <c r="DT335">
        <f t="shared" si="334"/>
        <v>1</v>
      </c>
      <c r="DU335" s="143" t="str">
        <f t="shared" si="335"/>
        <v>self-calculated DF</v>
      </c>
      <c r="DV335">
        <v>0</v>
      </c>
      <c r="DW335" s="143">
        <v>0</v>
      </c>
      <c r="DX335" s="143">
        <v>1</v>
      </c>
      <c r="DY335" s="143">
        <v>1</v>
      </c>
      <c r="DZ335">
        <v>1</v>
      </c>
      <c r="EA335" s="143">
        <v>1</v>
      </c>
      <c r="EB335">
        <v>0</v>
      </c>
      <c r="EC335" s="143">
        <v>1</v>
      </c>
      <c r="ED335" s="143">
        <v>0</v>
      </c>
      <c r="EE335">
        <v>0</v>
      </c>
      <c r="EF335">
        <v>0</v>
      </c>
      <c r="EG335" s="143">
        <v>0</v>
      </c>
      <c r="EH335" s="143">
        <v>0</v>
      </c>
      <c r="EI335" s="2">
        <v>0</v>
      </c>
      <c r="EJ335" s="1"/>
      <c r="EK335" t="str">
        <f t="shared" si="336"/>
        <v/>
      </c>
      <c r="EL335" t="str">
        <f t="shared" si="337"/>
        <v/>
      </c>
      <c r="EM335" s="2" t="str">
        <f t="shared" si="339"/>
        <v/>
      </c>
      <c r="EN335" t="s">
        <v>445</v>
      </c>
      <c r="EO335"/>
      <c r="EP335" t="b">
        <f>IF(ISNUMBER(BU335),IF(ABS(BU335-[5]QC_indicators!$B$2)&gt;3*[5]QC_indicators!$C$2,"C ratio",IF(ISNUMBER(BY335),IF(ABS(BY335-[5]QC_indicators!$B$1)&gt;3*[5]QC_indicators!$C$1,"DF","no"))),IF(ISNUMBER(BY335),IF(ABS(BY335-[5]QC_indicators!$B$1)&gt;3*[5]QC_indicators!$C$1,"DF","no")))</f>
        <v>0</v>
      </c>
      <c r="EQ335"/>
      <c r="ER335"/>
      <c r="ES335"/>
      <c r="ET335" s="264" t="s">
        <v>3272</v>
      </c>
      <c r="EU335"/>
    </row>
    <row r="336" spans="1:151" s="139" customFormat="1" ht="15" hidden="1" customHeight="1">
      <c r="A336" s="1" t="s">
        <v>430</v>
      </c>
      <c r="B336" t="s">
        <v>431</v>
      </c>
      <c r="C336" t="s">
        <v>432</v>
      </c>
      <c r="D336" t="s">
        <v>433</v>
      </c>
      <c r="E336" t="s">
        <v>434</v>
      </c>
      <c r="F336" t="s">
        <v>435</v>
      </c>
      <c r="G336" t="s">
        <v>436</v>
      </c>
      <c r="H336" t="s">
        <v>254</v>
      </c>
      <c r="I336">
        <v>2000</v>
      </c>
      <c r="J336">
        <v>174</v>
      </c>
      <c r="K336" t="s">
        <v>437</v>
      </c>
      <c r="L336"/>
      <c r="M336" t="str">
        <f t="shared" si="340"/>
        <v>Borjesson_2000</v>
      </c>
      <c r="N336" t="s">
        <v>222</v>
      </c>
      <c r="O336" s="145" t="s">
        <v>223</v>
      </c>
      <c r="P336"/>
      <c r="Q336" t="s">
        <v>256</v>
      </c>
      <c r="R336" s="255" t="s">
        <v>225</v>
      </c>
      <c r="S336" s="1" t="s">
        <v>464</v>
      </c>
      <c r="T336" t="s">
        <v>467</v>
      </c>
      <c r="U336" t="s">
        <v>472</v>
      </c>
      <c r="V336">
        <v>0</v>
      </c>
      <c r="W336">
        <v>0</v>
      </c>
      <c r="X336">
        <v>0</v>
      </c>
      <c r="Y336">
        <v>0</v>
      </c>
      <c r="Z336">
        <v>0</v>
      </c>
      <c r="AA336">
        <v>0</v>
      </c>
      <c r="AB336">
        <v>0</v>
      </c>
      <c r="AC336">
        <v>0</v>
      </c>
      <c r="AD336">
        <v>0</v>
      </c>
      <c r="AE336">
        <v>0</v>
      </c>
      <c r="AF336">
        <v>0</v>
      </c>
      <c r="AG336">
        <v>0</v>
      </c>
      <c r="AH336">
        <v>1</v>
      </c>
      <c r="AI336">
        <v>0</v>
      </c>
      <c r="AJ336">
        <v>0</v>
      </c>
      <c r="AK336">
        <v>0</v>
      </c>
      <c r="AL336">
        <v>0</v>
      </c>
      <c r="AM336">
        <v>0</v>
      </c>
      <c r="AN336">
        <v>0</v>
      </c>
      <c r="AO336">
        <v>0</v>
      </c>
      <c r="AP336">
        <v>0</v>
      </c>
      <c r="AQ336">
        <v>0</v>
      </c>
      <c r="AR336">
        <v>0</v>
      </c>
      <c r="AS336">
        <v>0</v>
      </c>
      <c r="AT336">
        <v>0</v>
      </c>
      <c r="AU336">
        <v>0</v>
      </c>
      <c r="AV336">
        <v>0</v>
      </c>
      <c r="AW336">
        <v>0</v>
      </c>
      <c r="AX336" s="141">
        <f t="shared" si="305"/>
        <v>1</v>
      </c>
      <c r="AY336" s="141">
        <f t="shared" si="306"/>
        <v>1</v>
      </c>
      <c r="AZ336">
        <f t="shared" si="307"/>
        <v>0</v>
      </c>
      <c r="BA336">
        <f t="shared" si="308"/>
        <v>1</v>
      </c>
      <c r="BB336">
        <f t="shared" si="309"/>
        <v>0</v>
      </c>
      <c r="BC336">
        <f t="shared" si="310"/>
        <v>0</v>
      </c>
      <c r="BD336">
        <f t="shared" si="311"/>
        <v>0</v>
      </c>
      <c r="BE336" t="str">
        <f t="array" ref="BE336">IF(AY336=1,INDEX($V$7:$AL$7,MATCH(TRUE,INDEX($V336:$AW336&lt;&gt;0,),0)),IF(AY336=0,INDEX($AM$7:$AW$7,MATCH(1,$AM336:$AW336,0)),IF(BF336="Multiple strategies","mixed drivers",IF(BF336="Supply chain","multiple supply","multiple silviculture"))))</f>
        <v xml:space="preserve">end of life disposal </v>
      </c>
      <c r="BF336" s="2" t="str" cm="1">
        <f t="array" ref="BF336">IF(COUNTIF(AZ336:BB336,"&lt;&gt;0")=1,INDEX($V$4:$AW$4,MATCH(TRUE,INDEX($V336:$AW336&lt;&gt;0,),0)),IF(COUNTIF(AZ336:BB336,"&lt;&gt;0")=0,INDEX($AM$4:$AW$4,MATCH(1,$AM336:$AW336,0)),"Multiple strategies"))</f>
        <v>Supply chain</v>
      </c>
      <c r="BG336" s="142" t="s">
        <v>229</v>
      </c>
      <c r="BH336" t="s">
        <v>441</v>
      </c>
      <c r="BI336" s="264" t="s">
        <v>3273</v>
      </c>
      <c r="BJ336" s="143" t="s">
        <v>442</v>
      </c>
      <c r="BK336">
        <f t="shared" si="342"/>
        <v>132</v>
      </c>
      <c r="BL336">
        <f t="shared" si="342"/>
        <v>132</v>
      </c>
      <c r="BM336" s="143">
        <f t="shared" si="341"/>
        <v>1</v>
      </c>
      <c r="BN336">
        <f t="shared" si="312"/>
        <v>0</v>
      </c>
      <c r="BO336">
        <v>0</v>
      </c>
      <c r="BP336" t="s">
        <v>232</v>
      </c>
      <c r="BQ336" s="260" t="s">
        <v>813</v>
      </c>
      <c r="BR336" t="s">
        <v>443</v>
      </c>
      <c r="BS336" s="141">
        <v>-3</v>
      </c>
      <c r="BT336" s="141">
        <v>93</v>
      </c>
      <c r="BU336" s="144">
        <f t="shared" si="314"/>
        <v>-31</v>
      </c>
      <c r="BV336">
        <f t="shared" si="315"/>
        <v>96</v>
      </c>
      <c r="BW336"/>
      <c r="BX336">
        <f t="shared" si="316"/>
        <v>352.32</v>
      </c>
      <c r="BY336" t="str">
        <f t="shared" si="338"/>
        <v/>
      </c>
      <c r="BZ336" s="143">
        <v>0</v>
      </c>
      <c r="CA336" s="143">
        <v>0</v>
      </c>
      <c r="CB336" s="143">
        <v>0</v>
      </c>
      <c r="CC336" s="143">
        <v>0</v>
      </c>
      <c r="CD336" s="143">
        <v>0</v>
      </c>
      <c r="CE336" s="143">
        <v>0</v>
      </c>
      <c r="CF336" s="143">
        <v>0</v>
      </c>
      <c r="CG336" s="143">
        <v>0</v>
      </c>
      <c r="CH336" s="143">
        <v>0</v>
      </c>
      <c r="CI336" s="143">
        <v>0</v>
      </c>
      <c r="CJ336" s="143">
        <v>0</v>
      </c>
      <c r="CK336" s="143">
        <v>0</v>
      </c>
      <c r="CL336" s="143">
        <v>0</v>
      </c>
      <c r="CM336">
        <v>0</v>
      </c>
      <c r="CN336" t="str">
        <f>IF(BL336&lt;BK336,"refNeedCorrection","refOK")</f>
        <v>refOK</v>
      </c>
      <c r="CO336">
        <f t="shared" si="318"/>
        <v>132</v>
      </c>
      <c r="CP336">
        <f t="shared" si="319"/>
        <v>132</v>
      </c>
      <c r="CQ336">
        <f t="shared" si="320"/>
        <v>0</v>
      </c>
      <c r="CR336">
        <f t="shared" si="321"/>
        <v>-3</v>
      </c>
      <c r="CS336">
        <f t="shared" si="322"/>
        <v>93</v>
      </c>
      <c r="CT336">
        <f t="shared" si="323"/>
        <v>352.32</v>
      </c>
      <c r="CU336" t="str">
        <f t="shared" si="324"/>
        <v/>
      </c>
      <c r="CV336" s="2">
        <f t="shared" si="325"/>
        <v>32</v>
      </c>
      <c r="CW336" s="1" t="s">
        <v>263</v>
      </c>
      <c r="CX336" t="str">
        <f t="shared" si="326"/>
        <v>loc</v>
      </c>
      <c r="CY336" t="s">
        <v>444</v>
      </c>
      <c r="CZ336"/>
      <c r="DA336"/>
      <c r="DB336">
        <v>300</v>
      </c>
      <c r="DC336" t="str">
        <f t="shared" si="327"/>
        <v>+100</v>
      </c>
      <c r="DD336">
        <v>0</v>
      </c>
      <c r="DE336">
        <v>1</v>
      </c>
      <c r="DF336">
        <v>0</v>
      </c>
      <c r="DG336">
        <v>0</v>
      </c>
      <c r="DH336"/>
      <c r="DI336">
        <f t="shared" si="328"/>
        <v>1</v>
      </c>
      <c r="DJ336" t="str">
        <f t="shared" si="329"/>
        <v>EnergyInput</v>
      </c>
      <c r="DK336">
        <f t="shared" si="330"/>
        <v>0</v>
      </c>
      <c r="DL336" t="str">
        <f t="shared" si="331"/>
        <v>Energy</v>
      </c>
      <c r="DM336">
        <f t="shared" si="332"/>
        <v>0</v>
      </c>
      <c r="DN336">
        <f t="shared" si="333"/>
        <v>0</v>
      </c>
      <c r="DO336">
        <v>1</v>
      </c>
      <c r="DP336" s="143">
        <v>0</v>
      </c>
      <c r="DQ336" s="143">
        <v>0</v>
      </c>
      <c r="DR336" s="143">
        <v>0</v>
      </c>
      <c r="DS336">
        <v>0</v>
      </c>
      <c r="DT336">
        <f t="shared" si="334"/>
        <v>1</v>
      </c>
      <c r="DU336" s="143" t="str">
        <f t="shared" si="335"/>
        <v>self-calculated DF</v>
      </c>
      <c r="DV336">
        <v>0</v>
      </c>
      <c r="DW336" s="143">
        <v>0</v>
      </c>
      <c r="DX336" s="143">
        <v>1</v>
      </c>
      <c r="DY336" s="143">
        <v>1</v>
      </c>
      <c r="DZ336">
        <v>1</v>
      </c>
      <c r="EA336" s="143">
        <v>1</v>
      </c>
      <c r="EB336">
        <v>0</v>
      </c>
      <c r="EC336" s="143">
        <v>1</v>
      </c>
      <c r="ED336" s="143">
        <v>0</v>
      </c>
      <c r="EE336">
        <v>0</v>
      </c>
      <c r="EF336">
        <v>0</v>
      </c>
      <c r="EG336" s="143">
        <v>0</v>
      </c>
      <c r="EH336" s="143">
        <v>0</v>
      </c>
      <c r="EI336" s="2">
        <v>0</v>
      </c>
      <c r="EJ336" s="1"/>
      <c r="EK336" t="str">
        <f t="shared" si="336"/>
        <v/>
      </c>
      <c r="EL336" t="str">
        <f t="shared" si="337"/>
        <v/>
      </c>
      <c r="EM336" s="2" t="str">
        <f t="shared" si="339"/>
        <v/>
      </c>
      <c r="EN336" t="s">
        <v>445</v>
      </c>
      <c r="EO336"/>
      <c r="EP336" t="str">
        <f>IF(ISNUMBER(BU336),IF(ABS(BU336-[5]QC_indicators!$B$2)&gt;3*[5]QC_indicators!$C$2,"C ratio",IF(ISNUMBER(BY336),IF(ABS(BY336-[5]QC_indicators!$B$1)&gt;3*[5]QC_indicators!$C$1,"DF","no"))),IF(ISNUMBER(BY336),IF(ABS(BY336-[5]QC_indicators!$B$1)&gt;3*[5]QC_indicators!$C$1,"DF","no")))</f>
        <v>C ratio</v>
      </c>
      <c r="EQ336" t="s">
        <v>450</v>
      </c>
      <c r="ER336"/>
      <c r="ES336"/>
      <c r="ET336" s="264" t="s">
        <v>3272</v>
      </c>
      <c r="EU336"/>
    </row>
    <row r="337" spans="1:151" s="139" customFormat="1" ht="15" hidden="1" customHeight="1">
      <c r="A337" s="1" t="s">
        <v>430</v>
      </c>
      <c r="B337" t="s">
        <v>431</v>
      </c>
      <c r="C337" t="s">
        <v>432</v>
      </c>
      <c r="D337" t="s">
        <v>433</v>
      </c>
      <c r="E337" t="s">
        <v>434</v>
      </c>
      <c r="F337" t="s">
        <v>435</v>
      </c>
      <c r="G337" t="s">
        <v>436</v>
      </c>
      <c r="H337" t="s">
        <v>254</v>
      </c>
      <c r="I337">
        <v>2000</v>
      </c>
      <c r="J337">
        <v>174</v>
      </c>
      <c r="K337" t="s">
        <v>437</v>
      </c>
      <c r="L337"/>
      <c r="M337" t="str">
        <f t="shared" si="340"/>
        <v>Borjesson_2000</v>
      </c>
      <c r="N337" t="s">
        <v>222</v>
      </c>
      <c r="O337" s="145" t="s">
        <v>223</v>
      </c>
      <c r="P337"/>
      <c r="Q337" t="s">
        <v>256</v>
      </c>
      <c r="R337" s="255" t="s">
        <v>225</v>
      </c>
      <c r="S337" s="1" t="s">
        <v>464</v>
      </c>
      <c r="T337" t="s">
        <v>465</v>
      </c>
      <c r="U337" t="s">
        <v>472</v>
      </c>
      <c r="V337">
        <v>0</v>
      </c>
      <c r="W337">
        <v>0</v>
      </c>
      <c r="X337">
        <v>0</v>
      </c>
      <c r="Y337">
        <v>0</v>
      </c>
      <c r="Z337">
        <v>0</v>
      </c>
      <c r="AA337">
        <v>0</v>
      </c>
      <c r="AB337">
        <v>0</v>
      </c>
      <c r="AC337">
        <v>0</v>
      </c>
      <c r="AD337">
        <v>0</v>
      </c>
      <c r="AE337">
        <v>0</v>
      </c>
      <c r="AF337">
        <v>0</v>
      </c>
      <c r="AG337">
        <v>0</v>
      </c>
      <c r="AH337">
        <v>1</v>
      </c>
      <c r="AI337">
        <v>0</v>
      </c>
      <c r="AJ337">
        <v>0</v>
      </c>
      <c r="AK337">
        <v>0</v>
      </c>
      <c r="AL337">
        <v>0</v>
      </c>
      <c r="AM337">
        <v>0</v>
      </c>
      <c r="AN337">
        <v>0</v>
      </c>
      <c r="AO337">
        <v>0</v>
      </c>
      <c r="AP337">
        <v>0</v>
      </c>
      <c r="AQ337">
        <v>0</v>
      </c>
      <c r="AR337">
        <v>0</v>
      </c>
      <c r="AS337">
        <v>0</v>
      </c>
      <c r="AT337">
        <v>0</v>
      </c>
      <c r="AU337">
        <v>0</v>
      </c>
      <c r="AV337">
        <v>0</v>
      </c>
      <c r="AW337">
        <v>0</v>
      </c>
      <c r="AX337" s="141">
        <f t="shared" si="305"/>
        <v>1</v>
      </c>
      <c r="AY337" s="141">
        <f t="shared" si="306"/>
        <v>1</v>
      </c>
      <c r="AZ337">
        <f t="shared" si="307"/>
        <v>0</v>
      </c>
      <c r="BA337">
        <f t="shared" si="308"/>
        <v>1</v>
      </c>
      <c r="BB337">
        <f t="shared" si="309"/>
        <v>0</v>
      </c>
      <c r="BC337">
        <f t="shared" si="310"/>
        <v>0</v>
      </c>
      <c r="BD337">
        <f t="shared" si="311"/>
        <v>0</v>
      </c>
      <c r="BE337" t="str">
        <f t="array" ref="BE337">IF(AY337=1,INDEX($V$7:$AL$7,MATCH(TRUE,INDEX($V337:$AW337&lt;&gt;0,),0)),IF(AY337=0,INDEX($AM$7:$AW$7,MATCH(1,$AM337:$AW337,0)),IF(BF337="Multiple strategies","mixed drivers",IF(BF337="Supply chain","multiple supply","multiple silviculture"))))</f>
        <v xml:space="preserve">end of life disposal </v>
      </c>
      <c r="BF337" s="2" t="str" cm="1">
        <f t="array" ref="BF337">IF(COUNTIF(AZ337:BB337,"&lt;&gt;0")=1,INDEX($V$4:$AW$4,MATCH(TRUE,INDEX($V337:$AW337&lt;&gt;0,),0)),IF(COUNTIF(AZ337:BB337,"&lt;&gt;0")=0,INDEX($AM$4:$AW$4,MATCH(1,$AM337:$AW337,0)),"Multiple strategies"))</f>
        <v>Supply chain</v>
      </c>
      <c r="BG337" s="142" t="s">
        <v>229</v>
      </c>
      <c r="BH337" t="s">
        <v>441</v>
      </c>
      <c r="BI337" s="264" t="s">
        <v>3273</v>
      </c>
      <c r="BJ337" s="143" t="s">
        <v>442</v>
      </c>
      <c r="BK337">
        <f t="shared" si="342"/>
        <v>132</v>
      </c>
      <c r="BL337">
        <f t="shared" si="342"/>
        <v>132</v>
      </c>
      <c r="BM337" s="143">
        <f t="shared" si="341"/>
        <v>1</v>
      </c>
      <c r="BN337">
        <f t="shared" si="312"/>
        <v>0</v>
      </c>
      <c r="BO337">
        <v>0</v>
      </c>
      <c r="BP337" t="s">
        <v>232</v>
      </c>
      <c r="BQ337" s="260" t="s">
        <v>813</v>
      </c>
      <c r="BR337" t="s">
        <v>443</v>
      </c>
      <c r="BS337" s="141">
        <v>47</v>
      </c>
      <c r="BT337" s="141">
        <v>93</v>
      </c>
      <c r="BU337" s="144">
        <f t="shared" si="314"/>
        <v>1.9787234042553192</v>
      </c>
      <c r="BV337">
        <f t="shared" si="315"/>
        <v>46</v>
      </c>
      <c r="BW337"/>
      <c r="BX337">
        <f t="shared" si="316"/>
        <v>168.82</v>
      </c>
      <c r="BY337" t="str">
        <f t="shared" si="338"/>
        <v/>
      </c>
      <c r="BZ337" s="143">
        <v>0</v>
      </c>
      <c r="CA337" s="143">
        <v>0</v>
      </c>
      <c r="CB337" s="143">
        <v>0</v>
      </c>
      <c r="CC337" s="143">
        <v>0</v>
      </c>
      <c r="CD337" s="143">
        <v>0</v>
      </c>
      <c r="CE337" s="143">
        <v>0</v>
      </c>
      <c r="CF337" s="143">
        <v>0</v>
      </c>
      <c r="CG337" s="143">
        <v>0</v>
      </c>
      <c r="CH337" s="143">
        <v>0</v>
      </c>
      <c r="CI337" s="143">
        <v>0</v>
      </c>
      <c r="CJ337" s="143">
        <v>0</v>
      </c>
      <c r="CK337" s="143">
        <v>0</v>
      </c>
      <c r="CL337" s="143">
        <v>0</v>
      </c>
      <c r="CM337">
        <v>0</v>
      </c>
      <c r="CN337" t="str">
        <f>IF($BL337&lt;$BK337,"refNeedCorrection","refOK")</f>
        <v>refOK</v>
      </c>
      <c r="CO337">
        <f t="shared" si="318"/>
        <v>132</v>
      </c>
      <c r="CP337">
        <f t="shared" si="319"/>
        <v>132</v>
      </c>
      <c r="CQ337">
        <f t="shared" si="320"/>
        <v>0</v>
      </c>
      <c r="CR337">
        <f t="shared" si="321"/>
        <v>47</v>
      </c>
      <c r="CS337">
        <f t="shared" si="322"/>
        <v>93</v>
      </c>
      <c r="CT337">
        <f t="shared" si="323"/>
        <v>168.82</v>
      </c>
      <c r="CU337" t="str">
        <f t="shared" si="324"/>
        <v/>
      </c>
      <c r="CV337" s="2">
        <f t="shared" si="325"/>
        <v>0.97872340425531912</v>
      </c>
      <c r="CW337" s="1" t="s">
        <v>263</v>
      </c>
      <c r="CX337" t="str">
        <f t="shared" si="326"/>
        <v>loc</v>
      </c>
      <c r="CY337" t="s">
        <v>444</v>
      </c>
      <c r="CZ337"/>
      <c r="DA337"/>
      <c r="DB337">
        <v>300</v>
      </c>
      <c r="DC337" t="str">
        <f t="shared" si="327"/>
        <v>+100</v>
      </c>
      <c r="DD337">
        <v>0</v>
      </c>
      <c r="DE337">
        <v>1</v>
      </c>
      <c r="DF337">
        <v>0</v>
      </c>
      <c r="DG337">
        <v>0</v>
      </c>
      <c r="DH337"/>
      <c r="DI337">
        <f t="shared" si="328"/>
        <v>1</v>
      </c>
      <c r="DJ337" t="str">
        <f t="shared" si="329"/>
        <v>EnergyInput</v>
      </c>
      <c r="DK337">
        <f t="shared" si="330"/>
        <v>0</v>
      </c>
      <c r="DL337" t="str">
        <f t="shared" si="331"/>
        <v>Energy</v>
      </c>
      <c r="DM337">
        <f t="shared" si="332"/>
        <v>0</v>
      </c>
      <c r="DN337">
        <f t="shared" si="333"/>
        <v>0</v>
      </c>
      <c r="DO337">
        <v>1</v>
      </c>
      <c r="DP337" s="143">
        <v>0</v>
      </c>
      <c r="DQ337" s="143">
        <v>0</v>
      </c>
      <c r="DR337" s="143">
        <v>0</v>
      </c>
      <c r="DS337">
        <v>0</v>
      </c>
      <c r="DT337">
        <f t="shared" si="334"/>
        <v>1</v>
      </c>
      <c r="DU337" s="143" t="str">
        <f t="shared" si="335"/>
        <v>self-calculated DF</v>
      </c>
      <c r="DV337">
        <v>0</v>
      </c>
      <c r="DW337" s="143">
        <v>0</v>
      </c>
      <c r="DX337" s="143">
        <v>1</v>
      </c>
      <c r="DY337" s="143">
        <v>1</v>
      </c>
      <c r="DZ337">
        <v>1</v>
      </c>
      <c r="EA337" s="143">
        <v>1</v>
      </c>
      <c r="EB337">
        <v>0</v>
      </c>
      <c r="EC337" s="143">
        <v>1</v>
      </c>
      <c r="ED337" s="143">
        <v>0</v>
      </c>
      <c r="EE337">
        <v>0</v>
      </c>
      <c r="EF337">
        <v>0</v>
      </c>
      <c r="EG337" s="143">
        <v>0</v>
      </c>
      <c r="EH337" s="143">
        <v>0</v>
      </c>
      <c r="EI337" s="2">
        <v>0</v>
      </c>
      <c r="EJ337" s="1"/>
      <c r="EK337" t="str">
        <f t="shared" si="336"/>
        <v/>
      </c>
      <c r="EL337" t="str">
        <f t="shared" si="337"/>
        <v/>
      </c>
      <c r="EM337" s="2" t="str">
        <f t="shared" si="339"/>
        <v/>
      </c>
      <c r="EN337" t="s">
        <v>445</v>
      </c>
      <c r="EO337"/>
      <c r="EP337" t="b">
        <f>IF(ISNUMBER(BU337),IF(ABS(BU337-[5]QC_indicators!$B$2)&gt;3*[5]QC_indicators!$C$2,"C ratio",IF(ISNUMBER(BY337),IF(ABS(BY337-[5]QC_indicators!$B$1)&gt;3*[5]QC_indicators!$C$1,"DF","no"))),IF(ISNUMBER(BY337),IF(ABS(BY337-[5]QC_indicators!$B$1)&gt;3*[5]QC_indicators!$C$1,"DF","no")))</f>
        <v>0</v>
      </c>
      <c r="EQ337"/>
      <c r="ER337"/>
      <c r="ES337"/>
      <c r="ET337" s="264" t="s">
        <v>3272</v>
      </c>
      <c r="EU337"/>
    </row>
    <row r="338" spans="1:151" s="139" customFormat="1" ht="15" hidden="1" customHeight="1">
      <c r="A338" s="1" t="s">
        <v>430</v>
      </c>
      <c r="B338" t="s">
        <v>431</v>
      </c>
      <c r="C338" t="s">
        <v>432</v>
      </c>
      <c r="D338" t="s">
        <v>433</v>
      </c>
      <c r="E338" t="s">
        <v>434</v>
      </c>
      <c r="F338" t="s">
        <v>435</v>
      </c>
      <c r="G338" t="s">
        <v>436</v>
      </c>
      <c r="H338" t="s">
        <v>254</v>
      </c>
      <c r="I338">
        <v>2000</v>
      </c>
      <c r="J338">
        <v>174</v>
      </c>
      <c r="K338" t="s">
        <v>437</v>
      </c>
      <c r="L338"/>
      <c r="M338" t="str">
        <f t="shared" si="340"/>
        <v>Borjesson_2000</v>
      </c>
      <c r="N338" t="s">
        <v>222</v>
      </c>
      <c r="O338" s="145" t="s">
        <v>223</v>
      </c>
      <c r="P338"/>
      <c r="Q338" t="s">
        <v>256</v>
      </c>
      <c r="R338" s="255" t="s">
        <v>225</v>
      </c>
      <c r="S338" s="1" t="s">
        <v>464</v>
      </c>
      <c r="T338" t="s">
        <v>465</v>
      </c>
      <c r="U338" t="s">
        <v>473</v>
      </c>
      <c r="V338">
        <v>0</v>
      </c>
      <c r="W338">
        <v>0</v>
      </c>
      <c r="X338">
        <v>0</v>
      </c>
      <c r="Y338">
        <v>0</v>
      </c>
      <c r="Z338">
        <v>0</v>
      </c>
      <c r="AA338">
        <v>0</v>
      </c>
      <c r="AB338">
        <v>0</v>
      </c>
      <c r="AC338">
        <v>0</v>
      </c>
      <c r="AD338">
        <v>0</v>
      </c>
      <c r="AE338">
        <v>0</v>
      </c>
      <c r="AF338">
        <v>0</v>
      </c>
      <c r="AG338">
        <v>0</v>
      </c>
      <c r="AH338">
        <v>1</v>
      </c>
      <c r="AI338">
        <v>0</v>
      </c>
      <c r="AJ338">
        <v>0</v>
      </c>
      <c r="AK338">
        <v>0</v>
      </c>
      <c r="AL338">
        <v>0</v>
      </c>
      <c r="AM338">
        <v>0</v>
      </c>
      <c r="AN338">
        <v>0</v>
      </c>
      <c r="AO338">
        <v>0</v>
      </c>
      <c r="AP338">
        <v>0</v>
      </c>
      <c r="AQ338">
        <v>0</v>
      </c>
      <c r="AR338">
        <v>0</v>
      </c>
      <c r="AS338">
        <v>0</v>
      </c>
      <c r="AT338">
        <v>0</v>
      </c>
      <c r="AU338">
        <v>0</v>
      </c>
      <c r="AV338">
        <v>0</v>
      </c>
      <c r="AW338">
        <v>0</v>
      </c>
      <c r="AX338" s="141">
        <f t="shared" si="305"/>
        <v>1</v>
      </c>
      <c r="AY338" s="141">
        <f t="shared" si="306"/>
        <v>1</v>
      </c>
      <c r="AZ338">
        <f t="shared" si="307"/>
        <v>0</v>
      </c>
      <c r="BA338">
        <f t="shared" si="308"/>
        <v>1</v>
      </c>
      <c r="BB338">
        <f t="shared" si="309"/>
        <v>0</v>
      </c>
      <c r="BC338">
        <f t="shared" si="310"/>
        <v>0</v>
      </c>
      <c r="BD338">
        <f t="shared" si="311"/>
        <v>0</v>
      </c>
      <c r="BE338" t="str">
        <f t="array" ref="BE338">IF(AY338=1,INDEX($V$7:$AL$7,MATCH(TRUE,INDEX($V338:$AW338&lt;&gt;0,),0)),IF(AY338=0,INDEX($AM$7:$AW$7,MATCH(1,$AM338:$AW338,0)),IF(BF338="Multiple strategies","mixed drivers",IF(BF338="Supply chain","multiple supply","multiple silviculture"))))</f>
        <v xml:space="preserve">end of life disposal </v>
      </c>
      <c r="BF338" s="2" t="str" cm="1">
        <f t="array" ref="BF338">IF(COUNTIF(AZ338:BB338,"&lt;&gt;0")=1,INDEX($V$4:$AW$4,MATCH(TRUE,INDEX($V338:$AW338&lt;&gt;0,),0)),IF(COUNTIF(AZ338:BB338,"&lt;&gt;0")=0,INDEX($AM$4:$AW$4,MATCH(1,$AM338:$AW338,0)),"Multiple strategies"))</f>
        <v>Supply chain</v>
      </c>
      <c r="BG338" s="142" t="s">
        <v>229</v>
      </c>
      <c r="BH338" t="s">
        <v>441</v>
      </c>
      <c r="BI338" s="264" t="s">
        <v>3273</v>
      </c>
      <c r="BJ338" s="143" t="s">
        <v>442</v>
      </c>
      <c r="BK338">
        <f t="shared" si="342"/>
        <v>132</v>
      </c>
      <c r="BL338">
        <f t="shared" si="342"/>
        <v>132</v>
      </c>
      <c r="BM338" s="143">
        <f t="shared" si="341"/>
        <v>1</v>
      </c>
      <c r="BN338">
        <f t="shared" si="312"/>
        <v>0</v>
      </c>
      <c r="BO338">
        <v>0</v>
      </c>
      <c r="BP338" t="s">
        <v>232</v>
      </c>
      <c r="BQ338" s="260" t="s">
        <v>813</v>
      </c>
      <c r="BR338" t="s">
        <v>443</v>
      </c>
      <c r="BS338" s="141">
        <v>47</v>
      </c>
      <c r="BT338" s="141">
        <v>59</v>
      </c>
      <c r="BU338" s="144">
        <f t="shared" si="314"/>
        <v>1.2553191489361701</v>
      </c>
      <c r="BV338">
        <f t="shared" si="315"/>
        <v>12</v>
      </c>
      <c r="BW338"/>
      <c r="BX338">
        <f t="shared" si="316"/>
        <v>44.04</v>
      </c>
      <c r="BY338" t="str">
        <f t="shared" si="338"/>
        <v/>
      </c>
      <c r="BZ338" s="143">
        <v>0</v>
      </c>
      <c r="CA338" s="143">
        <v>0</v>
      </c>
      <c r="CB338" s="143">
        <v>0</v>
      </c>
      <c r="CC338" s="143">
        <v>0</v>
      </c>
      <c r="CD338" s="143">
        <v>0</v>
      </c>
      <c r="CE338" s="143">
        <v>0</v>
      </c>
      <c r="CF338" s="143">
        <v>0</v>
      </c>
      <c r="CG338" s="143">
        <v>0</v>
      </c>
      <c r="CH338" s="143">
        <v>0</v>
      </c>
      <c r="CI338" s="143">
        <v>0</v>
      </c>
      <c r="CJ338" s="143">
        <v>0</v>
      </c>
      <c r="CK338" s="143">
        <v>0</v>
      </c>
      <c r="CL338" s="143">
        <v>0</v>
      </c>
      <c r="CM338">
        <v>0</v>
      </c>
      <c r="CN338" t="str">
        <f>IF($BL338&lt;$BK338,"refNeedCorrection","refOK")</f>
        <v>refOK</v>
      </c>
      <c r="CO338">
        <f t="shared" si="318"/>
        <v>132</v>
      </c>
      <c r="CP338">
        <f t="shared" si="319"/>
        <v>132</v>
      </c>
      <c r="CQ338">
        <f t="shared" si="320"/>
        <v>0</v>
      </c>
      <c r="CR338">
        <f t="shared" si="321"/>
        <v>47</v>
      </c>
      <c r="CS338">
        <f t="shared" si="322"/>
        <v>59</v>
      </c>
      <c r="CT338">
        <f t="shared" si="323"/>
        <v>44.04</v>
      </c>
      <c r="CU338" t="str">
        <f t="shared" si="324"/>
        <v/>
      </c>
      <c r="CV338" s="2">
        <f t="shared" si="325"/>
        <v>0.25531914893617019</v>
      </c>
      <c r="CW338" s="1" t="s">
        <v>263</v>
      </c>
      <c r="CX338" t="str">
        <f t="shared" si="326"/>
        <v>loc</v>
      </c>
      <c r="CY338" t="s">
        <v>444</v>
      </c>
      <c r="CZ338"/>
      <c r="DA338"/>
      <c r="DB338">
        <v>300</v>
      </c>
      <c r="DC338" t="str">
        <f t="shared" si="327"/>
        <v>+100</v>
      </c>
      <c r="DD338">
        <v>0</v>
      </c>
      <c r="DE338">
        <v>1</v>
      </c>
      <c r="DF338">
        <v>0</v>
      </c>
      <c r="DG338">
        <v>0</v>
      </c>
      <c r="DH338"/>
      <c r="DI338">
        <f t="shared" si="328"/>
        <v>1</v>
      </c>
      <c r="DJ338" t="str">
        <f t="shared" si="329"/>
        <v>EnergyInput</v>
      </c>
      <c r="DK338">
        <f t="shared" si="330"/>
        <v>0</v>
      </c>
      <c r="DL338" t="str">
        <f t="shared" si="331"/>
        <v>Energy</v>
      </c>
      <c r="DM338">
        <f t="shared" si="332"/>
        <v>0</v>
      </c>
      <c r="DN338">
        <f t="shared" si="333"/>
        <v>0</v>
      </c>
      <c r="DO338">
        <v>1</v>
      </c>
      <c r="DP338" s="143">
        <v>0</v>
      </c>
      <c r="DQ338" s="143">
        <v>0</v>
      </c>
      <c r="DR338" s="143">
        <v>0</v>
      </c>
      <c r="DS338">
        <v>0</v>
      </c>
      <c r="DT338">
        <f t="shared" si="334"/>
        <v>1</v>
      </c>
      <c r="DU338" s="143" t="str">
        <f t="shared" si="335"/>
        <v>self-calculated DF</v>
      </c>
      <c r="DV338">
        <v>0</v>
      </c>
      <c r="DW338" s="143">
        <v>0</v>
      </c>
      <c r="DX338" s="143">
        <v>1</v>
      </c>
      <c r="DY338" s="143">
        <v>1</v>
      </c>
      <c r="DZ338">
        <v>1</v>
      </c>
      <c r="EA338" s="143">
        <v>1</v>
      </c>
      <c r="EB338">
        <v>0</v>
      </c>
      <c r="EC338" s="143">
        <v>1</v>
      </c>
      <c r="ED338" s="143">
        <v>0</v>
      </c>
      <c r="EE338">
        <v>0</v>
      </c>
      <c r="EF338">
        <v>0</v>
      </c>
      <c r="EG338" s="143">
        <v>0</v>
      </c>
      <c r="EH338" s="143">
        <v>0</v>
      </c>
      <c r="EI338" s="2">
        <v>0</v>
      </c>
      <c r="EJ338" s="1"/>
      <c r="EK338" t="str">
        <f t="shared" si="336"/>
        <v/>
      </c>
      <c r="EL338" t="str">
        <f t="shared" si="337"/>
        <v/>
      </c>
      <c r="EM338" s="2" t="str">
        <f t="shared" si="339"/>
        <v/>
      </c>
      <c r="EN338" t="s">
        <v>445</v>
      </c>
      <c r="EO338"/>
      <c r="EP338" t="b">
        <f>IF(ISNUMBER(BU338),IF(ABS(BU338-[5]QC_indicators!$B$2)&gt;3*[5]QC_indicators!$C$2,"C ratio",IF(ISNUMBER(BY338),IF(ABS(BY338-[5]QC_indicators!$B$1)&gt;3*[5]QC_indicators!$C$1,"DF","no"))),IF(ISNUMBER(BY338),IF(ABS(BY338-[5]QC_indicators!$B$1)&gt;3*[5]QC_indicators!$C$1,"DF","no")))</f>
        <v>0</v>
      </c>
      <c r="EQ338"/>
      <c r="ER338"/>
      <c r="ES338"/>
      <c r="ET338" s="264" t="s">
        <v>3272</v>
      </c>
      <c r="EU338"/>
    </row>
    <row r="339" spans="1:151" s="139" customFormat="1" ht="15" hidden="1" customHeight="1">
      <c r="A339" s="1" t="s">
        <v>430</v>
      </c>
      <c r="B339" t="s">
        <v>431</v>
      </c>
      <c r="C339" t="s">
        <v>432</v>
      </c>
      <c r="D339" t="s">
        <v>433</v>
      </c>
      <c r="E339" t="s">
        <v>434</v>
      </c>
      <c r="F339" t="s">
        <v>435</v>
      </c>
      <c r="G339" t="s">
        <v>436</v>
      </c>
      <c r="H339" t="s">
        <v>254</v>
      </c>
      <c r="I339">
        <v>2000</v>
      </c>
      <c r="J339">
        <v>174</v>
      </c>
      <c r="K339" t="s">
        <v>437</v>
      </c>
      <c r="L339"/>
      <c r="M339" t="str">
        <f t="shared" si="340"/>
        <v>Borjesson_2000</v>
      </c>
      <c r="N339" t="s">
        <v>222</v>
      </c>
      <c r="O339" s="145" t="s">
        <v>223</v>
      </c>
      <c r="P339"/>
      <c r="Q339" t="s">
        <v>256</v>
      </c>
      <c r="R339" s="255" t="s">
        <v>225</v>
      </c>
      <c r="S339" s="1" t="s">
        <v>464</v>
      </c>
      <c r="T339" t="s">
        <v>467</v>
      </c>
      <c r="U339" t="s">
        <v>474</v>
      </c>
      <c r="V339">
        <v>0</v>
      </c>
      <c r="W339">
        <v>0</v>
      </c>
      <c r="X339">
        <v>0</v>
      </c>
      <c r="Y339">
        <v>0</v>
      </c>
      <c r="Z339">
        <v>0</v>
      </c>
      <c r="AA339">
        <v>0</v>
      </c>
      <c r="AB339">
        <v>0</v>
      </c>
      <c r="AC339">
        <v>0</v>
      </c>
      <c r="AD339">
        <v>0</v>
      </c>
      <c r="AE339">
        <v>0</v>
      </c>
      <c r="AF339">
        <v>0</v>
      </c>
      <c r="AG339">
        <v>0</v>
      </c>
      <c r="AH339">
        <v>1</v>
      </c>
      <c r="AI339">
        <v>0</v>
      </c>
      <c r="AJ339">
        <v>0</v>
      </c>
      <c r="AK339">
        <v>0</v>
      </c>
      <c r="AL339">
        <v>0</v>
      </c>
      <c r="AM339">
        <v>0</v>
      </c>
      <c r="AN339">
        <v>0</v>
      </c>
      <c r="AO339">
        <v>0</v>
      </c>
      <c r="AP339">
        <v>0</v>
      </c>
      <c r="AQ339">
        <v>0</v>
      </c>
      <c r="AR339">
        <v>0</v>
      </c>
      <c r="AS339">
        <v>0</v>
      </c>
      <c r="AT339">
        <v>0</v>
      </c>
      <c r="AU339">
        <v>0</v>
      </c>
      <c r="AV339">
        <v>0</v>
      </c>
      <c r="AW339">
        <v>0</v>
      </c>
      <c r="AX339" s="141">
        <f t="shared" si="305"/>
        <v>1</v>
      </c>
      <c r="AY339" s="141">
        <f t="shared" si="306"/>
        <v>1</v>
      </c>
      <c r="AZ339">
        <f t="shared" si="307"/>
        <v>0</v>
      </c>
      <c r="BA339">
        <f t="shared" si="308"/>
        <v>1</v>
      </c>
      <c r="BB339">
        <f t="shared" si="309"/>
        <v>0</v>
      </c>
      <c r="BC339">
        <f t="shared" si="310"/>
        <v>0</v>
      </c>
      <c r="BD339">
        <f t="shared" si="311"/>
        <v>0</v>
      </c>
      <c r="BE339" t="str">
        <f t="array" ref="BE339">IF(AY339=1,INDEX($V$7:$AL$7,MATCH(TRUE,INDEX($V339:$AW339&lt;&gt;0,),0)),IF(AY339=0,INDEX($AM$7:$AW$7,MATCH(1,$AM339:$AW339,0)),IF(BF339="Multiple strategies","mixed drivers",IF(BF339="Supply chain","multiple supply","multiple silviculture"))))</f>
        <v xml:space="preserve">end of life disposal </v>
      </c>
      <c r="BF339" s="2" t="str" cm="1">
        <f t="array" ref="BF339">IF(COUNTIF(AZ339:BB339,"&lt;&gt;0")=1,INDEX($V$4:$AW$4,MATCH(TRUE,INDEX($V339:$AW339&lt;&gt;0,),0)),IF(COUNTIF(AZ339:BB339,"&lt;&gt;0")=0,INDEX($AM$4:$AW$4,MATCH(1,$AM339:$AW339,0)),"Multiple strategies"))</f>
        <v>Supply chain</v>
      </c>
      <c r="BG339" s="142" t="s">
        <v>229</v>
      </c>
      <c r="BH339" t="s">
        <v>441</v>
      </c>
      <c r="BI339" s="264" t="s">
        <v>3273</v>
      </c>
      <c r="BJ339" s="143" t="s">
        <v>442</v>
      </c>
      <c r="BK339">
        <f t="shared" si="342"/>
        <v>132</v>
      </c>
      <c r="BL339">
        <f t="shared" si="342"/>
        <v>132</v>
      </c>
      <c r="BM339" s="143">
        <f t="shared" si="341"/>
        <v>1</v>
      </c>
      <c r="BN339">
        <f t="shared" si="312"/>
        <v>0</v>
      </c>
      <c r="BO339">
        <v>0</v>
      </c>
      <c r="BP339" t="s">
        <v>232</v>
      </c>
      <c r="BQ339" s="260" t="s">
        <v>813</v>
      </c>
      <c r="BR339" t="s">
        <v>443</v>
      </c>
      <c r="BS339" s="141">
        <v>-3</v>
      </c>
      <c r="BT339" s="141">
        <v>43</v>
      </c>
      <c r="BU339" s="144">
        <f t="shared" si="314"/>
        <v>-14.333333333333334</v>
      </c>
      <c r="BV339">
        <f t="shared" si="315"/>
        <v>46</v>
      </c>
      <c r="BW339"/>
      <c r="BX339">
        <f t="shared" si="316"/>
        <v>168.82</v>
      </c>
      <c r="BY339" t="str">
        <f t="shared" si="338"/>
        <v/>
      </c>
      <c r="BZ339" s="143">
        <v>0</v>
      </c>
      <c r="CA339" s="143">
        <v>0</v>
      </c>
      <c r="CB339" s="143">
        <v>0</v>
      </c>
      <c r="CC339" s="143">
        <v>0</v>
      </c>
      <c r="CD339" s="143">
        <v>0</v>
      </c>
      <c r="CE339" s="143">
        <v>0</v>
      </c>
      <c r="CF339" s="143">
        <v>0</v>
      </c>
      <c r="CG339" s="143">
        <v>0</v>
      </c>
      <c r="CH339" s="143">
        <v>0</v>
      </c>
      <c r="CI339" s="143">
        <v>0</v>
      </c>
      <c r="CJ339" s="143">
        <v>0</v>
      </c>
      <c r="CK339" s="143">
        <v>0</v>
      </c>
      <c r="CL339" s="143">
        <v>0</v>
      </c>
      <c r="CM339">
        <v>0</v>
      </c>
      <c r="CN339" t="str">
        <f>IF($BL339&lt;$BK339,"refNeedCorrection","refOK")</f>
        <v>refOK</v>
      </c>
      <c r="CO339">
        <f t="shared" si="318"/>
        <v>132</v>
      </c>
      <c r="CP339">
        <f t="shared" si="319"/>
        <v>132</v>
      </c>
      <c r="CQ339">
        <f t="shared" si="320"/>
        <v>0</v>
      </c>
      <c r="CR339">
        <f t="shared" si="321"/>
        <v>-3</v>
      </c>
      <c r="CS339">
        <f t="shared" si="322"/>
        <v>43</v>
      </c>
      <c r="CT339">
        <f t="shared" si="323"/>
        <v>168.82</v>
      </c>
      <c r="CU339" t="str">
        <f t="shared" si="324"/>
        <v/>
      </c>
      <c r="CV339" s="2">
        <f t="shared" si="325"/>
        <v>15.333333333333334</v>
      </c>
      <c r="CW339" s="1" t="s">
        <v>263</v>
      </c>
      <c r="CX339" t="str">
        <f t="shared" si="326"/>
        <v>loc</v>
      </c>
      <c r="CY339" t="s">
        <v>444</v>
      </c>
      <c r="CZ339"/>
      <c r="DA339"/>
      <c r="DB339">
        <v>300</v>
      </c>
      <c r="DC339" t="str">
        <f t="shared" si="327"/>
        <v>+100</v>
      </c>
      <c r="DD339">
        <v>0</v>
      </c>
      <c r="DE339">
        <v>1</v>
      </c>
      <c r="DF339">
        <v>0</v>
      </c>
      <c r="DG339">
        <v>0</v>
      </c>
      <c r="DH339"/>
      <c r="DI339">
        <f t="shared" si="328"/>
        <v>1</v>
      </c>
      <c r="DJ339" t="str">
        <f t="shared" si="329"/>
        <v>EnergyInput</v>
      </c>
      <c r="DK339">
        <f t="shared" si="330"/>
        <v>0</v>
      </c>
      <c r="DL339" t="str">
        <f t="shared" si="331"/>
        <v>Energy</v>
      </c>
      <c r="DM339">
        <f t="shared" si="332"/>
        <v>0</v>
      </c>
      <c r="DN339">
        <f t="shared" si="333"/>
        <v>0</v>
      </c>
      <c r="DO339">
        <v>1</v>
      </c>
      <c r="DP339" s="143">
        <v>0</v>
      </c>
      <c r="DQ339" s="143">
        <v>0</v>
      </c>
      <c r="DR339" s="143">
        <v>0</v>
      </c>
      <c r="DS339">
        <v>0</v>
      </c>
      <c r="DT339">
        <f t="shared" si="334"/>
        <v>1</v>
      </c>
      <c r="DU339" s="143" t="str">
        <f t="shared" si="335"/>
        <v>self-calculated DF</v>
      </c>
      <c r="DV339">
        <v>0</v>
      </c>
      <c r="DW339" s="143">
        <v>0</v>
      </c>
      <c r="DX339" s="143">
        <v>1</v>
      </c>
      <c r="DY339" s="143">
        <v>1</v>
      </c>
      <c r="DZ339">
        <v>1</v>
      </c>
      <c r="EA339" s="143">
        <v>1</v>
      </c>
      <c r="EB339">
        <v>0</v>
      </c>
      <c r="EC339" s="143">
        <v>1</v>
      </c>
      <c r="ED339" s="143">
        <v>0</v>
      </c>
      <c r="EE339">
        <v>0</v>
      </c>
      <c r="EF339">
        <v>0</v>
      </c>
      <c r="EG339" s="143">
        <v>0</v>
      </c>
      <c r="EH339" s="143">
        <v>0</v>
      </c>
      <c r="EI339" s="2">
        <v>0</v>
      </c>
      <c r="EJ339" s="1"/>
      <c r="EK339" t="str">
        <f t="shared" si="336"/>
        <v/>
      </c>
      <c r="EL339" t="str">
        <f t="shared" si="337"/>
        <v/>
      </c>
      <c r="EM339" s="2" t="str">
        <f t="shared" si="339"/>
        <v/>
      </c>
      <c r="EN339" t="s">
        <v>445</v>
      </c>
      <c r="EO339"/>
      <c r="EP339" t="b">
        <f>IF(ISNUMBER(BU339),IF(ABS(BU339-[5]QC_indicators!$B$2)&gt;3*[5]QC_indicators!$C$2,"C ratio",IF(ISNUMBER(BY339),IF(ABS(BY339-[5]QC_indicators!$B$1)&gt;3*[5]QC_indicators!$C$1,"DF","no"))),IF(ISNUMBER(BY339),IF(ABS(BY339-[5]QC_indicators!$B$1)&gt;3*[5]QC_indicators!$C$1,"DF","no")))</f>
        <v>0</v>
      </c>
      <c r="EQ339" t="s">
        <v>450</v>
      </c>
      <c r="ER339"/>
      <c r="ES339"/>
      <c r="ET339" s="264" t="s">
        <v>3272</v>
      </c>
      <c r="EU339"/>
    </row>
    <row r="340" spans="1:151" s="139" customFormat="1" ht="15" hidden="1" customHeight="1">
      <c r="A340" s="1"/>
      <c r="B340"/>
      <c r="C340"/>
      <c r="D340" s="311" t="s">
        <v>4470</v>
      </c>
      <c r="E340" t="s">
        <v>4471</v>
      </c>
      <c r="F340"/>
      <c r="G340" t="s">
        <v>4472</v>
      </c>
      <c r="H340"/>
      <c r="I340">
        <v>2015</v>
      </c>
      <c r="J340"/>
      <c r="K340" s="295" t="s">
        <v>4473</v>
      </c>
      <c r="L340"/>
      <c r="M340" t="str">
        <f t="shared" si="340"/>
        <v>Borjesson_2015</v>
      </c>
      <c r="N340" t="s">
        <v>2582</v>
      </c>
      <c r="O340" t="s">
        <v>223</v>
      </c>
      <c r="P340"/>
      <c r="Q340" s="311" t="s">
        <v>256</v>
      </c>
      <c r="R340" s="312"/>
      <c r="S340" s="1"/>
      <c r="T340"/>
      <c r="U340" s="143"/>
      <c r="V340"/>
      <c r="W340"/>
      <c r="X340"/>
      <c r="Y340"/>
      <c r="Z340"/>
      <c r="AA340"/>
      <c r="AB340"/>
      <c r="AC340"/>
      <c r="AD340"/>
      <c r="AE340"/>
      <c r="AF340"/>
      <c r="AG340"/>
      <c r="AH340"/>
      <c r="AI340"/>
      <c r="AJ340"/>
      <c r="AK340"/>
      <c r="AL340"/>
      <c r="AM340"/>
      <c r="AN340"/>
      <c r="AO340"/>
      <c r="AP340"/>
      <c r="AQ340"/>
      <c r="AR340"/>
      <c r="AS340"/>
      <c r="AT340"/>
      <c r="AU340"/>
      <c r="AV340"/>
      <c r="AW340"/>
      <c r="AX340" s="141"/>
      <c r="AY340" s="141"/>
      <c r="AZ340"/>
      <c r="BA340"/>
      <c r="BB340"/>
      <c r="BC340"/>
      <c r="BD340"/>
      <c r="BE340"/>
      <c r="BF340" s="2"/>
      <c r="BG340" s="142"/>
      <c r="BH340"/>
      <c r="BI340"/>
      <c r="BJ340" s="143"/>
      <c r="BK340"/>
      <c r="BL340" s="143"/>
      <c r="BM340" s="143"/>
      <c r="BN340" s="143"/>
      <c r="BO340" s="143"/>
      <c r="BP340" s="143"/>
      <c r="BQ340" s="143"/>
      <c r="BR340"/>
      <c r="BS340" s="143"/>
      <c r="BT340"/>
      <c r="BU340"/>
      <c r="BV340"/>
      <c r="BW340"/>
      <c r="BX340"/>
      <c r="BY340" t="str">
        <f t="shared" si="338"/>
        <v/>
      </c>
      <c r="BZ340"/>
      <c r="CA340"/>
      <c r="CB340"/>
      <c r="CC340"/>
      <c r="CD340"/>
      <c r="CE340"/>
      <c r="CF340"/>
      <c r="CG340"/>
      <c r="CH340"/>
      <c r="CI340"/>
      <c r="CJ340"/>
      <c r="CK340"/>
      <c r="CL340"/>
      <c r="CM340"/>
      <c r="CN340"/>
      <c r="CO340"/>
      <c r="CP340"/>
      <c r="CQ340"/>
      <c r="CR340"/>
      <c r="CS340"/>
      <c r="CT340"/>
      <c r="CU340"/>
      <c r="CV340" s="2"/>
      <c r="CW340" s="1"/>
      <c r="CX340"/>
      <c r="CY340"/>
      <c r="CZ340"/>
      <c r="DA340" s="143"/>
      <c r="DB340" s="143"/>
      <c r="DC340"/>
      <c r="DD340"/>
      <c r="DE340"/>
      <c r="DF340"/>
      <c r="DG340"/>
      <c r="DH340"/>
      <c r="DI340"/>
      <c r="DJ340"/>
      <c r="DK340"/>
      <c r="DL340"/>
      <c r="DM340"/>
      <c r="DN340"/>
      <c r="DO340"/>
      <c r="DP340" s="143"/>
      <c r="DQ340" s="143"/>
      <c r="DR340"/>
      <c r="DS340" s="143"/>
      <c r="DT340"/>
      <c r="DU340" s="143"/>
      <c r="DV340" s="143"/>
      <c r="DW340" s="143"/>
      <c r="DX340" s="143"/>
      <c r="DY340"/>
      <c r="DZ340"/>
      <c r="EA340"/>
      <c r="EB340" s="143"/>
      <c r="EC340"/>
      <c r="ED340" s="143"/>
      <c r="EE340"/>
      <c r="EF340"/>
      <c r="EG340" s="143"/>
      <c r="EH340"/>
      <c r="EI340" s="2"/>
      <c r="EJ340" s="1"/>
      <c r="EK340" t="str">
        <f>IF(AND(AND(AND(OR($DX340=1,$DW340=1),OR($EC340=1,$EA340=1)),SUM($DV340:$DZ340,$EF340)&gt;=3),SUM($EA340:$EE340)&gt;=2),"Whole sector","")</f>
        <v/>
      </c>
      <c r="EL340" t="str">
        <f>IF(AND(AND(OR($DX340=1,$DW340=1),AND($EC340=0,$EA340=0)),SUM($DV340:$DZ340,$EF340)&gt;=3),"Ecosystem approach","")</f>
        <v/>
      </c>
      <c r="EM340" s="2" t="str">
        <f t="shared" si="339"/>
        <v/>
      </c>
      <c r="EN340"/>
      <c r="EO340"/>
      <c r="EP340" t="b">
        <f>IF(ISNUMBER(BU340),IF(ABS(BU340-[1]QC_indicators!$B$2)&gt;3*[1]QC_indicators!$C$2,"C ratio",IF(ISNUMBER(BY340),IF(ABS(BY340-[1]QC_indicators!$B$1)&gt;3*[1]QC_indicators!$C$1,"DF","no"))),IF(ISNUMBER(BY340),IF(ABS(BY340-[1]QC_indicators!$B$1)&gt;3*[1]QC_indicators!$C$1,"DF","no")))</f>
        <v>0</v>
      </c>
      <c r="EQ340"/>
      <c r="ER340"/>
      <c r="ES340"/>
      <c r="ET340"/>
      <c r="EU340"/>
    </row>
    <row r="341" spans="1:151" s="139" customFormat="1" ht="15" hidden="1" customHeight="1">
      <c r="A341" s="174" t="s">
        <v>1285</v>
      </c>
      <c r="B341" s="141" t="s">
        <v>1286</v>
      </c>
      <c r="C341" s="141" t="s">
        <v>1287</v>
      </c>
      <c r="D341" s="141" t="s">
        <v>1288</v>
      </c>
      <c r="E341" s="141" t="s">
        <v>1289</v>
      </c>
      <c r="F341" s="141" t="s">
        <v>1290</v>
      </c>
      <c r="G341" s="141" t="s">
        <v>1291</v>
      </c>
      <c r="H341" s="141"/>
      <c r="I341" s="141">
        <v>2019</v>
      </c>
      <c r="J341" s="141"/>
      <c r="K341" s="141" t="s">
        <v>1292</v>
      </c>
      <c r="L341" s="141"/>
      <c r="M341" t="str">
        <f t="shared" si="340"/>
        <v>Bosch_2019</v>
      </c>
      <c r="N341" t="s">
        <v>222</v>
      </c>
      <c r="O341" s="175" t="s">
        <v>225</v>
      </c>
      <c r="P341" s="141" t="s">
        <v>223</v>
      </c>
      <c r="Q341" s="264" t="s">
        <v>224</v>
      </c>
      <c r="R341" s="269" t="s">
        <v>1153</v>
      </c>
      <c r="S341" s="174" t="s">
        <v>1293</v>
      </c>
      <c r="T341" s="141" t="s">
        <v>1294</v>
      </c>
      <c r="U341" s="141" t="s">
        <v>1295</v>
      </c>
      <c r="V341" s="141">
        <v>1</v>
      </c>
      <c r="W341" s="141">
        <v>0</v>
      </c>
      <c r="X341" s="141">
        <v>0</v>
      </c>
      <c r="Y341" s="141">
        <v>0</v>
      </c>
      <c r="Z341" s="141">
        <v>0</v>
      </c>
      <c r="AA341" s="141">
        <v>0</v>
      </c>
      <c r="AB341" s="141">
        <v>0</v>
      </c>
      <c r="AC341" s="141">
        <v>0</v>
      </c>
      <c r="AD341" s="141">
        <v>0</v>
      </c>
      <c r="AE341" s="141">
        <v>0</v>
      </c>
      <c r="AF341" s="141">
        <v>0</v>
      </c>
      <c r="AG341" s="141">
        <v>0</v>
      </c>
      <c r="AH341" s="141">
        <v>0</v>
      </c>
      <c r="AI341" s="141">
        <v>0</v>
      </c>
      <c r="AJ341" s="141">
        <v>0</v>
      </c>
      <c r="AK341" s="141">
        <v>0</v>
      </c>
      <c r="AL341" s="141">
        <v>0</v>
      </c>
      <c r="AM341" s="141">
        <v>0</v>
      </c>
      <c r="AN341" s="141">
        <v>0</v>
      </c>
      <c r="AO341" s="141">
        <v>0</v>
      </c>
      <c r="AP341" s="141">
        <v>0</v>
      </c>
      <c r="AQ341" s="141">
        <v>0</v>
      </c>
      <c r="AR341" s="141">
        <v>0</v>
      </c>
      <c r="AS341" s="141">
        <v>0</v>
      </c>
      <c r="AT341" s="141">
        <v>0</v>
      </c>
      <c r="AU341" s="141">
        <v>0</v>
      </c>
      <c r="AV341" s="141">
        <v>0</v>
      </c>
      <c r="AW341" s="141">
        <v>0</v>
      </c>
      <c r="AX341" s="141">
        <f t="shared" ref="AX341:AX380" si="343">COUNTIF(V341:AW341,"&lt;&gt;0")</f>
        <v>1</v>
      </c>
      <c r="AY341" s="141">
        <f t="shared" ref="AY341:AY380" si="344">COUNTIF(V341:AL341,"&lt;&gt;0")</f>
        <v>1</v>
      </c>
      <c r="AZ341">
        <f t="shared" ref="AZ341:AZ380" si="345">COUNTIF(V341:AC341,"&lt;&gt;0")</f>
        <v>1</v>
      </c>
      <c r="BA341">
        <f t="shared" ref="BA341:BA380" si="346">COUNTIF(AD341:AI341,"&lt;&gt;0")</f>
        <v>0</v>
      </c>
      <c r="BB341">
        <f t="shared" ref="BB341:BB380" si="347">COUNTIF(AJ341:AL341,"&lt;&gt;0")</f>
        <v>0</v>
      </c>
      <c r="BC341">
        <f t="shared" ref="BC341:BC380" si="348">COUNTIF(AS341:AW341,"&lt;&gt;0")</f>
        <v>0</v>
      </c>
      <c r="BD341">
        <f t="shared" ref="BD341:BD380" si="349">COUNTIF(AM341:AR341,"&lt;&gt;0")</f>
        <v>0</v>
      </c>
      <c r="BE341" t="str" cm="1">
        <f t="array" ref="BE341">IF(AY341=1,INDEX($V$7:$AL$7,MATCH(TRUE,INDEX($V341:$AW341&lt;&gt;0,),0)),IF(AY341=0,INDEX($AM$7:$AW$7,MATCH(1,$AM341:$AW341,0)),IF(BF341="Multiple strategies","mixed drivers",IF(BF341="Supply chain","multiple supply","multiple silviculture"))))</f>
        <v>area subject to harvest</v>
      </c>
      <c r="BF341" s="2" t="str" cm="1">
        <f t="array" ref="BF341">IF(COUNTIF(AZ341:BB341,"&lt;&gt;0")=1,INDEX($V$4:$AW$4,MATCH(TRUE,INDEX($V341:$AW341&lt;&gt;0,),0)),IF(COUNTIF(AZ341:BB341,"&lt;&gt;0")=0,INDEX($AM$4:$AW$4,MATCH(1,$AM341:$AW341,0)),"Multiple strategies"))</f>
        <v>Silviculture for removals</v>
      </c>
      <c r="BG341" s="173" t="s">
        <v>321</v>
      </c>
      <c r="BH341" s="141" t="s">
        <v>1296</v>
      </c>
      <c r="BI341" s="141" t="s">
        <v>1297</v>
      </c>
      <c r="BJ341" s="163" t="s">
        <v>1298</v>
      </c>
      <c r="BK341" s="158">
        <v>2159</v>
      </c>
      <c r="BL341" s="163">
        <v>2405</v>
      </c>
      <c r="BM341" s="264">
        <f t="shared" ref="BM341:BM356" si="350">BL341/BK341</f>
        <v>1.1139416396479851</v>
      </c>
      <c r="BN341">
        <f t="shared" ref="BN341:BN358" si="351">BL341-BK341</f>
        <v>246</v>
      </c>
      <c r="BO341" s="158">
        <f t="shared" ref="BO341:BO357" si="352">BN341*10^6</f>
        <v>246000000</v>
      </c>
      <c r="BP341" s="264" t="s">
        <v>395</v>
      </c>
      <c r="BQ341" s="153" t="s">
        <v>786</v>
      </c>
      <c r="BR341" s="151" t="s">
        <v>1299</v>
      </c>
      <c r="BS341" s="141"/>
      <c r="BT341" s="163"/>
      <c r="BU341" s="144" t="str">
        <f>IFERROR(BT341/BS341,"")</f>
        <v/>
      </c>
      <c r="BV341" s="176">
        <v>-71</v>
      </c>
      <c r="BW341"/>
      <c r="BX341">
        <f t="shared" ref="BX341:BX356" si="353">BV341*10^6</f>
        <v>-71000000</v>
      </c>
      <c r="BY341">
        <f t="shared" si="338"/>
        <v>-0.2886178861788618</v>
      </c>
      <c r="BZ341" s="141">
        <v>0</v>
      </c>
      <c r="CA341" s="141">
        <v>0</v>
      </c>
      <c r="CB341" s="141">
        <v>0</v>
      </c>
      <c r="CC341" s="141">
        <v>0</v>
      </c>
      <c r="CD341" s="141">
        <v>0</v>
      </c>
      <c r="CE341" s="141">
        <v>0</v>
      </c>
      <c r="CF341" s="141">
        <v>0</v>
      </c>
      <c r="CG341" s="141">
        <v>0</v>
      </c>
      <c r="CH341" s="141">
        <v>0</v>
      </c>
      <c r="CI341" s="141">
        <v>0</v>
      </c>
      <c r="CJ341" s="141">
        <v>0</v>
      </c>
      <c r="CK341" s="141">
        <v>0</v>
      </c>
      <c r="CL341" s="141">
        <v>0</v>
      </c>
      <c r="CM341" s="141">
        <v>1</v>
      </c>
      <c r="CN341" t="str">
        <f t="shared" ref="CN341:CN356" si="354">IF(BL341&lt;BK341,"refNeedCorrection","refOK")</f>
        <v>refOK</v>
      </c>
      <c r="CO341">
        <f t="shared" ref="CO341:CO358" si="355">IF($CN341="refOK",$BK341,$BL341)</f>
        <v>2159</v>
      </c>
      <c r="CP341">
        <f t="shared" ref="CP341:CP358" si="356">IF($CN341="refOK",$BL341,$BK341)</f>
        <v>2405</v>
      </c>
      <c r="CQ341">
        <f t="shared" ref="CQ341:CQ358" si="357">IF($CN341="refOK",$BO341,-$BO341)</f>
        <v>246000000</v>
      </c>
      <c r="CR341">
        <f t="shared" ref="CR341:CR356" si="358">IF($CN341="refOK",$BS341,$BT341)*IF($BP341="Emissions positive",-1,1)</f>
        <v>0</v>
      </c>
      <c r="CS341">
        <f t="shared" ref="CS341:CS356" si="359">IF($CN341="refOK",$BT341,$BS341)*IF($BP341="Emissions positive",-1,1)</f>
        <v>0</v>
      </c>
      <c r="CT341">
        <f t="shared" ref="CT341:CT380" si="360">IF($CN341="refNeedCorrection",-BX341,BX341)*IF($BP341="Emissions positive",-1,1)</f>
        <v>71000000</v>
      </c>
      <c r="CU341">
        <f t="shared" ref="CU341:CU380" si="361">IFERROR(CT341/CQ341,"")</f>
        <v>0.2886178861788618</v>
      </c>
      <c r="CV341" s="2" t="str">
        <f t="shared" ref="CV341:CV380" si="362">IFERROR((CS341-CR341)/ABS(CR341),"")</f>
        <v/>
      </c>
      <c r="CW341" s="174" t="s">
        <v>1202</v>
      </c>
      <c r="CX341" s="264" t="str">
        <f t="shared" ref="CX341:CX380" si="363">IF(OR($CW341="prd",$CW341="std",$CW341="cit"),"loc",IF(OR($CW341="eur",$CW341="reg",$CW341="coy"),"reg",$CW341))</f>
        <v>reg</v>
      </c>
      <c r="CY341" s="141" t="s">
        <v>1300</v>
      </c>
      <c r="CZ341" s="141">
        <v>2016</v>
      </c>
      <c r="DA341" s="163">
        <v>2046</v>
      </c>
      <c r="DB341" s="163">
        <v>30</v>
      </c>
      <c r="DC341" t="str">
        <f t="shared" ref="DC341:DC380" si="364">IF(DB341=0,"0",IF(AND(DB341&gt;=1,DB341&lt;=30),"1-30",IF(AND(DB341&gt;30,DB341&lt;=70),"31-70",IF(AND(DB341&gt;70,DB341&lt;=100),"71-100",IF(DB341&gt;100,"+100")))))</f>
        <v>1-30</v>
      </c>
      <c r="DD341" s="141">
        <v>1</v>
      </c>
      <c r="DE341" s="141">
        <v>1</v>
      </c>
      <c r="DF341" s="141">
        <v>0</v>
      </c>
      <c r="DG341" s="141">
        <v>1</v>
      </c>
      <c r="DH341"/>
      <c r="DI341">
        <f t="shared" ref="DI341:DI380" si="365">SUM(DD341:DG341)</f>
        <v>3</v>
      </c>
      <c r="DJ341" t="str">
        <f t="shared" ref="DJ341:DJ380" si="366">IF(DI341=1,INDEX($DD$7:$DG$7,MATCH(1,$DD341:$DG341,0)),"mixedProduct")</f>
        <v>mixedProduct</v>
      </c>
      <c r="DK341" t="str">
        <f t="shared" ref="DK341:DK380" si="367">IF(DD341=1,DK$7,0)</f>
        <v>Upstream</v>
      </c>
      <c r="DL341" t="str">
        <f t="shared" ref="DL341:DL380" si="368">IF(DE341=1,DL$7,0)</f>
        <v>Energy</v>
      </c>
      <c r="DM341">
        <f t="shared" ref="DM341:DM380" si="369">IF(DF341=1,DM$7,0)</f>
        <v>0</v>
      </c>
      <c r="DN341" t="str">
        <f t="shared" ref="DN341:DN380" si="370">IF(DG341=1,DN$7,0)</f>
        <v>Timber</v>
      </c>
      <c r="DO341" s="163">
        <v>0</v>
      </c>
      <c r="DP341" s="141">
        <v>0</v>
      </c>
      <c r="DQ341" s="163">
        <v>0</v>
      </c>
      <c r="DR341" s="163">
        <v>0</v>
      </c>
      <c r="DS341" s="163">
        <v>0</v>
      </c>
      <c r="DT341">
        <f t="shared" ref="DT341:DT357" si="371">SUM(DO341:DP341)</f>
        <v>0</v>
      </c>
      <c r="DU341" s="143" t="str">
        <f t="shared" ref="DU341:DU357" si="372">IF(DO341=1,"self-calculated DF",IF(DP341=1,"external DF used","explicit C balance"))</f>
        <v>explicit C balance</v>
      </c>
      <c r="DV341" s="163">
        <v>0</v>
      </c>
      <c r="DW341" s="141">
        <v>0</v>
      </c>
      <c r="DX341" s="163">
        <v>0</v>
      </c>
      <c r="DY341" s="163">
        <v>1</v>
      </c>
      <c r="DZ341" s="141">
        <v>0</v>
      </c>
      <c r="EA341" s="141">
        <v>0</v>
      </c>
      <c r="EB341" s="143">
        <v>0</v>
      </c>
      <c r="EC341" s="141">
        <v>0</v>
      </c>
      <c r="ED341" s="143">
        <v>0</v>
      </c>
      <c r="EE341" s="143">
        <v>0</v>
      </c>
      <c r="EF341" s="141">
        <v>1</v>
      </c>
      <c r="EG341" s="163">
        <v>0</v>
      </c>
      <c r="EH341" s="141">
        <v>0</v>
      </c>
      <c r="EI341" s="177">
        <v>0</v>
      </c>
      <c r="EJ341" s="1"/>
      <c r="EK341" t="str">
        <f t="shared" ref="EK341:EK358" si="373">IF(AND(AND(AND(OR($DX341=1,$DW341=1),OR($EC341=1,$EA341=1)),SUM($DV341:$DZ341,$EF341)&gt;=4),SUM($EA341:$EE341)&gt;=2),"Whole sector","")</f>
        <v/>
      </c>
      <c r="EL341" t="str">
        <f t="shared" ref="EL341:EL358" si="374">IF(AND(AND(OR($DX341=1,$DW341=1),AND($EC341=0,$EA341=0)),SUM($DV341:$DZ341,$EF341)&gt;=4),"Ecosystem approach","")</f>
        <v/>
      </c>
      <c r="EM341" s="2" t="str">
        <f t="shared" si="339"/>
        <v/>
      </c>
      <c r="EN341" s="141"/>
      <c r="EO341"/>
      <c r="EP341" t="str">
        <f>IF(ISNUMBER(BU341),IF(ABS(BU341-[4]QC_indicators!$B$2)&gt;3*[4]QC_indicators!$C$2,"C ratio",IF(ISNUMBER(BY341),IF(ABS(BY341-[4]QC_indicators!$B$1)&gt;3*[4]QC_indicators!$C$1,"DF","no"))),IF(ISNUMBER(BY341),IF(ABS(BY341-[4]QC_indicators!$B$1)&gt;3*[4]QC_indicators!$C$1,"DF","no")))</f>
        <v>no</v>
      </c>
      <c r="EQ341"/>
      <c r="ER341" s="294" t="s">
        <v>1301</v>
      </c>
      <c r="ES341"/>
      <c r="ET341" s="264" t="s">
        <v>3406</v>
      </c>
      <c r="EU341"/>
    </row>
    <row r="342" spans="1:151" s="139" customFormat="1" ht="15" hidden="1" customHeight="1">
      <c r="A342" s="174" t="s">
        <v>1285</v>
      </c>
      <c r="B342" s="141" t="s">
        <v>1286</v>
      </c>
      <c r="C342" s="141" t="s">
        <v>1287</v>
      </c>
      <c r="D342" s="141" t="s">
        <v>1288</v>
      </c>
      <c r="E342" s="141" t="s">
        <v>1289</v>
      </c>
      <c r="F342" s="141" t="s">
        <v>1290</v>
      </c>
      <c r="G342" s="141" t="s">
        <v>1291</v>
      </c>
      <c r="H342" s="141"/>
      <c r="I342" s="141">
        <v>2019</v>
      </c>
      <c r="J342" s="141"/>
      <c r="K342" s="141" t="s">
        <v>1292</v>
      </c>
      <c r="L342" s="141"/>
      <c r="M342" t="str">
        <f t="shared" si="340"/>
        <v>Bosch_2019</v>
      </c>
      <c r="N342" t="s">
        <v>222</v>
      </c>
      <c r="O342" s="175" t="s">
        <v>225</v>
      </c>
      <c r="P342" s="141" t="s">
        <v>223</v>
      </c>
      <c r="Q342" s="264" t="s">
        <v>224</v>
      </c>
      <c r="R342" s="269" t="s">
        <v>1153</v>
      </c>
      <c r="S342" s="174" t="s">
        <v>1302</v>
      </c>
      <c r="T342" s="141" t="s">
        <v>1303</v>
      </c>
      <c r="U342" s="141" t="s">
        <v>1295</v>
      </c>
      <c r="V342" s="141">
        <v>1</v>
      </c>
      <c r="W342" s="141">
        <v>0</v>
      </c>
      <c r="X342" s="141">
        <v>0</v>
      </c>
      <c r="Y342" s="141">
        <v>0</v>
      </c>
      <c r="Z342" s="141">
        <v>0</v>
      </c>
      <c r="AA342" s="141">
        <v>0</v>
      </c>
      <c r="AB342" s="141">
        <v>0</v>
      </c>
      <c r="AC342" s="141">
        <v>0</v>
      </c>
      <c r="AD342" s="141">
        <v>0</v>
      </c>
      <c r="AE342" s="141">
        <v>0</v>
      </c>
      <c r="AF342" s="141">
        <v>0</v>
      </c>
      <c r="AG342" s="141">
        <v>0</v>
      </c>
      <c r="AH342" s="141">
        <v>0</v>
      </c>
      <c r="AI342" s="141">
        <v>0</v>
      </c>
      <c r="AJ342" s="141">
        <v>0</v>
      </c>
      <c r="AK342" s="141">
        <v>0</v>
      </c>
      <c r="AL342" s="141">
        <v>0</v>
      </c>
      <c r="AM342" s="141">
        <v>0</v>
      </c>
      <c r="AN342" s="141">
        <v>0</v>
      </c>
      <c r="AO342" s="141">
        <v>0</v>
      </c>
      <c r="AP342" s="141">
        <v>0</v>
      </c>
      <c r="AQ342" s="141">
        <v>0</v>
      </c>
      <c r="AR342" s="141">
        <v>0</v>
      </c>
      <c r="AS342" s="141">
        <v>0</v>
      </c>
      <c r="AT342" s="141">
        <v>0</v>
      </c>
      <c r="AU342" s="141">
        <v>0</v>
      </c>
      <c r="AV342" s="141">
        <v>0</v>
      </c>
      <c r="AW342" s="141">
        <v>0</v>
      </c>
      <c r="AX342" s="141">
        <f t="shared" si="343"/>
        <v>1</v>
      </c>
      <c r="AY342" s="141">
        <f t="shared" si="344"/>
        <v>1</v>
      </c>
      <c r="AZ342">
        <f t="shared" si="345"/>
        <v>1</v>
      </c>
      <c r="BA342">
        <f t="shared" si="346"/>
        <v>0</v>
      </c>
      <c r="BB342">
        <f t="shared" si="347"/>
        <v>0</v>
      </c>
      <c r="BC342">
        <f t="shared" si="348"/>
        <v>0</v>
      </c>
      <c r="BD342">
        <f t="shared" si="349"/>
        <v>0</v>
      </c>
      <c r="BE342" t="str" cm="1">
        <f t="array" ref="BE342">IF(AY342=1,INDEX($V$7:$AL$7,MATCH(TRUE,INDEX($V342:$AW342&lt;&gt;0,),0)),IF(AY342=0,INDEX($AM$7:$AW$7,MATCH(1,$AM342:$AW342,0)),IF(BF342="Multiple strategies","mixed drivers",IF(BF342="Supply chain","multiple supply","multiple silviculture"))))</f>
        <v>area subject to harvest</v>
      </c>
      <c r="BF342" s="2" t="str" cm="1">
        <f t="array" ref="BF342">IF(COUNTIF(AZ342:BB342,"&lt;&gt;0")=1,INDEX($V$4:$AW$4,MATCH(TRUE,INDEX($V342:$AW342&lt;&gt;0,),0)),IF(COUNTIF(AZ342:BB342,"&lt;&gt;0")=0,INDEX($AM$4:$AW$4,MATCH(1,$AM342:$AW342,0)),"Multiple strategies"))</f>
        <v>Silviculture for removals</v>
      </c>
      <c r="BG342" s="173" t="s">
        <v>321</v>
      </c>
      <c r="BH342" s="141" t="s">
        <v>1296</v>
      </c>
      <c r="BI342" s="141" t="s">
        <v>1297</v>
      </c>
      <c r="BJ342" s="163" t="s">
        <v>1298</v>
      </c>
      <c r="BK342" s="176">
        <v>2330</v>
      </c>
      <c r="BL342" s="163">
        <v>2405</v>
      </c>
      <c r="BM342" s="264">
        <f t="shared" si="350"/>
        <v>1.0321888412017168</v>
      </c>
      <c r="BN342">
        <f t="shared" si="351"/>
        <v>75</v>
      </c>
      <c r="BO342" s="158">
        <f t="shared" si="352"/>
        <v>75000000</v>
      </c>
      <c r="BP342" s="264" t="s">
        <v>395</v>
      </c>
      <c r="BQ342" s="153" t="s">
        <v>429</v>
      </c>
      <c r="BR342" s="151" t="s">
        <v>1299</v>
      </c>
      <c r="BS342" s="141"/>
      <c r="BT342" s="163"/>
      <c r="BU342" s="144" t="str">
        <f>IFERROR(BT342/BS342,"")</f>
        <v/>
      </c>
      <c r="BV342" s="176">
        <v>-21</v>
      </c>
      <c r="BW342"/>
      <c r="BX342">
        <f t="shared" si="353"/>
        <v>-21000000</v>
      </c>
      <c r="BY342">
        <f t="shared" si="338"/>
        <v>-0.28000000000000003</v>
      </c>
      <c r="BZ342" s="141">
        <v>0</v>
      </c>
      <c r="CA342" s="141">
        <v>0</v>
      </c>
      <c r="CB342" s="141">
        <v>0</v>
      </c>
      <c r="CC342" s="141">
        <v>0</v>
      </c>
      <c r="CD342" s="141">
        <v>0</v>
      </c>
      <c r="CE342" s="141">
        <v>0</v>
      </c>
      <c r="CF342" s="141">
        <v>0</v>
      </c>
      <c r="CG342" s="141">
        <v>0</v>
      </c>
      <c r="CH342" s="141">
        <v>0</v>
      </c>
      <c r="CI342" s="141">
        <v>0</v>
      </c>
      <c r="CJ342" s="141">
        <v>0</v>
      </c>
      <c r="CK342" s="141">
        <v>0</v>
      </c>
      <c r="CL342" s="141">
        <v>0</v>
      </c>
      <c r="CM342" s="141">
        <v>1</v>
      </c>
      <c r="CN342" t="str">
        <f t="shared" si="354"/>
        <v>refOK</v>
      </c>
      <c r="CO342">
        <f t="shared" si="355"/>
        <v>2330</v>
      </c>
      <c r="CP342">
        <f t="shared" si="356"/>
        <v>2405</v>
      </c>
      <c r="CQ342">
        <f t="shared" si="357"/>
        <v>75000000</v>
      </c>
      <c r="CR342">
        <f t="shared" si="358"/>
        <v>0</v>
      </c>
      <c r="CS342">
        <f t="shared" si="359"/>
        <v>0</v>
      </c>
      <c r="CT342">
        <f t="shared" si="360"/>
        <v>21000000</v>
      </c>
      <c r="CU342">
        <f t="shared" si="361"/>
        <v>0.28000000000000003</v>
      </c>
      <c r="CV342" s="2" t="str">
        <f t="shared" si="362"/>
        <v/>
      </c>
      <c r="CW342" s="174" t="s">
        <v>1202</v>
      </c>
      <c r="CX342" s="264" t="str">
        <f t="shared" si="363"/>
        <v>reg</v>
      </c>
      <c r="CY342" s="141" t="s">
        <v>1300</v>
      </c>
      <c r="CZ342" s="141">
        <v>2016</v>
      </c>
      <c r="DA342" s="163">
        <v>2046</v>
      </c>
      <c r="DB342" s="163">
        <v>30</v>
      </c>
      <c r="DC342" t="str">
        <f t="shared" si="364"/>
        <v>1-30</v>
      </c>
      <c r="DD342" s="141">
        <v>1</v>
      </c>
      <c r="DE342" s="141">
        <v>1</v>
      </c>
      <c r="DF342" s="141">
        <v>0</v>
      </c>
      <c r="DG342" s="141">
        <v>1</v>
      </c>
      <c r="DH342"/>
      <c r="DI342">
        <f t="shared" si="365"/>
        <v>3</v>
      </c>
      <c r="DJ342" t="str">
        <f t="shared" si="366"/>
        <v>mixedProduct</v>
      </c>
      <c r="DK342" t="str">
        <f t="shared" si="367"/>
        <v>Upstream</v>
      </c>
      <c r="DL342" t="str">
        <f t="shared" si="368"/>
        <v>Energy</v>
      </c>
      <c r="DM342">
        <f t="shared" si="369"/>
        <v>0</v>
      </c>
      <c r="DN342" t="str">
        <f t="shared" si="370"/>
        <v>Timber</v>
      </c>
      <c r="DO342" s="163">
        <v>0</v>
      </c>
      <c r="DP342" s="141">
        <v>0</v>
      </c>
      <c r="DQ342" s="163">
        <v>0</v>
      </c>
      <c r="DR342" s="163">
        <v>0</v>
      </c>
      <c r="DS342" s="163">
        <v>0</v>
      </c>
      <c r="DT342">
        <f t="shared" si="371"/>
        <v>0</v>
      </c>
      <c r="DU342" s="143" t="str">
        <f t="shared" si="372"/>
        <v>explicit C balance</v>
      </c>
      <c r="DV342" s="163">
        <v>0</v>
      </c>
      <c r="DW342" s="141">
        <v>0</v>
      </c>
      <c r="DX342" s="163">
        <v>0</v>
      </c>
      <c r="DY342" s="163">
        <v>1</v>
      </c>
      <c r="DZ342" s="141">
        <v>0</v>
      </c>
      <c r="EA342" s="141">
        <v>0</v>
      </c>
      <c r="EB342" s="143">
        <v>0</v>
      </c>
      <c r="EC342" s="141">
        <v>0</v>
      </c>
      <c r="ED342" s="143">
        <v>0</v>
      </c>
      <c r="EE342" s="143">
        <v>0</v>
      </c>
      <c r="EF342" s="141">
        <v>1</v>
      </c>
      <c r="EG342" s="163">
        <v>0</v>
      </c>
      <c r="EH342" s="141">
        <v>0</v>
      </c>
      <c r="EI342" s="177">
        <v>0</v>
      </c>
      <c r="EJ342" s="1"/>
      <c r="EK342" t="str">
        <f t="shared" si="373"/>
        <v/>
      </c>
      <c r="EL342" t="str">
        <f t="shared" si="374"/>
        <v/>
      </c>
      <c r="EM342" s="2" t="str">
        <f t="shared" si="339"/>
        <v/>
      </c>
      <c r="EN342" s="141"/>
      <c r="EO342"/>
      <c r="EP342" t="str">
        <f>IF(ISNUMBER(BU342),IF(ABS(BU342-[4]QC_indicators!$B$2)&gt;3*[4]QC_indicators!$C$2,"C ratio",IF(ISNUMBER(BY342),IF(ABS(BY342-[4]QC_indicators!$B$1)&gt;3*[4]QC_indicators!$C$1,"DF","no"))),IF(ISNUMBER(BY342),IF(ABS(BY342-[4]QC_indicators!$B$1)&gt;3*[4]QC_indicators!$C$1,"DF","no")))</f>
        <v>no</v>
      </c>
      <c r="EQ342"/>
      <c r="ER342" s="294" t="s">
        <v>1301</v>
      </c>
      <c r="ES342"/>
      <c r="ET342" s="264" t="s">
        <v>3406</v>
      </c>
      <c r="EU342"/>
    </row>
    <row r="343" spans="1:151" s="139" customFormat="1" ht="15" hidden="1" customHeight="1">
      <c r="A343" s="174" t="s">
        <v>1285</v>
      </c>
      <c r="B343" s="141" t="s">
        <v>1286</v>
      </c>
      <c r="C343" s="141" t="s">
        <v>1287</v>
      </c>
      <c r="D343" s="141" t="s">
        <v>1288</v>
      </c>
      <c r="E343" s="141" t="s">
        <v>1289</v>
      </c>
      <c r="F343" s="141" t="s">
        <v>1290</v>
      </c>
      <c r="G343" s="141" t="s">
        <v>1291</v>
      </c>
      <c r="H343" s="141"/>
      <c r="I343" s="141">
        <v>2019</v>
      </c>
      <c r="J343" s="141"/>
      <c r="K343" s="141" t="s">
        <v>1292</v>
      </c>
      <c r="L343" s="141"/>
      <c r="M343" t="str">
        <f t="shared" si="340"/>
        <v>Bosch_2019</v>
      </c>
      <c r="N343" t="s">
        <v>222</v>
      </c>
      <c r="O343" s="175" t="s">
        <v>225</v>
      </c>
      <c r="P343" s="141" t="s">
        <v>223</v>
      </c>
      <c r="Q343" s="264" t="s">
        <v>224</v>
      </c>
      <c r="R343" s="269" t="s">
        <v>1153</v>
      </c>
      <c r="S343" s="174" t="s">
        <v>1293</v>
      </c>
      <c r="T343" s="141" t="s">
        <v>1294</v>
      </c>
      <c r="U343" s="141" t="s">
        <v>1295</v>
      </c>
      <c r="V343" s="141">
        <v>1</v>
      </c>
      <c r="W343" s="141">
        <v>0</v>
      </c>
      <c r="X343" s="141">
        <v>0</v>
      </c>
      <c r="Y343" s="141">
        <v>0</v>
      </c>
      <c r="Z343" s="141">
        <v>0</v>
      </c>
      <c r="AA343" s="141">
        <v>0</v>
      </c>
      <c r="AB343" s="141">
        <v>0</v>
      </c>
      <c r="AC343" s="141">
        <v>0</v>
      </c>
      <c r="AD343" s="141">
        <v>0</v>
      </c>
      <c r="AE343" s="141">
        <v>0</v>
      </c>
      <c r="AF343" s="141">
        <v>0</v>
      </c>
      <c r="AG343" s="141">
        <v>0</v>
      </c>
      <c r="AH343" s="141">
        <v>0</v>
      </c>
      <c r="AI343" s="141">
        <v>0</v>
      </c>
      <c r="AJ343" s="141">
        <v>0</v>
      </c>
      <c r="AK343" s="141">
        <v>0</v>
      </c>
      <c r="AL343" s="141">
        <v>0</v>
      </c>
      <c r="AM343" s="141">
        <v>0</v>
      </c>
      <c r="AN343" s="141">
        <v>0</v>
      </c>
      <c r="AO343" s="141">
        <v>0</v>
      </c>
      <c r="AP343" s="141">
        <v>0</v>
      </c>
      <c r="AQ343" s="141">
        <v>0</v>
      </c>
      <c r="AR343" s="141">
        <v>0</v>
      </c>
      <c r="AS343" s="141">
        <v>0</v>
      </c>
      <c r="AT343" s="141">
        <v>0</v>
      </c>
      <c r="AU343" s="141">
        <v>0</v>
      </c>
      <c r="AV343" s="141">
        <v>0</v>
      </c>
      <c r="AW343" s="141">
        <v>0</v>
      </c>
      <c r="AX343" s="141">
        <f t="shared" si="343"/>
        <v>1</v>
      </c>
      <c r="AY343" s="141">
        <f t="shared" si="344"/>
        <v>1</v>
      </c>
      <c r="AZ343">
        <f t="shared" si="345"/>
        <v>1</v>
      </c>
      <c r="BA343">
        <f t="shared" si="346"/>
        <v>0</v>
      </c>
      <c r="BB343">
        <f t="shared" si="347"/>
        <v>0</v>
      </c>
      <c r="BC343">
        <f t="shared" si="348"/>
        <v>0</v>
      </c>
      <c r="BD343">
        <f t="shared" si="349"/>
        <v>0</v>
      </c>
      <c r="BE343" t="str" cm="1">
        <f t="array" ref="BE343">IF(AY343=1,INDEX($V$7:$AL$7,MATCH(TRUE,INDEX($V343:$AW343&lt;&gt;0,),0)),IF(AY343=0,INDEX($AM$7:$AW$7,MATCH(1,$AM343:$AW343,0)),IF(BF343="Multiple strategies","mixed drivers",IF(BF343="Supply chain","multiple supply","multiple silviculture"))))</f>
        <v>area subject to harvest</v>
      </c>
      <c r="BF343" s="2" t="str" cm="1">
        <f t="array" ref="BF343">IF(COUNTIF(AZ343:BB343,"&lt;&gt;0")=1,INDEX($V$4:$AW$4,MATCH(TRUE,INDEX($V343:$AW343&lt;&gt;0,),0)),IF(COUNTIF(AZ343:BB343,"&lt;&gt;0")=0,INDEX($AM$4:$AW$4,MATCH(1,$AM343:$AW343,0)),"Multiple strategies"))</f>
        <v>Silviculture for removals</v>
      </c>
      <c r="BG343" s="173" t="s">
        <v>321</v>
      </c>
      <c r="BH343" s="141" t="s">
        <v>1296</v>
      </c>
      <c r="BI343" s="141" t="s">
        <v>1297</v>
      </c>
      <c r="BJ343" s="163" t="s">
        <v>1298</v>
      </c>
      <c r="BK343" s="158">
        <v>2159</v>
      </c>
      <c r="BL343" s="163">
        <v>2405</v>
      </c>
      <c r="BM343" s="264">
        <f t="shared" si="350"/>
        <v>1.1139416396479851</v>
      </c>
      <c r="BN343">
        <f t="shared" si="351"/>
        <v>246</v>
      </c>
      <c r="BO343" s="158">
        <f t="shared" si="352"/>
        <v>246000000</v>
      </c>
      <c r="BP343" s="264" t="s">
        <v>395</v>
      </c>
      <c r="BQ343" s="153" t="s">
        <v>786</v>
      </c>
      <c r="BR343" s="151" t="s">
        <v>1299</v>
      </c>
      <c r="BS343" s="141"/>
      <c r="BT343" s="163"/>
      <c r="BU343" s="144" t="str">
        <f>IFERROR(BT343/BS343,"")</f>
        <v/>
      </c>
      <c r="BV343" s="176">
        <v>-65</v>
      </c>
      <c r="BW343"/>
      <c r="BX343">
        <f t="shared" si="353"/>
        <v>-65000000</v>
      </c>
      <c r="BY343">
        <f t="shared" si="338"/>
        <v>-0.26422764227642276</v>
      </c>
      <c r="BZ343" s="141">
        <v>0</v>
      </c>
      <c r="CA343" s="141">
        <v>0</v>
      </c>
      <c r="CB343" s="141">
        <v>0</v>
      </c>
      <c r="CC343" s="141">
        <v>0</v>
      </c>
      <c r="CD343" s="141">
        <v>0</v>
      </c>
      <c r="CE343" s="141">
        <v>0</v>
      </c>
      <c r="CF343" s="141">
        <v>0</v>
      </c>
      <c r="CG343" s="141">
        <v>0</v>
      </c>
      <c r="CH343" s="141">
        <v>0</v>
      </c>
      <c r="CI343" s="141">
        <v>0</v>
      </c>
      <c r="CJ343" s="141">
        <v>0</v>
      </c>
      <c r="CK343" s="141">
        <v>0</v>
      </c>
      <c r="CL343" s="141">
        <v>0</v>
      </c>
      <c r="CM343" s="141">
        <v>1</v>
      </c>
      <c r="CN343" t="str">
        <f t="shared" si="354"/>
        <v>refOK</v>
      </c>
      <c r="CO343">
        <f t="shared" si="355"/>
        <v>2159</v>
      </c>
      <c r="CP343">
        <f t="shared" si="356"/>
        <v>2405</v>
      </c>
      <c r="CQ343">
        <f t="shared" si="357"/>
        <v>246000000</v>
      </c>
      <c r="CR343">
        <f t="shared" si="358"/>
        <v>0</v>
      </c>
      <c r="CS343">
        <f t="shared" si="359"/>
        <v>0</v>
      </c>
      <c r="CT343">
        <f t="shared" si="360"/>
        <v>65000000</v>
      </c>
      <c r="CU343">
        <f t="shared" si="361"/>
        <v>0.26422764227642276</v>
      </c>
      <c r="CV343" s="2" t="str">
        <f t="shared" si="362"/>
        <v/>
      </c>
      <c r="CW343" s="174" t="s">
        <v>1202</v>
      </c>
      <c r="CX343" s="264" t="str">
        <f t="shared" si="363"/>
        <v>reg</v>
      </c>
      <c r="CY343" s="141" t="s">
        <v>1300</v>
      </c>
      <c r="CZ343" s="141">
        <v>2016</v>
      </c>
      <c r="DA343" s="163">
        <v>2046</v>
      </c>
      <c r="DB343" s="163">
        <v>30</v>
      </c>
      <c r="DC343" t="str">
        <f t="shared" si="364"/>
        <v>1-30</v>
      </c>
      <c r="DD343" s="141">
        <v>1</v>
      </c>
      <c r="DE343" s="141">
        <v>1</v>
      </c>
      <c r="DF343" s="141">
        <v>0</v>
      </c>
      <c r="DG343" s="141">
        <v>1</v>
      </c>
      <c r="DH343"/>
      <c r="DI343">
        <f t="shared" si="365"/>
        <v>3</v>
      </c>
      <c r="DJ343" t="str">
        <f t="shared" si="366"/>
        <v>mixedProduct</v>
      </c>
      <c r="DK343" t="str">
        <f t="shared" si="367"/>
        <v>Upstream</v>
      </c>
      <c r="DL343" t="str">
        <f t="shared" si="368"/>
        <v>Energy</v>
      </c>
      <c r="DM343">
        <f t="shared" si="369"/>
        <v>0</v>
      </c>
      <c r="DN343" t="str">
        <f t="shared" si="370"/>
        <v>Timber</v>
      </c>
      <c r="DO343" s="163">
        <v>0</v>
      </c>
      <c r="DP343" s="141">
        <v>1</v>
      </c>
      <c r="DQ343" s="163" t="s">
        <v>1304</v>
      </c>
      <c r="DR343" s="163" t="s">
        <v>1305</v>
      </c>
      <c r="DS343" s="163">
        <v>0</v>
      </c>
      <c r="DT343">
        <f t="shared" si="371"/>
        <v>1</v>
      </c>
      <c r="DU343" s="143" t="str">
        <f t="shared" si="372"/>
        <v>external DF used</v>
      </c>
      <c r="DV343" s="163">
        <v>1</v>
      </c>
      <c r="DW343" s="141">
        <v>1</v>
      </c>
      <c r="DX343" s="163">
        <v>1</v>
      </c>
      <c r="DY343" s="163">
        <v>1</v>
      </c>
      <c r="DZ343" s="141">
        <v>1</v>
      </c>
      <c r="EA343" s="141">
        <v>1</v>
      </c>
      <c r="EB343" s="143">
        <v>0</v>
      </c>
      <c r="EC343" s="141">
        <v>0</v>
      </c>
      <c r="ED343" s="143">
        <v>0</v>
      </c>
      <c r="EE343" s="143">
        <v>0</v>
      </c>
      <c r="EF343" s="141">
        <v>1</v>
      </c>
      <c r="EG343" s="163">
        <v>0</v>
      </c>
      <c r="EH343" s="141">
        <v>0</v>
      </c>
      <c r="EI343" s="177">
        <v>0</v>
      </c>
      <c r="EJ343" s="1"/>
      <c r="EK343" t="str">
        <f t="shared" si="373"/>
        <v/>
      </c>
      <c r="EL343" t="str">
        <f t="shared" si="374"/>
        <v/>
      </c>
      <c r="EM343" s="2" t="str">
        <f t="shared" si="339"/>
        <v/>
      </c>
      <c r="EN343" s="141"/>
      <c r="EO343"/>
      <c r="EP343" t="str">
        <f>IF(ISNUMBER(BU343),IF(ABS(BU343-[4]QC_indicators!$B$2)&gt;3*[4]QC_indicators!$C$2,"C ratio",IF(ISNUMBER(BY343),IF(ABS(BY343-[4]QC_indicators!$B$1)&gt;3*[4]QC_indicators!$C$1,"DF","no"))),IF(ISNUMBER(BY343),IF(ABS(BY343-[4]QC_indicators!$B$1)&gt;3*[4]QC_indicators!$C$1,"DF","no")))</f>
        <v>no</v>
      </c>
      <c r="EQ343"/>
      <c r="ER343" s="294" t="s">
        <v>1301</v>
      </c>
      <c r="ES343"/>
      <c r="ET343" s="264" t="s">
        <v>3406</v>
      </c>
      <c r="EU343"/>
    </row>
    <row r="344" spans="1:151" s="139" customFormat="1" ht="15" hidden="1" customHeight="1">
      <c r="A344" s="174" t="s">
        <v>1285</v>
      </c>
      <c r="B344" s="141" t="s">
        <v>1286</v>
      </c>
      <c r="C344" s="141" t="s">
        <v>1287</v>
      </c>
      <c r="D344" s="141" t="s">
        <v>1288</v>
      </c>
      <c r="E344" s="141" t="s">
        <v>1289</v>
      </c>
      <c r="F344" s="141" t="s">
        <v>1290</v>
      </c>
      <c r="G344" s="141" t="s">
        <v>1291</v>
      </c>
      <c r="H344" s="141"/>
      <c r="I344" s="141">
        <v>2019</v>
      </c>
      <c r="J344" s="141"/>
      <c r="K344" s="141" t="s">
        <v>1292</v>
      </c>
      <c r="L344" s="141"/>
      <c r="M344" t="str">
        <f t="shared" si="340"/>
        <v>Bosch_2019</v>
      </c>
      <c r="N344" t="s">
        <v>222</v>
      </c>
      <c r="O344" s="175" t="s">
        <v>225</v>
      </c>
      <c r="P344" s="141" t="s">
        <v>223</v>
      </c>
      <c r="Q344" s="264" t="s">
        <v>224</v>
      </c>
      <c r="R344" s="269" t="s">
        <v>1153</v>
      </c>
      <c r="S344" s="174" t="s">
        <v>1302</v>
      </c>
      <c r="T344" s="141" t="s">
        <v>1303</v>
      </c>
      <c r="U344" s="141" t="s">
        <v>1295</v>
      </c>
      <c r="V344" s="141">
        <v>1</v>
      </c>
      <c r="W344" s="141">
        <v>0</v>
      </c>
      <c r="X344" s="141">
        <v>0</v>
      </c>
      <c r="Y344" s="141">
        <v>0</v>
      </c>
      <c r="Z344" s="141">
        <v>0</v>
      </c>
      <c r="AA344" s="141">
        <v>0</v>
      </c>
      <c r="AB344" s="141">
        <v>0</v>
      </c>
      <c r="AC344" s="141">
        <v>0</v>
      </c>
      <c r="AD344" s="141">
        <v>0</v>
      </c>
      <c r="AE344" s="141">
        <v>0</v>
      </c>
      <c r="AF344" s="141">
        <v>0</v>
      </c>
      <c r="AG344" s="141">
        <v>0</v>
      </c>
      <c r="AH344" s="141">
        <v>0</v>
      </c>
      <c r="AI344" s="141">
        <v>0</v>
      </c>
      <c r="AJ344" s="141">
        <v>0</v>
      </c>
      <c r="AK344" s="141">
        <v>0</v>
      </c>
      <c r="AL344" s="141">
        <v>0</v>
      </c>
      <c r="AM344" s="141">
        <v>0</v>
      </c>
      <c r="AN344" s="141">
        <v>0</v>
      </c>
      <c r="AO344" s="141">
        <v>0</v>
      </c>
      <c r="AP344" s="141">
        <v>0</v>
      </c>
      <c r="AQ344" s="141">
        <v>0</v>
      </c>
      <c r="AR344" s="141">
        <v>0</v>
      </c>
      <c r="AS344" s="141">
        <v>0</v>
      </c>
      <c r="AT344" s="141">
        <v>0</v>
      </c>
      <c r="AU344" s="141">
        <v>0</v>
      </c>
      <c r="AV344" s="141">
        <v>0</v>
      </c>
      <c r="AW344" s="141">
        <v>0</v>
      </c>
      <c r="AX344" s="141">
        <f t="shared" si="343"/>
        <v>1</v>
      </c>
      <c r="AY344" s="141">
        <f t="shared" si="344"/>
        <v>1</v>
      </c>
      <c r="AZ344">
        <f t="shared" si="345"/>
        <v>1</v>
      </c>
      <c r="BA344">
        <f t="shared" si="346"/>
        <v>0</v>
      </c>
      <c r="BB344">
        <f t="shared" si="347"/>
        <v>0</v>
      </c>
      <c r="BC344">
        <f t="shared" si="348"/>
        <v>0</v>
      </c>
      <c r="BD344">
        <f t="shared" si="349"/>
        <v>0</v>
      </c>
      <c r="BE344" t="str" cm="1">
        <f t="array" ref="BE344">IF(AY344=1,INDEX($V$7:$AL$7,MATCH(TRUE,INDEX($V344:$AW344&lt;&gt;0,),0)),IF(AY344=0,INDEX($AM$7:$AW$7,MATCH(1,$AM344:$AW344,0)),IF(BF344="Multiple strategies","mixed drivers",IF(BF344="Supply chain","multiple supply","multiple silviculture"))))</f>
        <v>area subject to harvest</v>
      </c>
      <c r="BF344" s="2" t="str" cm="1">
        <f t="array" ref="BF344">IF(COUNTIF(AZ344:BB344,"&lt;&gt;0")=1,INDEX($V$4:$AW$4,MATCH(TRUE,INDEX($V344:$AW344&lt;&gt;0,),0)),IF(COUNTIF(AZ344:BB344,"&lt;&gt;0")=0,INDEX($AM$4:$AW$4,MATCH(1,$AM344:$AW344,0)),"Multiple strategies"))</f>
        <v>Silviculture for removals</v>
      </c>
      <c r="BG344" s="173" t="s">
        <v>321</v>
      </c>
      <c r="BH344" s="141" t="s">
        <v>1296</v>
      </c>
      <c r="BI344" s="141" t="s">
        <v>1297</v>
      </c>
      <c r="BJ344" s="163" t="s">
        <v>1298</v>
      </c>
      <c r="BK344" s="176">
        <v>2330</v>
      </c>
      <c r="BL344" s="163">
        <v>2405</v>
      </c>
      <c r="BM344" s="264">
        <f t="shared" si="350"/>
        <v>1.0321888412017168</v>
      </c>
      <c r="BN344">
        <f t="shared" si="351"/>
        <v>75</v>
      </c>
      <c r="BO344" s="158">
        <f t="shared" si="352"/>
        <v>75000000</v>
      </c>
      <c r="BP344" s="264" t="s">
        <v>395</v>
      </c>
      <c r="BQ344" s="153" t="s">
        <v>429</v>
      </c>
      <c r="BR344" s="151" t="s">
        <v>1299</v>
      </c>
      <c r="BS344" s="141"/>
      <c r="BT344" s="163"/>
      <c r="BU344" s="144" t="str">
        <f>IFERROR(BT344/BS344,"")</f>
        <v/>
      </c>
      <c r="BV344" s="176">
        <v>-19</v>
      </c>
      <c r="BW344"/>
      <c r="BX344">
        <f t="shared" si="353"/>
        <v>-19000000</v>
      </c>
      <c r="BY344">
        <f t="shared" si="338"/>
        <v>-0.25333333333333335</v>
      </c>
      <c r="BZ344" s="141">
        <v>0</v>
      </c>
      <c r="CA344" s="141">
        <v>0</v>
      </c>
      <c r="CB344" s="141">
        <v>0</v>
      </c>
      <c r="CC344" s="141">
        <v>0</v>
      </c>
      <c r="CD344" s="141">
        <v>0</v>
      </c>
      <c r="CE344" s="141">
        <v>0</v>
      </c>
      <c r="CF344" s="141">
        <v>0</v>
      </c>
      <c r="CG344" s="141">
        <v>0</v>
      </c>
      <c r="CH344" s="141">
        <v>0</v>
      </c>
      <c r="CI344" s="141">
        <v>0</v>
      </c>
      <c r="CJ344" s="141">
        <v>0</v>
      </c>
      <c r="CK344" s="141">
        <v>0</v>
      </c>
      <c r="CL344" s="141">
        <v>0</v>
      </c>
      <c r="CM344" s="141">
        <v>1</v>
      </c>
      <c r="CN344" t="str">
        <f t="shared" si="354"/>
        <v>refOK</v>
      </c>
      <c r="CO344">
        <f t="shared" si="355"/>
        <v>2330</v>
      </c>
      <c r="CP344">
        <f t="shared" si="356"/>
        <v>2405</v>
      </c>
      <c r="CQ344">
        <f t="shared" si="357"/>
        <v>75000000</v>
      </c>
      <c r="CR344">
        <f t="shared" si="358"/>
        <v>0</v>
      </c>
      <c r="CS344">
        <f t="shared" si="359"/>
        <v>0</v>
      </c>
      <c r="CT344">
        <f t="shared" si="360"/>
        <v>19000000</v>
      </c>
      <c r="CU344">
        <f t="shared" si="361"/>
        <v>0.25333333333333335</v>
      </c>
      <c r="CV344" s="2" t="str">
        <f t="shared" si="362"/>
        <v/>
      </c>
      <c r="CW344" s="174" t="s">
        <v>1202</v>
      </c>
      <c r="CX344" s="264" t="str">
        <f t="shared" si="363"/>
        <v>reg</v>
      </c>
      <c r="CY344" s="141" t="s">
        <v>1300</v>
      </c>
      <c r="CZ344" s="141">
        <v>2016</v>
      </c>
      <c r="DA344" s="163">
        <v>2046</v>
      </c>
      <c r="DB344" s="163">
        <v>30</v>
      </c>
      <c r="DC344" t="str">
        <f t="shared" si="364"/>
        <v>1-30</v>
      </c>
      <c r="DD344" s="141">
        <v>1</v>
      </c>
      <c r="DE344" s="141">
        <v>1</v>
      </c>
      <c r="DF344" s="141">
        <v>0</v>
      </c>
      <c r="DG344" s="141">
        <v>1</v>
      </c>
      <c r="DH344"/>
      <c r="DI344">
        <f t="shared" si="365"/>
        <v>3</v>
      </c>
      <c r="DJ344" t="str">
        <f t="shared" si="366"/>
        <v>mixedProduct</v>
      </c>
      <c r="DK344" t="str">
        <f t="shared" si="367"/>
        <v>Upstream</v>
      </c>
      <c r="DL344" t="str">
        <f t="shared" si="368"/>
        <v>Energy</v>
      </c>
      <c r="DM344">
        <f t="shared" si="369"/>
        <v>0</v>
      </c>
      <c r="DN344" t="str">
        <f t="shared" si="370"/>
        <v>Timber</v>
      </c>
      <c r="DO344" s="163">
        <v>0</v>
      </c>
      <c r="DP344" s="141">
        <v>1</v>
      </c>
      <c r="DQ344" s="163" t="s">
        <v>1304</v>
      </c>
      <c r="DR344" s="163" t="s">
        <v>1305</v>
      </c>
      <c r="DS344" s="163">
        <v>0</v>
      </c>
      <c r="DT344">
        <f t="shared" si="371"/>
        <v>1</v>
      </c>
      <c r="DU344" s="143" t="str">
        <f t="shared" si="372"/>
        <v>external DF used</v>
      </c>
      <c r="DV344" s="163">
        <v>1</v>
      </c>
      <c r="DW344" s="141">
        <v>1</v>
      </c>
      <c r="DX344" s="163">
        <v>1</v>
      </c>
      <c r="DY344" s="163">
        <v>1</v>
      </c>
      <c r="DZ344" s="141">
        <v>1</v>
      </c>
      <c r="EA344" s="141">
        <v>1</v>
      </c>
      <c r="EB344" s="143">
        <v>0</v>
      </c>
      <c r="EC344" s="141">
        <v>0</v>
      </c>
      <c r="ED344" s="143">
        <v>0</v>
      </c>
      <c r="EE344" s="143">
        <v>0</v>
      </c>
      <c r="EF344" s="141">
        <v>1</v>
      </c>
      <c r="EG344" s="163">
        <v>0</v>
      </c>
      <c r="EH344" s="141">
        <v>0</v>
      </c>
      <c r="EI344" s="177">
        <v>0</v>
      </c>
      <c r="EJ344" s="1"/>
      <c r="EK344" t="str">
        <f t="shared" si="373"/>
        <v/>
      </c>
      <c r="EL344" t="str">
        <f t="shared" si="374"/>
        <v/>
      </c>
      <c r="EM344" s="2" t="str">
        <f t="shared" si="339"/>
        <v/>
      </c>
      <c r="EN344" s="141"/>
      <c r="EO344"/>
      <c r="EP344" t="str">
        <f>IF(ISNUMBER(BU344),IF(ABS(BU344-[4]QC_indicators!$B$2)&gt;3*[4]QC_indicators!$C$2,"C ratio",IF(ISNUMBER(BY344),IF(ABS(BY344-[4]QC_indicators!$B$1)&gt;3*[4]QC_indicators!$C$1,"DF","no"))),IF(ISNUMBER(BY344),IF(ABS(BY344-[4]QC_indicators!$B$1)&gt;3*[4]QC_indicators!$C$1,"DF","no")))</f>
        <v>no</v>
      </c>
      <c r="EQ344"/>
      <c r="ER344" s="294" t="s">
        <v>1301</v>
      </c>
      <c r="ES344"/>
      <c r="ET344" s="264" t="s">
        <v>3406</v>
      </c>
      <c r="EU344"/>
    </row>
    <row r="345" spans="1:151" s="139" customFormat="1" ht="15" hidden="1" customHeight="1">
      <c r="A345" s="174" t="s">
        <v>1285</v>
      </c>
      <c r="B345" s="141" t="s">
        <v>1286</v>
      </c>
      <c r="C345" s="141" t="s">
        <v>1287</v>
      </c>
      <c r="D345" s="141" t="s">
        <v>1288</v>
      </c>
      <c r="E345" s="141" t="s">
        <v>1289</v>
      </c>
      <c r="F345" s="141" t="s">
        <v>1290</v>
      </c>
      <c r="G345" s="141" t="s">
        <v>1291</v>
      </c>
      <c r="H345" s="141"/>
      <c r="I345" s="141">
        <v>2019</v>
      </c>
      <c r="J345" s="141"/>
      <c r="K345" s="141" t="s">
        <v>1292</v>
      </c>
      <c r="L345" s="141"/>
      <c r="M345" t="str">
        <f t="shared" si="340"/>
        <v>Bosch_2019</v>
      </c>
      <c r="N345" t="s">
        <v>222</v>
      </c>
      <c r="O345" s="175" t="s">
        <v>225</v>
      </c>
      <c r="P345" s="141" t="s">
        <v>223</v>
      </c>
      <c r="Q345" s="264" t="s">
        <v>224</v>
      </c>
      <c r="R345" s="269" t="s">
        <v>1153</v>
      </c>
      <c r="S345" s="174" t="s">
        <v>1306</v>
      </c>
      <c r="T345" s="141" t="s">
        <v>1307</v>
      </c>
      <c r="U345" s="141" t="s">
        <v>1295</v>
      </c>
      <c r="V345" s="141">
        <v>0</v>
      </c>
      <c r="W345" s="141">
        <v>0</v>
      </c>
      <c r="X345" s="141">
        <v>1</v>
      </c>
      <c r="Y345" s="141">
        <v>0</v>
      </c>
      <c r="Z345" s="141">
        <v>0</v>
      </c>
      <c r="AA345" s="141">
        <v>0</v>
      </c>
      <c r="AB345" s="141">
        <v>0</v>
      </c>
      <c r="AC345" s="141">
        <v>0</v>
      </c>
      <c r="AD345" s="141">
        <v>0</v>
      </c>
      <c r="AE345" s="141">
        <v>0</v>
      </c>
      <c r="AF345" s="141">
        <v>0</v>
      </c>
      <c r="AG345" s="141">
        <v>0</v>
      </c>
      <c r="AH345" s="141">
        <v>0</v>
      </c>
      <c r="AI345" s="141">
        <v>0</v>
      </c>
      <c r="AJ345" s="141">
        <v>0</v>
      </c>
      <c r="AK345" s="141">
        <v>0</v>
      </c>
      <c r="AL345" s="141">
        <v>0</v>
      </c>
      <c r="AM345" s="141">
        <v>0</v>
      </c>
      <c r="AN345" s="141">
        <v>0</v>
      </c>
      <c r="AO345" s="141">
        <v>0</v>
      </c>
      <c r="AP345" s="141">
        <v>0</v>
      </c>
      <c r="AQ345" s="141">
        <v>0</v>
      </c>
      <c r="AR345" s="141">
        <v>0</v>
      </c>
      <c r="AS345" s="141">
        <v>0</v>
      </c>
      <c r="AT345" s="141">
        <v>0</v>
      </c>
      <c r="AU345" s="141">
        <v>0</v>
      </c>
      <c r="AV345" s="141">
        <v>0</v>
      </c>
      <c r="AW345" s="141">
        <v>0</v>
      </c>
      <c r="AX345" s="141">
        <f t="shared" si="343"/>
        <v>1</v>
      </c>
      <c r="AY345" s="141">
        <f t="shared" si="344"/>
        <v>1</v>
      </c>
      <c r="AZ345">
        <f t="shared" si="345"/>
        <v>1</v>
      </c>
      <c r="BA345">
        <f t="shared" si="346"/>
        <v>0</v>
      </c>
      <c r="BB345">
        <f t="shared" si="347"/>
        <v>0</v>
      </c>
      <c r="BC345">
        <f t="shared" si="348"/>
        <v>0</v>
      </c>
      <c r="BD345">
        <f t="shared" si="349"/>
        <v>0</v>
      </c>
      <c r="BE345" t="str" cm="1">
        <f t="array" ref="BE345">IF(AY345=1,INDEX($V$7:$AL$7,MATCH(TRUE,INDEX($V345:$AW345&lt;&gt;0,),0)),IF(AY345=0,INDEX($AM$7:$AW$7,MATCH(1,$AM345:$AW345,0)),IF(BF345="Multiple strategies","mixed drivers",IF(BF345="Supply chain","multiple supply","multiple silviculture"))))</f>
        <v>rotation length</v>
      </c>
      <c r="BF345" s="2" t="str" cm="1">
        <f t="array" ref="BF345">IF(COUNTIF(AZ345:BB345,"&lt;&gt;0")=1,INDEX($V$4:$AW$4,MATCH(TRUE,INDEX($V345:$AW345&lt;&gt;0,),0)),IF(COUNTIF(AZ345:BB345,"&lt;&gt;0")=0,INDEX($AM$4:$AW$4,MATCH(1,$AM345:$AW345,0)),"Multiple strategies"))</f>
        <v>Silviculture for removals</v>
      </c>
      <c r="BG345" s="173" t="s">
        <v>321</v>
      </c>
      <c r="BH345" s="141" t="s">
        <v>1296</v>
      </c>
      <c r="BI345" s="141" t="s">
        <v>1297</v>
      </c>
      <c r="BJ345" s="163" t="s">
        <v>1298</v>
      </c>
      <c r="BK345" s="176">
        <v>2167</v>
      </c>
      <c r="BL345" s="163">
        <v>2405</v>
      </c>
      <c r="BM345" s="163">
        <f t="shared" si="350"/>
        <v>1.1098292570373789</v>
      </c>
      <c r="BN345">
        <f t="shared" si="351"/>
        <v>238</v>
      </c>
      <c r="BO345" s="158">
        <f t="shared" si="352"/>
        <v>238000000</v>
      </c>
      <c r="BP345" s="264" t="s">
        <v>395</v>
      </c>
      <c r="BQ345" s="264" t="s">
        <v>701</v>
      </c>
      <c r="BR345" s="151" t="s">
        <v>1299</v>
      </c>
      <c r="BS345" s="163"/>
      <c r="BT345" s="141"/>
      <c r="BU345" s="144"/>
      <c r="BV345" s="176">
        <v>-56</v>
      </c>
      <c r="BW345"/>
      <c r="BX345">
        <f t="shared" si="353"/>
        <v>-56000000</v>
      </c>
      <c r="BY345">
        <f t="shared" si="338"/>
        <v>-0.23529411764705882</v>
      </c>
      <c r="BZ345" s="141">
        <v>0</v>
      </c>
      <c r="CA345" s="141">
        <v>0</v>
      </c>
      <c r="CB345" s="141">
        <v>0</v>
      </c>
      <c r="CC345" s="141">
        <v>0</v>
      </c>
      <c r="CD345" s="141">
        <v>0</v>
      </c>
      <c r="CE345" s="141">
        <v>0</v>
      </c>
      <c r="CF345" s="141">
        <v>0</v>
      </c>
      <c r="CG345" s="141">
        <v>0</v>
      </c>
      <c r="CH345" s="141">
        <v>0</v>
      </c>
      <c r="CI345" s="141">
        <v>0</v>
      </c>
      <c r="CJ345" s="141">
        <v>0</v>
      </c>
      <c r="CK345" s="141">
        <v>0</v>
      </c>
      <c r="CL345" s="141">
        <v>0</v>
      </c>
      <c r="CM345" s="141">
        <v>1</v>
      </c>
      <c r="CN345" t="str">
        <f t="shared" si="354"/>
        <v>refOK</v>
      </c>
      <c r="CO345">
        <f t="shared" si="355"/>
        <v>2167</v>
      </c>
      <c r="CP345">
        <f t="shared" si="356"/>
        <v>2405</v>
      </c>
      <c r="CQ345">
        <f t="shared" si="357"/>
        <v>238000000</v>
      </c>
      <c r="CR345">
        <f t="shared" si="358"/>
        <v>0</v>
      </c>
      <c r="CS345">
        <f t="shared" si="359"/>
        <v>0</v>
      </c>
      <c r="CT345">
        <f t="shared" si="360"/>
        <v>56000000</v>
      </c>
      <c r="CU345">
        <f t="shared" si="361"/>
        <v>0.23529411764705882</v>
      </c>
      <c r="CV345" s="2" t="str">
        <f t="shared" si="362"/>
        <v/>
      </c>
      <c r="CW345" s="174" t="s">
        <v>1202</v>
      </c>
      <c r="CX345" s="264" t="str">
        <f t="shared" si="363"/>
        <v>reg</v>
      </c>
      <c r="CY345" s="141" t="s">
        <v>1300</v>
      </c>
      <c r="CZ345" s="141">
        <v>2016</v>
      </c>
      <c r="DA345" s="163">
        <v>2046</v>
      </c>
      <c r="DB345" s="163">
        <v>30</v>
      </c>
      <c r="DC345" t="str">
        <f t="shared" si="364"/>
        <v>1-30</v>
      </c>
      <c r="DD345" s="141">
        <v>1</v>
      </c>
      <c r="DE345" s="141">
        <v>1</v>
      </c>
      <c r="DF345" s="141">
        <v>0</v>
      </c>
      <c r="DG345" s="141">
        <v>1</v>
      </c>
      <c r="DH345"/>
      <c r="DI345">
        <f t="shared" si="365"/>
        <v>3</v>
      </c>
      <c r="DJ345" t="str">
        <f t="shared" si="366"/>
        <v>mixedProduct</v>
      </c>
      <c r="DK345" t="str">
        <f t="shared" si="367"/>
        <v>Upstream</v>
      </c>
      <c r="DL345" t="str">
        <f t="shared" si="368"/>
        <v>Energy</v>
      </c>
      <c r="DM345">
        <f t="shared" si="369"/>
        <v>0</v>
      </c>
      <c r="DN345" t="str">
        <f t="shared" si="370"/>
        <v>Timber</v>
      </c>
      <c r="DO345" s="163">
        <v>0</v>
      </c>
      <c r="DP345" s="141">
        <v>0</v>
      </c>
      <c r="DQ345" s="163">
        <v>0</v>
      </c>
      <c r="DR345" s="163">
        <v>0</v>
      </c>
      <c r="DS345" s="163">
        <v>0</v>
      </c>
      <c r="DT345">
        <f t="shared" si="371"/>
        <v>0</v>
      </c>
      <c r="DU345" s="143" t="str">
        <f t="shared" si="372"/>
        <v>explicit C balance</v>
      </c>
      <c r="DV345" s="163">
        <v>0</v>
      </c>
      <c r="DW345" s="141">
        <v>0</v>
      </c>
      <c r="DX345" s="163">
        <v>0</v>
      </c>
      <c r="DY345" s="163">
        <v>1</v>
      </c>
      <c r="DZ345" s="141">
        <v>0</v>
      </c>
      <c r="EA345" s="141">
        <v>0</v>
      </c>
      <c r="EB345" s="143">
        <v>0</v>
      </c>
      <c r="EC345" s="141">
        <v>0</v>
      </c>
      <c r="ED345" s="143">
        <v>0</v>
      </c>
      <c r="EE345" s="143">
        <v>0</v>
      </c>
      <c r="EF345" s="141">
        <v>1</v>
      </c>
      <c r="EG345" s="163">
        <v>0</v>
      </c>
      <c r="EH345" s="141">
        <v>0</v>
      </c>
      <c r="EI345" s="177">
        <v>0</v>
      </c>
      <c r="EJ345" s="1"/>
      <c r="EK345" t="str">
        <f t="shared" si="373"/>
        <v/>
      </c>
      <c r="EL345" t="str">
        <f t="shared" si="374"/>
        <v/>
      </c>
      <c r="EM345" s="2" t="str">
        <f t="shared" si="339"/>
        <v/>
      </c>
      <c r="EN345" s="141"/>
      <c r="EO345"/>
      <c r="EP345" t="str">
        <f>IF(ISNUMBER(BU345),IF(ABS(BU345-[4]QC_indicators!$B$2)&gt;3*[4]QC_indicators!$C$2,"C ratio",IF(ISNUMBER(BY345),IF(ABS(BY345-[4]QC_indicators!$B$1)&gt;3*[4]QC_indicators!$C$1,"DF","no"))),IF(ISNUMBER(BY345),IF(ABS(BY345-[4]QC_indicators!$B$1)&gt;3*[4]QC_indicators!$C$1,"DF","no")))</f>
        <v>no</v>
      </c>
      <c r="EQ345"/>
      <c r="ER345" s="294" t="s">
        <v>1301</v>
      </c>
      <c r="ES345"/>
      <c r="ET345" s="264" t="s">
        <v>3406</v>
      </c>
      <c r="EU345"/>
    </row>
    <row r="346" spans="1:151" s="139" customFormat="1" ht="15" hidden="1" customHeight="1">
      <c r="A346" s="174" t="s">
        <v>1285</v>
      </c>
      <c r="B346" s="141" t="s">
        <v>1286</v>
      </c>
      <c r="C346" s="141" t="s">
        <v>1287</v>
      </c>
      <c r="D346" s="141" t="s">
        <v>1288</v>
      </c>
      <c r="E346" s="141" t="s">
        <v>1289</v>
      </c>
      <c r="F346" s="141" t="s">
        <v>1290</v>
      </c>
      <c r="G346" s="141" t="s">
        <v>1291</v>
      </c>
      <c r="H346" s="141"/>
      <c r="I346" s="141">
        <v>2019</v>
      </c>
      <c r="J346" s="141"/>
      <c r="K346" s="141" t="s">
        <v>1292</v>
      </c>
      <c r="L346" s="141"/>
      <c r="M346" t="str">
        <f t="shared" si="340"/>
        <v>Bosch_2019</v>
      </c>
      <c r="N346" t="s">
        <v>222</v>
      </c>
      <c r="O346" s="175" t="s">
        <v>225</v>
      </c>
      <c r="P346" s="141" t="s">
        <v>223</v>
      </c>
      <c r="Q346" s="264" t="s">
        <v>224</v>
      </c>
      <c r="R346" s="269" t="s">
        <v>1153</v>
      </c>
      <c r="S346" s="174" t="s">
        <v>1308</v>
      </c>
      <c r="T346" s="141" t="s">
        <v>1295</v>
      </c>
      <c r="U346" s="141" t="s">
        <v>1309</v>
      </c>
      <c r="V346" s="141">
        <v>0</v>
      </c>
      <c r="W346" s="141">
        <v>0</v>
      </c>
      <c r="X346" s="141">
        <v>1</v>
      </c>
      <c r="Y346" s="141">
        <v>0</v>
      </c>
      <c r="Z346" s="141">
        <v>0</v>
      </c>
      <c r="AA346" s="141">
        <v>0</v>
      </c>
      <c r="AB346" s="141">
        <v>0</v>
      </c>
      <c r="AC346" s="141">
        <v>0</v>
      </c>
      <c r="AD346" s="141">
        <v>0</v>
      </c>
      <c r="AE346" s="141">
        <v>0</v>
      </c>
      <c r="AF346" s="141">
        <v>0</v>
      </c>
      <c r="AG346" s="141">
        <v>0</v>
      </c>
      <c r="AH346" s="141">
        <v>0</v>
      </c>
      <c r="AI346" s="141">
        <v>0</v>
      </c>
      <c r="AJ346" s="141">
        <v>0</v>
      </c>
      <c r="AK346" s="141">
        <v>0</v>
      </c>
      <c r="AL346" s="141">
        <v>0</v>
      </c>
      <c r="AM346" s="141">
        <v>0</v>
      </c>
      <c r="AN346" s="141">
        <v>0</v>
      </c>
      <c r="AO346" s="141">
        <v>0</v>
      </c>
      <c r="AP346" s="141">
        <v>0</v>
      </c>
      <c r="AQ346" s="141">
        <v>0</v>
      </c>
      <c r="AR346" s="141">
        <v>0</v>
      </c>
      <c r="AS346" s="141">
        <v>0</v>
      </c>
      <c r="AT346" s="141">
        <v>0</v>
      </c>
      <c r="AU346" s="141">
        <v>0</v>
      </c>
      <c r="AV346" s="141">
        <v>0</v>
      </c>
      <c r="AW346" s="141">
        <v>0</v>
      </c>
      <c r="AX346" s="141">
        <f t="shared" si="343"/>
        <v>1</v>
      </c>
      <c r="AY346" s="141">
        <f t="shared" si="344"/>
        <v>1</v>
      </c>
      <c r="AZ346">
        <f t="shared" si="345"/>
        <v>1</v>
      </c>
      <c r="BA346">
        <f t="shared" si="346"/>
        <v>0</v>
      </c>
      <c r="BB346">
        <f t="shared" si="347"/>
        <v>0</v>
      </c>
      <c r="BC346">
        <f t="shared" si="348"/>
        <v>0</v>
      </c>
      <c r="BD346">
        <f t="shared" si="349"/>
        <v>0</v>
      </c>
      <c r="BE346" t="str" cm="1">
        <f t="array" ref="BE346">IF(AY346=1,INDEX($V$7:$AL$7,MATCH(TRUE,INDEX($V346:$AW346&lt;&gt;0,),0)),IF(AY346=0,INDEX($AM$7:$AW$7,MATCH(1,$AM346:$AW346,0)),IF(BF346="Multiple strategies","mixed drivers",IF(BF346="Supply chain","multiple supply","multiple silviculture"))))</f>
        <v>rotation length</v>
      </c>
      <c r="BF346" s="2" t="str" cm="1">
        <f t="array" ref="BF346">IF(COUNTIF(AZ346:BB346,"&lt;&gt;0")=1,INDEX($V$4:$AW$4,MATCH(TRUE,INDEX($V346:$AW346&lt;&gt;0,),0)),IF(COUNTIF(AZ346:BB346,"&lt;&gt;0")=0,INDEX($AM$4:$AW$4,MATCH(1,$AM346:$AW346,0)),"Multiple strategies"))</f>
        <v>Silviculture for removals</v>
      </c>
      <c r="BG346" s="173" t="s">
        <v>321</v>
      </c>
      <c r="BH346" s="141" t="s">
        <v>1296</v>
      </c>
      <c r="BI346" s="141" t="s">
        <v>1297</v>
      </c>
      <c r="BJ346" s="163" t="s">
        <v>1298</v>
      </c>
      <c r="BK346" s="163">
        <v>2405</v>
      </c>
      <c r="BL346" s="176">
        <v>2642</v>
      </c>
      <c r="BM346" s="264">
        <f t="shared" si="350"/>
        <v>1.0985446985446985</v>
      </c>
      <c r="BN346">
        <f t="shared" si="351"/>
        <v>237</v>
      </c>
      <c r="BO346" s="158">
        <f t="shared" si="352"/>
        <v>237000000</v>
      </c>
      <c r="BP346" s="264" t="s">
        <v>395</v>
      </c>
      <c r="BQ346" s="264" t="s">
        <v>426</v>
      </c>
      <c r="BR346" s="151" t="s">
        <v>1299</v>
      </c>
      <c r="BS346" s="141"/>
      <c r="BT346" s="163"/>
      <c r="BU346" s="144" t="str">
        <f>IFERROR(BT346/BS346,"")</f>
        <v/>
      </c>
      <c r="BV346" s="176">
        <v>-45</v>
      </c>
      <c r="BW346"/>
      <c r="BX346">
        <f t="shared" si="353"/>
        <v>-45000000</v>
      </c>
      <c r="BY346">
        <f t="shared" si="338"/>
        <v>-0.189873417721519</v>
      </c>
      <c r="BZ346" s="141">
        <v>0</v>
      </c>
      <c r="CA346" s="141">
        <v>0</v>
      </c>
      <c r="CB346" s="141">
        <v>0</v>
      </c>
      <c r="CC346" s="141">
        <v>0</v>
      </c>
      <c r="CD346" s="141">
        <v>0</v>
      </c>
      <c r="CE346" s="141">
        <v>0</v>
      </c>
      <c r="CF346" s="141">
        <v>0</v>
      </c>
      <c r="CG346" s="141">
        <v>0</v>
      </c>
      <c r="CH346" s="141">
        <v>0</v>
      </c>
      <c r="CI346" s="141">
        <v>0</v>
      </c>
      <c r="CJ346" s="141">
        <v>0</v>
      </c>
      <c r="CK346" s="141">
        <v>0</v>
      </c>
      <c r="CL346" s="141">
        <v>0</v>
      </c>
      <c r="CM346" s="141">
        <v>1</v>
      </c>
      <c r="CN346" t="str">
        <f t="shared" si="354"/>
        <v>refOK</v>
      </c>
      <c r="CO346">
        <f t="shared" si="355"/>
        <v>2405</v>
      </c>
      <c r="CP346">
        <f t="shared" si="356"/>
        <v>2642</v>
      </c>
      <c r="CQ346">
        <f t="shared" si="357"/>
        <v>237000000</v>
      </c>
      <c r="CR346">
        <f t="shared" si="358"/>
        <v>0</v>
      </c>
      <c r="CS346">
        <f t="shared" si="359"/>
        <v>0</v>
      </c>
      <c r="CT346">
        <f t="shared" si="360"/>
        <v>45000000</v>
      </c>
      <c r="CU346">
        <f t="shared" si="361"/>
        <v>0.189873417721519</v>
      </c>
      <c r="CV346" s="2" t="str">
        <f t="shared" si="362"/>
        <v/>
      </c>
      <c r="CW346" s="174" t="s">
        <v>1202</v>
      </c>
      <c r="CX346" s="264" t="str">
        <f t="shared" si="363"/>
        <v>reg</v>
      </c>
      <c r="CY346" s="141" t="s">
        <v>1300</v>
      </c>
      <c r="CZ346" s="141">
        <v>2016</v>
      </c>
      <c r="DA346" s="163">
        <v>2046</v>
      </c>
      <c r="DB346" s="163">
        <v>30</v>
      </c>
      <c r="DC346" t="str">
        <f t="shared" si="364"/>
        <v>1-30</v>
      </c>
      <c r="DD346" s="141">
        <v>1</v>
      </c>
      <c r="DE346" s="141">
        <v>1</v>
      </c>
      <c r="DF346" s="141">
        <v>0</v>
      </c>
      <c r="DG346" s="141">
        <v>1</v>
      </c>
      <c r="DH346"/>
      <c r="DI346">
        <f t="shared" si="365"/>
        <v>3</v>
      </c>
      <c r="DJ346" t="str">
        <f t="shared" si="366"/>
        <v>mixedProduct</v>
      </c>
      <c r="DK346" t="str">
        <f t="shared" si="367"/>
        <v>Upstream</v>
      </c>
      <c r="DL346" t="str">
        <f t="shared" si="368"/>
        <v>Energy</v>
      </c>
      <c r="DM346">
        <f t="shared" si="369"/>
        <v>0</v>
      </c>
      <c r="DN346" t="str">
        <f t="shared" si="370"/>
        <v>Timber</v>
      </c>
      <c r="DO346" s="163">
        <v>0</v>
      </c>
      <c r="DP346" s="141">
        <v>0</v>
      </c>
      <c r="DQ346" s="163">
        <v>0</v>
      </c>
      <c r="DR346" s="163">
        <v>0</v>
      </c>
      <c r="DS346" s="163">
        <v>0</v>
      </c>
      <c r="DT346">
        <f t="shared" si="371"/>
        <v>0</v>
      </c>
      <c r="DU346" s="143" t="str">
        <f t="shared" si="372"/>
        <v>explicit C balance</v>
      </c>
      <c r="DV346" s="163">
        <v>0</v>
      </c>
      <c r="DW346" s="141">
        <v>0</v>
      </c>
      <c r="DX346" s="163">
        <v>0</v>
      </c>
      <c r="DY346" s="163">
        <v>1</v>
      </c>
      <c r="DZ346" s="141">
        <v>0</v>
      </c>
      <c r="EA346" s="141">
        <v>0</v>
      </c>
      <c r="EB346" s="143">
        <v>0</v>
      </c>
      <c r="EC346" s="141">
        <v>0</v>
      </c>
      <c r="ED346" s="143">
        <v>0</v>
      </c>
      <c r="EE346" s="143">
        <v>0</v>
      </c>
      <c r="EF346" s="141">
        <v>1</v>
      </c>
      <c r="EG346" s="163">
        <v>0</v>
      </c>
      <c r="EH346" s="141">
        <v>0</v>
      </c>
      <c r="EI346" s="177">
        <v>0</v>
      </c>
      <c r="EJ346" s="1"/>
      <c r="EK346" t="str">
        <f t="shared" si="373"/>
        <v/>
      </c>
      <c r="EL346" t="str">
        <f t="shared" si="374"/>
        <v/>
      </c>
      <c r="EM346" s="2" t="str">
        <f t="shared" si="339"/>
        <v/>
      </c>
      <c r="EN346" s="141"/>
      <c r="EO346"/>
      <c r="EP346" t="str">
        <f>IF(ISNUMBER(BU346),IF(ABS(BU346-[4]QC_indicators!$B$2)&gt;3*[4]QC_indicators!$C$2,"C ratio",IF(ISNUMBER(BY346),IF(ABS(BY346-[4]QC_indicators!$B$1)&gt;3*[4]QC_indicators!$C$1,"DF","no"))),IF(ISNUMBER(BY346),IF(ABS(BY346-[4]QC_indicators!$B$1)&gt;3*[4]QC_indicators!$C$1,"DF","no")))</f>
        <v>no</v>
      </c>
      <c r="EQ346"/>
      <c r="ER346" s="294" t="s">
        <v>1301</v>
      </c>
      <c r="ES346"/>
      <c r="ET346" s="264" t="s">
        <v>3406</v>
      </c>
      <c r="EU346"/>
    </row>
    <row r="347" spans="1:151" s="139" customFormat="1" ht="15" hidden="1" customHeight="1">
      <c r="A347" s="174" t="s">
        <v>1285</v>
      </c>
      <c r="B347" s="141" t="s">
        <v>1286</v>
      </c>
      <c r="C347" s="141" t="s">
        <v>1287</v>
      </c>
      <c r="D347" s="141" t="s">
        <v>1288</v>
      </c>
      <c r="E347" s="141" t="s">
        <v>1289</v>
      </c>
      <c r="F347" s="141" t="s">
        <v>1290</v>
      </c>
      <c r="G347" s="141" t="s">
        <v>1291</v>
      </c>
      <c r="H347" s="141"/>
      <c r="I347" s="141">
        <v>2019</v>
      </c>
      <c r="J347" s="141"/>
      <c r="K347" s="141" t="s">
        <v>1292</v>
      </c>
      <c r="L347" s="141"/>
      <c r="M347" t="str">
        <f t="shared" si="340"/>
        <v>Bosch_2019</v>
      </c>
      <c r="N347" t="s">
        <v>222</v>
      </c>
      <c r="O347" s="175" t="s">
        <v>225</v>
      </c>
      <c r="P347" s="141" t="s">
        <v>223</v>
      </c>
      <c r="Q347" s="264" t="s">
        <v>224</v>
      </c>
      <c r="R347" s="269" t="s">
        <v>1153</v>
      </c>
      <c r="S347" s="174" t="s">
        <v>1306</v>
      </c>
      <c r="T347" s="141" t="s">
        <v>1307</v>
      </c>
      <c r="U347" s="141" t="s">
        <v>1295</v>
      </c>
      <c r="V347" s="141">
        <v>0</v>
      </c>
      <c r="W347" s="141">
        <v>0</v>
      </c>
      <c r="X347" s="141">
        <v>1</v>
      </c>
      <c r="Y347" s="141">
        <v>0</v>
      </c>
      <c r="Z347" s="141">
        <v>0</v>
      </c>
      <c r="AA347" s="141">
        <v>0</v>
      </c>
      <c r="AB347" s="141">
        <v>0</v>
      </c>
      <c r="AC347" s="141">
        <v>0</v>
      </c>
      <c r="AD347" s="141">
        <v>0</v>
      </c>
      <c r="AE347" s="141">
        <v>0</v>
      </c>
      <c r="AF347" s="141">
        <v>0</v>
      </c>
      <c r="AG347" s="141">
        <v>0</v>
      </c>
      <c r="AH347" s="141">
        <v>0</v>
      </c>
      <c r="AI347" s="141">
        <v>0</v>
      </c>
      <c r="AJ347" s="141">
        <v>0</v>
      </c>
      <c r="AK347" s="141">
        <v>0</v>
      </c>
      <c r="AL347" s="141">
        <v>0</v>
      </c>
      <c r="AM347" s="141">
        <v>0</v>
      </c>
      <c r="AN347" s="141">
        <v>0</v>
      </c>
      <c r="AO347" s="141">
        <v>0</v>
      </c>
      <c r="AP347" s="141">
        <v>0</v>
      </c>
      <c r="AQ347" s="141">
        <v>0</v>
      </c>
      <c r="AR347" s="141">
        <v>0</v>
      </c>
      <c r="AS347" s="141">
        <v>0</v>
      </c>
      <c r="AT347" s="141">
        <v>0</v>
      </c>
      <c r="AU347" s="141">
        <v>0</v>
      </c>
      <c r="AV347" s="141">
        <v>0</v>
      </c>
      <c r="AW347" s="141">
        <v>0</v>
      </c>
      <c r="AX347" s="141">
        <f t="shared" si="343"/>
        <v>1</v>
      </c>
      <c r="AY347" s="141">
        <f t="shared" si="344"/>
        <v>1</v>
      </c>
      <c r="AZ347">
        <f t="shared" si="345"/>
        <v>1</v>
      </c>
      <c r="BA347">
        <f t="shared" si="346"/>
        <v>0</v>
      </c>
      <c r="BB347">
        <f t="shared" si="347"/>
        <v>0</v>
      </c>
      <c r="BC347">
        <f t="shared" si="348"/>
        <v>0</v>
      </c>
      <c r="BD347">
        <f t="shared" si="349"/>
        <v>0</v>
      </c>
      <c r="BE347" t="str" cm="1">
        <f t="array" ref="BE347">IF(AY347=1,INDEX($V$7:$AL$7,MATCH(TRUE,INDEX($V347:$AW347&lt;&gt;0,),0)),IF(AY347=0,INDEX($AM$7:$AW$7,MATCH(1,$AM347:$AW347,0)),IF(BF347="Multiple strategies","mixed drivers",IF(BF347="Supply chain","multiple supply","multiple silviculture"))))</f>
        <v>rotation length</v>
      </c>
      <c r="BF347" s="2" t="str" cm="1">
        <f t="array" ref="BF347">IF(COUNTIF(AZ347:BB347,"&lt;&gt;0")=1,INDEX($V$4:$AW$4,MATCH(TRUE,INDEX($V347:$AW347&lt;&gt;0,),0)),IF(COUNTIF(AZ347:BB347,"&lt;&gt;0")=0,INDEX($AM$4:$AW$4,MATCH(1,$AM347:$AW347,0)),"Multiple strategies"))</f>
        <v>Silviculture for removals</v>
      </c>
      <c r="BG347" s="173" t="s">
        <v>321</v>
      </c>
      <c r="BH347" s="141" t="s">
        <v>1296</v>
      </c>
      <c r="BI347" s="141" t="s">
        <v>1297</v>
      </c>
      <c r="BJ347" s="163" t="s">
        <v>1298</v>
      </c>
      <c r="BK347" s="176">
        <v>2167</v>
      </c>
      <c r="BL347" s="163">
        <v>2405</v>
      </c>
      <c r="BM347" s="163">
        <f t="shared" si="350"/>
        <v>1.1098292570373789</v>
      </c>
      <c r="BN347">
        <f t="shared" si="351"/>
        <v>238</v>
      </c>
      <c r="BO347" s="158">
        <f t="shared" si="352"/>
        <v>238000000</v>
      </c>
      <c r="BP347" s="264" t="s">
        <v>395</v>
      </c>
      <c r="BQ347" s="264" t="s">
        <v>701</v>
      </c>
      <c r="BR347" s="151" t="s">
        <v>1299</v>
      </c>
      <c r="BS347" s="163"/>
      <c r="BT347" s="141"/>
      <c r="BU347" s="144"/>
      <c r="BV347" s="176">
        <v>-0.5</v>
      </c>
      <c r="BW347"/>
      <c r="BX347">
        <f t="shared" si="353"/>
        <v>-500000</v>
      </c>
      <c r="BY347">
        <f t="shared" si="338"/>
        <v>-2.1008403361344537E-3</v>
      </c>
      <c r="BZ347" s="141">
        <v>0</v>
      </c>
      <c r="CA347" s="141">
        <v>0</v>
      </c>
      <c r="CB347" s="141">
        <v>0</v>
      </c>
      <c r="CC347" s="141">
        <v>0</v>
      </c>
      <c r="CD347" s="141">
        <v>0</v>
      </c>
      <c r="CE347" s="141">
        <v>0</v>
      </c>
      <c r="CF347" s="141">
        <v>0</v>
      </c>
      <c r="CG347" s="141">
        <v>0</v>
      </c>
      <c r="CH347" s="141">
        <v>0</v>
      </c>
      <c r="CI347" s="141">
        <v>0</v>
      </c>
      <c r="CJ347" s="141">
        <v>0</v>
      </c>
      <c r="CK347" s="141">
        <v>0</v>
      </c>
      <c r="CL347" s="141">
        <v>0</v>
      </c>
      <c r="CM347" s="141">
        <v>1</v>
      </c>
      <c r="CN347" t="str">
        <f t="shared" si="354"/>
        <v>refOK</v>
      </c>
      <c r="CO347">
        <f t="shared" si="355"/>
        <v>2167</v>
      </c>
      <c r="CP347">
        <f t="shared" si="356"/>
        <v>2405</v>
      </c>
      <c r="CQ347">
        <f t="shared" si="357"/>
        <v>238000000</v>
      </c>
      <c r="CR347">
        <f t="shared" si="358"/>
        <v>0</v>
      </c>
      <c r="CS347">
        <f t="shared" si="359"/>
        <v>0</v>
      </c>
      <c r="CT347">
        <f t="shared" si="360"/>
        <v>500000</v>
      </c>
      <c r="CU347">
        <f t="shared" si="361"/>
        <v>2.1008403361344537E-3</v>
      </c>
      <c r="CV347" s="2" t="str">
        <f t="shared" si="362"/>
        <v/>
      </c>
      <c r="CW347" s="174" t="s">
        <v>1202</v>
      </c>
      <c r="CX347" s="264" t="str">
        <f t="shared" si="363"/>
        <v>reg</v>
      </c>
      <c r="CY347" s="141" t="s">
        <v>1300</v>
      </c>
      <c r="CZ347" s="141">
        <v>2016</v>
      </c>
      <c r="DA347" s="163">
        <v>2046</v>
      </c>
      <c r="DB347" s="163">
        <v>30</v>
      </c>
      <c r="DC347" t="str">
        <f t="shared" si="364"/>
        <v>1-30</v>
      </c>
      <c r="DD347" s="141">
        <v>1</v>
      </c>
      <c r="DE347" s="141">
        <v>1</v>
      </c>
      <c r="DF347" s="141">
        <v>0</v>
      </c>
      <c r="DG347" s="141">
        <v>1</v>
      </c>
      <c r="DH347"/>
      <c r="DI347">
        <f t="shared" si="365"/>
        <v>3</v>
      </c>
      <c r="DJ347" t="str">
        <f t="shared" si="366"/>
        <v>mixedProduct</v>
      </c>
      <c r="DK347" t="str">
        <f t="shared" si="367"/>
        <v>Upstream</v>
      </c>
      <c r="DL347" t="str">
        <f t="shared" si="368"/>
        <v>Energy</v>
      </c>
      <c r="DM347">
        <f t="shared" si="369"/>
        <v>0</v>
      </c>
      <c r="DN347" t="str">
        <f t="shared" si="370"/>
        <v>Timber</v>
      </c>
      <c r="DO347" s="163">
        <v>0</v>
      </c>
      <c r="DP347" s="141">
        <v>1</v>
      </c>
      <c r="DQ347" s="163" t="s">
        <v>1304</v>
      </c>
      <c r="DR347" s="163" t="s">
        <v>1305</v>
      </c>
      <c r="DS347" s="163">
        <v>0</v>
      </c>
      <c r="DT347">
        <f t="shared" si="371"/>
        <v>1</v>
      </c>
      <c r="DU347" s="143" t="str">
        <f t="shared" si="372"/>
        <v>external DF used</v>
      </c>
      <c r="DV347" s="163">
        <v>1</v>
      </c>
      <c r="DW347" s="141">
        <v>1</v>
      </c>
      <c r="DX347" s="163">
        <v>1</v>
      </c>
      <c r="DY347" s="163">
        <v>1</v>
      </c>
      <c r="DZ347" s="141">
        <v>1</v>
      </c>
      <c r="EA347" s="141">
        <v>1</v>
      </c>
      <c r="EB347" s="143">
        <v>0</v>
      </c>
      <c r="EC347" s="141">
        <v>0</v>
      </c>
      <c r="ED347" s="143">
        <v>0</v>
      </c>
      <c r="EE347" s="143">
        <v>0</v>
      </c>
      <c r="EF347" s="141">
        <v>1</v>
      </c>
      <c r="EG347" s="163">
        <v>0</v>
      </c>
      <c r="EH347" s="141">
        <v>0</v>
      </c>
      <c r="EI347" s="177">
        <v>0</v>
      </c>
      <c r="EJ347" s="1"/>
      <c r="EK347" t="str">
        <f t="shared" si="373"/>
        <v/>
      </c>
      <c r="EL347" t="str">
        <f t="shared" si="374"/>
        <v/>
      </c>
      <c r="EM347" s="2" t="str">
        <f t="shared" si="339"/>
        <v/>
      </c>
      <c r="EN347" s="141"/>
      <c r="EO347"/>
      <c r="EP347" t="str">
        <f>IF(ISNUMBER(BU347),IF(ABS(BU347-[4]QC_indicators!$B$2)&gt;3*[4]QC_indicators!$C$2,"C ratio",IF(ISNUMBER(BY347),IF(ABS(BY347-[4]QC_indicators!$B$1)&gt;3*[4]QC_indicators!$C$1,"DF","no"))),IF(ISNUMBER(BY347),IF(ABS(BY347-[4]QC_indicators!$B$1)&gt;3*[4]QC_indicators!$C$1,"DF","no")))</f>
        <v>no</v>
      </c>
      <c r="EQ347"/>
      <c r="ER347" s="294" t="s">
        <v>1301</v>
      </c>
      <c r="ES347"/>
      <c r="ET347" s="264" t="s">
        <v>3406</v>
      </c>
      <c r="EU347"/>
    </row>
    <row r="348" spans="1:151" s="139" customFormat="1" ht="15" hidden="1" customHeight="1">
      <c r="A348" s="174" t="s">
        <v>1285</v>
      </c>
      <c r="B348" s="141" t="s">
        <v>1286</v>
      </c>
      <c r="C348" s="141" t="s">
        <v>1287</v>
      </c>
      <c r="D348" s="141" t="s">
        <v>1288</v>
      </c>
      <c r="E348" s="141" t="s">
        <v>1289</v>
      </c>
      <c r="F348" s="141" t="s">
        <v>1290</v>
      </c>
      <c r="G348" s="141" t="s">
        <v>1291</v>
      </c>
      <c r="H348" s="141"/>
      <c r="I348" s="141">
        <v>2019</v>
      </c>
      <c r="J348" s="141"/>
      <c r="K348" s="141" t="s">
        <v>1292</v>
      </c>
      <c r="L348" s="141"/>
      <c r="M348" t="str">
        <f t="shared" si="340"/>
        <v>Bosch_2019</v>
      </c>
      <c r="N348" t="s">
        <v>222</v>
      </c>
      <c r="O348" s="175" t="s">
        <v>225</v>
      </c>
      <c r="P348" s="141" t="s">
        <v>223</v>
      </c>
      <c r="Q348" s="264" t="s">
        <v>224</v>
      </c>
      <c r="R348" s="269" t="s">
        <v>1153</v>
      </c>
      <c r="S348" s="174" t="s">
        <v>1308</v>
      </c>
      <c r="T348" s="141" t="s">
        <v>1295</v>
      </c>
      <c r="U348" s="141" t="s">
        <v>1309</v>
      </c>
      <c r="V348" s="141">
        <v>0</v>
      </c>
      <c r="W348" s="141">
        <v>0</v>
      </c>
      <c r="X348" s="141">
        <v>1</v>
      </c>
      <c r="Y348" s="141">
        <v>0</v>
      </c>
      <c r="Z348" s="141">
        <v>0</v>
      </c>
      <c r="AA348" s="141">
        <v>0</v>
      </c>
      <c r="AB348" s="141">
        <v>0</v>
      </c>
      <c r="AC348" s="141">
        <v>0</v>
      </c>
      <c r="AD348" s="141">
        <v>0</v>
      </c>
      <c r="AE348" s="141">
        <v>0</v>
      </c>
      <c r="AF348" s="141">
        <v>0</v>
      </c>
      <c r="AG348" s="141">
        <v>0</v>
      </c>
      <c r="AH348" s="141">
        <v>0</v>
      </c>
      <c r="AI348" s="141">
        <v>0</v>
      </c>
      <c r="AJ348" s="141">
        <v>0</v>
      </c>
      <c r="AK348" s="141">
        <v>0</v>
      </c>
      <c r="AL348" s="141">
        <v>0</v>
      </c>
      <c r="AM348" s="141">
        <v>0</v>
      </c>
      <c r="AN348" s="141">
        <v>0</v>
      </c>
      <c r="AO348" s="141">
        <v>0</v>
      </c>
      <c r="AP348" s="141">
        <v>0</v>
      </c>
      <c r="AQ348" s="141">
        <v>0</v>
      </c>
      <c r="AR348" s="141">
        <v>0</v>
      </c>
      <c r="AS348" s="141">
        <v>0</v>
      </c>
      <c r="AT348" s="141">
        <v>0</v>
      </c>
      <c r="AU348" s="141">
        <v>0</v>
      </c>
      <c r="AV348" s="141">
        <v>0</v>
      </c>
      <c r="AW348" s="141">
        <v>0</v>
      </c>
      <c r="AX348" s="141">
        <f t="shared" si="343"/>
        <v>1</v>
      </c>
      <c r="AY348" s="141">
        <f t="shared" si="344"/>
        <v>1</v>
      </c>
      <c r="AZ348">
        <f t="shared" si="345"/>
        <v>1</v>
      </c>
      <c r="BA348">
        <f t="shared" si="346"/>
        <v>0</v>
      </c>
      <c r="BB348">
        <f t="shared" si="347"/>
        <v>0</v>
      </c>
      <c r="BC348">
        <f t="shared" si="348"/>
        <v>0</v>
      </c>
      <c r="BD348">
        <f t="shared" si="349"/>
        <v>0</v>
      </c>
      <c r="BE348" t="str" cm="1">
        <f t="array" ref="BE348">IF(AY348=1,INDEX($V$7:$AL$7,MATCH(TRUE,INDEX($V348:$AW348&lt;&gt;0,),0)),IF(AY348=0,INDEX($AM$7:$AW$7,MATCH(1,$AM348:$AW348,0)),IF(BF348="Multiple strategies","mixed drivers",IF(BF348="Supply chain","multiple supply","multiple silviculture"))))</f>
        <v>rotation length</v>
      </c>
      <c r="BF348" s="2" t="str" cm="1">
        <f t="array" ref="BF348">IF(COUNTIF(AZ348:BB348,"&lt;&gt;0")=1,INDEX($V$4:$AW$4,MATCH(TRUE,INDEX($V348:$AW348&lt;&gt;0,),0)),IF(COUNTIF(AZ348:BB348,"&lt;&gt;0")=0,INDEX($AM$4:$AW$4,MATCH(1,$AM348:$AW348,0)),"Multiple strategies"))</f>
        <v>Silviculture for removals</v>
      </c>
      <c r="BG348" s="173" t="s">
        <v>321</v>
      </c>
      <c r="BH348" s="141" t="s">
        <v>1296</v>
      </c>
      <c r="BI348" s="141" t="s">
        <v>1297</v>
      </c>
      <c r="BJ348" s="163" t="s">
        <v>1298</v>
      </c>
      <c r="BK348" s="163">
        <v>2405</v>
      </c>
      <c r="BL348" s="176">
        <v>2642</v>
      </c>
      <c r="BM348" s="264">
        <f t="shared" si="350"/>
        <v>1.0985446985446985</v>
      </c>
      <c r="BN348">
        <f t="shared" si="351"/>
        <v>237</v>
      </c>
      <c r="BO348" s="158">
        <f t="shared" si="352"/>
        <v>237000000</v>
      </c>
      <c r="BP348" s="264" t="s">
        <v>395</v>
      </c>
      <c r="BQ348" s="264" t="s">
        <v>426</v>
      </c>
      <c r="BR348" s="151" t="s">
        <v>1299</v>
      </c>
      <c r="BS348" s="141"/>
      <c r="BT348" s="163"/>
      <c r="BU348" s="144" t="str">
        <f>IFERROR(BT348/BS348,"")</f>
        <v/>
      </c>
      <c r="BV348" s="176">
        <v>116.5</v>
      </c>
      <c r="BW348"/>
      <c r="BX348">
        <f t="shared" si="353"/>
        <v>116500000</v>
      </c>
      <c r="BY348">
        <f t="shared" si="338"/>
        <v>0.49156118143459915</v>
      </c>
      <c r="BZ348" s="141">
        <v>0</v>
      </c>
      <c r="CA348" s="141">
        <v>0</v>
      </c>
      <c r="CB348" s="141">
        <v>0</v>
      </c>
      <c r="CC348" s="141">
        <v>0</v>
      </c>
      <c r="CD348" s="141">
        <v>0</v>
      </c>
      <c r="CE348" s="141">
        <v>0</v>
      </c>
      <c r="CF348" s="141">
        <v>0</v>
      </c>
      <c r="CG348" s="141">
        <v>0</v>
      </c>
      <c r="CH348" s="141">
        <v>0</v>
      </c>
      <c r="CI348" s="141">
        <v>0</v>
      </c>
      <c r="CJ348" s="141">
        <v>0</v>
      </c>
      <c r="CK348" s="141">
        <v>0</v>
      </c>
      <c r="CL348" s="141">
        <v>0</v>
      </c>
      <c r="CM348" s="141">
        <v>1</v>
      </c>
      <c r="CN348" t="str">
        <f t="shared" si="354"/>
        <v>refOK</v>
      </c>
      <c r="CO348">
        <f t="shared" si="355"/>
        <v>2405</v>
      </c>
      <c r="CP348">
        <f t="shared" si="356"/>
        <v>2642</v>
      </c>
      <c r="CQ348">
        <f t="shared" si="357"/>
        <v>237000000</v>
      </c>
      <c r="CR348">
        <f t="shared" si="358"/>
        <v>0</v>
      </c>
      <c r="CS348">
        <f t="shared" si="359"/>
        <v>0</v>
      </c>
      <c r="CT348">
        <f t="shared" si="360"/>
        <v>-116500000</v>
      </c>
      <c r="CU348">
        <f t="shared" si="361"/>
        <v>-0.49156118143459915</v>
      </c>
      <c r="CV348" s="2" t="str">
        <f t="shared" si="362"/>
        <v/>
      </c>
      <c r="CW348" s="174" t="s">
        <v>1202</v>
      </c>
      <c r="CX348" s="264" t="str">
        <f t="shared" si="363"/>
        <v>reg</v>
      </c>
      <c r="CY348" s="141" t="s">
        <v>1300</v>
      </c>
      <c r="CZ348" s="141">
        <v>2016</v>
      </c>
      <c r="DA348" s="163">
        <v>2046</v>
      </c>
      <c r="DB348" s="163">
        <v>30</v>
      </c>
      <c r="DC348" t="str">
        <f t="shared" si="364"/>
        <v>1-30</v>
      </c>
      <c r="DD348" s="141">
        <v>1</v>
      </c>
      <c r="DE348" s="141">
        <v>1</v>
      </c>
      <c r="DF348" s="141">
        <v>0</v>
      </c>
      <c r="DG348" s="141">
        <v>1</v>
      </c>
      <c r="DH348"/>
      <c r="DI348">
        <f t="shared" si="365"/>
        <v>3</v>
      </c>
      <c r="DJ348" t="str">
        <f t="shared" si="366"/>
        <v>mixedProduct</v>
      </c>
      <c r="DK348" t="str">
        <f t="shared" si="367"/>
        <v>Upstream</v>
      </c>
      <c r="DL348" t="str">
        <f t="shared" si="368"/>
        <v>Energy</v>
      </c>
      <c r="DM348">
        <f t="shared" si="369"/>
        <v>0</v>
      </c>
      <c r="DN348" t="str">
        <f t="shared" si="370"/>
        <v>Timber</v>
      </c>
      <c r="DO348" s="163">
        <v>0</v>
      </c>
      <c r="DP348" s="141">
        <v>1</v>
      </c>
      <c r="DQ348" s="163" t="s">
        <v>1304</v>
      </c>
      <c r="DR348" s="163" t="s">
        <v>1305</v>
      </c>
      <c r="DS348" s="163">
        <v>0</v>
      </c>
      <c r="DT348">
        <f t="shared" si="371"/>
        <v>1</v>
      </c>
      <c r="DU348" s="143" t="str">
        <f t="shared" si="372"/>
        <v>external DF used</v>
      </c>
      <c r="DV348" s="163">
        <v>1</v>
      </c>
      <c r="DW348" s="141">
        <v>1</v>
      </c>
      <c r="DX348" s="163">
        <v>1</v>
      </c>
      <c r="DY348" s="163">
        <v>1</v>
      </c>
      <c r="DZ348" s="141">
        <v>1</v>
      </c>
      <c r="EA348" s="141">
        <v>1</v>
      </c>
      <c r="EB348" s="143">
        <v>0</v>
      </c>
      <c r="EC348" s="141">
        <v>0</v>
      </c>
      <c r="ED348" s="143">
        <v>0</v>
      </c>
      <c r="EE348" s="143">
        <v>0</v>
      </c>
      <c r="EF348" s="141">
        <v>1</v>
      </c>
      <c r="EG348" s="163">
        <v>0</v>
      </c>
      <c r="EH348" s="141">
        <v>0</v>
      </c>
      <c r="EI348" s="177">
        <v>0</v>
      </c>
      <c r="EJ348" s="1"/>
      <c r="EK348" t="str">
        <f t="shared" si="373"/>
        <v/>
      </c>
      <c r="EL348" t="str">
        <f t="shared" si="374"/>
        <v/>
      </c>
      <c r="EM348" s="2" t="str">
        <f t="shared" si="339"/>
        <v/>
      </c>
      <c r="EN348" s="141"/>
      <c r="EO348"/>
      <c r="EP348" t="str">
        <f>IF(ISNUMBER(BU348),IF(ABS(BU348-[4]QC_indicators!$B$2)&gt;3*[4]QC_indicators!$C$2,"C ratio",IF(ISNUMBER(BY348),IF(ABS(BY348-[4]QC_indicators!$B$1)&gt;3*[4]QC_indicators!$C$1,"DF","no"))),IF(ISNUMBER(BY348),IF(ABS(BY348-[4]QC_indicators!$B$1)&gt;3*[4]QC_indicators!$C$1,"DF","no")))</f>
        <v>no</v>
      </c>
      <c r="EQ348"/>
      <c r="ER348" s="294" t="s">
        <v>1301</v>
      </c>
      <c r="ES348"/>
      <c r="ET348" s="264" t="s">
        <v>3406</v>
      </c>
      <c r="EU348"/>
    </row>
    <row r="349" spans="1:151" s="139" customFormat="1" ht="15" hidden="1" customHeight="1">
      <c r="A349" s="174" t="s">
        <v>1285</v>
      </c>
      <c r="B349" s="141" t="s">
        <v>1286</v>
      </c>
      <c r="C349" s="141" t="s">
        <v>1287</v>
      </c>
      <c r="D349" s="141" t="s">
        <v>1288</v>
      </c>
      <c r="E349" s="141" t="s">
        <v>1289</v>
      </c>
      <c r="F349" s="141" t="s">
        <v>1290</v>
      </c>
      <c r="G349" s="141" t="s">
        <v>1291</v>
      </c>
      <c r="H349" s="141"/>
      <c r="I349" s="141">
        <v>2019</v>
      </c>
      <c r="J349" s="141"/>
      <c r="K349" s="141" t="s">
        <v>1292</v>
      </c>
      <c r="L349" s="141"/>
      <c r="M349" t="str">
        <f t="shared" si="340"/>
        <v>Bosch_2019</v>
      </c>
      <c r="N349" t="s">
        <v>222</v>
      </c>
      <c r="O349" s="175" t="s">
        <v>225</v>
      </c>
      <c r="P349" s="141" t="s">
        <v>223</v>
      </c>
      <c r="Q349" s="264" t="s">
        <v>224</v>
      </c>
      <c r="R349" s="269" t="s">
        <v>1153</v>
      </c>
      <c r="S349" s="174" t="s">
        <v>1293</v>
      </c>
      <c r="T349" s="141" t="s">
        <v>1294</v>
      </c>
      <c r="U349" s="141" t="s">
        <v>1295</v>
      </c>
      <c r="V349" s="141">
        <v>1</v>
      </c>
      <c r="W349" s="141">
        <v>0</v>
      </c>
      <c r="X349" s="141">
        <v>0</v>
      </c>
      <c r="Y349" s="141">
        <v>0</v>
      </c>
      <c r="Z349" s="141">
        <v>0</v>
      </c>
      <c r="AA349" s="141">
        <v>0</v>
      </c>
      <c r="AB349" s="141">
        <v>0</v>
      </c>
      <c r="AC349" s="141">
        <v>0</v>
      </c>
      <c r="AD349" s="141">
        <v>0</v>
      </c>
      <c r="AE349" s="141">
        <v>0</v>
      </c>
      <c r="AF349" s="141">
        <v>0</v>
      </c>
      <c r="AG349" s="141">
        <v>0</v>
      </c>
      <c r="AH349" s="141">
        <v>0</v>
      </c>
      <c r="AI349" s="141">
        <v>0</v>
      </c>
      <c r="AJ349" s="141">
        <v>0</v>
      </c>
      <c r="AK349" s="141">
        <v>0</v>
      </c>
      <c r="AL349" s="141">
        <v>0</v>
      </c>
      <c r="AM349" s="141">
        <v>0</v>
      </c>
      <c r="AN349" s="141">
        <v>0</v>
      </c>
      <c r="AO349" s="141">
        <v>0</v>
      </c>
      <c r="AP349" s="141">
        <v>0</v>
      </c>
      <c r="AQ349" s="141">
        <v>0</v>
      </c>
      <c r="AR349" s="141">
        <v>0</v>
      </c>
      <c r="AS349" s="141">
        <v>0</v>
      </c>
      <c r="AT349" s="141">
        <v>0</v>
      </c>
      <c r="AU349" s="141">
        <v>0</v>
      </c>
      <c r="AV349" s="141">
        <v>0</v>
      </c>
      <c r="AW349" s="141">
        <v>0</v>
      </c>
      <c r="AX349" s="141">
        <f t="shared" si="343"/>
        <v>1</v>
      </c>
      <c r="AY349" s="141">
        <f t="shared" si="344"/>
        <v>1</v>
      </c>
      <c r="AZ349">
        <f t="shared" si="345"/>
        <v>1</v>
      </c>
      <c r="BA349">
        <f t="shared" si="346"/>
        <v>0</v>
      </c>
      <c r="BB349">
        <f t="shared" si="347"/>
        <v>0</v>
      </c>
      <c r="BC349">
        <f t="shared" si="348"/>
        <v>0</v>
      </c>
      <c r="BD349">
        <f t="shared" si="349"/>
        <v>0</v>
      </c>
      <c r="BE349" t="str" cm="1">
        <f t="array" ref="BE349">IF(AY349=1,INDEX($V$7:$AL$7,MATCH(TRUE,INDEX($V349:$AW349&lt;&gt;0,),0)),IF(AY349=0,INDEX($AM$7:$AW$7,MATCH(1,$AM349:$AW349,0)),IF(BF349="Multiple strategies","mixed drivers",IF(BF349="Supply chain","multiple supply","multiple silviculture"))))</f>
        <v>area subject to harvest</v>
      </c>
      <c r="BF349" s="2" t="str" cm="1">
        <f t="array" ref="BF349">IF(COUNTIF(AZ349:BB349,"&lt;&gt;0")=1,INDEX($V$4:$AW$4,MATCH(TRUE,INDEX($V349:$AW349&lt;&gt;0,),0)),IF(COUNTIF(AZ349:BB349,"&lt;&gt;0")=0,INDEX($AM$4:$AW$4,MATCH(1,$AM349:$AW349,0)),"Multiple strategies"))</f>
        <v>Silviculture for removals</v>
      </c>
      <c r="BG349" s="173" t="s">
        <v>321</v>
      </c>
      <c r="BH349" s="141" t="s">
        <v>1296</v>
      </c>
      <c r="BI349" s="141" t="s">
        <v>1297</v>
      </c>
      <c r="BJ349" s="163" t="s">
        <v>1298</v>
      </c>
      <c r="BK349" s="158">
        <v>2159</v>
      </c>
      <c r="BL349" s="163">
        <v>2405</v>
      </c>
      <c r="BM349" s="264">
        <f t="shared" si="350"/>
        <v>1.1139416396479851</v>
      </c>
      <c r="BN349">
        <f t="shared" si="351"/>
        <v>246</v>
      </c>
      <c r="BO349" s="158">
        <f t="shared" si="352"/>
        <v>246000000</v>
      </c>
      <c r="BP349" s="264" t="s">
        <v>395</v>
      </c>
      <c r="BQ349" s="153" t="s">
        <v>786</v>
      </c>
      <c r="BR349" s="151" t="s">
        <v>1299</v>
      </c>
      <c r="BS349" s="141"/>
      <c r="BT349" s="163"/>
      <c r="BU349" s="144" t="str">
        <f>IFERROR(BT349/BS349,"")</f>
        <v/>
      </c>
      <c r="BV349" s="176">
        <v>190</v>
      </c>
      <c r="BW349"/>
      <c r="BX349">
        <f t="shared" si="353"/>
        <v>190000000</v>
      </c>
      <c r="BY349">
        <f t="shared" si="338"/>
        <v>0.77235772357723576</v>
      </c>
      <c r="BZ349" s="141">
        <v>0</v>
      </c>
      <c r="CA349" s="141">
        <v>0</v>
      </c>
      <c r="CB349" s="141">
        <v>0</v>
      </c>
      <c r="CC349" s="141">
        <v>0</v>
      </c>
      <c r="CD349" s="141">
        <v>0</v>
      </c>
      <c r="CE349" s="141">
        <v>0</v>
      </c>
      <c r="CF349" s="141">
        <v>0</v>
      </c>
      <c r="CG349" s="141">
        <v>0</v>
      </c>
      <c r="CH349" s="141">
        <v>0</v>
      </c>
      <c r="CI349" s="141">
        <v>0</v>
      </c>
      <c r="CJ349" s="141">
        <v>0</v>
      </c>
      <c r="CK349" s="141">
        <v>0</v>
      </c>
      <c r="CL349" s="141">
        <v>0</v>
      </c>
      <c r="CM349" s="141">
        <v>1</v>
      </c>
      <c r="CN349" t="str">
        <f t="shared" si="354"/>
        <v>refOK</v>
      </c>
      <c r="CO349">
        <f t="shared" si="355"/>
        <v>2159</v>
      </c>
      <c r="CP349">
        <f t="shared" si="356"/>
        <v>2405</v>
      </c>
      <c r="CQ349">
        <f t="shared" si="357"/>
        <v>246000000</v>
      </c>
      <c r="CR349">
        <f t="shared" si="358"/>
        <v>0</v>
      </c>
      <c r="CS349">
        <f t="shared" si="359"/>
        <v>0</v>
      </c>
      <c r="CT349">
        <f t="shared" si="360"/>
        <v>-190000000</v>
      </c>
      <c r="CU349">
        <f t="shared" si="361"/>
        <v>-0.77235772357723576</v>
      </c>
      <c r="CV349" s="2" t="str">
        <f t="shared" si="362"/>
        <v/>
      </c>
      <c r="CW349" s="174" t="s">
        <v>1202</v>
      </c>
      <c r="CX349" s="264" t="str">
        <f t="shared" si="363"/>
        <v>reg</v>
      </c>
      <c r="CY349" s="141" t="s">
        <v>1300</v>
      </c>
      <c r="CZ349" s="141">
        <v>2016</v>
      </c>
      <c r="DA349" s="163">
        <v>2046</v>
      </c>
      <c r="DB349" s="163">
        <v>30</v>
      </c>
      <c r="DC349" t="str">
        <f t="shared" si="364"/>
        <v>1-30</v>
      </c>
      <c r="DD349" s="141">
        <v>1</v>
      </c>
      <c r="DE349" s="141">
        <v>1</v>
      </c>
      <c r="DF349" s="141">
        <v>0</v>
      </c>
      <c r="DG349" s="141">
        <v>1</v>
      </c>
      <c r="DH349"/>
      <c r="DI349">
        <f t="shared" si="365"/>
        <v>3</v>
      </c>
      <c r="DJ349" t="str">
        <f t="shared" si="366"/>
        <v>mixedProduct</v>
      </c>
      <c r="DK349" t="str">
        <f t="shared" si="367"/>
        <v>Upstream</v>
      </c>
      <c r="DL349" t="str">
        <f t="shared" si="368"/>
        <v>Energy</v>
      </c>
      <c r="DM349">
        <f t="shared" si="369"/>
        <v>0</v>
      </c>
      <c r="DN349" t="str">
        <f t="shared" si="370"/>
        <v>Timber</v>
      </c>
      <c r="DO349" s="163">
        <v>0</v>
      </c>
      <c r="DP349" s="141">
        <v>0</v>
      </c>
      <c r="DQ349" s="163">
        <v>0</v>
      </c>
      <c r="DR349" s="163">
        <v>0</v>
      </c>
      <c r="DS349" s="163">
        <v>0</v>
      </c>
      <c r="DT349">
        <f t="shared" si="371"/>
        <v>0</v>
      </c>
      <c r="DU349" s="143" t="str">
        <f t="shared" si="372"/>
        <v>explicit C balance</v>
      </c>
      <c r="DV349" s="163">
        <v>1</v>
      </c>
      <c r="DW349" s="141">
        <v>1</v>
      </c>
      <c r="DX349" s="163">
        <v>1</v>
      </c>
      <c r="DY349" s="163">
        <v>1</v>
      </c>
      <c r="DZ349" s="141">
        <v>0</v>
      </c>
      <c r="EA349" s="141">
        <v>0</v>
      </c>
      <c r="EB349" s="143">
        <v>0</v>
      </c>
      <c r="EC349" s="141">
        <v>0</v>
      </c>
      <c r="ED349" s="143">
        <v>0</v>
      </c>
      <c r="EE349" s="143">
        <v>0</v>
      </c>
      <c r="EF349" s="141">
        <v>1</v>
      </c>
      <c r="EG349" s="163">
        <v>0</v>
      </c>
      <c r="EH349" s="141">
        <v>0</v>
      </c>
      <c r="EI349" s="177">
        <v>0</v>
      </c>
      <c r="EJ349" s="1"/>
      <c r="EK349" t="str">
        <f t="shared" si="373"/>
        <v/>
      </c>
      <c r="EL349" t="str">
        <f t="shared" si="374"/>
        <v>Ecosystem approach</v>
      </c>
      <c r="EM349" s="2" t="str">
        <f t="shared" si="339"/>
        <v/>
      </c>
      <c r="EN349" s="141"/>
      <c r="EO349"/>
      <c r="EP349" t="str">
        <f>IF(ISNUMBER(BU349),IF(ABS(BU349-[4]QC_indicators!$B$2)&gt;3*[4]QC_indicators!$C$2,"C ratio",IF(ISNUMBER(BY349),IF(ABS(BY349-[4]QC_indicators!$B$1)&gt;3*[4]QC_indicators!$C$1,"DF","no"))),IF(ISNUMBER(BY349),IF(ABS(BY349-[4]QC_indicators!$B$1)&gt;3*[4]QC_indicators!$C$1,"DF","no")))</f>
        <v>no</v>
      </c>
      <c r="EQ349"/>
      <c r="ER349" s="294" t="s">
        <v>1301</v>
      </c>
      <c r="ES349"/>
      <c r="ET349" s="264" t="s">
        <v>3406</v>
      </c>
      <c r="EU349"/>
    </row>
    <row r="350" spans="1:151" s="139" customFormat="1" ht="15" hidden="1" customHeight="1">
      <c r="A350" s="174" t="s">
        <v>1285</v>
      </c>
      <c r="B350" s="141" t="s">
        <v>1286</v>
      </c>
      <c r="C350" s="141" t="s">
        <v>1287</v>
      </c>
      <c r="D350" s="141" t="s">
        <v>1288</v>
      </c>
      <c r="E350" s="141" t="s">
        <v>1289</v>
      </c>
      <c r="F350" s="141" t="s">
        <v>1290</v>
      </c>
      <c r="G350" s="141" t="s">
        <v>1291</v>
      </c>
      <c r="H350" s="141"/>
      <c r="I350" s="141">
        <v>2019</v>
      </c>
      <c r="J350" s="141"/>
      <c r="K350" s="141" t="s">
        <v>1292</v>
      </c>
      <c r="L350" s="141"/>
      <c r="M350" t="str">
        <f t="shared" si="340"/>
        <v>Bosch_2019</v>
      </c>
      <c r="N350" t="s">
        <v>222</v>
      </c>
      <c r="O350" s="175" t="s">
        <v>225</v>
      </c>
      <c r="P350" s="141" t="s">
        <v>223</v>
      </c>
      <c r="Q350" s="264" t="s">
        <v>224</v>
      </c>
      <c r="R350" s="269" t="s">
        <v>1153</v>
      </c>
      <c r="S350" s="174" t="s">
        <v>1302</v>
      </c>
      <c r="T350" s="141" t="s">
        <v>1303</v>
      </c>
      <c r="U350" s="141" t="s">
        <v>1295</v>
      </c>
      <c r="V350" s="141">
        <v>1</v>
      </c>
      <c r="W350" s="141">
        <v>0</v>
      </c>
      <c r="X350" s="141">
        <v>0</v>
      </c>
      <c r="Y350" s="141">
        <v>0</v>
      </c>
      <c r="Z350" s="141">
        <v>0</v>
      </c>
      <c r="AA350" s="141">
        <v>0</v>
      </c>
      <c r="AB350" s="141">
        <v>0</v>
      </c>
      <c r="AC350" s="141">
        <v>0</v>
      </c>
      <c r="AD350" s="141">
        <v>0</v>
      </c>
      <c r="AE350" s="141">
        <v>0</v>
      </c>
      <c r="AF350" s="141">
        <v>0</v>
      </c>
      <c r="AG350" s="141">
        <v>0</v>
      </c>
      <c r="AH350" s="141">
        <v>0</v>
      </c>
      <c r="AI350" s="141">
        <v>0</v>
      </c>
      <c r="AJ350" s="141">
        <v>0</v>
      </c>
      <c r="AK350" s="141">
        <v>0</v>
      </c>
      <c r="AL350" s="141">
        <v>0</v>
      </c>
      <c r="AM350" s="141">
        <v>0</v>
      </c>
      <c r="AN350" s="141">
        <v>0</v>
      </c>
      <c r="AO350" s="141">
        <v>0</v>
      </c>
      <c r="AP350" s="141">
        <v>0</v>
      </c>
      <c r="AQ350" s="141">
        <v>0</v>
      </c>
      <c r="AR350" s="141">
        <v>0</v>
      </c>
      <c r="AS350" s="141">
        <v>0</v>
      </c>
      <c r="AT350" s="141">
        <v>0</v>
      </c>
      <c r="AU350" s="141">
        <v>0</v>
      </c>
      <c r="AV350" s="141">
        <v>0</v>
      </c>
      <c r="AW350" s="141">
        <v>0</v>
      </c>
      <c r="AX350" s="141">
        <f t="shared" si="343"/>
        <v>1</v>
      </c>
      <c r="AY350" s="141">
        <f t="shared" si="344"/>
        <v>1</v>
      </c>
      <c r="AZ350">
        <f t="shared" si="345"/>
        <v>1</v>
      </c>
      <c r="BA350">
        <f t="shared" si="346"/>
        <v>0</v>
      </c>
      <c r="BB350">
        <f t="shared" si="347"/>
        <v>0</v>
      </c>
      <c r="BC350">
        <f t="shared" si="348"/>
        <v>0</v>
      </c>
      <c r="BD350">
        <f t="shared" si="349"/>
        <v>0</v>
      </c>
      <c r="BE350" t="str" cm="1">
        <f t="array" ref="BE350">IF(AY350=1,INDEX($V$7:$AL$7,MATCH(TRUE,INDEX($V350:$AW350&lt;&gt;0,),0)),IF(AY350=0,INDEX($AM$7:$AW$7,MATCH(1,$AM350:$AW350,0)),IF(BF350="Multiple strategies","mixed drivers",IF(BF350="Supply chain","multiple supply","multiple silviculture"))))</f>
        <v>area subject to harvest</v>
      </c>
      <c r="BF350" s="2" t="str" cm="1">
        <f t="array" ref="BF350">IF(COUNTIF(AZ350:BB350,"&lt;&gt;0")=1,INDEX($V$4:$AW$4,MATCH(TRUE,INDEX($V350:$AW350&lt;&gt;0,),0)),IF(COUNTIF(AZ350:BB350,"&lt;&gt;0")=0,INDEX($AM$4:$AW$4,MATCH(1,$AM350:$AW350,0)),"Multiple strategies"))</f>
        <v>Silviculture for removals</v>
      </c>
      <c r="BG350" s="173" t="s">
        <v>321</v>
      </c>
      <c r="BH350" s="141" t="s">
        <v>1296</v>
      </c>
      <c r="BI350" s="141" t="s">
        <v>1297</v>
      </c>
      <c r="BJ350" s="163" t="s">
        <v>1298</v>
      </c>
      <c r="BK350" s="176">
        <v>2330</v>
      </c>
      <c r="BL350" s="163">
        <v>2405</v>
      </c>
      <c r="BM350" s="264">
        <f t="shared" si="350"/>
        <v>1.0321888412017168</v>
      </c>
      <c r="BN350">
        <f t="shared" si="351"/>
        <v>75</v>
      </c>
      <c r="BO350" s="158">
        <f t="shared" si="352"/>
        <v>75000000</v>
      </c>
      <c r="BP350" s="264" t="s">
        <v>395</v>
      </c>
      <c r="BQ350" s="153" t="s">
        <v>429</v>
      </c>
      <c r="BR350" s="151" t="s">
        <v>1299</v>
      </c>
      <c r="BS350" s="141"/>
      <c r="BT350" s="163"/>
      <c r="BU350" s="144" t="str">
        <f>IFERROR(BT350/BS350,"")</f>
        <v/>
      </c>
      <c r="BV350" s="176">
        <v>58</v>
      </c>
      <c r="BW350"/>
      <c r="BX350">
        <f t="shared" si="353"/>
        <v>58000000</v>
      </c>
      <c r="BY350">
        <f t="shared" si="338"/>
        <v>0.77333333333333332</v>
      </c>
      <c r="BZ350" s="141">
        <v>0</v>
      </c>
      <c r="CA350" s="141">
        <v>0</v>
      </c>
      <c r="CB350" s="141">
        <v>0</v>
      </c>
      <c r="CC350" s="141">
        <v>0</v>
      </c>
      <c r="CD350" s="141">
        <v>0</v>
      </c>
      <c r="CE350" s="141">
        <v>0</v>
      </c>
      <c r="CF350" s="141">
        <v>0</v>
      </c>
      <c r="CG350" s="141">
        <v>0</v>
      </c>
      <c r="CH350" s="141">
        <v>0</v>
      </c>
      <c r="CI350" s="141">
        <v>0</v>
      </c>
      <c r="CJ350" s="141">
        <v>0</v>
      </c>
      <c r="CK350" s="141">
        <v>0</v>
      </c>
      <c r="CL350" s="141">
        <v>0</v>
      </c>
      <c r="CM350" s="141">
        <v>1</v>
      </c>
      <c r="CN350" t="str">
        <f t="shared" si="354"/>
        <v>refOK</v>
      </c>
      <c r="CO350">
        <f t="shared" si="355"/>
        <v>2330</v>
      </c>
      <c r="CP350">
        <f t="shared" si="356"/>
        <v>2405</v>
      </c>
      <c r="CQ350">
        <f t="shared" si="357"/>
        <v>75000000</v>
      </c>
      <c r="CR350">
        <f t="shared" si="358"/>
        <v>0</v>
      </c>
      <c r="CS350">
        <f t="shared" si="359"/>
        <v>0</v>
      </c>
      <c r="CT350">
        <f t="shared" si="360"/>
        <v>-58000000</v>
      </c>
      <c r="CU350">
        <f t="shared" si="361"/>
        <v>-0.77333333333333332</v>
      </c>
      <c r="CV350" s="2" t="str">
        <f t="shared" si="362"/>
        <v/>
      </c>
      <c r="CW350" s="174" t="s">
        <v>1202</v>
      </c>
      <c r="CX350" s="264" t="str">
        <f t="shared" si="363"/>
        <v>reg</v>
      </c>
      <c r="CY350" s="141" t="s">
        <v>1300</v>
      </c>
      <c r="CZ350" s="141">
        <v>2016</v>
      </c>
      <c r="DA350" s="163">
        <v>2046</v>
      </c>
      <c r="DB350" s="163">
        <v>30</v>
      </c>
      <c r="DC350" t="str">
        <f t="shared" si="364"/>
        <v>1-30</v>
      </c>
      <c r="DD350" s="141">
        <v>1</v>
      </c>
      <c r="DE350" s="141">
        <v>1</v>
      </c>
      <c r="DF350" s="141">
        <v>0</v>
      </c>
      <c r="DG350" s="141">
        <v>1</v>
      </c>
      <c r="DH350"/>
      <c r="DI350">
        <f t="shared" si="365"/>
        <v>3</v>
      </c>
      <c r="DJ350" t="str">
        <f t="shared" si="366"/>
        <v>mixedProduct</v>
      </c>
      <c r="DK350" t="str">
        <f t="shared" si="367"/>
        <v>Upstream</v>
      </c>
      <c r="DL350" t="str">
        <f t="shared" si="368"/>
        <v>Energy</v>
      </c>
      <c r="DM350">
        <f t="shared" si="369"/>
        <v>0</v>
      </c>
      <c r="DN350" t="str">
        <f t="shared" si="370"/>
        <v>Timber</v>
      </c>
      <c r="DO350" s="163">
        <v>0</v>
      </c>
      <c r="DP350" s="141">
        <v>0</v>
      </c>
      <c r="DQ350" s="163">
        <v>0</v>
      </c>
      <c r="DR350" s="163">
        <v>0</v>
      </c>
      <c r="DS350" s="163">
        <v>0</v>
      </c>
      <c r="DT350">
        <f t="shared" si="371"/>
        <v>0</v>
      </c>
      <c r="DU350" s="143" t="str">
        <f t="shared" si="372"/>
        <v>explicit C balance</v>
      </c>
      <c r="DV350" s="163">
        <v>1</v>
      </c>
      <c r="DW350" s="141">
        <v>1</v>
      </c>
      <c r="DX350" s="163">
        <v>1</v>
      </c>
      <c r="DY350" s="163">
        <v>1</v>
      </c>
      <c r="DZ350" s="141">
        <v>0</v>
      </c>
      <c r="EA350" s="141">
        <v>0</v>
      </c>
      <c r="EB350" s="143">
        <v>0</v>
      </c>
      <c r="EC350" s="141">
        <v>0</v>
      </c>
      <c r="ED350" s="143">
        <v>0</v>
      </c>
      <c r="EE350" s="143">
        <v>0</v>
      </c>
      <c r="EF350" s="141">
        <v>1</v>
      </c>
      <c r="EG350" s="163">
        <v>0</v>
      </c>
      <c r="EH350" s="141">
        <v>0</v>
      </c>
      <c r="EI350" s="177">
        <v>0</v>
      </c>
      <c r="EJ350" s="1"/>
      <c r="EK350" t="str">
        <f t="shared" si="373"/>
        <v/>
      </c>
      <c r="EL350" t="str">
        <f t="shared" si="374"/>
        <v>Ecosystem approach</v>
      </c>
      <c r="EM350" s="2" t="str">
        <f t="shared" si="339"/>
        <v/>
      </c>
      <c r="EN350" s="141"/>
      <c r="EO350"/>
      <c r="EP350" t="str">
        <f>IF(ISNUMBER(BU350),IF(ABS(BU350-[4]QC_indicators!$B$2)&gt;3*[4]QC_indicators!$C$2,"C ratio",IF(ISNUMBER(BY350),IF(ABS(BY350-[4]QC_indicators!$B$1)&gt;3*[4]QC_indicators!$C$1,"DF","no"))),IF(ISNUMBER(BY350),IF(ABS(BY350-[4]QC_indicators!$B$1)&gt;3*[4]QC_indicators!$C$1,"DF","no")))</f>
        <v>no</v>
      </c>
      <c r="EQ350"/>
      <c r="ER350" s="294" t="s">
        <v>1301</v>
      </c>
      <c r="ES350"/>
      <c r="ET350" s="264" t="s">
        <v>3406</v>
      </c>
      <c r="EU350"/>
    </row>
    <row r="351" spans="1:151" s="139" customFormat="1" ht="15" hidden="1" customHeight="1">
      <c r="A351" s="174" t="s">
        <v>1285</v>
      </c>
      <c r="B351" s="141" t="s">
        <v>1286</v>
      </c>
      <c r="C351" s="141" t="s">
        <v>1287</v>
      </c>
      <c r="D351" s="141" t="s">
        <v>1288</v>
      </c>
      <c r="E351" s="141" t="s">
        <v>1289</v>
      </c>
      <c r="F351" s="141" t="s">
        <v>1290</v>
      </c>
      <c r="G351" s="141" t="s">
        <v>1291</v>
      </c>
      <c r="H351" s="141"/>
      <c r="I351" s="141">
        <v>2019</v>
      </c>
      <c r="J351" s="141"/>
      <c r="K351" s="141" t="s">
        <v>1292</v>
      </c>
      <c r="L351" s="141"/>
      <c r="M351" t="str">
        <f t="shared" si="340"/>
        <v>Bosch_2019</v>
      </c>
      <c r="N351" t="s">
        <v>222</v>
      </c>
      <c r="O351" s="175" t="s">
        <v>225</v>
      </c>
      <c r="P351" s="141" t="s">
        <v>223</v>
      </c>
      <c r="Q351" s="264" t="s">
        <v>224</v>
      </c>
      <c r="R351" s="269" t="s">
        <v>1153</v>
      </c>
      <c r="S351" s="174" t="s">
        <v>1306</v>
      </c>
      <c r="T351" s="141" t="s">
        <v>1307</v>
      </c>
      <c r="U351" s="141" t="s">
        <v>1295</v>
      </c>
      <c r="V351" s="141">
        <v>0</v>
      </c>
      <c r="W351" s="141">
        <v>0</v>
      </c>
      <c r="X351" s="141">
        <v>1</v>
      </c>
      <c r="Y351" s="141">
        <v>0</v>
      </c>
      <c r="Z351" s="141">
        <v>0</v>
      </c>
      <c r="AA351" s="141">
        <v>0</v>
      </c>
      <c r="AB351" s="141">
        <v>0</v>
      </c>
      <c r="AC351" s="141">
        <v>0</v>
      </c>
      <c r="AD351" s="141">
        <v>0</v>
      </c>
      <c r="AE351" s="141">
        <v>0</v>
      </c>
      <c r="AF351" s="141">
        <v>0</v>
      </c>
      <c r="AG351" s="141">
        <v>0</v>
      </c>
      <c r="AH351" s="141">
        <v>0</v>
      </c>
      <c r="AI351" s="141">
        <v>0</v>
      </c>
      <c r="AJ351" s="141">
        <v>0</v>
      </c>
      <c r="AK351" s="141">
        <v>0</v>
      </c>
      <c r="AL351" s="141">
        <v>0</v>
      </c>
      <c r="AM351" s="141">
        <v>0</v>
      </c>
      <c r="AN351" s="141">
        <v>0</v>
      </c>
      <c r="AO351" s="141">
        <v>0</v>
      </c>
      <c r="AP351" s="141">
        <v>0</v>
      </c>
      <c r="AQ351" s="141">
        <v>0</v>
      </c>
      <c r="AR351" s="141">
        <v>0</v>
      </c>
      <c r="AS351" s="141">
        <v>0</v>
      </c>
      <c r="AT351" s="141">
        <v>0</v>
      </c>
      <c r="AU351" s="141">
        <v>0</v>
      </c>
      <c r="AV351" s="141">
        <v>0</v>
      </c>
      <c r="AW351" s="141">
        <v>0</v>
      </c>
      <c r="AX351" s="141">
        <f t="shared" si="343"/>
        <v>1</v>
      </c>
      <c r="AY351" s="141">
        <f t="shared" si="344"/>
        <v>1</v>
      </c>
      <c r="AZ351">
        <f t="shared" si="345"/>
        <v>1</v>
      </c>
      <c r="BA351">
        <f t="shared" si="346"/>
        <v>0</v>
      </c>
      <c r="BB351">
        <f t="shared" si="347"/>
        <v>0</v>
      </c>
      <c r="BC351">
        <f t="shared" si="348"/>
        <v>0</v>
      </c>
      <c r="BD351">
        <f t="shared" si="349"/>
        <v>0</v>
      </c>
      <c r="BE351" t="str" cm="1">
        <f t="array" ref="BE351">IF(AY351=1,INDEX($V$7:$AL$7,MATCH(TRUE,INDEX($V351:$AW351&lt;&gt;0,),0)),IF(AY351=0,INDEX($AM$7:$AW$7,MATCH(1,$AM351:$AW351,0)),IF(BF351="Multiple strategies","mixed drivers",IF(BF351="Supply chain","multiple supply","multiple silviculture"))))</f>
        <v>rotation length</v>
      </c>
      <c r="BF351" s="2" t="str" cm="1">
        <f t="array" ref="BF351">IF(COUNTIF(AZ351:BB351,"&lt;&gt;0")=1,INDEX($V$4:$AW$4,MATCH(TRUE,INDEX($V351:$AW351&lt;&gt;0,),0)),IF(COUNTIF(AZ351:BB351,"&lt;&gt;0")=0,INDEX($AM$4:$AW$4,MATCH(1,$AM351:$AW351,0)),"Multiple strategies"))</f>
        <v>Silviculture for removals</v>
      </c>
      <c r="BG351" s="173" t="s">
        <v>321</v>
      </c>
      <c r="BH351" s="141" t="s">
        <v>1296</v>
      </c>
      <c r="BI351" s="141" t="s">
        <v>1297</v>
      </c>
      <c r="BJ351" s="163" t="s">
        <v>1298</v>
      </c>
      <c r="BK351" s="176">
        <v>2167</v>
      </c>
      <c r="BL351" s="163">
        <v>2405</v>
      </c>
      <c r="BM351" s="163">
        <f t="shared" si="350"/>
        <v>1.1098292570373789</v>
      </c>
      <c r="BN351">
        <f t="shared" si="351"/>
        <v>238</v>
      </c>
      <c r="BO351" s="158">
        <f t="shared" si="352"/>
        <v>238000000</v>
      </c>
      <c r="BP351" s="264" t="s">
        <v>395</v>
      </c>
      <c r="BQ351" s="264" t="s">
        <v>701</v>
      </c>
      <c r="BR351" s="151" t="s">
        <v>1299</v>
      </c>
      <c r="BS351" s="163"/>
      <c r="BT351" s="141"/>
      <c r="BU351" s="144"/>
      <c r="BV351" s="176">
        <v>250</v>
      </c>
      <c r="BW351"/>
      <c r="BX351">
        <f t="shared" si="353"/>
        <v>250000000</v>
      </c>
      <c r="BY351">
        <f t="shared" si="338"/>
        <v>1.0504201680672269</v>
      </c>
      <c r="BZ351" s="141">
        <v>0</v>
      </c>
      <c r="CA351" s="141">
        <v>0</v>
      </c>
      <c r="CB351" s="141">
        <v>0</v>
      </c>
      <c r="CC351" s="141">
        <v>0</v>
      </c>
      <c r="CD351" s="141">
        <v>0</v>
      </c>
      <c r="CE351" s="141">
        <v>0</v>
      </c>
      <c r="CF351" s="141">
        <v>0</v>
      </c>
      <c r="CG351" s="141">
        <v>0</v>
      </c>
      <c r="CH351" s="141">
        <v>0</v>
      </c>
      <c r="CI351" s="141">
        <v>0</v>
      </c>
      <c r="CJ351" s="141">
        <v>0</v>
      </c>
      <c r="CK351" s="141">
        <v>0</v>
      </c>
      <c r="CL351" s="141">
        <v>0</v>
      </c>
      <c r="CM351" s="141">
        <v>1</v>
      </c>
      <c r="CN351" t="str">
        <f t="shared" si="354"/>
        <v>refOK</v>
      </c>
      <c r="CO351">
        <f t="shared" si="355"/>
        <v>2167</v>
      </c>
      <c r="CP351">
        <f t="shared" si="356"/>
        <v>2405</v>
      </c>
      <c r="CQ351">
        <f t="shared" si="357"/>
        <v>238000000</v>
      </c>
      <c r="CR351">
        <f t="shared" si="358"/>
        <v>0</v>
      </c>
      <c r="CS351">
        <f t="shared" si="359"/>
        <v>0</v>
      </c>
      <c r="CT351">
        <f t="shared" si="360"/>
        <v>-250000000</v>
      </c>
      <c r="CU351">
        <f t="shared" si="361"/>
        <v>-1.0504201680672269</v>
      </c>
      <c r="CV351" s="2" t="str">
        <f t="shared" si="362"/>
        <v/>
      </c>
      <c r="CW351" s="174" t="s">
        <v>1202</v>
      </c>
      <c r="CX351" s="264" t="str">
        <f t="shared" si="363"/>
        <v>reg</v>
      </c>
      <c r="CY351" s="141" t="s">
        <v>1300</v>
      </c>
      <c r="CZ351" s="141">
        <v>2016</v>
      </c>
      <c r="DA351" s="163">
        <v>2046</v>
      </c>
      <c r="DB351" s="163">
        <v>30</v>
      </c>
      <c r="DC351" t="str">
        <f t="shared" si="364"/>
        <v>1-30</v>
      </c>
      <c r="DD351" s="141">
        <v>1</v>
      </c>
      <c r="DE351" s="141">
        <v>1</v>
      </c>
      <c r="DF351" s="141">
        <v>0</v>
      </c>
      <c r="DG351" s="141">
        <v>1</v>
      </c>
      <c r="DH351"/>
      <c r="DI351">
        <f t="shared" si="365"/>
        <v>3</v>
      </c>
      <c r="DJ351" t="str">
        <f t="shared" si="366"/>
        <v>mixedProduct</v>
      </c>
      <c r="DK351" t="str">
        <f t="shared" si="367"/>
        <v>Upstream</v>
      </c>
      <c r="DL351" t="str">
        <f t="shared" si="368"/>
        <v>Energy</v>
      </c>
      <c r="DM351">
        <f t="shared" si="369"/>
        <v>0</v>
      </c>
      <c r="DN351" t="str">
        <f t="shared" si="370"/>
        <v>Timber</v>
      </c>
      <c r="DO351" s="163">
        <v>0</v>
      </c>
      <c r="DP351" s="141">
        <v>0</v>
      </c>
      <c r="DQ351" s="163">
        <v>0</v>
      </c>
      <c r="DR351" s="163">
        <v>0</v>
      </c>
      <c r="DS351" s="163">
        <v>0</v>
      </c>
      <c r="DT351">
        <f t="shared" si="371"/>
        <v>0</v>
      </c>
      <c r="DU351" s="143" t="str">
        <f t="shared" si="372"/>
        <v>explicit C balance</v>
      </c>
      <c r="DV351" s="163">
        <v>1</v>
      </c>
      <c r="DW351" s="141">
        <v>1</v>
      </c>
      <c r="DX351" s="163">
        <v>1</v>
      </c>
      <c r="DY351" s="163">
        <v>1</v>
      </c>
      <c r="DZ351" s="141">
        <v>0</v>
      </c>
      <c r="EA351" s="141">
        <v>0</v>
      </c>
      <c r="EB351" s="143">
        <v>0</v>
      </c>
      <c r="EC351" s="141">
        <v>0</v>
      </c>
      <c r="ED351" s="143">
        <v>0</v>
      </c>
      <c r="EE351" s="143">
        <v>0</v>
      </c>
      <c r="EF351" s="141">
        <v>1</v>
      </c>
      <c r="EG351" s="163">
        <v>0</v>
      </c>
      <c r="EH351" s="141">
        <v>0</v>
      </c>
      <c r="EI351" s="177">
        <v>0</v>
      </c>
      <c r="EJ351" s="1"/>
      <c r="EK351" t="str">
        <f t="shared" si="373"/>
        <v/>
      </c>
      <c r="EL351" t="str">
        <f t="shared" si="374"/>
        <v>Ecosystem approach</v>
      </c>
      <c r="EM351" s="2" t="str">
        <f t="shared" si="339"/>
        <v/>
      </c>
      <c r="EN351" s="141"/>
      <c r="EO351"/>
      <c r="EP351" t="str">
        <f>IF(ISNUMBER(BU351),IF(ABS(BU351-[4]QC_indicators!$B$2)&gt;3*[4]QC_indicators!$C$2,"C ratio",IF(ISNUMBER(BY351),IF(ABS(BY351-[4]QC_indicators!$B$1)&gt;3*[4]QC_indicators!$C$1,"DF","no"))),IF(ISNUMBER(BY351),IF(ABS(BY351-[4]QC_indicators!$B$1)&gt;3*[4]QC_indicators!$C$1,"DF","no")))</f>
        <v>no</v>
      </c>
      <c r="EQ351"/>
      <c r="ER351" s="294" t="s">
        <v>1301</v>
      </c>
      <c r="ES351"/>
      <c r="ET351" s="264" t="s">
        <v>3406</v>
      </c>
      <c r="EU351"/>
    </row>
    <row r="352" spans="1:151" s="139" customFormat="1" ht="15" hidden="1" customHeight="1">
      <c r="A352" s="174" t="s">
        <v>1285</v>
      </c>
      <c r="B352" s="141" t="s">
        <v>1286</v>
      </c>
      <c r="C352" s="141" t="s">
        <v>1287</v>
      </c>
      <c r="D352" s="141" t="s">
        <v>1288</v>
      </c>
      <c r="E352" s="141" t="s">
        <v>1289</v>
      </c>
      <c r="F352" s="141" t="s">
        <v>1290</v>
      </c>
      <c r="G352" s="141" t="s">
        <v>1291</v>
      </c>
      <c r="H352" s="141"/>
      <c r="I352" s="141">
        <v>2019</v>
      </c>
      <c r="J352" s="141"/>
      <c r="K352" s="141" t="s">
        <v>1292</v>
      </c>
      <c r="L352" s="141"/>
      <c r="M352" t="str">
        <f t="shared" si="340"/>
        <v>Bosch_2019</v>
      </c>
      <c r="N352" t="s">
        <v>222</v>
      </c>
      <c r="O352" s="175" t="s">
        <v>225</v>
      </c>
      <c r="P352" s="141" t="s">
        <v>223</v>
      </c>
      <c r="Q352" s="264" t="s">
        <v>224</v>
      </c>
      <c r="R352" s="269" t="s">
        <v>1153</v>
      </c>
      <c r="S352" s="174" t="s">
        <v>1302</v>
      </c>
      <c r="T352" s="141" t="s">
        <v>1303</v>
      </c>
      <c r="U352" s="141" t="s">
        <v>1295</v>
      </c>
      <c r="V352" s="141">
        <v>1</v>
      </c>
      <c r="W352" s="141">
        <v>0</v>
      </c>
      <c r="X352" s="141">
        <v>0</v>
      </c>
      <c r="Y352" s="141">
        <v>0</v>
      </c>
      <c r="Z352" s="141">
        <v>0</v>
      </c>
      <c r="AA352" s="141">
        <v>0</v>
      </c>
      <c r="AB352" s="141">
        <v>0</v>
      </c>
      <c r="AC352" s="141">
        <v>0</v>
      </c>
      <c r="AD352" s="141">
        <v>0</v>
      </c>
      <c r="AE352" s="141">
        <v>0</v>
      </c>
      <c r="AF352" s="141">
        <v>0</v>
      </c>
      <c r="AG352" s="141">
        <v>0</v>
      </c>
      <c r="AH352" s="141">
        <v>0</v>
      </c>
      <c r="AI352" s="141">
        <v>0</v>
      </c>
      <c r="AJ352" s="141">
        <v>0</v>
      </c>
      <c r="AK352" s="141">
        <v>0</v>
      </c>
      <c r="AL352" s="141">
        <v>0</v>
      </c>
      <c r="AM352" s="141">
        <v>0</v>
      </c>
      <c r="AN352" s="141">
        <v>0</v>
      </c>
      <c r="AO352" s="141">
        <v>0</v>
      </c>
      <c r="AP352" s="141">
        <v>0</v>
      </c>
      <c r="AQ352" s="141">
        <v>0</v>
      </c>
      <c r="AR352" s="141">
        <v>0</v>
      </c>
      <c r="AS352" s="141">
        <v>0</v>
      </c>
      <c r="AT352" s="141">
        <v>0</v>
      </c>
      <c r="AU352" s="141">
        <v>0</v>
      </c>
      <c r="AV352" s="141">
        <v>0</v>
      </c>
      <c r="AW352" s="141">
        <v>0</v>
      </c>
      <c r="AX352" s="141">
        <f t="shared" si="343"/>
        <v>1</v>
      </c>
      <c r="AY352" s="141">
        <f t="shared" si="344"/>
        <v>1</v>
      </c>
      <c r="AZ352">
        <f t="shared" si="345"/>
        <v>1</v>
      </c>
      <c r="BA352">
        <f t="shared" si="346"/>
        <v>0</v>
      </c>
      <c r="BB352">
        <f t="shared" si="347"/>
        <v>0</v>
      </c>
      <c r="BC352">
        <f t="shared" si="348"/>
        <v>0</v>
      </c>
      <c r="BD352">
        <f t="shared" si="349"/>
        <v>0</v>
      </c>
      <c r="BE352" t="str" cm="1">
        <f t="array" ref="BE352">IF(AY352=1,INDEX($V$7:$AL$7,MATCH(TRUE,INDEX($V352:$AW352&lt;&gt;0,),0)),IF(AY352=0,INDEX($AM$7:$AW$7,MATCH(1,$AM352:$AW352,0)),IF(BF352="Multiple strategies","mixed drivers",IF(BF352="Supply chain","multiple supply","multiple silviculture"))))</f>
        <v>area subject to harvest</v>
      </c>
      <c r="BF352" s="2" t="str" cm="1">
        <f t="array" ref="BF352">IF(COUNTIF(AZ352:BB352,"&lt;&gt;0")=1,INDEX($V$4:$AW$4,MATCH(TRUE,INDEX($V352:$AW352&lt;&gt;0,),0)),IF(COUNTIF(AZ352:BB352,"&lt;&gt;0")=0,INDEX($AM$4:$AW$4,MATCH(1,$AM352:$AW352,0)),"Multiple strategies"))</f>
        <v>Silviculture for removals</v>
      </c>
      <c r="BG352" s="173" t="s">
        <v>321</v>
      </c>
      <c r="BH352" s="141" t="s">
        <v>1296</v>
      </c>
      <c r="BI352" s="141" t="s">
        <v>1297</v>
      </c>
      <c r="BJ352" s="163" t="s">
        <v>1298</v>
      </c>
      <c r="BK352" s="176">
        <v>2330</v>
      </c>
      <c r="BL352" s="163">
        <v>2405</v>
      </c>
      <c r="BM352" s="264">
        <f t="shared" si="350"/>
        <v>1.0321888412017168</v>
      </c>
      <c r="BN352">
        <f t="shared" si="351"/>
        <v>75</v>
      </c>
      <c r="BO352" s="158">
        <f t="shared" si="352"/>
        <v>75000000</v>
      </c>
      <c r="BP352" s="264" t="s">
        <v>395</v>
      </c>
      <c r="BQ352" s="153" t="s">
        <v>429</v>
      </c>
      <c r="BR352" s="151" t="s">
        <v>1299</v>
      </c>
      <c r="BS352" s="141"/>
      <c r="BT352" s="163"/>
      <c r="BU352" s="144" t="str">
        <f>IFERROR(BT352/BS352,"")</f>
        <v/>
      </c>
      <c r="BV352" s="176">
        <v>79</v>
      </c>
      <c r="BW352"/>
      <c r="BX352">
        <f t="shared" si="353"/>
        <v>79000000</v>
      </c>
      <c r="BY352">
        <f t="shared" si="338"/>
        <v>1.0533333333333332</v>
      </c>
      <c r="BZ352" s="141">
        <v>0</v>
      </c>
      <c r="CA352" s="141">
        <v>0</v>
      </c>
      <c r="CB352" s="141">
        <v>0</v>
      </c>
      <c r="CC352" s="141">
        <v>0</v>
      </c>
      <c r="CD352" s="141">
        <v>0</v>
      </c>
      <c r="CE352" s="141">
        <v>0</v>
      </c>
      <c r="CF352" s="141">
        <v>0</v>
      </c>
      <c r="CG352" s="141">
        <v>0</v>
      </c>
      <c r="CH352" s="141">
        <v>0</v>
      </c>
      <c r="CI352" s="141">
        <v>0</v>
      </c>
      <c r="CJ352" s="141">
        <v>0</v>
      </c>
      <c r="CK352" s="141">
        <v>0</v>
      </c>
      <c r="CL352" s="141">
        <v>0</v>
      </c>
      <c r="CM352" s="141">
        <v>1</v>
      </c>
      <c r="CN352" t="str">
        <f t="shared" si="354"/>
        <v>refOK</v>
      </c>
      <c r="CO352">
        <f t="shared" si="355"/>
        <v>2330</v>
      </c>
      <c r="CP352">
        <f t="shared" si="356"/>
        <v>2405</v>
      </c>
      <c r="CQ352">
        <f t="shared" si="357"/>
        <v>75000000</v>
      </c>
      <c r="CR352">
        <f t="shared" si="358"/>
        <v>0</v>
      </c>
      <c r="CS352">
        <f t="shared" si="359"/>
        <v>0</v>
      </c>
      <c r="CT352">
        <f t="shared" si="360"/>
        <v>-79000000</v>
      </c>
      <c r="CU352">
        <f t="shared" si="361"/>
        <v>-1.0533333333333332</v>
      </c>
      <c r="CV352" s="2" t="str">
        <f t="shared" si="362"/>
        <v/>
      </c>
      <c r="CW352" s="174" t="s">
        <v>1202</v>
      </c>
      <c r="CX352" s="264" t="str">
        <f t="shared" si="363"/>
        <v>reg</v>
      </c>
      <c r="CY352" s="141" t="s">
        <v>1300</v>
      </c>
      <c r="CZ352" s="141">
        <v>2016</v>
      </c>
      <c r="DA352" s="163">
        <v>2046</v>
      </c>
      <c r="DB352" s="163">
        <v>30</v>
      </c>
      <c r="DC352" t="str">
        <f t="shared" si="364"/>
        <v>1-30</v>
      </c>
      <c r="DD352" s="141">
        <v>1</v>
      </c>
      <c r="DE352" s="141">
        <v>1</v>
      </c>
      <c r="DF352" s="141">
        <v>0</v>
      </c>
      <c r="DG352" s="141">
        <v>1</v>
      </c>
      <c r="DH352"/>
      <c r="DI352">
        <f t="shared" si="365"/>
        <v>3</v>
      </c>
      <c r="DJ352" t="str">
        <f t="shared" si="366"/>
        <v>mixedProduct</v>
      </c>
      <c r="DK352" t="str">
        <f t="shared" si="367"/>
        <v>Upstream</v>
      </c>
      <c r="DL352" t="str">
        <f t="shared" si="368"/>
        <v>Energy</v>
      </c>
      <c r="DM352">
        <f t="shared" si="369"/>
        <v>0</v>
      </c>
      <c r="DN352" t="str">
        <f t="shared" si="370"/>
        <v>Timber</v>
      </c>
      <c r="DO352" s="163">
        <v>0</v>
      </c>
      <c r="DP352" s="141">
        <v>0</v>
      </c>
      <c r="DQ352" s="163">
        <v>0</v>
      </c>
      <c r="DR352" s="163">
        <v>0</v>
      </c>
      <c r="DS352" s="163">
        <v>0</v>
      </c>
      <c r="DT352">
        <f t="shared" si="371"/>
        <v>0</v>
      </c>
      <c r="DU352" s="143" t="str">
        <f t="shared" si="372"/>
        <v>explicit C balance</v>
      </c>
      <c r="DV352" s="163">
        <v>1</v>
      </c>
      <c r="DW352" s="141">
        <v>1</v>
      </c>
      <c r="DX352" s="163">
        <v>1</v>
      </c>
      <c r="DY352" s="163">
        <v>0</v>
      </c>
      <c r="DZ352" s="141">
        <v>0</v>
      </c>
      <c r="EA352" s="141">
        <v>0</v>
      </c>
      <c r="EB352" s="143">
        <v>0</v>
      </c>
      <c r="EC352" s="141">
        <v>0</v>
      </c>
      <c r="ED352" s="143">
        <v>0</v>
      </c>
      <c r="EE352" s="143">
        <v>0</v>
      </c>
      <c r="EF352" s="141">
        <v>1</v>
      </c>
      <c r="EG352" s="163">
        <v>0</v>
      </c>
      <c r="EH352" s="141">
        <v>0</v>
      </c>
      <c r="EI352" s="177">
        <v>0</v>
      </c>
      <c r="EJ352" s="1"/>
      <c r="EK352" t="str">
        <f t="shared" si="373"/>
        <v/>
      </c>
      <c r="EL352" t="str">
        <f t="shared" si="374"/>
        <v>Ecosystem approach</v>
      </c>
      <c r="EM352" s="2" t="str">
        <f t="shared" si="339"/>
        <v/>
      </c>
      <c r="EN352" s="141"/>
      <c r="EO352"/>
      <c r="EP352" t="str">
        <f>IF(ISNUMBER(BU352),IF(ABS(BU352-[4]QC_indicators!$B$2)&gt;3*[4]QC_indicators!$C$2,"C ratio",IF(ISNUMBER(BY352),IF(ABS(BY352-[4]QC_indicators!$B$1)&gt;3*[4]QC_indicators!$C$1,"DF","no"))),IF(ISNUMBER(BY352),IF(ABS(BY352-[4]QC_indicators!$B$1)&gt;3*[4]QC_indicators!$C$1,"DF","no")))</f>
        <v>no</v>
      </c>
      <c r="EQ352"/>
      <c r="ER352" s="294" t="s">
        <v>1301</v>
      </c>
      <c r="ES352"/>
      <c r="ET352" s="264" t="s">
        <v>3406</v>
      </c>
      <c r="EU352"/>
    </row>
    <row r="353" spans="1:151" s="139" customFormat="1" ht="15" hidden="1" customHeight="1">
      <c r="A353" s="174" t="s">
        <v>1285</v>
      </c>
      <c r="B353" s="141" t="s">
        <v>1286</v>
      </c>
      <c r="C353" s="141" t="s">
        <v>1287</v>
      </c>
      <c r="D353" s="141" t="s">
        <v>1288</v>
      </c>
      <c r="E353" s="141" t="s">
        <v>1289</v>
      </c>
      <c r="F353" s="141" t="s">
        <v>1290</v>
      </c>
      <c r="G353" s="141" t="s">
        <v>1291</v>
      </c>
      <c r="H353" s="141"/>
      <c r="I353" s="141">
        <v>2019</v>
      </c>
      <c r="J353" s="141"/>
      <c r="K353" s="141" t="s">
        <v>1292</v>
      </c>
      <c r="L353" s="141"/>
      <c r="M353" t="str">
        <f t="shared" si="340"/>
        <v>Bosch_2019</v>
      </c>
      <c r="N353" t="s">
        <v>222</v>
      </c>
      <c r="O353" s="175" t="s">
        <v>225</v>
      </c>
      <c r="P353" s="141" t="s">
        <v>223</v>
      </c>
      <c r="Q353" s="264" t="s">
        <v>224</v>
      </c>
      <c r="R353" s="269" t="s">
        <v>1153</v>
      </c>
      <c r="S353" s="174" t="s">
        <v>1293</v>
      </c>
      <c r="T353" s="141" t="s">
        <v>1294</v>
      </c>
      <c r="U353" s="141" t="s">
        <v>1295</v>
      </c>
      <c r="V353" s="141">
        <v>1</v>
      </c>
      <c r="W353" s="141">
        <v>0</v>
      </c>
      <c r="X353" s="141">
        <v>0</v>
      </c>
      <c r="Y353" s="141">
        <v>0</v>
      </c>
      <c r="Z353" s="141">
        <v>0</v>
      </c>
      <c r="AA353" s="141">
        <v>0</v>
      </c>
      <c r="AB353" s="141">
        <v>0</v>
      </c>
      <c r="AC353" s="141">
        <v>0</v>
      </c>
      <c r="AD353" s="141">
        <v>0</v>
      </c>
      <c r="AE353" s="141">
        <v>0</v>
      </c>
      <c r="AF353" s="141">
        <v>0</v>
      </c>
      <c r="AG353" s="141">
        <v>0</v>
      </c>
      <c r="AH353" s="141">
        <v>0</v>
      </c>
      <c r="AI353" s="141">
        <v>0</v>
      </c>
      <c r="AJ353" s="141">
        <v>0</v>
      </c>
      <c r="AK353" s="141">
        <v>0</v>
      </c>
      <c r="AL353" s="141">
        <v>0</v>
      </c>
      <c r="AM353" s="141">
        <v>0</v>
      </c>
      <c r="AN353" s="141">
        <v>0</v>
      </c>
      <c r="AO353" s="141">
        <v>0</v>
      </c>
      <c r="AP353" s="141">
        <v>0</v>
      </c>
      <c r="AQ353" s="141">
        <v>0</v>
      </c>
      <c r="AR353" s="141">
        <v>0</v>
      </c>
      <c r="AS353" s="141">
        <v>0</v>
      </c>
      <c r="AT353" s="141">
        <v>0</v>
      </c>
      <c r="AU353" s="141">
        <v>0</v>
      </c>
      <c r="AV353" s="141">
        <v>0</v>
      </c>
      <c r="AW353" s="141">
        <v>0</v>
      </c>
      <c r="AX353" s="141">
        <f t="shared" si="343"/>
        <v>1</v>
      </c>
      <c r="AY353" s="141">
        <f t="shared" si="344"/>
        <v>1</v>
      </c>
      <c r="AZ353">
        <f t="shared" si="345"/>
        <v>1</v>
      </c>
      <c r="BA353">
        <f t="shared" si="346"/>
        <v>0</v>
      </c>
      <c r="BB353">
        <f t="shared" si="347"/>
        <v>0</v>
      </c>
      <c r="BC353">
        <f t="shared" si="348"/>
        <v>0</v>
      </c>
      <c r="BD353">
        <f t="shared" si="349"/>
        <v>0</v>
      </c>
      <c r="BE353" t="str" cm="1">
        <f t="array" ref="BE353">IF(AY353=1,INDEX($V$7:$AL$7,MATCH(TRUE,INDEX($V353:$AW353&lt;&gt;0,),0)),IF(AY353=0,INDEX($AM$7:$AW$7,MATCH(1,$AM353:$AW353,0)),IF(BF353="Multiple strategies","mixed drivers",IF(BF353="Supply chain","multiple supply","multiple silviculture"))))</f>
        <v>area subject to harvest</v>
      </c>
      <c r="BF353" s="2" t="str" cm="1">
        <f t="array" ref="BF353">IF(COUNTIF(AZ353:BB353,"&lt;&gt;0")=1,INDEX($V$4:$AW$4,MATCH(TRUE,INDEX($V353:$AW353&lt;&gt;0,),0)),IF(COUNTIF(AZ353:BB353,"&lt;&gt;0")=0,INDEX($AM$4:$AW$4,MATCH(1,$AM353:$AW353,0)),"Multiple strategies"))</f>
        <v>Silviculture for removals</v>
      </c>
      <c r="BG353" s="173" t="s">
        <v>321</v>
      </c>
      <c r="BH353" s="141" t="s">
        <v>1296</v>
      </c>
      <c r="BI353" s="141" t="s">
        <v>1297</v>
      </c>
      <c r="BJ353" s="163" t="s">
        <v>1298</v>
      </c>
      <c r="BK353" s="158">
        <v>2159</v>
      </c>
      <c r="BL353" s="163">
        <v>2405</v>
      </c>
      <c r="BM353" s="264">
        <f t="shared" si="350"/>
        <v>1.1139416396479851</v>
      </c>
      <c r="BN353">
        <f t="shared" si="351"/>
        <v>246</v>
      </c>
      <c r="BO353" s="158">
        <f t="shared" si="352"/>
        <v>246000000</v>
      </c>
      <c r="BP353" s="264" t="s">
        <v>395</v>
      </c>
      <c r="BQ353" s="153" t="s">
        <v>786</v>
      </c>
      <c r="BR353" s="151" t="s">
        <v>1299</v>
      </c>
      <c r="BS353" s="141"/>
      <c r="BT353" s="163"/>
      <c r="BU353" s="144" t="str">
        <f>IFERROR(BT353/BS353,"")</f>
        <v/>
      </c>
      <c r="BV353" s="176">
        <v>261</v>
      </c>
      <c r="BW353"/>
      <c r="BX353">
        <f t="shared" si="353"/>
        <v>261000000</v>
      </c>
      <c r="BY353">
        <f t="shared" si="338"/>
        <v>1.0609756097560976</v>
      </c>
      <c r="BZ353" s="141">
        <v>0</v>
      </c>
      <c r="CA353" s="141">
        <v>0</v>
      </c>
      <c r="CB353" s="141">
        <v>0</v>
      </c>
      <c r="CC353" s="141">
        <v>0</v>
      </c>
      <c r="CD353" s="141">
        <v>0</v>
      </c>
      <c r="CE353" s="141">
        <v>0</v>
      </c>
      <c r="CF353" s="141">
        <v>0</v>
      </c>
      <c r="CG353" s="141">
        <v>0</v>
      </c>
      <c r="CH353" s="141">
        <v>0</v>
      </c>
      <c r="CI353" s="141">
        <v>0</v>
      </c>
      <c r="CJ353" s="141">
        <v>0</v>
      </c>
      <c r="CK353" s="141">
        <v>0</v>
      </c>
      <c r="CL353" s="141">
        <v>0</v>
      </c>
      <c r="CM353" s="141">
        <v>1</v>
      </c>
      <c r="CN353" t="str">
        <f t="shared" si="354"/>
        <v>refOK</v>
      </c>
      <c r="CO353">
        <f t="shared" si="355"/>
        <v>2159</v>
      </c>
      <c r="CP353">
        <f t="shared" si="356"/>
        <v>2405</v>
      </c>
      <c r="CQ353">
        <f t="shared" si="357"/>
        <v>246000000</v>
      </c>
      <c r="CR353">
        <f t="shared" si="358"/>
        <v>0</v>
      </c>
      <c r="CS353">
        <f t="shared" si="359"/>
        <v>0</v>
      </c>
      <c r="CT353">
        <f t="shared" si="360"/>
        <v>-261000000</v>
      </c>
      <c r="CU353">
        <f t="shared" si="361"/>
        <v>-1.0609756097560976</v>
      </c>
      <c r="CV353" s="2" t="str">
        <f t="shared" si="362"/>
        <v/>
      </c>
      <c r="CW353" s="174" t="s">
        <v>1202</v>
      </c>
      <c r="CX353" s="264" t="str">
        <f t="shared" si="363"/>
        <v>reg</v>
      </c>
      <c r="CY353" s="141" t="s">
        <v>1300</v>
      </c>
      <c r="CZ353" s="141">
        <v>2016</v>
      </c>
      <c r="DA353" s="163">
        <v>2046</v>
      </c>
      <c r="DB353" s="163">
        <v>30</v>
      </c>
      <c r="DC353" t="str">
        <f t="shared" si="364"/>
        <v>1-30</v>
      </c>
      <c r="DD353" s="141">
        <v>1</v>
      </c>
      <c r="DE353" s="141">
        <v>1</v>
      </c>
      <c r="DF353" s="141">
        <v>0</v>
      </c>
      <c r="DG353" s="141">
        <v>1</v>
      </c>
      <c r="DH353"/>
      <c r="DI353">
        <f t="shared" si="365"/>
        <v>3</v>
      </c>
      <c r="DJ353" t="str">
        <f t="shared" si="366"/>
        <v>mixedProduct</v>
      </c>
      <c r="DK353" t="str">
        <f t="shared" si="367"/>
        <v>Upstream</v>
      </c>
      <c r="DL353" t="str">
        <f t="shared" si="368"/>
        <v>Energy</v>
      </c>
      <c r="DM353">
        <f t="shared" si="369"/>
        <v>0</v>
      </c>
      <c r="DN353" t="str">
        <f t="shared" si="370"/>
        <v>Timber</v>
      </c>
      <c r="DO353" s="163">
        <v>0</v>
      </c>
      <c r="DP353" s="141">
        <v>0</v>
      </c>
      <c r="DQ353" s="163">
        <v>0</v>
      </c>
      <c r="DR353" s="163">
        <v>0</v>
      </c>
      <c r="DS353" s="163">
        <v>0</v>
      </c>
      <c r="DT353">
        <f t="shared" si="371"/>
        <v>0</v>
      </c>
      <c r="DU353" s="143" t="str">
        <f t="shared" si="372"/>
        <v>explicit C balance</v>
      </c>
      <c r="DV353" s="163">
        <v>1</v>
      </c>
      <c r="DW353" s="141">
        <v>1</v>
      </c>
      <c r="DX353" s="163">
        <v>1</v>
      </c>
      <c r="DY353" s="163">
        <v>0</v>
      </c>
      <c r="DZ353" s="141">
        <v>0</v>
      </c>
      <c r="EA353" s="141">
        <v>0</v>
      </c>
      <c r="EB353" s="143">
        <v>0</v>
      </c>
      <c r="EC353" s="141">
        <v>0</v>
      </c>
      <c r="ED353" s="143">
        <v>0</v>
      </c>
      <c r="EE353" s="143">
        <v>0</v>
      </c>
      <c r="EF353" s="141">
        <v>1</v>
      </c>
      <c r="EG353" s="163">
        <v>0</v>
      </c>
      <c r="EH353" s="141">
        <v>0</v>
      </c>
      <c r="EI353" s="177">
        <v>0</v>
      </c>
      <c r="EJ353" s="1"/>
      <c r="EK353" t="str">
        <f t="shared" si="373"/>
        <v/>
      </c>
      <c r="EL353" t="str">
        <f t="shared" si="374"/>
        <v>Ecosystem approach</v>
      </c>
      <c r="EM353" s="2" t="str">
        <f t="shared" si="339"/>
        <v/>
      </c>
      <c r="EN353" s="141"/>
      <c r="EO353"/>
      <c r="EP353" t="str">
        <f>IF(ISNUMBER(BU353),IF(ABS(BU353-[4]QC_indicators!$B$2)&gt;3*[4]QC_indicators!$C$2,"C ratio",IF(ISNUMBER(BY353),IF(ABS(BY353-[4]QC_indicators!$B$1)&gt;3*[4]QC_indicators!$C$1,"DF","no"))),IF(ISNUMBER(BY353),IF(ABS(BY353-[4]QC_indicators!$B$1)&gt;3*[4]QC_indicators!$C$1,"DF","no")))</f>
        <v>no</v>
      </c>
      <c r="EQ353"/>
      <c r="ER353" s="294" t="s">
        <v>1301</v>
      </c>
      <c r="ES353"/>
      <c r="ET353" s="264" t="s">
        <v>3406</v>
      </c>
      <c r="EU353"/>
    </row>
    <row r="354" spans="1:151" s="139" customFormat="1" ht="15" hidden="1" customHeight="1">
      <c r="A354" s="174" t="s">
        <v>1285</v>
      </c>
      <c r="B354" s="141" t="s">
        <v>1286</v>
      </c>
      <c r="C354" s="141" t="s">
        <v>1287</v>
      </c>
      <c r="D354" s="141" t="s">
        <v>1288</v>
      </c>
      <c r="E354" s="141" t="s">
        <v>1289</v>
      </c>
      <c r="F354" s="141" t="s">
        <v>1290</v>
      </c>
      <c r="G354" s="141" t="s">
        <v>1291</v>
      </c>
      <c r="H354" s="141"/>
      <c r="I354" s="141">
        <v>2019</v>
      </c>
      <c r="J354" s="141"/>
      <c r="K354" s="141" t="s">
        <v>1292</v>
      </c>
      <c r="L354" s="141"/>
      <c r="M354" t="str">
        <f t="shared" si="340"/>
        <v>Bosch_2019</v>
      </c>
      <c r="N354" t="s">
        <v>222</v>
      </c>
      <c r="O354" s="175" t="s">
        <v>225</v>
      </c>
      <c r="P354" s="141" t="s">
        <v>223</v>
      </c>
      <c r="Q354" s="264" t="s">
        <v>224</v>
      </c>
      <c r="R354" s="269" t="s">
        <v>1153</v>
      </c>
      <c r="S354" s="174" t="s">
        <v>1306</v>
      </c>
      <c r="T354" s="141" t="s">
        <v>1307</v>
      </c>
      <c r="U354" s="141" t="s">
        <v>1295</v>
      </c>
      <c r="V354" s="141">
        <v>0</v>
      </c>
      <c r="W354" s="141">
        <v>0</v>
      </c>
      <c r="X354" s="141">
        <v>1</v>
      </c>
      <c r="Y354" s="141">
        <v>0</v>
      </c>
      <c r="Z354" s="141">
        <v>0</v>
      </c>
      <c r="AA354" s="141">
        <v>0</v>
      </c>
      <c r="AB354" s="141">
        <v>0</v>
      </c>
      <c r="AC354" s="141">
        <v>0</v>
      </c>
      <c r="AD354" s="141">
        <v>0</v>
      </c>
      <c r="AE354" s="141">
        <v>0</v>
      </c>
      <c r="AF354" s="141">
        <v>0</v>
      </c>
      <c r="AG354" s="141">
        <v>0</v>
      </c>
      <c r="AH354" s="141">
        <v>0</v>
      </c>
      <c r="AI354" s="141">
        <v>0</v>
      </c>
      <c r="AJ354" s="141">
        <v>0</v>
      </c>
      <c r="AK354" s="141">
        <v>0</v>
      </c>
      <c r="AL354" s="141">
        <v>0</v>
      </c>
      <c r="AM354" s="141">
        <v>0</v>
      </c>
      <c r="AN354" s="141">
        <v>0</v>
      </c>
      <c r="AO354" s="141">
        <v>0</v>
      </c>
      <c r="AP354" s="141">
        <v>0</v>
      </c>
      <c r="AQ354" s="141">
        <v>0</v>
      </c>
      <c r="AR354" s="141">
        <v>0</v>
      </c>
      <c r="AS354" s="141">
        <v>0</v>
      </c>
      <c r="AT354" s="141">
        <v>0</v>
      </c>
      <c r="AU354" s="141">
        <v>0</v>
      </c>
      <c r="AV354" s="141">
        <v>0</v>
      </c>
      <c r="AW354" s="141">
        <v>0</v>
      </c>
      <c r="AX354" s="141">
        <f t="shared" si="343"/>
        <v>1</v>
      </c>
      <c r="AY354" s="141">
        <f t="shared" si="344"/>
        <v>1</v>
      </c>
      <c r="AZ354">
        <f t="shared" si="345"/>
        <v>1</v>
      </c>
      <c r="BA354">
        <f t="shared" si="346"/>
        <v>0</v>
      </c>
      <c r="BB354">
        <f t="shared" si="347"/>
        <v>0</v>
      </c>
      <c r="BC354">
        <f t="shared" si="348"/>
        <v>0</v>
      </c>
      <c r="BD354">
        <f t="shared" si="349"/>
        <v>0</v>
      </c>
      <c r="BE354" t="str" cm="1">
        <f t="array" ref="BE354">IF(AY354=1,INDEX($V$7:$AL$7,MATCH(TRUE,INDEX($V354:$AW354&lt;&gt;0,),0)),IF(AY354=0,INDEX($AM$7:$AW$7,MATCH(1,$AM354:$AW354,0)),IF(BF354="Multiple strategies","mixed drivers",IF(BF354="Supply chain","multiple supply","multiple silviculture"))))</f>
        <v>rotation length</v>
      </c>
      <c r="BF354" s="2" t="str" cm="1">
        <f t="array" ref="BF354">IF(COUNTIF(AZ354:BB354,"&lt;&gt;0")=1,INDEX($V$4:$AW$4,MATCH(TRUE,INDEX($V354:$AW354&lt;&gt;0,),0)),IF(COUNTIF(AZ354:BB354,"&lt;&gt;0")=0,INDEX($AM$4:$AW$4,MATCH(1,$AM354:$AW354,0)),"Multiple strategies"))</f>
        <v>Silviculture for removals</v>
      </c>
      <c r="BG354" s="173" t="s">
        <v>321</v>
      </c>
      <c r="BH354" s="141" t="s">
        <v>1296</v>
      </c>
      <c r="BI354" s="141" t="s">
        <v>1297</v>
      </c>
      <c r="BJ354" s="163" t="s">
        <v>1298</v>
      </c>
      <c r="BK354" s="176">
        <v>2167</v>
      </c>
      <c r="BL354" s="163">
        <v>2405</v>
      </c>
      <c r="BM354" s="163">
        <f t="shared" si="350"/>
        <v>1.1098292570373789</v>
      </c>
      <c r="BN354">
        <f t="shared" si="351"/>
        <v>238</v>
      </c>
      <c r="BO354" s="158">
        <f t="shared" si="352"/>
        <v>238000000</v>
      </c>
      <c r="BP354" s="264" t="s">
        <v>395</v>
      </c>
      <c r="BQ354" s="264" t="s">
        <v>701</v>
      </c>
      <c r="BR354" s="151" t="s">
        <v>1299</v>
      </c>
      <c r="BS354" s="163"/>
      <c r="BT354" s="141"/>
      <c r="BU354" s="144"/>
      <c r="BV354" s="176">
        <v>306</v>
      </c>
      <c r="BW354"/>
      <c r="BX354">
        <f t="shared" si="353"/>
        <v>306000000</v>
      </c>
      <c r="BY354">
        <f t="shared" si="338"/>
        <v>1.2857142857142858</v>
      </c>
      <c r="BZ354" s="141">
        <v>0</v>
      </c>
      <c r="CA354" s="141">
        <v>0</v>
      </c>
      <c r="CB354" s="141">
        <v>0</v>
      </c>
      <c r="CC354" s="141">
        <v>0</v>
      </c>
      <c r="CD354" s="141">
        <v>0</v>
      </c>
      <c r="CE354" s="141">
        <v>0</v>
      </c>
      <c r="CF354" s="141">
        <v>0</v>
      </c>
      <c r="CG354" s="141">
        <v>0</v>
      </c>
      <c r="CH354" s="141">
        <v>0</v>
      </c>
      <c r="CI354" s="141">
        <v>0</v>
      </c>
      <c r="CJ354" s="141">
        <v>0</v>
      </c>
      <c r="CK354" s="141">
        <v>0</v>
      </c>
      <c r="CL354" s="141">
        <v>0</v>
      </c>
      <c r="CM354" s="141">
        <v>1</v>
      </c>
      <c r="CN354" t="str">
        <f t="shared" si="354"/>
        <v>refOK</v>
      </c>
      <c r="CO354">
        <f t="shared" si="355"/>
        <v>2167</v>
      </c>
      <c r="CP354">
        <f t="shared" si="356"/>
        <v>2405</v>
      </c>
      <c r="CQ354">
        <f t="shared" si="357"/>
        <v>238000000</v>
      </c>
      <c r="CR354">
        <f t="shared" si="358"/>
        <v>0</v>
      </c>
      <c r="CS354">
        <f t="shared" si="359"/>
        <v>0</v>
      </c>
      <c r="CT354">
        <f t="shared" si="360"/>
        <v>-306000000</v>
      </c>
      <c r="CU354">
        <f t="shared" si="361"/>
        <v>-1.2857142857142858</v>
      </c>
      <c r="CV354" s="2" t="str">
        <f t="shared" si="362"/>
        <v/>
      </c>
      <c r="CW354" s="174" t="s">
        <v>1202</v>
      </c>
      <c r="CX354" s="264" t="str">
        <f t="shared" si="363"/>
        <v>reg</v>
      </c>
      <c r="CY354" s="141" t="s">
        <v>1300</v>
      </c>
      <c r="CZ354" s="141">
        <v>2016</v>
      </c>
      <c r="DA354" s="163">
        <v>2046</v>
      </c>
      <c r="DB354" s="163">
        <v>30</v>
      </c>
      <c r="DC354" t="str">
        <f t="shared" si="364"/>
        <v>1-30</v>
      </c>
      <c r="DD354" s="141">
        <v>1</v>
      </c>
      <c r="DE354" s="141">
        <v>1</v>
      </c>
      <c r="DF354" s="141">
        <v>0</v>
      </c>
      <c r="DG354" s="141">
        <v>1</v>
      </c>
      <c r="DH354"/>
      <c r="DI354">
        <f t="shared" si="365"/>
        <v>3</v>
      </c>
      <c r="DJ354" t="str">
        <f t="shared" si="366"/>
        <v>mixedProduct</v>
      </c>
      <c r="DK354" t="str">
        <f t="shared" si="367"/>
        <v>Upstream</v>
      </c>
      <c r="DL354" t="str">
        <f t="shared" si="368"/>
        <v>Energy</v>
      </c>
      <c r="DM354">
        <f t="shared" si="369"/>
        <v>0</v>
      </c>
      <c r="DN354" t="str">
        <f t="shared" si="370"/>
        <v>Timber</v>
      </c>
      <c r="DO354" s="163">
        <v>0</v>
      </c>
      <c r="DP354" s="141">
        <v>0</v>
      </c>
      <c r="DQ354" s="163">
        <v>0</v>
      </c>
      <c r="DR354" s="163">
        <v>0</v>
      </c>
      <c r="DS354" s="163">
        <v>0</v>
      </c>
      <c r="DT354">
        <f t="shared" si="371"/>
        <v>0</v>
      </c>
      <c r="DU354" s="143" t="str">
        <f t="shared" si="372"/>
        <v>explicit C balance</v>
      </c>
      <c r="DV354" s="163">
        <v>1</v>
      </c>
      <c r="DW354" s="141">
        <v>1</v>
      </c>
      <c r="DX354" s="163">
        <v>1</v>
      </c>
      <c r="DY354" s="163">
        <v>0</v>
      </c>
      <c r="DZ354" s="141">
        <v>0</v>
      </c>
      <c r="EA354" s="141">
        <v>0</v>
      </c>
      <c r="EB354" s="143">
        <v>0</v>
      </c>
      <c r="EC354" s="141">
        <v>0</v>
      </c>
      <c r="ED354" s="143">
        <v>0</v>
      </c>
      <c r="EE354" s="143">
        <v>0</v>
      </c>
      <c r="EF354" s="141">
        <v>1</v>
      </c>
      <c r="EG354" s="163">
        <v>0</v>
      </c>
      <c r="EH354" s="141">
        <v>0</v>
      </c>
      <c r="EI354" s="177">
        <v>0</v>
      </c>
      <c r="EJ354" s="1"/>
      <c r="EK354" t="str">
        <f t="shared" si="373"/>
        <v/>
      </c>
      <c r="EL354" t="str">
        <f t="shared" si="374"/>
        <v>Ecosystem approach</v>
      </c>
      <c r="EM354" s="2" t="str">
        <f t="shared" si="339"/>
        <v/>
      </c>
      <c r="EN354" s="141"/>
      <c r="EO354"/>
      <c r="EP354" t="str">
        <f>IF(ISNUMBER(BU354),IF(ABS(BU354-[4]QC_indicators!$B$2)&gt;3*[4]QC_indicators!$C$2,"C ratio",IF(ISNUMBER(BY354),IF(ABS(BY354-[4]QC_indicators!$B$1)&gt;3*[4]QC_indicators!$C$1,"DF","no"))),IF(ISNUMBER(BY354),IF(ABS(BY354-[4]QC_indicators!$B$1)&gt;3*[4]QC_indicators!$C$1,"DF","no")))</f>
        <v>no</v>
      </c>
      <c r="EQ354"/>
      <c r="ER354" s="294" t="s">
        <v>1301</v>
      </c>
      <c r="ES354"/>
      <c r="ET354" s="264" t="s">
        <v>3406</v>
      </c>
      <c r="EU354"/>
    </row>
    <row r="355" spans="1:151" s="139" customFormat="1" ht="15" hidden="1" customHeight="1">
      <c r="A355" s="174" t="s">
        <v>1285</v>
      </c>
      <c r="B355" s="141" t="s">
        <v>1286</v>
      </c>
      <c r="C355" s="141" t="s">
        <v>1287</v>
      </c>
      <c r="D355" s="141" t="s">
        <v>1288</v>
      </c>
      <c r="E355" s="141" t="s">
        <v>1289</v>
      </c>
      <c r="F355" s="141" t="s">
        <v>1290</v>
      </c>
      <c r="G355" s="141" t="s">
        <v>1291</v>
      </c>
      <c r="H355" s="141"/>
      <c r="I355" s="141">
        <v>2019</v>
      </c>
      <c r="J355" s="141"/>
      <c r="K355" s="141" t="s">
        <v>1292</v>
      </c>
      <c r="L355" s="141"/>
      <c r="M355" t="str">
        <f t="shared" si="340"/>
        <v>Bosch_2019</v>
      </c>
      <c r="N355" t="s">
        <v>222</v>
      </c>
      <c r="O355" s="175" t="s">
        <v>225</v>
      </c>
      <c r="P355" s="141" t="s">
        <v>223</v>
      </c>
      <c r="Q355" s="264" t="s">
        <v>224</v>
      </c>
      <c r="R355" s="269" t="s">
        <v>1153</v>
      </c>
      <c r="S355" s="174" t="s">
        <v>1308</v>
      </c>
      <c r="T355" s="141" t="s">
        <v>1295</v>
      </c>
      <c r="U355" s="141" t="s">
        <v>1309</v>
      </c>
      <c r="V355" s="141">
        <v>0</v>
      </c>
      <c r="W355" s="141">
        <v>0</v>
      </c>
      <c r="X355" s="141">
        <v>1</v>
      </c>
      <c r="Y355" s="141">
        <v>0</v>
      </c>
      <c r="Z355" s="141">
        <v>0</v>
      </c>
      <c r="AA355" s="141">
        <v>0</v>
      </c>
      <c r="AB355" s="141">
        <v>0</v>
      </c>
      <c r="AC355" s="141">
        <v>0</v>
      </c>
      <c r="AD355" s="141">
        <v>0</v>
      </c>
      <c r="AE355" s="141">
        <v>0</v>
      </c>
      <c r="AF355" s="141">
        <v>0</v>
      </c>
      <c r="AG355" s="141">
        <v>0</v>
      </c>
      <c r="AH355" s="141">
        <v>0</v>
      </c>
      <c r="AI355" s="141">
        <v>0</v>
      </c>
      <c r="AJ355" s="141">
        <v>0</v>
      </c>
      <c r="AK355" s="141">
        <v>0</v>
      </c>
      <c r="AL355" s="141">
        <v>0</v>
      </c>
      <c r="AM355" s="141">
        <v>0</v>
      </c>
      <c r="AN355" s="141">
        <v>0</v>
      </c>
      <c r="AO355" s="141">
        <v>0</v>
      </c>
      <c r="AP355" s="141">
        <v>0</v>
      </c>
      <c r="AQ355" s="141">
        <v>0</v>
      </c>
      <c r="AR355" s="141">
        <v>0</v>
      </c>
      <c r="AS355" s="141">
        <v>0</v>
      </c>
      <c r="AT355" s="141">
        <v>0</v>
      </c>
      <c r="AU355" s="141">
        <v>0</v>
      </c>
      <c r="AV355" s="141">
        <v>0</v>
      </c>
      <c r="AW355" s="141">
        <v>0</v>
      </c>
      <c r="AX355" s="141">
        <f t="shared" si="343"/>
        <v>1</v>
      </c>
      <c r="AY355" s="141">
        <f t="shared" si="344"/>
        <v>1</v>
      </c>
      <c r="AZ355">
        <f t="shared" si="345"/>
        <v>1</v>
      </c>
      <c r="BA355">
        <f t="shared" si="346"/>
        <v>0</v>
      </c>
      <c r="BB355">
        <f t="shared" si="347"/>
        <v>0</v>
      </c>
      <c r="BC355">
        <f t="shared" si="348"/>
        <v>0</v>
      </c>
      <c r="BD355">
        <f t="shared" si="349"/>
        <v>0</v>
      </c>
      <c r="BE355" t="str" cm="1">
        <f t="array" ref="BE355">IF(AY355=1,INDEX($V$7:$AL$7,MATCH(TRUE,INDEX($V355:$AW355&lt;&gt;0,),0)),IF(AY355=0,INDEX($AM$7:$AW$7,MATCH(1,$AM355:$AW355,0)),IF(BF355="Multiple strategies","mixed drivers",IF(BF355="Supply chain","multiple supply","multiple silviculture"))))</f>
        <v>rotation length</v>
      </c>
      <c r="BF355" s="2" t="str" cm="1">
        <f t="array" ref="BF355">IF(COUNTIF(AZ355:BB355,"&lt;&gt;0")=1,INDEX($V$4:$AW$4,MATCH(TRUE,INDEX($V355:$AW355&lt;&gt;0,),0)),IF(COUNTIF(AZ355:BB355,"&lt;&gt;0")=0,INDEX($AM$4:$AW$4,MATCH(1,$AM355:$AW355,0)),"Multiple strategies"))</f>
        <v>Silviculture for removals</v>
      </c>
      <c r="BG355" s="173" t="s">
        <v>321</v>
      </c>
      <c r="BH355" s="141" t="s">
        <v>1296</v>
      </c>
      <c r="BI355" s="141" t="s">
        <v>1297</v>
      </c>
      <c r="BJ355" s="163" t="s">
        <v>1298</v>
      </c>
      <c r="BK355" s="163">
        <v>2405</v>
      </c>
      <c r="BL355" s="176">
        <v>2642</v>
      </c>
      <c r="BM355" s="264">
        <f t="shared" si="350"/>
        <v>1.0985446985446985</v>
      </c>
      <c r="BN355">
        <f t="shared" si="351"/>
        <v>237</v>
      </c>
      <c r="BO355" s="158">
        <f t="shared" si="352"/>
        <v>237000000</v>
      </c>
      <c r="BP355" s="264" t="s">
        <v>395</v>
      </c>
      <c r="BQ355" s="264" t="s">
        <v>426</v>
      </c>
      <c r="BR355" s="151" t="s">
        <v>1299</v>
      </c>
      <c r="BS355" s="141"/>
      <c r="BT355" s="163"/>
      <c r="BU355" s="144" t="str">
        <f>IFERROR(BT355/BS355,"")</f>
        <v/>
      </c>
      <c r="BV355" s="176">
        <v>372</v>
      </c>
      <c r="BW355"/>
      <c r="BX355">
        <f t="shared" si="353"/>
        <v>372000000</v>
      </c>
      <c r="BY355">
        <f t="shared" si="338"/>
        <v>1.5696202531645569</v>
      </c>
      <c r="BZ355" s="141">
        <v>0</v>
      </c>
      <c r="CA355" s="141">
        <v>0</v>
      </c>
      <c r="CB355" s="141">
        <v>0</v>
      </c>
      <c r="CC355" s="141">
        <v>0</v>
      </c>
      <c r="CD355" s="141">
        <v>0</v>
      </c>
      <c r="CE355" s="141">
        <v>0</v>
      </c>
      <c r="CF355" s="141">
        <v>0</v>
      </c>
      <c r="CG355" s="141">
        <v>0</v>
      </c>
      <c r="CH355" s="141">
        <v>0</v>
      </c>
      <c r="CI355" s="141">
        <v>0</v>
      </c>
      <c r="CJ355" s="141">
        <v>0</v>
      </c>
      <c r="CK355" s="141">
        <v>0</v>
      </c>
      <c r="CL355" s="141">
        <v>0</v>
      </c>
      <c r="CM355" s="141">
        <v>1</v>
      </c>
      <c r="CN355" t="str">
        <f t="shared" si="354"/>
        <v>refOK</v>
      </c>
      <c r="CO355">
        <f t="shared" si="355"/>
        <v>2405</v>
      </c>
      <c r="CP355">
        <f t="shared" si="356"/>
        <v>2642</v>
      </c>
      <c r="CQ355">
        <f t="shared" si="357"/>
        <v>237000000</v>
      </c>
      <c r="CR355">
        <f t="shared" si="358"/>
        <v>0</v>
      </c>
      <c r="CS355">
        <f t="shared" si="359"/>
        <v>0</v>
      </c>
      <c r="CT355">
        <f t="shared" si="360"/>
        <v>-372000000</v>
      </c>
      <c r="CU355">
        <f t="shared" si="361"/>
        <v>-1.5696202531645569</v>
      </c>
      <c r="CV355" s="2" t="str">
        <f t="shared" si="362"/>
        <v/>
      </c>
      <c r="CW355" s="174" t="s">
        <v>1202</v>
      </c>
      <c r="CX355" s="264" t="str">
        <f t="shared" si="363"/>
        <v>reg</v>
      </c>
      <c r="CY355" s="141" t="s">
        <v>1300</v>
      </c>
      <c r="CZ355" s="141">
        <v>2016</v>
      </c>
      <c r="DA355" s="163">
        <v>2046</v>
      </c>
      <c r="DB355" s="163">
        <v>30</v>
      </c>
      <c r="DC355" t="str">
        <f t="shared" si="364"/>
        <v>1-30</v>
      </c>
      <c r="DD355" s="141">
        <v>1</v>
      </c>
      <c r="DE355" s="141">
        <v>1</v>
      </c>
      <c r="DF355" s="141">
        <v>0</v>
      </c>
      <c r="DG355" s="141">
        <v>1</v>
      </c>
      <c r="DH355"/>
      <c r="DI355">
        <f t="shared" si="365"/>
        <v>3</v>
      </c>
      <c r="DJ355" t="str">
        <f t="shared" si="366"/>
        <v>mixedProduct</v>
      </c>
      <c r="DK355" t="str">
        <f t="shared" si="367"/>
        <v>Upstream</v>
      </c>
      <c r="DL355" t="str">
        <f t="shared" si="368"/>
        <v>Energy</v>
      </c>
      <c r="DM355">
        <f t="shared" si="369"/>
        <v>0</v>
      </c>
      <c r="DN355" t="str">
        <f t="shared" si="370"/>
        <v>Timber</v>
      </c>
      <c r="DO355" s="163">
        <v>0</v>
      </c>
      <c r="DP355" s="141">
        <v>0</v>
      </c>
      <c r="DQ355" s="163">
        <v>0</v>
      </c>
      <c r="DR355" s="163">
        <v>0</v>
      </c>
      <c r="DS355" s="163">
        <v>0</v>
      </c>
      <c r="DT355">
        <f t="shared" si="371"/>
        <v>0</v>
      </c>
      <c r="DU355" s="143" t="str">
        <f t="shared" si="372"/>
        <v>explicit C balance</v>
      </c>
      <c r="DV355" s="163">
        <v>1</v>
      </c>
      <c r="DW355" s="141">
        <v>1</v>
      </c>
      <c r="DX355" s="163">
        <v>1</v>
      </c>
      <c r="DY355" s="163">
        <v>1</v>
      </c>
      <c r="DZ355" s="141">
        <v>0</v>
      </c>
      <c r="EA355" s="141">
        <v>0</v>
      </c>
      <c r="EB355" s="143">
        <v>0</v>
      </c>
      <c r="EC355" s="141">
        <v>0</v>
      </c>
      <c r="ED355" s="143">
        <v>0</v>
      </c>
      <c r="EE355" s="143">
        <v>0</v>
      </c>
      <c r="EF355" s="141">
        <v>1</v>
      </c>
      <c r="EG355" s="163">
        <v>0</v>
      </c>
      <c r="EH355" s="141">
        <v>0</v>
      </c>
      <c r="EI355" s="177">
        <v>0</v>
      </c>
      <c r="EJ355" s="1"/>
      <c r="EK355" t="str">
        <f t="shared" si="373"/>
        <v/>
      </c>
      <c r="EL355" t="str">
        <f t="shared" si="374"/>
        <v>Ecosystem approach</v>
      </c>
      <c r="EM355" s="2" t="str">
        <f t="shared" si="339"/>
        <v/>
      </c>
      <c r="EN355" s="141"/>
      <c r="EO355"/>
      <c r="EP355" t="str">
        <f>IF(ISNUMBER(BU355),IF(ABS(BU355-[4]QC_indicators!$B$2)&gt;3*[4]QC_indicators!$C$2,"C ratio",IF(ISNUMBER(BY355),IF(ABS(BY355-[4]QC_indicators!$B$1)&gt;3*[4]QC_indicators!$C$1,"DF","no"))),IF(ISNUMBER(BY355),IF(ABS(BY355-[4]QC_indicators!$B$1)&gt;3*[4]QC_indicators!$C$1,"DF","no")))</f>
        <v>no</v>
      </c>
      <c r="EQ355"/>
      <c r="ER355" s="294" t="s">
        <v>1301</v>
      </c>
      <c r="ES355"/>
      <c r="ET355" s="264" t="s">
        <v>3406</v>
      </c>
      <c r="EU355"/>
    </row>
    <row r="356" spans="1:151" s="139" customFormat="1" ht="15" hidden="1" customHeight="1">
      <c r="A356" s="174" t="s">
        <v>1285</v>
      </c>
      <c r="B356" s="141" t="s">
        <v>1286</v>
      </c>
      <c r="C356" s="141" t="s">
        <v>1287</v>
      </c>
      <c r="D356" s="141" t="s">
        <v>1288</v>
      </c>
      <c r="E356" s="141" t="s">
        <v>1289</v>
      </c>
      <c r="F356" s="141" t="s">
        <v>1290</v>
      </c>
      <c r="G356" s="141" t="s">
        <v>1291</v>
      </c>
      <c r="H356" s="141"/>
      <c r="I356" s="141">
        <v>2019</v>
      </c>
      <c r="J356" s="141"/>
      <c r="K356" s="141" t="s">
        <v>1292</v>
      </c>
      <c r="L356" s="141"/>
      <c r="M356" t="str">
        <f t="shared" si="340"/>
        <v>Bosch_2019</v>
      </c>
      <c r="N356" t="s">
        <v>222</v>
      </c>
      <c r="O356" s="175" t="s">
        <v>225</v>
      </c>
      <c r="P356" s="141" t="s">
        <v>223</v>
      </c>
      <c r="Q356" s="264" t="s">
        <v>224</v>
      </c>
      <c r="R356" s="269" t="s">
        <v>1153</v>
      </c>
      <c r="S356" s="174" t="s">
        <v>1308</v>
      </c>
      <c r="T356" s="141" t="s">
        <v>1295</v>
      </c>
      <c r="U356" s="141" t="s">
        <v>1309</v>
      </c>
      <c r="V356" s="141">
        <v>0</v>
      </c>
      <c r="W356" s="141">
        <v>0</v>
      </c>
      <c r="X356" s="141">
        <v>1</v>
      </c>
      <c r="Y356" s="141">
        <v>0</v>
      </c>
      <c r="Z356" s="141">
        <v>0</v>
      </c>
      <c r="AA356" s="141">
        <v>0</v>
      </c>
      <c r="AB356" s="141">
        <v>0</v>
      </c>
      <c r="AC356" s="141">
        <v>0</v>
      </c>
      <c r="AD356" s="141">
        <v>0</v>
      </c>
      <c r="AE356" s="141">
        <v>0</v>
      </c>
      <c r="AF356" s="141">
        <v>0</v>
      </c>
      <c r="AG356" s="141">
        <v>0</v>
      </c>
      <c r="AH356" s="141">
        <v>0</v>
      </c>
      <c r="AI356" s="141">
        <v>0</v>
      </c>
      <c r="AJ356" s="141">
        <v>0</v>
      </c>
      <c r="AK356" s="141">
        <v>0</v>
      </c>
      <c r="AL356" s="141">
        <v>0</v>
      </c>
      <c r="AM356" s="141">
        <v>0</v>
      </c>
      <c r="AN356" s="141">
        <v>0</v>
      </c>
      <c r="AO356" s="141">
        <v>0</v>
      </c>
      <c r="AP356" s="141">
        <v>0</v>
      </c>
      <c r="AQ356" s="141">
        <v>0</v>
      </c>
      <c r="AR356" s="141">
        <v>0</v>
      </c>
      <c r="AS356" s="141">
        <v>0</v>
      </c>
      <c r="AT356" s="141">
        <v>0</v>
      </c>
      <c r="AU356" s="141">
        <v>0</v>
      </c>
      <c r="AV356" s="141">
        <v>0</v>
      </c>
      <c r="AW356" s="141">
        <v>0</v>
      </c>
      <c r="AX356" s="141">
        <f t="shared" si="343"/>
        <v>1</v>
      </c>
      <c r="AY356" s="141">
        <f t="shared" si="344"/>
        <v>1</v>
      </c>
      <c r="AZ356">
        <f t="shared" si="345"/>
        <v>1</v>
      </c>
      <c r="BA356">
        <f t="shared" si="346"/>
        <v>0</v>
      </c>
      <c r="BB356">
        <f t="shared" si="347"/>
        <v>0</v>
      </c>
      <c r="BC356">
        <f t="shared" si="348"/>
        <v>0</v>
      </c>
      <c r="BD356">
        <f t="shared" si="349"/>
        <v>0</v>
      </c>
      <c r="BE356" t="str" cm="1">
        <f t="array" ref="BE356">IF(AY356=1,INDEX($V$7:$AL$7,MATCH(TRUE,INDEX($V356:$AW356&lt;&gt;0,),0)),IF(AY356=0,INDEX($AM$7:$AW$7,MATCH(1,$AM356:$AW356,0)),IF(BF356="Multiple strategies","mixed drivers",IF(BF356="Supply chain","multiple supply","multiple silviculture"))))</f>
        <v>rotation length</v>
      </c>
      <c r="BF356" s="2" t="str" cm="1">
        <f t="array" ref="BF356">IF(COUNTIF(AZ356:BB356,"&lt;&gt;0")=1,INDEX($V$4:$AW$4,MATCH(TRUE,INDEX($V356:$AW356&lt;&gt;0,),0)),IF(COUNTIF(AZ356:BB356,"&lt;&gt;0")=0,INDEX($AM$4:$AW$4,MATCH(1,$AM356:$AW356,0)),"Multiple strategies"))</f>
        <v>Silviculture for removals</v>
      </c>
      <c r="BG356" s="173" t="s">
        <v>321</v>
      </c>
      <c r="BH356" s="141" t="s">
        <v>1296</v>
      </c>
      <c r="BI356" s="141" t="s">
        <v>1297</v>
      </c>
      <c r="BJ356" s="163" t="s">
        <v>1298</v>
      </c>
      <c r="BK356" s="163">
        <v>2405</v>
      </c>
      <c r="BL356" s="176">
        <v>2642</v>
      </c>
      <c r="BM356" s="264">
        <f t="shared" si="350"/>
        <v>1.0985446985446985</v>
      </c>
      <c r="BN356">
        <f t="shared" si="351"/>
        <v>237</v>
      </c>
      <c r="BO356" s="158">
        <f t="shared" si="352"/>
        <v>237000000</v>
      </c>
      <c r="BP356" s="264" t="s">
        <v>395</v>
      </c>
      <c r="BQ356" s="264" t="s">
        <v>426</v>
      </c>
      <c r="BR356" s="151" t="s">
        <v>1299</v>
      </c>
      <c r="BS356" s="141"/>
      <c r="BT356" s="163"/>
      <c r="BU356" s="144" t="str">
        <f>IFERROR(BT356/BS356,"")</f>
        <v/>
      </c>
      <c r="BV356" s="176">
        <v>418</v>
      </c>
      <c r="BW356"/>
      <c r="BX356">
        <f t="shared" si="353"/>
        <v>418000000</v>
      </c>
      <c r="BY356">
        <f t="shared" si="338"/>
        <v>1.7637130801687764</v>
      </c>
      <c r="BZ356" s="141">
        <v>0</v>
      </c>
      <c r="CA356" s="141">
        <v>0</v>
      </c>
      <c r="CB356" s="141">
        <v>0</v>
      </c>
      <c r="CC356" s="141">
        <v>0</v>
      </c>
      <c r="CD356" s="141">
        <v>0</v>
      </c>
      <c r="CE356" s="141">
        <v>0</v>
      </c>
      <c r="CF356" s="141">
        <v>0</v>
      </c>
      <c r="CG356" s="141">
        <v>0</v>
      </c>
      <c r="CH356" s="141">
        <v>0</v>
      </c>
      <c r="CI356" s="141">
        <v>0</v>
      </c>
      <c r="CJ356" s="141">
        <v>0</v>
      </c>
      <c r="CK356" s="141">
        <v>0</v>
      </c>
      <c r="CL356" s="141">
        <v>0</v>
      </c>
      <c r="CM356" s="141">
        <v>1</v>
      </c>
      <c r="CN356" t="str">
        <f t="shared" si="354"/>
        <v>refOK</v>
      </c>
      <c r="CO356">
        <f t="shared" si="355"/>
        <v>2405</v>
      </c>
      <c r="CP356">
        <f t="shared" si="356"/>
        <v>2642</v>
      </c>
      <c r="CQ356">
        <f t="shared" si="357"/>
        <v>237000000</v>
      </c>
      <c r="CR356">
        <f t="shared" si="358"/>
        <v>0</v>
      </c>
      <c r="CS356">
        <f t="shared" si="359"/>
        <v>0</v>
      </c>
      <c r="CT356">
        <f t="shared" si="360"/>
        <v>-418000000</v>
      </c>
      <c r="CU356">
        <f t="shared" si="361"/>
        <v>-1.7637130801687764</v>
      </c>
      <c r="CV356" s="2" t="str">
        <f t="shared" si="362"/>
        <v/>
      </c>
      <c r="CW356" s="174" t="s">
        <v>1202</v>
      </c>
      <c r="CX356" s="264" t="str">
        <f t="shared" si="363"/>
        <v>reg</v>
      </c>
      <c r="CY356" s="141" t="s">
        <v>1300</v>
      </c>
      <c r="CZ356" s="141">
        <v>2016</v>
      </c>
      <c r="DA356" s="163">
        <v>2046</v>
      </c>
      <c r="DB356" s="163">
        <v>30</v>
      </c>
      <c r="DC356" t="str">
        <f t="shared" si="364"/>
        <v>1-30</v>
      </c>
      <c r="DD356" s="141">
        <v>1</v>
      </c>
      <c r="DE356" s="141">
        <v>1</v>
      </c>
      <c r="DF356" s="141">
        <v>0</v>
      </c>
      <c r="DG356" s="141">
        <v>1</v>
      </c>
      <c r="DH356"/>
      <c r="DI356">
        <f t="shared" si="365"/>
        <v>3</v>
      </c>
      <c r="DJ356" t="str">
        <f t="shared" si="366"/>
        <v>mixedProduct</v>
      </c>
      <c r="DK356" t="str">
        <f t="shared" si="367"/>
        <v>Upstream</v>
      </c>
      <c r="DL356" t="str">
        <f t="shared" si="368"/>
        <v>Energy</v>
      </c>
      <c r="DM356">
        <f t="shared" si="369"/>
        <v>0</v>
      </c>
      <c r="DN356" t="str">
        <f t="shared" si="370"/>
        <v>Timber</v>
      </c>
      <c r="DO356" s="163">
        <v>0</v>
      </c>
      <c r="DP356" s="141">
        <v>0</v>
      </c>
      <c r="DQ356" s="163">
        <v>0</v>
      </c>
      <c r="DR356" s="163">
        <v>0</v>
      </c>
      <c r="DS356" s="163">
        <v>0</v>
      </c>
      <c r="DT356">
        <f t="shared" si="371"/>
        <v>0</v>
      </c>
      <c r="DU356" s="143" t="str">
        <f t="shared" si="372"/>
        <v>explicit C balance</v>
      </c>
      <c r="DV356" s="163">
        <v>1</v>
      </c>
      <c r="DW356" s="141">
        <v>1</v>
      </c>
      <c r="DX356" s="163">
        <v>1</v>
      </c>
      <c r="DY356" s="163">
        <v>0</v>
      </c>
      <c r="DZ356" s="141">
        <v>0</v>
      </c>
      <c r="EA356" s="141">
        <v>0</v>
      </c>
      <c r="EB356" s="143">
        <v>0</v>
      </c>
      <c r="EC356" s="141">
        <v>0</v>
      </c>
      <c r="ED356" s="143">
        <v>0</v>
      </c>
      <c r="EE356" s="143">
        <v>0</v>
      </c>
      <c r="EF356" s="141">
        <v>1</v>
      </c>
      <c r="EG356" s="163">
        <v>0</v>
      </c>
      <c r="EH356" s="141">
        <v>0</v>
      </c>
      <c r="EI356" s="177">
        <v>0</v>
      </c>
      <c r="EJ356" s="1"/>
      <c r="EK356" t="str">
        <f t="shared" si="373"/>
        <v/>
      </c>
      <c r="EL356" t="str">
        <f t="shared" si="374"/>
        <v>Ecosystem approach</v>
      </c>
      <c r="EM356" s="2" t="str">
        <f t="shared" si="339"/>
        <v/>
      </c>
      <c r="EN356" s="141"/>
      <c r="EO356"/>
      <c r="EP356" t="str">
        <f>IF(ISNUMBER(BU356),IF(ABS(BU356-[4]QC_indicators!$B$2)&gt;3*[4]QC_indicators!$C$2,"C ratio",IF(ISNUMBER(BY356),IF(ABS(BY356-[4]QC_indicators!$B$1)&gt;3*[4]QC_indicators!$C$1,"DF","no"))),IF(ISNUMBER(BY356),IF(ABS(BY356-[4]QC_indicators!$B$1)&gt;3*[4]QC_indicators!$C$1,"DF","no")))</f>
        <v>no</v>
      </c>
      <c r="EQ356"/>
      <c r="ER356" s="294" t="s">
        <v>1301</v>
      </c>
      <c r="ES356"/>
      <c r="ET356" s="264" t="s">
        <v>3406</v>
      </c>
      <c r="EU356"/>
    </row>
    <row r="357" spans="1:151" s="139" customFormat="1" ht="15" hidden="1" customHeight="1">
      <c r="A357" s="1" t="s">
        <v>1310</v>
      </c>
      <c r="B357" t="s">
        <v>1311</v>
      </c>
      <c r="C357" t="s">
        <v>1312</v>
      </c>
      <c r="D357" t="s">
        <v>1313</v>
      </c>
      <c r="E357" t="s">
        <v>1314</v>
      </c>
      <c r="F357" t="s">
        <v>1315</v>
      </c>
      <c r="G357" t="s">
        <v>1316</v>
      </c>
      <c r="H357" t="s">
        <v>254</v>
      </c>
      <c r="I357">
        <v>2016</v>
      </c>
      <c r="J357">
        <v>0</v>
      </c>
      <c r="K357" t="s">
        <v>1317</v>
      </c>
      <c r="L357"/>
      <c r="M357" t="str">
        <f t="shared" si="340"/>
        <v>Bouyer_2016</v>
      </c>
      <c r="N357" t="s">
        <v>222</v>
      </c>
      <c r="O357" s="145" t="s">
        <v>225</v>
      </c>
      <c r="P357"/>
      <c r="Q357" s="264" t="s">
        <v>224</v>
      </c>
      <c r="R357" s="269" t="s">
        <v>1153</v>
      </c>
      <c r="S357" s="1" t="s">
        <v>1318</v>
      </c>
      <c r="T357" s="264" t="s">
        <v>1319</v>
      </c>
      <c r="U357" t="s">
        <v>1320</v>
      </c>
      <c r="V357">
        <v>0</v>
      </c>
      <c r="W357">
        <v>0</v>
      </c>
      <c r="X357">
        <v>0</v>
      </c>
      <c r="Y357">
        <v>1</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s="141">
        <f t="shared" si="343"/>
        <v>1</v>
      </c>
      <c r="AY357" s="141">
        <f t="shared" si="344"/>
        <v>1</v>
      </c>
      <c r="AZ357">
        <f t="shared" si="345"/>
        <v>1</v>
      </c>
      <c r="BA357">
        <f t="shared" si="346"/>
        <v>0</v>
      </c>
      <c r="BB357">
        <f t="shared" si="347"/>
        <v>0</v>
      </c>
      <c r="BC357">
        <f t="shared" si="348"/>
        <v>0</v>
      </c>
      <c r="BD357">
        <f t="shared" si="349"/>
        <v>0</v>
      </c>
      <c r="BE357" t="str" cm="1">
        <f t="array" ref="BE357">IF(AY357=1,INDEX($V$7:$AL$7,MATCH(TRUE,INDEX($V357:$AW357&lt;&gt;0,),0)),IF(AY357=0,INDEX($AM$7:$AW$7,MATCH(1,$AM357:$AW357,0)),IF(BF357="Multiple strategies","mixed drivers",IF(BF357="Supply chain","multiple supply","multiple silviculture"))))</f>
        <v xml:space="preserve">cutting intensity </v>
      </c>
      <c r="BF357" s="2" t="str" cm="1">
        <f t="array" ref="BF357">IF(COUNTIF(AZ357:BB357,"&lt;&gt;0")=1,INDEX($V$4:$AW$4,MATCH(TRUE,INDEX($V357:$AW357&lt;&gt;0,),0)),IF(COUNTIF(AZ357:BB357,"&lt;&gt;0")=0,INDEX($AM$4:$AW$4,MATCH(1,$AM357:$AW357,0)),"Multiple strategies"))</f>
        <v>Silviculture for removals</v>
      </c>
      <c r="BG357" s="173" t="s">
        <v>321</v>
      </c>
      <c r="BH357" t="s">
        <v>1321</v>
      </c>
      <c r="BI357"/>
      <c r="BJ357" s="143" t="s">
        <v>1322</v>
      </c>
      <c r="BK357">
        <v>0</v>
      </c>
      <c r="BL357" s="143">
        <v>164</v>
      </c>
      <c r="BM357" s="163"/>
      <c r="BN357">
        <f t="shared" si="351"/>
        <v>164</v>
      </c>
      <c r="BO357">
        <f t="shared" si="352"/>
        <v>164000000</v>
      </c>
      <c r="BP357" s="163" t="s">
        <v>232</v>
      </c>
      <c r="BQ357" s="163"/>
      <c r="BR357" t="s">
        <v>1323</v>
      </c>
      <c r="BS357">
        <v>10.99</v>
      </c>
      <c r="BT357">
        <v>13.7</v>
      </c>
      <c r="BU357" s="144" t="str">
        <f>IFERROR(BS357/#REF!,"")</f>
        <v/>
      </c>
      <c r="BV357" s="176">
        <f t="shared" ref="BV357:BV380" si="375">BT357-BS357</f>
        <v>2.7099999999999991</v>
      </c>
      <c r="BW357" s="176"/>
      <c r="BX357" s="176">
        <f>BV357*10^9/10^6</f>
        <v>2709.9999999999991</v>
      </c>
      <c r="BY357">
        <f t="shared" si="338"/>
        <v>1.6524390243902432E-5</v>
      </c>
      <c r="BZ357" s="143">
        <v>0</v>
      </c>
      <c r="CA357" s="143">
        <v>0</v>
      </c>
      <c r="CB357" s="143">
        <v>0</v>
      </c>
      <c r="CC357" s="143">
        <v>0</v>
      </c>
      <c r="CD357" s="143">
        <v>0</v>
      </c>
      <c r="CE357" s="143">
        <v>0</v>
      </c>
      <c r="CF357" s="143">
        <v>0</v>
      </c>
      <c r="CG357" s="143">
        <v>0</v>
      </c>
      <c r="CH357" s="143">
        <v>0</v>
      </c>
      <c r="CI357" s="143">
        <v>0</v>
      </c>
      <c r="CJ357" s="143">
        <v>0</v>
      </c>
      <c r="CK357" s="143">
        <v>0</v>
      </c>
      <c r="CL357" s="143">
        <v>0</v>
      </c>
      <c r="CM357">
        <v>0</v>
      </c>
      <c r="CN357" t="str">
        <f>IF($BL357&lt;$BK357,"refNeedCorrection","refOK")</f>
        <v>refOK</v>
      </c>
      <c r="CO357">
        <f t="shared" si="355"/>
        <v>0</v>
      </c>
      <c r="CP357">
        <f t="shared" si="356"/>
        <v>164</v>
      </c>
      <c r="CQ357">
        <f t="shared" si="357"/>
        <v>164000000</v>
      </c>
      <c r="CR357" t="e">
        <f>IF($CN357="refOK",#REF!,$BS357)*IF($BP357="Emissions positive",-1,1)</f>
        <v>#REF!</v>
      </c>
      <c r="CS357">
        <f>IF($CN357="refOK",$BS357,#REF!)*IF($BP357="Emissions positive",-1,1)</f>
        <v>10.99</v>
      </c>
      <c r="CT357">
        <f t="shared" si="360"/>
        <v>2709.9999999999991</v>
      </c>
      <c r="CU357">
        <f t="shared" si="361"/>
        <v>1.6524390243902432E-5</v>
      </c>
      <c r="CV357" s="2" t="str">
        <f t="shared" si="362"/>
        <v/>
      </c>
      <c r="CW357" s="1" t="s">
        <v>1202</v>
      </c>
      <c r="CX357" s="264" t="str">
        <f t="shared" si="363"/>
        <v>reg</v>
      </c>
      <c r="CY357" t="s">
        <v>1280</v>
      </c>
      <c r="CZ357">
        <v>2013</v>
      </c>
      <c r="DA357" s="143">
        <v>2020</v>
      </c>
      <c r="DB357" s="143">
        <v>8</v>
      </c>
      <c r="DC357" t="str">
        <f t="shared" si="364"/>
        <v>1-30</v>
      </c>
      <c r="DD357">
        <v>0</v>
      </c>
      <c r="DE357">
        <v>0</v>
      </c>
      <c r="DF357">
        <v>0</v>
      </c>
      <c r="DG357">
        <v>1</v>
      </c>
      <c r="DH357"/>
      <c r="DI357">
        <f t="shared" si="365"/>
        <v>1</v>
      </c>
      <c r="DJ357" t="str">
        <f t="shared" si="366"/>
        <v>TimberInput</v>
      </c>
      <c r="DK357">
        <f t="shared" si="367"/>
        <v>0</v>
      </c>
      <c r="DL357">
        <f t="shared" si="368"/>
        <v>0</v>
      </c>
      <c r="DM357">
        <f t="shared" si="369"/>
        <v>0</v>
      </c>
      <c r="DN357" t="str">
        <f t="shared" si="370"/>
        <v>Timber</v>
      </c>
      <c r="DO357">
        <v>0</v>
      </c>
      <c r="DP357" s="143">
        <v>0</v>
      </c>
      <c r="DQ357" s="143">
        <v>0</v>
      </c>
      <c r="DR357" s="143">
        <v>0</v>
      </c>
      <c r="DS357" s="143">
        <v>0</v>
      </c>
      <c r="DT357">
        <f t="shared" si="371"/>
        <v>0</v>
      </c>
      <c r="DU357" s="143" t="str">
        <f t="shared" si="372"/>
        <v>explicit C balance</v>
      </c>
      <c r="DV357" s="143">
        <v>0</v>
      </c>
      <c r="DW357" s="143">
        <v>0</v>
      </c>
      <c r="DX357" s="143">
        <v>0</v>
      </c>
      <c r="DY357" s="143">
        <v>1</v>
      </c>
      <c r="DZ357">
        <v>0</v>
      </c>
      <c r="EA357" s="141">
        <v>0</v>
      </c>
      <c r="EB357" s="143">
        <v>0</v>
      </c>
      <c r="EC357" s="143">
        <v>0</v>
      </c>
      <c r="ED357" s="143">
        <v>0</v>
      </c>
      <c r="EE357">
        <v>0</v>
      </c>
      <c r="EF357">
        <v>0</v>
      </c>
      <c r="EG357" s="143">
        <v>0</v>
      </c>
      <c r="EH357" s="143">
        <v>0</v>
      </c>
      <c r="EI357" s="2">
        <v>0</v>
      </c>
      <c r="EJ357" s="1"/>
      <c r="EK357" t="str">
        <f t="shared" si="373"/>
        <v/>
      </c>
      <c r="EL357" t="str">
        <f t="shared" si="374"/>
        <v/>
      </c>
      <c r="EM357" s="2" t="str">
        <f t="shared" si="339"/>
        <v/>
      </c>
      <c r="EN357"/>
      <c r="EO357"/>
      <c r="EP357" t="str">
        <f>IF(ISNUMBER(BU357),IF(ABS(BU357-[4]QC_indicators!$B$2)&gt;3*[4]QC_indicators!$C$2,"C ratio",IF(ISNUMBER(BY357),IF(ABS(BY357-[4]QC_indicators!$B$1)&gt;3*[4]QC_indicators!$C$1,"DF","no"))),IF(ISNUMBER(BY357),IF(ABS(BY357-[4]QC_indicators!$B$1)&gt;3*[4]QC_indicators!$C$1,"DF","no")))</f>
        <v>no</v>
      </c>
      <c r="EQ357"/>
      <c r="ER357" s="264" t="s">
        <v>1324</v>
      </c>
      <c r="ES357"/>
      <c r="ET357" s="264" t="s">
        <v>3406</v>
      </c>
      <c r="EU357"/>
    </row>
    <row r="358" spans="1:151" s="139" customFormat="1" ht="15" hidden="1" customHeight="1">
      <c r="A358" s="1" t="s">
        <v>1325</v>
      </c>
      <c r="B358" t="s">
        <v>1326</v>
      </c>
      <c r="C358" t="s">
        <v>544</v>
      </c>
      <c r="D358" t="s">
        <v>1313</v>
      </c>
      <c r="E358" s="264" t="s">
        <v>1327</v>
      </c>
      <c r="F358" t="s">
        <v>1328</v>
      </c>
      <c r="G358" t="s">
        <v>544</v>
      </c>
      <c r="H358" t="s">
        <v>1329</v>
      </c>
      <c r="I358">
        <v>2017</v>
      </c>
      <c r="J358">
        <v>1</v>
      </c>
      <c r="K358" t="s">
        <v>1330</v>
      </c>
      <c r="L358"/>
      <c r="M358" t="str">
        <f t="shared" si="340"/>
        <v>Bouyer_2017</v>
      </c>
      <c r="N358" t="s">
        <v>2583</v>
      </c>
      <c r="O358" s="161" t="s">
        <v>1153</v>
      </c>
      <c r="P358"/>
      <c r="Q358" t="s">
        <v>389</v>
      </c>
      <c r="R358" s="262" t="s">
        <v>223</v>
      </c>
      <c r="S358" s="154" t="s">
        <v>1331</v>
      </c>
      <c r="T358" s="149" t="s">
        <v>1319</v>
      </c>
      <c r="U358" t="s">
        <v>704</v>
      </c>
      <c r="V358">
        <v>0</v>
      </c>
      <c r="W358">
        <v>0</v>
      </c>
      <c r="X358">
        <v>0</v>
      </c>
      <c r="Y358">
        <v>1</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s="141">
        <f t="shared" si="343"/>
        <v>1</v>
      </c>
      <c r="AY358" s="141">
        <f t="shared" si="344"/>
        <v>1</v>
      </c>
      <c r="AZ358">
        <f t="shared" si="345"/>
        <v>1</v>
      </c>
      <c r="BA358">
        <f t="shared" si="346"/>
        <v>0</v>
      </c>
      <c r="BB358">
        <f t="shared" si="347"/>
        <v>0</v>
      </c>
      <c r="BC358">
        <f t="shared" si="348"/>
        <v>0</v>
      </c>
      <c r="BD358">
        <f t="shared" si="349"/>
        <v>0</v>
      </c>
      <c r="BE358" t="str">
        <f t="array" ref="BE358">IF(AY358=1,INDEX($V$7:$AL$7,MATCH(TRUE,INDEX($V358:$AW358&lt;&gt;0,),0)),IF(AY358=0,INDEX($AM$7:$AW$7,MATCH(1,$AM358:$AW358,0)),IF(BF358="Multiple strategies","mixed drivers",IF(BF358="Supply chain","multiple supply","multiple silviculture"))))</f>
        <v xml:space="preserve">cutting intensity </v>
      </c>
      <c r="BF358" s="2" t="str" cm="1">
        <f t="array" ref="BF358">IF(COUNTIF(AZ358:BB358,"&lt;&gt;0")=1,INDEX($V$4:$AW$4,MATCH(TRUE,INDEX($V358:$AW358&lt;&gt;0,),0)),IF(COUNTIF(AZ358:BB358,"&lt;&gt;0")=0,INDEX($AM$4:$AW$4,MATCH(1,$AM358:$AW358,0)),"Multiple strategies"))</f>
        <v>Silviculture for removals</v>
      </c>
      <c r="BG358" s="178" t="s">
        <v>321</v>
      </c>
      <c r="BH358" t="s">
        <v>1296</v>
      </c>
      <c r="BI358" t="s">
        <v>1332</v>
      </c>
      <c r="BJ358" t="s">
        <v>1213</v>
      </c>
      <c r="BK358">
        <v>21.542968750001261</v>
      </c>
      <c r="BL358">
        <v>24.025869919478485</v>
      </c>
      <c r="BM358">
        <f>BL358/BK358</f>
        <v>1.1152534359721</v>
      </c>
      <c r="BN358">
        <f t="shared" si="351"/>
        <v>2.4829011694772234</v>
      </c>
      <c r="BO358">
        <f>BN358*1000000</f>
        <v>2482901.1694772234</v>
      </c>
      <c r="BP358" s="155" t="s">
        <v>232</v>
      </c>
      <c r="BQ358" t="s">
        <v>1333</v>
      </c>
      <c r="BR358" t="s">
        <v>1334</v>
      </c>
      <c r="BS358">
        <v>15.160763391344325</v>
      </c>
      <c r="BT358">
        <v>11.996175827266081</v>
      </c>
      <c r="BU358" s="144">
        <f t="shared" ref="BU358:BU368" si="376">BT358/BS358</f>
        <v>0.79126462946549314</v>
      </c>
      <c r="BV358">
        <f t="shared" si="375"/>
        <v>-3.1645875640782446</v>
      </c>
      <c r="BW358"/>
      <c r="BX358">
        <f>BV358*1000000</f>
        <v>-3164587.5640782444</v>
      </c>
      <c r="BY358">
        <f t="shared" si="338"/>
        <v>-1.2745523676017079</v>
      </c>
      <c r="BZ358" s="143">
        <v>0</v>
      </c>
      <c r="CA358" s="143">
        <v>0</v>
      </c>
      <c r="CB358" s="143">
        <v>0</v>
      </c>
      <c r="CC358" s="143">
        <v>0</v>
      </c>
      <c r="CD358" s="143">
        <v>0</v>
      </c>
      <c r="CE358" s="143">
        <v>0</v>
      </c>
      <c r="CF358" s="143">
        <v>0</v>
      </c>
      <c r="CG358" s="143">
        <v>0</v>
      </c>
      <c r="CH358" s="143">
        <v>0</v>
      </c>
      <c r="CI358" s="143">
        <v>0</v>
      </c>
      <c r="CJ358" s="143">
        <v>0</v>
      </c>
      <c r="CK358" s="143">
        <v>0</v>
      </c>
      <c r="CL358" s="143">
        <v>0</v>
      </c>
      <c r="CM358">
        <v>0</v>
      </c>
      <c r="CN358" t="str">
        <f>IF($BL358&lt;$BK358,"refNeedCorrection","refOK")</f>
        <v>refOK</v>
      </c>
      <c r="CO358">
        <f t="shared" si="355"/>
        <v>21.542968750001261</v>
      </c>
      <c r="CP358">
        <f t="shared" si="356"/>
        <v>24.025869919478485</v>
      </c>
      <c r="CQ358">
        <f t="shared" si="357"/>
        <v>2482901.1694772234</v>
      </c>
      <c r="CR358">
        <f t="shared" ref="CR358:CR380" si="377">IF($CN358="refOK",$BS358,$BT358)*IF($BP358="Emissions positive",-1,1)</f>
        <v>15.160763391344325</v>
      </c>
      <c r="CS358">
        <f t="shared" ref="CS358:CS380" si="378">IF($CN358="refOK",$BT358,$BS358)*IF($BP358="Emissions positive",-1,1)</f>
        <v>11.996175827266081</v>
      </c>
      <c r="CT358">
        <f t="shared" si="360"/>
        <v>-3164587.5640782444</v>
      </c>
      <c r="CU358">
        <f t="shared" si="361"/>
        <v>-1.2745523676017079</v>
      </c>
      <c r="CV358" s="2">
        <f t="shared" si="362"/>
        <v>-0.20873537053450686</v>
      </c>
      <c r="CW358" s="162" t="s">
        <v>1202</v>
      </c>
      <c r="CX358" t="str">
        <f t="shared" si="363"/>
        <v>reg</v>
      </c>
      <c r="CY358" s="155" t="s">
        <v>1280</v>
      </c>
      <c r="CZ358">
        <v>2013</v>
      </c>
      <c r="DA358">
        <v>2020</v>
      </c>
      <c r="DB358">
        <f t="shared" ref="DB358:DB380" si="379">DA358-CZ358</f>
        <v>7</v>
      </c>
      <c r="DC358" t="str">
        <f t="shared" si="364"/>
        <v>1-30</v>
      </c>
      <c r="DD358">
        <v>1</v>
      </c>
      <c r="DE358">
        <v>0</v>
      </c>
      <c r="DF358">
        <v>0</v>
      </c>
      <c r="DG358">
        <v>0</v>
      </c>
      <c r="DH358">
        <v>0</v>
      </c>
      <c r="DI358">
        <f t="shared" si="365"/>
        <v>1</v>
      </c>
      <c r="DJ358" t="str">
        <f t="shared" si="366"/>
        <v>UpstreamInput</v>
      </c>
      <c r="DK358" t="str">
        <f t="shared" si="367"/>
        <v>Upstream</v>
      </c>
      <c r="DL358">
        <f t="shared" si="368"/>
        <v>0</v>
      </c>
      <c r="DM358">
        <f t="shared" si="369"/>
        <v>0</v>
      </c>
      <c r="DN358">
        <f t="shared" si="370"/>
        <v>0</v>
      </c>
      <c r="DO358">
        <v>0</v>
      </c>
      <c r="DP358">
        <v>0</v>
      </c>
      <c r="DQ358">
        <v>0</v>
      </c>
      <c r="DR358">
        <v>0</v>
      </c>
      <c r="DS358">
        <v>0</v>
      </c>
      <c r="DT358"/>
      <c r="DU358"/>
      <c r="DV358">
        <v>0</v>
      </c>
      <c r="DW358">
        <v>0</v>
      </c>
      <c r="DX358">
        <v>1</v>
      </c>
      <c r="DY358">
        <v>1</v>
      </c>
      <c r="DZ358">
        <v>0</v>
      </c>
      <c r="EA358">
        <v>0</v>
      </c>
      <c r="EB358">
        <v>0</v>
      </c>
      <c r="EC358">
        <v>0</v>
      </c>
      <c r="ED358">
        <v>0</v>
      </c>
      <c r="EE358">
        <v>0</v>
      </c>
      <c r="EF358">
        <v>1</v>
      </c>
      <c r="EG358">
        <v>0</v>
      </c>
      <c r="EH358">
        <v>0</v>
      </c>
      <c r="EI358" s="2">
        <v>0</v>
      </c>
      <c r="EJ358" s="1"/>
      <c r="EK358" t="str">
        <f t="shared" si="373"/>
        <v/>
      </c>
      <c r="EL358" t="str">
        <f t="shared" si="374"/>
        <v/>
      </c>
      <c r="EM358" s="2" t="str">
        <f t="shared" si="339"/>
        <v/>
      </c>
      <c r="EN358"/>
      <c r="EO358"/>
      <c r="EP358" t="str">
        <f>IF(ISNUMBER(BU358),IF(ABS(BU358-[3]QC_indicators!$B$2)&gt;3*[3]QC_indicators!$C$2,"C ratio",IF(ISNUMBER(BY358),IF(ABS(BY358-[3]QC_indicators!$B$1)&gt;3*[3]QC_indicators!$C$1,"DF","no"))),IF(ISNUMBER(BY358),IF(ABS(BY358-[3]QC_indicators!$B$1)&gt;3*[3]QC_indicators!$C$1,"DF","no")))</f>
        <v>no</v>
      </c>
      <c r="EQ358"/>
      <c r="ER358"/>
      <c r="ES358"/>
      <c r="ET358" s="304" t="s">
        <v>3410</v>
      </c>
      <c r="EU358"/>
    </row>
    <row r="359" spans="1:151" s="139" customFormat="1" ht="15" hidden="1" customHeight="1">
      <c r="A359" s="1" t="s">
        <v>3482</v>
      </c>
      <c r="B359" t="s">
        <v>3483</v>
      </c>
      <c r="C359" t="s">
        <v>3484</v>
      </c>
      <c r="D359" t="s">
        <v>3485</v>
      </c>
      <c r="E359" t="s">
        <v>3486</v>
      </c>
      <c r="F359" t="s">
        <v>3487</v>
      </c>
      <c r="G359" t="s">
        <v>3488</v>
      </c>
      <c r="H359" t="s">
        <v>254</v>
      </c>
      <c r="I359">
        <v>2021</v>
      </c>
      <c r="J359">
        <v>1</v>
      </c>
      <c r="K359" t="s">
        <v>3489</v>
      </c>
      <c r="L359"/>
      <c r="M359" t="str">
        <f t="shared" si="340"/>
        <v>Bradfer-Lawrence_2021</v>
      </c>
      <c r="N359" s="311" t="s">
        <v>4382</v>
      </c>
      <c r="O359" s="145" t="s">
        <v>223</v>
      </c>
      <c r="P359"/>
      <c r="Q359" s="311" t="s">
        <v>256</v>
      </c>
      <c r="R359" s="312"/>
      <c r="S359" s="1" t="s">
        <v>3490</v>
      </c>
      <c r="T359" t="s">
        <v>3491</v>
      </c>
      <c r="U359" t="s">
        <v>3492</v>
      </c>
      <c r="V359">
        <v>1</v>
      </c>
      <c r="W359">
        <v>0</v>
      </c>
      <c r="X359">
        <v>0</v>
      </c>
      <c r="Y359">
        <v>0</v>
      </c>
      <c r="Z359">
        <v>2</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s="141">
        <f t="shared" si="343"/>
        <v>2</v>
      </c>
      <c r="AY359" s="141">
        <f t="shared" si="344"/>
        <v>2</v>
      </c>
      <c r="AZ359">
        <f t="shared" si="345"/>
        <v>2</v>
      </c>
      <c r="BA359">
        <f t="shared" si="346"/>
        <v>0</v>
      </c>
      <c r="BB359">
        <f t="shared" si="347"/>
        <v>0</v>
      </c>
      <c r="BC359">
        <f t="shared" si="348"/>
        <v>0</v>
      </c>
      <c r="BD359">
        <f t="shared" si="349"/>
        <v>0</v>
      </c>
      <c r="BE359" t="str" cm="1">
        <f t="array" ref="BE359">IF(AY359=1,INDEX($V$7:$AL$7,MATCH(TRUE,INDEX($V359:$AW359&lt;&gt;0,),0)),IF(AY359=0,INDEX($AM$7:$AW$7,MATCH(1,$AM359:$AW359,0)),IF(BF359="Multiple strategies","mixed drivers",IF(BF359="Supply chain","multiple supply","multiple silviculture"))))</f>
        <v>multiple silviculture</v>
      </c>
      <c r="BF359" s="2" t="str" cm="1">
        <f t="array" ref="BF359">IF(COUNTIF(AZ359:BB359,"&lt;&gt;0")=1,INDEX($V$4:$AW$4,MATCH(TRUE,INDEX($V359:$AW359&lt;&gt;0,),0)),IF(COUNTIF(AZ359:BB359,"&lt;&gt;0")=0,INDEX($AM$4:$AW$4,MATCH(1,$AM359:$AW359,0)),"Multiple strategies"))</f>
        <v>Silviculture for removals</v>
      </c>
      <c r="BG359" s="1"/>
      <c r="BH359"/>
      <c r="BI359"/>
      <c r="BJ359"/>
      <c r="BK359"/>
      <c r="BL359"/>
      <c r="BM359"/>
      <c r="BN359"/>
      <c r="BO359"/>
      <c r="BP359" t="s">
        <v>232</v>
      </c>
      <c r="BQ359"/>
      <c r="BR359" t="s">
        <v>598</v>
      </c>
      <c r="BS359">
        <v>163.80000000000001</v>
      </c>
      <c r="BT359">
        <v>457</v>
      </c>
      <c r="BU359">
        <f t="shared" si="376"/>
        <v>2.7899877899877898</v>
      </c>
      <c r="BV359">
        <f t="shared" si="375"/>
        <v>293.2</v>
      </c>
      <c r="BW359"/>
      <c r="BX359">
        <f t="shared" ref="BX359:BX368" si="380">BV359*10^6</f>
        <v>293200000</v>
      </c>
      <c r="BY359" t="str">
        <f t="shared" si="338"/>
        <v/>
      </c>
      <c r="BZ359" s="143">
        <v>0</v>
      </c>
      <c r="CA359" s="143">
        <v>0</v>
      </c>
      <c r="CB359" s="143">
        <v>0</v>
      </c>
      <c r="CC359" s="143">
        <v>0</v>
      </c>
      <c r="CD359" s="143">
        <v>0</v>
      </c>
      <c r="CE359" s="143">
        <v>0</v>
      </c>
      <c r="CF359" s="143">
        <v>0</v>
      </c>
      <c r="CG359" s="143">
        <v>0</v>
      </c>
      <c r="CH359" s="143">
        <v>0</v>
      </c>
      <c r="CI359" s="143">
        <v>0</v>
      </c>
      <c r="CJ359" s="143">
        <v>0</v>
      </c>
      <c r="CK359" s="143">
        <v>0</v>
      </c>
      <c r="CL359" s="143">
        <v>0</v>
      </c>
      <c r="CM359">
        <v>0</v>
      </c>
      <c r="CN359" t="str">
        <f t="shared" ref="CN359:CN368" si="381">IF(BL359&lt;BK359,"refNeedCorrection","refOK")</f>
        <v>refOK</v>
      </c>
      <c r="CO359"/>
      <c r="CP359"/>
      <c r="CQ359"/>
      <c r="CR359">
        <f t="shared" si="377"/>
        <v>163.80000000000001</v>
      </c>
      <c r="CS359">
        <f t="shared" si="378"/>
        <v>457</v>
      </c>
      <c r="CT359">
        <f t="shared" si="360"/>
        <v>293200000</v>
      </c>
      <c r="CU359" t="str">
        <f t="shared" si="361"/>
        <v/>
      </c>
      <c r="CV359" s="2">
        <f t="shared" si="362"/>
        <v>1.7899877899877898</v>
      </c>
      <c r="CW359" s="1" t="s">
        <v>1202</v>
      </c>
      <c r="CX359" s="311" t="str">
        <f t="shared" si="363"/>
        <v>reg</v>
      </c>
      <c r="CY359" t="s">
        <v>3493</v>
      </c>
      <c r="CZ359">
        <v>2020</v>
      </c>
      <c r="DA359">
        <v>2100</v>
      </c>
      <c r="DB359" s="143">
        <f t="shared" si="379"/>
        <v>80</v>
      </c>
      <c r="DC359" t="str">
        <f t="shared" si="364"/>
        <v>71-100</v>
      </c>
      <c r="DD359">
        <v>0</v>
      </c>
      <c r="DE359">
        <v>1</v>
      </c>
      <c r="DF359">
        <v>1</v>
      </c>
      <c r="DG359">
        <v>1</v>
      </c>
      <c r="DH359"/>
      <c r="DI359">
        <f t="shared" si="365"/>
        <v>3</v>
      </c>
      <c r="DJ359" t="str">
        <f t="shared" si="366"/>
        <v>mixedProduct</v>
      </c>
      <c r="DK359">
        <f t="shared" si="367"/>
        <v>0</v>
      </c>
      <c r="DL359" t="str">
        <f t="shared" si="368"/>
        <v>Energy</v>
      </c>
      <c r="DM359" t="str">
        <f t="shared" si="369"/>
        <v>Pulp/Paper</v>
      </c>
      <c r="DN359" t="str">
        <f t="shared" si="370"/>
        <v>Timber</v>
      </c>
      <c r="DO359">
        <v>0</v>
      </c>
      <c r="DP359" s="143">
        <v>0</v>
      </c>
      <c r="DQ359" s="143">
        <v>0</v>
      </c>
      <c r="DR359" s="143">
        <v>0</v>
      </c>
      <c r="DS359">
        <v>0</v>
      </c>
      <c r="DT359">
        <f t="shared" ref="DT359:DT380" si="382">SUM(DO359:DP359)</f>
        <v>0</v>
      </c>
      <c r="DU359" s="143" t="str">
        <f t="shared" ref="DU359:DU380" si="383">IF(DO359=1,"self-calculated DF",IF(DP359=1,"external DF used","explicit C balance"))</f>
        <v>explicit C balance</v>
      </c>
      <c r="DV359">
        <v>1</v>
      </c>
      <c r="DW359" s="143">
        <v>1</v>
      </c>
      <c r="DX359" s="143">
        <v>1</v>
      </c>
      <c r="DY359" s="143">
        <v>1</v>
      </c>
      <c r="DZ359">
        <v>1</v>
      </c>
      <c r="EA359" s="141">
        <v>0</v>
      </c>
      <c r="EB359">
        <v>0</v>
      </c>
      <c r="EC359" s="143">
        <v>0</v>
      </c>
      <c r="ED359" s="143">
        <v>0</v>
      </c>
      <c r="EE359">
        <v>0</v>
      </c>
      <c r="EF359">
        <v>1</v>
      </c>
      <c r="EG359" s="143">
        <v>0</v>
      </c>
      <c r="EH359" s="143">
        <v>1</v>
      </c>
      <c r="EI359" s="2">
        <v>0</v>
      </c>
      <c r="EJ359" s="1"/>
      <c r="EK359" t="str">
        <f t="shared" ref="EK359:EK368" si="384">IF(AND(AND(AND(OR($DX359=1,$DW359=1),OR($EC359=1,$EA359=1)),SUM($DV359:$DZ359,$EF359)&gt;=3),SUM($EA359:$EE359)&gt;=2),"Whole sector","")</f>
        <v/>
      </c>
      <c r="EL359" t="str">
        <f t="shared" ref="EL359:EL368" si="385">IF(AND(AND(OR($DX359=1,$DW359=1),AND($EC359=0,$EA359=0)),SUM($DV359:$DZ359,$EF359)&gt;=3),"Ecosystem approach","")</f>
        <v>Ecosystem approach</v>
      </c>
      <c r="EM359" s="2" t="str">
        <f t="shared" si="339"/>
        <v/>
      </c>
      <c r="EN359"/>
      <c r="EO359"/>
      <c r="EP359" t="b">
        <f>IF(ISNUMBER(BU359),IF(ABS(BU359-[1]QC_indicators!$B$2)&gt;3*[1]QC_indicators!$C$2,"C ratio",IF(ISNUMBER(BY359),IF(ABS(BY359-[1]QC_indicators!$B$1)&gt;3*[1]QC_indicators!$C$1,"DF","no"))),IF(ISNUMBER(BY359),IF(ABS(BY359-[1]QC_indicators!$B$1)&gt;3*[1]QC_indicators!$C$1,"DF","no")))</f>
        <v>0</v>
      </c>
      <c r="EQ359"/>
      <c r="ER359" t="s">
        <v>3494</v>
      </c>
      <c r="ES359" t="s">
        <v>771</v>
      </c>
      <c r="ET359"/>
      <c r="EU359"/>
    </row>
    <row r="360" spans="1:151" s="139" customFormat="1" ht="15" hidden="1" customHeight="1">
      <c r="A360" s="1" t="s">
        <v>3482</v>
      </c>
      <c r="B360" t="s">
        <v>3483</v>
      </c>
      <c r="C360" t="s">
        <v>3484</v>
      </c>
      <c r="D360" t="s">
        <v>3485</v>
      </c>
      <c r="E360" t="s">
        <v>3486</v>
      </c>
      <c r="F360" t="s">
        <v>3487</v>
      </c>
      <c r="G360" t="s">
        <v>3488</v>
      </c>
      <c r="H360" t="s">
        <v>254</v>
      </c>
      <c r="I360">
        <v>2021</v>
      </c>
      <c r="J360">
        <v>1</v>
      </c>
      <c r="K360" t="s">
        <v>3489</v>
      </c>
      <c r="L360"/>
      <c r="M360" t="str">
        <f t="shared" si="340"/>
        <v>Bradfer-Lawrence_2021</v>
      </c>
      <c r="N360" s="311" t="s">
        <v>4382</v>
      </c>
      <c r="O360" s="145" t="s">
        <v>223</v>
      </c>
      <c r="P360"/>
      <c r="Q360" s="311" t="s">
        <v>256</v>
      </c>
      <c r="R360" s="312"/>
      <c r="S360" s="1" t="s">
        <v>3490</v>
      </c>
      <c r="T360" t="s">
        <v>3491</v>
      </c>
      <c r="U360" t="s">
        <v>3492</v>
      </c>
      <c r="V360">
        <v>1</v>
      </c>
      <c r="W360">
        <v>0</v>
      </c>
      <c r="X360">
        <v>0</v>
      </c>
      <c r="Y360">
        <v>0</v>
      </c>
      <c r="Z360">
        <v>2</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s="141">
        <f t="shared" si="343"/>
        <v>2</v>
      </c>
      <c r="AY360" s="141">
        <f t="shared" si="344"/>
        <v>2</v>
      </c>
      <c r="AZ360">
        <f t="shared" si="345"/>
        <v>2</v>
      </c>
      <c r="BA360">
        <f t="shared" si="346"/>
        <v>0</v>
      </c>
      <c r="BB360">
        <f t="shared" si="347"/>
        <v>0</v>
      </c>
      <c r="BC360">
        <f t="shared" si="348"/>
        <v>0</v>
      </c>
      <c r="BD360">
        <f t="shared" si="349"/>
        <v>0</v>
      </c>
      <c r="BE360" t="str" cm="1">
        <f t="array" ref="BE360">IF(AY360=1,INDEX($V$7:$AL$7,MATCH(TRUE,INDEX($V360:$AW360&lt;&gt;0,),0)),IF(AY360=0,INDEX($AM$7:$AW$7,MATCH(1,$AM360:$AW360,0)),IF(BF360="Multiple strategies","mixed drivers",IF(BF360="Supply chain","multiple supply","multiple silviculture"))))</f>
        <v>multiple silviculture</v>
      </c>
      <c r="BF360" s="2" t="str" cm="1">
        <f t="array" ref="BF360">IF(COUNTIF(AZ360:BB360,"&lt;&gt;0")=1,INDEX($V$4:$AW$4,MATCH(TRUE,INDEX($V360:$AW360&lt;&gt;0,),0)),IF(COUNTIF(AZ360:BB360,"&lt;&gt;0")=0,INDEX($AM$4:$AW$4,MATCH(1,$AM360:$AW360,0)),"Multiple strategies"))</f>
        <v>Silviculture for removals</v>
      </c>
      <c r="BG360" s="1"/>
      <c r="BH360"/>
      <c r="BI360"/>
      <c r="BJ360"/>
      <c r="BK360"/>
      <c r="BL360"/>
      <c r="BM360"/>
      <c r="BN360"/>
      <c r="BO360"/>
      <c r="BP360" t="s">
        <v>232</v>
      </c>
      <c r="BQ360"/>
      <c r="BR360" t="s">
        <v>598</v>
      </c>
      <c r="BS360">
        <v>45.3</v>
      </c>
      <c r="BT360">
        <v>112.6</v>
      </c>
      <c r="BU360">
        <f t="shared" si="376"/>
        <v>2.4856512141280351</v>
      </c>
      <c r="BV360">
        <f t="shared" si="375"/>
        <v>67.3</v>
      </c>
      <c r="BW360"/>
      <c r="BX360">
        <f t="shared" si="380"/>
        <v>67300000</v>
      </c>
      <c r="BY360" t="str">
        <f t="shared" si="338"/>
        <v/>
      </c>
      <c r="BZ360" s="143">
        <v>0</v>
      </c>
      <c r="CA360" s="143">
        <v>0</v>
      </c>
      <c r="CB360" s="143">
        <v>0</v>
      </c>
      <c r="CC360" s="143">
        <v>0</v>
      </c>
      <c r="CD360" s="143">
        <v>0</v>
      </c>
      <c r="CE360" s="143">
        <v>0</v>
      </c>
      <c r="CF360" s="143">
        <v>0</v>
      </c>
      <c r="CG360" s="143">
        <v>0</v>
      </c>
      <c r="CH360" s="143">
        <v>0</v>
      </c>
      <c r="CI360" s="143">
        <v>0</v>
      </c>
      <c r="CJ360" s="143">
        <v>0</v>
      </c>
      <c r="CK360" s="143">
        <v>0</v>
      </c>
      <c r="CL360" s="143">
        <v>0</v>
      </c>
      <c r="CM360">
        <v>0</v>
      </c>
      <c r="CN360" t="str">
        <f t="shared" si="381"/>
        <v>refOK</v>
      </c>
      <c r="CO360"/>
      <c r="CP360"/>
      <c r="CQ360"/>
      <c r="CR360">
        <f t="shared" si="377"/>
        <v>45.3</v>
      </c>
      <c r="CS360">
        <f t="shared" si="378"/>
        <v>112.6</v>
      </c>
      <c r="CT360">
        <f t="shared" si="360"/>
        <v>67300000</v>
      </c>
      <c r="CU360" t="str">
        <f t="shared" si="361"/>
        <v/>
      </c>
      <c r="CV360" s="2">
        <f t="shared" si="362"/>
        <v>1.4856512141280354</v>
      </c>
      <c r="CW360" s="1" t="s">
        <v>1202</v>
      </c>
      <c r="CX360" s="311" t="str">
        <f t="shared" si="363"/>
        <v>reg</v>
      </c>
      <c r="CY360" t="s">
        <v>3493</v>
      </c>
      <c r="CZ360">
        <v>2020</v>
      </c>
      <c r="DA360">
        <v>2050</v>
      </c>
      <c r="DB360" s="143">
        <f t="shared" si="379"/>
        <v>30</v>
      </c>
      <c r="DC360" t="str">
        <f t="shared" si="364"/>
        <v>1-30</v>
      </c>
      <c r="DD360">
        <v>0</v>
      </c>
      <c r="DE360">
        <v>1</v>
      </c>
      <c r="DF360">
        <v>1</v>
      </c>
      <c r="DG360">
        <v>1</v>
      </c>
      <c r="DH360"/>
      <c r="DI360">
        <f t="shared" si="365"/>
        <v>3</v>
      </c>
      <c r="DJ360" t="str">
        <f t="shared" si="366"/>
        <v>mixedProduct</v>
      </c>
      <c r="DK360">
        <f t="shared" si="367"/>
        <v>0</v>
      </c>
      <c r="DL360" t="str">
        <f t="shared" si="368"/>
        <v>Energy</v>
      </c>
      <c r="DM360" t="str">
        <f t="shared" si="369"/>
        <v>Pulp/Paper</v>
      </c>
      <c r="DN360" t="str">
        <f t="shared" si="370"/>
        <v>Timber</v>
      </c>
      <c r="DO360">
        <v>0</v>
      </c>
      <c r="DP360" s="143">
        <v>0</v>
      </c>
      <c r="DQ360" s="143">
        <v>0</v>
      </c>
      <c r="DR360" s="143">
        <v>0</v>
      </c>
      <c r="DS360">
        <v>0</v>
      </c>
      <c r="DT360">
        <f t="shared" si="382"/>
        <v>0</v>
      </c>
      <c r="DU360" s="143" t="str">
        <f t="shared" si="383"/>
        <v>explicit C balance</v>
      </c>
      <c r="DV360">
        <v>1</v>
      </c>
      <c r="DW360" s="143">
        <v>1</v>
      </c>
      <c r="DX360" s="143">
        <v>1</v>
      </c>
      <c r="DY360" s="143">
        <v>1</v>
      </c>
      <c r="DZ360">
        <v>1</v>
      </c>
      <c r="EA360" s="141">
        <v>0</v>
      </c>
      <c r="EB360">
        <v>0</v>
      </c>
      <c r="EC360" s="143">
        <v>0</v>
      </c>
      <c r="ED360" s="143">
        <v>0</v>
      </c>
      <c r="EE360">
        <v>0</v>
      </c>
      <c r="EF360">
        <v>1</v>
      </c>
      <c r="EG360" s="143">
        <v>0</v>
      </c>
      <c r="EH360" s="143">
        <v>1</v>
      </c>
      <c r="EI360" s="2">
        <v>0</v>
      </c>
      <c r="EJ360" s="1"/>
      <c r="EK360" t="str">
        <f t="shared" si="384"/>
        <v/>
      </c>
      <c r="EL360" t="str">
        <f t="shared" si="385"/>
        <v>Ecosystem approach</v>
      </c>
      <c r="EM360" s="2" t="str">
        <f t="shared" si="339"/>
        <v/>
      </c>
      <c r="EN360"/>
      <c r="EO360"/>
      <c r="EP360" t="b">
        <f>IF(ISNUMBER(BU360),IF(ABS(BU360-[1]QC_indicators!$B$2)&gt;3*[1]QC_indicators!$C$2,"C ratio",IF(ISNUMBER(BY360),IF(ABS(BY360-[1]QC_indicators!$B$1)&gt;3*[1]QC_indicators!$C$1,"DF","no"))),IF(ISNUMBER(BY360),IF(ABS(BY360-[1]QC_indicators!$B$1)&gt;3*[1]QC_indicators!$C$1,"DF","no")))</f>
        <v>0</v>
      </c>
      <c r="EQ360"/>
      <c r="ER360"/>
      <c r="ES360"/>
      <c r="ET360"/>
      <c r="EU360"/>
    </row>
    <row r="361" spans="1:151" s="139" customFormat="1" ht="15" hidden="1" customHeight="1">
      <c r="A361" s="1" t="s">
        <v>3482</v>
      </c>
      <c r="B361" t="s">
        <v>3483</v>
      </c>
      <c r="C361" t="s">
        <v>3484</v>
      </c>
      <c r="D361" t="s">
        <v>3485</v>
      </c>
      <c r="E361" t="s">
        <v>3486</v>
      </c>
      <c r="F361" t="s">
        <v>3487</v>
      </c>
      <c r="G361" t="s">
        <v>3488</v>
      </c>
      <c r="H361" t="s">
        <v>254</v>
      </c>
      <c r="I361">
        <v>2021</v>
      </c>
      <c r="J361">
        <v>1</v>
      </c>
      <c r="K361" t="s">
        <v>3489</v>
      </c>
      <c r="L361"/>
      <c r="M361" t="str">
        <f t="shared" si="340"/>
        <v>Bradfer-Lawrence_2021</v>
      </c>
      <c r="N361" s="311" t="s">
        <v>4382</v>
      </c>
      <c r="O361" s="145" t="s">
        <v>223</v>
      </c>
      <c r="P361"/>
      <c r="Q361" s="311" t="s">
        <v>256</v>
      </c>
      <c r="R361" s="312"/>
      <c r="S361" s="1" t="s">
        <v>3490</v>
      </c>
      <c r="T361" t="s">
        <v>3491</v>
      </c>
      <c r="U361" t="s">
        <v>3495</v>
      </c>
      <c r="V361">
        <v>1</v>
      </c>
      <c r="W361">
        <v>0</v>
      </c>
      <c r="X361">
        <v>0</v>
      </c>
      <c r="Y361">
        <v>0</v>
      </c>
      <c r="Z361">
        <v>2</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s="141">
        <f t="shared" si="343"/>
        <v>2</v>
      </c>
      <c r="AY361" s="141">
        <f t="shared" si="344"/>
        <v>2</v>
      </c>
      <c r="AZ361">
        <f t="shared" si="345"/>
        <v>2</v>
      </c>
      <c r="BA361">
        <f t="shared" si="346"/>
        <v>0</v>
      </c>
      <c r="BB361">
        <f t="shared" si="347"/>
        <v>0</v>
      </c>
      <c r="BC361">
        <f t="shared" si="348"/>
        <v>0</v>
      </c>
      <c r="BD361">
        <f t="shared" si="349"/>
        <v>0</v>
      </c>
      <c r="BE361" t="str" cm="1">
        <f t="array" ref="BE361">IF(AY361=1,INDEX($V$7:$AL$7,MATCH(TRUE,INDEX($V361:$AW361&lt;&gt;0,),0)),IF(AY361=0,INDEX($AM$7:$AW$7,MATCH(1,$AM361:$AW361,0)),IF(BF361="Multiple strategies","mixed drivers",IF(BF361="Supply chain","multiple supply","multiple silviculture"))))</f>
        <v>multiple silviculture</v>
      </c>
      <c r="BF361" s="2" t="str" cm="1">
        <f t="array" ref="BF361">IF(COUNTIF(AZ361:BB361,"&lt;&gt;0")=1,INDEX($V$4:$AW$4,MATCH(TRUE,INDEX($V361:$AW361&lt;&gt;0,),0)),IF(COUNTIF(AZ361:BB361,"&lt;&gt;0")=0,INDEX($AM$4:$AW$4,MATCH(1,$AM361:$AW361,0)),"Multiple strategies"))</f>
        <v>Silviculture for removals</v>
      </c>
      <c r="BG361" s="1"/>
      <c r="BH361"/>
      <c r="BI361"/>
      <c r="BJ361"/>
      <c r="BK361"/>
      <c r="BL361"/>
      <c r="BM361"/>
      <c r="BN361"/>
      <c r="BO361"/>
      <c r="BP361" t="s">
        <v>232</v>
      </c>
      <c r="BQ361"/>
      <c r="BR361" t="s">
        <v>598</v>
      </c>
      <c r="BS361">
        <v>45.3</v>
      </c>
      <c r="BT361">
        <v>90.1</v>
      </c>
      <c r="BU361">
        <f t="shared" si="376"/>
        <v>1.988962472406181</v>
      </c>
      <c r="BV361">
        <f t="shared" si="375"/>
        <v>44.8</v>
      </c>
      <c r="BW361"/>
      <c r="BX361">
        <f t="shared" si="380"/>
        <v>44800000</v>
      </c>
      <c r="BY361" t="str">
        <f t="shared" si="338"/>
        <v/>
      </c>
      <c r="BZ361" s="143">
        <v>0</v>
      </c>
      <c r="CA361" s="143">
        <v>0</v>
      </c>
      <c r="CB361" s="143">
        <v>0</v>
      </c>
      <c r="CC361" s="143">
        <v>0</v>
      </c>
      <c r="CD361" s="143">
        <v>0</v>
      </c>
      <c r="CE361" s="143">
        <v>0</v>
      </c>
      <c r="CF361" s="143">
        <v>0</v>
      </c>
      <c r="CG361" s="143">
        <v>0</v>
      </c>
      <c r="CH361" s="143">
        <v>0</v>
      </c>
      <c r="CI361" s="143">
        <v>0</v>
      </c>
      <c r="CJ361" s="143">
        <v>0</v>
      </c>
      <c r="CK361" s="143">
        <v>0</v>
      </c>
      <c r="CL361" s="143">
        <v>0</v>
      </c>
      <c r="CM361">
        <v>0</v>
      </c>
      <c r="CN361" t="str">
        <f t="shared" si="381"/>
        <v>refOK</v>
      </c>
      <c r="CO361"/>
      <c r="CP361"/>
      <c r="CQ361"/>
      <c r="CR361">
        <f t="shared" si="377"/>
        <v>45.3</v>
      </c>
      <c r="CS361">
        <f t="shared" si="378"/>
        <v>90.1</v>
      </c>
      <c r="CT361">
        <f t="shared" si="360"/>
        <v>44800000</v>
      </c>
      <c r="CU361" t="str">
        <f t="shared" si="361"/>
        <v/>
      </c>
      <c r="CV361" s="2">
        <f t="shared" si="362"/>
        <v>0.98896247240618107</v>
      </c>
      <c r="CW361" s="1" t="s">
        <v>1202</v>
      </c>
      <c r="CX361" s="311" t="str">
        <f t="shared" si="363"/>
        <v>reg</v>
      </c>
      <c r="CY361" t="s">
        <v>3493</v>
      </c>
      <c r="CZ361">
        <v>2020</v>
      </c>
      <c r="DA361">
        <v>2050</v>
      </c>
      <c r="DB361" s="143">
        <f t="shared" si="379"/>
        <v>30</v>
      </c>
      <c r="DC361" t="str">
        <f t="shared" si="364"/>
        <v>1-30</v>
      </c>
      <c r="DD361">
        <v>0</v>
      </c>
      <c r="DE361">
        <v>1</v>
      </c>
      <c r="DF361">
        <v>1</v>
      </c>
      <c r="DG361">
        <v>1</v>
      </c>
      <c r="DH361"/>
      <c r="DI361">
        <f t="shared" si="365"/>
        <v>3</v>
      </c>
      <c r="DJ361" t="str">
        <f t="shared" si="366"/>
        <v>mixedProduct</v>
      </c>
      <c r="DK361">
        <f t="shared" si="367"/>
        <v>0</v>
      </c>
      <c r="DL361" t="str">
        <f t="shared" si="368"/>
        <v>Energy</v>
      </c>
      <c r="DM361" t="str">
        <f t="shared" si="369"/>
        <v>Pulp/Paper</v>
      </c>
      <c r="DN361" t="str">
        <f t="shared" si="370"/>
        <v>Timber</v>
      </c>
      <c r="DO361">
        <v>0</v>
      </c>
      <c r="DP361" s="143">
        <v>0</v>
      </c>
      <c r="DQ361" s="143">
        <v>0</v>
      </c>
      <c r="DR361" s="143">
        <v>0</v>
      </c>
      <c r="DS361">
        <v>0</v>
      </c>
      <c r="DT361">
        <f t="shared" si="382"/>
        <v>0</v>
      </c>
      <c r="DU361" s="143" t="str">
        <f t="shared" si="383"/>
        <v>explicit C balance</v>
      </c>
      <c r="DV361">
        <v>1</v>
      </c>
      <c r="DW361" s="143">
        <v>1</v>
      </c>
      <c r="DX361" s="143">
        <v>1</v>
      </c>
      <c r="DY361" s="143">
        <v>1</v>
      </c>
      <c r="DZ361">
        <v>1</v>
      </c>
      <c r="EA361" s="141">
        <v>0</v>
      </c>
      <c r="EB361">
        <v>0</v>
      </c>
      <c r="EC361" s="143">
        <v>0</v>
      </c>
      <c r="ED361" s="143">
        <v>0</v>
      </c>
      <c r="EE361">
        <v>0</v>
      </c>
      <c r="EF361">
        <v>1</v>
      </c>
      <c r="EG361" s="143">
        <v>0</v>
      </c>
      <c r="EH361" s="143">
        <v>1</v>
      </c>
      <c r="EI361" s="2">
        <v>0</v>
      </c>
      <c r="EJ361" s="1"/>
      <c r="EK361" t="str">
        <f t="shared" si="384"/>
        <v/>
      </c>
      <c r="EL361" t="str">
        <f t="shared" si="385"/>
        <v>Ecosystem approach</v>
      </c>
      <c r="EM361" s="2" t="str">
        <f t="shared" si="339"/>
        <v/>
      </c>
      <c r="EN361"/>
      <c r="EO361"/>
      <c r="EP361" t="b">
        <f>IF(ISNUMBER(BU361),IF(ABS(BU361-[1]QC_indicators!$B$2)&gt;3*[1]QC_indicators!$C$2,"C ratio",IF(ISNUMBER(BY361),IF(ABS(BY361-[1]QC_indicators!$B$1)&gt;3*[1]QC_indicators!$C$1,"DF","no"))),IF(ISNUMBER(BY361),IF(ABS(BY361-[1]QC_indicators!$B$1)&gt;3*[1]QC_indicators!$C$1,"DF","no")))</f>
        <v>0</v>
      </c>
      <c r="EQ361"/>
      <c r="ER361" t="s">
        <v>3494</v>
      </c>
      <c r="ES361" t="s">
        <v>771</v>
      </c>
      <c r="ET361"/>
      <c r="EU361"/>
    </row>
    <row r="362" spans="1:151" s="139" customFormat="1" ht="15" hidden="1" customHeight="1">
      <c r="A362" s="1" t="s">
        <v>3482</v>
      </c>
      <c r="B362" t="s">
        <v>3483</v>
      </c>
      <c r="C362" t="s">
        <v>3484</v>
      </c>
      <c r="D362" t="s">
        <v>3485</v>
      </c>
      <c r="E362" t="s">
        <v>3486</v>
      </c>
      <c r="F362" t="s">
        <v>3487</v>
      </c>
      <c r="G362" t="s">
        <v>3488</v>
      </c>
      <c r="H362" t="s">
        <v>254</v>
      </c>
      <c r="I362">
        <v>2021</v>
      </c>
      <c r="J362">
        <v>1</v>
      </c>
      <c r="K362" t="s">
        <v>3489</v>
      </c>
      <c r="L362"/>
      <c r="M362" t="str">
        <f t="shared" si="340"/>
        <v>Bradfer-Lawrence_2021</v>
      </c>
      <c r="N362" s="311" t="s">
        <v>4382</v>
      </c>
      <c r="O362" s="145" t="s">
        <v>223</v>
      </c>
      <c r="P362"/>
      <c r="Q362" s="311" t="s">
        <v>256</v>
      </c>
      <c r="R362" s="312"/>
      <c r="S362" s="1" t="s">
        <v>3490</v>
      </c>
      <c r="T362" t="s">
        <v>3491</v>
      </c>
      <c r="U362" t="s">
        <v>3495</v>
      </c>
      <c r="V362">
        <v>1</v>
      </c>
      <c r="W362">
        <v>0</v>
      </c>
      <c r="X362">
        <v>0</v>
      </c>
      <c r="Y362">
        <v>0</v>
      </c>
      <c r="Z362">
        <v>2</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s="141">
        <f t="shared" si="343"/>
        <v>2</v>
      </c>
      <c r="AY362" s="141">
        <f t="shared" si="344"/>
        <v>2</v>
      </c>
      <c r="AZ362">
        <f t="shared" si="345"/>
        <v>2</v>
      </c>
      <c r="BA362">
        <f t="shared" si="346"/>
        <v>0</v>
      </c>
      <c r="BB362">
        <f t="shared" si="347"/>
        <v>0</v>
      </c>
      <c r="BC362">
        <f t="shared" si="348"/>
        <v>0</v>
      </c>
      <c r="BD362">
        <f t="shared" si="349"/>
        <v>0</v>
      </c>
      <c r="BE362" t="str" cm="1">
        <f t="array" ref="BE362">IF(AY362=1,INDEX($V$7:$AL$7,MATCH(TRUE,INDEX($V362:$AW362&lt;&gt;0,),0)),IF(AY362=0,INDEX($AM$7:$AW$7,MATCH(1,$AM362:$AW362,0)),IF(BF362="Multiple strategies","mixed drivers",IF(BF362="Supply chain","multiple supply","multiple silviculture"))))</f>
        <v>multiple silviculture</v>
      </c>
      <c r="BF362" s="2" t="str" cm="1">
        <f t="array" ref="BF362">IF(COUNTIF(AZ362:BB362,"&lt;&gt;0")=1,INDEX($V$4:$AW$4,MATCH(TRUE,INDEX($V362:$AW362&lt;&gt;0,),0)),IF(COUNTIF(AZ362:BB362,"&lt;&gt;0")=0,INDEX($AM$4:$AW$4,MATCH(1,$AM362:$AW362,0)),"Multiple strategies"))</f>
        <v>Silviculture for removals</v>
      </c>
      <c r="BG362" s="1"/>
      <c r="BH362"/>
      <c r="BI362"/>
      <c r="BJ362"/>
      <c r="BK362"/>
      <c r="BL362"/>
      <c r="BM362"/>
      <c r="BN362"/>
      <c r="BO362"/>
      <c r="BP362" t="s">
        <v>232</v>
      </c>
      <c r="BQ362"/>
      <c r="BR362" t="s">
        <v>598</v>
      </c>
      <c r="BS362">
        <v>163.80000000000001</v>
      </c>
      <c r="BT362">
        <v>294.39999999999998</v>
      </c>
      <c r="BU362">
        <f t="shared" si="376"/>
        <v>1.7973137973137971</v>
      </c>
      <c r="BV362">
        <f t="shared" si="375"/>
        <v>130.59999999999997</v>
      </c>
      <c r="BW362"/>
      <c r="BX362">
        <f t="shared" si="380"/>
        <v>130599999.99999997</v>
      </c>
      <c r="BY362" t="str">
        <f t="shared" si="338"/>
        <v/>
      </c>
      <c r="BZ362" s="143">
        <v>0</v>
      </c>
      <c r="CA362" s="143">
        <v>0</v>
      </c>
      <c r="CB362" s="143">
        <v>0</v>
      </c>
      <c r="CC362" s="143">
        <v>0</v>
      </c>
      <c r="CD362" s="143">
        <v>0</v>
      </c>
      <c r="CE362" s="143">
        <v>0</v>
      </c>
      <c r="CF362" s="143">
        <v>0</v>
      </c>
      <c r="CG362" s="143">
        <v>0</v>
      </c>
      <c r="CH362" s="143">
        <v>0</v>
      </c>
      <c r="CI362" s="143">
        <v>0</v>
      </c>
      <c r="CJ362" s="143">
        <v>0</v>
      </c>
      <c r="CK362" s="143">
        <v>0</v>
      </c>
      <c r="CL362" s="143">
        <v>0</v>
      </c>
      <c r="CM362">
        <v>0</v>
      </c>
      <c r="CN362" t="str">
        <f t="shared" si="381"/>
        <v>refOK</v>
      </c>
      <c r="CO362"/>
      <c r="CP362"/>
      <c r="CQ362"/>
      <c r="CR362">
        <f t="shared" si="377"/>
        <v>163.80000000000001</v>
      </c>
      <c r="CS362">
        <f t="shared" si="378"/>
        <v>294.39999999999998</v>
      </c>
      <c r="CT362">
        <f t="shared" si="360"/>
        <v>130599999.99999997</v>
      </c>
      <c r="CU362" t="str">
        <f t="shared" si="361"/>
        <v/>
      </c>
      <c r="CV362" s="2">
        <f t="shared" si="362"/>
        <v>0.79731379731379703</v>
      </c>
      <c r="CW362" s="1" t="s">
        <v>1202</v>
      </c>
      <c r="CX362" s="311" t="str">
        <f t="shared" si="363"/>
        <v>reg</v>
      </c>
      <c r="CY362" t="s">
        <v>3493</v>
      </c>
      <c r="CZ362">
        <v>2020</v>
      </c>
      <c r="DA362">
        <v>2100</v>
      </c>
      <c r="DB362" s="143">
        <f t="shared" si="379"/>
        <v>80</v>
      </c>
      <c r="DC362" t="str">
        <f t="shared" si="364"/>
        <v>71-100</v>
      </c>
      <c r="DD362">
        <v>0</v>
      </c>
      <c r="DE362">
        <v>1</v>
      </c>
      <c r="DF362">
        <v>1</v>
      </c>
      <c r="DG362">
        <v>1</v>
      </c>
      <c r="DH362"/>
      <c r="DI362">
        <f t="shared" si="365"/>
        <v>3</v>
      </c>
      <c r="DJ362" t="str">
        <f t="shared" si="366"/>
        <v>mixedProduct</v>
      </c>
      <c r="DK362">
        <f t="shared" si="367"/>
        <v>0</v>
      </c>
      <c r="DL362" t="str">
        <f t="shared" si="368"/>
        <v>Energy</v>
      </c>
      <c r="DM362" t="str">
        <f t="shared" si="369"/>
        <v>Pulp/Paper</v>
      </c>
      <c r="DN362" t="str">
        <f t="shared" si="370"/>
        <v>Timber</v>
      </c>
      <c r="DO362">
        <v>0</v>
      </c>
      <c r="DP362" s="143">
        <v>0</v>
      </c>
      <c r="DQ362" s="143">
        <v>0</v>
      </c>
      <c r="DR362" s="143">
        <v>0</v>
      </c>
      <c r="DS362">
        <v>0</v>
      </c>
      <c r="DT362">
        <f t="shared" si="382"/>
        <v>0</v>
      </c>
      <c r="DU362" s="143" t="str">
        <f t="shared" si="383"/>
        <v>explicit C balance</v>
      </c>
      <c r="DV362">
        <v>1</v>
      </c>
      <c r="DW362" s="143">
        <v>1</v>
      </c>
      <c r="DX362" s="143">
        <v>1</v>
      </c>
      <c r="DY362" s="143">
        <v>1</v>
      </c>
      <c r="DZ362">
        <v>1</v>
      </c>
      <c r="EA362" s="141">
        <v>0</v>
      </c>
      <c r="EB362">
        <v>0</v>
      </c>
      <c r="EC362" s="143">
        <v>0</v>
      </c>
      <c r="ED362" s="143">
        <v>0</v>
      </c>
      <c r="EE362">
        <v>0</v>
      </c>
      <c r="EF362">
        <v>1</v>
      </c>
      <c r="EG362" s="143">
        <v>0</v>
      </c>
      <c r="EH362" s="143">
        <v>1</v>
      </c>
      <c r="EI362" s="2">
        <v>0</v>
      </c>
      <c r="EJ362" s="1"/>
      <c r="EK362" t="str">
        <f t="shared" si="384"/>
        <v/>
      </c>
      <c r="EL362" t="str">
        <f t="shared" si="385"/>
        <v>Ecosystem approach</v>
      </c>
      <c r="EM362" s="2" t="str">
        <f t="shared" si="339"/>
        <v/>
      </c>
      <c r="EN362"/>
      <c r="EO362"/>
      <c r="EP362" t="b">
        <f>IF(ISNUMBER(BU362),IF(ABS(BU362-[1]QC_indicators!$B$2)&gt;3*[1]QC_indicators!$C$2,"C ratio",IF(ISNUMBER(BY362),IF(ABS(BY362-[1]QC_indicators!$B$1)&gt;3*[1]QC_indicators!$C$1,"DF","no"))),IF(ISNUMBER(BY362),IF(ABS(BY362-[1]QC_indicators!$B$1)&gt;3*[1]QC_indicators!$C$1,"DF","no")))</f>
        <v>0</v>
      </c>
      <c r="EQ362"/>
      <c r="ER362"/>
      <c r="ES362"/>
      <c r="ET362"/>
      <c r="EU362"/>
    </row>
    <row r="363" spans="1:151" s="139" customFormat="1" ht="15" hidden="1" customHeight="1">
      <c r="A363" s="1" t="s">
        <v>3482</v>
      </c>
      <c r="B363" t="s">
        <v>3483</v>
      </c>
      <c r="C363" t="s">
        <v>3484</v>
      </c>
      <c r="D363" t="s">
        <v>3485</v>
      </c>
      <c r="E363" t="s">
        <v>3486</v>
      </c>
      <c r="F363" t="s">
        <v>3487</v>
      </c>
      <c r="G363" t="s">
        <v>3488</v>
      </c>
      <c r="H363" t="s">
        <v>254</v>
      </c>
      <c r="I363">
        <v>2021</v>
      </c>
      <c r="J363">
        <v>1</v>
      </c>
      <c r="K363" t="s">
        <v>3489</v>
      </c>
      <c r="L363"/>
      <c r="M363" t="str">
        <f t="shared" si="340"/>
        <v>Bradfer-Lawrence_2021</v>
      </c>
      <c r="N363" s="311" t="s">
        <v>4382</v>
      </c>
      <c r="O363" s="145" t="s">
        <v>223</v>
      </c>
      <c r="P363"/>
      <c r="Q363" s="311" t="s">
        <v>256</v>
      </c>
      <c r="R363" s="312"/>
      <c r="S363" s="1" t="s">
        <v>3490</v>
      </c>
      <c r="T363" t="s">
        <v>3491</v>
      </c>
      <c r="U363" t="s">
        <v>3496</v>
      </c>
      <c r="V363">
        <v>1</v>
      </c>
      <c r="W363">
        <v>0</v>
      </c>
      <c r="X363">
        <v>0</v>
      </c>
      <c r="Y363">
        <v>0</v>
      </c>
      <c r="Z363">
        <v>2</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s="141">
        <f t="shared" si="343"/>
        <v>2</v>
      </c>
      <c r="AY363" s="141">
        <f t="shared" si="344"/>
        <v>2</v>
      </c>
      <c r="AZ363">
        <f t="shared" si="345"/>
        <v>2</v>
      </c>
      <c r="BA363">
        <f t="shared" si="346"/>
        <v>0</v>
      </c>
      <c r="BB363">
        <f t="shared" si="347"/>
        <v>0</v>
      </c>
      <c r="BC363">
        <f t="shared" si="348"/>
        <v>0</v>
      </c>
      <c r="BD363">
        <f t="shared" si="349"/>
        <v>0</v>
      </c>
      <c r="BE363" t="str" cm="1">
        <f t="array" ref="BE363">IF(AY363=1,INDEX($V$7:$AL$7,MATCH(TRUE,INDEX($V363:$AW363&lt;&gt;0,),0)),IF(AY363=0,INDEX($AM$7:$AW$7,MATCH(1,$AM363:$AW363,0)),IF(BF363="Multiple strategies","mixed drivers",IF(BF363="Supply chain","multiple supply","multiple silviculture"))))</f>
        <v>multiple silviculture</v>
      </c>
      <c r="BF363" s="2" t="str" cm="1">
        <f t="array" ref="BF363">IF(COUNTIF(AZ363:BB363,"&lt;&gt;0")=1,INDEX($V$4:$AW$4,MATCH(TRUE,INDEX($V363:$AW363&lt;&gt;0,),0)),IF(COUNTIF(AZ363:BB363,"&lt;&gt;0")=0,INDEX($AM$4:$AW$4,MATCH(1,$AM363:$AW363,0)),"Multiple strategies"))</f>
        <v>Silviculture for removals</v>
      </c>
      <c r="BG363" s="1"/>
      <c r="BH363"/>
      <c r="BI363"/>
      <c r="BJ363"/>
      <c r="BK363"/>
      <c r="BL363"/>
      <c r="BM363"/>
      <c r="BN363"/>
      <c r="BO363"/>
      <c r="BP363" t="s">
        <v>232</v>
      </c>
      <c r="BQ363"/>
      <c r="BR363" t="s">
        <v>598</v>
      </c>
      <c r="BS363">
        <v>163.80000000000001</v>
      </c>
      <c r="BT363">
        <v>586.70000000000005</v>
      </c>
      <c r="BU363">
        <f t="shared" si="376"/>
        <v>3.581807081807082</v>
      </c>
      <c r="BV363">
        <f t="shared" si="375"/>
        <v>422.90000000000003</v>
      </c>
      <c r="BW363"/>
      <c r="BX363">
        <f t="shared" si="380"/>
        <v>422900000.00000006</v>
      </c>
      <c r="BY363" t="str">
        <f t="shared" si="338"/>
        <v/>
      </c>
      <c r="BZ363" s="143">
        <v>0</v>
      </c>
      <c r="CA363" s="143">
        <v>0</v>
      </c>
      <c r="CB363" s="143">
        <v>0</v>
      </c>
      <c r="CC363" s="143">
        <v>0</v>
      </c>
      <c r="CD363" s="143">
        <v>0</v>
      </c>
      <c r="CE363" s="143">
        <v>0</v>
      </c>
      <c r="CF363" s="143">
        <v>0</v>
      </c>
      <c r="CG363" s="143">
        <v>0</v>
      </c>
      <c r="CH363" s="143">
        <v>0</v>
      </c>
      <c r="CI363" s="143">
        <v>0</v>
      </c>
      <c r="CJ363" s="143">
        <v>0</v>
      </c>
      <c r="CK363" s="143">
        <v>0</v>
      </c>
      <c r="CL363" s="143">
        <v>0</v>
      </c>
      <c r="CM363">
        <v>0</v>
      </c>
      <c r="CN363" t="str">
        <f t="shared" si="381"/>
        <v>refOK</v>
      </c>
      <c r="CO363"/>
      <c r="CP363"/>
      <c r="CQ363"/>
      <c r="CR363">
        <f t="shared" si="377"/>
        <v>163.80000000000001</v>
      </c>
      <c r="CS363">
        <f t="shared" si="378"/>
        <v>586.70000000000005</v>
      </c>
      <c r="CT363">
        <f t="shared" si="360"/>
        <v>422900000.00000006</v>
      </c>
      <c r="CU363" t="str">
        <f t="shared" si="361"/>
        <v/>
      </c>
      <c r="CV363" s="2">
        <f t="shared" si="362"/>
        <v>2.581807081807082</v>
      </c>
      <c r="CW363" s="1" t="s">
        <v>1202</v>
      </c>
      <c r="CX363" s="311" t="str">
        <f t="shared" si="363"/>
        <v>reg</v>
      </c>
      <c r="CY363" t="s">
        <v>3493</v>
      </c>
      <c r="CZ363">
        <v>2020</v>
      </c>
      <c r="DA363">
        <v>2100</v>
      </c>
      <c r="DB363" s="143">
        <f t="shared" si="379"/>
        <v>80</v>
      </c>
      <c r="DC363" t="str">
        <f t="shared" si="364"/>
        <v>71-100</v>
      </c>
      <c r="DD363">
        <v>0</v>
      </c>
      <c r="DE363">
        <v>1</v>
      </c>
      <c r="DF363">
        <v>1</v>
      </c>
      <c r="DG363">
        <v>1</v>
      </c>
      <c r="DH363"/>
      <c r="DI363">
        <f t="shared" si="365"/>
        <v>3</v>
      </c>
      <c r="DJ363" t="str">
        <f t="shared" si="366"/>
        <v>mixedProduct</v>
      </c>
      <c r="DK363">
        <f t="shared" si="367"/>
        <v>0</v>
      </c>
      <c r="DL363" t="str">
        <f t="shared" si="368"/>
        <v>Energy</v>
      </c>
      <c r="DM363" t="str">
        <f t="shared" si="369"/>
        <v>Pulp/Paper</v>
      </c>
      <c r="DN363" t="str">
        <f t="shared" si="370"/>
        <v>Timber</v>
      </c>
      <c r="DO363">
        <v>0</v>
      </c>
      <c r="DP363" s="143">
        <v>0</v>
      </c>
      <c r="DQ363" s="143">
        <v>0</v>
      </c>
      <c r="DR363" s="143">
        <v>0</v>
      </c>
      <c r="DS363">
        <v>0</v>
      </c>
      <c r="DT363">
        <f t="shared" si="382"/>
        <v>0</v>
      </c>
      <c r="DU363" s="143" t="str">
        <f t="shared" si="383"/>
        <v>explicit C balance</v>
      </c>
      <c r="DV363">
        <v>1</v>
      </c>
      <c r="DW363" s="143">
        <v>1</v>
      </c>
      <c r="DX363" s="143">
        <v>1</v>
      </c>
      <c r="DY363" s="143">
        <v>1</v>
      </c>
      <c r="DZ363">
        <v>1</v>
      </c>
      <c r="EA363" s="141">
        <v>0</v>
      </c>
      <c r="EB363">
        <v>0</v>
      </c>
      <c r="EC363" s="143">
        <v>0</v>
      </c>
      <c r="ED363" s="143">
        <v>0</v>
      </c>
      <c r="EE363">
        <v>0</v>
      </c>
      <c r="EF363">
        <v>1</v>
      </c>
      <c r="EG363" s="143">
        <v>0</v>
      </c>
      <c r="EH363" s="143">
        <v>1</v>
      </c>
      <c r="EI363" s="2">
        <v>0</v>
      </c>
      <c r="EJ363" s="1"/>
      <c r="EK363" t="str">
        <f t="shared" si="384"/>
        <v/>
      </c>
      <c r="EL363" t="str">
        <f t="shared" si="385"/>
        <v>Ecosystem approach</v>
      </c>
      <c r="EM363" s="2" t="str">
        <f t="shared" si="339"/>
        <v/>
      </c>
      <c r="EN363"/>
      <c r="EO363"/>
      <c r="EP363" t="b">
        <f>IF(ISNUMBER(BU363),IF(ABS(BU363-[1]QC_indicators!$B$2)&gt;3*[1]QC_indicators!$C$2,"C ratio",IF(ISNUMBER(BY363),IF(ABS(BY363-[1]QC_indicators!$B$1)&gt;3*[1]QC_indicators!$C$1,"DF","no"))),IF(ISNUMBER(BY363),IF(ABS(BY363-[1]QC_indicators!$B$1)&gt;3*[1]QC_indicators!$C$1,"DF","no")))</f>
        <v>0</v>
      </c>
      <c r="EQ363"/>
      <c r="ER363"/>
      <c r="ES363"/>
      <c r="ET363"/>
      <c r="EU363"/>
    </row>
    <row r="364" spans="1:151" s="139" customFormat="1" ht="15" hidden="1" customHeight="1">
      <c r="A364" s="1" t="s">
        <v>3482</v>
      </c>
      <c r="B364" t="s">
        <v>3483</v>
      </c>
      <c r="C364" t="s">
        <v>3484</v>
      </c>
      <c r="D364" t="s">
        <v>3485</v>
      </c>
      <c r="E364" t="s">
        <v>3486</v>
      </c>
      <c r="F364" t="s">
        <v>3487</v>
      </c>
      <c r="G364" t="s">
        <v>3488</v>
      </c>
      <c r="H364" t="s">
        <v>254</v>
      </c>
      <c r="I364">
        <v>2021</v>
      </c>
      <c r="J364">
        <v>1</v>
      </c>
      <c r="K364" t="s">
        <v>3489</v>
      </c>
      <c r="L364"/>
      <c r="M364" t="str">
        <f t="shared" si="340"/>
        <v>Bradfer-Lawrence_2021</v>
      </c>
      <c r="N364" s="311" t="s">
        <v>4382</v>
      </c>
      <c r="O364" s="145" t="s">
        <v>223</v>
      </c>
      <c r="P364"/>
      <c r="Q364" s="311" t="s">
        <v>256</v>
      </c>
      <c r="R364" s="312"/>
      <c r="S364" s="1" t="s">
        <v>3490</v>
      </c>
      <c r="T364" t="s">
        <v>3491</v>
      </c>
      <c r="U364" t="s">
        <v>3496</v>
      </c>
      <c r="V364">
        <v>1</v>
      </c>
      <c r="W364">
        <v>0</v>
      </c>
      <c r="X364">
        <v>0</v>
      </c>
      <c r="Y364">
        <v>0</v>
      </c>
      <c r="Z364">
        <v>2</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s="141">
        <f t="shared" si="343"/>
        <v>2</v>
      </c>
      <c r="AY364" s="141">
        <f t="shared" si="344"/>
        <v>2</v>
      </c>
      <c r="AZ364">
        <f t="shared" si="345"/>
        <v>2</v>
      </c>
      <c r="BA364">
        <f t="shared" si="346"/>
        <v>0</v>
      </c>
      <c r="BB364">
        <f t="shared" si="347"/>
        <v>0</v>
      </c>
      <c r="BC364">
        <f t="shared" si="348"/>
        <v>0</v>
      </c>
      <c r="BD364">
        <f t="shared" si="349"/>
        <v>0</v>
      </c>
      <c r="BE364" t="str" cm="1">
        <f t="array" ref="BE364">IF(AY364=1,INDEX($V$7:$AL$7,MATCH(TRUE,INDEX($V364:$AW364&lt;&gt;0,),0)),IF(AY364=0,INDEX($AM$7:$AW$7,MATCH(1,$AM364:$AW364,0)),IF(BF364="Multiple strategies","mixed drivers",IF(BF364="Supply chain","multiple supply","multiple silviculture"))))</f>
        <v>multiple silviculture</v>
      </c>
      <c r="BF364" s="2" t="str" cm="1">
        <f t="array" ref="BF364">IF(COUNTIF(AZ364:BB364,"&lt;&gt;0")=1,INDEX($V$4:$AW$4,MATCH(TRUE,INDEX($V364:$AW364&lt;&gt;0,),0)),IF(COUNTIF(AZ364:BB364,"&lt;&gt;0")=0,INDEX($AM$4:$AW$4,MATCH(1,$AM364:$AW364,0)),"Multiple strategies"))</f>
        <v>Silviculture for removals</v>
      </c>
      <c r="BG364" s="1"/>
      <c r="BH364"/>
      <c r="BI364"/>
      <c r="BJ364"/>
      <c r="BK364"/>
      <c r="BL364"/>
      <c r="BM364"/>
      <c r="BN364"/>
      <c r="BO364"/>
      <c r="BP364" t="s">
        <v>232</v>
      </c>
      <c r="BQ364"/>
      <c r="BR364" t="s">
        <v>598</v>
      </c>
      <c r="BS364">
        <v>45.3</v>
      </c>
      <c r="BT364">
        <v>143.69999999999999</v>
      </c>
      <c r="BU364">
        <f t="shared" si="376"/>
        <v>3.1721854304635762</v>
      </c>
      <c r="BV364">
        <f t="shared" si="375"/>
        <v>98.399999999999991</v>
      </c>
      <c r="BW364"/>
      <c r="BX364">
        <f t="shared" si="380"/>
        <v>98399999.999999985</v>
      </c>
      <c r="BY364" t="str">
        <f t="shared" ref="BY364:BY427" si="386">IFERROR(BX364/BO364,"")</f>
        <v/>
      </c>
      <c r="BZ364" s="143">
        <v>0</v>
      </c>
      <c r="CA364" s="143">
        <v>0</v>
      </c>
      <c r="CB364" s="143">
        <v>0</v>
      </c>
      <c r="CC364" s="143">
        <v>0</v>
      </c>
      <c r="CD364" s="143">
        <v>0</v>
      </c>
      <c r="CE364" s="143">
        <v>0</v>
      </c>
      <c r="CF364" s="143">
        <v>0</v>
      </c>
      <c r="CG364" s="143">
        <v>0</v>
      </c>
      <c r="CH364" s="143">
        <v>0</v>
      </c>
      <c r="CI364" s="143">
        <v>0</v>
      </c>
      <c r="CJ364" s="143">
        <v>0</v>
      </c>
      <c r="CK364" s="143">
        <v>0</v>
      </c>
      <c r="CL364" s="143">
        <v>0</v>
      </c>
      <c r="CM364">
        <v>0</v>
      </c>
      <c r="CN364" t="str">
        <f t="shared" si="381"/>
        <v>refOK</v>
      </c>
      <c r="CO364"/>
      <c r="CP364"/>
      <c r="CQ364"/>
      <c r="CR364">
        <f t="shared" si="377"/>
        <v>45.3</v>
      </c>
      <c r="CS364">
        <f t="shared" si="378"/>
        <v>143.69999999999999</v>
      </c>
      <c r="CT364">
        <f t="shared" si="360"/>
        <v>98399999.999999985</v>
      </c>
      <c r="CU364" t="str">
        <f t="shared" si="361"/>
        <v/>
      </c>
      <c r="CV364" s="2">
        <f t="shared" si="362"/>
        <v>2.1721854304635762</v>
      </c>
      <c r="CW364" s="1" t="s">
        <v>1202</v>
      </c>
      <c r="CX364" s="311" t="str">
        <f t="shared" si="363"/>
        <v>reg</v>
      </c>
      <c r="CY364" t="s">
        <v>3493</v>
      </c>
      <c r="CZ364">
        <v>2020</v>
      </c>
      <c r="DA364">
        <v>2050</v>
      </c>
      <c r="DB364" s="143">
        <f t="shared" si="379"/>
        <v>30</v>
      </c>
      <c r="DC364" t="str">
        <f t="shared" si="364"/>
        <v>1-30</v>
      </c>
      <c r="DD364">
        <v>0</v>
      </c>
      <c r="DE364">
        <v>1</v>
      </c>
      <c r="DF364">
        <v>1</v>
      </c>
      <c r="DG364">
        <v>1</v>
      </c>
      <c r="DH364"/>
      <c r="DI364">
        <f t="shared" si="365"/>
        <v>3</v>
      </c>
      <c r="DJ364" t="str">
        <f t="shared" si="366"/>
        <v>mixedProduct</v>
      </c>
      <c r="DK364">
        <f t="shared" si="367"/>
        <v>0</v>
      </c>
      <c r="DL364" t="str">
        <f t="shared" si="368"/>
        <v>Energy</v>
      </c>
      <c r="DM364" t="str">
        <f t="shared" si="369"/>
        <v>Pulp/Paper</v>
      </c>
      <c r="DN364" t="str">
        <f t="shared" si="370"/>
        <v>Timber</v>
      </c>
      <c r="DO364">
        <v>0</v>
      </c>
      <c r="DP364" s="143">
        <v>0</v>
      </c>
      <c r="DQ364" s="143">
        <v>0</v>
      </c>
      <c r="DR364" s="143">
        <v>0</v>
      </c>
      <c r="DS364">
        <v>0</v>
      </c>
      <c r="DT364">
        <f t="shared" si="382"/>
        <v>0</v>
      </c>
      <c r="DU364" s="143" t="str">
        <f t="shared" si="383"/>
        <v>explicit C balance</v>
      </c>
      <c r="DV364">
        <v>1</v>
      </c>
      <c r="DW364" s="143">
        <v>1</v>
      </c>
      <c r="DX364" s="143">
        <v>1</v>
      </c>
      <c r="DY364" s="143">
        <v>1</v>
      </c>
      <c r="DZ364">
        <v>1</v>
      </c>
      <c r="EA364" s="141">
        <v>0</v>
      </c>
      <c r="EB364">
        <v>0</v>
      </c>
      <c r="EC364" s="143">
        <v>0</v>
      </c>
      <c r="ED364" s="143">
        <v>0</v>
      </c>
      <c r="EE364">
        <v>0</v>
      </c>
      <c r="EF364">
        <v>1</v>
      </c>
      <c r="EG364" s="143">
        <v>0</v>
      </c>
      <c r="EH364" s="143">
        <v>1</v>
      </c>
      <c r="EI364" s="2">
        <v>0</v>
      </c>
      <c r="EJ364" s="1"/>
      <c r="EK364" t="str">
        <f t="shared" si="384"/>
        <v/>
      </c>
      <c r="EL364" t="str">
        <f t="shared" si="385"/>
        <v>Ecosystem approach</v>
      </c>
      <c r="EM364" s="2" t="str">
        <f t="shared" ref="EM364:EM427" si="387">IF(AND(AND(AND($DX364=0,$DW364=0),OR($EC364=1,$EA364=1)),SUM($EB364:$EE364)&gt;=2),"Technology approach","")</f>
        <v/>
      </c>
      <c r="EN364"/>
      <c r="EO364"/>
      <c r="EP364" t="b">
        <f>IF(ISNUMBER(BU364),IF(ABS(BU364-[1]QC_indicators!$B$2)&gt;3*[1]QC_indicators!$C$2,"C ratio",IF(ISNUMBER(BY364),IF(ABS(BY364-[1]QC_indicators!$B$1)&gt;3*[1]QC_indicators!$C$1,"DF","no"))),IF(ISNUMBER(BY364),IF(ABS(BY364-[1]QC_indicators!$B$1)&gt;3*[1]QC_indicators!$C$1,"DF","no")))</f>
        <v>0</v>
      </c>
      <c r="EQ364"/>
      <c r="ER364"/>
      <c r="ES364"/>
      <c r="ET364"/>
      <c r="EU364"/>
    </row>
    <row r="365" spans="1:151" s="139" customFormat="1" ht="15" hidden="1" customHeight="1">
      <c r="A365" s="1" t="s">
        <v>3482</v>
      </c>
      <c r="B365" t="s">
        <v>3483</v>
      </c>
      <c r="C365" t="s">
        <v>3484</v>
      </c>
      <c r="D365" t="s">
        <v>3485</v>
      </c>
      <c r="E365" t="s">
        <v>3486</v>
      </c>
      <c r="F365" t="s">
        <v>3487</v>
      </c>
      <c r="G365" t="s">
        <v>3488</v>
      </c>
      <c r="H365" t="s">
        <v>254</v>
      </c>
      <c r="I365">
        <v>2021</v>
      </c>
      <c r="J365">
        <v>1</v>
      </c>
      <c r="K365" t="s">
        <v>3489</v>
      </c>
      <c r="L365"/>
      <c r="M365" t="str">
        <f t="shared" si="340"/>
        <v>Bradfer-Lawrence_2021</v>
      </c>
      <c r="N365" s="311" t="s">
        <v>4382</v>
      </c>
      <c r="O365" s="145" t="s">
        <v>223</v>
      </c>
      <c r="P365"/>
      <c r="Q365" s="311" t="s">
        <v>256</v>
      </c>
      <c r="R365" s="312"/>
      <c r="S365" s="1" t="s">
        <v>3497</v>
      </c>
      <c r="T365" t="s">
        <v>3496</v>
      </c>
      <c r="U365" t="s">
        <v>3498</v>
      </c>
      <c r="V365">
        <v>0</v>
      </c>
      <c r="W365">
        <v>0</v>
      </c>
      <c r="X365">
        <v>0</v>
      </c>
      <c r="Y365">
        <v>0</v>
      </c>
      <c r="Z365">
        <v>1</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s="141">
        <f t="shared" si="343"/>
        <v>1</v>
      </c>
      <c r="AY365" s="141">
        <f t="shared" si="344"/>
        <v>1</v>
      </c>
      <c r="AZ365">
        <f t="shared" si="345"/>
        <v>1</v>
      </c>
      <c r="BA365">
        <f t="shared" si="346"/>
        <v>0</v>
      </c>
      <c r="BB365">
        <f t="shared" si="347"/>
        <v>0</v>
      </c>
      <c r="BC365">
        <f t="shared" si="348"/>
        <v>0</v>
      </c>
      <c r="BD365">
        <f t="shared" si="349"/>
        <v>0</v>
      </c>
      <c r="BE365" t="str" cm="1">
        <f t="array" ref="BE365">IF(AY365=1,INDEX($V$7:$AL$7,MATCH(TRUE,INDEX($V365:$AW365&lt;&gt;0,),0)),IF(AY365=0,INDEX($AM$7:$AW$7,MATCH(1,$AM365:$AW365,0)),IF(BF365="Multiple strategies","mixed drivers",IF(BF365="Supply chain","multiple supply","multiple silviculture"))))</f>
        <v>species</v>
      </c>
      <c r="BF365" s="2" t="str" cm="1">
        <f t="array" ref="BF365">IF(COUNTIF(AZ365:BB365,"&lt;&gt;0")=1,INDEX($V$4:$AW$4,MATCH(TRUE,INDEX($V365:$AW365&lt;&gt;0,),0)),IF(COUNTIF(AZ365:BB365,"&lt;&gt;0")=0,INDEX($AM$4:$AW$4,MATCH(1,$AM365:$AW365,0)),"Multiple strategies"))</f>
        <v>Silviculture for productivity</v>
      </c>
      <c r="BG365" s="1"/>
      <c r="BH365"/>
      <c r="BI365"/>
      <c r="BJ365"/>
      <c r="BK365"/>
      <c r="BL365"/>
      <c r="BM365"/>
      <c r="BN365"/>
      <c r="BO365"/>
      <c r="BP365" t="s">
        <v>232</v>
      </c>
      <c r="BQ365"/>
      <c r="BR365" t="s">
        <v>598</v>
      </c>
      <c r="BS365">
        <v>143.69999999999999</v>
      </c>
      <c r="BT365">
        <v>176.4</v>
      </c>
      <c r="BU365">
        <f t="shared" si="376"/>
        <v>1.2275574112734866</v>
      </c>
      <c r="BV365">
        <f t="shared" si="375"/>
        <v>32.700000000000017</v>
      </c>
      <c r="BW365"/>
      <c r="BX365">
        <f t="shared" si="380"/>
        <v>32700000.000000019</v>
      </c>
      <c r="BY365" t="str">
        <f t="shared" si="386"/>
        <v/>
      </c>
      <c r="BZ365" s="143">
        <v>0</v>
      </c>
      <c r="CA365" s="143">
        <v>0</v>
      </c>
      <c r="CB365" s="143">
        <v>0</v>
      </c>
      <c r="CC365" s="143">
        <v>0</v>
      </c>
      <c r="CD365" s="143">
        <v>0</v>
      </c>
      <c r="CE365" s="143">
        <v>0</v>
      </c>
      <c r="CF365" s="143">
        <v>0</v>
      </c>
      <c r="CG365" s="143">
        <v>0</v>
      </c>
      <c r="CH365" s="143">
        <v>0</v>
      </c>
      <c r="CI365" s="143">
        <v>0</v>
      </c>
      <c r="CJ365" s="143">
        <v>0</v>
      </c>
      <c r="CK365" s="143">
        <v>0</v>
      </c>
      <c r="CL365" s="143">
        <v>0</v>
      </c>
      <c r="CM365">
        <v>0</v>
      </c>
      <c r="CN365" t="str">
        <f t="shared" si="381"/>
        <v>refOK</v>
      </c>
      <c r="CO365"/>
      <c r="CP365"/>
      <c r="CQ365"/>
      <c r="CR365">
        <f t="shared" si="377"/>
        <v>143.69999999999999</v>
      </c>
      <c r="CS365">
        <f t="shared" si="378"/>
        <v>176.4</v>
      </c>
      <c r="CT365">
        <f t="shared" si="360"/>
        <v>32700000.000000019</v>
      </c>
      <c r="CU365" t="str">
        <f t="shared" si="361"/>
        <v/>
      </c>
      <c r="CV365" s="2">
        <f t="shared" si="362"/>
        <v>0.22755741127348655</v>
      </c>
      <c r="CW365" s="1" t="s">
        <v>1202</v>
      </c>
      <c r="CX365" s="311" t="str">
        <f t="shared" si="363"/>
        <v>reg</v>
      </c>
      <c r="CY365" t="s">
        <v>3493</v>
      </c>
      <c r="CZ365">
        <v>2020</v>
      </c>
      <c r="DA365">
        <v>2050</v>
      </c>
      <c r="DB365" s="143">
        <f t="shared" si="379"/>
        <v>30</v>
      </c>
      <c r="DC365" t="str">
        <f t="shared" si="364"/>
        <v>1-30</v>
      </c>
      <c r="DD365">
        <v>0</v>
      </c>
      <c r="DE365">
        <v>1</v>
      </c>
      <c r="DF365">
        <v>1</v>
      </c>
      <c r="DG365">
        <v>1</v>
      </c>
      <c r="DH365"/>
      <c r="DI365">
        <f t="shared" si="365"/>
        <v>3</v>
      </c>
      <c r="DJ365" t="str">
        <f t="shared" si="366"/>
        <v>mixedProduct</v>
      </c>
      <c r="DK365">
        <f t="shared" si="367"/>
        <v>0</v>
      </c>
      <c r="DL365" t="str">
        <f t="shared" si="368"/>
        <v>Energy</v>
      </c>
      <c r="DM365" t="str">
        <f t="shared" si="369"/>
        <v>Pulp/Paper</v>
      </c>
      <c r="DN365" t="str">
        <f t="shared" si="370"/>
        <v>Timber</v>
      </c>
      <c r="DO365">
        <v>0</v>
      </c>
      <c r="DP365" s="143">
        <v>0</v>
      </c>
      <c r="DQ365" s="143">
        <v>0</v>
      </c>
      <c r="DR365" s="143">
        <v>0</v>
      </c>
      <c r="DS365">
        <v>0</v>
      </c>
      <c r="DT365">
        <f t="shared" si="382"/>
        <v>0</v>
      </c>
      <c r="DU365" s="143" t="str">
        <f t="shared" si="383"/>
        <v>explicit C balance</v>
      </c>
      <c r="DV365">
        <v>1</v>
      </c>
      <c r="DW365" s="143">
        <v>1</v>
      </c>
      <c r="DX365" s="143">
        <v>1</v>
      </c>
      <c r="DY365" s="143">
        <v>1</v>
      </c>
      <c r="DZ365">
        <v>1</v>
      </c>
      <c r="EA365" s="141">
        <v>0</v>
      </c>
      <c r="EB365">
        <v>0</v>
      </c>
      <c r="EC365" s="143">
        <v>0</v>
      </c>
      <c r="ED365" s="143">
        <v>0</v>
      </c>
      <c r="EE365">
        <v>0</v>
      </c>
      <c r="EF365">
        <v>1</v>
      </c>
      <c r="EG365" s="143">
        <v>0</v>
      </c>
      <c r="EH365" s="143">
        <v>1</v>
      </c>
      <c r="EI365" s="2">
        <v>0</v>
      </c>
      <c r="EJ365" s="1"/>
      <c r="EK365" t="str">
        <f t="shared" si="384"/>
        <v/>
      </c>
      <c r="EL365" t="str">
        <f t="shared" si="385"/>
        <v>Ecosystem approach</v>
      </c>
      <c r="EM365" s="2" t="str">
        <f t="shared" si="387"/>
        <v/>
      </c>
      <c r="EN365"/>
      <c r="EO365"/>
      <c r="EP365" t="b">
        <f>IF(ISNUMBER(BU365),IF(ABS(BU365-[1]QC_indicators!$B$2)&gt;3*[1]QC_indicators!$C$2,"C ratio",IF(ISNUMBER(BY365),IF(ABS(BY365-[1]QC_indicators!$B$1)&gt;3*[1]QC_indicators!$C$1,"DF","no"))),IF(ISNUMBER(BY365),IF(ABS(BY365-[1]QC_indicators!$B$1)&gt;3*[1]QC_indicators!$C$1,"DF","no")))</f>
        <v>0</v>
      </c>
      <c r="EQ365"/>
      <c r="ER365"/>
      <c r="ES365"/>
      <c r="ET365"/>
      <c r="EU365"/>
    </row>
    <row r="366" spans="1:151" s="139" customFormat="1" ht="15" hidden="1" customHeight="1">
      <c r="A366" s="1" t="s">
        <v>3482</v>
      </c>
      <c r="B366" t="s">
        <v>3483</v>
      </c>
      <c r="C366" t="s">
        <v>3484</v>
      </c>
      <c r="D366" t="s">
        <v>3485</v>
      </c>
      <c r="E366" t="s">
        <v>3486</v>
      </c>
      <c r="F366" t="s">
        <v>3487</v>
      </c>
      <c r="G366" t="s">
        <v>3488</v>
      </c>
      <c r="H366" t="s">
        <v>254</v>
      </c>
      <c r="I366">
        <v>2021</v>
      </c>
      <c r="J366">
        <v>1</v>
      </c>
      <c r="K366" t="s">
        <v>3489</v>
      </c>
      <c r="L366"/>
      <c r="M366" t="str">
        <f t="shared" si="340"/>
        <v>Bradfer-Lawrence_2021</v>
      </c>
      <c r="N366" s="311" t="s">
        <v>4382</v>
      </c>
      <c r="O366" s="145" t="s">
        <v>223</v>
      </c>
      <c r="P366"/>
      <c r="Q366" s="311" t="s">
        <v>256</v>
      </c>
      <c r="R366" s="312"/>
      <c r="S366" s="1" t="s">
        <v>3497</v>
      </c>
      <c r="T366" t="s">
        <v>3496</v>
      </c>
      <c r="U366" t="s">
        <v>3498</v>
      </c>
      <c r="V366">
        <v>0</v>
      </c>
      <c r="W366">
        <v>0</v>
      </c>
      <c r="X366">
        <v>0</v>
      </c>
      <c r="Y366">
        <v>0</v>
      </c>
      <c r="Z366">
        <v>1</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s="141">
        <f t="shared" si="343"/>
        <v>1</v>
      </c>
      <c r="AY366" s="141">
        <f t="shared" si="344"/>
        <v>1</v>
      </c>
      <c r="AZ366">
        <f t="shared" si="345"/>
        <v>1</v>
      </c>
      <c r="BA366">
        <f t="shared" si="346"/>
        <v>0</v>
      </c>
      <c r="BB366">
        <f t="shared" si="347"/>
        <v>0</v>
      </c>
      <c r="BC366">
        <f t="shared" si="348"/>
        <v>0</v>
      </c>
      <c r="BD366">
        <f t="shared" si="349"/>
        <v>0</v>
      </c>
      <c r="BE366" t="str" cm="1">
        <f t="array" ref="BE366">IF(AY366=1,INDEX($V$7:$AL$7,MATCH(TRUE,INDEX($V366:$AW366&lt;&gt;0,),0)),IF(AY366=0,INDEX($AM$7:$AW$7,MATCH(1,$AM366:$AW366,0)),IF(BF366="Multiple strategies","mixed drivers",IF(BF366="Supply chain","multiple supply","multiple silviculture"))))</f>
        <v>species</v>
      </c>
      <c r="BF366" s="2" t="str" cm="1">
        <f t="array" ref="BF366">IF(COUNTIF(AZ366:BB366,"&lt;&gt;0")=1,INDEX($V$4:$AW$4,MATCH(TRUE,INDEX($V366:$AW366&lt;&gt;0,),0)),IF(COUNTIF(AZ366:BB366,"&lt;&gt;0")=0,INDEX($AM$4:$AW$4,MATCH(1,$AM366:$AW366,0)),"Multiple strategies"))</f>
        <v>Silviculture for productivity</v>
      </c>
      <c r="BG366" s="1"/>
      <c r="BH366"/>
      <c r="BI366"/>
      <c r="BJ366"/>
      <c r="BK366"/>
      <c r="BL366"/>
      <c r="BM366"/>
      <c r="BN366"/>
      <c r="BO366"/>
      <c r="BP366" t="s">
        <v>232</v>
      </c>
      <c r="BQ366"/>
      <c r="BR366" t="s">
        <v>598</v>
      </c>
      <c r="BS366">
        <v>586.70000000000005</v>
      </c>
      <c r="BT366">
        <v>602.9</v>
      </c>
      <c r="BU366">
        <f t="shared" si="376"/>
        <v>1.0276120674961648</v>
      </c>
      <c r="BV366">
        <f t="shared" si="375"/>
        <v>16.199999999999932</v>
      </c>
      <c r="BW366"/>
      <c r="BX366">
        <f t="shared" si="380"/>
        <v>16199999.999999931</v>
      </c>
      <c r="BY366" t="str">
        <f t="shared" si="386"/>
        <v/>
      </c>
      <c r="BZ366" s="143">
        <v>0</v>
      </c>
      <c r="CA366" s="143">
        <v>0</v>
      </c>
      <c r="CB366" s="143">
        <v>0</v>
      </c>
      <c r="CC366" s="143">
        <v>0</v>
      </c>
      <c r="CD366" s="143">
        <v>0</v>
      </c>
      <c r="CE366" s="143">
        <v>0</v>
      </c>
      <c r="CF366" s="143">
        <v>0</v>
      </c>
      <c r="CG366" s="143">
        <v>0</v>
      </c>
      <c r="CH366" s="143">
        <v>0</v>
      </c>
      <c r="CI366" s="143">
        <v>0</v>
      </c>
      <c r="CJ366" s="143">
        <v>0</v>
      </c>
      <c r="CK366" s="143">
        <v>0</v>
      </c>
      <c r="CL366" s="143">
        <v>0</v>
      </c>
      <c r="CM366">
        <v>0</v>
      </c>
      <c r="CN366" t="str">
        <f t="shared" si="381"/>
        <v>refOK</v>
      </c>
      <c r="CO366"/>
      <c r="CP366"/>
      <c r="CQ366"/>
      <c r="CR366">
        <f t="shared" si="377"/>
        <v>586.70000000000005</v>
      </c>
      <c r="CS366">
        <f t="shared" si="378"/>
        <v>602.9</v>
      </c>
      <c r="CT366">
        <f t="shared" si="360"/>
        <v>16199999.999999931</v>
      </c>
      <c r="CU366" t="str">
        <f t="shared" si="361"/>
        <v/>
      </c>
      <c r="CV366" s="2">
        <f t="shared" si="362"/>
        <v>2.7612067496164874E-2</v>
      </c>
      <c r="CW366" s="1" t="s">
        <v>1202</v>
      </c>
      <c r="CX366" s="311" t="str">
        <f t="shared" si="363"/>
        <v>reg</v>
      </c>
      <c r="CY366" t="s">
        <v>3493</v>
      </c>
      <c r="CZ366">
        <v>2020</v>
      </c>
      <c r="DA366">
        <v>2100</v>
      </c>
      <c r="DB366" s="143">
        <f t="shared" si="379"/>
        <v>80</v>
      </c>
      <c r="DC366" t="str">
        <f t="shared" si="364"/>
        <v>71-100</v>
      </c>
      <c r="DD366">
        <v>0</v>
      </c>
      <c r="DE366">
        <v>1</v>
      </c>
      <c r="DF366">
        <v>1</v>
      </c>
      <c r="DG366">
        <v>1</v>
      </c>
      <c r="DH366"/>
      <c r="DI366">
        <f t="shared" si="365"/>
        <v>3</v>
      </c>
      <c r="DJ366" t="str">
        <f t="shared" si="366"/>
        <v>mixedProduct</v>
      </c>
      <c r="DK366">
        <f t="shared" si="367"/>
        <v>0</v>
      </c>
      <c r="DL366" t="str">
        <f t="shared" si="368"/>
        <v>Energy</v>
      </c>
      <c r="DM366" t="str">
        <f t="shared" si="369"/>
        <v>Pulp/Paper</v>
      </c>
      <c r="DN366" t="str">
        <f t="shared" si="370"/>
        <v>Timber</v>
      </c>
      <c r="DO366">
        <v>0</v>
      </c>
      <c r="DP366" s="143">
        <v>0</v>
      </c>
      <c r="DQ366" s="143">
        <v>0</v>
      </c>
      <c r="DR366" s="143">
        <v>0</v>
      </c>
      <c r="DS366">
        <v>0</v>
      </c>
      <c r="DT366">
        <f t="shared" si="382"/>
        <v>0</v>
      </c>
      <c r="DU366" s="143" t="str">
        <f t="shared" si="383"/>
        <v>explicit C balance</v>
      </c>
      <c r="DV366">
        <v>1</v>
      </c>
      <c r="DW366" s="143">
        <v>1</v>
      </c>
      <c r="DX366" s="143">
        <v>1</v>
      </c>
      <c r="DY366" s="143">
        <v>1</v>
      </c>
      <c r="DZ366">
        <v>1</v>
      </c>
      <c r="EA366" s="141">
        <v>0</v>
      </c>
      <c r="EB366">
        <v>0</v>
      </c>
      <c r="EC366" s="143">
        <v>0</v>
      </c>
      <c r="ED366" s="143">
        <v>0</v>
      </c>
      <c r="EE366">
        <v>0</v>
      </c>
      <c r="EF366">
        <v>1</v>
      </c>
      <c r="EG366" s="143">
        <v>0</v>
      </c>
      <c r="EH366" s="143">
        <v>1</v>
      </c>
      <c r="EI366" s="2">
        <v>0</v>
      </c>
      <c r="EJ366" s="1"/>
      <c r="EK366" t="str">
        <f t="shared" si="384"/>
        <v/>
      </c>
      <c r="EL366" t="str">
        <f t="shared" si="385"/>
        <v>Ecosystem approach</v>
      </c>
      <c r="EM366" s="2" t="str">
        <f t="shared" si="387"/>
        <v/>
      </c>
      <c r="EN366"/>
      <c r="EO366"/>
      <c r="EP366" t="b">
        <f>IF(ISNUMBER(BU366),IF(ABS(BU366-[1]QC_indicators!$B$2)&gt;3*[1]QC_indicators!$C$2,"C ratio",IF(ISNUMBER(BY366),IF(ABS(BY366-[1]QC_indicators!$B$1)&gt;3*[1]QC_indicators!$C$1,"DF","no"))),IF(ISNUMBER(BY366),IF(ABS(BY366-[1]QC_indicators!$B$1)&gt;3*[1]QC_indicators!$C$1,"DF","no")))</f>
        <v>0</v>
      </c>
      <c r="EQ366"/>
      <c r="ER366"/>
      <c r="ES366"/>
      <c r="ET366"/>
      <c r="EU366"/>
    </row>
    <row r="367" spans="1:151" s="139" customFormat="1" ht="15" hidden="1" customHeight="1">
      <c r="A367" s="1" t="s">
        <v>3482</v>
      </c>
      <c r="B367" t="s">
        <v>3483</v>
      </c>
      <c r="C367" t="s">
        <v>3484</v>
      </c>
      <c r="D367" t="s">
        <v>3485</v>
      </c>
      <c r="E367" t="s">
        <v>3486</v>
      </c>
      <c r="F367" t="s">
        <v>3487</v>
      </c>
      <c r="G367" t="s">
        <v>3488</v>
      </c>
      <c r="H367" t="s">
        <v>254</v>
      </c>
      <c r="I367">
        <v>2021</v>
      </c>
      <c r="J367">
        <v>1</v>
      </c>
      <c r="K367" t="s">
        <v>3489</v>
      </c>
      <c r="L367"/>
      <c r="M367" t="str">
        <f t="shared" si="340"/>
        <v>Bradfer-Lawrence_2021</v>
      </c>
      <c r="N367" s="311" t="s">
        <v>4382</v>
      </c>
      <c r="O367" s="145" t="s">
        <v>223</v>
      </c>
      <c r="P367"/>
      <c r="Q367" s="311" t="s">
        <v>256</v>
      </c>
      <c r="R367" s="312"/>
      <c r="S367" s="1" t="s">
        <v>3497</v>
      </c>
      <c r="T367" t="s">
        <v>3492</v>
      </c>
      <c r="U367" t="s">
        <v>3499</v>
      </c>
      <c r="V367">
        <v>0</v>
      </c>
      <c r="W367">
        <v>0</v>
      </c>
      <c r="X367">
        <v>0</v>
      </c>
      <c r="Y367">
        <v>0</v>
      </c>
      <c r="Z367">
        <v>1</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s="141">
        <f t="shared" si="343"/>
        <v>1</v>
      </c>
      <c r="AY367" s="141">
        <f t="shared" si="344"/>
        <v>1</v>
      </c>
      <c r="AZ367">
        <f t="shared" si="345"/>
        <v>1</v>
      </c>
      <c r="BA367">
        <f t="shared" si="346"/>
        <v>0</v>
      </c>
      <c r="BB367">
        <f t="shared" si="347"/>
        <v>0</v>
      </c>
      <c r="BC367">
        <f t="shared" si="348"/>
        <v>0</v>
      </c>
      <c r="BD367">
        <f t="shared" si="349"/>
        <v>0</v>
      </c>
      <c r="BE367" t="str" cm="1">
        <f t="array" ref="BE367">IF(AY367=1,INDEX($V$7:$AL$7,MATCH(TRUE,INDEX($V367:$AW367&lt;&gt;0,),0)),IF(AY367=0,INDEX($AM$7:$AW$7,MATCH(1,$AM367:$AW367,0)),IF(BF367="Multiple strategies","mixed drivers",IF(BF367="Supply chain","multiple supply","multiple silviculture"))))</f>
        <v>species</v>
      </c>
      <c r="BF367" s="2" t="str" cm="1">
        <f t="array" ref="BF367">IF(COUNTIF(AZ367:BB367,"&lt;&gt;0")=1,INDEX($V$4:$AW$4,MATCH(TRUE,INDEX($V367:$AW367&lt;&gt;0,),0)),IF(COUNTIF(AZ367:BB367,"&lt;&gt;0")=0,INDEX($AM$4:$AW$4,MATCH(1,$AM367:$AW367,0)),"Multiple strategies"))</f>
        <v>Silviculture for productivity</v>
      </c>
      <c r="BG367" s="1"/>
      <c r="BH367"/>
      <c r="BI367"/>
      <c r="BJ367"/>
      <c r="BK367"/>
      <c r="BL367"/>
      <c r="BM367"/>
      <c r="BN367"/>
      <c r="BO367"/>
      <c r="BP367" t="s">
        <v>232</v>
      </c>
      <c r="BQ367"/>
      <c r="BR367" t="s">
        <v>598</v>
      </c>
      <c r="BS367">
        <v>112.6</v>
      </c>
      <c r="BT367">
        <v>156.4</v>
      </c>
      <c r="BU367">
        <f t="shared" si="376"/>
        <v>1.3889875666074603</v>
      </c>
      <c r="BV367">
        <f t="shared" si="375"/>
        <v>43.800000000000011</v>
      </c>
      <c r="BW367"/>
      <c r="BX367">
        <f t="shared" si="380"/>
        <v>43800000.000000015</v>
      </c>
      <c r="BY367" t="str">
        <f t="shared" si="386"/>
        <v/>
      </c>
      <c r="BZ367" s="143">
        <v>0</v>
      </c>
      <c r="CA367" s="143">
        <v>0</v>
      </c>
      <c r="CB367" s="143">
        <v>0</v>
      </c>
      <c r="CC367" s="143">
        <v>0</v>
      </c>
      <c r="CD367" s="143">
        <v>0</v>
      </c>
      <c r="CE367" s="143">
        <v>0</v>
      </c>
      <c r="CF367" s="143">
        <v>0</v>
      </c>
      <c r="CG367" s="143">
        <v>0</v>
      </c>
      <c r="CH367" s="143">
        <v>0</v>
      </c>
      <c r="CI367" s="143">
        <v>0</v>
      </c>
      <c r="CJ367" s="143">
        <v>0</v>
      </c>
      <c r="CK367" s="143">
        <v>0</v>
      </c>
      <c r="CL367" s="143">
        <v>0</v>
      </c>
      <c r="CM367">
        <v>0</v>
      </c>
      <c r="CN367" t="str">
        <f t="shared" si="381"/>
        <v>refOK</v>
      </c>
      <c r="CO367"/>
      <c r="CP367"/>
      <c r="CQ367"/>
      <c r="CR367">
        <f t="shared" si="377"/>
        <v>112.6</v>
      </c>
      <c r="CS367">
        <f t="shared" si="378"/>
        <v>156.4</v>
      </c>
      <c r="CT367">
        <f t="shared" si="360"/>
        <v>43800000.000000015</v>
      </c>
      <c r="CU367" t="str">
        <f t="shared" si="361"/>
        <v/>
      </c>
      <c r="CV367" s="2">
        <f t="shared" si="362"/>
        <v>0.38898756660746014</v>
      </c>
      <c r="CW367" s="1" t="s">
        <v>1202</v>
      </c>
      <c r="CX367" s="311" t="str">
        <f t="shared" si="363"/>
        <v>reg</v>
      </c>
      <c r="CY367" t="s">
        <v>3493</v>
      </c>
      <c r="CZ367">
        <v>2020</v>
      </c>
      <c r="DA367">
        <v>2050</v>
      </c>
      <c r="DB367" s="143">
        <f t="shared" si="379"/>
        <v>30</v>
      </c>
      <c r="DC367" t="str">
        <f t="shared" si="364"/>
        <v>1-30</v>
      </c>
      <c r="DD367">
        <v>0</v>
      </c>
      <c r="DE367">
        <v>1</v>
      </c>
      <c r="DF367">
        <v>1</v>
      </c>
      <c r="DG367">
        <v>1</v>
      </c>
      <c r="DH367"/>
      <c r="DI367">
        <f t="shared" si="365"/>
        <v>3</v>
      </c>
      <c r="DJ367" t="str">
        <f t="shared" si="366"/>
        <v>mixedProduct</v>
      </c>
      <c r="DK367">
        <f t="shared" si="367"/>
        <v>0</v>
      </c>
      <c r="DL367" t="str">
        <f t="shared" si="368"/>
        <v>Energy</v>
      </c>
      <c r="DM367" t="str">
        <f t="shared" si="369"/>
        <v>Pulp/Paper</v>
      </c>
      <c r="DN367" t="str">
        <f t="shared" si="370"/>
        <v>Timber</v>
      </c>
      <c r="DO367">
        <v>0</v>
      </c>
      <c r="DP367" s="143">
        <v>0</v>
      </c>
      <c r="DQ367" s="143">
        <v>0</v>
      </c>
      <c r="DR367" s="143">
        <v>0</v>
      </c>
      <c r="DS367">
        <v>0</v>
      </c>
      <c r="DT367">
        <f t="shared" si="382"/>
        <v>0</v>
      </c>
      <c r="DU367" s="143" t="str">
        <f t="shared" si="383"/>
        <v>explicit C balance</v>
      </c>
      <c r="DV367">
        <v>1</v>
      </c>
      <c r="DW367" s="143">
        <v>1</v>
      </c>
      <c r="DX367" s="143">
        <v>1</v>
      </c>
      <c r="DY367" s="143">
        <v>1</v>
      </c>
      <c r="DZ367">
        <v>1</v>
      </c>
      <c r="EA367" s="141">
        <v>0</v>
      </c>
      <c r="EB367">
        <v>0</v>
      </c>
      <c r="EC367" s="143">
        <v>0</v>
      </c>
      <c r="ED367" s="143">
        <v>0</v>
      </c>
      <c r="EE367">
        <v>0</v>
      </c>
      <c r="EF367">
        <v>1</v>
      </c>
      <c r="EG367" s="143">
        <v>0</v>
      </c>
      <c r="EH367" s="143">
        <v>1</v>
      </c>
      <c r="EI367" s="2">
        <v>0</v>
      </c>
      <c r="EJ367" s="1"/>
      <c r="EK367" t="str">
        <f t="shared" si="384"/>
        <v/>
      </c>
      <c r="EL367" t="str">
        <f t="shared" si="385"/>
        <v>Ecosystem approach</v>
      </c>
      <c r="EM367" s="2" t="str">
        <f t="shared" si="387"/>
        <v/>
      </c>
      <c r="EN367"/>
      <c r="EO367"/>
      <c r="EP367" t="b">
        <f>IF(ISNUMBER(BU367),IF(ABS(BU367-[1]QC_indicators!$B$2)&gt;3*[1]QC_indicators!$C$2,"C ratio",IF(ISNUMBER(BY367),IF(ABS(BY367-[1]QC_indicators!$B$1)&gt;3*[1]QC_indicators!$C$1,"DF","no"))),IF(ISNUMBER(BY367),IF(ABS(BY367-[1]QC_indicators!$B$1)&gt;3*[1]QC_indicators!$C$1,"DF","no")))</f>
        <v>0</v>
      </c>
      <c r="EQ367"/>
      <c r="ER367"/>
      <c r="ES367"/>
      <c r="ET367"/>
      <c r="EU367"/>
    </row>
    <row r="368" spans="1:151" s="139" customFormat="1" ht="15" hidden="1" customHeight="1">
      <c r="A368" s="1" t="s">
        <v>3482</v>
      </c>
      <c r="B368" t="s">
        <v>3483</v>
      </c>
      <c r="C368" t="s">
        <v>3484</v>
      </c>
      <c r="D368" t="s">
        <v>3485</v>
      </c>
      <c r="E368" t="s">
        <v>3486</v>
      </c>
      <c r="F368" t="s">
        <v>3487</v>
      </c>
      <c r="G368" t="s">
        <v>3488</v>
      </c>
      <c r="H368" t="s">
        <v>254</v>
      </c>
      <c r="I368">
        <v>2021</v>
      </c>
      <c r="J368">
        <v>1</v>
      </c>
      <c r="K368" t="s">
        <v>3489</v>
      </c>
      <c r="L368"/>
      <c r="M368" t="str">
        <f t="shared" si="340"/>
        <v>Bradfer-Lawrence_2021</v>
      </c>
      <c r="N368" s="311" t="s">
        <v>4382</v>
      </c>
      <c r="O368" s="145" t="s">
        <v>223</v>
      </c>
      <c r="P368"/>
      <c r="Q368" s="311" t="s">
        <v>256</v>
      </c>
      <c r="R368" s="312"/>
      <c r="S368" s="1" t="s">
        <v>3497</v>
      </c>
      <c r="T368" t="s">
        <v>3492</v>
      </c>
      <c r="U368" t="s">
        <v>3499</v>
      </c>
      <c r="V368">
        <v>0</v>
      </c>
      <c r="W368">
        <v>0</v>
      </c>
      <c r="X368">
        <v>0</v>
      </c>
      <c r="Y368">
        <v>0</v>
      </c>
      <c r="Z368">
        <v>1</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c r="AW368">
        <v>0</v>
      </c>
      <c r="AX368" s="141">
        <f t="shared" si="343"/>
        <v>1</v>
      </c>
      <c r="AY368" s="141">
        <f t="shared" si="344"/>
        <v>1</v>
      </c>
      <c r="AZ368">
        <f t="shared" si="345"/>
        <v>1</v>
      </c>
      <c r="BA368">
        <f t="shared" si="346"/>
        <v>0</v>
      </c>
      <c r="BB368">
        <f t="shared" si="347"/>
        <v>0</v>
      </c>
      <c r="BC368">
        <f t="shared" si="348"/>
        <v>0</v>
      </c>
      <c r="BD368">
        <f t="shared" si="349"/>
        <v>0</v>
      </c>
      <c r="BE368" t="str" cm="1">
        <f t="array" ref="BE368">IF(AY368=1,INDEX($V$7:$AL$7,MATCH(TRUE,INDEX($V368:$AW368&lt;&gt;0,),0)),IF(AY368=0,INDEX($AM$7:$AW$7,MATCH(1,$AM368:$AW368,0)),IF(BF368="Multiple strategies","mixed drivers",IF(BF368="Supply chain","multiple supply","multiple silviculture"))))</f>
        <v>species</v>
      </c>
      <c r="BF368" s="2" t="str" cm="1">
        <f t="array" ref="BF368">IF(COUNTIF(AZ368:BB368,"&lt;&gt;0")=1,INDEX($V$4:$AW$4,MATCH(TRUE,INDEX($V368:$AW368&lt;&gt;0,),0)),IF(COUNTIF(AZ368:BB368,"&lt;&gt;0")=0,INDEX($AM$4:$AW$4,MATCH(1,$AM368:$AW368,0)),"Multiple strategies"))</f>
        <v>Silviculture for productivity</v>
      </c>
      <c r="BG368" s="1"/>
      <c r="BH368"/>
      <c r="BI368"/>
      <c r="BJ368"/>
      <c r="BK368"/>
      <c r="BL368"/>
      <c r="BM368"/>
      <c r="BN368"/>
      <c r="BO368"/>
      <c r="BP368" t="s">
        <v>232</v>
      </c>
      <c r="BQ368"/>
      <c r="BR368" t="s">
        <v>598</v>
      </c>
      <c r="BS368">
        <v>457</v>
      </c>
      <c r="BT368">
        <v>475.2</v>
      </c>
      <c r="BU368">
        <f t="shared" si="376"/>
        <v>1.0398249452954047</v>
      </c>
      <c r="BV368">
        <f t="shared" si="375"/>
        <v>18.199999999999989</v>
      </c>
      <c r="BW368"/>
      <c r="BX368">
        <f t="shared" si="380"/>
        <v>18199999.999999989</v>
      </c>
      <c r="BY368" t="str">
        <f t="shared" si="386"/>
        <v/>
      </c>
      <c r="BZ368" s="143">
        <v>0</v>
      </c>
      <c r="CA368" s="143">
        <v>0</v>
      </c>
      <c r="CB368" s="143">
        <v>0</v>
      </c>
      <c r="CC368" s="143">
        <v>0</v>
      </c>
      <c r="CD368" s="143">
        <v>0</v>
      </c>
      <c r="CE368" s="143">
        <v>0</v>
      </c>
      <c r="CF368" s="143">
        <v>0</v>
      </c>
      <c r="CG368" s="143">
        <v>0</v>
      </c>
      <c r="CH368" s="143">
        <v>0</v>
      </c>
      <c r="CI368" s="143">
        <v>0</v>
      </c>
      <c r="CJ368" s="143">
        <v>0</v>
      </c>
      <c r="CK368" s="143">
        <v>0</v>
      </c>
      <c r="CL368" s="143">
        <v>0</v>
      </c>
      <c r="CM368">
        <v>0</v>
      </c>
      <c r="CN368" t="str">
        <f t="shared" si="381"/>
        <v>refOK</v>
      </c>
      <c r="CO368"/>
      <c r="CP368"/>
      <c r="CQ368"/>
      <c r="CR368">
        <f t="shared" si="377"/>
        <v>457</v>
      </c>
      <c r="CS368">
        <f t="shared" si="378"/>
        <v>475.2</v>
      </c>
      <c r="CT368">
        <f t="shared" si="360"/>
        <v>18199999.999999989</v>
      </c>
      <c r="CU368" t="str">
        <f t="shared" si="361"/>
        <v/>
      </c>
      <c r="CV368" s="2">
        <f t="shared" si="362"/>
        <v>3.9824945295404791E-2</v>
      </c>
      <c r="CW368" s="1" t="s">
        <v>1202</v>
      </c>
      <c r="CX368" s="311" t="str">
        <f t="shared" si="363"/>
        <v>reg</v>
      </c>
      <c r="CY368" t="s">
        <v>3493</v>
      </c>
      <c r="CZ368">
        <v>2020</v>
      </c>
      <c r="DA368">
        <v>2100</v>
      </c>
      <c r="DB368" s="143">
        <f t="shared" si="379"/>
        <v>80</v>
      </c>
      <c r="DC368" t="str">
        <f t="shared" si="364"/>
        <v>71-100</v>
      </c>
      <c r="DD368">
        <v>0</v>
      </c>
      <c r="DE368">
        <v>1</v>
      </c>
      <c r="DF368">
        <v>1</v>
      </c>
      <c r="DG368">
        <v>1</v>
      </c>
      <c r="DH368"/>
      <c r="DI368">
        <f t="shared" si="365"/>
        <v>3</v>
      </c>
      <c r="DJ368" t="str">
        <f t="shared" si="366"/>
        <v>mixedProduct</v>
      </c>
      <c r="DK368">
        <f t="shared" si="367"/>
        <v>0</v>
      </c>
      <c r="DL368" t="str">
        <f t="shared" si="368"/>
        <v>Energy</v>
      </c>
      <c r="DM368" t="str">
        <f t="shared" si="369"/>
        <v>Pulp/Paper</v>
      </c>
      <c r="DN368" t="str">
        <f t="shared" si="370"/>
        <v>Timber</v>
      </c>
      <c r="DO368">
        <v>0</v>
      </c>
      <c r="DP368" s="143">
        <v>0</v>
      </c>
      <c r="DQ368" s="143">
        <v>0</v>
      </c>
      <c r="DR368" s="143">
        <v>0</v>
      </c>
      <c r="DS368">
        <v>0</v>
      </c>
      <c r="DT368">
        <f t="shared" si="382"/>
        <v>0</v>
      </c>
      <c r="DU368" s="143" t="str">
        <f t="shared" si="383"/>
        <v>explicit C balance</v>
      </c>
      <c r="DV368">
        <v>1</v>
      </c>
      <c r="DW368" s="143">
        <v>1</v>
      </c>
      <c r="DX368" s="143">
        <v>1</v>
      </c>
      <c r="DY368" s="143">
        <v>1</v>
      </c>
      <c r="DZ368">
        <v>1</v>
      </c>
      <c r="EA368" s="141">
        <v>0</v>
      </c>
      <c r="EB368">
        <v>0</v>
      </c>
      <c r="EC368" s="143">
        <v>0</v>
      </c>
      <c r="ED368" s="143">
        <v>0</v>
      </c>
      <c r="EE368">
        <v>0</v>
      </c>
      <c r="EF368">
        <v>1</v>
      </c>
      <c r="EG368" s="143">
        <v>0</v>
      </c>
      <c r="EH368" s="143">
        <v>1</v>
      </c>
      <c r="EI368" s="2">
        <v>0</v>
      </c>
      <c r="EJ368" s="1"/>
      <c r="EK368" t="str">
        <f t="shared" si="384"/>
        <v/>
      </c>
      <c r="EL368" t="str">
        <f t="shared" si="385"/>
        <v>Ecosystem approach</v>
      </c>
      <c r="EM368" s="2" t="str">
        <f t="shared" si="387"/>
        <v/>
      </c>
      <c r="EN368"/>
      <c r="EO368"/>
      <c r="EP368" t="b">
        <f>IF(ISNUMBER(BU368),IF(ABS(BU368-[1]QC_indicators!$B$2)&gt;3*[1]QC_indicators!$C$2,"C ratio",IF(ISNUMBER(BY368),IF(ABS(BY368-[1]QC_indicators!$B$1)&gt;3*[1]QC_indicators!$C$1,"DF","no"))),IF(ISNUMBER(BY368),IF(ABS(BY368-[1]QC_indicators!$B$1)&gt;3*[1]QC_indicators!$C$1,"DF","no")))</f>
        <v>0</v>
      </c>
      <c r="EQ368"/>
      <c r="ER368"/>
      <c r="ES368"/>
      <c r="ET368"/>
      <c r="EU368"/>
    </row>
    <row r="369" spans="1:151" s="139" customFormat="1" ht="15" hidden="1" customHeight="1">
      <c r="A369" s="1" t="s">
        <v>1285</v>
      </c>
      <c r="B369" t="s">
        <v>1335</v>
      </c>
      <c r="C369" t="s">
        <v>1336</v>
      </c>
      <c r="D369" t="s">
        <v>1337</v>
      </c>
      <c r="E369" t="s">
        <v>1338</v>
      </c>
      <c r="F369" t="s">
        <v>1339</v>
      </c>
      <c r="G369" t="s">
        <v>1291</v>
      </c>
      <c r="H369" t="s">
        <v>254</v>
      </c>
      <c r="I369">
        <v>2016</v>
      </c>
      <c r="J369">
        <v>27</v>
      </c>
      <c r="K369" t="s">
        <v>1340</v>
      </c>
      <c r="L369"/>
      <c r="M369" t="str">
        <f t="shared" si="340"/>
        <v>Braun_2016</v>
      </c>
      <c r="N369" t="s">
        <v>222</v>
      </c>
      <c r="O369" s="145" t="s">
        <v>223</v>
      </c>
      <c r="P369"/>
      <c r="Q369" t="s">
        <v>256</v>
      </c>
      <c r="R369" s="255" t="s">
        <v>225</v>
      </c>
      <c r="S369" s="1" t="s">
        <v>1347</v>
      </c>
      <c r="T369" t="s">
        <v>1342</v>
      </c>
      <c r="U369" t="s">
        <v>1349</v>
      </c>
      <c r="V369">
        <v>0</v>
      </c>
      <c r="W369">
        <v>0</v>
      </c>
      <c r="X369">
        <v>0</v>
      </c>
      <c r="Y369">
        <v>0</v>
      </c>
      <c r="Z369">
        <v>0</v>
      </c>
      <c r="AA369">
        <v>0</v>
      </c>
      <c r="AB369">
        <v>0</v>
      </c>
      <c r="AC369">
        <v>0</v>
      </c>
      <c r="AD369">
        <v>0</v>
      </c>
      <c r="AE369">
        <v>0</v>
      </c>
      <c r="AF369">
        <v>1</v>
      </c>
      <c r="AG369">
        <v>0</v>
      </c>
      <c r="AH369">
        <v>0</v>
      </c>
      <c r="AI369">
        <v>0</v>
      </c>
      <c r="AJ369">
        <v>0</v>
      </c>
      <c r="AK369">
        <v>0</v>
      </c>
      <c r="AL369">
        <v>0</v>
      </c>
      <c r="AM369">
        <v>0</v>
      </c>
      <c r="AN369">
        <v>0</v>
      </c>
      <c r="AO369">
        <v>0</v>
      </c>
      <c r="AP369">
        <v>0</v>
      </c>
      <c r="AQ369">
        <v>0</v>
      </c>
      <c r="AR369">
        <v>0</v>
      </c>
      <c r="AS369">
        <v>0</v>
      </c>
      <c r="AT369">
        <v>0</v>
      </c>
      <c r="AU369">
        <v>0</v>
      </c>
      <c r="AV369">
        <v>0</v>
      </c>
      <c r="AW369">
        <v>0</v>
      </c>
      <c r="AX369" s="141">
        <f t="shared" si="343"/>
        <v>1</v>
      </c>
      <c r="AY369" s="141">
        <f t="shared" si="344"/>
        <v>1</v>
      </c>
      <c r="AZ369">
        <f t="shared" si="345"/>
        <v>0</v>
      </c>
      <c r="BA369">
        <f t="shared" si="346"/>
        <v>1</v>
      </c>
      <c r="BB369">
        <f t="shared" si="347"/>
        <v>0</v>
      </c>
      <c r="BC369">
        <f t="shared" si="348"/>
        <v>0</v>
      </c>
      <c r="BD369">
        <f t="shared" si="349"/>
        <v>0</v>
      </c>
      <c r="BE369" t="str">
        <f t="array" ref="BE369">IF(AY369=1,INDEX($V$7:$AL$7,MATCH(TRUE,INDEX($V369:$AW369&lt;&gt;0,),0)),IF(AY369=0,INDEX($AM$7:$AW$7,MATCH(1,$AM369:$AW369,0)),IF(BF369="Multiple strategies","mixed drivers",IF(BF369="Supply chain","multiple supply","multiple silviculture"))))</f>
        <v>supply chain organization</v>
      </c>
      <c r="BF369" s="2" t="str" cm="1">
        <f t="array" ref="BF369">IF(COUNTIF(AZ369:BB369,"&lt;&gt;0")=1,INDEX($V$4:$AW$4,MATCH(TRUE,INDEX($V369:$AW369&lt;&gt;0,),0)),IF(COUNTIF(AZ369:BB369,"&lt;&gt;0")=0,INDEX($AM$4:$AW$4,MATCH(1,$AM369:$AW369,0)),"Multiple strategies"))</f>
        <v>Supply chain</v>
      </c>
      <c r="BG369" s="1" t="s">
        <v>229</v>
      </c>
      <c r="BH369" t="s">
        <v>1343</v>
      </c>
      <c r="BI369" s="260" t="s">
        <v>3276</v>
      </c>
      <c r="BJ369" t="s">
        <v>1344</v>
      </c>
      <c r="BK369">
        <v>1.1674521913429727</v>
      </c>
      <c r="BL369">
        <v>1.8344709897610794</v>
      </c>
      <c r="BM369">
        <f t="shared" ref="BM369:BM380" si="388">BL369/BK369</f>
        <v>1.5713457076566064</v>
      </c>
      <c r="BN369">
        <f t="shared" ref="BN369:BN380" si="389">BL369-BK369</f>
        <v>0.66701879841810663</v>
      </c>
      <c r="BO369">
        <f t="shared" ref="BO369:BO380" si="390">BN369*10^9</f>
        <v>667018798.41810668</v>
      </c>
      <c r="BP369" t="s">
        <v>232</v>
      </c>
      <c r="BQ369" s="260" t="s">
        <v>3279</v>
      </c>
      <c r="BR369" t="s">
        <v>1345</v>
      </c>
      <c r="BS369" s="264">
        <v>1.0255972696245701</v>
      </c>
      <c r="BT369" s="264">
        <v>-0.32593856655289999</v>
      </c>
      <c r="BU369" s="144">
        <f t="shared" ref="BU369:BU380" si="391">IFERROR(BT369/BS369,"")</f>
        <v>-0.31780366056572379</v>
      </c>
      <c r="BV369">
        <f t="shared" si="375"/>
        <v>-1.3515358361774701</v>
      </c>
      <c r="BW369"/>
      <c r="BX369">
        <f t="shared" ref="BX369:BX380" si="392">BV369*10^9</f>
        <v>-1351535836.17747</v>
      </c>
      <c r="BY369">
        <f t="shared" si="386"/>
        <v>-2.0262335025380924</v>
      </c>
      <c r="BZ369" s="143">
        <v>0</v>
      </c>
      <c r="CA369" s="143">
        <v>0</v>
      </c>
      <c r="CB369" s="143">
        <v>0</v>
      </c>
      <c r="CC369" s="143">
        <v>0</v>
      </c>
      <c r="CD369" s="143">
        <v>0</v>
      </c>
      <c r="CE369" s="143">
        <v>0</v>
      </c>
      <c r="CF369" s="143">
        <v>0</v>
      </c>
      <c r="CG369" s="143">
        <v>0</v>
      </c>
      <c r="CH369" s="143">
        <v>0</v>
      </c>
      <c r="CI369" s="143">
        <v>0</v>
      </c>
      <c r="CJ369" s="143">
        <v>0</v>
      </c>
      <c r="CK369" s="143">
        <v>0</v>
      </c>
      <c r="CL369" s="143">
        <v>0</v>
      </c>
      <c r="CM369">
        <v>0</v>
      </c>
      <c r="CN369" t="str">
        <f t="shared" ref="CN369:CN380" si="393">IF($BL369&lt;$BK369,"refNeedCorrection","refOK")</f>
        <v>refOK</v>
      </c>
      <c r="CO369">
        <f t="shared" ref="CO369:CO380" si="394">IF($CN369="refOK",$BK369,$BL369)</f>
        <v>1.1674521913429727</v>
      </c>
      <c r="CP369">
        <f t="shared" ref="CP369:CP380" si="395">IF($CN369="refOK",$BL369,$BK369)</f>
        <v>1.8344709897610794</v>
      </c>
      <c r="CQ369">
        <f t="shared" ref="CQ369:CQ380" si="396">IF($CN369="refOK",$BO369,-$BO369)</f>
        <v>667018798.41810668</v>
      </c>
      <c r="CR369">
        <f t="shared" si="377"/>
        <v>1.0255972696245701</v>
      </c>
      <c r="CS369">
        <f t="shared" si="378"/>
        <v>-0.32593856655289999</v>
      </c>
      <c r="CT369">
        <f t="shared" si="360"/>
        <v>-1351535836.17747</v>
      </c>
      <c r="CU369">
        <f t="shared" si="361"/>
        <v>-2.0262335025380924</v>
      </c>
      <c r="CV369" s="2">
        <f t="shared" si="362"/>
        <v>-1.3178036605657237</v>
      </c>
      <c r="CW369" s="1" t="s">
        <v>1202</v>
      </c>
      <c r="CX369" t="str">
        <f t="shared" si="363"/>
        <v>reg</v>
      </c>
      <c r="CY369" t="s">
        <v>666</v>
      </c>
      <c r="CZ369">
        <v>2010</v>
      </c>
      <c r="DA369">
        <v>2100</v>
      </c>
      <c r="DB369">
        <f t="shared" si="379"/>
        <v>90</v>
      </c>
      <c r="DC369" t="str">
        <f t="shared" si="364"/>
        <v>71-100</v>
      </c>
      <c r="DD369">
        <v>0</v>
      </c>
      <c r="DE369">
        <v>1</v>
      </c>
      <c r="DF369">
        <v>1</v>
      </c>
      <c r="DG369">
        <v>1</v>
      </c>
      <c r="DH369"/>
      <c r="DI369">
        <f t="shared" si="365"/>
        <v>3</v>
      </c>
      <c r="DJ369" t="str">
        <f t="shared" si="366"/>
        <v>mixedProduct</v>
      </c>
      <c r="DK369">
        <f t="shared" si="367"/>
        <v>0</v>
      </c>
      <c r="DL369" t="str">
        <f t="shared" si="368"/>
        <v>Energy</v>
      </c>
      <c r="DM369" t="str">
        <f t="shared" si="369"/>
        <v>Pulp/Paper</v>
      </c>
      <c r="DN369" t="str">
        <f t="shared" si="370"/>
        <v>Timber</v>
      </c>
      <c r="DO369">
        <v>1</v>
      </c>
      <c r="DP369" s="143">
        <v>0</v>
      </c>
      <c r="DQ369" s="143">
        <v>0</v>
      </c>
      <c r="DR369" s="143">
        <v>0</v>
      </c>
      <c r="DS369">
        <v>0</v>
      </c>
      <c r="DT369">
        <f t="shared" si="382"/>
        <v>1</v>
      </c>
      <c r="DU369" s="143" t="str">
        <f t="shared" si="383"/>
        <v>self-calculated DF</v>
      </c>
      <c r="DV369">
        <v>1</v>
      </c>
      <c r="DW369" s="143">
        <v>1</v>
      </c>
      <c r="DX369" s="143">
        <v>1</v>
      </c>
      <c r="DY369" s="143">
        <v>0</v>
      </c>
      <c r="DZ369">
        <v>0</v>
      </c>
      <c r="EA369" s="141">
        <v>0</v>
      </c>
      <c r="EB369">
        <v>0</v>
      </c>
      <c r="EC369" s="143">
        <v>0</v>
      </c>
      <c r="ED369" s="143">
        <v>0</v>
      </c>
      <c r="EE369">
        <v>0</v>
      </c>
      <c r="EF369">
        <v>1</v>
      </c>
      <c r="EG369" s="143">
        <v>0</v>
      </c>
      <c r="EH369" s="143">
        <v>0</v>
      </c>
      <c r="EI369" s="2">
        <v>0</v>
      </c>
      <c r="EJ369" s="1"/>
      <c r="EK369" t="str">
        <f t="shared" ref="EK369:EK380" si="397">IF(AND(AND(AND(OR($DX369=1,$DW369=1),OR($EC369=1,$EA369=1)),SUM($DV369:$DZ369,$EF369)&gt;=4),SUM($EA369:$EE369)&gt;=2),"Whole sector","")</f>
        <v/>
      </c>
      <c r="EL369" t="str">
        <f t="shared" ref="EL369:EL380" si="398">IF(AND(AND(OR($DX369=1,$DW369=1),AND($EC369=0,$EA369=0)),SUM($DV369:$DZ369,$EF369)&gt;=4),"Ecosystem approach","")</f>
        <v>Ecosystem approach</v>
      </c>
      <c r="EM369" s="2" t="str">
        <f t="shared" si="387"/>
        <v/>
      </c>
      <c r="EN369" t="s">
        <v>3282</v>
      </c>
      <c r="EO369"/>
      <c r="EP369" t="str">
        <f>IF(ISNUMBER(BU369),IF(ABS(BU369-[5]QC_indicators!$B$2)&gt;3*[5]QC_indicators!$C$2,"C ratio",IF(ISNUMBER(BY369),IF(ABS(BY369-[5]QC_indicators!$B$1)&gt;3*[5]QC_indicators!$C$1,"DF","no"))),IF(ISNUMBER(BY369),IF(ABS(BY369-[5]QC_indicators!$B$1)&gt;3*[5]QC_indicators!$C$1,"DF","no")))</f>
        <v>no</v>
      </c>
      <c r="EQ369"/>
      <c r="ER369"/>
      <c r="ES369"/>
      <c r="ET369" s="264" t="s">
        <v>3272</v>
      </c>
      <c r="EU369"/>
    </row>
    <row r="370" spans="1:151" s="139" customFormat="1" ht="15" hidden="1" customHeight="1">
      <c r="A370" s="1" t="s">
        <v>1285</v>
      </c>
      <c r="B370" t="s">
        <v>1335</v>
      </c>
      <c r="C370" t="s">
        <v>1336</v>
      </c>
      <c r="D370" t="s">
        <v>1337</v>
      </c>
      <c r="E370" t="s">
        <v>1338</v>
      </c>
      <c r="F370" t="s">
        <v>1339</v>
      </c>
      <c r="G370" t="s">
        <v>1291</v>
      </c>
      <c r="H370" t="s">
        <v>254</v>
      </c>
      <c r="I370">
        <v>2016</v>
      </c>
      <c r="J370">
        <v>27</v>
      </c>
      <c r="K370" t="s">
        <v>1340</v>
      </c>
      <c r="L370"/>
      <c r="M370" t="str">
        <f t="shared" si="340"/>
        <v>Braun_2016</v>
      </c>
      <c r="N370" t="s">
        <v>222</v>
      </c>
      <c r="O370" s="145" t="s">
        <v>223</v>
      </c>
      <c r="P370"/>
      <c r="Q370" t="s">
        <v>256</v>
      </c>
      <c r="R370" s="255" t="s">
        <v>225</v>
      </c>
      <c r="S370" s="1" t="s">
        <v>1347</v>
      </c>
      <c r="T370" t="s">
        <v>1342</v>
      </c>
      <c r="U370" t="s">
        <v>1350</v>
      </c>
      <c r="V370">
        <v>0</v>
      </c>
      <c r="W370">
        <v>0</v>
      </c>
      <c r="X370">
        <v>0</v>
      </c>
      <c r="Y370">
        <v>0</v>
      </c>
      <c r="Z370">
        <v>0</v>
      </c>
      <c r="AA370">
        <v>0</v>
      </c>
      <c r="AB370">
        <v>0</v>
      </c>
      <c r="AC370">
        <v>0</v>
      </c>
      <c r="AD370">
        <v>0</v>
      </c>
      <c r="AE370">
        <v>0</v>
      </c>
      <c r="AF370">
        <v>1</v>
      </c>
      <c r="AG370">
        <v>0</v>
      </c>
      <c r="AH370">
        <v>0</v>
      </c>
      <c r="AI370">
        <v>0</v>
      </c>
      <c r="AJ370">
        <v>0</v>
      </c>
      <c r="AK370">
        <v>0</v>
      </c>
      <c r="AL370">
        <v>0</v>
      </c>
      <c r="AM370">
        <v>0</v>
      </c>
      <c r="AN370">
        <v>0</v>
      </c>
      <c r="AO370">
        <v>0</v>
      </c>
      <c r="AP370">
        <v>0</v>
      </c>
      <c r="AQ370">
        <v>0</v>
      </c>
      <c r="AR370">
        <v>0</v>
      </c>
      <c r="AS370">
        <v>0</v>
      </c>
      <c r="AT370">
        <v>0</v>
      </c>
      <c r="AU370">
        <v>0</v>
      </c>
      <c r="AV370">
        <v>0</v>
      </c>
      <c r="AW370">
        <v>0</v>
      </c>
      <c r="AX370" s="141">
        <f t="shared" si="343"/>
        <v>1</v>
      </c>
      <c r="AY370" s="141">
        <f t="shared" si="344"/>
        <v>1</v>
      </c>
      <c r="AZ370">
        <f t="shared" si="345"/>
        <v>0</v>
      </c>
      <c r="BA370">
        <f t="shared" si="346"/>
        <v>1</v>
      </c>
      <c r="BB370">
        <f t="shared" si="347"/>
        <v>0</v>
      </c>
      <c r="BC370">
        <f t="shared" si="348"/>
        <v>0</v>
      </c>
      <c r="BD370">
        <f t="shared" si="349"/>
        <v>0</v>
      </c>
      <c r="BE370" t="str">
        <f t="array" ref="BE370">IF(AY370=1,INDEX($V$7:$AL$7,MATCH(TRUE,INDEX($V370:$AW370&lt;&gt;0,),0)),IF(AY370=0,INDEX($AM$7:$AW$7,MATCH(1,$AM370:$AW370,0)),IF(BF370="Multiple strategies","mixed drivers",IF(BF370="Supply chain","multiple supply","multiple silviculture"))))</f>
        <v>supply chain organization</v>
      </c>
      <c r="BF370" s="2" t="str" cm="1">
        <f t="array" ref="BF370">IF(COUNTIF(AZ370:BB370,"&lt;&gt;0")=1,INDEX($V$4:$AW$4,MATCH(TRUE,INDEX($V370:$AW370&lt;&gt;0,),0)),IF(COUNTIF(AZ370:BB370,"&lt;&gt;0")=0,INDEX($AM$4:$AW$4,MATCH(1,$AM370:$AW370,0)),"Multiple strategies"))</f>
        <v>Supply chain</v>
      </c>
      <c r="BG370" s="1" t="s">
        <v>229</v>
      </c>
      <c r="BH370" t="s">
        <v>1343</v>
      </c>
      <c r="BI370" s="260" t="s">
        <v>3276</v>
      </c>
      <c r="BJ370" t="s">
        <v>1344</v>
      </c>
      <c r="BK370">
        <v>1.1674521913429727</v>
      </c>
      <c r="BL370">
        <v>1.8900610197538394</v>
      </c>
      <c r="BM370">
        <f t="shared" si="388"/>
        <v>1.6189622442522613</v>
      </c>
      <c r="BN370">
        <f t="shared" si="389"/>
        <v>0.72260882841086671</v>
      </c>
      <c r="BO370">
        <f t="shared" si="390"/>
        <v>722608828.41086674</v>
      </c>
      <c r="BP370" t="s">
        <v>232</v>
      </c>
      <c r="BQ370" s="260" t="s">
        <v>3279</v>
      </c>
      <c r="BR370" t="s">
        <v>1345</v>
      </c>
      <c r="BS370" s="264">
        <v>1.0255972696245701</v>
      </c>
      <c r="BT370" s="264">
        <v>-0.26450511945392402</v>
      </c>
      <c r="BU370" s="144">
        <f t="shared" si="391"/>
        <v>-0.25790349417637265</v>
      </c>
      <c r="BV370">
        <f t="shared" si="375"/>
        <v>-1.2901023890784942</v>
      </c>
      <c r="BW370"/>
      <c r="BX370">
        <f t="shared" si="392"/>
        <v>-1290102389.0784941</v>
      </c>
      <c r="BY370">
        <f t="shared" si="386"/>
        <v>-1.7853399216220995</v>
      </c>
      <c r="BZ370" s="143">
        <v>0</v>
      </c>
      <c r="CA370" s="143">
        <v>0</v>
      </c>
      <c r="CB370" s="143">
        <v>0</v>
      </c>
      <c r="CC370" s="143">
        <v>0</v>
      </c>
      <c r="CD370" s="143">
        <v>0</v>
      </c>
      <c r="CE370" s="143">
        <v>0</v>
      </c>
      <c r="CF370" s="143">
        <v>0</v>
      </c>
      <c r="CG370" s="143">
        <v>0</v>
      </c>
      <c r="CH370" s="143">
        <v>0</v>
      </c>
      <c r="CI370" s="143">
        <v>0</v>
      </c>
      <c r="CJ370" s="143">
        <v>0</v>
      </c>
      <c r="CK370" s="143">
        <v>0</v>
      </c>
      <c r="CL370" s="143">
        <v>0</v>
      </c>
      <c r="CM370">
        <v>0</v>
      </c>
      <c r="CN370" t="str">
        <f t="shared" si="393"/>
        <v>refOK</v>
      </c>
      <c r="CO370">
        <f t="shared" si="394"/>
        <v>1.1674521913429727</v>
      </c>
      <c r="CP370">
        <f t="shared" si="395"/>
        <v>1.8900610197538394</v>
      </c>
      <c r="CQ370">
        <f t="shared" si="396"/>
        <v>722608828.41086674</v>
      </c>
      <c r="CR370">
        <f t="shared" si="377"/>
        <v>1.0255972696245701</v>
      </c>
      <c r="CS370">
        <f t="shared" si="378"/>
        <v>-0.26450511945392402</v>
      </c>
      <c r="CT370">
        <f t="shared" si="360"/>
        <v>-1290102389.0784941</v>
      </c>
      <c r="CU370">
        <f t="shared" si="361"/>
        <v>-1.7853399216220995</v>
      </c>
      <c r="CV370" s="2">
        <f t="shared" si="362"/>
        <v>-1.2579034941763727</v>
      </c>
      <c r="CW370" s="1" t="s">
        <v>1202</v>
      </c>
      <c r="CX370" t="str">
        <f t="shared" si="363"/>
        <v>reg</v>
      </c>
      <c r="CY370" t="s">
        <v>666</v>
      </c>
      <c r="CZ370">
        <v>2010</v>
      </c>
      <c r="DA370">
        <v>2100</v>
      </c>
      <c r="DB370">
        <f t="shared" si="379"/>
        <v>90</v>
      </c>
      <c r="DC370" t="str">
        <f t="shared" si="364"/>
        <v>71-100</v>
      </c>
      <c r="DD370">
        <v>0</v>
      </c>
      <c r="DE370">
        <v>1</v>
      </c>
      <c r="DF370">
        <v>1</v>
      </c>
      <c r="DG370">
        <v>1</v>
      </c>
      <c r="DH370"/>
      <c r="DI370">
        <f t="shared" si="365"/>
        <v>3</v>
      </c>
      <c r="DJ370" t="str">
        <f t="shared" si="366"/>
        <v>mixedProduct</v>
      </c>
      <c r="DK370">
        <f t="shared" si="367"/>
        <v>0</v>
      </c>
      <c r="DL370" t="str">
        <f t="shared" si="368"/>
        <v>Energy</v>
      </c>
      <c r="DM370" t="str">
        <f t="shared" si="369"/>
        <v>Pulp/Paper</v>
      </c>
      <c r="DN370" t="str">
        <f t="shared" si="370"/>
        <v>Timber</v>
      </c>
      <c r="DO370">
        <v>1</v>
      </c>
      <c r="DP370" s="143">
        <v>0</v>
      </c>
      <c r="DQ370" s="143">
        <v>0</v>
      </c>
      <c r="DR370" s="143">
        <v>0</v>
      </c>
      <c r="DS370">
        <v>0</v>
      </c>
      <c r="DT370">
        <f t="shared" si="382"/>
        <v>1</v>
      </c>
      <c r="DU370" s="143" t="str">
        <f t="shared" si="383"/>
        <v>self-calculated DF</v>
      </c>
      <c r="DV370">
        <v>1</v>
      </c>
      <c r="DW370" s="143">
        <v>1</v>
      </c>
      <c r="DX370" s="143">
        <v>1</v>
      </c>
      <c r="DY370" s="143">
        <v>0</v>
      </c>
      <c r="DZ370">
        <v>0</v>
      </c>
      <c r="EA370" s="141">
        <v>0</v>
      </c>
      <c r="EB370">
        <v>0</v>
      </c>
      <c r="EC370" s="143">
        <v>0</v>
      </c>
      <c r="ED370" s="143">
        <v>0</v>
      </c>
      <c r="EE370">
        <v>0</v>
      </c>
      <c r="EF370">
        <v>1</v>
      </c>
      <c r="EG370" s="143">
        <v>0</v>
      </c>
      <c r="EH370" s="143">
        <v>0</v>
      </c>
      <c r="EI370" s="2">
        <v>0</v>
      </c>
      <c r="EJ370" s="1"/>
      <c r="EK370" t="str">
        <f t="shared" si="397"/>
        <v/>
      </c>
      <c r="EL370" t="str">
        <f t="shared" si="398"/>
        <v>Ecosystem approach</v>
      </c>
      <c r="EM370" s="2" t="str">
        <f t="shared" si="387"/>
        <v/>
      </c>
      <c r="EN370" t="s">
        <v>3282</v>
      </c>
      <c r="EO370"/>
      <c r="EP370" t="str">
        <f>IF(ISNUMBER(BU370),IF(ABS(BU370-[5]QC_indicators!$B$2)&gt;3*[5]QC_indicators!$C$2,"C ratio",IF(ISNUMBER(BY370),IF(ABS(BY370-[5]QC_indicators!$B$1)&gt;3*[5]QC_indicators!$C$1,"DF","no"))),IF(ISNUMBER(BY370),IF(ABS(BY370-[5]QC_indicators!$B$1)&gt;3*[5]QC_indicators!$C$1,"DF","no")))</f>
        <v>no</v>
      </c>
      <c r="EQ370"/>
      <c r="ER370"/>
      <c r="ES370"/>
      <c r="ET370" s="264" t="s">
        <v>3272</v>
      </c>
      <c r="EU370"/>
    </row>
    <row r="371" spans="1:151" s="139" customFormat="1" ht="15" hidden="1" customHeight="1">
      <c r="A371" s="1" t="s">
        <v>1285</v>
      </c>
      <c r="B371" t="s">
        <v>1335</v>
      </c>
      <c r="C371" t="s">
        <v>1336</v>
      </c>
      <c r="D371" t="s">
        <v>1337</v>
      </c>
      <c r="E371" t="s">
        <v>1338</v>
      </c>
      <c r="F371" t="s">
        <v>1339</v>
      </c>
      <c r="G371" t="s">
        <v>1291</v>
      </c>
      <c r="H371" t="s">
        <v>254</v>
      </c>
      <c r="I371">
        <v>2016</v>
      </c>
      <c r="J371">
        <v>27</v>
      </c>
      <c r="K371" t="s">
        <v>1340</v>
      </c>
      <c r="L371"/>
      <c r="M371" t="str">
        <f t="shared" si="340"/>
        <v>Braun_2016</v>
      </c>
      <c r="N371" t="s">
        <v>222</v>
      </c>
      <c r="O371" s="145" t="s">
        <v>223</v>
      </c>
      <c r="P371"/>
      <c r="Q371" t="s">
        <v>256</v>
      </c>
      <c r="R371" s="255" t="s">
        <v>225</v>
      </c>
      <c r="S371" s="1" t="s">
        <v>1347</v>
      </c>
      <c r="T371" t="s">
        <v>1342</v>
      </c>
      <c r="U371" t="s">
        <v>1349</v>
      </c>
      <c r="V371">
        <v>0</v>
      </c>
      <c r="W371">
        <v>0</v>
      </c>
      <c r="X371">
        <v>0</v>
      </c>
      <c r="Y371">
        <v>0</v>
      </c>
      <c r="Z371">
        <v>0</v>
      </c>
      <c r="AA371">
        <v>0</v>
      </c>
      <c r="AB371">
        <v>0</v>
      </c>
      <c r="AC371">
        <v>0</v>
      </c>
      <c r="AD371">
        <v>0</v>
      </c>
      <c r="AE371">
        <v>0</v>
      </c>
      <c r="AF371">
        <v>1</v>
      </c>
      <c r="AG371">
        <v>0</v>
      </c>
      <c r="AH371">
        <v>0</v>
      </c>
      <c r="AI371">
        <v>0</v>
      </c>
      <c r="AJ371">
        <v>0</v>
      </c>
      <c r="AK371">
        <v>0</v>
      </c>
      <c r="AL371">
        <v>0</v>
      </c>
      <c r="AM371">
        <v>0</v>
      </c>
      <c r="AN371">
        <v>0</v>
      </c>
      <c r="AO371">
        <v>0</v>
      </c>
      <c r="AP371">
        <v>0</v>
      </c>
      <c r="AQ371">
        <v>0</v>
      </c>
      <c r="AR371">
        <v>0</v>
      </c>
      <c r="AS371">
        <v>0</v>
      </c>
      <c r="AT371">
        <v>0</v>
      </c>
      <c r="AU371">
        <v>0</v>
      </c>
      <c r="AV371">
        <v>0</v>
      </c>
      <c r="AW371">
        <v>0</v>
      </c>
      <c r="AX371" s="141">
        <f t="shared" si="343"/>
        <v>1</v>
      </c>
      <c r="AY371" s="141">
        <f t="shared" si="344"/>
        <v>1</v>
      </c>
      <c r="AZ371">
        <f t="shared" si="345"/>
        <v>0</v>
      </c>
      <c r="BA371">
        <f t="shared" si="346"/>
        <v>1</v>
      </c>
      <c r="BB371">
        <f t="shared" si="347"/>
        <v>0</v>
      </c>
      <c r="BC371">
        <f t="shared" si="348"/>
        <v>0</v>
      </c>
      <c r="BD371">
        <f t="shared" si="349"/>
        <v>0</v>
      </c>
      <c r="BE371" t="str">
        <f t="array" ref="BE371">IF(AY371=1,INDEX($V$7:$AL$7,MATCH(TRUE,INDEX($V371:$AW371&lt;&gt;0,),0)),IF(AY371=0,INDEX($AM$7:$AW$7,MATCH(1,$AM371:$AW371,0)),IF(BF371="Multiple strategies","mixed drivers",IF(BF371="Supply chain","multiple supply","multiple silviculture"))))</f>
        <v>supply chain organization</v>
      </c>
      <c r="BF371" s="2" t="str" cm="1">
        <f t="array" ref="BF371">IF(COUNTIF(AZ371:BB371,"&lt;&gt;0")=1,INDEX($V$4:$AW$4,MATCH(TRUE,INDEX($V371:$AW371&lt;&gt;0,),0)),IF(COUNTIF(AZ371:BB371,"&lt;&gt;0")=0,INDEX($AM$4:$AW$4,MATCH(1,$AM371:$AW371,0)),"Multiple strategies"))</f>
        <v>Supply chain</v>
      </c>
      <c r="BG371" s="1" t="s">
        <v>229</v>
      </c>
      <c r="BH371" t="s">
        <v>1343</v>
      </c>
      <c r="BI371" s="260" t="s">
        <v>3276</v>
      </c>
      <c r="BJ371" t="s">
        <v>1344</v>
      </c>
      <c r="BK371">
        <v>1.1674521913429727</v>
      </c>
      <c r="BL371">
        <v>1.8344709897610794</v>
      </c>
      <c r="BM371">
        <f t="shared" si="388"/>
        <v>1.5713457076566064</v>
      </c>
      <c r="BN371">
        <f t="shared" si="389"/>
        <v>0.66701879841810663</v>
      </c>
      <c r="BO371">
        <f t="shared" si="390"/>
        <v>667018798.41810668</v>
      </c>
      <c r="BP371" t="s">
        <v>232</v>
      </c>
      <c r="BQ371" s="260" t="s">
        <v>3280</v>
      </c>
      <c r="BR371" t="s">
        <v>1345</v>
      </c>
      <c r="BS371" s="264">
        <v>1.2013651877133071</v>
      </c>
      <c r="BT371" s="264">
        <v>1.3651877133106005E-2</v>
      </c>
      <c r="BU371" s="144">
        <f t="shared" si="391"/>
        <v>1.1363636363636565E-2</v>
      </c>
      <c r="BV371">
        <f t="shared" si="375"/>
        <v>-1.1877133105802011</v>
      </c>
      <c r="BW371"/>
      <c r="BX371">
        <f t="shared" si="392"/>
        <v>-1187713310.5802011</v>
      </c>
      <c r="BY371">
        <f t="shared" si="386"/>
        <v>-1.7806294416243844</v>
      </c>
      <c r="BZ371" s="143">
        <v>0</v>
      </c>
      <c r="CA371" s="143">
        <v>0</v>
      </c>
      <c r="CB371" s="143">
        <v>0</v>
      </c>
      <c r="CC371" s="143">
        <v>0</v>
      </c>
      <c r="CD371" s="143">
        <v>0</v>
      </c>
      <c r="CE371" s="143">
        <v>0</v>
      </c>
      <c r="CF371" s="143">
        <v>0</v>
      </c>
      <c r="CG371" s="143">
        <v>0</v>
      </c>
      <c r="CH371" s="143">
        <v>0</v>
      </c>
      <c r="CI371" s="143">
        <v>0</v>
      </c>
      <c r="CJ371" s="143">
        <v>0</v>
      </c>
      <c r="CK371" s="143">
        <v>0</v>
      </c>
      <c r="CL371" s="143">
        <v>0</v>
      </c>
      <c r="CM371">
        <v>0</v>
      </c>
      <c r="CN371" t="str">
        <f t="shared" si="393"/>
        <v>refOK</v>
      </c>
      <c r="CO371">
        <f t="shared" si="394"/>
        <v>1.1674521913429727</v>
      </c>
      <c r="CP371">
        <f t="shared" si="395"/>
        <v>1.8344709897610794</v>
      </c>
      <c r="CQ371">
        <f t="shared" si="396"/>
        <v>667018798.41810668</v>
      </c>
      <c r="CR371">
        <f t="shared" si="377"/>
        <v>1.2013651877133071</v>
      </c>
      <c r="CS371">
        <f t="shared" si="378"/>
        <v>1.3651877133106005E-2</v>
      </c>
      <c r="CT371">
        <f t="shared" si="360"/>
        <v>-1187713310.5802011</v>
      </c>
      <c r="CU371">
        <f t="shared" si="361"/>
        <v>-1.7806294416243844</v>
      </c>
      <c r="CV371" s="2">
        <f t="shared" si="362"/>
        <v>-0.98863636363636342</v>
      </c>
      <c r="CW371" s="1" t="s">
        <v>1202</v>
      </c>
      <c r="CX371" t="str">
        <f t="shared" si="363"/>
        <v>reg</v>
      </c>
      <c r="CY371" t="s">
        <v>666</v>
      </c>
      <c r="CZ371">
        <v>2010</v>
      </c>
      <c r="DA371">
        <v>2100</v>
      </c>
      <c r="DB371">
        <f t="shared" si="379"/>
        <v>90</v>
      </c>
      <c r="DC371" t="str">
        <f t="shared" si="364"/>
        <v>71-100</v>
      </c>
      <c r="DD371">
        <v>0</v>
      </c>
      <c r="DE371">
        <v>1</v>
      </c>
      <c r="DF371">
        <v>1</v>
      </c>
      <c r="DG371">
        <v>1</v>
      </c>
      <c r="DH371"/>
      <c r="DI371">
        <f t="shared" si="365"/>
        <v>3</v>
      </c>
      <c r="DJ371" t="str">
        <f t="shared" si="366"/>
        <v>mixedProduct</v>
      </c>
      <c r="DK371">
        <f t="shared" si="367"/>
        <v>0</v>
      </c>
      <c r="DL371" t="str">
        <f t="shared" si="368"/>
        <v>Energy</v>
      </c>
      <c r="DM371" t="str">
        <f t="shared" si="369"/>
        <v>Pulp/Paper</v>
      </c>
      <c r="DN371" t="str">
        <f t="shared" si="370"/>
        <v>Timber</v>
      </c>
      <c r="DO371">
        <v>1</v>
      </c>
      <c r="DP371" s="143">
        <v>0</v>
      </c>
      <c r="DQ371" s="143">
        <v>0</v>
      </c>
      <c r="DR371" s="143">
        <v>0</v>
      </c>
      <c r="DS371">
        <v>0</v>
      </c>
      <c r="DT371">
        <f t="shared" si="382"/>
        <v>1</v>
      </c>
      <c r="DU371" s="143" t="str">
        <f t="shared" si="383"/>
        <v>self-calculated DF</v>
      </c>
      <c r="DV371">
        <v>1</v>
      </c>
      <c r="DW371" s="143">
        <v>1</v>
      </c>
      <c r="DX371" s="143">
        <v>1</v>
      </c>
      <c r="DY371" s="143">
        <v>1</v>
      </c>
      <c r="DZ371">
        <v>1</v>
      </c>
      <c r="EA371" s="141">
        <v>0</v>
      </c>
      <c r="EB371">
        <v>0</v>
      </c>
      <c r="EC371" s="143">
        <v>0</v>
      </c>
      <c r="ED371" s="143">
        <v>0</v>
      </c>
      <c r="EE371">
        <v>0</v>
      </c>
      <c r="EF371">
        <v>1</v>
      </c>
      <c r="EG371" s="143">
        <v>0</v>
      </c>
      <c r="EH371" s="143">
        <v>0</v>
      </c>
      <c r="EI371" s="2">
        <v>0</v>
      </c>
      <c r="EJ371" s="1"/>
      <c r="EK371" t="str">
        <f t="shared" si="397"/>
        <v/>
      </c>
      <c r="EL371" t="str">
        <f t="shared" si="398"/>
        <v>Ecosystem approach</v>
      </c>
      <c r="EM371" s="2" t="str">
        <f t="shared" si="387"/>
        <v/>
      </c>
      <c r="EN371" t="s">
        <v>3282</v>
      </c>
      <c r="EO371"/>
      <c r="EP371" t="str">
        <f>IF(ISNUMBER(BU371),IF(ABS(BU371-[5]QC_indicators!$B$2)&gt;3*[5]QC_indicators!$C$2,"C ratio",IF(ISNUMBER(BY371),IF(ABS(BY371-[5]QC_indicators!$B$1)&gt;3*[5]QC_indicators!$C$1,"DF","no"))),IF(ISNUMBER(BY371),IF(ABS(BY371-[5]QC_indicators!$B$1)&gt;3*[5]QC_indicators!$C$1,"DF","no")))</f>
        <v>no</v>
      </c>
      <c r="EQ371"/>
      <c r="ER371"/>
      <c r="ES371"/>
      <c r="ET371" s="264" t="s">
        <v>3272</v>
      </c>
      <c r="EU371"/>
    </row>
    <row r="372" spans="1:151" s="139" customFormat="1" ht="15" hidden="1" customHeight="1">
      <c r="A372" s="1" t="s">
        <v>1285</v>
      </c>
      <c r="B372" t="s">
        <v>1335</v>
      </c>
      <c r="C372" t="s">
        <v>1336</v>
      </c>
      <c r="D372" t="s">
        <v>1337</v>
      </c>
      <c r="E372" t="s">
        <v>1338</v>
      </c>
      <c r="F372" t="s">
        <v>1339</v>
      </c>
      <c r="G372" t="s">
        <v>1291</v>
      </c>
      <c r="H372" t="s">
        <v>254</v>
      </c>
      <c r="I372">
        <v>2016</v>
      </c>
      <c r="J372">
        <v>27</v>
      </c>
      <c r="K372" t="s">
        <v>1340</v>
      </c>
      <c r="L372"/>
      <c r="M372" t="str">
        <f t="shared" si="340"/>
        <v>Braun_2016</v>
      </c>
      <c r="N372" t="s">
        <v>222</v>
      </c>
      <c r="O372" s="145" t="s">
        <v>223</v>
      </c>
      <c r="P372"/>
      <c r="Q372" t="s">
        <v>256</v>
      </c>
      <c r="R372" s="255" t="s">
        <v>225</v>
      </c>
      <c r="S372" s="1" t="s">
        <v>1347</v>
      </c>
      <c r="T372" t="s">
        <v>1342</v>
      </c>
      <c r="U372" t="s">
        <v>1350</v>
      </c>
      <c r="V372">
        <v>0</v>
      </c>
      <c r="W372">
        <v>0</v>
      </c>
      <c r="X372">
        <v>0</v>
      </c>
      <c r="Y372">
        <v>0</v>
      </c>
      <c r="Z372">
        <v>0</v>
      </c>
      <c r="AA372">
        <v>0</v>
      </c>
      <c r="AB372">
        <v>0</v>
      </c>
      <c r="AC372">
        <v>0</v>
      </c>
      <c r="AD372">
        <v>0</v>
      </c>
      <c r="AE372">
        <v>0</v>
      </c>
      <c r="AF372">
        <v>1</v>
      </c>
      <c r="AG372">
        <v>0</v>
      </c>
      <c r="AH372">
        <v>0</v>
      </c>
      <c r="AI372">
        <v>0</v>
      </c>
      <c r="AJ372">
        <v>0</v>
      </c>
      <c r="AK372">
        <v>0</v>
      </c>
      <c r="AL372">
        <v>0</v>
      </c>
      <c r="AM372">
        <v>0</v>
      </c>
      <c r="AN372">
        <v>0</v>
      </c>
      <c r="AO372">
        <v>0</v>
      </c>
      <c r="AP372">
        <v>0</v>
      </c>
      <c r="AQ372">
        <v>0</v>
      </c>
      <c r="AR372">
        <v>0</v>
      </c>
      <c r="AS372">
        <v>0</v>
      </c>
      <c r="AT372">
        <v>0</v>
      </c>
      <c r="AU372">
        <v>0</v>
      </c>
      <c r="AV372">
        <v>0</v>
      </c>
      <c r="AW372">
        <v>0</v>
      </c>
      <c r="AX372" s="141">
        <f t="shared" si="343"/>
        <v>1</v>
      </c>
      <c r="AY372" s="141">
        <f t="shared" si="344"/>
        <v>1</v>
      </c>
      <c r="AZ372">
        <f t="shared" si="345"/>
        <v>0</v>
      </c>
      <c r="BA372">
        <f t="shared" si="346"/>
        <v>1</v>
      </c>
      <c r="BB372">
        <f t="shared" si="347"/>
        <v>0</v>
      </c>
      <c r="BC372">
        <f t="shared" si="348"/>
        <v>0</v>
      </c>
      <c r="BD372">
        <f t="shared" si="349"/>
        <v>0</v>
      </c>
      <c r="BE372" t="str">
        <f t="array" ref="BE372">IF(AY372=1,INDEX($V$7:$AL$7,MATCH(TRUE,INDEX($V372:$AW372&lt;&gt;0,),0)),IF(AY372=0,INDEX($AM$7:$AW$7,MATCH(1,$AM372:$AW372,0)),IF(BF372="Multiple strategies","mixed drivers",IF(BF372="Supply chain","multiple supply","multiple silviculture"))))</f>
        <v>supply chain organization</v>
      </c>
      <c r="BF372" s="2" t="str" cm="1">
        <f t="array" ref="BF372">IF(COUNTIF(AZ372:BB372,"&lt;&gt;0")=1,INDEX($V$4:$AW$4,MATCH(TRUE,INDEX($V372:$AW372&lt;&gt;0,),0)),IF(COUNTIF(AZ372:BB372,"&lt;&gt;0")=0,INDEX($AM$4:$AW$4,MATCH(1,$AM372:$AW372,0)),"Multiple strategies"))</f>
        <v>Supply chain</v>
      </c>
      <c r="BG372" s="1" t="s">
        <v>229</v>
      </c>
      <c r="BH372" t="s">
        <v>1343</v>
      </c>
      <c r="BI372" s="260" t="s">
        <v>3276</v>
      </c>
      <c r="BJ372" t="s">
        <v>1344</v>
      </c>
      <c r="BK372">
        <v>1.1674521913429727</v>
      </c>
      <c r="BL372">
        <v>1.8900610197538394</v>
      </c>
      <c r="BM372">
        <f t="shared" si="388"/>
        <v>1.6189622442522613</v>
      </c>
      <c r="BN372">
        <f t="shared" si="389"/>
        <v>0.72260882841086671</v>
      </c>
      <c r="BO372">
        <f t="shared" si="390"/>
        <v>722608828.41086674</v>
      </c>
      <c r="BP372" t="s">
        <v>232</v>
      </c>
      <c r="BQ372" s="260" t="s">
        <v>3280</v>
      </c>
      <c r="BR372" t="s">
        <v>1345</v>
      </c>
      <c r="BS372" s="264">
        <v>1.2013651877133071</v>
      </c>
      <c r="BT372" s="264">
        <v>2.3890784982935953E-2</v>
      </c>
      <c r="BU372" s="144">
        <f t="shared" si="391"/>
        <v>1.9886363636364358E-2</v>
      </c>
      <c r="BV372">
        <f t="shared" si="375"/>
        <v>-1.1774744027303712</v>
      </c>
      <c r="BW372"/>
      <c r="BX372">
        <f t="shared" si="392"/>
        <v>-1177474402.7303712</v>
      </c>
      <c r="BY372">
        <f t="shared" si="386"/>
        <v>-1.6294769125915984</v>
      </c>
      <c r="BZ372" s="143">
        <v>0</v>
      </c>
      <c r="CA372" s="143">
        <v>0</v>
      </c>
      <c r="CB372" s="143">
        <v>0</v>
      </c>
      <c r="CC372" s="143">
        <v>0</v>
      </c>
      <c r="CD372" s="143">
        <v>0</v>
      </c>
      <c r="CE372" s="143">
        <v>0</v>
      </c>
      <c r="CF372" s="143">
        <v>0</v>
      </c>
      <c r="CG372" s="143">
        <v>0</v>
      </c>
      <c r="CH372" s="143">
        <v>0</v>
      </c>
      <c r="CI372" s="143">
        <v>0</v>
      </c>
      <c r="CJ372" s="143">
        <v>0</v>
      </c>
      <c r="CK372" s="143">
        <v>0</v>
      </c>
      <c r="CL372" s="143">
        <v>0</v>
      </c>
      <c r="CM372">
        <v>0</v>
      </c>
      <c r="CN372" t="str">
        <f t="shared" si="393"/>
        <v>refOK</v>
      </c>
      <c r="CO372">
        <f t="shared" si="394"/>
        <v>1.1674521913429727</v>
      </c>
      <c r="CP372">
        <f t="shared" si="395"/>
        <v>1.8900610197538394</v>
      </c>
      <c r="CQ372">
        <f t="shared" si="396"/>
        <v>722608828.41086674</v>
      </c>
      <c r="CR372">
        <f t="shared" si="377"/>
        <v>1.2013651877133071</v>
      </c>
      <c r="CS372">
        <f t="shared" si="378"/>
        <v>2.3890784982935953E-2</v>
      </c>
      <c r="CT372">
        <f t="shared" si="360"/>
        <v>-1177474402.7303712</v>
      </c>
      <c r="CU372">
        <f t="shared" si="361"/>
        <v>-1.6294769125915984</v>
      </c>
      <c r="CV372" s="2">
        <f t="shared" si="362"/>
        <v>-0.98011363636363569</v>
      </c>
      <c r="CW372" s="1" t="s">
        <v>1202</v>
      </c>
      <c r="CX372" t="str">
        <f t="shared" si="363"/>
        <v>reg</v>
      </c>
      <c r="CY372" t="s">
        <v>666</v>
      </c>
      <c r="CZ372">
        <v>2010</v>
      </c>
      <c r="DA372">
        <v>2100</v>
      </c>
      <c r="DB372">
        <f t="shared" si="379"/>
        <v>90</v>
      </c>
      <c r="DC372" t="str">
        <f t="shared" si="364"/>
        <v>71-100</v>
      </c>
      <c r="DD372">
        <v>0</v>
      </c>
      <c r="DE372">
        <v>1</v>
      </c>
      <c r="DF372">
        <v>1</v>
      </c>
      <c r="DG372">
        <v>1</v>
      </c>
      <c r="DH372"/>
      <c r="DI372">
        <f t="shared" si="365"/>
        <v>3</v>
      </c>
      <c r="DJ372" t="str">
        <f t="shared" si="366"/>
        <v>mixedProduct</v>
      </c>
      <c r="DK372">
        <f t="shared" si="367"/>
        <v>0</v>
      </c>
      <c r="DL372" t="str">
        <f t="shared" si="368"/>
        <v>Energy</v>
      </c>
      <c r="DM372" t="str">
        <f t="shared" si="369"/>
        <v>Pulp/Paper</v>
      </c>
      <c r="DN372" t="str">
        <f t="shared" si="370"/>
        <v>Timber</v>
      </c>
      <c r="DO372">
        <v>1</v>
      </c>
      <c r="DP372" s="143">
        <v>0</v>
      </c>
      <c r="DQ372" s="143">
        <v>0</v>
      </c>
      <c r="DR372" s="143">
        <v>0</v>
      </c>
      <c r="DS372">
        <v>0</v>
      </c>
      <c r="DT372">
        <f t="shared" si="382"/>
        <v>1</v>
      </c>
      <c r="DU372" s="143" t="str">
        <f t="shared" si="383"/>
        <v>self-calculated DF</v>
      </c>
      <c r="DV372">
        <v>1</v>
      </c>
      <c r="DW372" s="143">
        <v>1</v>
      </c>
      <c r="DX372" s="143">
        <v>1</v>
      </c>
      <c r="DY372" s="143">
        <v>1</v>
      </c>
      <c r="DZ372">
        <v>1</v>
      </c>
      <c r="EA372" s="141">
        <v>0</v>
      </c>
      <c r="EB372">
        <v>0</v>
      </c>
      <c r="EC372" s="143">
        <v>0</v>
      </c>
      <c r="ED372" s="143">
        <v>0</v>
      </c>
      <c r="EE372">
        <v>0</v>
      </c>
      <c r="EF372">
        <v>1</v>
      </c>
      <c r="EG372" s="143">
        <v>0</v>
      </c>
      <c r="EH372" s="143">
        <v>0</v>
      </c>
      <c r="EI372" s="2">
        <v>0</v>
      </c>
      <c r="EJ372" s="1"/>
      <c r="EK372" t="str">
        <f t="shared" si="397"/>
        <v/>
      </c>
      <c r="EL372" t="str">
        <f t="shared" si="398"/>
        <v>Ecosystem approach</v>
      </c>
      <c r="EM372" s="2" t="str">
        <f t="shared" si="387"/>
        <v/>
      </c>
      <c r="EN372" t="s">
        <v>3282</v>
      </c>
      <c r="EO372"/>
      <c r="EP372" t="str">
        <f>IF(ISNUMBER(BU372),IF(ABS(BU372-[5]QC_indicators!$B$2)&gt;3*[5]QC_indicators!$C$2,"C ratio",IF(ISNUMBER(BY372),IF(ABS(BY372-[5]QC_indicators!$B$1)&gt;3*[5]QC_indicators!$C$1,"DF","no"))),IF(ISNUMBER(BY372),IF(ABS(BY372-[5]QC_indicators!$B$1)&gt;3*[5]QC_indicators!$C$1,"DF","no")))</f>
        <v>no</v>
      </c>
      <c r="EQ372"/>
      <c r="ER372"/>
      <c r="ES372"/>
      <c r="ET372" s="264" t="s">
        <v>3272</v>
      </c>
      <c r="EU372"/>
    </row>
    <row r="373" spans="1:151" s="139" customFormat="1" ht="15" hidden="1" customHeight="1">
      <c r="A373" s="1" t="s">
        <v>1285</v>
      </c>
      <c r="B373" t="s">
        <v>1335</v>
      </c>
      <c r="C373" t="s">
        <v>1336</v>
      </c>
      <c r="D373" t="s">
        <v>1337</v>
      </c>
      <c r="E373" t="s">
        <v>1338</v>
      </c>
      <c r="F373" t="s">
        <v>1339</v>
      </c>
      <c r="G373" t="s">
        <v>1291</v>
      </c>
      <c r="H373" t="s">
        <v>254</v>
      </c>
      <c r="I373">
        <v>2016</v>
      </c>
      <c r="J373">
        <v>27</v>
      </c>
      <c r="K373" t="s">
        <v>1340</v>
      </c>
      <c r="L373"/>
      <c r="M373" t="str">
        <f t="shared" si="340"/>
        <v>Braun_2016</v>
      </c>
      <c r="N373" t="s">
        <v>222</v>
      </c>
      <c r="O373" s="145" t="s">
        <v>223</v>
      </c>
      <c r="P373"/>
      <c r="Q373" t="s">
        <v>256</v>
      </c>
      <c r="R373" s="255" t="s">
        <v>225</v>
      </c>
      <c r="S373" s="1" t="s">
        <v>1341</v>
      </c>
      <c r="T373" t="s">
        <v>1342</v>
      </c>
      <c r="U373" t="s">
        <v>1042</v>
      </c>
      <c r="V373">
        <v>1</v>
      </c>
      <c r="W373">
        <v>0</v>
      </c>
      <c r="X373">
        <v>0</v>
      </c>
      <c r="Y373">
        <v>0</v>
      </c>
      <c r="Z373">
        <v>0</v>
      </c>
      <c r="AA373">
        <v>0</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s="141">
        <f t="shared" si="343"/>
        <v>1</v>
      </c>
      <c r="AY373" s="141">
        <f t="shared" si="344"/>
        <v>1</v>
      </c>
      <c r="AZ373">
        <f t="shared" si="345"/>
        <v>1</v>
      </c>
      <c r="BA373">
        <f t="shared" si="346"/>
        <v>0</v>
      </c>
      <c r="BB373">
        <f t="shared" si="347"/>
        <v>0</v>
      </c>
      <c r="BC373">
        <f t="shared" si="348"/>
        <v>0</v>
      </c>
      <c r="BD373">
        <f t="shared" si="349"/>
        <v>0</v>
      </c>
      <c r="BE373" t="str">
        <f t="array" ref="BE373">IF(AY373=1,INDEX($V$7:$AL$7,MATCH(TRUE,INDEX($V373:$AW373&lt;&gt;0,),0)),IF(AY373=0,INDEX($AM$7:$AW$7,MATCH(1,$AM373:$AW373,0)),IF(BF373="Multiple strategies","mixed drivers",IF(BF373="Supply chain","multiple supply","multiple silviculture"))))</f>
        <v>area subject to harvest</v>
      </c>
      <c r="BF373" s="2" t="str" cm="1">
        <f t="array" ref="BF373">IF(COUNTIF(AZ373:BB373,"&lt;&gt;0")=1,INDEX($V$4:$AW$4,MATCH(TRUE,INDEX($V373:$AW373&lt;&gt;0,),0)),IF(COUNTIF(AZ373:BB373,"&lt;&gt;0")=0,INDEX($AM$4:$AW$4,MATCH(1,$AM373:$AW373,0)),"Multiple strategies"))</f>
        <v>Silviculture for removals</v>
      </c>
      <c r="BG373" s="1" t="s">
        <v>229</v>
      </c>
      <c r="BH373" t="s">
        <v>1343</v>
      </c>
      <c r="BI373" s="260" t="s">
        <v>3276</v>
      </c>
      <c r="BJ373" t="s">
        <v>1344</v>
      </c>
      <c r="BK373">
        <v>1.1674521913429727</v>
      </c>
      <c r="BL373">
        <v>1.8051407849829213</v>
      </c>
      <c r="BM373">
        <f t="shared" si="388"/>
        <v>1.5462224477958166</v>
      </c>
      <c r="BN373">
        <f t="shared" si="389"/>
        <v>0.63768859363994856</v>
      </c>
      <c r="BO373">
        <f t="shared" si="390"/>
        <v>637688593.63994861</v>
      </c>
      <c r="BP373" t="s">
        <v>232</v>
      </c>
      <c r="BQ373" s="260" t="s">
        <v>3279</v>
      </c>
      <c r="BR373" t="s">
        <v>1345</v>
      </c>
      <c r="BS373" s="264">
        <v>1.0255972696245701</v>
      </c>
      <c r="BT373" s="264">
        <v>2.21843003412973E-2</v>
      </c>
      <c r="BU373" s="144">
        <f t="shared" si="391"/>
        <v>2.1630615640599433E-2</v>
      </c>
      <c r="BV373">
        <f t="shared" si="375"/>
        <v>-1.0034129692832727</v>
      </c>
      <c r="BW373"/>
      <c r="BX373">
        <f t="shared" si="392"/>
        <v>-1003412969.2832727</v>
      </c>
      <c r="BY373">
        <f t="shared" si="386"/>
        <v>-1.5735156301851922</v>
      </c>
      <c r="BZ373" s="143">
        <v>0</v>
      </c>
      <c r="CA373" s="143">
        <v>0</v>
      </c>
      <c r="CB373" s="143">
        <v>0</v>
      </c>
      <c r="CC373" s="143">
        <v>0</v>
      </c>
      <c r="CD373" s="143">
        <v>0</v>
      </c>
      <c r="CE373" s="143">
        <v>0</v>
      </c>
      <c r="CF373" s="143">
        <v>0</v>
      </c>
      <c r="CG373" s="143">
        <v>0</v>
      </c>
      <c r="CH373" s="143">
        <v>0</v>
      </c>
      <c r="CI373" s="143">
        <v>0</v>
      </c>
      <c r="CJ373" s="143">
        <v>0</v>
      </c>
      <c r="CK373" s="143">
        <v>0</v>
      </c>
      <c r="CL373" s="143">
        <v>0</v>
      </c>
      <c r="CM373">
        <v>0</v>
      </c>
      <c r="CN373" t="str">
        <f t="shared" si="393"/>
        <v>refOK</v>
      </c>
      <c r="CO373">
        <f t="shared" si="394"/>
        <v>1.1674521913429727</v>
      </c>
      <c r="CP373">
        <f t="shared" si="395"/>
        <v>1.8051407849829213</v>
      </c>
      <c r="CQ373">
        <f t="shared" si="396"/>
        <v>637688593.63994861</v>
      </c>
      <c r="CR373">
        <f t="shared" si="377"/>
        <v>1.0255972696245701</v>
      </c>
      <c r="CS373">
        <f t="shared" si="378"/>
        <v>2.21843003412973E-2</v>
      </c>
      <c r="CT373">
        <f t="shared" si="360"/>
        <v>-1003412969.2832727</v>
      </c>
      <c r="CU373">
        <f t="shared" si="361"/>
        <v>-1.5735156301851922</v>
      </c>
      <c r="CV373" s="2">
        <f t="shared" si="362"/>
        <v>-0.97836938435940046</v>
      </c>
      <c r="CW373" s="1" t="s">
        <v>1202</v>
      </c>
      <c r="CX373" t="str">
        <f t="shared" si="363"/>
        <v>reg</v>
      </c>
      <c r="CY373" t="s">
        <v>666</v>
      </c>
      <c r="CZ373">
        <v>2010</v>
      </c>
      <c r="DA373">
        <v>2100</v>
      </c>
      <c r="DB373">
        <f t="shared" si="379"/>
        <v>90</v>
      </c>
      <c r="DC373" t="str">
        <f t="shared" si="364"/>
        <v>71-100</v>
      </c>
      <c r="DD373">
        <v>0</v>
      </c>
      <c r="DE373">
        <v>1</v>
      </c>
      <c r="DF373">
        <v>1</v>
      </c>
      <c r="DG373">
        <v>1</v>
      </c>
      <c r="DH373"/>
      <c r="DI373">
        <f t="shared" si="365"/>
        <v>3</v>
      </c>
      <c r="DJ373" t="str">
        <f t="shared" si="366"/>
        <v>mixedProduct</v>
      </c>
      <c r="DK373">
        <f t="shared" si="367"/>
        <v>0</v>
      </c>
      <c r="DL373" t="str">
        <f t="shared" si="368"/>
        <v>Energy</v>
      </c>
      <c r="DM373" t="str">
        <f t="shared" si="369"/>
        <v>Pulp/Paper</v>
      </c>
      <c r="DN373" t="str">
        <f t="shared" si="370"/>
        <v>Timber</v>
      </c>
      <c r="DO373">
        <v>1</v>
      </c>
      <c r="DP373" s="143">
        <v>0</v>
      </c>
      <c r="DQ373" s="143">
        <v>0</v>
      </c>
      <c r="DR373" s="143">
        <v>0</v>
      </c>
      <c r="DS373">
        <v>0</v>
      </c>
      <c r="DT373">
        <f t="shared" si="382"/>
        <v>1</v>
      </c>
      <c r="DU373" s="143" t="str">
        <f t="shared" si="383"/>
        <v>self-calculated DF</v>
      </c>
      <c r="DV373">
        <v>1</v>
      </c>
      <c r="DW373" s="143">
        <v>1</v>
      </c>
      <c r="DX373" s="143">
        <v>1</v>
      </c>
      <c r="DY373" s="143">
        <v>0</v>
      </c>
      <c r="DZ373">
        <v>0</v>
      </c>
      <c r="EA373" s="141">
        <v>0</v>
      </c>
      <c r="EB373">
        <v>0</v>
      </c>
      <c r="EC373" s="143">
        <v>0</v>
      </c>
      <c r="ED373" s="143">
        <v>0</v>
      </c>
      <c r="EE373">
        <v>0</v>
      </c>
      <c r="EF373">
        <v>1</v>
      </c>
      <c r="EG373" s="143">
        <v>0</v>
      </c>
      <c r="EH373" s="143">
        <v>0</v>
      </c>
      <c r="EI373" s="2">
        <v>0</v>
      </c>
      <c r="EJ373" s="1"/>
      <c r="EK373" t="str">
        <f t="shared" si="397"/>
        <v/>
      </c>
      <c r="EL373" t="str">
        <f t="shared" si="398"/>
        <v>Ecosystem approach</v>
      </c>
      <c r="EM373" s="2" t="str">
        <f t="shared" si="387"/>
        <v/>
      </c>
      <c r="EN373" s="264" t="s">
        <v>3278</v>
      </c>
      <c r="EO373"/>
      <c r="EP373" t="str">
        <f>IF(ISNUMBER(BU373),IF(ABS(BU373-[5]QC_indicators!$B$2)&gt;3*[5]QC_indicators!$C$2,"C ratio",IF(ISNUMBER(BY373),IF(ABS(BY373-[5]QC_indicators!$B$1)&gt;3*[5]QC_indicators!$C$1,"DF","no"))),IF(ISNUMBER(BY373),IF(ABS(BY373-[5]QC_indicators!$B$1)&gt;3*[5]QC_indicators!$C$1,"DF","no")))</f>
        <v>no</v>
      </c>
      <c r="EQ373" t="s">
        <v>1346</v>
      </c>
      <c r="ER373"/>
      <c r="ES373"/>
      <c r="ET373" s="264" t="s">
        <v>3272</v>
      </c>
      <c r="EU373"/>
    </row>
    <row r="374" spans="1:151" s="139" customFormat="1" ht="15" hidden="1" customHeight="1">
      <c r="A374" s="1" t="s">
        <v>1285</v>
      </c>
      <c r="B374" t="s">
        <v>1335</v>
      </c>
      <c r="C374" t="s">
        <v>1336</v>
      </c>
      <c r="D374" t="s">
        <v>1337</v>
      </c>
      <c r="E374" t="s">
        <v>1338</v>
      </c>
      <c r="F374" t="s">
        <v>1339</v>
      </c>
      <c r="G374" t="s">
        <v>1291</v>
      </c>
      <c r="H374" t="s">
        <v>254</v>
      </c>
      <c r="I374">
        <v>2016</v>
      </c>
      <c r="J374">
        <v>27</v>
      </c>
      <c r="K374" t="s">
        <v>1340</v>
      </c>
      <c r="L374"/>
      <c r="M374" t="str">
        <f t="shared" si="340"/>
        <v>Braun_2016</v>
      </c>
      <c r="N374" t="s">
        <v>222</v>
      </c>
      <c r="O374" s="145" t="s">
        <v>223</v>
      </c>
      <c r="P374"/>
      <c r="Q374" t="s">
        <v>256</v>
      </c>
      <c r="R374" s="255" t="s">
        <v>225</v>
      </c>
      <c r="S374" s="1" t="s">
        <v>1347</v>
      </c>
      <c r="T374" t="s">
        <v>1342</v>
      </c>
      <c r="U374" t="s">
        <v>1348</v>
      </c>
      <c r="V374">
        <v>0</v>
      </c>
      <c r="W374">
        <v>0</v>
      </c>
      <c r="X374">
        <v>0</v>
      </c>
      <c r="Y374">
        <v>1</v>
      </c>
      <c r="Z374">
        <v>0</v>
      </c>
      <c r="AA374">
        <v>0</v>
      </c>
      <c r="AB374">
        <v>0</v>
      </c>
      <c r="AC374">
        <v>0</v>
      </c>
      <c r="AD374">
        <v>0</v>
      </c>
      <c r="AE374">
        <v>0</v>
      </c>
      <c r="AF374">
        <v>2</v>
      </c>
      <c r="AG374">
        <v>0</v>
      </c>
      <c r="AH374">
        <v>0</v>
      </c>
      <c r="AI374">
        <v>0</v>
      </c>
      <c r="AJ374">
        <v>0</v>
      </c>
      <c r="AK374">
        <v>0</v>
      </c>
      <c r="AL374">
        <v>0</v>
      </c>
      <c r="AM374">
        <v>0</v>
      </c>
      <c r="AN374">
        <v>0</v>
      </c>
      <c r="AO374">
        <v>0</v>
      </c>
      <c r="AP374">
        <v>0</v>
      </c>
      <c r="AQ374">
        <v>0</v>
      </c>
      <c r="AR374">
        <v>0</v>
      </c>
      <c r="AS374">
        <v>0</v>
      </c>
      <c r="AT374">
        <v>0</v>
      </c>
      <c r="AU374">
        <v>0</v>
      </c>
      <c r="AV374">
        <v>0</v>
      </c>
      <c r="AW374">
        <v>0</v>
      </c>
      <c r="AX374" s="141">
        <f t="shared" si="343"/>
        <v>2</v>
      </c>
      <c r="AY374" s="141">
        <f t="shared" si="344"/>
        <v>2</v>
      </c>
      <c r="AZ374">
        <f t="shared" si="345"/>
        <v>1</v>
      </c>
      <c r="BA374">
        <f t="shared" si="346"/>
        <v>1</v>
      </c>
      <c r="BB374">
        <f t="shared" si="347"/>
        <v>0</v>
      </c>
      <c r="BC374">
        <f t="shared" si="348"/>
        <v>0</v>
      </c>
      <c r="BD374">
        <f t="shared" si="349"/>
        <v>0</v>
      </c>
      <c r="BE374" t="str">
        <f t="array" ref="BE374">IF(AY374=1,INDEX($V$7:$AL$7,MATCH(TRUE,INDEX($V374:$AW374&lt;&gt;0,),0)),IF(AY374=0,INDEX($AM$7:$AW$7,MATCH(1,$AM374:$AW374,0)),IF(BF374="Multiple strategies","mixed drivers",IF(BF374="Supply chain","multiple supply","multiple silviculture"))))</f>
        <v>mixed drivers</v>
      </c>
      <c r="BF374" s="2" t="str" cm="1">
        <f t="array" ref="BF374">IF(COUNTIF(AZ374:BB374,"&lt;&gt;0")=1,INDEX($V$4:$AW$4,MATCH(TRUE,INDEX($V374:$AW374&lt;&gt;0,),0)),IF(COUNTIF(AZ374:BB374,"&lt;&gt;0")=0,INDEX($AM$4:$AW$4,MATCH(1,$AM374:$AW374,0)),"Multiple strategies"))</f>
        <v>Multiple strategies</v>
      </c>
      <c r="BG374" s="1" t="s">
        <v>229</v>
      </c>
      <c r="BH374" t="s">
        <v>1343</v>
      </c>
      <c r="BI374" s="260" t="s">
        <v>3276</v>
      </c>
      <c r="BJ374" t="s">
        <v>1344</v>
      </c>
      <c r="BK374">
        <v>1.1674521913429727</v>
      </c>
      <c r="BL374">
        <v>1.9442734851451886</v>
      </c>
      <c r="BM374">
        <f t="shared" si="388"/>
        <v>1.6653988056749489</v>
      </c>
      <c r="BN374">
        <f t="shared" si="389"/>
        <v>0.77682129380221587</v>
      </c>
      <c r="BO374">
        <f t="shared" si="390"/>
        <v>776821293.80221581</v>
      </c>
      <c r="BP374" t="s">
        <v>232</v>
      </c>
      <c r="BQ374" s="260" t="s">
        <v>3279</v>
      </c>
      <c r="BR374" t="s">
        <v>1345</v>
      </c>
      <c r="BS374" s="264">
        <v>1.0255972696245701</v>
      </c>
      <c r="BT374" s="264">
        <v>-0.16211604095563101</v>
      </c>
      <c r="BU374" s="144">
        <f t="shared" si="391"/>
        <v>-0.15806988352745438</v>
      </c>
      <c r="BV374">
        <f t="shared" si="375"/>
        <v>-1.1877133105802011</v>
      </c>
      <c r="BW374"/>
      <c r="BX374">
        <f t="shared" si="392"/>
        <v>-1187713310.5802011</v>
      </c>
      <c r="BY374">
        <f t="shared" si="386"/>
        <v>-1.5289402080713319</v>
      </c>
      <c r="BZ374" s="143">
        <v>0</v>
      </c>
      <c r="CA374" s="143">
        <v>0</v>
      </c>
      <c r="CB374" s="143">
        <v>0</v>
      </c>
      <c r="CC374" s="143">
        <v>0</v>
      </c>
      <c r="CD374" s="143">
        <v>0</v>
      </c>
      <c r="CE374" s="143">
        <v>0</v>
      </c>
      <c r="CF374" s="143">
        <v>0</v>
      </c>
      <c r="CG374" s="143">
        <v>0</v>
      </c>
      <c r="CH374" s="143">
        <v>0</v>
      </c>
      <c r="CI374" s="143">
        <v>0</v>
      </c>
      <c r="CJ374" s="143">
        <v>0</v>
      </c>
      <c r="CK374" s="143">
        <v>0</v>
      </c>
      <c r="CL374" s="143">
        <v>0</v>
      </c>
      <c r="CM374">
        <v>0</v>
      </c>
      <c r="CN374" t="str">
        <f t="shared" si="393"/>
        <v>refOK</v>
      </c>
      <c r="CO374">
        <f t="shared" si="394"/>
        <v>1.1674521913429727</v>
      </c>
      <c r="CP374">
        <f t="shared" si="395"/>
        <v>1.9442734851451886</v>
      </c>
      <c r="CQ374">
        <f t="shared" si="396"/>
        <v>776821293.80221581</v>
      </c>
      <c r="CR374">
        <f t="shared" si="377"/>
        <v>1.0255972696245701</v>
      </c>
      <c r="CS374">
        <f t="shared" si="378"/>
        <v>-0.16211604095563101</v>
      </c>
      <c r="CT374">
        <f t="shared" si="360"/>
        <v>-1187713310.5802011</v>
      </c>
      <c r="CU374">
        <f t="shared" si="361"/>
        <v>-1.5289402080713319</v>
      </c>
      <c r="CV374" s="2">
        <f t="shared" si="362"/>
        <v>-1.1580698835274543</v>
      </c>
      <c r="CW374" s="1" t="s">
        <v>1202</v>
      </c>
      <c r="CX374" t="str">
        <f t="shared" si="363"/>
        <v>reg</v>
      </c>
      <c r="CY374" t="s">
        <v>666</v>
      </c>
      <c r="CZ374">
        <v>2010</v>
      </c>
      <c r="DA374">
        <v>2100</v>
      </c>
      <c r="DB374">
        <f t="shared" si="379"/>
        <v>90</v>
      </c>
      <c r="DC374" t="str">
        <f t="shared" si="364"/>
        <v>71-100</v>
      </c>
      <c r="DD374">
        <v>0</v>
      </c>
      <c r="DE374">
        <v>1</v>
      </c>
      <c r="DF374">
        <v>1</v>
      </c>
      <c r="DG374">
        <v>1</v>
      </c>
      <c r="DH374"/>
      <c r="DI374">
        <f t="shared" si="365"/>
        <v>3</v>
      </c>
      <c r="DJ374" t="str">
        <f t="shared" si="366"/>
        <v>mixedProduct</v>
      </c>
      <c r="DK374">
        <f t="shared" si="367"/>
        <v>0</v>
      </c>
      <c r="DL374" t="str">
        <f t="shared" si="368"/>
        <v>Energy</v>
      </c>
      <c r="DM374" t="str">
        <f t="shared" si="369"/>
        <v>Pulp/Paper</v>
      </c>
      <c r="DN374" t="str">
        <f t="shared" si="370"/>
        <v>Timber</v>
      </c>
      <c r="DO374">
        <v>1</v>
      </c>
      <c r="DP374" s="143">
        <v>0</v>
      </c>
      <c r="DQ374" s="143">
        <v>0</v>
      </c>
      <c r="DR374" s="143">
        <v>0</v>
      </c>
      <c r="DS374">
        <v>0</v>
      </c>
      <c r="DT374">
        <f t="shared" si="382"/>
        <v>1</v>
      </c>
      <c r="DU374" s="143" t="str">
        <f t="shared" si="383"/>
        <v>self-calculated DF</v>
      </c>
      <c r="DV374">
        <v>1</v>
      </c>
      <c r="DW374" s="143">
        <v>1</v>
      </c>
      <c r="DX374" s="143">
        <v>1</v>
      </c>
      <c r="DY374" s="143">
        <v>0</v>
      </c>
      <c r="DZ374">
        <v>0</v>
      </c>
      <c r="EA374" s="141">
        <v>0</v>
      </c>
      <c r="EB374">
        <v>0</v>
      </c>
      <c r="EC374" s="143">
        <v>0</v>
      </c>
      <c r="ED374" s="143">
        <v>0</v>
      </c>
      <c r="EE374">
        <v>0</v>
      </c>
      <c r="EF374">
        <v>1</v>
      </c>
      <c r="EG374" s="143">
        <v>0</v>
      </c>
      <c r="EH374" s="143">
        <v>0</v>
      </c>
      <c r="EI374" s="2">
        <v>0</v>
      </c>
      <c r="EJ374" s="1"/>
      <c r="EK374" t="str">
        <f t="shared" si="397"/>
        <v/>
      </c>
      <c r="EL374" t="str">
        <f t="shared" si="398"/>
        <v>Ecosystem approach</v>
      </c>
      <c r="EM374" s="2" t="str">
        <f t="shared" si="387"/>
        <v/>
      </c>
      <c r="EN374" t="s">
        <v>3281</v>
      </c>
      <c r="EO374"/>
      <c r="EP374" t="str">
        <f>IF(ISNUMBER(BU374),IF(ABS(BU374-[5]QC_indicators!$B$2)&gt;3*[5]QC_indicators!$C$2,"C ratio",IF(ISNUMBER(BY374),IF(ABS(BY374-[5]QC_indicators!$B$1)&gt;3*[5]QC_indicators!$C$1,"DF","no"))),IF(ISNUMBER(BY374),IF(ABS(BY374-[5]QC_indicators!$B$1)&gt;3*[5]QC_indicators!$C$1,"DF","no")))</f>
        <v>no</v>
      </c>
      <c r="EQ374"/>
      <c r="ER374"/>
      <c r="ES374"/>
      <c r="ET374" s="264" t="s">
        <v>3272</v>
      </c>
      <c r="EU374"/>
    </row>
    <row r="375" spans="1:151" s="139" customFormat="1" ht="15" hidden="1" customHeight="1">
      <c r="A375" s="1" t="s">
        <v>1285</v>
      </c>
      <c r="B375" t="s">
        <v>1335</v>
      </c>
      <c r="C375" t="s">
        <v>1336</v>
      </c>
      <c r="D375" t="s">
        <v>1337</v>
      </c>
      <c r="E375" t="s">
        <v>1338</v>
      </c>
      <c r="F375" t="s">
        <v>1339</v>
      </c>
      <c r="G375" t="s">
        <v>1291</v>
      </c>
      <c r="H375" t="s">
        <v>254</v>
      </c>
      <c r="I375">
        <v>2016</v>
      </c>
      <c r="J375">
        <v>27</v>
      </c>
      <c r="K375" t="s">
        <v>1340</v>
      </c>
      <c r="L375"/>
      <c r="M375" t="str">
        <f t="shared" si="340"/>
        <v>Braun_2016</v>
      </c>
      <c r="N375" t="s">
        <v>222</v>
      </c>
      <c r="O375" s="145" t="s">
        <v>223</v>
      </c>
      <c r="P375"/>
      <c r="Q375" t="s">
        <v>256</v>
      </c>
      <c r="R375" s="255" t="s">
        <v>225</v>
      </c>
      <c r="S375" s="1" t="s">
        <v>1347</v>
      </c>
      <c r="T375" t="s">
        <v>1342</v>
      </c>
      <c r="U375" t="s">
        <v>1348</v>
      </c>
      <c r="V375">
        <v>0</v>
      </c>
      <c r="W375">
        <v>0</v>
      </c>
      <c r="X375">
        <v>0</v>
      </c>
      <c r="Y375">
        <v>1</v>
      </c>
      <c r="Z375">
        <v>0</v>
      </c>
      <c r="AA375">
        <v>0</v>
      </c>
      <c r="AB375">
        <v>0</v>
      </c>
      <c r="AC375">
        <v>0</v>
      </c>
      <c r="AD375">
        <v>0</v>
      </c>
      <c r="AE375">
        <v>0</v>
      </c>
      <c r="AF375">
        <v>2</v>
      </c>
      <c r="AG375">
        <v>0</v>
      </c>
      <c r="AH375">
        <v>0</v>
      </c>
      <c r="AI375">
        <v>0</v>
      </c>
      <c r="AJ375">
        <v>0</v>
      </c>
      <c r="AK375">
        <v>0</v>
      </c>
      <c r="AL375">
        <v>0</v>
      </c>
      <c r="AM375">
        <v>0</v>
      </c>
      <c r="AN375">
        <v>0</v>
      </c>
      <c r="AO375">
        <v>0</v>
      </c>
      <c r="AP375">
        <v>0</v>
      </c>
      <c r="AQ375">
        <v>0</v>
      </c>
      <c r="AR375">
        <v>0</v>
      </c>
      <c r="AS375">
        <v>0</v>
      </c>
      <c r="AT375">
        <v>0</v>
      </c>
      <c r="AU375">
        <v>0</v>
      </c>
      <c r="AV375">
        <v>0</v>
      </c>
      <c r="AW375">
        <v>0</v>
      </c>
      <c r="AX375" s="141">
        <f t="shared" si="343"/>
        <v>2</v>
      </c>
      <c r="AY375" s="141">
        <f t="shared" si="344"/>
        <v>2</v>
      </c>
      <c r="AZ375">
        <f t="shared" si="345"/>
        <v>1</v>
      </c>
      <c r="BA375">
        <f t="shared" si="346"/>
        <v>1</v>
      </c>
      <c r="BB375">
        <f t="shared" si="347"/>
        <v>0</v>
      </c>
      <c r="BC375">
        <f t="shared" si="348"/>
        <v>0</v>
      </c>
      <c r="BD375">
        <f t="shared" si="349"/>
        <v>0</v>
      </c>
      <c r="BE375" t="str">
        <f t="array" ref="BE375">IF(AY375=1,INDEX($V$7:$AL$7,MATCH(TRUE,INDEX($V375:$AW375&lt;&gt;0,),0)),IF(AY375=0,INDEX($AM$7:$AW$7,MATCH(1,$AM375:$AW375,0)),IF(BF375="Multiple strategies","mixed drivers",IF(BF375="Supply chain","multiple supply","multiple silviculture"))))</f>
        <v>mixed drivers</v>
      </c>
      <c r="BF375" s="2" t="str" cm="1">
        <f t="array" ref="BF375">IF(COUNTIF(AZ375:BB375,"&lt;&gt;0")=1,INDEX($V$4:$AW$4,MATCH(TRUE,INDEX($V375:$AW375&lt;&gt;0,),0)),IF(COUNTIF(AZ375:BB375,"&lt;&gt;0")=0,INDEX($AM$4:$AW$4,MATCH(1,$AM375:$AW375,0)),"Multiple strategies"))</f>
        <v>Multiple strategies</v>
      </c>
      <c r="BG375" s="1" t="s">
        <v>229</v>
      </c>
      <c r="BH375" t="s">
        <v>1343</v>
      </c>
      <c r="BI375" s="260" t="s">
        <v>3276</v>
      </c>
      <c r="BJ375" t="s">
        <v>1344</v>
      </c>
      <c r="BK375">
        <v>1.1674521913429727</v>
      </c>
      <c r="BL375">
        <v>1.9442734851451886</v>
      </c>
      <c r="BM375">
        <f t="shared" si="388"/>
        <v>1.6653988056749489</v>
      </c>
      <c r="BN375">
        <f t="shared" si="389"/>
        <v>0.77682129380221587</v>
      </c>
      <c r="BO375">
        <f t="shared" si="390"/>
        <v>776821293.80221581</v>
      </c>
      <c r="BP375" t="s">
        <v>232</v>
      </c>
      <c r="BQ375" s="260" t="s">
        <v>3280</v>
      </c>
      <c r="BR375" t="s">
        <v>1345</v>
      </c>
      <c r="BS375" s="264">
        <v>1.2013651877133071</v>
      </c>
      <c r="BT375" s="264">
        <v>3.4129692832764985E-2</v>
      </c>
      <c r="BU375" s="144">
        <f t="shared" si="391"/>
        <v>2.840909090909139E-2</v>
      </c>
      <c r="BV375">
        <f t="shared" si="375"/>
        <v>-1.1672354948805421</v>
      </c>
      <c r="BW375"/>
      <c r="BX375">
        <f t="shared" si="392"/>
        <v>-1167235494.880542</v>
      </c>
      <c r="BY375">
        <f t="shared" si="386"/>
        <v>-1.5025791700011359</v>
      </c>
      <c r="BZ375" s="143">
        <v>0</v>
      </c>
      <c r="CA375" s="143">
        <v>0</v>
      </c>
      <c r="CB375" s="143">
        <v>0</v>
      </c>
      <c r="CC375" s="143">
        <v>0</v>
      </c>
      <c r="CD375" s="143">
        <v>0</v>
      </c>
      <c r="CE375" s="143">
        <v>0</v>
      </c>
      <c r="CF375" s="143">
        <v>0</v>
      </c>
      <c r="CG375" s="143">
        <v>0</v>
      </c>
      <c r="CH375" s="143">
        <v>0</v>
      </c>
      <c r="CI375" s="143">
        <v>0</v>
      </c>
      <c r="CJ375" s="143">
        <v>0</v>
      </c>
      <c r="CK375" s="143">
        <v>0</v>
      </c>
      <c r="CL375" s="143">
        <v>0</v>
      </c>
      <c r="CM375">
        <v>0</v>
      </c>
      <c r="CN375" t="str">
        <f t="shared" si="393"/>
        <v>refOK</v>
      </c>
      <c r="CO375">
        <f t="shared" si="394"/>
        <v>1.1674521913429727</v>
      </c>
      <c r="CP375">
        <f t="shared" si="395"/>
        <v>1.9442734851451886</v>
      </c>
      <c r="CQ375">
        <f t="shared" si="396"/>
        <v>776821293.80221581</v>
      </c>
      <c r="CR375">
        <f t="shared" si="377"/>
        <v>1.2013651877133071</v>
      </c>
      <c r="CS375">
        <f t="shared" si="378"/>
        <v>3.4129692832764985E-2</v>
      </c>
      <c r="CT375">
        <f t="shared" si="360"/>
        <v>-1167235494.880542</v>
      </c>
      <c r="CU375">
        <f t="shared" si="361"/>
        <v>-1.5025791700011359</v>
      </c>
      <c r="CV375" s="2">
        <f t="shared" si="362"/>
        <v>-0.97159090909090862</v>
      </c>
      <c r="CW375" s="1" t="s">
        <v>1202</v>
      </c>
      <c r="CX375" t="str">
        <f t="shared" si="363"/>
        <v>reg</v>
      </c>
      <c r="CY375" t="s">
        <v>666</v>
      </c>
      <c r="CZ375">
        <v>2010</v>
      </c>
      <c r="DA375">
        <v>2100</v>
      </c>
      <c r="DB375">
        <f t="shared" si="379"/>
        <v>90</v>
      </c>
      <c r="DC375" t="str">
        <f t="shared" si="364"/>
        <v>71-100</v>
      </c>
      <c r="DD375">
        <v>0</v>
      </c>
      <c r="DE375">
        <v>1</v>
      </c>
      <c r="DF375">
        <v>1</v>
      </c>
      <c r="DG375">
        <v>1</v>
      </c>
      <c r="DH375"/>
      <c r="DI375">
        <f t="shared" si="365"/>
        <v>3</v>
      </c>
      <c r="DJ375" t="str">
        <f t="shared" si="366"/>
        <v>mixedProduct</v>
      </c>
      <c r="DK375">
        <f t="shared" si="367"/>
        <v>0</v>
      </c>
      <c r="DL375" t="str">
        <f t="shared" si="368"/>
        <v>Energy</v>
      </c>
      <c r="DM375" t="str">
        <f t="shared" si="369"/>
        <v>Pulp/Paper</v>
      </c>
      <c r="DN375" t="str">
        <f t="shared" si="370"/>
        <v>Timber</v>
      </c>
      <c r="DO375">
        <v>1</v>
      </c>
      <c r="DP375" s="143">
        <v>0</v>
      </c>
      <c r="DQ375" s="143">
        <v>0</v>
      </c>
      <c r="DR375" s="143">
        <v>0</v>
      </c>
      <c r="DS375">
        <v>0</v>
      </c>
      <c r="DT375">
        <f t="shared" si="382"/>
        <v>1</v>
      </c>
      <c r="DU375" s="143" t="str">
        <f t="shared" si="383"/>
        <v>self-calculated DF</v>
      </c>
      <c r="DV375">
        <v>1</v>
      </c>
      <c r="DW375" s="143">
        <v>1</v>
      </c>
      <c r="DX375" s="143">
        <v>1</v>
      </c>
      <c r="DY375" s="143">
        <v>1</v>
      </c>
      <c r="DZ375">
        <v>1</v>
      </c>
      <c r="EA375" s="141">
        <v>0</v>
      </c>
      <c r="EB375">
        <v>0</v>
      </c>
      <c r="EC375" s="143">
        <v>0</v>
      </c>
      <c r="ED375" s="143">
        <v>0</v>
      </c>
      <c r="EE375">
        <v>0</v>
      </c>
      <c r="EF375">
        <v>1</v>
      </c>
      <c r="EG375" s="143">
        <v>0</v>
      </c>
      <c r="EH375" s="143">
        <v>0</v>
      </c>
      <c r="EI375" s="2">
        <v>0</v>
      </c>
      <c r="EJ375" s="1"/>
      <c r="EK375" t="str">
        <f t="shared" si="397"/>
        <v/>
      </c>
      <c r="EL375" t="str">
        <f t="shared" si="398"/>
        <v>Ecosystem approach</v>
      </c>
      <c r="EM375" s="2" t="str">
        <f t="shared" si="387"/>
        <v/>
      </c>
      <c r="EN375" t="s">
        <v>3281</v>
      </c>
      <c r="EO375"/>
      <c r="EP375" t="str">
        <f>IF(ISNUMBER(BU375),IF(ABS(BU375-[5]QC_indicators!$B$2)&gt;3*[5]QC_indicators!$C$2,"C ratio",IF(ISNUMBER(BY375),IF(ABS(BY375-[5]QC_indicators!$B$1)&gt;3*[5]QC_indicators!$C$1,"DF","no"))),IF(ISNUMBER(BY375),IF(ABS(BY375-[5]QC_indicators!$B$1)&gt;3*[5]QC_indicators!$C$1,"DF","no")))</f>
        <v>no</v>
      </c>
      <c r="EQ375"/>
      <c r="ER375"/>
      <c r="ES375"/>
      <c r="ET375" s="264" t="s">
        <v>3272</v>
      </c>
      <c r="EU375"/>
    </row>
    <row r="376" spans="1:151" s="139" customFormat="1" ht="15" hidden="1" customHeight="1">
      <c r="A376" s="1" t="s">
        <v>1285</v>
      </c>
      <c r="B376" t="s">
        <v>1335</v>
      </c>
      <c r="C376" t="s">
        <v>1336</v>
      </c>
      <c r="D376" t="s">
        <v>1337</v>
      </c>
      <c r="E376" t="s">
        <v>1338</v>
      </c>
      <c r="F376" t="s">
        <v>1339</v>
      </c>
      <c r="G376" t="s">
        <v>1291</v>
      </c>
      <c r="H376" t="s">
        <v>254</v>
      </c>
      <c r="I376">
        <v>2016</v>
      </c>
      <c r="J376">
        <v>27</v>
      </c>
      <c r="K376" t="s">
        <v>1340</v>
      </c>
      <c r="L376"/>
      <c r="M376" t="str">
        <f t="shared" si="340"/>
        <v>Braun_2016</v>
      </c>
      <c r="N376" t="s">
        <v>222</v>
      </c>
      <c r="O376" s="145" t="s">
        <v>223</v>
      </c>
      <c r="P376"/>
      <c r="Q376" t="s">
        <v>256</v>
      </c>
      <c r="R376" s="255" t="s">
        <v>225</v>
      </c>
      <c r="S376" s="1" t="s">
        <v>1341</v>
      </c>
      <c r="T376" t="s">
        <v>1342</v>
      </c>
      <c r="U376" t="s">
        <v>1042</v>
      </c>
      <c r="V376">
        <v>1</v>
      </c>
      <c r="W376">
        <v>0</v>
      </c>
      <c r="X376">
        <v>0</v>
      </c>
      <c r="Y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s="141">
        <f t="shared" si="343"/>
        <v>1</v>
      </c>
      <c r="AY376" s="141">
        <f t="shared" si="344"/>
        <v>1</v>
      </c>
      <c r="AZ376">
        <f t="shared" si="345"/>
        <v>1</v>
      </c>
      <c r="BA376">
        <f t="shared" si="346"/>
        <v>0</v>
      </c>
      <c r="BB376">
        <f t="shared" si="347"/>
        <v>0</v>
      </c>
      <c r="BC376">
        <f t="shared" si="348"/>
        <v>0</v>
      </c>
      <c r="BD376">
        <f t="shared" si="349"/>
        <v>0</v>
      </c>
      <c r="BE376" t="str">
        <f t="array" ref="BE376">IF(AY376=1,INDEX($V$7:$AL$7,MATCH(TRUE,INDEX($V376:$AW376&lt;&gt;0,),0)),IF(AY376=0,INDEX($AM$7:$AW$7,MATCH(1,$AM376:$AW376,0)),IF(BF376="Multiple strategies","mixed drivers",IF(BF376="Supply chain","multiple supply","multiple silviculture"))))</f>
        <v>area subject to harvest</v>
      </c>
      <c r="BF376" s="2" t="str" cm="1">
        <f t="array" ref="BF376">IF(COUNTIF(AZ376:BB376,"&lt;&gt;0")=1,INDEX($V$4:$AW$4,MATCH(TRUE,INDEX($V376:$AW376&lt;&gt;0,),0)),IF(COUNTIF(AZ376:BB376,"&lt;&gt;0")=0,INDEX($AM$4:$AW$4,MATCH(1,$AM376:$AW376,0)),"Multiple strategies"))</f>
        <v>Silviculture for removals</v>
      </c>
      <c r="BG376" s="1" t="s">
        <v>229</v>
      </c>
      <c r="BH376" t="s">
        <v>1343</v>
      </c>
      <c r="BI376" s="260" t="s">
        <v>3276</v>
      </c>
      <c r="BJ376" t="s">
        <v>1344</v>
      </c>
      <c r="BK376">
        <v>1.1674521913429727</v>
      </c>
      <c r="BL376">
        <v>1.8051407849829213</v>
      </c>
      <c r="BM376">
        <f t="shared" si="388"/>
        <v>1.5462224477958166</v>
      </c>
      <c r="BN376">
        <f t="shared" si="389"/>
        <v>0.63768859363994856</v>
      </c>
      <c r="BO376">
        <f t="shared" si="390"/>
        <v>637688593.63994861</v>
      </c>
      <c r="BP376" t="s">
        <v>232</v>
      </c>
      <c r="BQ376" s="260" t="s">
        <v>3280</v>
      </c>
      <c r="BR376" t="s">
        <v>1345</v>
      </c>
      <c r="BS376" s="264">
        <v>1.2013651877133071</v>
      </c>
      <c r="BT376" s="264">
        <v>0.25938566552901032</v>
      </c>
      <c r="BU376" s="144">
        <f t="shared" si="391"/>
        <v>0.21590909090909161</v>
      </c>
      <c r="BV376">
        <f t="shared" si="375"/>
        <v>-0.94197952218429681</v>
      </c>
      <c r="BW376"/>
      <c r="BX376">
        <f t="shared" si="392"/>
        <v>-941979522.18429685</v>
      </c>
      <c r="BY376">
        <f t="shared" si="386"/>
        <v>-1.4771779385412009</v>
      </c>
      <c r="BZ376" s="143">
        <v>0</v>
      </c>
      <c r="CA376" s="143">
        <v>0</v>
      </c>
      <c r="CB376" s="143">
        <v>0</v>
      </c>
      <c r="CC376" s="143">
        <v>0</v>
      </c>
      <c r="CD376" s="143">
        <v>0</v>
      </c>
      <c r="CE376" s="143">
        <v>0</v>
      </c>
      <c r="CF376" s="143">
        <v>0</v>
      </c>
      <c r="CG376" s="143">
        <v>0</v>
      </c>
      <c r="CH376" s="143">
        <v>0</v>
      </c>
      <c r="CI376" s="143">
        <v>0</v>
      </c>
      <c r="CJ376" s="143">
        <v>0</v>
      </c>
      <c r="CK376" s="143">
        <v>0</v>
      </c>
      <c r="CL376" s="143">
        <v>0</v>
      </c>
      <c r="CM376">
        <v>0</v>
      </c>
      <c r="CN376" t="str">
        <f t="shared" si="393"/>
        <v>refOK</v>
      </c>
      <c r="CO376">
        <f t="shared" si="394"/>
        <v>1.1674521913429727</v>
      </c>
      <c r="CP376">
        <f t="shared" si="395"/>
        <v>1.8051407849829213</v>
      </c>
      <c r="CQ376">
        <f t="shared" si="396"/>
        <v>637688593.63994861</v>
      </c>
      <c r="CR376">
        <f t="shared" si="377"/>
        <v>1.2013651877133071</v>
      </c>
      <c r="CS376">
        <f t="shared" si="378"/>
        <v>0.25938566552901032</v>
      </c>
      <c r="CT376">
        <f t="shared" si="360"/>
        <v>-941979522.18429685</v>
      </c>
      <c r="CU376">
        <f t="shared" si="361"/>
        <v>-1.4771779385412009</v>
      </c>
      <c r="CV376" s="2">
        <f t="shared" si="362"/>
        <v>-0.78409090909090839</v>
      </c>
      <c r="CW376" s="1" t="s">
        <v>1202</v>
      </c>
      <c r="CX376" t="str">
        <f t="shared" si="363"/>
        <v>reg</v>
      </c>
      <c r="CY376" t="s">
        <v>666</v>
      </c>
      <c r="CZ376">
        <v>2010</v>
      </c>
      <c r="DA376">
        <v>2100</v>
      </c>
      <c r="DB376">
        <f t="shared" si="379"/>
        <v>90</v>
      </c>
      <c r="DC376" t="str">
        <f t="shared" si="364"/>
        <v>71-100</v>
      </c>
      <c r="DD376">
        <v>0</v>
      </c>
      <c r="DE376">
        <v>1</v>
      </c>
      <c r="DF376">
        <v>1</v>
      </c>
      <c r="DG376">
        <v>1</v>
      </c>
      <c r="DH376"/>
      <c r="DI376">
        <f t="shared" si="365"/>
        <v>3</v>
      </c>
      <c r="DJ376" t="str">
        <f t="shared" si="366"/>
        <v>mixedProduct</v>
      </c>
      <c r="DK376">
        <f t="shared" si="367"/>
        <v>0</v>
      </c>
      <c r="DL376" t="str">
        <f t="shared" si="368"/>
        <v>Energy</v>
      </c>
      <c r="DM376" t="str">
        <f t="shared" si="369"/>
        <v>Pulp/Paper</v>
      </c>
      <c r="DN376" t="str">
        <f t="shared" si="370"/>
        <v>Timber</v>
      </c>
      <c r="DO376">
        <v>1</v>
      </c>
      <c r="DP376" s="143">
        <v>0</v>
      </c>
      <c r="DQ376" s="143">
        <v>0</v>
      </c>
      <c r="DR376" s="143">
        <v>0</v>
      </c>
      <c r="DS376">
        <v>0</v>
      </c>
      <c r="DT376">
        <f t="shared" si="382"/>
        <v>1</v>
      </c>
      <c r="DU376" s="143" t="str">
        <f t="shared" si="383"/>
        <v>self-calculated DF</v>
      </c>
      <c r="DV376">
        <v>1</v>
      </c>
      <c r="DW376" s="143">
        <v>1</v>
      </c>
      <c r="DX376" s="143">
        <v>1</v>
      </c>
      <c r="DY376" s="143">
        <v>1</v>
      </c>
      <c r="DZ376">
        <v>1</v>
      </c>
      <c r="EA376" s="141">
        <v>0</v>
      </c>
      <c r="EB376">
        <v>0</v>
      </c>
      <c r="EC376" s="143">
        <v>0</v>
      </c>
      <c r="ED376" s="143">
        <v>0</v>
      </c>
      <c r="EE376">
        <v>0</v>
      </c>
      <c r="EF376">
        <v>1</v>
      </c>
      <c r="EG376" s="143">
        <v>0</v>
      </c>
      <c r="EH376" s="143">
        <v>0</v>
      </c>
      <c r="EI376" s="2">
        <v>0</v>
      </c>
      <c r="EJ376" s="1"/>
      <c r="EK376" t="str">
        <f t="shared" si="397"/>
        <v/>
      </c>
      <c r="EL376" t="str">
        <f t="shared" si="398"/>
        <v>Ecosystem approach</v>
      </c>
      <c r="EM376" s="2" t="str">
        <f t="shared" si="387"/>
        <v/>
      </c>
      <c r="EN376" s="264" t="s">
        <v>3278</v>
      </c>
      <c r="EO376"/>
      <c r="EP376" t="str">
        <f>IF(ISNUMBER(BU376),IF(ABS(BU376-[5]QC_indicators!$B$2)&gt;3*[5]QC_indicators!$C$2,"C ratio",IF(ISNUMBER(BY376),IF(ABS(BY376-[5]QC_indicators!$B$1)&gt;3*[5]QC_indicators!$C$1,"DF","no"))),IF(ISNUMBER(BY376),IF(ABS(BY376-[5]QC_indicators!$B$1)&gt;3*[5]QC_indicators!$C$1,"DF","no")))</f>
        <v>no</v>
      </c>
      <c r="EQ376" t="s">
        <v>1346</v>
      </c>
      <c r="ER376"/>
      <c r="ES376"/>
      <c r="ET376" s="264" t="s">
        <v>3272</v>
      </c>
      <c r="EU376"/>
    </row>
    <row r="377" spans="1:151" s="139" customFormat="1" ht="15" hidden="1" customHeight="1">
      <c r="A377" s="1" t="s">
        <v>1285</v>
      </c>
      <c r="B377" t="s">
        <v>1335</v>
      </c>
      <c r="C377" t="s">
        <v>1336</v>
      </c>
      <c r="D377" t="s">
        <v>1337</v>
      </c>
      <c r="E377" t="s">
        <v>1338</v>
      </c>
      <c r="F377" t="s">
        <v>1339</v>
      </c>
      <c r="G377" t="s">
        <v>1291</v>
      </c>
      <c r="H377" t="s">
        <v>254</v>
      </c>
      <c r="I377">
        <v>2016</v>
      </c>
      <c r="J377">
        <v>27</v>
      </c>
      <c r="K377" t="s">
        <v>1340</v>
      </c>
      <c r="L377"/>
      <c r="M377" t="str">
        <f t="shared" si="340"/>
        <v>Braun_2016</v>
      </c>
      <c r="N377" t="s">
        <v>222</v>
      </c>
      <c r="O377" s="145" t="s">
        <v>223</v>
      </c>
      <c r="P377"/>
      <c r="Q377" t="s">
        <v>256</v>
      </c>
      <c r="R377" s="255" t="s">
        <v>225</v>
      </c>
      <c r="S377" s="1" t="s">
        <v>1347</v>
      </c>
      <c r="T377" t="s">
        <v>1342</v>
      </c>
      <c r="U377" t="s">
        <v>1349</v>
      </c>
      <c r="V377">
        <v>0</v>
      </c>
      <c r="W377">
        <v>0</v>
      </c>
      <c r="X377">
        <v>0</v>
      </c>
      <c r="Y377">
        <v>0</v>
      </c>
      <c r="Z377">
        <v>0</v>
      </c>
      <c r="AA377">
        <v>0</v>
      </c>
      <c r="AB377">
        <v>0</v>
      </c>
      <c r="AC377">
        <v>0</v>
      </c>
      <c r="AD377">
        <v>0</v>
      </c>
      <c r="AE377">
        <v>0</v>
      </c>
      <c r="AF377">
        <v>1</v>
      </c>
      <c r="AG377">
        <v>0</v>
      </c>
      <c r="AH377">
        <v>0</v>
      </c>
      <c r="AI377">
        <v>0</v>
      </c>
      <c r="AJ377">
        <v>0</v>
      </c>
      <c r="AK377">
        <v>0</v>
      </c>
      <c r="AL377">
        <v>0</v>
      </c>
      <c r="AM377">
        <v>0</v>
      </c>
      <c r="AN377">
        <v>0</v>
      </c>
      <c r="AO377">
        <v>0</v>
      </c>
      <c r="AP377">
        <v>0</v>
      </c>
      <c r="AQ377">
        <v>0</v>
      </c>
      <c r="AR377">
        <v>0</v>
      </c>
      <c r="AS377">
        <v>0</v>
      </c>
      <c r="AT377">
        <v>0</v>
      </c>
      <c r="AU377">
        <v>0</v>
      </c>
      <c r="AV377">
        <v>0</v>
      </c>
      <c r="AW377">
        <v>0</v>
      </c>
      <c r="AX377" s="141">
        <f t="shared" si="343"/>
        <v>1</v>
      </c>
      <c r="AY377" s="141">
        <f t="shared" si="344"/>
        <v>1</v>
      </c>
      <c r="AZ377">
        <f t="shared" si="345"/>
        <v>0</v>
      </c>
      <c r="BA377">
        <f t="shared" si="346"/>
        <v>1</v>
      </c>
      <c r="BB377">
        <f t="shared" si="347"/>
        <v>0</v>
      </c>
      <c r="BC377">
        <f t="shared" si="348"/>
        <v>0</v>
      </c>
      <c r="BD377">
        <f t="shared" si="349"/>
        <v>0</v>
      </c>
      <c r="BE377" t="str">
        <f t="array" ref="BE377">IF(AY377=1,INDEX($V$7:$AL$7,MATCH(TRUE,INDEX($V377:$AW377&lt;&gt;0,),0)),IF(AY377=0,INDEX($AM$7:$AW$7,MATCH(1,$AM377:$AW377,0)),IF(BF377="Multiple strategies","mixed drivers",IF(BF377="Supply chain","multiple supply","multiple silviculture"))))</f>
        <v>supply chain organization</v>
      </c>
      <c r="BF377" s="2" t="str" cm="1">
        <f t="array" ref="BF377">IF(COUNTIF(AZ377:BB377,"&lt;&gt;0")=1,INDEX($V$4:$AW$4,MATCH(TRUE,INDEX($V377:$AW377&lt;&gt;0,),0)),IF(COUNTIF(AZ377:BB377,"&lt;&gt;0")=0,INDEX($AM$4:$AW$4,MATCH(1,$AM377:$AW377,0)),"Multiple strategies"))</f>
        <v>Supply chain</v>
      </c>
      <c r="BG377" s="1" t="s">
        <v>229</v>
      </c>
      <c r="BH377" t="s">
        <v>1343</v>
      </c>
      <c r="BI377" s="260" t="s">
        <v>3276</v>
      </c>
      <c r="BJ377" t="s">
        <v>1344</v>
      </c>
      <c r="BK377">
        <v>1.1674521913429727</v>
      </c>
      <c r="BL377">
        <v>1.8344709897610794</v>
      </c>
      <c r="BM377">
        <f t="shared" si="388"/>
        <v>1.5713457076566064</v>
      </c>
      <c r="BN377">
        <f t="shared" si="389"/>
        <v>0.66701879841810663</v>
      </c>
      <c r="BO377">
        <f t="shared" si="390"/>
        <v>667018798.41810668</v>
      </c>
      <c r="BP377" t="s">
        <v>232</v>
      </c>
      <c r="BQ377" s="260" t="s">
        <v>3277</v>
      </c>
      <c r="BR377" t="s">
        <v>1345</v>
      </c>
      <c r="BS377" s="264">
        <v>1.93686006825938</v>
      </c>
      <c r="BT377" s="264">
        <v>1.26109215017064</v>
      </c>
      <c r="BU377" s="144">
        <f t="shared" si="391"/>
        <v>0.65110132158590062</v>
      </c>
      <c r="BV377">
        <f t="shared" si="375"/>
        <v>-0.67576791808873993</v>
      </c>
      <c r="BW377"/>
      <c r="BX377">
        <f t="shared" si="392"/>
        <v>-675767918.08873987</v>
      </c>
      <c r="BY377">
        <f t="shared" si="386"/>
        <v>-1.0131167512690535</v>
      </c>
      <c r="BZ377" s="143">
        <v>0</v>
      </c>
      <c r="CA377" s="143">
        <v>0</v>
      </c>
      <c r="CB377" s="143">
        <v>0</v>
      </c>
      <c r="CC377" s="143">
        <v>0</v>
      </c>
      <c r="CD377" s="143">
        <v>0</v>
      </c>
      <c r="CE377" s="143">
        <v>0</v>
      </c>
      <c r="CF377" s="143">
        <v>0</v>
      </c>
      <c r="CG377" s="143">
        <v>0</v>
      </c>
      <c r="CH377" s="143">
        <v>0</v>
      </c>
      <c r="CI377" s="143">
        <v>0</v>
      </c>
      <c r="CJ377" s="143">
        <v>0</v>
      </c>
      <c r="CK377" s="143">
        <v>0</v>
      </c>
      <c r="CL377" s="143">
        <v>0</v>
      </c>
      <c r="CM377">
        <v>0</v>
      </c>
      <c r="CN377" t="str">
        <f t="shared" si="393"/>
        <v>refOK</v>
      </c>
      <c r="CO377">
        <f t="shared" si="394"/>
        <v>1.1674521913429727</v>
      </c>
      <c r="CP377">
        <f t="shared" si="395"/>
        <v>1.8344709897610794</v>
      </c>
      <c r="CQ377">
        <f t="shared" si="396"/>
        <v>667018798.41810668</v>
      </c>
      <c r="CR377">
        <f t="shared" si="377"/>
        <v>1.93686006825938</v>
      </c>
      <c r="CS377">
        <f t="shared" si="378"/>
        <v>1.26109215017064</v>
      </c>
      <c r="CT377">
        <f t="shared" si="360"/>
        <v>-675767918.08873987</v>
      </c>
      <c r="CU377">
        <f t="shared" si="361"/>
        <v>-1.0131167512690535</v>
      </c>
      <c r="CV377" s="2">
        <f t="shared" si="362"/>
        <v>-0.34889867841409933</v>
      </c>
      <c r="CW377" s="1" t="s">
        <v>1202</v>
      </c>
      <c r="CX377" t="str">
        <f t="shared" si="363"/>
        <v>reg</v>
      </c>
      <c r="CY377" t="s">
        <v>666</v>
      </c>
      <c r="CZ377">
        <v>2010</v>
      </c>
      <c r="DA377">
        <v>2100</v>
      </c>
      <c r="DB377">
        <f t="shared" si="379"/>
        <v>90</v>
      </c>
      <c r="DC377" t="str">
        <f t="shared" si="364"/>
        <v>71-100</v>
      </c>
      <c r="DD377">
        <v>0</v>
      </c>
      <c r="DE377">
        <v>1</v>
      </c>
      <c r="DF377">
        <v>1</v>
      </c>
      <c r="DG377">
        <v>1</v>
      </c>
      <c r="DH377"/>
      <c r="DI377">
        <f t="shared" si="365"/>
        <v>3</v>
      </c>
      <c r="DJ377" t="str">
        <f t="shared" si="366"/>
        <v>mixedProduct</v>
      </c>
      <c r="DK377">
        <f t="shared" si="367"/>
        <v>0</v>
      </c>
      <c r="DL377" t="str">
        <f t="shared" si="368"/>
        <v>Energy</v>
      </c>
      <c r="DM377" t="str">
        <f t="shared" si="369"/>
        <v>Pulp/Paper</v>
      </c>
      <c r="DN377" t="str">
        <f t="shared" si="370"/>
        <v>Timber</v>
      </c>
      <c r="DO377">
        <v>1</v>
      </c>
      <c r="DP377" s="143">
        <v>0</v>
      </c>
      <c r="DQ377" s="143">
        <v>0</v>
      </c>
      <c r="DR377" s="143">
        <v>0</v>
      </c>
      <c r="DS377">
        <v>0</v>
      </c>
      <c r="DT377">
        <f t="shared" si="382"/>
        <v>1</v>
      </c>
      <c r="DU377" s="143" t="str">
        <f t="shared" si="383"/>
        <v>self-calculated DF</v>
      </c>
      <c r="DV377">
        <v>1</v>
      </c>
      <c r="DW377" s="143">
        <v>1</v>
      </c>
      <c r="DX377" s="143">
        <v>1</v>
      </c>
      <c r="DY377" s="143">
        <v>1</v>
      </c>
      <c r="DZ377">
        <v>1</v>
      </c>
      <c r="EA377" s="141">
        <v>1</v>
      </c>
      <c r="EB377">
        <v>0</v>
      </c>
      <c r="EC377" s="143">
        <v>1</v>
      </c>
      <c r="ED377" s="143">
        <v>1</v>
      </c>
      <c r="EE377">
        <v>0</v>
      </c>
      <c r="EF377">
        <v>1</v>
      </c>
      <c r="EG377" s="143">
        <v>0</v>
      </c>
      <c r="EH377" s="143">
        <v>0</v>
      </c>
      <c r="EI377" s="2">
        <v>0</v>
      </c>
      <c r="EJ377" s="1"/>
      <c r="EK377" t="str">
        <f t="shared" si="397"/>
        <v>Whole sector</v>
      </c>
      <c r="EL377" t="str">
        <f t="shared" si="398"/>
        <v/>
      </c>
      <c r="EM377" s="2" t="str">
        <f t="shared" si="387"/>
        <v/>
      </c>
      <c r="EN377" t="s">
        <v>3282</v>
      </c>
      <c r="EO377"/>
      <c r="EP377" t="str">
        <f>IF(ISNUMBER(BU377),IF(ABS(BU377-[5]QC_indicators!$B$2)&gt;3*[5]QC_indicators!$C$2,"C ratio",IF(ISNUMBER(BY377),IF(ABS(BY377-[5]QC_indicators!$B$1)&gt;3*[5]QC_indicators!$C$1,"DF","no"))),IF(ISNUMBER(BY377),IF(ABS(BY377-[5]QC_indicators!$B$1)&gt;3*[5]QC_indicators!$C$1,"DF","no")))</f>
        <v>no</v>
      </c>
      <c r="EQ377"/>
      <c r="ER377"/>
      <c r="ES377"/>
      <c r="ET377" s="264" t="s">
        <v>3272</v>
      </c>
      <c r="EU377"/>
    </row>
    <row r="378" spans="1:151" s="139" customFormat="1" ht="15" hidden="1" customHeight="1">
      <c r="A378" s="1" t="s">
        <v>1285</v>
      </c>
      <c r="B378" t="s">
        <v>1335</v>
      </c>
      <c r="C378" t="s">
        <v>1336</v>
      </c>
      <c r="D378" t="s">
        <v>1337</v>
      </c>
      <c r="E378" t="s">
        <v>1338</v>
      </c>
      <c r="F378" t="s">
        <v>1339</v>
      </c>
      <c r="G378" t="s">
        <v>1291</v>
      </c>
      <c r="H378" t="s">
        <v>254</v>
      </c>
      <c r="I378">
        <v>2016</v>
      </c>
      <c r="J378">
        <v>27</v>
      </c>
      <c r="K378" t="s">
        <v>1340</v>
      </c>
      <c r="L378"/>
      <c r="M378" t="str">
        <f t="shared" si="340"/>
        <v>Braun_2016</v>
      </c>
      <c r="N378" t="s">
        <v>222</v>
      </c>
      <c r="O378" s="145" t="s">
        <v>223</v>
      </c>
      <c r="P378"/>
      <c r="Q378" t="s">
        <v>256</v>
      </c>
      <c r="R378" s="255" t="s">
        <v>225</v>
      </c>
      <c r="S378" s="1" t="s">
        <v>1347</v>
      </c>
      <c r="T378" t="s">
        <v>1342</v>
      </c>
      <c r="U378" t="s">
        <v>1348</v>
      </c>
      <c r="V378">
        <v>0</v>
      </c>
      <c r="W378">
        <v>0</v>
      </c>
      <c r="X378">
        <v>0</v>
      </c>
      <c r="Y378">
        <v>1</v>
      </c>
      <c r="Z378">
        <v>0</v>
      </c>
      <c r="AA378">
        <v>0</v>
      </c>
      <c r="AB378">
        <v>0</v>
      </c>
      <c r="AC378">
        <v>0</v>
      </c>
      <c r="AD378">
        <v>0</v>
      </c>
      <c r="AE378">
        <v>0</v>
      </c>
      <c r="AF378">
        <v>2</v>
      </c>
      <c r="AG378">
        <v>0</v>
      </c>
      <c r="AH378">
        <v>0</v>
      </c>
      <c r="AI378">
        <v>0</v>
      </c>
      <c r="AJ378">
        <v>0</v>
      </c>
      <c r="AK378">
        <v>0</v>
      </c>
      <c r="AL378">
        <v>0</v>
      </c>
      <c r="AM378">
        <v>0</v>
      </c>
      <c r="AN378">
        <v>0</v>
      </c>
      <c r="AO378">
        <v>0</v>
      </c>
      <c r="AP378">
        <v>0</v>
      </c>
      <c r="AQ378">
        <v>0</v>
      </c>
      <c r="AR378">
        <v>0</v>
      </c>
      <c r="AS378">
        <v>0</v>
      </c>
      <c r="AT378">
        <v>0</v>
      </c>
      <c r="AU378">
        <v>0</v>
      </c>
      <c r="AV378">
        <v>0</v>
      </c>
      <c r="AW378">
        <v>0</v>
      </c>
      <c r="AX378" s="141">
        <f t="shared" si="343"/>
        <v>2</v>
      </c>
      <c r="AY378" s="141">
        <f t="shared" si="344"/>
        <v>2</v>
      </c>
      <c r="AZ378">
        <f t="shared" si="345"/>
        <v>1</v>
      </c>
      <c r="BA378">
        <f t="shared" si="346"/>
        <v>1</v>
      </c>
      <c r="BB378">
        <f t="shared" si="347"/>
        <v>0</v>
      </c>
      <c r="BC378">
        <f t="shared" si="348"/>
        <v>0</v>
      </c>
      <c r="BD378">
        <f t="shared" si="349"/>
        <v>0</v>
      </c>
      <c r="BE378" t="str">
        <f t="array" ref="BE378">IF(AY378=1,INDEX($V$7:$AL$7,MATCH(TRUE,INDEX($V378:$AW378&lt;&gt;0,),0)),IF(AY378=0,INDEX($AM$7:$AW$7,MATCH(1,$AM378:$AW378,0)),IF(BF378="Multiple strategies","mixed drivers",IF(BF378="Supply chain","multiple supply","multiple silviculture"))))</f>
        <v>mixed drivers</v>
      </c>
      <c r="BF378" s="2" t="str" cm="1">
        <f t="array" ref="BF378">IF(COUNTIF(AZ378:BB378,"&lt;&gt;0")=1,INDEX($V$4:$AW$4,MATCH(TRUE,INDEX($V378:$AW378&lt;&gt;0,),0)),IF(COUNTIF(AZ378:BB378,"&lt;&gt;0")=0,INDEX($AM$4:$AW$4,MATCH(1,$AM378:$AW378,0)),"Multiple strategies"))</f>
        <v>Multiple strategies</v>
      </c>
      <c r="BG378" s="1" t="s">
        <v>229</v>
      </c>
      <c r="BH378" t="s">
        <v>1343</v>
      </c>
      <c r="BI378" s="260" t="s">
        <v>3276</v>
      </c>
      <c r="BJ378" t="s">
        <v>1344</v>
      </c>
      <c r="BK378">
        <v>1.1674521913429727</v>
      </c>
      <c r="BL378">
        <v>1.9442734851451886</v>
      </c>
      <c r="BM378">
        <f t="shared" si="388"/>
        <v>1.6653988056749489</v>
      </c>
      <c r="BN378">
        <f t="shared" si="389"/>
        <v>0.77682129380221587</v>
      </c>
      <c r="BO378">
        <f t="shared" si="390"/>
        <v>776821293.80221581</v>
      </c>
      <c r="BP378" t="s">
        <v>232</v>
      </c>
      <c r="BQ378" s="260" t="s">
        <v>3277</v>
      </c>
      <c r="BR378" t="s">
        <v>1345</v>
      </c>
      <c r="BS378" s="264">
        <v>1.93686006825938</v>
      </c>
      <c r="BT378" s="264">
        <v>1.22013651877133</v>
      </c>
      <c r="BU378" s="144">
        <f t="shared" si="391"/>
        <v>0.62995594713656522</v>
      </c>
      <c r="BV378">
        <f t="shared" si="375"/>
        <v>-0.71672354948804995</v>
      </c>
      <c r="BW378"/>
      <c r="BX378">
        <f t="shared" si="392"/>
        <v>-716723549.48804998</v>
      </c>
      <c r="BY378">
        <f t="shared" si="386"/>
        <v>-0.92263633245683507</v>
      </c>
      <c r="BZ378" s="143">
        <v>0</v>
      </c>
      <c r="CA378" s="143">
        <v>0</v>
      </c>
      <c r="CB378" s="143">
        <v>0</v>
      </c>
      <c r="CC378" s="143">
        <v>0</v>
      </c>
      <c r="CD378" s="143">
        <v>0</v>
      </c>
      <c r="CE378" s="143">
        <v>0</v>
      </c>
      <c r="CF378" s="143">
        <v>0</v>
      </c>
      <c r="CG378" s="143">
        <v>0</v>
      </c>
      <c r="CH378" s="143">
        <v>0</v>
      </c>
      <c r="CI378" s="143">
        <v>0</v>
      </c>
      <c r="CJ378" s="143">
        <v>0</v>
      </c>
      <c r="CK378" s="143">
        <v>0</v>
      </c>
      <c r="CL378" s="143">
        <v>0</v>
      </c>
      <c r="CM378">
        <v>0</v>
      </c>
      <c r="CN378" t="str">
        <f t="shared" si="393"/>
        <v>refOK</v>
      </c>
      <c r="CO378">
        <f t="shared" si="394"/>
        <v>1.1674521913429727</v>
      </c>
      <c r="CP378">
        <f t="shared" si="395"/>
        <v>1.9442734851451886</v>
      </c>
      <c r="CQ378">
        <f t="shared" si="396"/>
        <v>776821293.80221581</v>
      </c>
      <c r="CR378">
        <f t="shared" si="377"/>
        <v>1.93686006825938</v>
      </c>
      <c r="CS378">
        <f t="shared" si="378"/>
        <v>1.22013651877133</v>
      </c>
      <c r="CT378">
        <f t="shared" si="360"/>
        <v>-716723549.48804998</v>
      </c>
      <c r="CU378">
        <f t="shared" si="361"/>
        <v>-0.92263633245683507</v>
      </c>
      <c r="CV378" s="2">
        <f t="shared" si="362"/>
        <v>-0.37004405286343484</v>
      </c>
      <c r="CW378" s="1" t="s">
        <v>1202</v>
      </c>
      <c r="CX378" t="str">
        <f t="shared" si="363"/>
        <v>reg</v>
      </c>
      <c r="CY378" t="s">
        <v>666</v>
      </c>
      <c r="CZ378">
        <v>2010</v>
      </c>
      <c r="DA378">
        <v>2100</v>
      </c>
      <c r="DB378">
        <f t="shared" si="379"/>
        <v>90</v>
      </c>
      <c r="DC378" t="str">
        <f t="shared" si="364"/>
        <v>71-100</v>
      </c>
      <c r="DD378">
        <v>0</v>
      </c>
      <c r="DE378">
        <v>1</v>
      </c>
      <c r="DF378">
        <v>1</v>
      </c>
      <c r="DG378">
        <v>1</v>
      </c>
      <c r="DH378"/>
      <c r="DI378">
        <f t="shared" si="365"/>
        <v>3</v>
      </c>
      <c r="DJ378" t="str">
        <f t="shared" si="366"/>
        <v>mixedProduct</v>
      </c>
      <c r="DK378">
        <f t="shared" si="367"/>
        <v>0</v>
      </c>
      <c r="DL378" t="str">
        <f t="shared" si="368"/>
        <v>Energy</v>
      </c>
      <c r="DM378" t="str">
        <f t="shared" si="369"/>
        <v>Pulp/Paper</v>
      </c>
      <c r="DN378" t="str">
        <f t="shared" si="370"/>
        <v>Timber</v>
      </c>
      <c r="DO378">
        <v>1</v>
      </c>
      <c r="DP378" s="143">
        <v>0</v>
      </c>
      <c r="DQ378" s="143">
        <v>0</v>
      </c>
      <c r="DR378" s="143">
        <v>0</v>
      </c>
      <c r="DS378">
        <v>0</v>
      </c>
      <c r="DT378">
        <f t="shared" si="382"/>
        <v>1</v>
      </c>
      <c r="DU378" s="143" t="str">
        <f t="shared" si="383"/>
        <v>self-calculated DF</v>
      </c>
      <c r="DV378">
        <v>1</v>
      </c>
      <c r="DW378" s="143">
        <v>1</v>
      </c>
      <c r="DX378" s="143">
        <v>1</v>
      </c>
      <c r="DY378" s="143">
        <v>1</v>
      </c>
      <c r="DZ378">
        <v>1</v>
      </c>
      <c r="EA378" s="141">
        <v>1</v>
      </c>
      <c r="EB378">
        <v>0</v>
      </c>
      <c r="EC378" s="143">
        <v>1</v>
      </c>
      <c r="ED378" s="143">
        <v>1</v>
      </c>
      <c r="EE378">
        <v>0</v>
      </c>
      <c r="EF378">
        <v>1</v>
      </c>
      <c r="EG378" s="143">
        <v>0</v>
      </c>
      <c r="EH378" s="143">
        <v>0</v>
      </c>
      <c r="EI378" s="2">
        <v>0</v>
      </c>
      <c r="EJ378" s="1"/>
      <c r="EK378" t="str">
        <f t="shared" si="397"/>
        <v>Whole sector</v>
      </c>
      <c r="EL378" t="str">
        <f t="shared" si="398"/>
        <v/>
      </c>
      <c r="EM378" s="2" t="str">
        <f t="shared" si="387"/>
        <v/>
      </c>
      <c r="EN378" t="s">
        <v>3282</v>
      </c>
      <c r="EO378"/>
      <c r="EP378" t="str">
        <f>IF(ISNUMBER(BU378),IF(ABS(BU378-[5]QC_indicators!$B$2)&gt;3*[5]QC_indicators!$C$2,"C ratio",IF(ISNUMBER(BY378),IF(ABS(BY378-[5]QC_indicators!$B$1)&gt;3*[5]QC_indicators!$C$1,"DF","no"))),IF(ISNUMBER(BY378),IF(ABS(BY378-[5]QC_indicators!$B$1)&gt;3*[5]QC_indicators!$C$1,"DF","no")))</f>
        <v>no</v>
      </c>
      <c r="EQ378"/>
      <c r="ER378"/>
      <c r="ES378"/>
      <c r="ET378" s="264" t="s">
        <v>3272</v>
      </c>
      <c r="EU378"/>
    </row>
    <row r="379" spans="1:151" s="139" customFormat="1" ht="15" hidden="1" customHeight="1">
      <c r="A379" s="1" t="s">
        <v>1285</v>
      </c>
      <c r="B379" t="s">
        <v>1335</v>
      </c>
      <c r="C379" t="s">
        <v>1336</v>
      </c>
      <c r="D379" t="s">
        <v>1337</v>
      </c>
      <c r="E379" t="s">
        <v>1338</v>
      </c>
      <c r="F379" t="s">
        <v>1339</v>
      </c>
      <c r="G379" t="s">
        <v>1291</v>
      </c>
      <c r="H379" t="s">
        <v>254</v>
      </c>
      <c r="I379">
        <v>2016</v>
      </c>
      <c r="J379">
        <v>27</v>
      </c>
      <c r="K379" t="s">
        <v>1340</v>
      </c>
      <c r="L379"/>
      <c r="M379" t="str">
        <f t="shared" si="340"/>
        <v>Braun_2016</v>
      </c>
      <c r="N379" t="s">
        <v>222</v>
      </c>
      <c r="O379" s="145" t="s">
        <v>223</v>
      </c>
      <c r="P379"/>
      <c r="Q379" t="s">
        <v>256</v>
      </c>
      <c r="R379" s="255" t="s">
        <v>225</v>
      </c>
      <c r="S379" s="1" t="s">
        <v>1347</v>
      </c>
      <c r="T379" t="s">
        <v>1342</v>
      </c>
      <c r="U379" t="s">
        <v>1350</v>
      </c>
      <c r="V379">
        <v>0</v>
      </c>
      <c r="W379">
        <v>0</v>
      </c>
      <c r="X379">
        <v>0</v>
      </c>
      <c r="Y379">
        <v>0</v>
      </c>
      <c r="Z379">
        <v>0</v>
      </c>
      <c r="AA379">
        <v>0</v>
      </c>
      <c r="AB379">
        <v>0</v>
      </c>
      <c r="AC379">
        <v>0</v>
      </c>
      <c r="AD379">
        <v>0</v>
      </c>
      <c r="AE379">
        <v>0</v>
      </c>
      <c r="AF379">
        <v>1</v>
      </c>
      <c r="AG379">
        <v>0</v>
      </c>
      <c r="AH379">
        <v>0</v>
      </c>
      <c r="AI379">
        <v>0</v>
      </c>
      <c r="AJ379">
        <v>0</v>
      </c>
      <c r="AK379">
        <v>0</v>
      </c>
      <c r="AL379">
        <v>0</v>
      </c>
      <c r="AM379">
        <v>0</v>
      </c>
      <c r="AN379">
        <v>0</v>
      </c>
      <c r="AO379">
        <v>0</v>
      </c>
      <c r="AP379">
        <v>0</v>
      </c>
      <c r="AQ379">
        <v>0</v>
      </c>
      <c r="AR379">
        <v>0</v>
      </c>
      <c r="AS379">
        <v>0</v>
      </c>
      <c r="AT379">
        <v>0</v>
      </c>
      <c r="AU379">
        <v>0</v>
      </c>
      <c r="AV379">
        <v>0</v>
      </c>
      <c r="AW379">
        <v>0</v>
      </c>
      <c r="AX379" s="141">
        <f t="shared" si="343"/>
        <v>1</v>
      </c>
      <c r="AY379" s="141">
        <f t="shared" si="344"/>
        <v>1</v>
      </c>
      <c r="AZ379">
        <f t="shared" si="345"/>
        <v>0</v>
      </c>
      <c r="BA379">
        <f t="shared" si="346"/>
        <v>1</v>
      </c>
      <c r="BB379">
        <f t="shared" si="347"/>
        <v>0</v>
      </c>
      <c r="BC379">
        <f t="shared" si="348"/>
        <v>0</v>
      </c>
      <c r="BD379">
        <f t="shared" si="349"/>
        <v>0</v>
      </c>
      <c r="BE379" t="str">
        <f t="array" ref="BE379">IF(AY379=1,INDEX($V$7:$AL$7,MATCH(TRUE,INDEX($V379:$AW379&lt;&gt;0,),0)),IF(AY379=0,INDEX($AM$7:$AW$7,MATCH(1,$AM379:$AW379,0)),IF(BF379="Multiple strategies","mixed drivers",IF(BF379="Supply chain","multiple supply","multiple silviculture"))))</f>
        <v>supply chain organization</v>
      </c>
      <c r="BF379" s="2" t="str" cm="1">
        <f t="array" ref="BF379">IF(COUNTIF(AZ379:BB379,"&lt;&gt;0")=1,INDEX($V$4:$AW$4,MATCH(TRUE,INDEX($V379:$AW379&lt;&gt;0,),0)),IF(COUNTIF(AZ379:BB379,"&lt;&gt;0")=0,INDEX($AM$4:$AW$4,MATCH(1,$AM379:$AW379,0)),"Multiple strategies"))</f>
        <v>Supply chain</v>
      </c>
      <c r="BG379" s="1" t="s">
        <v>229</v>
      </c>
      <c r="BH379" t="s">
        <v>1343</v>
      </c>
      <c r="BI379" s="260" t="s">
        <v>3276</v>
      </c>
      <c r="BJ379" t="s">
        <v>1344</v>
      </c>
      <c r="BK379">
        <v>1.1674521913429727</v>
      </c>
      <c r="BL379">
        <v>1.8900610197538394</v>
      </c>
      <c r="BM379">
        <f t="shared" si="388"/>
        <v>1.6189622442522613</v>
      </c>
      <c r="BN379">
        <f t="shared" si="389"/>
        <v>0.72260882841086671</v>
      </c>
      <c r="BO379">
        <f t="shared" si="390"/>
        <v>722608828.41086674</v>
      </c>
      <c r="BP379" t="s">
        <v>232</v>
      </c>
      <c r="BQ379" s="260" t="s">
        <v>3277</v>
      </c>
      <c r="BR379" t="s">
        <v>1345</v>
      </c>
      <c r="BS379" s="264">
        <v>1.93686006825938</v>
      </c>
      <c r="BT379" s="264">
        <v>1.27133105802047</v>
      </c>
      <c r="BU379" s="144">
        <f t="shared" si="391"/>
        <v>0.65638766519823577</v>
      </c>
      <c r="BV379">
        <f t="shared" si="375"/>
        <v>-0.66552901023890998</v>
      </c>
      <c r="BW379"/>
      <c r="BX379">
        <f t="shared" si="392"/>
        <v>-665529010.23890996</v>
      </c>
      <c r="BY379">
        <f t="shared" si="386"/>
        <v>-0.92100868972569228</v>
      </c>
      <c r="BZ379" s="143">
        <v>0</v>
      </c>
      <c r="CA379" s="143">
        <v>0</v>
      </c>
      <c r="CB379" s="143">
        <v>0</v>
      </c>
      <c r="CC379" s="143">
        <v>0</v>
      </c>
      <c r="CD379" s="143">
        <v>0</v>
      </c>
      <c r="CE379" s="143">
        <v>0</v>
      </c>
      <c r="CF379" s="143">
        <v>0</v>
      </c>
      <c r="CG379" s="143">
        <v>0</v>
      </c>
      <c r="CH379" s="143">
        <v>0</v>
      </c>
      <c r="CI379" s="143">
        <v>0</v>
      </c>
      <c r="CJ379" s="143">
        <v>0</v>
      </c>
      <c r="CK379" s="143">
        <v>0</v>
      </c>
      <c r="CL379" s="143">
        <v>0</v>
      </c>
      <c r="CM379">
        <v>0</v>
      </c>
      <c r="CN379" t="str">
        <f t="shared" si="393"/>
        <v>refOK</v>
      </c>
      <c r="CO379">
        <f t="shared" si="394"/>
        <v>1.1674521913429727</v>
      </c>
      <c r="CP379">
        <f t="shared" si="395"/>
        <v>1.8900610197538394</v>
      </c>
      <c r="CQ379">
        <f t="shared" si="396"/>
        <v>722608828.41086674</v>
      </c>
      <c r="CR379">
        <f t="shared" si="377"/>
        <v>1.93686006825938</v>
      </c>
      <c r="CS379">
        <f t="shared" si="378"/>
        <v>1.27133105802047</v>
      </c>
      <c r="CT379">
        <f t="shared" si="360"/>
        <v>-665529010.23890996</v>
      </c>
      <c r="CU379">
        <f t="shared" si="361"/>
        <v>-0.92100868972569228</v>
      </c>
      <c r="CV379" s="2">
        <f t="shared" si="362"/>
        <v>-0.34361233480176423</v>
      </c>
      <c r="CW379" s="1" t="s">
        <v>1202</v>
      </c>
      <c r="CX379" t="str">
        <f t="shared" si="363"/>
        <v>reg</v>
      </c>
      <c r="CY379" t="s">
        <v>666</v>
      </c>
      <c r="CZ379">
        <v>2010</v>
      </c>
      <c r="DA379">
        <v>2100</v>
      </c>
      <c r="DB379">
        <f t="shared" si="379"/>
        <v>90</v>
      </c>
      <c r="DC379" t="str">
        <f t="shared" si="364"/>
        <v>71-100</v>
      </c>
      <c r="DD379">
        <v>0</v>
      </c>
      <c r="DE379">
        <v>1</v>
      </c>
      <c r="DF379">
        <v>1</v>
      </c>
      <c r="DG379">
        <v>1</v>
      </c>
      <c r="DH379"/>
      <c r="DI379">
        <f t="shared" si="365"/>
        <v>3</v>
      </c>
      <c r="DJ379" t="str">
        <f t="shared" si="366"/>
        <v>mixedProduct</v>
      </c>
      <c r="DK379">
        <f t="shared" si="367"/>
        <v>0</v>
      </c>
      <c r="DL379" t="str">
        <f t="shared" si="368"/>
        <v>Energy</v>
      </c>
      <c r="DM379" t="str">
        <f t="shared" si="369"/>
        <v>Pulp/Paper</v>
      </c>
      <c r="DN379" t="str">
        <f t="shared" si="370"/>
        <v>Timber</v>
      </c>
      <c r="DO379">
        <v>1</v>
      </c>
      <c r="DP379" s="143">
        <v>0</v>
      </c>
      <c r="DQ379" s="143">
        <v>0</v>
      </c>
      <c r="DR379" s="143">
        <v>0</v>
      </c>
      <c r="DS379">
        <v>0</v>
      </c>
      <c r="DT379">
        <f t="shared" si="382"/>
        <v>1</v>
      </c>
      <c r="DU379" s="143" t="str">
        <f t="shared" si="383"/>
        <v>self-calculated DF</v>
      </c>
      <c r="DV379">
        <v>1</v>
      </c>
      <c r="DW379" s="143">
        <v>1</v>
      </c>
      <c r="DX379" s="143">
        <v>1</v>
      </c>
      <c r="DY379" s="143">
        <v>1</v>
      </c>
      <c r="DZ379">
        <v>1</v>
      </c>
      <c r="EA379" s="141">
        <v>1</v>
      </c>
      <c r="EB379">
        <v>0</v>
      </c>
      <c r="EC379" s="143">
        <v>1</v>
      </c>
      <c r="ED379" s="143">
        <v>1</v>
      </c>
      <c r="EE379">
        <v>0</v>
      </c>
      <c r="EF379">
        <v>1</v>
      </c>
      <c r="EG379" s="143">
        <v>0</v>
      </c>
      <c r="EH379" s="143">
        <v>0</v>
      </c>
      <c r="EI379" s="2">
        <v>0</v>
      </c>
      <c r="EJ379" s="1"/>
      <c r="EK379" t="str">
        <f t="shared" si="397"/>
        <v>Whole sector</v>
      </c>
      <c r="EL379" t="str">
        <f t="shared" si="398"/>
        <v/>
      </c>
      <c r="EM379" s="2" t="str">
        <f t="shared" si="387"/>
        <v/>
      </c>
      <c r="EN379" t="s">
        <v>3282</v>
      </c>
      <c r="EO379"/>
      <c r="EP379" t="str">
        <f>IF(ISNUMBER(BU379),IF(ABS(BU379-[5]QC_indicators!$B$2)&gt;3*[5]QC_indicators!$C$2,"C ratio",IF(ISNUMBER(BY379),IF(ABS(BY379-[5]QC_indicators!$B$1)&gt;3*[5]QC_indicators!$C$1,"DF","no"))),IF(ISNUMBER(BY379),IF(ABS(BY379-[5]QC_indicators!$B$1)&gt;3*[5]QC_indicators!$C$1,"DF","no")))</f>
        <v>no</v>
      </c>
      <c r="EQ379"/>
      <c r="ER379"/>
      <c r="ES379"/>
      <c r="ET379" s="264" t="s">
        <v>3272</v>
      </c>
      <c r="EU379"/>
    </row>
    <row r="380" spans="1:151" s="139" customFormat="1" ht="15" hidden="1" customHeight="1">
      <c r="A380" s="1" t="s">
        <v>1285</v>
      </c>
      <c r="B380" t="s">
        <v>1335</v>
      </c>
      <c r="C380" t="s">
        <v>1336</v>
      </c>
      <c r="D380" t="s">
        <v>1337</v>
      </c>
      <c r="E380" t="s">
        <v>1338</v>
      </c>
      <c r="F380" t="s">
        <v>1339</v>
      </c>
      <c r="G380" t="s">
        <v>1291</v>
      </c>
      <c r="H380" t="s">
        <v>254</v>
      </c>
      <c r="I380">
        <v>2016</v>
      </c>
      <c r="J380">
        <v>27</v>
      </c>
      <c r="K380" t="s">
        <v>1340</v>
      </c>
      <c r="L380"/>
      <c r="M380" t="str">
        <f t="shared" si="340"/>
        <v>Braun_2016</v>
      </c>
      <c r="N380" t="s">
        <v>222</v>
      </c>
      <c r="O380" s="145" t="s">
        <v>223</v>
      </c>
      <c r="P380"/>
      <c r="Q380" t="s">
        <v>256</v>
      </c>
      <c r="R380" s="255" t="s">
        <v>225</v>
      </c>
      <c r="S380" s="1" t="s">
        <v>1341</v>
      </c>
      <c r="T380" t="s">
        <v>1342</v>
      </c>
      <c r="U380" t="s">
        <v>1042</v>
      </c>
      <c r="V380">
        <v>1</v>
      </c>
      <c r="W380">
        <v>0</v>
      </c>
      <c r="X380">
        <v>0</v>
      </c>
      <c r="Y380">
        <v>0</v>
      </c>
      <c r="Z380">
        <v>0</v>
      </c>
      <c r="AA380">
        <v>0</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s="141">
        <f t="shared" si="343"/>
        <v>1</v>
      </c>
      <c r="AY380" s="141">
        <f t="shared" si="344"/>
        <v>1</v>
      </c>
      <c r="AZ380">
        <f t="shared" si="345"/>
        <v>1</v>
      </c>
      <c r="BA380">
        <f t="shared" si="346"/>
        <v>0</v>
      </c>
      <c r="BB380">
        <f t="shared" si="347"/>
        <v>0</v>
      </c>
      <c r="BC380">
        <f t="shared" si="348"/>
        <v>0</v>
      </c>
      <c r="BD380">
        <f t="shared" si="349"/>
        <v>0</v>
      </c>
      <c r="BE380" t="str">
        <f t="array" ref="BE380">IF(AY380=1,INDEX($V$7:$AL$7,MATCH(TRUE,INDEX($V380:$AW380&lt;&gt;0,),0)),IF(AY380=0,INDEX($AM$7:$AW$7,MATCH(1,$AM380:$AW380,0)),IF(BF380="Multiple strategies","mixed drivers",IF(BF380="Supply chain","multiple supply","multiple silviculture"))))</f>
        <v>area subject to harvest</v>
      </c>
      <c r="BF380" s="2" t="str" cm="1">
        <f t="array" ref="BF380">IF(COUNTIF(AZ380:BB380,"&lt;&gt;0")=1,INDEX($V$4:$AW$4,MATCH(TRUE,INDEX($V380:$AW380&lt;&gt;0,),0)),IF(COUNTIF(AZ380:BB380,"&lt;&gt;0")=0,INDEX($AM$4:$AW$4,MATCH(1,$AM380:$AW380,0)),"Multiple strategies"))</f>
        <v>Silviculture for removals</v>
      </c>
      <c r="BG380" s="1" t="s">
        <v>229</v>
      </c>
      <c r="BH380" t="s">
        <v>1343</v>
      </c>
      <c r="BI380" s="260" t="s">
        <v>3276</v>
      </c>
      <c r="BJ380" t="s">
        <v>1344</v>
      </c>
      <c r="BK380">
        <v>1.1674521913429727</v>
      </c>
      <c r="BL380">
        <v>1.8051407849829213</v>
      </c>
      <c r="BM380">
        <f t="shared" si="388"/>
        <v>1.5462224477958166</v>
      </c>
      <c r="BN380">
        <f t="shared" si="389"/>
        <v>0.63768859363994856</v>
      </c>
      <c r="BO380">
        <f t="shared" si="390"/>
        <v>637688593.63994861</v>
      </c>
      <c r="BP380" t="s">
        <v>232</v>
      </c>
      <c r="BQ380" s="260" t="s">
        <v>3277</v>
      </c>
      <c r="BR380" t="s">
        <v>1345</v>
      </c>
      <c r="BS380" s="141">
        <v>1.93686006825938</v>
      </c>
      <c r="BT380" s="141">
        <v>1.4146757679180799</v>
      </c>
      <c r="BU380" s="144">
        <f t="shared" si="391"/>
        <v>0.7303964757709227</v>
      </c>
      <c r="BV380">
        <f t="shared" si="375"/>
        <v>-0.52218430034130003</v>
      </c>
      <c r="BW380"/>
      <c r="BX380">
        <f t="shared" si="392"/>
        <v>-522184300.34130001</v>
      </c>
      <c r="BY380">
        <f t="shared" si="386"/>
        <v>-0.81887037897393444</v>
      </c>
      <c r="BZ380" s="143">
        <v>0</v>
      </c>
      <c r="CA380" s="143">
        <v>0</v>
      </c>
      <c r="CB380" s="143">
        <v>0</v>
      </c>
      <c r="CC380" s="143">
        <v>0</v>
      </c>
      <c r="CD380" s="143">
        <v>0</v>
      </c>
      <c r="CE380" s="143">
        <v>0</v>
      </c>
      <c r="CF380" s="143">
        <v>0</v>
      </c>
      <c r="CG380" s="143">
        <v>0</v>
      </c>
      <c r="CH380" s="143">
        <v>0</v>
      </c>
      <c r="CI380" s="143">
        <v>0</v>
      </c>
      <c r="CJ380" s="143">
        <v>0</v>
      </c>
      <c r="CK380" s="143">
        <v>0</v>
      </c>
      <c r="CL380" s="143">
        <v>0</v>
      </c>
      <c r="CM380">
        <v>0</v>
      </c>
      <c r="CN380" t="str">
        <f t="shared" si="393"/>
        <v>refOK</v>
      </c>
      <c r="CO380">
        <f t="shared" si="394"/>
        <v>1.1674521913429727</v>
      </c>
      <c r="CP380">
        <f t="shared" si="395"/>
        <v>1.8051407849829213</v>
      </c>
      <c r="CQ380">
        <f t="shared" si="396"/>
        <v>637688593.63994861</v>
      </c>
      <c r="CR380">
        <f t="shared" si="377"/>
        <v>1.93686006825938</v>
      </c>
      <c r="CS380">
        <f t="shared" si="378"/>
        <v>1.4146757679180799</v>
      </c>
      <c r="CT380">
        <f t="shared" si="360"/>
        <v>-522184300.34130001</v>
      </c>
      <c r="CU380">
        <f t="shared" si="361"/>
        <v>-0.81887037897393444</v>
      </c>
      <c r="CV380" s="2">
        <f t="shared" si="362"/>
        <v>-0.2696035242290773</v>
      </c>
      <c r="CW380" s="1" t="s">
        <v>1202</v>
      </c>
      <c r="CX380" t="str">
        <f t="shared" si="363"/>
        <v>reg</v>
      </c>
      <c r="CY380" t="s">
        <v>666</v>
      </c>
      <c r="CZ380">
        <v>2010</v>
      </c>
      <c r="DA380">
        <v>2100</v>
      </c>
      <c r="DB380">
        <f t="shared" si="379"/>
        <v>90</v>
      </c>
      <c r="DC380" t="str">
        <f t="shared" si="364"/>
        <v>71-100</v>
      </c>
      <c r="DD380">
        <v>0</v>
      </c>
      <c r="DE380">
        <v>1</v>
      </c>
      <c r="DF380">
        <v>1</v>
      </c>
      <c r="DG380">
        <v>1</v>
      </c>
      <c r="DH380"/>
      <c r="DI380">
        <f t="shared" si="365"/>
        <v>3</v>
      </c>
      <c r="DJ380" t="str">
        <f t="shared" si="366"/>
        <v>mixedProduct</v>
      </c>
      <c r="DK380">
        <f t="shared" si="367"/>
        <v>0</v>
      </c>
      <c r="DL380" t="str">
        <f t="shared" si="368"/>
        <v>Energy</v>
      </c>
      <c r="DM380" t="str">
        <f t="shared" si="369"/>
        <v>Pulp/Paper</v>
      </c>
      <c r="DN380" t="str">
        <f t="shared" si="370"/>
        <v>Timber</v>
      </c>
      <c r="DO380">
        <v>1</v>
      </c>
      <c r="DP380" s="143">
        <v>0</v>
      </c>
      <c r="DQ380" s="143">
        <v>0</v>
      </c>
      <c r="DR380" s="143">
        <v>0</v>
      </c>
      <c r="DS380">
        <v>0</v>
      </c>
      <c r="DT380">
        <f t="shared" si="382"/>
        <v>1</v>
      </c>
      <c r="DU380" s="143" t="str">
        <f t="shared" si="383"/>
        <v>self-calculated DF</v>
      </c>
      <c r="DV380">
        <v>1</v>
      </c>
      <c r="DW380" s="143">
        <v>1</v>
      </c>
      <c r="DX380" s="143">
        <v>1</v>
      </c>
      <c r="DY380" s="143">
        <v>1</v>
      </c>
      <c r="DZ380">
        <v>1</v>
      </c>
      <c r="EA380" s="141">
        <v>1</v>
      </c>
      <c r="EB380">
        <v>0</v>
      </c>
      <c r="EC380" s="143">
        <v>1</v>
      </c>
      <c r="ED380" s="143">
        <v>1</v>
      </c>
      <c r="EE380">
        <v>0</v>
      </c>
      <c r="EF380">
        <v>1</v>
      </c>
      <c r="EG380" s="143">
        <v>0</v>
      </c>
      <c r="EH380" s="143">
        <v>0</v>
      </c>
      <c r="EI380" s="2">
        <v>0</v>
      </c>
      <c r="EJ380" s="1"/>
      <c r="EK380" t="str">
        <f t="shared" si="397"/>
        <v>Whole sector</v>
      </c>
      <c r="EL380" t="str">
        <f t="shared" si="398"/>
        <v/>
      </c>
      <c r="EM380" s="2" t="str">
        <f t="shared" si="387"/>
        <v/>
      </c>
      <c r="EN380" s="264" t="s">
        <v>3278</v>
      </c>
      <c r="EO380"/>
      <c r="EP380" t="str">
        <f>IF(ISNUMBER(BU380),IF(ABS(BU380-[5]QC_indicators!$B$2)&gt;3*[5]QC_indicators!$C$2,"C ratio",IF(ISNUMBER(BY380),IF(ABS(BY380-[5]QC_indicators!$B$1)&gt;3*[5]QC_indicators!$C$1,"DF","no"))),IF(ISNUMBER(BY380),IF(ABS(BY380-[5]QC_indicators!$B$1)&gt;3*[5]QC_indicators!$C$1,"DF","no")))</f>
        <v>no</v>
      </c>
      <c r="EQ380" t="s">
        <v>1346</v>
      </c>
      <c r="ER380"/>
      <c r="ES380"/>
      <c r="ET380" s="264" t="s">
        <v>3272</v>
      </c>
      <c r="EU380"/>
    </row>
    <row r="381" spans="1:151" s="139" customFormat="1" ht="15" hidden="1" customHeight="1">
      <c r="A381" s="1" t="s">
        <v>5076</v>
      </c>
      <c r="B381" t="s">
        <v>5077</v>
      </c>
      <c r="C381" t="s">
        <v>5078</v>
      </c>
      <c r="D381" t="s">
        <v>5079</v>
      </c>
      <c r="E381" t="s">
        <v>5080</v>
      </c>
      <c r="F381" t="s">
        <v>5081</v>
      </c>
      <c r="G381" t="s">
        <v>5082</v>
      </c>
      <c r="H381" t="s">
        <v>3790</v>
      </c>
      <c r="I381">
        <v>2016</v>
      </c>
      <c r="J381">
        <v>34</v>
      </c>
      <c r="K381" t="s">
        <v>5083</v>
      </c>
      <c r="L381"/>
      <c r="M381" t="str">
        <f t="shared" si="340"/>
        <v>Brunet-Navarro_2016</v>
      </c>
      <c r="N381" s="311" t="s">
        <v>2585</v>
      </c>
      <c r="O381" t="s">
        <v>223</v>
      </c>
      <c r="P381"/>
      <c r="Q381" s="311" t="s">
        <v>389</v>
      </c>
      <c r="R381" s="312"/>
      <c r="S381" s="1"/>
      <c r="T381"/>
      <c r="U381"/>
      <c r="V381"/>
      <c r="W381"/>
      <c r="X381"/>
      <c r="Y381"/>
      <c r="Z381"/>
      <c r="AA381"/>
      <c r="AB381"/>
      <c r="AC381"/>
      <c r="AD381"/>
      <c r="AE381"/>
      <c r="AF381"/>
      <c r="AG381"/>
      <c r="AH381"/>
      <c r="AI381"/>
      <c r="AJ381"/>
      <c r="AK381"/>
      <c r="AL381"/>
      <c r="AM381"/>
      <c r="AN381"/>
      <c r="AO381"/>
      <c r="AP381"/>
      <c r="AQ381"/>
      <c r="AR381"/>
      <c r="AS381"/>
      <c r="AT381"/>
      <c r="AU381"/>
      <c r="AV381"/>
      <c r="AW381"/>
      <c r="AX381" s="141"/>
      <c r="AY381" s="141"/>
      <c r="AZ381"/>
      <c r="BA381"/>
      <c r="BB381"/>
      <c r="BC381"/>
      <c r="BD381"/>
      <c r="BE381"/>
      <c r="BF381" s="2"/>
      <c r="BG381" s="1"/>
      <c r="BH381"/>
      <c r="BI381"/>
      <c r="BJ381" s="143"/>
      <c r="BK381"/>
      <c r="BL381" s="143"/>
      <c r="BM381"/>
      <c r="BN381" s="158"/>
      <c r="BO381" s="159"/>
      <c r="BP381"/>
      <c r="BQ381"/>
      <c r="BR381"/>
      <c r="BS381" s="143"/>
      <c r="BT381"/>
      <c r="BU381" s="144"/>
      <c r="BV381"/>
      <c r="BW381"/>
      <c r="BX381"/>
      <c r="BY381" t="str">
        <f t="shared" si="386"/>
        <v/>
      </c>
      <c r="BZ381"/>
      <c r="CA381"/>
      <c r="CB381"/>
      <c r="CC381"/>
      <c r="CD381"/>
      <c r="CE381"/>
      <c r="CF381"/>
      <c r="CG381"/>
      <c r="CH381"/>
      <c r="CI381"/>
      <c r="CJ381"/>
      <c r="CK381"/>
      <c r="CL381"/>
      <c r="CM381"/>
      <c r="CN381"/>
      <c r="CO381"/>
      <c r="CP381"/>
      <c r="CQ381"/>
      <c r="CR381"/>
      <c r="CS381"/>
      <c r="CT381"/>
      <c r="CU381"/>
      <c r="CV381" s="2"/>
      <c r="CW381" s="1"/>
      <c r="CX381"/>
      <c r="CY381"/>
      <c r="CZ381" s="143"/>
      <c r="DA381" s="143"/>
      <c r="DB381" s="143"/>
      <c r="DC381"/>
      <c r="DD381"/>
      <c r="DE381"/>
      <c r="DF381"/>
      <c r="DG381"/>
      <c r="DH381"/>
      <c r="DI381"/>
      <c r="DJ381"/>
      <c r="DK381"/>
      <c r="DL381"/>
      <c r="DM381"/>
      <c r="DN381"/>
      <c r="DO381"/>
      <c r="DP381"/>
      <c r="DQ381"/>
      <c r="DR381"/>
      <c r="DS381"/>
      <c r="DT381"/>
      <c r="DU381" s="143"/>
      <c r="DV381" s="143"/>
      <c r="DW381" s="143"/>
      <c r="DX381" s="143"/>
      <c r="DY381" s="143"/>
      <c r="DZ381"/>
      <c r="EA381"/>
      <c r="EB381" s="143"/>
      <c r="EC381"/>
      <c r="ED381" s="143"/>
      <c r="EE381"/>
      <c r="EF381"/>
      <c r="EG381" s="143"/>
      <c r="EH381" s="143"/>
      <c r="EI381" s="2"/>
      <c r="EJ381" s="1"/>
      <c r="EK381" t="str">
        <f>IF(AND(AND(AND(OR($DX381=1,$DW381=1),OR($EC381=1,$EA381=1)),SUM($DV381:$DZ381,$EF381)&gt;=3),SUM($EA381:$EE381)&gt;=2),"Whole sector","")</f>
        <v/>
      </c>
      <c r="EL381" t="str">
        <f>IF(AND(AND(OR($DX381=1,$DW381=1),AND($EC381=0,$EA381=0)),SUM($DV381:$DZ381,$EF381)&gt;=3),"Ecosystem approach","")</f>
        <v/>
      </c>
      <c r="EM381" s="2" t="str">
        <f t="shared" si="387"/>
        <v/>
      </c>
      <c r="EN381"/>
      <c r="EO381"/>
      <c r="EP381" t="b">
        <f>IF(ISNUMBER(BU381),IF(ABS(BU381-[1]QC_indicators!$B$2)&gt;3*[1]QC_indicators!$C$2,"C ratio",IF(ISNUMBER(BY381),IF(ABS(BY381-[1]QC_indicators!$B$1)&gt;3*[1]QC_indicators!$C$1,"DF","no"))),IF(ISNUMBER(BY381),IF(ABS(BY381-[1]QC_indicators!$B$1)&gt;3*[1]QC_indicators!$C$1,"DF","no")))</f>
        <v>0</v>
      </c>
      <c r="EQ381"/>
      <c r="ER381" s="149"/>
      <c r="ES381"/>
      <c r="ET381"/>
      <c r="EU381"/>
    </row>
    <row r="382" spans="1:151" s="139" customFormat="1" ht="15" hidden="1" customHeight="1">
      <c r="A382" s="1" t="s">
        <v>4947</v>
      </c>
      <c r="B382" t="s">
        <v>4948</v>
      </c>
      <c r="C382" t="s">
        <v>544</v>
      </c>
      <c r="D382" t="s">
        <v>4949</v>
      </c>
      <c r="E382" s="328" t="s">
        <v>4950</v>
      </c>
      <c r="F382" t="s">
        <v>4951</v>
      </c>
      <c r="G382" t="s">
        <v>544</v>
      </c>
      <c r="H382" t="s">
        <v>3964</v>
      </c>
      <c r="I382">
        <v>2009</v>
      </c>
      <c r="J382">
        <v>0</v>
      </c>
      <c r="K382" t="s">
        <v>544</v>
      </c>
      <c r="L382"/>
      <c r="M382" t="str">
        <f t="shared" si="340"/>
        <v>Buchanan_2009</v>
      </c>
      <c r="N382" s="155" t="s">
        <v>2583</v>
      </c>
      <c r="O382" s="140" t="s">
        <v>223</v>
      </c>
      <c r="P382"/>
      <c r="Q382"/>
      <c r="R382" s="2"/>
      <c r="S382" s="1"/>
      <c r="T382"/>
      <c r="U382"/>
      <c r="V382"/>
      <c r="W382"/>
      <c r="X382"/>
      <c r="Y382"/>
      <c r="Z382"/>
      <c r="AA382"/>
      <c r="AB382"/>
      <c r="AC382"/>
      <c r="AD382"/>
      <c r="AE382"/>
      <c r="AF382"/>
      <c r="AG382"/>
      <c r="AH382"/>
      <c r="AI382"/>
      <c r="AJ382"/>
      <c r="AK382"/>
      <c r="AL382"/>
      <c r="AM382"/>
      <c r="AN382"/>
      <c r="AO382"/>
      <c r="AP382"/>
      <c r="AQ382"/>
      <c r="AR382"/>
      <c r="AS382"/>
      <c r="AT382"/>
      <c r="AU382"/>
      <c r="AV382"/>
      <c r="AW382"/>
      <c r="AX382"/>
      <c r="AY382"/>
      <c r="AZ382"/>
      <c r="BA382"/>
      <c r="BB382"/>
      <c r="BC382"/>
      <c r="BD382"/>
      <c r="BE382"/>
      <c r="BF382" s="2"/>
      <c r="BG382" s="1"/>
      <c r="BH382"/>
      <c r="BI382"/>
      <c r="BJ382"/>
      <c r="BK382"/>
      <c r="BL382"/>
      <c r="BM382"/>
      <c r="BN382"/>
      <c r="BO382"/>
      <c r="BP382"/>
      <c r="BQ382"/>
      <c r="BR382"/>
      <c r="BS382"/>
      <c r="BT382"/>
      <c r="BU382"/>
      <c r="BV382"/>
      <c r="BW382"/>
      <c r="BX382"/>
      <c r="BY382" t="str">
        <f t="shared" si="386"/>
        <v/>
      </c>
      <c r="BZ382"/>
      <c r="CA382"/>
      <c r="CB382"/>
      <c r="CC382"/>
      <c r="CD382"/>
      <c r="CE382"/>
      <c r="CF382"/>
      <c r="CG382"/>
      <c r="CH382"/>
      <c r="CI382"/>
      <c r="CJ382"/>
      <c r="CK382"/>
      <c r="CL382"/>
      <c r="CM382"/>
      <c r="CN382"/>
      <c r="CO382"/>
      <c r="CP382"/>
      <c r="CQ382"/>
      <c r="CR382"/>
      <c r="CS382"/>
      <c r="CT382"/>
      <c r="CU382"/>
      <c r="CV382" s="2"/>
      <c r="CW382" s="1"/>
      <c r="CX382"/>
      <c r="CY382"/>
      <c r="CZ382"/>
      <c r="DA382"/>
      <c r="DB382"/>
      <c r="DC382"/>
      <c r="DD382"/>
      <c r="DE382"/>
      <c r="DF382"/>
      <c r="DG382"/>
      <c r="DH382"/>
      <c r="DI382"/>
      <c r="DJ382"/>
      <c r="DK382"/>
      <c r="DL382"/>
      <c r="DM382"/>
      <c r="DN382"/>
      <c r="DO382"/>
      <c r="DP382"/>
      <c r="DQ382"/>
      <c r="DR382"/>
      <c r="DS382"/>
      <c r="DT382"/>
      <c r="DU382"/>
      <c r="DV382"/>
      <c r="DW382"/>
      <c r="DX382"/>
      <c r="DY382"/>
      <c r="DZ382"/>
      <c r="EA382"/>
      <c r="EB382"/>
      <c r="EC382"/>
      <c r="ED382"/>
      <c r="EE382"/>
      <c r="EF382"/>
      <c r="EG382"/>
      <c r="EH382"/>
      <c r="EI382" s="2"/>
      <c r="EJ382" s="1"/>
      <c r="EK382" t="str">
        <f>IF(AND(AND(AND(OR($DX382=1,$DW382=1),OR($EC382=1,$EA382=1)),SUM($DV382:$DZ382,$EF382)&gt;=3),SUM($EA382:$EE382)&gt;=2),"Whole sector","")</f>
        <v/>
      </c>
      <c r="EL382" t="str">
        <f>IF(AND(AND(OR($DX382=1,$DW382=1),AND($EC382=0,$EA382=0)),SUM($DV382:$DZ382,$EF382)&gt;=3),"Ecosystem approach","")</f>
        <v/>
      </c>
      <c r="EM382" s="2" t="str">
        <f t="shared" si="387"/>
        <v/>
      </c>
      <c r="EN382"/>
      <c r="EO382"/>
      <c r="EP382" t="b">
        <f>IF(ISNUMBER(BU382),IF(ABS(BU382-[1]QC_indicators!$B$2)&gt;3*[1]QC_indicators!$C$2,"C ratio",IF(ISNUMBER(BY382),IF(ABS(BY382-[1]QC_indicators!$B$1)&gt;3*[1]QC_indicators!$C$1,"DF","no"))),IF(ISNUMBER(BY382),IF(ABS(BY382-[1]QC_indicators!$B$1)&gt;3*[1]QC_indicators!$C$1,"DF","no")))</f>
        <v>0</v>
      </c>
      <c r="EQ382"/>
      <c r="ER382"/>
      <c r="ES382"/>
      <c r="ET382"/>
      <c r="EU382"/>
    </row>
    <row r="383" spans="1:151" s="139" customFormat="1" ht="15" hidden="1" customHeight="1">
      <c r="A383" s="1" t="s">
        <v>486</v>
      </c>
      <c r="B383" t="s">
        <v>487</v>
      </c>
      <c r="C383" t="s">
        <v>488</v>
      </c>
      <c r="D383" t="s">
        <v>489</v>
      </c>
      <c r="E383" t="s">
        <v>490</v>
      </c>
      <c r="F383" t="s">
        <v>491</v>
      </c>
      <c r="G383" t="s">
        <v>492</v>
      </c>
      <c r="H383" t="s">
        <v>254</v>
      </c>
      <c r="I383">
        <v>2019</v>
      </c>
      <c r="J383">
        <v>3</v>
      </c>
      <c r="K383" t="s">
        <v>493</v>
      </c>
      <c r="L383"/>
      <c r="M383" t="str">
        <f t="shared" si="340"/>
        <v>Butarbutar_2019</v>
      </c>
      <c r="N383" t="s">
        <v>222</v>
      </c>
      <c r="O383" s="145" t="s">
        <v>223</v>
      </c>
      <c r="P383"/>
      <c r="Q383" s="264" t="s">
        <v>256</v>
      </c>
      <c r="R383" s="269" t="s">
        <v>1153</v>
      </c>
      <c r="S383" s="1" t="s">
        <v>500</v>
      </c>
      <c r="T383" t="s">
        <v>501</v>
      </c>
      <c r="U383" t="s">
        <v>502</v>
      </c>
      <c r="V383">
        <v>0</v>
      </c>
      <c r="W383">
        <v>0</v>
      </c>
      <c r="X383">
        <v>0</v>
      </c>
      <c r="Y383">
        <v>0</v>
      </c>
      <c r="Z383">
        <v>0</v>
      </c>
      <c r="AA383">
        <v>0</v>
      </c>
      <c r="AB383">
        <v>0</v>
      </c>
      <c r="AC383">
        <v>1</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s="141">
        <f t="shared" ref="AX383:AX408" si="399">COUNTIF(V383:AW383,"&lt;&gt;0")</f>
        <v>1</v>
      </c>
      <c r="AY383" s="141">
        <f t="shared" ref="AY383:AY408" si="400">COUNTIF(V383:AL383,"&lt;&gt;0")</f>
        <v>1</v>
      </c>
      <c r="AZ383">
        <f t="shared" ref="AZ383:AZ408" si="401">COUNTIF(V383:AC383,"&lt;&gt;0")</f>
        <v>1</v>
      </c>
      <c r="BA383">
        <f t="shared" ref="BA383:BA408" si="402">COUNTIF(AD383:AI383,"&lt;&gt;0")</f>
        <v>0</v>
      </c>
      <c r="BB383">
        <f t="shared" ref="BB383:BB408" si="403">COUNTIF(AJ383:AL383,"&lt;&gt;0")</f>
        <v>0</v>
      </c>
      <c r="BC383">
        <f t="shared" ref="BC383:BC408" si="404">COUNTIF(AS383:AW383,"&lt;&gt;0")</f>
        <v>0</v>
      </c>
      <c r="BD383">
        <f t="shared" ref="BD383:BD408" si="405">COUNTIF(AM383:AR383,"&lt;&gt;0")</f>
        <v>0</v>
      </c>
      <c r="BE383" t="str" cm="1">
        <f t="array" ref="BE383">IF(AY383=1,INDEX($V$7:$AL$7,MATCH(TRUE,INDEX($V383:$AW383&lt;&gt;0,),0)),IF(AY383=0,INDEX($AM$7:$AW$7,MATCH(1,$AM383:$AW383,0)),IF(BF383="Multiple strategies","mixed drivers",IF(BF383="Supply chain","multiple supply","multiple silviculture"))))</f>
        <v>site fertility</v>
      </c>
      <c r="BF383" s="2" t="str" cm="1">
        <f t="array" ref="BF383">IF(COUNTIF(AZ383:BB383,"&lt;&gt;0")=1,INDEX($V$4:$AW$4,MATCH(TRUE,INDEX($V383:$AW383&lt;&gt;0,),0)),IF(COUNTIF(AZ383:BB383,"&lt;&gt;0")=0,INDEX($AM$4:$AW$4,MATCH(1,$AM383:$AW383,0)),"Multiple strategies"))</f>
        <v>Silviculture for productivity</v>
      </c>
      <c r="BG383" s="1" t="s">
        <v>321</v>
      </c>
      <c r="BH383" t="s">
        <v>497</v>
      </c>
      <c r="BI383"/>
      <c r="BJ383" t="s">
        <v>498</v>
      </c>
      <c r="BK383">
        <v>165.50800000000001</v>
      </c>
      <c r="BL383">
        <v>236.78800000000001</v>
      </c>
      <c r="BM383"/>
      <c r="BN383">
        <f t="shared" ref="BN383:BN406" si="406">BL383-BK383</f>
        <v>71.28</v>
      </c>
      <c r="BO383">
        <f t="shared" ref="BO383:BO388" si="407">BL383-BK383</f>
        <v>71.28</v>
      </c>
      <c r="BP383" s="264" t="s">
        <v>232</v>
      </c>
      <c r="BQ383" s="264"/>
      <c r="BR383" t="s">
        <v>278</v>
      </c>
      <c r="BS383">
        <v>-55.46</v>
      </c>
      <c r="BT383">
        <v>-65.53</v>
      </c>
      <c r="BU383" s="144">
        <v>1.1815723043635051</v>
      </c>
      <c r="BV383">
        <v>-10.07</v>
      </c>
      <c r="BW383"/>
      <c r="BX383">
        <f t="shared" ref="BX383:BX388" si="408">BV383*C_to_CO2</f>
        <v>-36.956899999999997</v>
      </c>
      <c r="BY383">
        <f t="shared" si="386"/>
        <v>-0.51847502805836132</v>
      </c>
      <c r="BZ383" s="143">
        <v>0</v>
      </c>
      <c r="CA383" s="143">
        <v>0</v>
      </c>
      <c r="CB383" s="143">
        <v>0</v>
      </c>
      <c r="CC383" s="143">
        <v>0</v>
      </c>
      <c r="CD383" s="143">
        <v>0</v>
      </c>
      <c r="CE383" s="143">
        <v>0</v>
      </c>
      <c r="CF383" s="143">
        <v>0</v>
      </c>
      <c r="CG383" s="143">
        <v>0</v>
      </c>
      <c r="CH383" s="143">
        <v>0</v>
      </c>
      <c r="CI383" s="143">
        <v>0</v>
      </c>
      <c r="CJ383" s="143">
        <v>0</v>
      </c>
      <c r="CK383" s="143">
        <v>0</v>
      </c>
      <c r="CL383" s="143">
        <v>0</v>
      </c>
      <c r="CM383">
        <v>0</v>
      </c>
      <c r="CN383" t="str">
        <f t="shared" ref="CN383:CN406" si="409">IF($BL383&lt;$BK383,"refNeedCorrection","refOK")</f>
        <v>refOK</v>
      </c>
      <c r="CO383">
        <f>IF($CN383="refOK",$BK383,$BL383)</f>
        <v>165.50800000000001</v>
      </c>
      <c r="CP383">
        <f>IF($CN383="refOK",$BL383,$BK383)</f>
        <v>236.78800000000001</v>
      </c>
      <c r="CQ383">
        <f t="shared" ref="CQ383:CQ406" si="410">IF($CN383="refOK",$BO383,-$BO383)</f>
        <v>71.28</v>
      </c>
      <c r="CR383">
        <f t="shared" ref="CR383:CR408" si="411">IF($CN383="refOK",$BS383,$BT383)*IF($BP383="Emissions positive",-1,1)</f>
        <v>-55.46</v>
      </c>
      <c r="CS383">
        <f t="shared" ref="CS383:CS408" si="412">IF($CN383="refOK",$BT383,$BS383)*IF($BP383="Emissions positive",-1,1)</f>
        <v>-65.53</v>
      </c>
      <c r="CT383">
        <f t="shared" ref="CT383:CT397" si="413">IF($CN383="refNeedCorrection",-BX383,BX383)*IF($BP383="Emissions positive",-1,1)</f>
        <v>-36.956899999999997</v>
      </c>
      <c r="CU383">
        <f t="shared" ref="CU383:CU408" si="414">IFERROR(CT383/CQ383,"")</f>
        <v>-0.51847502805836132</v>
      </c>
      <c r="CV383" s="2">
        <f t="shared" ref="CV383:CV397" si="415">IFERROR((CS383-CR383)/ABS(CR383),"")</f>
        <v>-0.18157230436350524</v>
      </c>
      <c r="CW383" s="1" t="s">
        <v>234</v>
      </c>
      <c r="CX383" s="264" t="str">
        <f t="shared" ref="CX383:CX408" si="416">IF(OR($CW383="prd",$CW383="std",$CW383="cit"),"loc",IF(OR($CW383="eur",$CW383="reg",$CW383="coy"),"reg",$CW383))</f>
        <v>loc</v>
      </c>
      <c r="CY383" t="s">
        <v>280</v>
      </c>
      <c r="CZ383">
        <v>1985</v>
      </c>
      <c r="DA383">
        <v>2016</v>
      </c>
      <c r="DB383">
        <f t="shared" ref="DB383:DB398" si="417">DA383-CZ383</f>
        <v>31</v>
      </c>
      <c r="DC383" t="str">
        <f t="shared" ref="DC383:DC408" si="418">IF(DB383=0,"0",IF(AND(DB383&gt;=1,DB383&lt;=30),"1-30",IF(AND(DB383&gt;30,DB383&lt;=70),"31-70",IF(AND(DB383&gt;70,DB383&lt;=100),"71-100",IF(DB383&gt;100,"+100")))))</f>
        <v>31-70</v>
      </c>
      <c r="DD383">
        <v>1</v>
      </c>
      <c r="DE383">
        <v>0</v>
      </c>
      <c r="DF383">
        <v>0</v>
      </c>
      <c r="DG383">
        <v>0</v>
      </c>
      <c r="DH383"/>
      <c r="DI383">
        <f t="shared" ref="DI383:DI408" si="419">SUM(DD383:DG383)</f>
        <v>1</v>
      </c>
      <c r="DJ383" t="str">
        <f t="shared" ref="DJ383:DJ408" si="420">IF(DI383=1,INDEX($DD$7:$DG$7,MATCH(1,$DD383:$DG383,0)),"mixedProduct")</f>
        <v>UpstreamInput</v>
      </c>
      <c r="DK383" t="str">
        <f t="shared" ref="DK383:DK408" si="421">IF(DD383=1,DK$7,0)</f>
        <v>Upstream</v>
      </c>
      <c r="DL383">
        <f t="shared" ref="DL383:DL408" si="422">IF(DE383=1,DL$7,0)</f>
        <v>0</v>
      </c>
      <c r="DM383">
        <f t="shared" ref="DM383:DM408" si="423">IF(DF383=1,DM$7,0)</f>
        <v>0</v>
      </c>
      <c r="DN383">
        <f t="shared" ref="DN383:DN408" si="424">IF(DG383=1,DN$7,0)</f>
        <v>0</v>
      </c>
      <c r="DO383">
        <v>0</v>
      </c>
      <c r="DP383" s="143">
        <v>0</v>
      </c>
      <c r="DQ383" s="143">
        <v>0</v>
      </c>
      <c r="DR383" s="143">
        <v>0</v>
      </c>
      <c r="DS383">
        <v>0</v>
      </c>
      <c r="DT383">
        <f t="shared" ref="DT383:DT408" si="425">SUM(DO383:DP383)</f>
        <v>0</v>
      </c>
      <c r="DU383" s="143" t="str">
        <f t="shared" ref="DU383:DU408" si="426">IF(DO383=1,"self-calculated DF",IF(DP383=1,"external DF used","explicit C balance"))</f>
        <v>explicit C balance</v>
      </c>
      <c r="DV383">
        <v>1</v>
      </c>
      <c r="DW383" s="143">
        <v>1</v>
      </c>
      <c r="DX383" s="143">
        <v>1</v>
      </c>
      <c r="DY383" s="143">
        <v>0</v>
      </c>
      <c r="DZ383">
        <v>0</v>
      </c>
      <c r="EA383" s="141">
        <v>0</v>
      </c>
      <c r="EB383">
        <v>0</v>
      </c>
      <c r="EC383" s="143">
        <v>0</v>
      </c>
      <c r="ED383" s="143">
        <v>0</v>
      </c>
      <c r="EE383">
        <v>0</v>
      </c>
      <c r="EF383">
        <v>1</v>
      </c>
      <c r="EG383" s="143">
        <v>0</v>
      </c>
      <c r="EH383" s="143">
        <v>0</v>
      </c>
      <c r="EI383" s="2">
        <v>0</v>
      </c>
      <c r="EJ383" s="1"/>
      <c r="EK383" t="str">
        <f t="shared" ref="EK383:EK406" si="427">IF(AND(AND(AND(OR($DX383=1,$DW383=1),OR($EC383=1,$EA383=1)),SUM($DV383:$DZ383,$EF383)&gt;=4),SUM($EA383:$EE383)&gt;=2),"Whole sector","")</f>
        <v/>
      </c>
      <c r="EL383" t="str">
        <f t="shared" ref="EL383:EL406" si="428">IF(AND(AND(OR($DX383=1,$DW383=1),AND($EC383=0,$EA383=0)),SUM($DV383:$DZ383,$EF383)&gt;=4),"Ecosystem approach","")</f>
        <v>Ecosystem approach</v>
      </c>
      <c r="EM383" s="2" t="str">
        <f t="shared" si="387"/>
        <v/>
      </c>
      <c r="EN383"/>
      <c r="EO383"/>
      <c r="EP383" t="str">
        <f>IF(ISNUMBER(BU383),IF(ABS(BU383-[4]QC_indicators!$B$2)&gt;3*[4]QC_indicators!$C$2,"C ratio",IF(ISNUMBER(BY383),IF(ABS(BY383-[4]QC_indicators!$B$1)&gt;3*[4]QC_indicators!$C$1,"DF","no"))),IF(ISNUMBER(BY383),IF(ABS(BY383-[4]QC_indicators!$B$1)&gt;3*[4]QC_indicators!$C$1,"DF","no")))</f>
        <v>no</v>
      </c>
      <c r="EQ383"/>
      <c r="ER383" s="294" t="s">
        <v>349</v>
      </c>
      <c r="ES383"/>
      <c r="ET383" s="264" t="s">
        <v>3406</v>
      </c>
      <c r="EU383"/>
    </row>
    <row r="384" spans="1:151" s="139" customFormat="1" ht="15" hidden="1" customHeight="1">
      <c r="A384" s="1" t="s">
        <v>486</v>
      </c>
      <c r="B384" t="s">
        <v>487</v>
      </c>
      <c r="C384" t="s">
        <v>488</v>
      </c>
      <c r="D384" t="s">
        <v>489</v>
      </c>
      <c r="E384" t="s">
        <v>490</v>
      </c>
      <c r="F384" t="s">
        <v>491</v>
      </c>
      <c r="G384" t="s">
        <v>492</v>
      </c>
      <c r="H384" t="s">
        <v>254</v>
      </c>
      <c r="I384">
        <v>2019</v>
      </c>
      <c r="J384">
        <v>3</v>
      </c>
      <c r="K384" t="s">
        <v>493</v>
      </c>
      <c r="L384"/>
      <c r="M384" t="str">
        <f t="shared" si="340"/>
        <v>Butarbutar_2019</v>
      </c>
      <c r="N384" t="s">
        <v>222</v>
      </c>
      <c r="O384" s="145" t="s">
        <v>223</v>
      </c>
      <c r="P384"/>
      <c r="Q384" s="264" t="s">
        <v>256</v>
      </c>
      <c r="R384" s="269" t="s">
        <v>1153</v>
      </c>
      <c r="S384" s="1" t="s">
        <v>500</v>
      </c>
      <c r="T384" t="s">
        <v>501</v>
      </c>
      <c r="U384" t="s">
        <v>503</v>
      </c>
      <c r="V384">
        <v>0</v>
      </c>
      <c r="W384">
        <v>0</v>
      </c>
      <c r="X384">
        <v>0</v>
      </c>
      <c r="Y384">
        <v>0</v>
      </c>
      <c r="Z384">
        <v>0</v>
      </c>
      <c r="AA384">
        <v>0</v>
      </c>
      <c r="AB384">
        <v>0</v>
      </c>
      <c r="AC384">
        <v>1</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s="141">
        <f t="shared" si="399"/>
        <v>1</v>
      </c>
      <c r="AY384" s="141">
        <f t="shared" si="400"/>
        <v>1</v>
      </c>
      <c r="AZ384">
        <f t="shared" si="401"/>
        <v>1</v>
      </c>
      <c r="BA384">
        <f t="shared" si="402"/>
        <v>0</v>
      </c>
      <c r="BB384">
        <f t="shared" si="403"/>
        <v>0</v>
      </c>
      <c r="BC384">
        <f t="shared" si="404"/>
        <v>0</v>
      </c>
      <c r="BD384">
        <f t="shared" si="405"/>
        <v>0</v>
      </c>
      <c r="BE384" t="str" cm="1">
        <f t="array" ref="BE384">IF(AY384=1,INDEX($V$7:$AL$7,MATCH(TRUE,INDEX($V384:$AW384&lt;&gt;0,),0)),IF(AY384=0,INDEX($AM$7:$AW$7,MATCH(1,$AM384:$AW384,0)),IF(BF384="Multiple strategies","mixed drivers",IF(BF384="Supply chain","multiple supply","multiple silviculture"))))</f>
        <v>site fertility</v>
      </c>
      <c r="BF384" s="2" t="str" cm="1">
        <f t="array" ref="BF384">IF(COUNTIF(AZ384:BB384,"&lt;&gt;0")=1,INDEX($V$4:$AW$4,MATCH(TRUE,INDEX($V384:$AW384&lt;&gt;0,),0)),IF(COUNTIF(AZ384:BB384,"&lt;&gt;0")=0,INDEX($AM$4:$AW$4,MATCH(1,$AM384:$AW384,0)),"Multiple strategies"))</f>
        <v>Silviculture for productivity</v>
      </c>
      <c r="BG384" s="1" t="s">
        <v>321</v>
      </c>
      <c r="BH384" t="s">
        <v>497</v>
      </c>
      <c r="BI384"/>
      <c r="BJ384" t="s">
        <v>498</v>
      </c>
      <c r="BK384">
        <v>165.50800000000001</v>
      </c>
      <c r="BL384">
        <v>648.06500000000005</v>
      </c>
      <c r="BM384"/>
      <c r="BN384">
        <f t="shared" si="406"/>
        <v>482.55700000000002</v>
      </c>
      <c r="BO384">
        <f t="shared" si="407"/>
        <v>482.55700000000002</v>
      </c>
      <c r="BP384" s="264" t="s">
        <v>232</v>
      </c>
      <c r="BQ384" s="264"/>
      <c r="BR384" t="s">
        <v>278</v>
      </c>
      <c r="BS384">
        <v>-55.46</v>
      </c>
      <c r="BT384">
        <v>-48.93</v>
      </c>
      <c r="BU384" s="144">
        <v>0.88225748287053729</v>
      </c>
      <c r="BV384">
        <v>6.5300000000000011</v>
      </c>
      <c r="BW384"/>
      <c r="BX384">
        <f t="shared" si="408"/>
        <v>23.965100000000003</v>
      </c>
      <c r="BY384">
        <f t="shared" si="386"/>
        <v>4.9662734143324005E-2</v>
      </c>
      <c r="BZ384" s="143">
        <v>0</v>
      </c>
      <c r="CA384" s="143">
        <v>0</v>
      </c>
      <c r="CB384" s="143">
        <v>0</v>
      </c>
      <c r="CC384" s="143">
        <v>0</v>
      </c>
      <c r="CD384" s="143">
        <v>0</v>
      </c>
      <c r="CE384" s="143">
        <v>0</v>
      </c>
      <c r="CF384" s="143">
        <v>0</v>
      </c>
      <c r="CG384" s="143">
        <v>0</v>
      </c>
      <c r="CH384" s="143">
        <v>0</v>
      </c>
      <c r="CI384" s="143">
        <v>0</v>
      </c>
      <c r="CJ384" s="143">
        <v>0</v>
      </c>
      <c r="CK384" s="143">
        <v>0</v>
      </c>
      <c r="CL384" s="143">
        <v>0</v>
      </c>
      <c r="CM384">
        <v>0</v>
      </c>
      <c r="CN384" t="str">
        <f t="shared" si="409"/>
        <v>refOK</v>
      </c>
      <c r="CO384">
        <f>IF($CN384="refNeedCorrection",BL384,BK384)</f>
        <v>165.50800000000001</v>
      </c>
      <c r="CP384">
        <f>IF($CN384="refNeedCorrection",BK384,BL384)</f>
        <v>648.06500000000005</v>
      </c>
      <c r="CQ384">
        <f t="shared" si="410"/>
        <v>482.55700000000002</v>
      </c>
      <c r="CR384">
        <f t="shared" si="411"/>
        <v>-55.46</v>
      </c>
      <c r="CS384">
        <f t="shared" si="412"/>
        <v>-48.93</v>
      </c>
      <c r="CT384">
        <f t="shared" si="413"/>
        <v>23.965100000000003</v>
      </c>
      <c r="CU384">
        <f t="shared" si="414"/>
        <v>4.9662734143324005E-2</v>
      </c>
      <c r="CV384" s="2">
        <f t="shared" si="415"/>
        <v>0.1177425171294627</v>
      </c>
      <c r="CW384" s="1" t="s">
        <v>234</v>
      </c>
      <c r="CX384" s="264" t="str">
        <f t="shared" si="416"/>
        <v>loc</v>
      </c>
      <c r="CY384" t="s">
        <v>280</v>
      </c>
      <c r="CZ384">
        <v>1985</v>
      </c>
      <c r="DA384">
        <v>2016</v>
      </c>
      <c r="DB384">
        <f t="shared" si="417"/>
        <v>31</v>
      </c>
      <c r="DC384" t="str">
        <f t="shared" si="418"/>
        <v>31-70</v>
      </c>
      <c r="DD384">
        <v>1</v>
      </c>
      <c r="DE384">
        <v>0</v>
      </c>
      <c r="DF384">
        <v>0</v>
      </c>
      <c r="DG384">
        <v>0</v>
      </c>
      <c r="DH384"/>
      <c r="DI384">
        <f t="shared" si="419"/>
        <v>1</v>
      </c>
      <c r="DJ384" t="str">
        <f t="shared" si="420"/>
        <v>UpstreamInput</v>
      </c>
      <c r="DK384" t="str">
        <f t="shared" si="421"/>
        <v>Upstream</v>
      </c>
      <c r="DL384">
        <f t="shared" si="422"/>
        <v>0</v>
      </c>
      <c r="DM384">
        <f t="shared" si="423"/>
        <v>0</v>
      </c>
      <c r="DN384">
        <f t="shared" si="424"/>
        <v>0</v>
      </c>
      <c r="DO384">
        <v>0</v>
      </c>
      <c r="DP384" s="143">
        <v>0</v>
      </c>
      <c r="DQ384" s="143">
        <v>0</v>
      </c>
      <c r="DR384" s="143">
        <v>0</v>
      </c>
      <c r="DS384">
        <v>0</v>
      </c>
      <c r="DT384">
        <f t="shared" si="425"/>
        <v>0</v>
      </c>
      <c r="DU384" s="143" t="str">
        <f t="shared" si="426"/>
        <v>explicit C balance</v>
      </c>
      <c r="DV384">
        <v>1</v>
      </c>
      <c r="DW384" s="143">
        <v>1</v>
      </c>
      <c r="DX384" s="143">
        <v>1</v>
      </c>
      <c r="DY384" s="143">
        <v>0</v>
      </c>
      <c r="DZ384">
        <v>0</v>
      </c>
      <c r="EA384" s="141">
        <v>0</v>
      </c>
      <c r="EB384">
        <v>0</v>
      </c>
      <c r="EC384" s="143">
        <v>0</v>
      </c>
      <c r="ED384" s="143">
        <v>0</v>
      </c>
      <c r="EE384">
        <v>0</v>
      </c>
      <c r="EF384">
        <v>1</v>
      </c>
      <c r="EG384" s="143">
        <v>0</v>
      </c>
      <c r="EH384" s="143">
        <v>0</v>
      </c>
      <c r="EI384" s="2">
        <v>0</v>
      </c>
      <c r="EJ384" s="1"/>
      <c r="EK384" t="str">
        <f t="shared" si="427"/>
        <v/>
      </c>
      <c r="EL384" t="str">
        <f t="shared" si="428"/>
        <v>Ecosystem approach</v>
      </c>
      <c r="EM384" s="2" t="str">
        <f t="shared" si="387"/>
        <v/>
      </c>
      <c r="EN384"/>
      <c r="EO384"/>
      <c r="EP384" t="str">
        <f>IF(ISNUMBER(BU384),IF(ABS(BU384-[4]QC_indicators!$B$2)&gt;3*[4]QC_indicators!$C$2,"C ratio",IF(ISNUMBER(BY384),IF(ABS(BY384-[4]QC_indicators!$B$1)&gt;3*[4]QC_indicators!$C$1,"DF","no"))),IF(ISNUMBER(BY384),IF(ABS(BY384-[4]QC_indicators!$B$1)&gt;3*[4]QC_indicators!$C$1,"DF","no")))</f>
        <v>no</v>
      </c>
      <c r="EQ384"/>
      <c r="ER384" s="294" t="s">
        <v>349</v>
      </c>
      <c r="ES384"/>
      <c r="ET384" s="264" t="s">
        <v>3406</v>
      </c>
      <c r="EU384"/>
    </row>
    <row r="385" spans="1:151" s="139" customFormat="1" ht="15" hidden="1" customHeight="1">
      <c r="A385" s="1" t="s">
        <v>486</v>
      </c>
      <c r="B385" t="s">
        <v>487</v>
      </c>
      <c r="C385" t="s">
        <v>488</v>
      </c>
      <c r="D385" t="s">
        <v>489</v>
      </c>
      <c r="E385" t="s">
        <v>490</v>
      </c>
      <c r="F385" t="s">
        <v>491</v>
      </c>
      <c r="G385" t="s">
        <v>492</v>
      </c>
      <c r="H385" t="s">
        <v>254</v>
      </c>
      <c r="I385">
        <v>2019</v>
      </c>
      <c r="J385">
        <v>3</v>
      </c>
      <c r="K385" t="s">
        <v>493</v>
      </c>
      <c r="L385"/>
      <c r="M385" t="str">
        <f t="shared" ref="M385:M448" si="429">LEFT($D385,FIND(",",$D385)-1)&amp;"_"&amp;I385&amp;L385</f>
        <v>Butarbutar_2019</v>
      </c>
      <c r="N385" t="s">
        <v>222</v>
      </c>
      <c r="O385" s="145" t="s">
        <v>223</v>
      </c>
      <c r="P385"/>
      <c r="Q385" s="264" t="s">
        <v>256</v>
      </c>
      <c r="R385" s="269" t="s">
        <v>1153</v>
      </c>
      <c r="S385" s="1" t="s">
        <v>500</v>
      </c>
      <c r="T385" t="s">
        <v>501</v>
      </c>
      <c r="U385" t="s">
        <v>504</v>
      </c>
      <c r="V385">
        <v>0</v>
      </c>
      <c r="W385">
        <v>0</v>
      </c>
      <c r="X385">
        <v>0</v>
      </c>
      <c r="Y385">
        <v>0</v>
      </c>
      <c r="Z385">
        <v>0</v>
      </c>
      <c r="AA385">
        <v>0</v>
      </c>
      <c r="AB385">
        <v>0</v>
      </c>
      <c r="AC385">
        <v>1</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s="141">
        <f t="shared" si="399"/>
        <v>1</v>
      </c>
      <c r="AY385" s="141">
        <f t="shared" si="400"/>
        <v>1</v>
      </c>
      <c r="AZ385">
        <f t="shared" si="401"/>
        <v>1</v>
      </c>
      <c r="BA385">
        <f t="shared" si="402"/>
        <v>0</v>
      </c>
      <c r="BB385">
        <f t="shared" si="403"/>
        <v>0</v>
      </c>
      <c r="BC385">
        <f t="shared" si="404"/>
        <v>0</v>
      </c>
      <c r="BD385">
        <f t="shared" si="405"/>
        <v>0</v>
      </c>
      <c r="BE385" t="str" cm="1">
        <f t="array" ref="BE385">IF(AY385=1,INDEX($V$7:$AL$7,MATCH(TRUE,INDEX($V385:$AW385&lt;&gt;0,),0)),IF(AY385=0,INDEX($AM$7:$AW$7,MATCH(1,$AM385:$AW385,0)),IF(BF385="Multiple strategies","mixed drivers",IF(BF385="Supply chain","multiple supply","multiple silviculture"))))</f>
        <v>site fertility</v>
      </c>
      <c r="BF385" s="2" t="str" cm="1">
        <f t="array" ref="BF385">IF(COUNTIF(AZ385:BB385,"&lt;&gt;0")=1,INDEX($V$4:$AW$4,MATCH(TRUE,INDEX($V385:$AW385&lt;&gt;0,),0)),IF(COUNTIF(AZ385:BB385,"&lt;&gt;0")=0,INDEX($AM$4:$AW$4,MATCH(1,$AM385:$AW385,0)),"Multiple strategies"))</f>
        <v>Silviculture for productivity</v>
      </c>
      <c r="BG385" s="1" t="s">
        <v>321</v>
      </c>
      <c r="BH385" t="s">
        <v>497</v>
      </c>
      <c r="BI385"/>
      <c r="BJ385" t="s">
        <v>498</v>
      </c>
      <c r="BK385">
        <v>165.50800000000001</v>
      </c>
      <c r="BL385">
        <v>606.21199999999999</v>
      </c>
      <c r="BM385"/>
      <c r="BN385">
        <f t="shared" si="406"/>
        <v>440.70399999999995</v>
      </c>
      <c r="BO385">
        <f t="shared" si="407"/>
        <v>440.70399999999995</v>
      </c>
      <c r="BP385" s="264" t="s">
        <v>232</v>
      </c>
      <c r="BQ385" s="264"/>
      <c r="BR385" t="s">
        <v>278</v>
      </c>
      <c r="BS385">
        <v>-55.46</v>
      </c>
      <c r="BT385">
        <v>-26.16</v>
      </c>
      <c r="BU385" s="144">
        <v>0.4716913090515687</v>
      </c>
      <c r="BV385">
        <v>29.3</v>
      </c>
      <c r="BW385"/>
      <c r="BX385">
        <f t="shared" si="408"/>
        <v>107.53100000000001</v>
      </c>
      <c r="BY385">
        <f t="shared" si="386"/>
        <v>0.2439982391809469</v>
      </c>
      <c r="BZ385" s="143">
        <v>0</v>
      </c>
      <c r="CA385" s="143">
        <v>0</v>
      </c>
      <c r="CB385" s="143">
        <v>0</v>
      </c>
      <c r="CC385" s="143">
        <v>0</v>
      </c>
      <c r="CD385" s="143">
        <v>0</v>
      </c>
      <c r="CE385" s="143">
        <v>0</v>
      </c>
      <c r="CF385" s="143">
        <v>0</v>
      </c>
      <c r="CG385" s="143">
        <v>0</v>
      </c>
      <c r="CH385" s="143">
        <v>0</v>
      </c>
      <c r="CI385" s="143">
        <v>0</v>
      </c>
      <c r="CJ385" s="143">
        <v>0</v>
      </c>
      <c r="CK385" s="143">
        <v>0</v>
      </c>
      <c r="CL385" s="143">
        <v>0</v>
      </c>
      <c r="CM385">
        <v>0</v>
      </c>
      <c r="CN385" t="str">
        <f t="shared" si="409"/>
        <v>refOK</v>
      </c>
      <c r="CO385">
        <f>IF($CN385="refNeedCorrection",BL385,BK385)</f>
        <v>165.50800000000001</v>
      </c>
      <c r="CP385">
        <f>IF($CN385="refNeedCorrection",BK385,BL385)</f>
        <v>606.21199999999999</v>
      </c>
      <c r="CQ385">
        <f t="shared" si="410"/>
        <v>440.70399999999995</v>
      </c>
      <c r="CR385">
        <f t="shared" si="411"/>
        <v>-55.46</v>
      </c>
      <c r="CS385">
        <f t="shared" si="412"/>
        <v>-26.16</v>
      </c>
      <c r="CT385">
        <f t="shared" si="413"/>
        <v>107.53100000000001</v>
      </c>
      <c r="CU385">
        <f t="shared" si="414"/>
        <v>0.2439982391809469</v>
      </c>
      <c r="CV385" s="2">
        <f t="shared" si="415"/>
        <v>0.52830869094843136</v>
      </c>
      <c r="CW385" s="1" t="s">
        <v>234</v>
      </c>
      <c r="CX385" s="264" t="str">
        <f t="shared" si="416"/>
        <v>loc</v>
      </c>
      <c r="CY385" t="s">
        <v>280</v>
      </c>
      <c r="CZ385">
        <v>1985</v>
      </c>
      <c r="DA385">
        <v>2016</v>
      </c>
      <c r="DB385">
        <f t="shared" si="417"/>
        <v>31</v>
      </c>
      <c r="DC385" t="str">
        <f t="shared" si="418"/>
        <v>31-70</v>
      </c>
      <c r="DD385">
        <v>1</v>
      </c>
      <c r="DE385">
        <v>0</v>
      </c>
      <c r="DF385">
        <v>0</v>
      </c>
      <c r="DG385">
        <v>0</v>
      </c>
      <c r="DH385"/>
      <c r="DI385">
        <f t="shared" si="419"/>
        <v>1</v>
      </c>
      <c r="DJ385" t="str">
        <f t="shared" si="420"/>
        <v>UpstreamInput</v>
      </c>
      <c r="DK385" t="str">
        <f t="shared" si="421"/>
        <v>Upstream</v>
      </c>
      <c r="DL385">
        <f t="shared" si="422"/>
        <v>0</v>
      </c>
      <c r="DM385">
        <f t="shared" si="423"/>
        <v>0</v>
      </c>
      <c r="DN385">
        <f t="shared" si="424"/>
        <v>0</v>
      </c>
      <c r="DO385">
        <v>0</v>
      </c>
      <c r="DP385" s="143">
        <v>0</v>
      </c>
      <c r="DQ385" s="143">
        <v>0</v>
      </c>
      <c r="DR385" s="143">
        <v>0</v>
      </c>
      <c r="DS385">
        <v>0</v>
      </c>
      <c r="DT385">
        <f t="shared" si="425"/>
        <v>0</v>
      </c>
      <c r="DU385" s="143" t="str">
        <f t="shared" si="426"/>
        <v>explicit C balance</v>
      </c>
      <c r="DV385">
        <v>1</v>
      </c>
      <c r="DW385" s="143">
        <v>1</v>
      </c>
      <c r="DX385" s="143">
        <v>1</v>
      </c>
      <c r="DY385" s="143">
        <v>0</v>
      </c>
      <c r="DZ385">
        <v>0</v>
      </c>
      <c r="EA385" s="264">
        <v>0</v>
      </c>
      <c r="EB385">
        <v>0</v>
      </c>
      <c r="EC385" s="143">
        <v>0</v>
      </c>
      <c r="ED385" s="143">
        <v>0</v>
      </c>
      <c r="EE385">
        <v>0</v>
      </c>
      <c r="EF385">
        <v>1</v>
      </c>
      <c r="EG385" s="143">
        <v>0</v>
      </c>
      <c r="EH385" s="143">
        <v>0</v>
      </c>
      <c r="EI385" s="2">
        <v>0</v>
      </c>
      <c r="EJ385" s="1"/>
      <c r="EK385" t="str">
        <f t="shared" si="427"/>
        <v/>
      </c>
      <c r="EL385" t="str">
        <f t="shared" si="428"/>
        <v>Ecosystem approach</v>
      </c>
      <c r="EM385" s="2" t="str">
        <f t="shared" si="387"/>
        <v/>
      </c>
      <c r="EN385"/>
      <c r="EO385"/>
      <c r="EP385" t="str">
        <f>IF(ISNUMBER(BU385),IF(ABS(BU385-[4]QC_indicators!$B$2)&gt;3*[4]QC_indicators!$C$2,"C ratio",IF(ISNUMBER(BY385),IF(ABS(BY385-[4]QC_indicators!$B$1)&gt;3*[4]QC_indicators!$C$1,"DF","no"))),IF(ISNUMBER(BY385),IF(ABS(BY385-[4]QC_indicators!$B$1)&gt;3*[4]QC_indicators!$C$1,"DF","no")))</f>
        <v>no</v>
      </c>
      <c r="EQ385"/>
      <c r="ER385" s="294" t="s">
        <v>349</v>
      </c>
      <c r="ES385"/>
      <c r="ET385" s="264" t="s">
        <v>3406</v>
      </c>
      <c r="EU385"/>
    </row>
    <row r="386" spans="1:151" s="139" customFormat="1" ht="15" hidden="1" customHeight="1">
      <c r="A386" s="1" t="s">
        <v>486</v>
      </c>
      <c r="B386" t="s">
        <v>487</v>
      </c>
      <c r="C386" t="s">
        <v>488</v>
      </c>
      <c r="D386" t="s">
        <v>489</v>
      </c>
      <c r="E386" t="s">
        <v>490</v>
      </c>
      <c r="F386" t="s">
        <v>491</v>
      </c>
      <c r="G386" t="s">
        <v>492</v>
      </c>
      <c r="H386" t="s">
        <v>254</v>
      </c>
      <c r="I386">
        <v>2019</v>
      </c>
      <c r="J386">
        <v>3</v>
      </c>
      <c r="K386" t="s">
        <v>493</v>
      </c>
      <c r="L386"/>
      <c r="M386" t="str">
        <f t="shared" si="429"/>
        <v>Butarbutar_2019</v>
      </c>
      <c r="N386" t="s">
        <v>222</v>
      </c>
      <c r="O386" s="145" t="s">
        <v>223</v>
      </c>
      <c r="P386"/>
      <c r="Q386" s="264" t="s">
        <v>256</v>
      </c>
      <c r="R386" s="269" t="s">
        <v>1153</v>
      </c>
      <c r="S386" s="1" t="s">
        <v>494</v>
      </c>
      <c r="T386" t="s">
        <v>495</v>
      </c>
      <c r="U386" t="s">
        <v>496</v>
      </c>
      <c r="V386">
        <v>0</v>
      </c>
      <c r="W386">
        <v>0</v>
      </c>
      <c r="X386">
        <v>0</v>
      </c>
      <c r="Y386">
        <v>1</v>
      </c>
      <c r="Z386">
        <v>0</v>
      </c>
      <c r="AA386">
        <v>0</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s="141">
        <f t="shared" si="399"/>
        <v>1</v>
      </c>
      <c r="AY386" s="141">
        <f t="shared" si="400"/>
        <v>1</v>
      </c>
      <c r="AZ386">
        <f t="shared" si="401"/>
        <v>1</v>
      </c>
      <c r="BA386">
        <f t="shared" si="402"/>
        <v>0</v>
      </c>
      <c r="BB386">
        <f t="shared" si="403"/>
        <v>0</v>
      </c>
      <c r="BC386">
        <f t="shared" si="404"/>
        <v>0</v>
      </c>
      <c r="BD386">
        <f t="shared" si="405"/>
        <v>0</v>
      </c>
      <c r="BE386" t="str" cm="1">
        <f t="array" ref="BE386">IF(AY386=1,INDEX($V$7:$AL$7,MATCH(TRUE,INDEX($V386:$AW386&lt;&gt;0,),0)),IF(AY386=0,INDEX($AM$7:$AW$7,MATCH(1,$AM386:$AW386,0)),IF(BF386="Multiple strategies","mixed drivers",IF(BF386="Supply chain","multiple supply","multiple silviculture"))))</f>
        <v xml:space="preserve">cutting intensity </v>
      </c>
      <c r="BF386" s="2" t="str" cm="1">
        <f t="array" ref="BF386">IF(COUNTIF(AZ386:BB386,"&lt;&gt;0")=1,INDEX($V$4:$AW$4,MATCH(TRUE,INDEX($V386:$AW386&lt;&gt;0,),0)),IF(COUNTIF(AZ386:BB386,"&lt;&gt;0")=0,INDEX($AM$4:$AW$4,MATCH(1,$AM386:$AW386,0)),"Multiple strategies"))</f>
        <v>Silviculture for removals</v>
      </c>
      <c r="BG386" s="1" t="s">
        <v>321</v>
      </c>
      <c r="BH386" t="s">
        <v>497</v>
      </c>
      <c r="BI386"/>
      <c r="BJ386" t="s">
        <v>498</v>
      </c>
      <c r="BK386">
        <v>165.50800000000001</v>
      </c>
      <c r="BL386">
        <v>165.50800000000001</v>
      </c>
      <c r="BM386"/>
      <c r="BN386">
        <f t="shared" si="406"/>
        <v>0</v>
      </c>
      <c r="BO386">
        <f t="shared" si="407"/>
        <v>0</v>
      </c>
      <c r="BP386" s="264" t="s">
        <v>232</v>
      </c>
      <c r="BQ386" s="264"/>
      <c r="BR386" t="s">
        <v>278</v>
      </c>
      <c r="BS386">
        <v>-45.97</v>
      </c>
      <c r="BT386">
        <v>-58.93</v>
      </c>
      <c r="BU386" s="144">
        <v>1.2819229932564717</v>
      </c>
      <c r="BV386">
        <v>-12.96</v>
      </c>
      <c r="BW386"/>
      <c r="BX386">
        <f t="shared" si="408"/>
        <v>-47.563200000000002</v>
      </c>
      <c r="BY386" t="str">
        <f t="shared" si="386"/>
        <v/>
      </c>
      <c r="BZ386" s="143">
        <v>0</v>
      </c>
      <c r="CA386" s="143">
        <v>0</v>
      </c>
      <c r="CB386" s="143">
        <v>0</v>
      </c>
      <c r="CC386" s="143">
        <v>0</v>
      </c>
      <c r="CD386" s="143">
        <v>0</v>
      </c>
      <c r="CE386" s="143">
        <v>0</v>
      </c>
      <c r="CF386" s="143">
        <v>0</v>
      </c>
      <c r="CG386" s="143">
        <v>0</v>
      </c>
      <c r="CH386" s="143">
        <v>0</v>
      </c>
      <c r="CI386" s="143">
        <v>0</v>
      </c>
      <c r="CJ386" s="143">
        <v>0</v>
      </c>
      <c r="CK386" s="143">
        <v>0</v>
      </c>
      <c r="CL386" s="143">
        <v>0</v>
      </c>
      <c r="CM386">
        <v>0</v>
      </c>
      <c r="CN386" t="str">
        <f t="shared" si="409"/>
        <v>refOK</v>
      </c>
      <c r="CO386">
        <f t="shared" ref="CO386:CO398" si="430">IF($CN386="refOK",$BK386,$BL386)</f>
        <v>165.50800000000001</v>
      </c>
      <c r="CP386">
        <f t="shared" ref="CP386:CP398" si="431">IF($CN386="refOK",$BL386,$BK386)</f>
        <v>165.50800000000001</v>
      </c>
      <c r="CQ386">
        <f t="shared" si="410"/>
        <v>0</v>
      </c>
      <c r="CR386">
        <f t="shared" si="411"/>
        <v>-45.97</v>
      </c>
      <c r="CS386">
        <f t="shared" si="412"/>
        <v>-58.93</v>
      </c>
      <c r="CT386">
        <f t="shared" si="413"/>
        <v>-47.563200000000002</v>
      </c>
      <c r="CU386" t="str">
        <f t="shared" si="414"/>
        <v/>
      </c>
      <c r="CV386" s="2">
        <f t="shared" si="415"/>
        <v>-0.28192299325647163</v>
      </c>
      <c r="CW386" s="1" t="s">
        <v>234</v>
      </c>
      <c r="CX386" s="264" t="str">
        <f t="shared" si="416"/>
        <v>loc</v>
      </c>
      <c r="CY386" t="s">
        <v>280</v>
      </c>
      <c r="CZ386">
        <v>1985</v>
      </c>
      <c r="DA386">
        <v>2016</v>
      </c>
      <c r="DB386">
        <f t="shared" si="417"/>
        <v>31</v>
      </c>
      <c r="DC386" t="str">
        <f t="shared" si="418"/>
        <v>31-70</v>
      </c>
      <c r="DD386">
        <v>1</v>
      </c>
      <c r="DE386">
        <v>0</v>
      </c>
      <c r="DF386">
        <v>0</v>
      </c>
      <c r="DG386">
        <v>0</v>
      </c>
      <c r="DH386"/>
      <c r="DI386">
        <f t="shared" si="419"/>
        <v>1</v>
      </c>
      <c r="DJ386" t="str">
        <f t="shared" si="420"/>
        <v>UpstreamInput</v>
      </c>
      <c r="DK386" t="str">
        <f t="shared" si="421"/>
        <v>Upstream</v>
      </c>
      <c r="DL386">
        <f t="shared" si="422"/>
        <v>0</v>
      </c>
      <c r="DM386">
        <f t="shared" si="423"/>
        <v>0</v>
      </c>
      <c r="DN386">
        <f t="shared" si="424"/>
        <v>0</v>
      </c>
      <c r="DO386">
        <v>0</v>
      </c>
      <c r="DP386" s="143">
        <v>0</v>
      </c>
      <c r="DQ386" s="143">
        <v>0</v>
      </c>
      <c r="DR386" s="143">
        <v>0</v>
      </c>
      <c r="DS386">
        <v>0</v>
      </c>
      <c r="DT386">
        <f t="shared" si="425"/>
        <v>0</v>
      </c>
      <c r="DU386" s="143" t="str">
        <f t="shared" si="426"/>
        <v>explicit C balance</v>
      </c>
      <c r="DV386">
        <v>1</v>
      </c>
      <c r="DW386" s="143">
        <v>1</v>
      </c>
      <c r="DX386" s="143">
        <v>1</v>
      </c>
      <c r="DY386" s="143">
        <v>0</v>
      </c>
      <c r="DZ386">
        <v>0</v>
      </c>
      <c r="EA386" s="143">
        <v>0</v>
      </c>
      <c r="EB386">
        <v>0</v>
      </c>
      <c r="EC386" s="143">
        <v>0</v>
      </c>
      <c r="ED386" s="143">
        <v>0</v>
      </c>
      <c r="EE386">
        <v>0</v>
      </c>
      <c r="EF386">
        <v>1</v>
      </c>
      <c r="EG386" s="143">
        <v>0</v>
      </c>
      <c r="EH386" s="143">
        <v>0</v>
      </c>
      <c r="EI386" s="2">
        <v>0</v>
      </c>
      <c r="EJ386" s="1"/>
      <c r="EK386" t="str">
        <f t="shared" si="427"/>
        <v/>
      </c>
      <c r="EL386" t="str">
        <f t="shared" si="428"/>
        <v>Ecosystem approach</v>
      </c>
      <c r="EM386" s="2" t="str">
        <f t="shared" si="387"/>
        <v/>
      </c>
      <c r="EN386"/>
      <c r="EO386"/>
      <c r="EP386" t="b">
        <f>IF(ISNUMBER(BU386),IF(ABS(BU386-[4]QC_indicators!$B$2)&gt;3*[4]QC_indicators!$C$2,"C ratio",IF(ISNUMBER(BY386),IF(ABS(BY386-[4]QC_indicators!$B$1)&gt;3*[4]QC_indicators!$C$1,"DF","no"))),IF(ISNUMBER(BY386),IF(ABS(BY386-[4]QC_indicators!$B$1)&gt;3*[4]QC_indicators!$C$1,"DF","no")))</f>
        <v>0</v>
      </c>
      <c r="EQ386"/>
      <c r="ER386" s="294" t="s">
        <v>349</v>
      </c>
      <c r="ES386"/>
      <c r="ET386" s="264" t="s">
        <v>3406</v>
      </c>
      <c r="EU386"/>
    </row>
    <row r="387" spans="1:151" s="139" customFormat="1" ht="15" hidden="1" customHeight="1">
      <c r="A387" s="1" t="s">
        <v>486</v>
      </c>
      <c r="B387" t="s">
        <v>487</v>
      </c>
      <c r="C387" t="s">
        <v>488</v>
      </c>
      <c r="D387" t="s">
        <v>489</v>
      </c>
      <c r="E387" t="s">
        <v>490</v>
      </c>
      <c r="F387" t="s">
        <v>491</v>
      </c>
      <c r="G387" t="s">
        <v>492</v>
      </c>
      <c r="H387" t="s">
        <v>254</v>
      </c>
      <c r="I387">
        <v>2019</v>
      </c>
      <c r="J387">
        <v>3</v>
      </c>
      <c r="K387" t="s">
        <v>493</v>
      </c>
      <c r="L387"/>
      <c r="M387" t="str">
        <f t="shared" si="429"/>
        <v>Butarbutar_2019</v>
      </c>
      <c r="N387" t="s">
        <v>222</v>
      </c>
      <c r="O387" s="145" t="s">
        <v>223</v>
      </c>
      <c r="P387"/>
      <c r="Q387" s="264" t="s">
        <v>256</v>
      </c>
      <c r="R387" s="269" t="s">
        <v>1153</v>
      </c>
      <c r="S387" s="1" t="s">
        <v>494</v>
      </c>
      <c r="T387" t="s">
        <v>495</v>
      </c>
      <c r="U387" t="s">
        <v>499</v>
      </c>
      <c r="V387">
        <v>0</v>
      </c>
      <c r="W387">
        <v>0</v>
      </c>
      <c r="X387">
        <v>0</v>
      </c>
      <c r="Y387">
        <v>1</v>
      </c>
      <c r="Z387">
        <v>0</v>
      </c>
      <c r="AA387">
        <v>0</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s="141">
        <f t="shared" si="399"/>
        <v>1</v>
      </c>
      <c r="AY387" s="141">
        <f t="shared" si="400"/>
        <v>1</v>
      </c>
      <c r="AZ387">
        <f t="shared" si="401"/>
        <v>1</v>
      </c>
      <c r="BA387">
        <f t="shared" si="402"/>
        <v>0</v>
      </c>
      <c r="BB387">
        <f t="shared" si="403"/>
        <v>0</v>
      </c>
      <c r="BC387">
        <f t="shared" si="404"/>
        <v>0</v>
      </c>
      <c r="BD387">
        <f t="shared" si="405"/>
        <v>0</v>
      </c>
      <c r="BE387" t="str" cm="1">
        <f t="array" ref="BE387">IF(AY387=1,INDEX($V$7:$AL$7,MATCH(TRUE,INDEX($V387:$AW387&lt;&gt;0,),0)),IF(AY387=0,INDEX($AM$7:$AW$7,MATCH(1,$AM387:$AW387,0)),IF(BF387="Multiple strategies","mixed drivers",IF(BF387="Supply chain","multiple supply","multiple silviculture"))))</f>
        <v xml:space="preserve">cutting intensity </v>
      </c>
      <c r="BF387" s="2" t="str" cm="1">
        <f t="array" ref="BF387">IF(COUNTIF(AZ387:BB387,"&lt;&gt;0")=1,INDEX($V$4:$AW$4,MATCH(TRUE,INDEX($V387:$AW387&lt;&gt;0,),0)),IF(COUNTIF(AZ387:BB387,"&lt;&gt;0")=0,INDEX($AM$4:$AW$4,MATCH(1,$AM387:$AW387,0)),"Multiple strategies"))</f>
        <v>Silviculture for removals</v>
      </c>
      <c r="BG387" s="1" t="s">
        <v>321</v>
      </c>
      <c r="BH387" t="s">
        <v>497</v>
      </c>
      <c r="BI387"/>
      <c r="BJ387" t="s">
        <v>498</v>
      </c>
      <c r="BK387">
        <v>165.50800000000001</v>
      </c>
      <c r="BL387">
        <v>165.50800000000001</v>
      </c>
      <c r="BM387"/>
      <c r="BN387">
        <f t="shared" si="406"/>
        <v>0</v>
      </c>
      <c r="BO387">
        <f t="shared" si="407"/>
        <v>0</v>
      </c>
      <c r="BP387" s="264" t="s">
        <v>232</v>
      </c>
      <c r="BQ387" s="264"/>
      <c r="BR387" t="s">
        <v>278</v>
      </c>
      <c r="BS387">
        <v>-45.97</v>
      </c>
      <c r="BT387">
        <v>-57.37</v>
      </c>
      <c r="BU387" s="144">
        <v>1.2479878181422668</v>
      </c>
      <c r="BV387">
        <v>-11.399999999999999</v>
      </c>
      <c r="BW387"/>
      <c r="BX387">
        <f t="shared" si="408"/>
        <v>-41.837999999999994</v>
      </c>
      <c r="BY387" t="str">
        <f t="shared" si="386"/>
        <v/>
      </c>
      <c r="BZ387" s="143">
        <v>0</v>
      </c>
      <c r="CA387" s="143">
        <v>0</v>
      </c>
      <c r="CB387" s="143">
        <v>0</v>
      </c>
      <c r="CC387" s="143">
        <v>0</v>
      </c>
      <c r="CD387" s="143">
        <v>0</v>
      </c>
      <c r="CE387" s="143">
        <v>0</v>
      </c>
      <c r="CF387" s="143">
        <v>0</v>
      </c>
      <c r="CG387" s="143">
        <v>0</v>
      </c>
      <c r="CH387" s="143">
        <v>0</v>
      </c>
      <c r="CI387" s="143">
        <v>0</v>
      </c>
      <c r="CJ387" s="143">
        <v>0</v>
      </c>
      <c r="CK387" s="143">
        <v>0</v>
      </c>
      <c r="CL387" s="143">
        <v>0</v>
      </c>
      <c r="CM387">
        <v>0</v>
      </c>
      <c r="CN387" t="str">
        <f t="shared" si="409"/>
        <v>refOK</v>
      </c>
      <c r="CO387">
        <f t="shared" si="430"/>
        <v>165.50800000000001</v>
      </c>
      <c r="CP387">
        <f t="shared" si="431"/>
        <v>165.50800000000001</v>
      </c>
      <c r="CQ387">
        <f t="shared" si="410"/>
        <v>0</v>
      </c>
      <c r="CR387">
        <f t="shared" si="411"/>
        <v>-45.97</v>
      </c>
      <c r="CS387">
        <f t="shared" si="412"/>
        <v>-57.37</v>
      </c>
      <c r="CT387">
        <f t="shared" si="413"/>
        <v>-41.837999999999994</v>
      </c>
      <c r="CU387" t="str">
        <f t="shared" si="414"/>
        <v/>
      </c>
      <c r="CV387" s="2">
        <f t="shared" si="415"/>
        <v>-0.24798781814226667</v>
      </c>
      <c r="CW387" s="1" t="s">
        <v>234</v>
      </c>
      <c r="CX387" s="264" t="str">
        <f t="shared" si="416"/>
        <v>loc</v>
      </c>
      <c r="CY387" t="s">
        <v>280</v>
      </c>
      <c r="CZ387">
        <v>1985</v>
      </c>
      <c r="DA387">
        <v>2016</v>
      </c>
      <c r="DB387">
        <f t="shared" si="417"/>
        <v>31</v>
      </c>
      <c r="DC387" t="str">
        <f t="shared" si="418"/>
        <v>31-70</v>
      </c>
      <c r="DD387">
        <v>1</v>
      </c>
      <c r="DE387">
        <v>0</v>
      </c>
      <c r="DF387">
        <v>0</v>
      </c>
      <c r="DG387">
        <v>0</v>
      </c>
      <c r="DH387"/>
      <c r="DI387">
        <f t="shared" si="419"/>
        <v>1</v>
      </c>
      <c r="DJ387" t="str">
        <f t="shared" si="420"/>
        <v>UpstreamInput</v>
      </c>
      <c r="DK387" t="str">
        <f t="shared" si="421"/>
        <v>Upstream</v>
      </c>
      <c r="DL387">
        <f t="shared" si="422"/>
        <v>0</v>
      </c>
      <c r="DM387">
        <f t="shared" si="423"/>
        <v>0</v>
      </c>
      <c r="DN387">
        <f t="shared" si="424"/>
        <v>0</v>
      </c>
      <c r="DO387">
        <v>0</v>
      </c>
      <c r="DP387" s="143">
        <v>0</v>
      </c>
      <c r="DQ387" s="143">
        <v>0</v>
      </c>
      <c r="DR387" s="143">
        <v>0</v>
      </c>
      <c r="DS387">
        <v>0</v>
      </c>
      <c r="DT387">
        <f t="shared" si="425"/>
        <v>0</v>
      </c>
      <c r="DU387" s="143" t="str">
        <f t="shared" si="426"/>
        <v>explicit C balance</v>
      </c>
      <c r="DV387">
        <v>1</v>
      </c>
      <c r="DW387" s="143">
        <v>1</v>
      </c>
      <c r="DX387" s="143">
        <v>1</v>
      </c>
      <c r="DY387" s="143">
        <v>0</v>
      </c>
      <c r="DZ387">
        <v>0</v>
      </c>
      <c r="EA387" s="143">
        <v>0</v>
      </c>
      <c r="EB387">
        <v>0</v>
      </c>
      <c r="EC387" s="143">
        <v>0</v>
      </c>
      <c r="ED387" s="143">
        <v>0</v>
      </c>
      <c r="EE387">
        <v>0</v>
      </c>
      <c r="EF387">
        <v>1</v>
      </c>
      <c r="EG387" s="143">
        <v>0</v>
      </c>
      <c r="EH387" s="143">
        <v>0</v>
      </c>
      <c r="EI387" s="2">
        <v>0</v>
      </c>
      <c r="EJ387" s="1"/>
      <c r="EK387" t="str">
        <f t="shared" si="427"/>
        <v/>
      </c>
      <c r="EL387" t="str">
        <f t="shared" si="428"/>
        <v>Ecosystem approach</v>
      </c>
      <c r="EM387" s="2" t="str">
        <f t="shared" si="387"/>
        <v/>
      </c>
      <c r="EN387"/>
      <c r="EO387"/>
      <c r="EP387" t="b">
        <f>IF(ISNUMBER(BU387),IF(ABS(BU387-[4]QC_indicators!$B$2)&gt;3*[4]QC_indicators!$C$2,"C ratio",IF(ISNUMBER(BY387),IF(ABS(BY387-[4]QC_indicators!$B$1)&gt;3*[4]QC_indicators!$C$1,"DF","no"))),IF(ISNUMBER(BY387),IF(ABS(BY387-[4]QC_indicators!$B$1)&gt;3*[4]QC_indicators!$C$1,"DF","no")))</f>
        <v>0</v>
      </c>
      <c r="EQ387"/>
      <c r="ER387" s="294" t="s">
        <v>349</v>
      </c>
      <c r="ES387"/>
      <c r="ET387" s="264" t="s">
        <v>3406</v>
      </c>
      <c r="EU387"/>
    </row>
    <row r="388" spans="1:151" s="139" customFormat="1" ht="15" hidden="1" customHeight="1">
      <c r="A388" s="1" t="s">
        <v>486</v>
      </c>
      <c r="B388" t="s">
        <v>487</v>
      </c>
      <c r="C388" t="s">
        <v>488</v>
      </c>
      <c r="D388" t="s">
        <v>489</v>
      </c>
      <c r="E388" t="s">
        <v>490</v>
      </c>
      <c r="F388" t="s">
        <v>491</v>
      </c>
      <c r="G388" t="s">
        <v>492</v>
      </c>
      <c r="H388" t="s">
        <v>254</v>
      </c>
      <c r="I388">
        <v>2019</v>
      </c>
      <c r="J388">
        <v>3</v>
      </c>
      <c r="K388" t="s">
        <v>493</v>
      </c>
      <c r="L388"/>
      <c r="M388" t="str">
        <f t="shared" si="429"/>
        <v>Butarbutar_2019</v>
      </c>
      <c r="N388" t="s">
        <v>222</v>
      </c>
      <c r="O388" s="145" t="s">
        <v>223</v>
      </c>
      <c r="P388"/>
      <c r="Q388" s="264" t="s">
        <v>256</v>
      </c>
      <c r="R388" s="269" t="s">
        <v>1153</v>
      </c>
      <c r="S388" s="1" t="s">
        <v>494</v>
      </c>
      <c r="T388" t="s">
        <v>495</v>
      </c>
      <c r="U388" t="s">
        <v>226</v>
      </c>
      <c r="V388">
        <v>0</v>
      </c>
      <c r="W388">
        <v>0</v>
      </c>
      <c r="X388">
        <v>0</v>
      </c>
      <c r="Y388">
        <v>1</v>
      </c>
      <c r="Z388">
        <v>0</v>
      </c>
      <c r="AA388">
        <v>0</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s="141">
        <f t="shared" si="399"/>
        <v>1</v>
      </c>
      <c r="AY388" s="141">
        <f t="shared" si="400"/>
        <v>1</v>
      </c>
      <c r="AZ388">
        <f t="shared" si="401"/>
        <v>1</v>
      </c>
      <c r="BA388">
        <f t="shared" si="402"/>
        <v>0</v>
      </c>
      <c r="BB388">
        <f t="shared" si="403"/>
        <v>0</v>
      </c>
      <c r="BC388">
        <f t="shared" si="404"/>
        <v>0</v>
      </c>
      <c r="BD388">
        <f t="shared" si="405"/>
        <v>0</v>
      </c>
      <c r="BE388" t="str" cm="1">
        <f t="array" ref="BE388">IF(AY388=1,INDEX($V$7:$AL$7,MATCH(TRUE,INDEX($V388:$AW388&lt;&gt;0,),0)),IF(AY388=0,INDEX($AM$7:$AW$7,MATCH(1,$AM388:$AW388,0)),IF(BF388="Multiple strategies","mixed drivers",IF(BF388="Supply chain","multiple supply","multiple silviculture"))))</f>
        <v xml:space="preserve">cutting intensity </v>
      </c>
      <c r="BF388" s="2" t="str" cm="1">
        <f t="array" ref="BF388">IF(COUNTIF(AZ388:BB388,"&lt;&gt;0")=1,INDEX($V$4:$AW$4,MATCH(TRUE,INDEX($V388:$AW388&lt;&gt;0,),0)),IF(COUNTIF(AZ388:BB388,"&lt;&gt;0")=0,INDEX($AM$4:$AW$4,MATCH(1,$AM388:$AW388,0)),"Multiple strategies"))</f>
        <v>Silviculture for removals</v>
      </c>
      <c r="BG388" s="1" t="s">
        <v>321</v>
      </c>
      <c r="BH388" t="s">
        <v>497</v>
      </c>
      <c r="BI388"/>
      <c r="BJ388" t="s">
        <v>498</v>
      </c>
      <c r="BK388">
        <v>165.50800000000001</v>
      </c>
      <c r="BL388">
        <v>165.50800000000001</v>
      </c>
      <c r="BM388"/>
      <c r="BN388">
        <f t="shared" si="406"/>
        <v>0</v>
      </c>
      <c r="BO388">
        <f t="shared" si="407"/>
        <v>0</v>
      </c>
      <c r="BP388" s="264" t="s">
        <v>232</v>
      </c>
      <c r="BQ388" s="264"/>
      <c r="BR388" t="s">
        <v>278</v>
      </c>
      <c r="BS388">
        <v>-45.97</v>
      </c>
      <c r="BT388">
        <v>-45.85</v>
      </c>
      <c r="BU388" s="144">
        <v>0.99738960191429193</v>
      </c>
      <c r="BV388">
        <v>0.11999999999999744</v>
      </c>
      <c r="BW388"/>
      <c r="BX388">
        <f t="shared" si="408"/>
        <v>0.44039999999999058</v>
      </c>
      <c r="BY388" t="str">
        <f t="shared" si="386"/>
        <v/>
      </c>
      <c r="BZ388" s="143">
        <v>0</v>
      </c>
      <c r="CA388" s="143">
        <v>0</v>
      </c>
      <c r="CB388" s="143">
        <v>0</v>
      </c>
      <c r="CC388" s="143">
        <v>0</v>
      </c>
      <c r="CD388" s="143">
        <v>0</v>
      </c>
      <c r="CE388" s="143">
        <v>0</v>
      </c>
      <c r="CF388" s="143">
        <v>0</v>
      </c>
      <c r="CG388" s="143">
        <v>0</v>
      </c>
      <c r="CH388" s="143">
        <v>0</v>
      </c>
      <c r="CI388" s="143">
        <v>0</v>
      </c>
      <c r="CJ388" s="143">
        <v>0</v>
      </c>
      <c r="CK388" s="143">
        <v>0</v>
      </c>
      <c r="CL388" s="143">
        <v>0</v>
      </c>
      <c r="CM388">
        <v>0</v>
      </c>
      <c r="CN388" t="str">
        <f t="shared" si="409"/>
        <v>refOK</v>
      </c>
      <c r="CO388">
        <f t="shared" si="430"/>
        <v>165.50800000000001</v>
      </c>
      <c r="CP388">
        <f t="shared" si="431"/>
        <v>165.50800000000001</v>
      </c>
      <c r="CQ388">
        <f t="shared" si="410"/>
        <v>0</v>
      </c>
      <c r="CR388">
        <f t="shared" si="411"/>
        <v>-45.97</v>
      </c>
      <c r="CS388">
        <f t="shared" si="412"/>
        <v>-45.85</v>
      </c>
      <c r="CT388">
        <f t="shared" si="413"/>
        <v>0.44039999999999058</v>
      </c>
      <c r="CU388" t="str">
        <f t="shared" si="414"/>
        <v/>
      </c>
      <c r="CV388" s="2">
        <f t="shared" si="415"/>
        <v>2.6103980857080148E-3</v>
      </c>
      <c r="CW388" s="1" t="s">
        <v>234</v>
      </c>
      <c r="CX388" s="264" t="str">
        <f t="shared" si="416"/>
        <v>loc</v>
      </c>
      <c r="CY388" t="s">
        <v>280</v>
      </c>
      <c r="CZ388">
        <v>1985</v>
      </c>
      <c r="DA388">
        <v>2016</v>
      </c>
      <c r="DB388">
        <f t="shared" si="417"/>
        <v>31</v>
      </c>
      <c r="DC388" t="str">
        <f t="shared" si="418"/>
        <v>31-70</v>
      </c>
      <c r="DD388">
        <v>1</v>
      </c>
      <c r="DE388">
        <v>0</v>
      </c>
      <c r="DF388">
        <v>0</v>
      </c>
      <c r="DG388">
        <v>0</v>
      </c>
      <c r="DH388"/>
      <c r="DI388">
        <f t="shared" si="419"/>
        <v>1</v>
      </c>
      <c r="DJ388" t="str">
        <f t="shared" si="420"/>
        <v>UpstreamInput</v>
      </c>
      <c r="DK388" t="str">
        <f t="shared" si="421"/>
        <v>Upstream</v>
      </c>
      <c r="DL388">
        <f t="shared" si="422"/>
        <v>0</v>
      </c>
      <c r="DM388">
        <f t="shared" si="423"/>
        <v>0</v>
      </c>
      <c r="DN388">
        <f t="shared" si="424"/>
        <v>0</v>
      </c>
      <c r="DO388">
        <v>0</v>
      </c>
      <c r="DP388" s="143">
        <v>0</v>
      </c>
      <c r="DQ388" s="143">
        <v>0</v>
      </c>
      <c r="DR388" s="143">
        <v>0</v>
      </c>
      <c r="DS388">
        <v>0</v>
      </c>
      <c r="DT388">
        <f t="shared" si="425"/>
        <v>0</v>
      </c>
      <c r="DU388" s="143" t="str">
        <f t="shared" si="426"/>
        <v>explicit C balance</v>
      </c>
      <c r="DV388">
        <v>1</v>
      </c>
      <c r="DW388" s="143">
        <v>1</v>
      </c>
      <c r="DX388" s="143">
        <v>1</v>
      </c>
      <c r="DY388" s="143">
        <v>0</v>
      </c>
      <c r="DZ388">
        <v>0</v>
      </c>
      <c r="EA388" s="143">
        <v>0</v>
      </c>
      <c r="EB388">
        <v>0</v>
      </c>
      <c r="EC388" s="143">
        <v>0</v>
      </c>
      <c r="ED388" s="143">
        <v>0</v>
      </c>
      <c r="EE388">
        <v>0</v>
      </c>
      <c r="EF388">
        <v>1</v>
      </c>
      <c r="EG388" s="143">
        <v>0</v>
      </c>
      <c r="EH388" s="143">
        <v>0</v>
      </c>
      <c r="EI388" s="2">
        <v>0</v>
      </c>
      <c r="EJ388" s="1"/>
      <c r="EK388" t="str">
        <f t="shared" si="427"/>
        <v/>
      </c>
      <c r="EL388" t="str">
        <f t="shared" si="428"/>
        <v>Ecosystem approach</v>
      </c>
      <c r="EM388" s="2" t="str">
        <f t="shared" si="387"/>
        <v/>
      </c>
      <c r="EN388"/>
      <c r="EO388"/>
      <c r="EP388" t="b">
        <f>IF(ISNUMBER(BU388),IF(ABS(BU388-[4]QC_indicators!$B$2)&gt;3*[4]QC_indicators!$C$2,"C ratio",IF(ISNUMBER(BY388),IF(ABS(BY388-[4]QC_indicators!$B$1)&gt;3*[4]QC_indicators!$C$1,"DF","no"))),IF(ISNUMBER(BY388),IF(ABS(BY388-[4]QC_indicators!$B$1)&gt;3*[4]QC_indicators!$C$1,"DF","no")))</f>
        <v>0</v>
      </c>
      <c r="EQ388"/>
      <c r="ER388" s="294" t="s">
        <v>349</v>
      </c>
      <c r="ES388"/>
      <c r="ET388" s="264" t="s">
        <v>3406</v>
      </c>
      <c r="EU388"/>
    </row>
    <row r="389" spans="1:151" s="139" customFormat="1" ht="15" hidden="1" customHeight="1">
      <c r="A389" s="1" t="s">
        <v>505</v>
      </c>
      <c r="B389" t="s">
        <v>506</v>
      </c>
      <c r="C389" t="s">
        <v>507</v>
      </c>
      <c r="D389" t="s">
        <v>508</v>
      </c>
      <c r="E389" t="s">
        <v>509</v>
      </c>
      <c r="F389" t="s">
        <v>510</v>
      </c>
      <c r="G389" t="s">
        <v>511</v>
      </c>
      <c r="H389" t="s">
        <v>254</v>
      </c>
      <c r="I389">
        <v>2021</v>
      </c>
      <c r="J389">
        <v>7</v>
      </c>
      <c r="K389" t="s">
        <v>512</v>
      </c>
      <c r="L389"/>
      <c r="M389" t="str">
        <f t="shared" si="429"/>
        <v>Caldas_2021</v>
      </c>
      <c r="N389" t="s">
        <v>222</v>
      </c>
      <c r="O389" s="145" t="s">
        <v>223</v>
      </c>
      <c r="P389" t="s">
        <v>513</v>
      </c>
      <c r="Q389" s="264" t="s">
        <v>256</v>
      </c>
      <c r="R389" s="269" t="s">
        <v>1153</v>
      </c>
      <c r="S389" s="1" t="s">
        <v>517</v>
      </c>
      <c r="T389" t="s">
        <v>526</v>
      </c>
      <c r="U389" t="s">
        <v>527</v>
      </c>
      <c r="V389">
        <v>0</v>
      </c>
      <c r="W389">
        <v>0</v>
      </c>
      <c r="X389">
        <v>0</v>
      </c>
      <c r="Y389">
        <v>0</v>
      </c>
      <c r="Z389">
        <v>0</v>
      </c>
      <c r="AA389">
        <v>0</v>
      </c>
      <c r="AB389">
        <v>0</v>
      </c>
      <c r="AC389">
        <v>0</v>
      </c>
      <c r="AD389">
        <v>0</v>
      </c>
      <c r="AE389">
        <v>0</v>
      </c>
      <c r="AF389">
        <v>0</v>
      </c>
      <c r="AG389">
        <v>0</v>
      </c>
      <c r="AH389">
        <v>0</v>
      </c>
      <c r="AI389">
        <v>0</v>
      </c>
      <c r="AJ389">
        <v>0</v>
      </c>
      <c r="AK389">
        <v>1</v>
      </c>
      <c r="AL389">
        <v>0</v>
      </c>
      <c r="AM389">
        <v>0</v>
      </c>
      <c r="AN389">
        <v>0</v>
      </c>
      <c r="AO389">
        <v>0</v>
      </c>
      <c r="AP389">
        <v>0</v>
      </c>
      <c r="AQ389">
        <v>0</v>
      </c>
      <c r="AR389">
        <v>0</v>
      </c>
      <c r="AS389">
        <v>0</v>
      </c>
      <c r="AT389">
        <v>0</v>
      </c>
      <c r="AU389">
        <v>0</v>
      </c>
      <c r="AV389">
        <v>0</v>
      </c>
      <c r="AW389">
        <v>0</v>
      </c>
      <c r="AX389" s="141">
        <f t="shared" si="399"/>
        <v>1</v>
      </c>
      <c r="AY389" s="141">
        <f t="shared" si="400"/>
        <v>1</v>
      </c>
      <c r="AZ389">
        <f t="shared" si="401"/>
        <v>0</v>
      </c>
      <c r="BA389">
        <f t="shared" si="402"/>
        <v>0</v>
      </c>
      <c r="BB389">
        <f t="shared" si="403"/>
        <v>1</v>
      </c>
      <c r="BC389">
        <f t="shared" si="404"/>
        <v>0</v>
      </c>
      <c r="BD389">
        <f t="shared" si="405"/>
        <v>0</v>
      </c>
      <c r="BE389" t="str" cm="1">
        <f t="array" ref="BE389">IF(AY389=1,INDEX($V$7:$AL$7,MATCH(TRUE,INDEX($V389:$AW389&lt;&gt;0,),0)),IF(AY389=0,INDEX($AM$7:$AW$7,MATCH(1,$AM389:$AW389,0)),IF(BF389="Multiple strategies","mixed drivers",IF(BF389="Supply chain","multiple supply","multiple silviculture"))))</f>
        <v>technologies/design switch</v>
      </c>
      <c r="BF389" s="2" t="str" cm="1">
        <f t="array" ref="BF389">IF(COUNTIF(AZ389:BB389,"&lt;&gt;0")=1,INDEX($V$4:$AW$4,MATCH(TRUE,INDEX($V389:$AW389&lt;&gt;0,),0)),IF(COUNTIF(AZ389:BB389,"&lt;&gt;0")=0,INDEX($AM$4:$AW$4,MATCH(1,$AM389:$AW389,0)),"Multiple strategies"))</f>
        <v>Technology</v>
      </c>
      <c r="BG389" s="1" t="s">
        <v>229</v>
      </c>
      <c r="BH389" t="s">
        <v>517</v>
      </c>
      <c r="BI389"/>
      <c r="BJ389" t="s">
        <v>518</v>
      </c>
      <c r="BK389">
        <v>140</v>
      </c>
      <c r="BL389">
        <v>247</v>
      </c>
      <c r="BM389"/>
      <c r="BN389">
        <f t="shared" si="406"/>
        <v>107</v>
      </c>
      <c r="BO389">
        <f t="shared" ref="BO389:BO398" si="432">BN389*kg_to_m3</f>
        <v>0.21836734693877552</v>
      </c>
      <c r="BP389" s="264" t="s">
        <v>232</v>
      </c>
      <c r="BQ389" s="264"/>
      <c r="BR389" t="s">
        <v>519</v>
      </c>
      <c r="BS389">
        <v>-544.67353951890004</v>
      </c>
      <c r="BT389">
        <v>-536.08247422680404</v>
      </c>
      <c r="BU389" s="144">
        <v>0.98422712933753986</v>
      </c>
      <c r="BV389">
        <v>8.5910652920960047</v>
      </c>
      <c r="BW389"/>
      <c r="BX389">
        <f t="shared" ref="BX389:BX398" si="433">BV389/1000</f>
        <v>8.5910652920960055E-3</v>
      </c>
      <c r="BY389">
        <f t="shared" si="386"/>
        <v>3.9342261618009744E-2</v>
      </c>
      <c r="BZ389" s="143">
        <v>0</v>
      </c>
      <c r="CA389" s="143">
        <v>0</v>
      </c>
      <c r="CB389" s="143">
        <v>0</v>
      </c>
      <c r="CC389" s="143">
        <v>0</v>
      </c>
      <c r="CD389" s="143">
        <v>0</v>
      </c>
      <c r="CE389" s="143">
        <v>0</v>
      </c>
      <c r="CF389" s="143">
        <v>0</v>
      </c>
      <c r="CG389" s="143">
        <v>0</v>
      </c>
      <c r="CH389" s="143">
        <v>0</v>
      </c>
      <c r="CI389" s="143">
        <v>0</v>
      </c>
      <c r="CJ389" s="143">
        <v>0</v>
      </c>
      <c r="CK389" s="143">
        <v>0</v>
      </c>
      <c r="CL389" s="143">
        <v>0</v>
      </c>
      <c r="CM389">
        <v>0</v>
      </c>
      <c r="CN389" t="str">
        <f t="shared" si="409"/>
        <v>refOK</v>
      </c>
      <c r="CO389">
        <f t="shared" si="430"/>
        <v>140</v>
      </c>
      <c r="CP389">
        <f t="shared" si="431"/>
        <v>247</v>
      </c>
      <c r="CQ389">
        <f t="shared" si="410"/>
        <v>0.21836734693877552</v>
      </c>
      <c r="CR389">
        <f t="shared" si="411"/>
        <v>-544.67353951890004</v>
      </c>
      <c r="CS389">
        <f t="shared" si="412"/>
        <v>-536.08247422680404</v>
      </c>
      <c r="CT389">
        <f t="shared" si="413"/>
        <v>8.5910652920960055E-3</v>
      </c>
      <c r="CU389">
        <f t="shared" si="414"/>
        <v>3.9342261618009744E-2</v>
      </c>
      <c r="CV389" s="2">
        <f t="shared" si="415"/>
        <v>1.5772870662460182E-2</v>
      </c>
      <c r="CW389" s="1" t="s">
        <v>263</v>
      </c>
      <c r="CX389" s="264" t="str">
        <f t="shared" si="416"/>
        <v>loc</v>
      </c>
      <c r="CY389" t="s">
        <v>520</v>
      </c>
      <c r="CZ389">
        <v>2014</v>
      </c>
      <c r="DA389">
        <v>2014</v>
      </c>
      <c r="DB389">
        <f t="shared" si="417"/>
        <v>0</v>
      </c>
      <c r="DC389" t="str">
        <f t="shared" si="418"/>
        <v>0</v>
      </c>
      <c r="DD389">
        <v>0</v>
      </c>
      <c r="DE389">
        <v>0</v>
      </c>
      <c r="DF389">
        <v>0</v>
      </c>
      <c r="DG389">
        <v>1</v>
      </c>
      <c r="DH389"/>
      <c r="DI389">
        <f t="shared" si="419"/>
        <v>1</v>
      </c>
      <c r="DJ389" t="str">
        <f t="shared" si="420"/>
        <v>TimberInput</v>
      </c>
      <c r="DK389">
        <f t="shared" si="421"/>
        <v>0</v>
      </c>
      <c r="DL389">
        <f t="shared" si="422"/>
        <v>0</v>
      </c>
      <c r="DM389">
        <f t="shared" si="423"/>
        <v>0</v>
      </c>
      <c r="DN389" t="str">
        <f t="shared" si="424"/>
        <v>Timber</v>
      </c>
      <c r="DO389">
        <v>0</v>
      </c>
      <c r="DP389" s="143">
        <v>0</v>
      </c>
      <c r="DQ389" s="143">
        <v>0</v>
      </c>
      <c r="DR389" s="143">
        <v>0</v>
      </c>
      <c r="DS389">
        <v>0</v>
      </c>
      <c r="DT389">
        <f t="shared" si="425"/>
        <v>0</v>
      </c>
      <c r="DU389" s="143" t="str">
        <f t="shared" si="426"/>
        <v>explicit C balance</v>
      </c>
      <c r="DV389">
        <v>0</v>
      </c>
      <c r="DW389" s="143">
        <v>0</v>
      </c>
      <c r="DX389" s="143">
        <v>0</v>
      </c>
      <c r="DY389" s="143">
        <v>0</v>
      </c>
      <c r="DZ389">
        <v>0</v>
      </c>
      <c r="EA389" s="143">
        <v>1</v>
      </c>
      <c r="EB389">
        <v>0</v>
      </c>
      <c r="EC389" s="143">
        <v>1</v>
      </c>
      <c r="ED389" s="143">
        <v>0</v>
      </c>
      <c r="EE389">
        <v>0</v>
      </c>
      <c r="EF389">
        <v>0</v>
      </c>
      <c r="EG389" s="143">
        <v>0</v>
      </c>
      <c r="EH389" s="143">
        <v>0</v>
      </c>
      <c r="EI389" s="2">
        <v>0</v>
      </c>
      <c r="EJ389" s="1"/>
      <c r="EK389" t="str">
        <f t="shared" si="427"/>
        <v/>
      </c>
      <c r="EL389" t="str">
        <f t="shared" si="428"/>
        <v/>
      </c>
      <c r="EM389" s="2" t="str">
        <f t="shared" si="387"/>
        <v/>
      </c>
      <c r="EN389"/>
      <c r="EO389"/>
      <c r="EP389" t="str">
        <f>IF(ISNUMBER(BU389),IF(ABS(BU389-[4]QC_indicators!$B$2)&gt;3*[4]QC_indicators!$C$2,"C ratio",IF(ISNUMBER(BY389),IF(ABS(BY389-[4]QC_indicators!$B$1)&gt;3*[4]QC_indicators!$C$1,"DF","no"))),IF(ISNUMBER(BY389),IF(ABS(BY389-[4]QC_indicators!$B$1)&gt;3*[4]QC_indicators!$C$1,"DF","no")))</f>
        <v>no</v>
      </c>
      <c r="EQ389"/>
      <c r="ER389" s="294" t="s">
        <v>349</v>
      </c>
      <c r="ES389"/>
      <c r="ET389" s="264" t="s">
        <v>3406</v>
      </c>
      <c r="EU389"/>
    </row>
    <row r="390" spans="1:151" s="139" customFormat="1" ht="15" hidden="1" customHeight="1">
      <c r="A390" s="1" t="s">
        <v>505</v>
      </c>
      <c r="B390" t="s">
        <v>506</v>
      </c>
      <c r="C390" t="s">
        <v>507</v>
      </c>
      <c r="D390" t="s">
        <v>508</v>
      </c>
      <c r="E390" t="s">
        <v>509</v>
      </c>
      <c r="F390" t="s">
        <v>510</v>
      </c>
      <c r="G390" t="s">
        <v>511</v>
      </c>
      <c r="H390" t="s">
        <v>254</v>
      </c>
      <c r="I390">
        <v>2021</v>
      </c>
      <c r="J390">
        <v>7</v>
      </c>
      <c r="K390" t="s">
        <v>512</v>
      </c>
      <c r="L390"/>
      <c r="M390" t="str">
        <f t="shared" si="429"/>
        <v>Caldas_2021</v>
      </c>
      <c r="N390" t="s">
        <v>222</v>
      </c>
      <c r="O390" s="145" t="s">
        <v>223</v>
      </c>
      <c r="P390" t="s">
        <v>513</v>
      </c>
      <c r="Q390" s="264" t="s">
        <v>256</v>
      </c>
      <c r="R390" s="269" t="s">
        <v>1153</v>
      </c>
      <c r="S390" s="1" t="s">
        <v>517</v>
      </c>
      <c r="T390" t="s">
        <v>526</v>
      </c>
      <c r="U390" t="s">
        <v>527</v>
      </c>
      <c r="V390">
        <v>0</v>
      </c>
      <c r="W390">
        <v>0</v>
      </c>
      <c r="X390">
        <v>0</v>
      </c>
      <c r="Y390">
        <v>0</v>
      </c>
      <c r="Z390">
        <v>0</v>
      </c>
      <c r="AA390">
        <v>0</v>
      </c>
      <c r="AB390">
        <v>0</v>
      </c>
      <c r="AC390">
        <v>0</v>
      </c>
      <c r="AD390">
        <v>0</v>
      </c>
      <c r="AE390">
        <v>0</v>
      </c>
      <c r="AF390">
        <v>0</v>
      </c>
      <c r="AG390">
        <v>0</v>
      </c>
      <c r="AH390">
        <v>0</v>
      </c>
      <c r="AI390">
        <v>0</v>
      </c>
      <c r="AJ390">
        <v>0</v>
      </c>
      <c r="AK390">
        <v>1</v>
      </c>
      <c r="AL390">
        <v>0</v>
      </c>
      <c r="AM390">
        <v>0</v>
      </c>
      <c r="AN390">
        <v>0</v>
      </c>
      <c r="AO390">
        <v>0</v>
      </c>
      <c r="AP390">
        <v>0</v>
      </c>
      <c r="AQ390">
        <v>0</v>
      </c>
      <c r="AR390">
        <v>0</v>
      </c>
      <c r="AS390">
        <v>0</v>
      </c>
      <c r="AT390">
        <v>0</v>
      </c>
      <c r="AU390">
        <v>0</v>
      </c>
      <c r="AV390">
        <v>0</v>
      </c>
      <c r="AW390">
        <v>0</v>
      </c>
      <c r="AX390" s="141">
        <f t="shared" si="399"/>
        <v>1</v>
      </c>
      <c r="AY390" s="141">
        <f t="shared" si="400"/>
        <v>1</v>
      </c>
      <c r="AZ390">
        <f t="shared" si="401"/>
        <v>0</v>
      </c>
      <c r="BA390">
        <f t="shared" si="402"/>
        <v>0</v>
      </c>
      <c r="BB390">
        <f t="shared" si="403"/>
        <v>1</v>
      </c>
      <c r="BC390">
        <f t="shared" si="404"/>
        <v>0</v>
      </c>
      <c r="BD390">
        <f t="shared" si="405"/>
        <v>0</v>
      </c>
      <c r="BE390" t="str" cm="1">
        <f t="array" ref="BE390">IF(AY390=1,INDEX($V$7:$AL$7,MATCH(TRUE,INDEX($V390:$AW390&lt;&gt;0,),0)),IF(AY390=0,INDEX($AM$7:$AW$7,MATCH(1,$AM390:$AW390,0)),IF(BF390="Multiple strategies","mixed drivers",IF(BF390="Supply chain","multiple supply","multiple silviculture"))))</f>
        <v>technologies/design switch</v>
      </c>
      <c r="BF390" s="2" t="str" cm="1">
        <f t="array" ref="BF390">IF(COUNTIF(AZ390:BB390,"&lt;&gt;0")=1,INDEX($V$4:$AW$4,MATCH(TRUE,INDEX($V390:$AW390&lt;&gt;0,),0)),IF(COUNTIF(AZ390:BB390,"&lt;&gt;0")=0,INDEX($AM$4:$AW$4,MATCH(1,$AM390:$AW390,0)),"Multiple strategies"))</f>
        <v>Technology</v>
      </c>
      <c r="BG390" s="1" t="s">
        <v>229</v>
      </c>
      <c r="BH390" t="s">
        <v>517</v>
      </c>
      <c r="BI390"/>
      <c r="BJ390" t="s">
        <v>518</v>
      </c>
      <c r="BK390">
        <v>140</v>
      </c>
      <c r="BL390">
        <v>247</v>
      </c>
      <c r="BM390"/>
      <c r="BN390">
        <f t="shared" si="406"/>
        <v>107</v>
      </c>
      <c r="BO390">
        <f t="shared" si="432"/>
        <v>0.21836734693877552</v>
      </c>
      <c r="BP390" s="264" t="s">
        <v>232</v>
      </c>
      <c r="BQ390" s="264"/>
      <c r="BR390" t="s">
        <v>519</v>
      </c>
      <c r="BS390">
        <v>-298.96907216494799</v>
      </c>
      <c r="BT390">
        <v>-103.092783505154</v>
      </c>
      <c r="BU390" s="144">
        <v>0.34482758620689496</v>
      </c>
      <c r="BV390">
        <v>195.876288659794</v>
      </c>
      <c r="BW390"/>
      <c r="BX390">
        <f t="shared" si="433"/>
        <v>0.19587628865979401</v>
      </c>
      <c r="BY390">
        <f t="shared" si="386"/>
        <v>0.89700356489064537</v>
      </c>
      <c r="BZ390" s="143">
        <v>0</v>
      </c>
      <c r="CA390" s="143">
        <v>0</v>
      </c>
      <c r="CB390" s="143">
        <v>0</v>
      </c>
      <c r="CC390" s="143">
        <v>0</v>
      </c>
      <c r="CD390" s="143">
        <v>0</v>
      </c>
      <c r="CE390" s="143">
        <v>0</v>
      </c>
      <c r="CF390" s="143">
        <v>0</v>
      </c>
      <c r="CG390" s="143">
        <v>0</v>
      </c>
      <c r="CH390" s="143">
        <v>0</v>
      </c>
      <c r="CI390" s="143">
        <v>0</v>
      </c>
      <c r="CJ390" s="143">
        <v>0</v>
      </c>
      <c r="CK390" s="143">
        <v>0</v>
      </c>
      <c r="CL390" s="143">
        <v>0</v>
      </c>
      <c r="CM390">
        <v>0</v>
      </c>
      <c r="CN390" t="str">
        <f t="shared" si="409"/>
        <v>refOK</v>
      </c>
      <c r="CO390">
        <f t="shared" si="430"/>
        <v>140</v>
      </c>
      <c r="CP390">
        <f t="shared" si="431"/>
        <v>247</v>
      </c>
      <c r="CQ390">
        <f t="shared" si="410"/>
        <v>0.21836734693877552</v>
      </c>
      <c r="CR390">
        <f t="shared" si="411"/>
        <v>-298.96907216494799</v>
      </c>
      <c r="CS390">
        <f t="shared" si="412"/>
        <v>-103.092783505154</v>
      </c>
      <c r="CT390">
        <f t="shared" si="413"/>
        <v>0.19587628865979401</v>
      </c>
      <c r="CU390">
        <f t="shared" si="414"/>
        <v>0.89700356489064537</v>
      </c>
      <c r="CV390" s="2">
        <f t="shared" si="415"/>
        <v>0.65517241379310509</v>
      </c>
      <c r="CW390" s="1" t="s">
        <v>263</v>
      </c>
      <c r="CX390" s="264" t="str">
        <f t="shared" si="416"/>
        <v>loc</v>
      </c>
      <c r="CY390" t="s">
        <v>520</v>
      </c>
      <c r="CZ390">
        <v>2014</v>
      </c>
      <c r="DA390">
        <v>2014</v>
      </c>
      <c r="DB390">
        <f t="shared" si="417"/>
        <v>0</v>
      </c>
      <c r="DC390" t="str">
        <f t="shared" si="418"/>
        <v>0</v>
      </c>
      <c r="DD390">
        <v>0</v>
      </c>
      <c r="DE390">
        <v>0</v>
      </c>
      <c r="DF390">
        <v>0</v>
      </c>
      <c r="DG390">
        <v>1</v>
      </c>
      <c r="DH390"/>
      <c r="DI390">
        <f t="shared" si="419"/>
        <v>1</v>
      </c>
      <c r="DJ390" t="str">
        <f t="shared" si="420"/>
        <v>TimberInput</v>
      </c>
      <c r="DK390">
        <f t="shared" si="421"/>
        <v>0</v>
      </c>
      <c r="DL390">
        <f t="shared" si="422"/>
        <v>0</v>
      </c>
      <c r="DM390">
        <f t="shared" si="423"/>
        <v>0</v>
      </c>
      <c r="DN390" t="str">
        <f t="shared" si="424"/>
        <v>Timber</v>
      </c>
      <c r="DO390">
        <v>0</v>
      </c>
      <c r="DP390" s="143">
        <v>0</v>
      </c>
      <c r="DQ390" s="143">
        <v>0</v>
      </c>
      <c r="DR390" s="143">
        <v>0</v>
      </c>
      <c r="DS390">
        <v>0</v>
      </c>
      <c r="DT390">
        <f t="shared" si="425"/>
        <v>0</v>
      </c>
      <c r="DU390" s="143" t="str">
        <f t="shared" si="426"/>
        <v>explicit C balance</v>
      </c>
      <c r="DV390">
        <v>0</v>
      </c>
      <c r="DW390" s="143">
        <v>0</v>
      </c>
      <c r="DX390" s="143">
        <v>0</v>
      </c>
      <c r="DY390" s="143">
        <v>0</v>
      </c>
      <c r="DZ390">
        <v>1</v>
      </c>
      <c r="EA390" s="143">
        <v>1</v>
      </c>
      <c r="EB390">
        <v>0</v>
      </c>
      <c r="EC390" s="143">
        <v>1</v>
      </c>
      <c r="ED390" s="143">
        <v>0</v>
      </c>
      <c r="EE390">
        <v>0</v>
      </c>
      <c r="EF390">
        <v>0</v>
      </c>
      <c r="EG390" s="143">
        <v>0</v>
      </c>
      <c r="EH390" s="143">
        <v>0</v>
      </c>
      <c r="EI390" s="2">
        <v>0</v>
      </c>
      <c r="EJ390" s="1"/>
      <c r="EK390" t="str">
        <f t="shared" si="427"/>
        <v/>
      </c>
      <c r="EL390" t="str">
        <f t="shared" si="428"/>
        <v/>
      </c>
      <c r="EM390" s="2" t="str">
        <f t="shared" si="387"/>
        <v/>
      </c>
      <c r="EN390"/>
      <c r="EO390"/>
      <c r="EP390" t="str">
        <f>IF(ISNUMBER(BU390),IF(ABS(BU390-[4]QC_indicators!$B$2)&gt;3*[4]QC_indicators!$C$2,"C ratio",IF(ISNUMBER(BY390),IF(ABS(BY390-[4]QC_indicators!$B$1)&gt;3*[4]QC_indicators!$C$1,"DF","no"))),IF(ISNUMBER(BY390),IF(ABS(BY390-[4]QC_indicators!$B$1)&gt;3*[4]QC_indicators!$C$1,"DF","no")))</f>
        <v>no</v>
      </c>
      <c r="EQ390"/>
      <c r="ER390" s="294" t="s">
        <v>349</v>
      </c>
      <c r="ES390"/>
      <c r="ET390" s="264" t="s">
        <v>3406</v>
      </c>
      <c r="EU390"/>
    </row>
    <row r="391" spans="1:151" s="139" customFormat="1" ht="15" hidden="1" customHeight="1">
      <c r="A391" s="1" t="s">
        <v>505</v>
      </c>
      <c r="B391" t="s">
        <v>506</v>
      </c>
      <c r="C391" t="s">
        <v>507</v>
      </c>
      <c r="D391" t="s">
        <v>508</v>
      </c>
      <c r="E391" t="s">
        <v>509</v>
      </c>
      <c r="F391" t="s">
        <v>510</v>
      </c>
      <c r="G391" t="s">
        <v>511</v>
      </c>
      <c r="H391" t="s">
        <v>254</v>
      </c>
      <c r="I391">
        <v>2021</v>
      </c>
      <c r="J391">
        <v>7</v>
      </c>
      <c r="K391" t="s">
        <v>512</v>
      </c>
      <c r="L391"/>
      <c r="M391" t="str">
        <f t="shared" si="429"/>
        <v>Caldas_2021</v>
      </c>
      <c r="N391" t="s">
        <v>222</v>
      </c>
      <c r="O391" s="145" t="s">
        <v>223</v>
      </c>
      <c r="P391" t="s">
        <v>513</v>
      </c>
      <c r="Q391" s="264" t="s">
        <v>256</v>
      </c>
      <c r="R391" s="269" t="s">
        <v>1153</v>
      </c>
      <c r="S391" s="1" t="s">
        <v>514</v>
      </c>
      <c r="T391" t="s">
        <v>515</v>
      </c>
      <c r="U391" t="s">
        <v>516</v>
      </c>
      <c r="V391">
        <v>0</v>
      </c>
      <c r="W391">
        <v>0</v>
      </c>
      <c r="X391">
        <v>0</v>
      </c>
      <c r="Y391">
        <v>0</v>
      </c>
      <c r="Z391">
        <v>0</v>
      </c>
      <c r="AA391">
        <v>0</v>
      </c>
      <c r="AB391">
        <v>0</v>
      </c>
      <c r="AC391">
        <v>0</v>
      </c>
      <c r="AD391">
        <v>0</v>
      </c>
      <c r="AE391">
        <v>1</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s="141">
        <f t="shared" si="399"/>
        <v>1</v>
      </c>
      <c r="AY391" s="141">
        <f t="shared" si="400"/>
        <v>1</v>
      </c>
      <c r="AZ391">
        <f t="shared" si="401"/>
        <v>0</v>
      </c>
      <c r="BA391">
        <f t="shared" si="402"/>
        <v>1</v>
      </c>
      <c r="BB391">
        <f t="shared" si="403"/>
        <v>0</v>
      </c>
      <c r="BC391">
        <f t="shared" si="404"/>
        <v>0</v>
      </c>
      <c r="BD391">
        <f t="shared" si="405"/>
        <v>0</v>
      </c>
      <c r="BE391" t="str" cm="1">
        <f t="array" ref="BE391">IF(AY391=1,INDEX($V$7:$AL$7,MATCH(TRUE,INDEX($V391:$AW391&lt;&gt;0,),0)),IF(AY391=0,INDEX($AM$7:$AW$7,MATCH(1,$AM391:$AW391,0)),IF(BF391="Multiple strategies","mixed drivers",IF(BF391="Supply chain","multiple supply","multiple silviculture"))))</f>
        <v>location of industry</v>
      </c>
      <c r="BF391" s="2" t="str" cm="1">
        <f t="array" ref="BF391">IF(COUNTIF(AZ391:BB391,"&lt;&gt;0")=1,INDEX($V$4:$AW$4,MATCH(TRUE,INDEX($V391:$AW391&lt;&gt;0,),0)),IF(COUNTIF(AZ391:BB391,"&lt;&gt;0")=0,INDEX($AM$4:$AW$4,MATCH(1,$AM391:$AW391,0)),"Multiple strategies"))</f>
        <v>Supply chain</v>
      </c>
      <c r="BG391" s="1" t="s">
        <v>229</v>
      </c>
      <c r="BH391" t="s">
        <v>517</v>
      </c>
      <c r="BI391"/>
      <c r="BJ391" t="s">
        <v>518</v>
      </c>
      <c r="BK391">
        <v>140</v>
      </c>
      <c r="BL391">
        <v>140</v>
      </c>
      <c r="BM391"/>
      <c r="BN391">
        <f t="shared" si="406"/>
        <v>0</v>
      </c>
      <c r="BO391">
        <f t="shared" si="432"/>
        <v>0</v>
      </c>
      <c r="BP391" s="264" t="s">
        <v>232</v>
      </c>
      <c r="BQ391" s="264"/>
      <c r="BR391" t="s">
        <v>519</v>
      </c>
      <c r="BS391">
        <v>-503</v>
      </c>
      <c r="BT391">
        <v>-290</v>
      </c>
      <c r="BU391" s="144">
        <v>0.57654075546719685</v>
      </c>
      <c r="BV391">
        <v>213</v>
      </c>
      <c r="BW391"/>
      <c r="BX391">
        <f t="shared" si="433"/>
        <v>0.21299999999999999</v>
      </c>
      <c r="BY391" t="str">
        <f t="shared" si="386"/>
        <v/>
      </c>
      <c r="BZ391" s="143">
        <v>0</v>
      </c>
      <c r="CA391" s="143">
        <v>0</v>
      </c>
      <c r="CB391" s="143">
        <v>0</v>
      </c>
      <c r="CC391" s="143">
        <v>0</v>
      </c>
      <c r="CD391" s="143">
        <v>0</v>
      </c>
      <c r="CE391" s="143">
        <v>0</v>
      </c>
      <c r="CF391" s="143">
        <v>0</v>
      </c>
      <c r="CG391" s="143">
        <v>0</v>
      </c>
      <c r="CH391" s="143">
        <v>0</v>
      </c>
      <c r="CI391" s="143">
        <v>0</v>
      </c>
      <c r="CJ391" s="143">
        <v>0</v>
      </c>
      <c r="CK391" s="143">
        <v>0</v>
      </c>
      <c r="CL391" s="143">
        <v>0</v>
      </c>
      <c r="CM391">
        <v>0</v>
      </c>
      <c r="CN391" t="str">
        <f t="shared" si="409"/>
        <v>refOK</v>
      </c>
      <c r="CO391">
        <f t="shared" si="430"/>
        <v>140</v>
      </c>
      <c r="CP391">
        <f t="shared" si="431"/>
        <v>140</v>
      </c>
      <c r="CQ391">
        <f t="shared" si="410"/>
        <v>0</v>
      </c>
      <c r="CR391">
        <f t="shared" si="411"/>
        <v>-503</v>
      </c>
      <c r="CS391">
        <f t="shared" si="412"/>
        <v>-290</v>
      </c>
      <c r="CT391">
        <f t="shared" si="413"/>
        <v>0.21299999999999999</v>
      </c>
      <c r="CU391" t="str">
        <f t="shared" si="414"/>
        <v/>
      </c>
      <c r="CV391" s="2">
        <f t="shared" si="415"/>
        <v>0.4234592445328032</v>
      </c>
      <c r="CW391" s="1" t="s">
        <v>263</v>
      </c>
      <c r="CX391" s="264" t="str">
        <f t="shared" si="416"/>
        <v>loc</v>
      </c>
      <c r="CY391" t="s">
        <v>520</v>
      </c>
      <c r="CZ391">
        <v>2014</v>
      </c>
      <c r="DA391">
        <v>2014</v>
      </c>
      <c r="DB391">
        <f t="shared" si="417"/>
        <v>0</v>
      </c>
      <c r="DC391" t="str">
        <f t="shared" si="418"/>
        <v>0</v>
      </c>
      <c r="DD391">
        <v>0</v>
      </c>
      <c r="DE391">
        <v>0</v>
      </c>
      <c r="DF391">
        <v>0</v>
      </c>
      <c r="DG391">
        <v>1</v>
      </c>
      <c r="DH391"/>
      <c r="DI391">
        <f t="shared" si="419"/>
        <v>1</v>
      </c>
      <c r="DJ391" t="str">
        <f t="shared" si="420"/>
        <v>TimberInput</v>
      </c>
      <c r="DK391">
        <f t="shared" si="421"/>
        <v>0</v>
      </c>
      <c r="DL391">
        <f t="shared" si="422"/>
        <v>0</v>
      </c>
      <c r="DM391">
        <f t="shared" si="423"/>
        <v>0</v>
      </c>
      <c r="DN391" t="str">
        <f t="shared" si="424"/>
        <v>Timber</v>
      </c>
      <c r="DO391">
        <v>0</v>
      </c>
      <c r="DP391" s="143">
        <v>0</v>
      </c>
      <c r="DQ391" s="143">
        <v>0</v>
      </c>
      <c r="DR391" s="143">
        <v>0</v>
      </c>
      <c r="DS391">
        <v>0</v>
      </c>
      <c r="DT391">
        <f t="shared" si="425"/>
        <v>0</v>
      </c>
      <c r="DU391" s="143" t="str">
        <f t="shared" si="426"/>
        <v>explicit C balance</v>
      </c>
      <c r="DV391">
        <v>0</v>
      </c>
      <c r="DW391" s="143">
        <v>0</v>
      </c>
      <c r="DX391" s="143">
        <v>0</v>
      </c>
      <c r="DY391" s="143">
        <v>0</v>
      </c>
      <c r="DZ391">
        <v>1</v>
      </c>
      <c r="EA391" s="143">
        <v>1</v>
      </c>
      <c r="EB391">
        <v>0</v>
      </c>
      <c r="EC391" s="143">
        <v>1</v>
      </c>
      <c r="ED391" s="143">
        <v>0</v>
      </c>
      <c r="EE391">
        <v>0</v>
      </c>
      <c r="EF391">
        <v>0</v>
      </c>
      <c r="EG391" s="143">
        <v>0</v>
      </c>
      <c r="EH391" s="143">
        <v>0</v>
      </c>
      <c r="EI391" s="2">
        <v>0</v>
      </c>
      <c r="EJ391" s="1"/>
      <c r="EK391" t="str">
        <f t="shared" si="427"/>
        <v/>
      </c>
      <c r="EL391" t="str">
        <f t="shared" si="428"/>
        <v/>
      </c>
      <c r="EM391" s="2" t="str">
        <f t="shared" si="387"/>
        <v/>
      </c>
      <c r="EN391" t="s">
        <v>521</v>
      </c>
      <c r="EO391"/>
      <c r="EP391" t="b">
        <f>IF(ISNUMBER(BU391),IF(ABS(BU391-[4]QC_indicators!$B$2)&gt;3*[4]QC_indicators!$C$2,"C ratio",IF(ISNUMBER(BY391),IF(ABS(BY391-[4]QC_indicators!$B$1)&gt;3*[4]QC_indicators!$C$1,"DF","no"))),IF(ISNUMBER(BY391),IF(ABS(BY391-[4]QC_indicators!$B$1)&gt;3*[4]QC_indicators!$C$1,"DF","no")))</f>
        <v>0</v>
      </c>
      <c r="EQ391"/>
      <c r="ER391" s="294" t="s">
        <v>349</v>
      </c>
      <c r="ES391"/>
      <c r="ET391" s="264" t="s">
        <v>3406</v>
      </c>
      <c r="EU391"/>
    </row>
    <row r="392" spans="1:151" s="139" customFormat="1" ht="15" hidden="1" customHeight="1">
      <c r="A392" s="1" t="s">
        <v>505</v>
      </c>
      <c r="B392" t="s">
        <v>506</v>
      </c>
      <c r="C392" t="s">
        <v>507</v>
      </c>
      <c r="D392" t="s">
        <v>508</v>
      </c>
      <c r="E392" t="s">
        <v>509</v>
      </c>
      <c r="F392" t="s">
        <v>510</v>
      </c>
      <c r="G392" t="s">
        <v>511</v>
      </c>
      <c r="H392" t="s">
        <v>254</v>
      </c>
      <c r="I392">
        <v>2021</v>
      </c>
      <c r="J392">
        <v>7</v>
      </c>
      <c r="K392" t="s">
        <v>512</v>
      </c>
      <c r="L392"/>
      <c r="M392" t="str">
        <f t="shared" si="429"/>
        <v>Caldas_2021</v>
      </c>
      <c r="N392" t="s">
        <v>222</v>
      </c>
      <c r="O392" s="145" t="s">
        <v>223</v>
      </c>
      <c r="P392" t="s">
        <v>513</v>
      </c>
      <c r="Q392" s="264" t="s">
        <v>256</v>
      </c>
      <c r="R392" s="269" t="s">
        <v>1153</v>
      </c>
      <c r="S392" s="1" t="s">
        <v>514</v>
      </c>
      <c r="T392" t="s">
        <v>515</v>
      </c>
      <c r="U392" t="s">
        <v>516</v>
      </c>
      <c r="V392">
        <v>0</v>
      </c>
      <c r="W392">
        <v>0</v>
      </c>
      <c r="X392">
        <v>0</v>
      </c>
      <c r="Y392">
        <v>0</v>
      </c>
      <c r="Z392">
        <v>0</v>
      </c>
      <c r="AA392">
        <v>0</v>
      </c>
      <c r="AB392">
        <v>0</v>
      </c>
      <c r="AC392">
        <v>0</v>
      </c>
      <c r="AD392">
        <v>0</v>
      </c>
      <c r="AE392">
        <v>1</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s="141">
        <f t="shared" si="399"/>
        <v>1</v>
      </c>
      <c r="AY392" s="141">
        <f t="shared" si="400"/>
        <v>1</v>
      </c>
      <c r="AZ392">
        <f t="shared" si="401"/>
        <v>0</v>
      </c>
      <c r="BA392">
        <f t="shared" si="402"/>
        <v>1</v>
      </c>
      <c r="BB392">
        <f t="shared" si="403"/>
        <v>0</v>
      </c>
      <c r="BC392">
        <f t="shared" si="404"/>
        <v>0</v>
      </c>
      <c r="BD392">
        <f t="shared" si="405"/>
        <v>0</v>
      </c>
      <c r="BE392" t="str" cm="1">
        <f t="array" ref="BE392">IF(AY392=1,INDEX($V$7:$AL$7,MATCH(TRUE,INDEX($V392:$AW392&lt;&gt;0,),0)),IF(AY392=0,INDEX($AM$7:$AW$7,MATCH(1,$AM392:$AW392,0)),IF(BF392="Multiple strategies","mixed drivers",IF(BF392="Supply chain","multiple supply","multiple silviculture"))))</f>
        <v>location of industry</v>
      </c>
      <c r="BF392" s="2" t="str" cm="1">
        <f t="array" ref="BF392">IF(COUNTIF(AZ392:BB392,"&lt;&gt;0")=1,INDEX($V$4:$AW$4,MATCH(TRUE,INDEX($V392:$AW392&lt;&gt;0,),0)),IF(COUNTIF(AZ392:BB392,"&lt;&gt;0")=0,INDEX($AM$4:$AW$4,MATCH(1,$AM392:$AW392,0)),"Multiple strategies"))</f>
        <v>Supply chain</v>
      </c>
      <c r="BG392" s="1" t="s">
        <v>229</v>
      </c>
      <c r="BH392" t="s">
        <v>517</v>
      </c>
      <c r="BI392"/>
      <c r="BJ392" t="s">
        <v>518</v>
      </c>
      <c r="BK392">
        <v>140</v>
      </c>
      <c r="BL392">
        <v>140</v>
      </c>
      <c r="BM392"/>
      <c r="BN392">
        <f t="shared" si="406"/>
        <v>0</v>
      </c>
      <c r="BO392">
        <f t="shared" si="432"/>
        <v>0</v>
      </c>
      <c r="BP392" s="264" t="s">
        <v>232</v>
      </c>
      <c r="BQ392" s="264"/>
      <c r="BR392" t="s">
        <v>519</v>
      </c>
      <c r="BS392">
        <v>-372</v>
      </c>
      <c r="BT392">
        <v>-284</v>
      </c>
      <c r="BU392" s="144">
        <v>0.76344086021505375</v>
      </c>
      <c r="BV392">
        <v>88</v>
      </c>
      <c r="BW392"/>
      <c r="BX392">
        <f t="shared" si="433"/>
        <v>8.7999999999999995E-2</v>
      </c>
      <c r="BY392" t="str">
        <f t="shared" si="386"/>
        <v/>
      </c>
      <c r="BZ392" s="143">
        <v>0</v>
      </c>
      <c r="CA392" s="143">
        <v>0</v>
      </c>
      <c r="CB392" s="143">
        <v>0</v>
      </c>
      <c r="CC392" s="143">
        <v>0</v>
      </c>
      <c r="CD392" s="143">
        <v>0</v>
      </c>
      <c r="CE392" s="143">
        <v>0</v>
      </c>
      <c r="CF392" s="143">
        <v>0</v>
      </c>
      <c r="CG392" s="143">
        <v>0</v>
      </c>
      <c r="CH392" s="143">
        <v>0</v>
      </c>
      <c r="CI392" s="143">
        <v>0</v>
      </c>
      <c r="CJ392" s="143">
        <v>0</v>
      </c>
      <c r="CK392" s="143">
        <v>0</v>
      </c>
      <c r="CL392" s="143">
        <v>0</v>
      </c>
      <c r="CM392">
        <v>0</v>
      </c>
      <c r="CN392" t="str">
        <f t="shared" si="409"/>
        <v>refOK</v>
      </c>
      <c r="CO392">
        <f t="shared" si="430"/>
        <v>140</v>
      </c>
      <c r="CP392">
        <f t="shared" si="431"/>
        <v>140</v>
      </c>
      <c r="CQ392">
        <f t="shared" si="410"/>
        <v>0</v>
      </c>
      <c r="CR392">
        <f t="shared" si="411"/>
        <v>-372</v>
      </c>
      <c r="CS392">
        <f t="shared" si="412"/>
        <v>-284</v>
      </c>
      <c r="CT392">
        <f t="shared" si="413"/>
        <v>8.7999999999999995E-2</v>
      </c>
      <c r="CU392" t="str">
        <f t="shared" si="414"/>
        <v/>
      </c>
      <c r="CV392" s="2">
        <f t="shared" si="415"/>
        <v>0.23655913978494625</v>
      </c>
      <c r="CW392" s="1" t="s">
        <v>263</v>
      </c>
      <c r="CX392" s="264" t="str">
        <f t="shared" si="416"/>
        <v>loc</v>
      </c>
      <c r="CY392" t="s">
        <v>520</v>
      </c>
      <c r="CZ392">
        <v>2014</v>
      </c>
      <c r="DA392">
        <v>2014</v>
      </c>
      <c r="DB392">
        <f t="shared" si="417"/>
        <v>0</v>
      </c>
      <c r="DC392" t="str">
        <f t="shared" si="418"/>
        <v>0</v>
      </c>
      <c r="DD392">
        <v>0</v>
      </c>
      <c r="DE392">
        <v>0</v>
      </c>
      <c r="DF392">
        <v>0</v>
      </c>
      <c r="DG392">
        <v>1</v>
      </c>
      <c r="DH392"/>
      <c r="DI392">
        <f t="shared" si="419"/>
        <v>1</v>
      </c>
      <c r="DJ392" t="str">
        <f t="shared" si="420"/>
        <v>TimberInput</v>
      </c>
      <c r="DK392">
        <f t="shared" si="421"/>
        <v>0</v>
      </c>
      <c r="DL392">
        <f t="shared" si="422"/>
        <v>0</v>
      </c>
      <c r="DM392">
        <f t="shared" si="423"/>
        <v>0</v>
      </c>
      <c r="DN392" t="str">
        <f t="shared" si="424"/>
        <v>Timber</v>
      </c>
      <c r="DO392">
        <v>0</v>
      </c>
      <c r="DP392" s="143">
        <v>0</v>
      </c>
      <c r="DQ392" s="143">
        <v>0</v>
      </c>
      <c r="DR392" s="143">
        <v>0</v>
      </c>
      <c r="DS392">
        <v>0</v>
      </c>
      <c r="DT392">
        <f t="shared" si="425"/>
        <v>0</v>
      </c>
      <c r="DU392" s="143" t="str">
        <f t="shared" si="426"/>
        <v>explicit C balance</v>
      </c>
      <c r="DV392">
        <v>0</v>
      </c>
      <c r="DW392" s="143">
        <v>0</v>
      </c>
      <c r="DX392" s="143">
        <v>0</v>
      </c>
      <c r="DY392" s="143">
        <v>0</v>
      </c>
      <c r="DZ392">
        <v>1</v>
      </c>
      <c r="EA392" s="143">
        <v>1</v>
      </c>
      <c r="EB392">
        <v>0</v>
      </c>
      <c r="EC392" s="143">
        <v>1</v>
      </c>
      <c r="ED392" s="143">
        <v>0</v>
      </c>
      <c r="EE392">
        <v>0</v>
      </c>
      <c r="EF392">
        <v>0</v>
      </c>
      <c r="EG392" s="143">
        <v>0</v>
      </c>
      <c r="EH392" s="143">
        <v>0</v>
      </c>
      <c r="EI392" s="2">
        <v>0</v>
      </c>
      <c r="EJ392" s="1"/>
      <c r="EK392" t="str">
        <f t="shared" si="427"/>
        <v/>
      </c>
      <c r="EL392" t="str">
        <f t="shared" si="428"/>
        <v/>
      </c>
      <c r="EM392" s="2" t="str">
        <f t="shared" si="387"/>
        <v/>
      </c>
      <c r="EN392" t="s">
        <v>521</v>
      </c>
      <c r="EO392"/>
      <c r="EP392" t="b">
        <f>IF(ISNUMBER(BU392),IF(ABS(BU392-[4]QC_indicators!$B$2)&gt;3*[4]QC_indicators!$C$2,"C ratio",IF(ISNUMBER(BY392),IF(ABS(BY392-[4]QC_indicators!$B$1)&gt;3*[4]QC_indicators!$C$1,"DF","no"))),IF(ISNUMBER(BY392),IF(ABS(BY392-[4]QC_indicators!$B$1)&gt;3*[4]QC_indicators!$C$1,"DF","no")))</f>
        <v>0</v>
      </c>
      <c r="EQ392"/>
      <c r="ER392" s="294" t="s">
        <v>349</v>
      </c>
      <c r="ES392"/>
      <c r="ET392" s="264" t="s">
        <v>3406</v>
      </c>
      <c r="EU392"/>
    </row>
    <row r="393" spans="1:151" s="139" customFormat="1" ht="15" hidden="1" customHeight="1">
      <c r="A393" s="1" t="s">
        <v>505</v>
      </c>
      <c r="B393" t="s">
        <v>506</v>
      </c>
      <c r="C393" t="s">
        <v>507</v>
      </c>
      <c r="D393" t="s">
        <v>508</v>
      </c>
      <c r="E393" t="s">
        <v>509</v>
      </c>
      <c r="F393" t="s">
        <v>510</v>
      </c>
      <c r="G393" t="s">
        <v>511</v>
      </c>
      <c r="H393" t="s">
        <v>254</v>
      </c>
      <c r="I393">
        <v>2021</v>
      </c>
      <c r="J393">
        <v>7</v>
      </c>
      <c r="K393" t="s">
        <v>512</v>
      </c>
      <c r="L393"/>
      <c r="M393" t="str">
        <f t="shared" si="429"/>
        <v>Caldas_2021</v>
      </c>
      <c r="N393" t="s">
        <v>222</v>
      </c>
      <c r="O393" s="145" t="s">
        <v>223</v>
      </c>
      <c r="P393" t="s">
        <v>513</v>
      </c>
      <c r="Q393" s="264" t="s">
        <v>256</v>
      </c>
      <c r="R393" s="269" t="s">
        <v>1153</v>
      </c>
      <c r="S393" s="1" t="s">
        <v>523</v>
      </c>
      <c r="T393" t="s">
        <v>524</v>
      </c>
      <c r="U393" t="s">
        <v>525</v>
      </c>
      <c r="V393">
        <v>0</v>
      </c>
      <c r="W393">
        <v>0</v>
      </c>
      <c r="X393">
        <v>0</v>
      </c>
      <c r="Y393">
        <v>0</v>
      </c>
      <c r="Z393">
        <v>0</v>
      </c>
      <c r="AA393">
        <v>0</v>
      </c>
      <c r="AB393">
        <v>0</v>
      </c>
      <c r="AC393">
        <v>0</v>
      </c>
      <c r="AD393">
        <v>0</v>
      </c>
      <c r="AE393">
        <v>0</v>
      </c>
      <c r="AF393">
        <v>1</v>
      </c>
      <c r="AG393">
        <v>0</v>
      </c>
      <c r="AH393">
        <v>0</v>
      </c>
      <c r="AI393">
        <v>0</v>
      </c>
      <c r="AJ393">
        <v>0</v>
      </c>
      <c r="AK393">
        <v>0</v>
      </c>
      <c r="AL393">
        <v>0</v>
      </c>
      <c r="AM393">
        <v>0</v>
      </c>
      <c r="AN393">
        <v>0</v>
      </c>
      <c r="AO393">
        <v>0</v>
      </c>
      <c r="AP393">
        <v>0</v>
      </c>
      <c r="AQ393">
        <v>0</v>
      </c>
      <c r="AR393">
        <v>0</v>
      </c>
      <c r="AS393">
        <v>0</v>
      </c>
      <c r="AT393">
        <v>0</v>
      </c>
      <c r="AU393">
        <v>0</v>
      </c>
      <c r="AV393">
        <v>0</v>
      </c>
      <c r="AW393">
        <v>0</v>
      </c>
      <c r="AX393" s="141">
        <f t="shared" si="399"/>
        <v>1</v>
      </c>
      <c r="AY393" s="141">
        <f t="shared" si="400"/>
        <v>1</v>
      </c>
      <c r="AZ393">
        <f t="shared" si="401"/>
        <v>0</v>
      </c>
      <c r="BA393">
        <f t="shared" si="402"/>
        <v>1</v>
      </c>
      <c r="BB393">
        <f t="shared" si="403"/>
        <v>0</v>
      </c>
      <c r="BC393">
        <f t="shared" si="404"/>
        <v>0</v>
      </c>
      <c r="BD393">
        <f t="shared" si="405"/>
        <v>0</v>
      </c>
      <c r="BE393" t="str" cm="1">
        <f t="array" ref="BE393">IF(AY393=1,INDEX($V$7:$AL$7,MATCH(TRUE,INDEX($V393:$AW393&lt;&gt;0,),0)),IF(AY393=0,INDEX($AM$7:$AW$7,MATCH(1,$AM393:$AW393,0)),IF(BF393="Multiple strategies","mixed drivers",IF(BF393="Supply chain","multiple supply","multiple silviculture"))))</f>
        <v>supply chain organization</v>
      </c>
      <c r="BF393" s="2" t="str" cm="1">
        <f t="array" ref="BF393">IF(COUNTIF(AZ393:BB393,"&lt;&gt;0")=1,INDEX($V$4:$AW$4,MATCH(TRUE,INDEX($V393:$AW393&lt;&gt;0,),0)),IF(COUNTIF(AZ393:BB393,"&lt;&gt;0")=0,INDEX($AM$4:$AW$4,MATCH(1,$AM393:$AW393,0)),"Multiple strategies"))</f>
        <v>Supply chain</v>
      </c>
      <c r="BG393" s="1" t="s">
        <v>229</v>
      </c>
      <c r="BH393" t="s">
        <v>517</v>
      </c>
      <c r="BI393"/>
      <c r="BJ393" t="s">
        <v>518</v>
      </c>
      <c r="BK393">
        <v>140</v>
      </c>
      <c r="BL393">
        <v>140</v>
      </c>
      <c r="BM393"/>
      <c r="BN393">
        <f t="shared" si="406"/>
        <v>0</v>
      </c>
      <c r="BO393">
        <f t="shared" si="432"/>
        <v>0</v>
      </c>
      <c r="BP393" s="264" t="s">
        <v>232</v>
      </c>
      <c r="BQ393" s="264"/>
      <c r="BR393" t="s">
        <v>519</v>
      </c>
      <c r="BS393">
        <v>-290</v>
      </c>
      <c r="BT393">
        <v>-284</v>
      </c>
      <c r="BU393" s="144">
        <v>0.97931034482758617</v>
      </c>
      <c r="BV393">
        <v>6</v>
      </c>
      <c r="BW393"/>
      <c r="BX393">
        <f t="shared" si="433"/>
        <v>6.0000000000000001E-3</v>
      </c>
      <c r="BY393" t="str">
        <f t="shared" si="386"/>
        <v/>
      </c>
      <c r="BZ393" s="143">
        <v>0</v>
      </c>
      <c r="CA393" s="143">
        <v>0</v>
      </c>
      <c r="CB393" s="143">
        <v>0</v>
      </c>
      <c r="CC393" s="143">
        <v>0</v>
      </c>
      <c r="CD393" s="143">
        <v>0</v>
      </c>
      <c r="CE393" s="143">
        <v>0</v>
      </c>
      <c r="CF393" s="143">
        <v>0</v>
      </c>
      <c r="CG393" s="143">
        <v>0</v>
      </c>
      <c r="CH393" s="143">
        <v>0</v>
      </c>
      <c r="CI393" s="143">
        <v>0</v>
      </c>
      <c r="CJ393" s="143">
        <v>0</v>
      </c>
      <c r="CK393" s="143">
        <v>0</v>
      </c>
      <c r="CL393" s="143">
        <v>0</v>
      </c>
      <c r="CM393">
        <v>0</v>
      </c>
      <c r="CN393" t="str">
        <f t="shared" si="409"/>
        <v>refOK</v>
      </c>
      <c r="CO393">
        <f t="shared" si="430"/>
        <v>140</v>
      </c>
      <c r="CP393">
        <f t="shared" si="431"/>
        <v>140</v>
      </c>
      <c r="CQ393">
        <f t="shared" si="410"/>
        <v>0</v>
      </c>
      <c r="CR393">
        <f t="shared" si="411"/>
        <v>-290</v>
      </c>
      <c r="CS393">
        <f t="shared" si="412"/>
        <v>-284</v>
      </c>
      <c r="CT393">
        <f t="shared" si="413"/>
        <v>6.0000000000000001E-3</v>
      </c>
      <c r="CU393" t="str">
        <f t="shared" si="414"/>
        <v/>
      </c>
      <c r="CV393" s="2">
        <f t="shared" si="415"/>
        <v>2.0689655172413793E-2</v>
      </c>
      <c r="CW393" s="1" t="s">
        <v>263</v>
      </c>
      <c r="CX393" s="264" t="str">
        <f t="shared" si="416"/>
        <v>loc</v>
      </c>
      <c r="CY393" t="s">
        <v>520</v>
      </c>
      <c r="CZ393">
        <v>2014</v>
      </c>
      <c r="DA393">
        <v>2014</v>
      </c>
      <c r="DB393">
        <f t="shared" si="417"/>
        <v>0</v>
      </c>
      <c r="DC393" t="str">
        <f t="shared" si="418"/>
        <v>0</v>
      </c>
      <c r="DD393">
        <v>0</v>
      </c>
      <c r="DE393">
        <v>0</v>
      </c>
      <c r="DF393">
        <v>0</v>
      </c>
      <c r="DG393">
        <v>1</v>
      </c>
      <c r="DH393"/>
      <c r="DI393">
        <f t="shared" si="419"/>
        <v>1</v>
      </c>
      <c r="DJ393" t="str">
        <f t="shared" si="420"/>
        <v>TimberInput</v>
      </c>
      <c r="DK393">
        <f t="shared" si="421"/>
        <v>0</v>
      </c>
      <c r="DL393">
        <f t="shared" si="422"/>
        <v>0</v>
      </c>
      <c r="DM393">
        <f t="shared" si="423"/>
        <v>0</v>
      </c>
      <c r="DN393" t="str">
        <f t="shared" si="424"/>
        <v>Timber</v>
      </c>
      <c r="DO393">
        <v>0</v>
      </c>
      <c r="DP393" s="143">
        <v>0</v>
      </c>
      <c r="DQ393" s="143">
        <v>0</v>
      </c>
      <c r="DR393" s="143">
        <v>0</v>
      </c>
      <c r="DS393">
        <v>0</v>
      </c>
      <c r="DT393">
        <f t="shared" si="425"/>
        <v>0</v>
      </c>
      <c r="DU393" s="143" t="str">
        <f t="shared" si="426"/>
        <v>explicit C balance</v>
      </c>
      <c r="DV393">
        <v>0</v>
      </c>
      <c r="DW393" s="143">
        <v>0</v>
      </c>
      <c r="DX393" s="143">
        <v>0</v>
      </c>
      <c r="DY393" s="143">
        <v>0</v>
      </c>
      <c r="DZ393">
        <v>1</v>
      </c>
      <c r="EA393" s="264">
        <v>1</v>
      </c>
      <c r="EB393">
        <v>0</v>
      </c>
      <c r="EC393" s="143">
        <v>1</v>
      </c>
      <c r="ED393" s="143">
        <v>0</v>
      </c>
      <c r="EE393">
        <v>0</v>
      </c>
      <c r="EF393">
        <v>0</v>
      </c>
      <c r="EG393" s="143">
        <v>0</v>
      </c>
      <c r="EH393" s="143">
        <v>0</v>
      </c>
      <c r="EI393" s="2">
        <v>0</v>
      </c>
      <c r="EJ393" s="1"/>
      <c r="EK393" t="str">
        <f t="shared" si="427"/>
        <v/>
      </c>
      <c r="EL393" t="str">
        <f t="shared" si="428"/>
        <v/>
      </c>
      <c r="EM393" s="2" t="str">
        <f t="shared" si="387"/>
        <v/>
      </c>
      <c r="EN393" t="s">
        <v>521</v>
      </c>
      <c r="EO393"/>
      <c r="EP393" t="b">
        <f>IF(ISNUMBER(BU393),IF(ABS(BU393-[4]QC_indicators!$B$2)&gt;3*[4]QC_indicators!$C$2,"C ratio",IF(ISNUMBER(BY393),IF(ABS(BY393-[4]QC_indicators!$B$1)&gt;3*[4]QC_indicators!$C$1,"DF","no"))),IF(ISNUMBER(BY393),IF(ABS(BY393-[4]QC_indicators!$B$1)&gt;3*[4]QC_indicators!$C$1,"DF","no")))</f>
        <v>0</v>
      </c>
      <c r="EQ393"/>
      <c r="ER393" s="294" t="s">
        <v>349</v>
      </c>
      <c r="ES393"/>
      <c r="ET393" s="264" t="s">
        <v>3406</v>
      </c>
      <c r="EU393"/>
    </row>
    <row r="394" spans="1:151" s="139" customFormat="1" ht="15" hidden="1" customHeight="1">
      <c r="A394" s="1" t="s">
        <v>505</v>
      </c>
      <c r="B394" t="s">
        <v>506</v>
      </c>
      <c r="C394" t="s">
        <v>507</v>
      </c>
      <c r="D394" t="s">
        <v>508</v>
      </c>
      <c r="E394" t="s">
        <v>509</v>
      </c>
      <c r="F394" t="s">
        <v>510</v>
      </c>
      <c r="G394" t="s">
        <v>511</v>
      </c>
      <c r="H394" t="s">
        <v>254</v>
      </c>
      <c r="I394">
        <v>2021</v>
      </c>
      <c r="J394">
        <v>7</v>
      </c>
      <c r="K394" t="s">
        <v>512</v>
      </c>
      <c r="L394"/>
      <c r="M394" t="str">
        <f t="shared" si="429"/>
        <v>Caldas_2021</v>
      </c>
      <c r="N394" t="s">
        <v>222</v>
      </c>
      <c r="O394" s="145" t="s">
        <v>223</v>
      </c>
      <c r="P394" t="s">
        <v>513</v>
      </c>
      <c r="Q394" s="264" t="s">
        <v>256</v>
      </c>
      <c r="R394" s="269" t="s">
        <v>1153</v>
      </c>
      <c r="S394" s="1" t="s">
        <v>523</v>
      </c>
      <c r="T394" t="s">
        <v>524</v>
      </c>
      <c r="U394" t="s">
        <v>525</v>
      </c>
      <c r="V394">
        <v>0</v>
      </c>
      <c r="W394">
        <v>0</v>
      </c>
      <c r="X394">
        <v>0</v>
      </c>
      <c r="Y394">
        <v>0</v>
      </c>
      <c r="Z394">
        <v>0</v>
      </c>
      <c r="AA394">
        <v>0</v>
      </c>
      <c r="AB394">
        <v>0</v>
      </c>
      <c r="AC394">
        <v>0</v>
      </c>
      <c r="AD394">
        <v>0</v>
      </c>
      <c r="AE394">
        <v>0</v>
      </c>
      <c r="AF394">
        <v>1</v>
      </c>
      <c r="AG394">
        <v>0</v>
      </c>
      <c r="AH394">
        <v>0</v>
      </c>
      <c r="AI394">
        <v>0</v>
      </c>
      <c r="AJ394">
        <v>0</v>
      </c>
      <c r="AK394">
        <v>0</v>
      </c>
      <c r="AL394">
        <v>0</v>
      </c>
      <c r="AM394">
        <v>0</v>
      </c>
      <c r="AN394">
        <v>0</v>
      </c>
      <c r="AO394">
        <v>0</v>
      </c>
      <c r="AP394">
        <v>0</v>
      </c>
      <c r="AQ394">
        <v>0</v>
      </c>
      <c r="AR394">
        <v>0</v>
      </c>
      <c r="AS394">
        <v>0</v>
      </c>
      <c r="AT394">
        <v>0</v>
      </c>
      <c r="AU394">
        <v>0</v>
      </c>
      <c r="AV394">
        <v>0</v>
      </c>
      <c r="AW394">
        <v>0</v>
      </c>
      <c r="AX394" s="141">
        <f t="shared" si="399"/>
        <v>1</v>
      </c>
      <c r="AY394" s="141">
        <f t="shared" si="400"/>
        <v>1</v>
      </c>
      <c r="AZ394">
        <f t="shared" si="401"/>
        <v>0</v>
      </c>
      <c r="BA394">
        <f t="shared" si="402"/>
        <v>1</v>
      </c>
      <c r="BB394">
        <f t="shared" si="403"/>
        <v>0</v>
      </c>
      <c r="BC394">
        <f t="shared" si="404"/>
        <v>0</v>
      </c>
      <c r="BD394">
        <f t="shared" si="405"/>
        <v>0</v>
      </c>
      <c r="BE394" t="str" cm="1">
        <f t="array" ref="BE394">IF(AY394=1,INDEX($V$7:$AL$7,MATCH(TRUE,INDEX($V394:$AW394&lt;&gt;0,),0)),IF(AY394=0,INDEX($AM$7:$AW$7,MATCH(1,$AM394:$AW394,0)),IF(BF394="Multiple strategies","mixed drivers",IF(BF394="Supply chain","multiple supply","multiple silviculture"))))</f>
        <v>supply chain organization</v>
      </c>
      <c r="BF394" s="2" t="str" cm="1">
        <f t="array" ref="BF394">IF(COUNTIF(AZ394:BB394,"&lt;&gt;0")=1,INDEX($V$4:$AW$4,MATCH(TRUE,INDEX($V394:$AW394&lt;&gt;0,),0)),IF(COUNTIF(AZ394:BB394,"&lt;&gt;0")=0,INDEX($AM$4:$AW$4,MATCH(1,$AM394:$AW394,0)),"Multiple strategies"))</f>
        <v>Supply chain</v>
      </c>
      <c r="BG394" s="1" t="s">
        <v>229</v>
      </c>
      <c r="BH394" t="s">
        <v>517</v>
      </c>
      <c r="BI394"/>
      <c r="BJ394" t="s">
        <v>518</v>
      </c>
      <c r="BK394">
        <v>140</v>
      </c>
      <c r="BL394">
        <v>140</v>
      </c>
      <c r="BM394"/>
      <c r="BN394">
        <f t="shared" si="406"/>
        <v>0</v>
      </c>
      <c r="BO394">
        <f t="shared" si="432"/>
        <v>0</v>
      </c>
      <c r="BP394" s="264" t="s">
        <v>232</v>
      </c>
      <c r="BQ394" s="264"/>
      <c r="BR394" t="s">
        <v>519</v>
      </c>
      <c r="BS394">
        <v>-503</v>
      </c>
      <c r="BT394">
        <v>-372</v>
      </c>
      <c r="BU394" s="144">
        <v>0.73956262425447317</v>
      </c>
      <c r="BV394">
        <v>131</v>
      </c>
      <c r="BW394"/>
      <c r="BX394">
        <f t="shared" si="433"/>
        <v>0.13100000000000001</v>
      </c>
      <c r="BY394" t="str">
        <f t="shared" si="386"/>
        <v/>
      </c>
      <c r="BZ394" s="143">
        <v>0</v>
      </c>
      <c r="CA394" s="143">
        <v>0</v>
      </c>
      <c r="CB394" s="143">
        <v>0</v>
      </c>
      <c r="CC394" s="143">
        <v>0</v>
      </c>
      <c r="CD394" s="143">
        <v>0</v>
      </c>
      <c r="CE394" s="143">
        <v>0</v>
      </c>
      <c r="CF394" s="143">
        <v>0</v>
      </c>
      <c r="CG394" s="143">
        <v>0</v>
      </c>
      <c r="CH394" s="143">
        <v>0</v>
      </c>
      <c r="CI394" s="143">
        <v>0</v>
      </c>
      <c r="CJ394" s="143">
        <v>0</v>
      </c>
      <c r="CK394" s="143">
        <v>0</v>
      </c>
      <c r="CL394" s="143">
        <v>0</v>
      </c>
      <c r="CM394">
        <v>0</v>
      </c>
      <c r="CN394" t="str">
        <f t="shared" si="409"/>
        <v>refOK</v>
      </c>
      <c r="CO394">
        <f t="shared" si="430"/>
        <v>140</v>
      </c>
      <c r="CP394">
        <f t="shared" si="431"/>
        <v>140</v>
      </c>
      <c r="CQ394">
        <f t="shared" si="410"/>
        <v>0</v>
      </c>
      <c r="CR394">
        <f t="shared" si="411"/>
        <v>-503</v>
      </c>
      <c r="CS394">
        <f t="shared" si="412"/>
        <v>-372</v>
      </c>
      <c r="CT394">
        <f t="shared" si="413"/>
        <v>0.13100000000000001</v>
      </c>
      <c r="CU394" t="str">
        <f t="shared" si="414"/>
        <v/>
      </c>
      <c r="CV394" s="2">
        <f t="shared" si="415"/>
        <v>0.26043737574552683</v>
      </c>
      <c r="CW394" s="1" t="s">
        <v>263</v>
      </c>
      <c r="CX394" s="264" t="str">
        <f t="shared" si="416"/>
        <v>loc</v>
      </c>
      <c r="CY394" t="s">
        <v>520</v>
      </c>
      <c r="CZ394">
        <v>2014</v>
      </c>
      <c r="DA394">
        <v>2014</v>
      </c>
      <c r="DB394">
        <f t="shared" si="417"/>
        <v>0</v>
      </c>
      <c r="DC394" t="str">
        <f t="shared" si="418"/>
        <v>0</v>
      </c>
      <c r="DD394">
        <v>0</v>
      </c>
      <c r="DE394">
        <v>0</v>
      </c>
      <c r="DF394">
        <v>0</v>
      </c>
      <c r="DG394">
        <v>1</v>
      </c>
      <c r="DH394"/>
      <c r="DI394">
        <f t="shared" si="419"/>
        <v>1</v>
      </c>
      <c r="DJ394" t="str">
        <f t="shared" si="420"/>
        <v>TimberInput</v>
      </c>
      <c r="DK394">
        <f t="shared" si="421"/>
        <v>0</v>
      </c>
      <c r="DL394">
        <f t="shared" si="422"/>
        <v>0</v>
      </c>
      <c r="DM394">
        <f t="shared" si="423"/>
        <v>0</v>
      </c>
      <c r="DN394" t="str">
        <f t="shared" si="424"/>
        <v>Timber</v>
      </c>
      <c r="DO394">
        <v>0</v>
      </c>
      <c r="DP394" s="143">
        <v>0</v>
      </c>
      <c r="DQ394" s="143">
        <v>0</v>
      </c>
      <c r="DR394" s="143">
        <v>0</v>
      </c>
      <c r="DS394">
        <v>0</v>
      </c>
      <c r="DT394">
        <f t="shared" si="425"/>
        <v>0</v>
      </c>
      <c r="DU394" s="143" t="str">
        <f t="shared" si="426"/>
        <v>explicit C balance</v>
      </c>
      <c r="DV394">
        <v>0</v>
      </c>
      <c r="DW394" s="143">
        <v>0</v>
      </c>
      <c r="DX394" s="143">
        <v>0</v>
      </c>
      <c r="DY394" s="143">
        <v>0</v>
      </c>
      <c r="DZ394">
        <v>1</v>
      </c>
      <c r="EA394" s="143">
        <v>1</v>
      </c>
      <c r="EB394">
        <v>0</v>
      </c>
      <c r="EC394" s="143">
        <v>1</v>
      </c>
      <c r="ED394" s="143">
        <v>0</v>
      </c>
      <c r="EE394">
        <v>0</v>
      </c>
      <c r="EF394">
        <v>0</v>
      </c>
      <c r="EG394" s="143">
        <v>0</v>
      </c>
      <c r="EH394" s="143">
        <v>0</v>
      </c>
      <c r="EI394" s="2">
        <v>0</v>
      </c>
      <c r="EJ394" s="1"/>
      <c r="EK394" t="str">
        <f t="shared" si="427"/>
        <v/>
      </c>
      <c r="EL394" t="str">
        <f t="shared" si="428"/>
        <v/>
      </c>
      <c r="EM394" s="2" t="str">
        <f t="shared" si="387"/>
        <v/>
      </c>
      <c r="EN394" t="s">
        <v>521</v>
      </c>
      <c r="EO394"/>
      <c r="EP394" t="b">
        <f>IF(ISNUMBER(BU394),IF(ABS(BU394-[4]QC_indicators!$B$2)&gt;3*[4]QC_indicators!$C$2,"C ratio",IF(ISNUMBER(BY394),IF(ABS(BY394-[4]QC_indicators!$B$1)&gt;3*[4]QC_indicators!$C$1,"DF","no"))),IF(ISNUMBER(BY394),IF(ABS(BY394-[4]QC_indicators!$B$1)&gt;3*[4]QC_indicators!$C$1,"DF","no")))</f>
        <v>0</v>
      </c>
      <c r="EQ394"/>
      <c r="ER394" s="294" t="s">
        <v>349</v>
      </c>
      <c r="ES394"/>
      <c r="ET394" s="264" t="s">
        <v>3406</v>
      </c>
      <c r="EU394"/>
    </row>
    <row r="395" spans="1:151" s="139" customFormat="1" ht="15" hidden="1" customHeight="1">
      <c r="A395" s="1" t="s">
        <v>505</v>
      </c>
      <c r="B395" t="s">
        <v>506</v>
      </c>
      <c r="C395" t="s">
        <v>507</v>
      </c>
      <c r="D395" t="s">
        <v>508</v>
      </c>
      <c r="E395" t="s">
        <v>509</v>
      </c>
      <c r="F395" t="s">
        <v>510</v>
      </c>
      <c r="G395" t="s">
        <v>511</v>
      </c>
      <c r="H395" t="s">
        <v>254</v>
      </c>
      <c r="I395">
        <v>2021</v>
      </c>
      <c r="J395">
        <v>7</v>
      </c>
      <c r="K395" t="s">
        <v>512</v>
      </c>
      <c r="L395"/>
      <c r="M395" t="str">
        <f t="shared" si="429"/>
        <v>Caldas_2021</v>
      </c>
      <c r="N395" t="s">
        <v>222</v>
      </c>
      <c r="O395" s="145" t="s">
        <v>223</v>
      </c>
      <c r="P395" t="s">
        <v>513</v>
      </c>
      <c r="Q395" s="264" t="s">
        <v>256</v>
      </c>
      <c r="R395" s="269" t="s">
        <v>1153</v>
      </c>
      <c r="S395" s="1" t="s">
        <v>514</v>
      </c>
      <c r="T395" t="s">
        <v>515</v>
      </c>
      <c r="U395" t="s">
        <v>516</v>
      </c>
      <c r="V395">
        <v>0</v>
      </c>
      <c r="W395">
        <v>0</v>
      </c>
      <c r="X395">
        <v>0</v>
      </c>
      <c r="Y395">
        <v>0</v>
      </c>
      <c r="Z395">
        <v>0</v>
      </c>
      <c r="AA395">
        <v>0</v>
      </c>
      <c r="AB395">
        <v>0</v>
      </c>
      <c r="AC395">
        <v>0</v>
      </c>
      <c r="AD395">
        <v>0</v>
      </c>
      <c r="AE395">
        <v>1</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s="141">
        <f t="shared" si="399"/>
        <v>1</v>
      </c>
      <c r="AY395" s="141">
        <f t="shared" si="400"/>
        <v>1</v>
      </c>
      <c r="AZ395">
        <f t="shared" si="401"/>
        <v>0</v>
      </c>
      <c r="BA395">
        <f t="shared" si="402"/>
        <v>1</v>
      </c>
      <c r="BB395">
        <f t="shared" si="403"/>
        <v>0</v>
      </c>
      <c r="BC395">
        <f t="shared" si="404"/>
        <v>0</v>
      </c>
      <c r="BD395">
        <f t="shared" si="405"/>
        <v>0</v>
      </c>
      <c r="BE395" t="str" cm="1">
        <f t="array" ref="BE395">IF(AY395=1,INDEX($V$7:$AL$7,MATCH(TRUE,INDEX($V395:$AW395&lt;&gt;0,),0)),IF(AY395=0,INDEX($AM$7:$AW$7,MATCH(1,$AM395:$AW395,0)),IF(BF395="Multiple strategies","mixed drivers",IF(BF395="Supply chain","multiple supply","multiple silviculture"))))</f>
        <v>location of industry</v>
      </c>
      <c r="BF395" s="2" t="str" cm="1">
        <f t="array" ref="BF395">IF(COUNTIF(AZ395:BB395,"&lt;&gt;0")=1,INDEX($V$4:$AW$4,MATCH(TRUE,INDEX($V395:$AW395&lt;&gt;0,),0)),IF(COUNTIF(AZ395:BB395,"&lt;&gt;0")=0,INDEX($AM$4:$AW$4,MATCH(1,$AM395:$AW395,0)),"Multiple strategies"))</f>
        <v>Supply chain</v>
      </c>
      <c r="BG395" s="1" t="s">
        <v>229</v>
      </c>
      <c r="BH395" t="s">
        <v>517</v>
      </c>
      <c r="BI395"/>
      <c r="BJ395" t="s">
        <v>518</v>
      </c>
      <c r="BK395">
        <v>140</v>
      </c>
      <c r="BL395">
        <v>140</v>
      </c>
      <c r="BM395"/>
      <c r="BN395">
        <f t="shared" si="406"/>
        <v>0</v>
      </c>
      <c r="BO395">
        <f t="shared" si="432"/>
        <v>0</v>
      </c>
      <c r="BP395" s="264" t="s">
        <v>232</v>
      </c>
      <c r="BQ395" s="264"/>
      <c r="BR395" t="s">
        <v>519</v>
      </c>
      <c r="BS395">
        <v>-757.6</v>
      </c>
      <c r="BT395">
        <v>-530.29999999999995</v>
      </c>
      <c r="BU395" s="144">
        <v>0.69997360084477289</v>
      </c>
      <c r="BV395">
        <v>227.30000000000007</v>
      </c>
      <c r="BW395"/>
      <c r="BX395">
        <f t="shared" si="433"/>
        <v>0.22730000000000006</v>
      </c>
      <c r="BY395" t="str">
        <f t="shared" si="386"/>
        <v/>
      </c>
      <c r="BZ395" s="143">
        <v>0</v>
      </c>
      <c r="CA395" s="143">
        <v>0</v>
      </c>
      <c r="CB395" s="143">
        <v>0</v>
      </c>
      <c r="CC395" s="143">
        <v>0</v>
      </c>
      <c r="CD395" s="143">
        <v>0</v>
      </c>
      <c r="CE395" s="143">
        <v>0</v>
      </c>
      <c r="CF395" s="143">
        <v>0</v>
      </c>
      <c r="CG395" s="143">
        <v>0</v>
      </c>
      <c r="CH395" s="143">
        <v>0</v>
      </c>
      <c r="CI395" s="143">
        <v>0</v>
      </c>
      <c r="CJ395" s="143">
        <v>0</v>
      </c>
      <c r="CK395" s="143">
        <v>0</v>
      </c>
      <c r="CL395" s="143">
        <v>0</v>
      </c>
      <c r="CM395">
        <v>0</v>
      </c>
      <c r="CN395" t="str">
        <f t="shared" si="409"/>
        <v>refOK</v>
      </c>
      <c r="CO395">
        <f t="shared" si="430"/>
        <v>140</v>
      </c>
      <c r="CP395">
        <f t="shared" si="431"/>
        <v>140</v>
      </c>
      <c r="CQ395">
        <f t="shared" si="410"/>
        <v>0</v>
      </c>
      <c r="CR395">
        <f t="shared" si="411"/>
        <v>-757.6</v>
      </c>
      <c r="CS395">
        <f t="shared" si="412"/>
        <v>-530.29999999999995</v>
      </c>
      <c r="CT395">
        <f t="shared" si="413"/>
        <v>0.22730000000000006</v>
      </c>
      <c r="CU395" t="str">
        <f t="shared" si="414"/>
        <v/>
      </c>
      <c r="CV395" s="2">
        <f t="shared" si="415"/>
        <v>0.30002639915522711</v>
      </c>
      <c r="CW395" s="1" t="s">
        <v>263</v>
      </c>
      <c r="CX395" s="264" t="str">
        <f t="shared" si="416"/>
        <v>loc</v>
      </c>
      <c r="CY395" t="s">
        <v>520</v>
      </c>
      <c r="CZ395">
        <v>2014</v>
      </c>
      <c r="DA395">
        <v>2014</v>
      </c>
      <c r="DB395">
        <f t="shared" si="417"/>
        <v>0</v>
      </c>
      <c r="DC395" t="str">
        <f t="shared" si="418"/>
        <v>0</v>
      </c>
      <c r="DD395">
        <v>0</v>
      </c>
      <c r="DE395">
        <v>0</v>
      </c>
      <c r="DF395">
        <v>0</v>
      </c>
      <c r="DG395">
        <v>1</v>
      </c>
      <c r="DH395"/>
      <c r="DI395">
        <f t="shared" si="419"/>
        <v>1</v>
      </c>
      <c r="DJ395" t="str">
        <f t="shared" si="420"/>
        <v>TimberInput</v>
      </c>
      <c r="DK395">
        <f t="shared" si="421"/>
        <v>0</v>
      </c>
      <c r="DL395">
        <f t="shared" si="422"/>
        <v>0</v>
      </c>
      <c r="DM395">
        <f t="shared" si="423"/>
        <v>0</v>
      </c>
      <c r="DN395" t="str">
        <f t="shared" si="424"/>
        <v>Timber</v>
      </c>
      <c r="DO395">
        <v>0</v>
      </c>
      <c r="DP395" s="143">
        <v>0</v>
      </c>
      <c r="DQ395" s="143">
        <v>0</v>
      </c>
      <c r="DR395" s="143">
        <v>0</v>
      </c>
      <c r="DS395">
        <v>0</v>
      </c>
      <c r="DT395">
        <f t="shared" si="425"/>
        <v>0</v>
      </c>
      <c r="DU395" s="143" t="str">
        <f t="shared" si="426"/>
        <v>explicit C balance</v>
      </c>
      <c r="DV395">
        <v>0</v>
      </c>
      <c r="DW395" s="143">
        <v>0</v>
      </c>
      <c r="DX395" s="143">
        <v>0</v>
      </c>
      <c r="DY395" s="143">
        <v>0</v>
      </c>
      <c r="DZ395">
        <v>0</v>
      </c>
      <c r="EA395" s="143">
        <v>1</v>
      </c>
      <c r="EB395">
        <v>0</v>
      </c>
      <c r="EC395" s="143">
        <v>1</v>
      </c>
      <c r="ED395" s="143">
        <v>0</v>
      </c>
      <c r="EE395">
        <v>0</v>
      </c>
      <c r="EF395">
        <v>0</v>
      </c>
      <c r="EG395" s="143">
        <v>0</v>
      </c>
      <c r="EH395" s="143">
        <v>0</v>
      </c>
      <c r="EI395" s="2">
        <v>0</v>
      </c>
      <c r="EJ395" s="1"/>
      <c r="EK395" t="str">
        <f t="shared" si="427"/>
        <v/>
      </c>
      <c r="EL395" t="str">
        <f t="shared" si="428"/>
        <v/>
      </c>
      <c r="EM395" s="2" t="str">
        <f t="shared" si="387"/>
        <v/>
      </c>
      <c r="EN395" t="s">
        <v>522</v>
      </c>
      <c r="EO395"/>
      <c r="EP395" t="b">
        <f>IF(ISNUMBER(BU395),IF(ABS(BU395-[4]QC_indicators!$B$2)&gt;3*[4]QC_indicators!$C$2,"C ratio",IF(ISNUMBER(BY395),IF(ABS(BY395-[4]QC_indicators!$B$1)&gt;3*[4]QC_indicators!$C$1,"DF","no"))),IF(ISNUMBER(BY395),IF(ABS(BY395-[4]QC_indicators!$B$1)&gt;3*[4]QC_indicators!$C$1,"DF","no")))</f>
        <v>0</v>
      </c>
      <c r="EQ395"/>
      <c r="ER395" s="294" t="s">
        <v>349</v>
      </c>
      <c r="ES395"/>
      <c r="ET395" s="264" t="s">
        <v>3406</v>
      </c>
      <c r="EU395"/>
    </row>
    <row r="396" spans="1:151" s="139" customFormat="1" ht="15" hidden="1" customHeight="1">
      <c r="A396" s="1" t="s">
        <v>505</v>
      </c>
      <c r="B396" t="s">
        <v>506</v>
      </c>
      <c r="C396" t="s">
        <v>507</v>
      </c>
      <c r="D396" t="s">
        <v>508</v>
      </c>
      <c r="E396" t="s">
        <v>509</v>
      </c>
      <c r="F396" t="s">
        <v>510</v>
      </c>
      <c r="G396" t="s">
        <v>511</v>
      </c>
      <c r="H396" t="s">
        <v>254</v>
      </c>
      <c r="I396">
        <v>2021</v>
      </c>
      <c r="J396">
        <v>7</v>
      </c>
      <c r="K396" t="s">
        <v>512</v>
      </c>
      <c r="L396"/>
      <c r="M396" t="str">
        <f t="shared" si="429"/>
        <v>Caldas_2021</v>
      </c>
      <c r="N396" t="s">
        <v>222</v>
      </c>
      <c r="O396" s="145" t="s">
        <v>223</v>
      </c>
      <c r="P396" t="s">
        <v>513</v>
      </c>
      <c r="Q396" s="264" t="s">
        <v>256</v>
      </c>
      <c r="R396" s="269" t="s">
        <v>1153</v>
      </c>
      <c r="S396" s="1" t="s">
        <v>514</v>
      </c>
      <c r="T396" t="s">
        <v>515</v>
      </c>
      <c r="U396" t="s">
        <v>516</v>
      </c>
      <c r="V396">
        <v>0</v>
      </c>
      <c r="W396">
        <v>0</v>
      </c>
      <c r="X396">
        <v>0</v>
      </c>
      <c r="Y396">
        <v>0</v>
      </c>
      <c r="Z396">
        <v>0</v>
      </c>
      <c r="AA396">
        <v>0</v>
      </c>
      <c r="AB396">
        <v>0</v>
      </c>
      <c r="AC396">
        <v>0</v>
      </c>
      <c r="AD396">
        <v>0</v>
      </c>
      <c r="AE396">
        <v>1</v>
      </c>
      <c r="AF396">
        <v>0</v>
      </c>
      <c r="AG396">
        <v>0</v>
      </c>
      <c r="AH396">
        <v>0</v>
      </c>
      <c r="AI396">
        <v>0</v>
      </c>
      <c r="AJ396">
        <v>0</v>
      </c>
      <c r="AK396">
        <v>0</v>
      </c>
      <c r="AL396">
        <v>0</v>
      </c>
      <c r="AM396">
        <v>0</v>
      </c>
      <c r="AN396">
        <v>0</v>
      </c>
      <c r="AO396">
        <v>0</v>
      </c>
      <c r="AP396">
        <v>0</v>
      </c>
      <c r="AQ396">
        <v>0</v>
      </c>
      <c r="AR396">
        <v>0</v>
      </c>
      <c r="AS396">
        <v>0</v>
      </c>
      <c r="AT396">
        <v>0</v>
      </c>
      <c r="AU396">
        <v>0</v>
      </c>
      <c r="AV396">
        <v>0</v>
      </c>
      <c r="AW396">
        <v>0</v>
      </c>
      <c r="AX396" s="141">
        <f t="shared" si="399"/>
        <v>1</v>
      </c>
      <c r="AY396" s="141">
        <f t="shared" si="400"/>
        <v>1</v>
      </c>
      <c r="AZ396">
        <f t="shared" si="401"/>
        <v>0</v>
      </c>
      <c r="BA396">
        <f t="shared" si="402"/>
        <v>1</v>
      </c>
      <c r="BB396">
        <f t="shared" si="403"/>
        <v>0</v>
      </c>
      <c r="BC396">
        <f t="shared" si="404"/>
        <v>0</v>
      </c>
      <c r="BD396">
        <f t="shared" si="405"/>
        <v>0</v>
      </c>
      <c r="BE396" t="str" cm="1">
        <f t="array" ref="BE396">IF(AY396=1,INDEX($V$7:$AL$7,MATCH(TRUE,INDEX($V396:$AW396&lt;&gt;0,),0)),IF(AY396=0,INDEX($AM$7:$AW$7,MATCH(1,$AM396:$AW396,0)),IF(BF396="Multiple strategies","mixed drivers",IF(BF396="Supply chain","multiple supply","multiple silviculture"))))</f>
        <v>location of industry</v>
      </c>
      <c r="BF396" s="2" t="str" cm="1">
        <f t="array" ref="BF396">IF(COUNTIF(AZ396:BB396,"&lt;&gt;0")=1,INDEX($V$4:$AW$4,MATCH(TRUE,INDEX($V396:$AW396&lt;&gt;0,),0)),IF(COUNTIF(AZ396:BB396,"&lt;&gt;0")=0,INDEX($AM$4:$AW$4,MATCH(1,$AM396:$AW396,0)),"Multiple strategies"))</f>
        <v>Supply chain</v>
      </c>
      <c r="BG396" s="1" t="s">
        <v>229</v>
      </c>
      <c r="BH396" t="s">
        <v>517</v>
      </c>
      <c r="BI396"/>
      <c r="BJ396" t="s">
        <v>518</v>
      </c>
      <c r="BK396">
        <v>140</v>
      </c>
      <c r="BL396">
        <v>140</v>
      </c>
      <c r="BM396"/>
      <c r="BN396">
        <f t="shared" si="406"/>
        <v>0</v>
      </c>
      <c r="BO396">
        <f t="shared" si="432"/>
        <v>0</v>
      </c>
      <c r="BP396" s="264" t="s">
        <v>232</v>
      </c>
      <c r="BQ396" s="264"/>
      <c r="BR396" t="s">
        <v>519</v>
      </c>
      <c r="BS396">
        <v>-624.20000000000005</v>
      </c>
      <c r="BT396">
        <v>-530.29999999999995</v>
      </c>
      <c r="BU396" s="144">
        <v>0.84956744633130399</v>
      </c>
      <c r="BV396">
        <v>93.900000000000091</v>
      </c>
      <c r="BW396"/>
      <c r="BX396">
        <f t="shared" si="433"/>
        <v>9.3900000000000095E-2</v>
      </c>
      <c r="BY396" t="str">
        <f t="shared" si="386"/>
        <v/>
      </c>
      <c r="BZ396" s="143">
        <v>0</v>
      </c>
      <c r="CA396" s="143">
        <v>0</v>
      </c>
      <c r="CB396" s="143">
        <v>0</v>
      </c>
      <c r="CC396" s="143">
        <v>0</v>
      </c>
      <c r="CD396" s="143">
        <v>0</v>
      </c>
      <c r="CE396" s="143">
        <v>0</v>
      </c>
      <c r="CF396" s="143">
        <v>0</v>
      </c>
      <c r="CG396" s="143">
        <v>0</v>
      </c>
      <c r="CH396" s="143">
        <v>0</v>
      </c>
      <c r="CI396" s="143">
        <v>0</v>
      </c>
      <c r="CJ396" s="143">
        <v>0</v>
      </c>
      <c r="CK396" s="143">
        <v>0</v>
      </c>
      <c r="CL396" s="143">
        <v>0</v>
      </c>
      <c r="CM396">
        <v>0</v>
      </c>
      <c r="CN396" t="str">
        <f t="shared" si="409"/>
        <v>refOK</v>
      </c>
      <c r="CO396">
        <f t="shared" si="430"/>
        <v>140</v>
      </c>
      <c r="CP396">
        <f t="shared" si="431"/>
        <v>140</v>
      </c>
      <c r="CQ396">
        <f t="shared" si="410"/>
        <v>0</v>
      </c>
      <c r="CR396">
        <f t="shared" si="411"/>
        <v>-624.20000000000005</v>
      </c>
      <c r="CS396">
        <f t="shared" si="412"/>
        <v>-530.29999999999995</v>
      </c>
      <c r="CT396">
        <f t="shared" si="413"/>
        <v>9.3900000000000095E-2</v>
      </c>
      <c r="CU396" t="str">
        <f t="shared" si="414"/>
        <v/>
      </c>
      <c r="CV396" s="2">
        <f t="shared" si="415"/>
        <v>0.15043255366869607</v>
      </c>
      <c r="CW396" s="1" t="s">
        <v>263</v>
      </c>
      <c r="CX396" s="264" t="str">
        <f t="shared" si="416"/>
        <v>loc</v>
      </c>
      <c r="CY396" t="s">
        <v>520</v>
      </c>
      <c r="CZ396">
        <v>2014</v>
      </c>
      <c r="DA396">
        <v>2014</v>
      </c>
      <c r="DB396">
        <f t="shared" si="417"/>
        <v>0</v>
      </c>
      <c r="DC396" t="str">
        <f t="shared" si="418"/>
        <v>0</v>
      </c>
      <c r="DD396">
        <v>0</v>
      </c>
      <c r="DE396">
        <v>0</v>
      </c>
      <c r="DF396">
        <v>0</v>
      </c>
      <c r="DG396">
        <v>1</v>
      </c>
      <c r="DH396"/>
      <c r="DI396">
        <f t="shared" si="419"/>
        <v>1</v>
      </c>
      <c r="DJ396" t="str">
        <f t="shared" si="420"/>
        <v>TimberInput</v>
      </c>
      <c r="DK396">
        <f t="shared" si="421"/>
        <v>0</v>
      </c>
      <c r="DL396">
        <f t="shared" si="422"/>
        <v>0</v>
      </c>
      <c r="DM396">
        <f t="shared" si="423"/>
        <v>0</v>
      </c>
      <c r="DN396" t="str">
        <f t="shared" si="424"/>
        <v>Timber</v>
      </c>
      <c r="DO396">
        <v>0</v>
      </c>
      <c r="DP396" s="143">
        <v>0</v>
      </c>
      <c r="DQ396" s="143">
        <v>0</v>
      </c>
      <c r="DR396" s="143">
        <v>0</v>
      </c>
      <c r="DS396">
        <v>0</v>
      </c>
      <c r="DT396">
        <f t="shared" si="425"/>
        <v>0</v>
      </c>
      <c r="DU396" s="143" t="str">
        <f t="shared" si="426"/>
        <v>explicit C balance</v>
      </c>
      <c r="DV396">
        <v>0</v>
      </c>
      <c r="DW396" s="143">
        <v>0</v>
      </c>
      <c r="DX396" s="143">
        <v>0</v>
      </c>
      <c r="DY396" s="143">
        <v>0</v>
      </c>
      <c r="DZ396">
        <v>0</v>
      </c>
      <c r="EA396" s="143">
        <v>1</v>
      </c>
      <c r="EB396">
        <v>0</v>
      </c>
      <c r="EC396" s="143">
        <v>1</v>
      </c>
      <c r="ED396" s="143">
        <v>0</v>
      </c>
      <c r="EE396">
        <v>0</v>
      </c>
      <c r="EF396">
        <v>0</v>
      </c>
      <c r="EG396" s="143">
        <v>0</v>
      </c>
      <c r="EH396" s="143">
        <v>0</v>
      </c>
      <c r="EI396" s="2">
        <v>0</v>
      </c>
      <c r="EJ396" s="1"/>
      <c r="EK396" t="str">
        <f t="shared" si="427"/>
        <v/>
      </c>
      <c r="EL396" t="str">
        <f t="shared" si="428"/>
        <v/>
      </c>
      <c r="EM396" s="2" t="str">
        <f t="shared" si="387"/>
        <v/>
      </c>
      <c r="EN396" t="s">
        <v>522</v>
      </c>
      <c r="EO396"/>
      <c r="EP396" t="b">
        <f>IF(ISNUMBER(BU396),IF(ABS(BU396-[4]QC_indicators!$B$2)&gt;3*[4]QC_indicators!$C$2,"C ratio",IF(ISNUMBER(BY396),IF(ABS(BY396-[4]QC_indicators!$B$1)&gt;3*[4]QC_indicators!$C$1,"DF","no"))),IF(ISNUMBER(BY396),IF(ABS(BY396-[4]QC_indicators!$B$1)&gt;3*[4]QC_indicators!$C$1,"DF","no")))</f>
        <v>0</v>
      </c>
      <c r="EQ396"/>
      <c r="ER396" s="294" t="s">
        <v>349</v>
      </c>
      <c r="ES396"/>
      <c r="ET396" s="264" t="s">
        <v>3406</v>
      </c>
      <c r="EU396"/>
    </row>
    <row r="397" spans="1:151" s="139" customFormat="1" ht="15" hidden="1" customHeight="1">
      <c r="A397" s="1" t="s">
        <v>505</v>
      </c>
      <c r="B397" t="s">
        <v>506</v>
      </c>
      <c r="C397" t="s">
        <v>507</v>
      </c>
      <c r="D397" t="s">
        <v>508</v>
      </c>
      <c r="E397" t="s">
        <v>509</v>
      </c>
      <c r="F397" t="s">
        <v>510</v>
      </c>
      <c r="G397" t="s">
        <v>511</v>
      </c>
      <c r="H397" t="s">
        <v>254</v>
      </c>
      <c r="I397">
        <v>2021</v>
      </c>
      <c r="J397">
        <v>7</v>
      </c>
      <c r="K397" t="s">
        <v>512</v>
      </c>
      <c r="L397"/>
      <c r="M397" t="str">
        <f t="shared" si="429"/>
        <v>Caldas_2021</v>
      </c>
      <c r="N397" t="s">
        <v>222</v>
      </c>
      <c r="O397" s="145" t="s">
        <v>223</v>
      </c>
      <c r="P397" t="s">
        <v>513</v>
      </c>
      <c r="Q397" s="264" t="s">
        <v>256</v>
      </c>
      <c r="R397" s="269" t="s">
        <v>1153</v>
      </c>
      <c r="S397" s="1" t="s">
        <v>523</v>
      </c>
      <c r="T397" t="s">
        <v>524</v>
      </c>
      <c r="U397" t="s">
        <v>525</v>
      </c>
      <c r="V397">
        <v>0</v>
      </c>
      <c r="W397">
        <v>0</v>
      </c>
      <c r="X397">
        <v>0</v>
      </c>
      <c r="Y397">
        <v>0</v>
      </c>
      <c r="Z397">
        <v>0</v>
      </c>
      <c r="AA397">
        <v>0</v>
      </c>
      <c r="AB397">
        <v>0</v>
      </c>
      <c r="AC397">
        <v>0</v>
      </c>
      <c r="AD397">
        <v>0</v>
      </c>
      <c r="AE397">
        <v>0</v>
      </c>
      <c r="AF397">
        <v>1</v>
      </c>
      <c r="AG397">
        <v>0</v>
      </c>
      <c r="AH397">
        <v>0</v>
      </c>
      <c r="AI397">
        <v>0</v>
      </c>
      <c r="AJ397">
        <v>0</v>
      </c>
      <c r="AK397">
        <v>0</v>
      </c>
      <c r="AL397">
        <v>0</v>
      </c>
      <c r="AM397">
        <v>0</v>
      </c>
      <c r="AN397">
        <v>0</v>
      </c>
      <c r="AO397">
        <v>0</v>
      </c>
      <c r="AP397">
        <v>0</v>
      </c>
      <c r="AQ397">
        <v>0</v>
      </c>
      <c r="AR397">
        <v>0</v>
      </c>
      <c r="AS397">
        <v>0</v>
      </c>
      <c r="AT397">
        <v>0</v>
      </c>
      <c r="AU397">
        <v>0</v>
      </c>
      <c r="AV397">
        <v>0</v>
      </c>
      <c r="AW397">
        <v>0</v>
      </c>
      <c r="AX397" s="141">
        <f t="shared" si="399"/>
        <v>1</v>
      </c>
      <c r="AY397" s="141">
        <f t="shared" si="400"/>
        <v>1</v>
      </c>
      <c r="AZ397">
        <f t="shared" si="401"/>
        <v>0</v>
      </c>
      <c r="BA397">
        <f t="shared" si="402"/>
        <v>1</v>
      </c>
      <c r="BB397">
        <f t="shared" si="403"/>
        <v>0</v>
      </c>
      <c r="BC397">
        <f t="shared" si="404"/>
        <v>0</v>
      </c>
      <c r="BD397">
        <f t="shared" si="405"/>
        <v>0</v>
      </c>
      <c r="BE397" t="str" cm="1">
        <f t="array" ref="BE397">IF(AY397=1,INDEX($V$7:$AL$7,MATCH(TRUE,INDEX($V397:$AW397&lt;&gt;0,),0)),IF(AY397=0,INDEX($AM$7:$AW$7,MATCH(1,$AM397:$AW397,0)),IF(BF397="Multiple strategies","mixed drivers",IF(BF397="Supply chain","multiple supply","multiple silviculture"))))</f>
        <v>supply chain organization</v>
      </c>
      <c r="BF397" s="2" t="str" cm="1">
        <f t="array" ref="BF397">IF(COUNTIF(AZ397:BB397,"&lt;&gt;0")=1,INDEX($V$4:$AW$4,MATCH(TRUE,INDEX($V397:$AW397&lt;&gt;0,),0)),IF(COUNTIF(AZ397:BB397,"&lt;&gt;0")=0,INDEX($AM$4:$AW$4,MATCH(1,$AM397:$AW397,0)),"Multiple strategies"))</f>
        <v>Supply chain</v>
      </c>
      <c r="BG397" s="1" t="s">
        <v>229</v>
      </c>
      <c r="BH397" t="s">
        <v>517</v>
      </c>
      <c r="BI397"/>
      <c r="BJ397" t="s">
        <v>518</v>
      </c>
      <c r="BK397">
        <v>140</v>
      </c>
      <c r="BL397">
        <v>140</v>
      </c>
      <c r="BM397"/>
      <c r="BN397">
        <f t="shared" si="406"/>
        <v>0</v>
      </c>
      <c r="BO397">
        <f t="shared" si="432"/>
        <v>0</v>
      </c>
      <c r="BP397" s="264" t="s">
        <v>232</v>
      </c>
      <c r="BQ397" s="264"/>
      <c r="BR397" t="s">
        <v>519</v>
      </c>
      <c r="BS397">
        <v>-757.6</v>
      </c>
      <c r="BT397">
        <v>-624.20000000000005</v>
      </c>
      <c r="BU397" s="144">
        <v>0.82391763463569168</v>
      </c>
      <c r="BV397">
        <v>133.39999999999998</v>
      </c>
      <c r="BW397"/>
      <c r="BX397">
        <f t="shared" si="433"/>
        <v>0.13339999999999999</v>
      </c>
      <c r="BY397" t="str">
        <f t="shared" si="386"/>
        <v/>
      </c>
      <c r="BZ397" s="143">
        <v>0</v>
      </c>
      <c r="CA397" s="143">
        <v>0</v>
      </c>
      <c r="CB397" s="143">
        <v>0</v>
      </c>
      <c r="CC397" s="143">
        <v>0</v>
      </c>
      <c r="CD397" s="143">
        <v>0</v>
      </c>
      <c r="CE397" s="143">
        <v>0</v>
      </c>
      <c r="CF397" s="143">
        <v>0</v>
      </c>
      <c r="CG397" s="143">
        <v>0</v>
      </c>
      <c r="CH397" s="143">
        <v>0</v>
      </c>
      <c r="CI397" s="143">
        <v>0</v>
      </c>
      <c r="CJ397" s="143">
        <v>0</v>
      </c>
      <c r="CK397" s="143">
        <v>0</v>
      </c>
      <c r="CL397" s="143">
        <v>0</v>
      </c>
      <c r="CM397">
        <v>0</v>
      </c>
      <c r="CN397" t="str">
        <f t="shared" si="409"/>
        <v>refOK</v>
      </c>
      <c r="CO397">
        <f t="shared" si="430"/>
        <v>140</v>
      </c>
      <c r="CP397">
        <f t="shared" si="431"/>
        <v>140</v>
      </c>
      <c r="CQ397">
        <f t="shared" si="410"/>
        <v>0</v>
      </c>
      <c r="CR397">
        <f t="shared" si="411"/>
        <v>-757.6</v>
      </c>
      <c r="CS397">
        <f t="shared" si="412"/>
        <v>-624.20000000000005</v>
      </c>
      <c r="CT397">
        <f t="shared" si="413"/>
        <v>0.13339999999999999</v>
      </c>
      <c r="CU397" t="str">
        <f t="shared" si="414"/>
        <v/>
      </c>
      <c r="CV397" s="2">
        <f t="shared" si="415"/>
        <v>0.1760823653643083</v>
      </c>
      <c r="CW397" s="1" t="s">
        <v>263</v>
      </c>
      <c r="CX397" s="264" t="str">
        <f t="shared" si="416"/>
        <v>loc</v>
      </c>
      <c r="CY397" t="s">
        <v>520</v>
      </c>
      <c r="CZ397">
        <v>2014</v>
      </c>
      <c r="DA397">
        <v>2014</v>
      </c>
      <c r="DB397">
        <f t="shared" si="417"/>
        <v>0</v>
      </c>
      <c r="DC397" t="str">
        <f t="shared" si="418"/>
        <v>0</v>
      </c>
      <c r="DD397">
        <v>0</v>
      </c>
      <c r="DE397">
        <v>0</v>
      </c>
      <c r="DF397">
        <v>0</v>
      </c>
      <c r="DG397">
        <v>1</v>
      </c>
      <c r="DH397"/>
      <c r="DI397">
        <f t="shared" si="419"/>
        <v>1</v>
      </c>
      <c r="DJ397" t="str">
        <f t="shared" si="420"/>
        <v>TimberInput</v>
      </c>
      <c r="DK397">
        <f t="shared" si="421"/>
        <v>0</v>
      </c>
      <c r="DL397">
        <f t="shared" si="422"/>
        <v>0</v>
      </c>
      <c r="DM397">
        <f t="shared" si="423"/>
        <v>0</v>
      </c>
      <c r="DN397" t="str">
        <f t="shared" si="424"/>
        <v>Timber</v>
      </c>
      <c r="DO397">
        <v>0</v>
      </c>
      <c r="DP397" s="143">
        <v>0</v>
      </c>
      <c r="DQ397" s="143">
        <v>0</v>
      </c>
      <c r="DR397" s="143">
        <v>0</v>
      </c>
      <c r="DS397">
        <v>0</v>
      </c>
      <c r="DT397">
        <f t="shared" si="425"/>
        <v>0</v>
      </c>
      <c r="DU397" s="143" t="str">
        <f t="shared" si="426"/>
        <v>explicit C balance</v>
      </c>
      <c r="DV397">
        <v>0</v>
      </c>
      <c r="DW397" s="143">
        <v>0</v>
      </c>
      <c r="DX397" s="143">
        <v>0</v>
      </c>
      <c r="DY397" s="143">
        <v>0</v>
      </c>
      <c r="DZ397">
        <v>0</v>
      </c>
      <c r="EA397" s="143">
        <v>1</v>
      </c>
      <c r="EB397">
        <v>0</v>
      </c>
      <c r="EC397" s="143">
        <v>1</v>
      </c>
      <c r="ED397" s="143">
        <v>0</v>
      </c>
      <c r="EE397">
        <v>0</v>
      </c>
      <c r="EF397">
        <v>0</v>
      </c>
      <c r="EG397" s="143">
        <v>0</v>
      </c>
      <c r="EH397" s="143">
        <v>0</v>
      </c>
      <c r="EI397" s="2">
        <v>0</v>
      </c>
      <c r="EJ397" s="1"/>
      <c r="EK397" t="str">
        <f t="shared" si="427"/>
        <v/>
      </c>
      <c r="EL397" t="str">
        <f t="shared" si="428"/>
        <v/>
      </c>
      <c r="EM397" s="2" t="str">
        <f t="shared" si="387"/>
        <v/>
      </c>
      <c r="EN397" t="s">
        <v>522</v>
      </c>
      <c r="EO397"/>
      <c r="EP397" t="b">
        <f>IF(ISNUMBER(BU397),IF(ABS(BU397-[4]QC_indicators!$B$2)&gt;3*[4]QC_indicators!$C$2,"C ratio",IF(ISNUMBER(BY397),IF(ABS(BY397-[4]QC_indicators!$B$1)&gt;3*[4]QC_indicators!$C$1,"DF","no"))),IF(ISNUMBER(BY397),IF(ABS(BY397-[4]QC_indicators!$B$1)&gt;3*[4]QC_indicators!$C$1,"DF","no")))</f>
        <v>0</v>
      </c>
      <c r="EQ397"/>
      <c r="ER397" s="294" t="s">
        <v>349</v>
      </c>
      <c r="ES397"/>
      <c r="ET397" s="264" t="s">
        <v>3406</v>
      </c>
      <c r="EU397"/>
    </row>
    <row r="398" spans="1:151" s="139" customFormat="1" ht="15" hidden="1" customHeight="1">
      <c r="A398" s="1" t="s">
        <v>505</v>
      </c>
      <c r="B398" t="s">
        <v>506</v>
      </c>
      <c r="C398" t="s">
        <v>507</v>
      </c>
      <c r="D398" t="s">
        <v>508</v>
      </c>
      <c r="E398" t="s">
        <v>509</v>
      </c>
      <c r="F398" t="s">
        <v>510</v>
      </c>
      <c r="G398" t="s">
        <v>511</v>
      </c>
      <c r="H398" t="s">
        <v>254</v>
      </c>
      <c r="I398">
        <v>2021</v>
      </c>
      <c r="J398">
        <v>7</v>
      </c>
      <c r="K398" t="s">
        <v>512</v>
      </c>
      <c r="L398"/>
      <c r="M398" t="str">
        <f t="shared" si="429"/>
        <v>Caldas_2021</v>
      </c>
      <c r="N398" t="s">
        <v>222</v>
      </c>
      <c r="O398" s="145" t="s">
        <v>223</v>
      </c>
      <c r="P398" t="s">
        <v>513</v>
      </c>
      <c r="Q398" s="264" t="s">
        <v>256</v>
      </c>
      <c r="R398" s="269" t="s">
        <v>1153</v>
      </c>
      <c r="S398" s="1" t="s">
        <v>523</v>
      </c>
      <c r="T398" t="s">
        <v>524</v>
      </c>
      <c r="U398" t="s">
        <v>525</v>
      </c>
      <c r="V398">
        <v>0</v>
      </c>
      <c r="W398">
        <v>0</v>
      </c>
      <c r="X398">
        <v>0</v>
      </c>
      <c r="Y398">
        <v>0</v>
      </c>
      <c r="Z398">
        <v>0</v>
      </c>
      <c r="AA398">
        <v>0</v>
      </c>
      <c r="AB398">
        <v>0</v>
      </c>
      <c r="AC398">
        <v>0</v>
      </c>
      <c r="AD398">
        <v>0</v>
      </c>
      <c r="AE398">
        <v>0</v>
      </c>
      <c r="AF398">
        <v>1</v>
      </c>
      <c r="AG398">
        <v>0</v>
      </c>
      <c r="AH398">
        <v>0</v>
      </c>
      <c r="AI398">
        <v>0</v>
      </c>
      <c r="AJ398">
        <v>0</v>
      </c>
      <c r="AK398">
        <v>0</v>
      </c>
      <c r="AL398">
        <v>0</v>
      </c>
      <c r="AM398">
        <v>0</v>
      </c>
      <c r="AN398">
        <v>0</v>
      </c>
      <c r="AO398">
        <v>0</v>
      </c>
      <c r="AP398">
        <v>0</v>
      </c>
      <c r="AQ398">
        <v>0</v>
      </c>
      <c r="AR398">
        <v>0</v>
      </c>
      <c r="AS398">
        <v>0</v>
      </c>
      <c r="AT398">
        <v>0</v>
      </c>
      <c r="AU398">
        <v>0</v>
      </c>
      <c r="AV398">
        <v>0</v>
      </c>
      <c r="AW398">
        <v>0</v>
      </c>
      <c r="AX398" s="141">
        <f t="shared" si="399"/>
        <v>1</v>
      </c>
      <c r="AY398" s="141">
        <f t="shared" si="400"/>
        <v>1</v>
      </c>
      <c r="AZ398">
        <f t="shared" si="401"/>
        <v>0</v>
      </c>
      <c r="BA398">
        <f t="shared" si="402"/>
        <v>1</v>
      </c>
      <c r="BB398">
        <f t="shared" si="403"/>
        <v>0</v>
      </c>
      <c r="BC398">
        <f t="shared" si="404"/>
        <v>0</v>
      </c>
      <c r="BD398">
        <f t="shared" si="405"/>
        <v>0</v>
      </c>
      <c r="BE398" t="str" cm="1">
        <f t="array" ref="BE398">IF(AY398=1,INDEX($V$7:$AL$7,MATCH(TRUE,INDEX($V398:$AW398&lt;&gt;0,),0)),IF(AY398=0,INDEX($AM$7:$AW$7,MATCH(1,$AM398:$AW398,0)),IF(BF398="Multiple strategies","mixed drivers",IF(BF398="Supply chain","multiple supply","multiple silviculture"))))</f>
        <v>supply chain organization</v>
      </c>
      <c r="BF398" s="2" t="str" cm="1">
        <f t="array" ref="BF398">IF(COUNTIF(AZ398:BB398,"&lt;&gt;0")=1,INDEX($V$4:$AW$4,MATCH(TRUE,INDEX($V398:$AW398&lt;&gt;0,),0)),IF(COUNTIF(AZ398:BB398,"&lt;&gt;0")=0,INDEX($AM$4:$AW$4,MATCH(1,$AM398:$AW398,0)),"Multiple strategies"))</f>
        <v>Supply chain</v>
      </c>
      <c r="BG398" s="1" t="s">
        <v>229</v>
      </c>
      <c r="BH398" t="s">
        <v>517</v>
      </c>
      <c r="BI398"/>
      <c r="BJ398" t="s">
        <v>518</v>
      </c>
      <c r="BK398">
        <v>140</v>
      </c>
      <c r="BL398">
        <v>140</v>
      </c>
      <c r="BM398"/>
      <c r="BN398">
        <f t="shared" si="406"/>
        <v>0</v>
      </c>
      <c r="BO398">
        <f t="shared" si="432"/>
        <v>0</v>
      </c>
      <c r="BP398" s="264" t="s">
        <v>232</v>
      </c>
      <c r="BQ398" s="264"/>
      <c r="BR398" t="s">
        <v>519</v>
      </c>
      <c r="BS398">
        <v>-530.29999999999995</v>
      </c>
      <c r="BT398">
        <v>-530.29999999999995</v>
      </c>
      <c r="BU398" s="144">
        <v>1</v>
      </c>
      <c r="BV398">
        <v>0</v>
      </c>
      <c r="BW398"/>
      <c r="BX398">
        <f t="shared" si="433"/>
        <v>0</v>
      </c>
      <c r="BY398" t="str">
        <f t="shared" si="386"/>
        <v/>
      </c>
      <c r="BZ398" s="143">
        <v>0</v>
      </c>
      <c r="CA398" s="143">
        <v>0</v>
      </c>
      <c r="CB398" s="143">
        <v>0</v>
      </c>
      <c r="CC398" s="143">
        <v>0</v>
      </c>
      <c r="CD398" s="143">
        <v>0</v>
      </c>
      <c r="CE398" s="143">
        <v>0</v>
      </c>
      <c r="CF398" s="143">
        <v>0</v>
      </c>
      <c r="CG398" s="143">
        <v>0</v>
      </c>
      <c r="CH398" s="143">
        <v>0</v>
      </c>
      <c r="CI398" s="143">
        <v>0</v>
      </c>
      <c r="CJ398" s="143">
        <v>0</v>
      </c>
      <c r="CK398" s="143">
        <v>0</v>
      </c>
      <c r="CL398" s="143">
        <v>0</v>
      </c>
      <c r="CM398">
        <v>0</v>
      </c>
      <c r="CN398" t="str">
        <f t="shared" si="409"/>
        <v>refOK</v>
      </c>
      <c r="CO398">
        <f t="shared" si="430"/>
        <v>140</v>
      </c>
      <c r="CP398">
        <f t="shared" si="431"/>
        <v>140</v>
      </c>
      <c r="CQ398">
        <f t="shared" si="410"/>
        <v>0</v>
      </c>
      <c r="CR398">
        <f t="shared" si="411"/>
        <v>-530.29999999999995</v>
      </c>
      <c r="CS398">
        <f t="shared" si="412"/>
        <v>-530.29999999999995</v>
      </c>
      <c r="CT398"/>
      <c r="CU398" t="str">
        <f t="shared" si="414"/>
        <v/>
      </c>
      <c r="CV398" s="2"/>
      <c r="CW398" s="1" t="s">
        <v>263</v>
      </c>
      <c r="CX398" s="264" t="str">
        <f t="shared" si="416"/>
        <v>loc</v>
      </c>
      <c r="CY398" t="s">
        <v>520</v>
      </c>
      <c r="CZ398">
        <v>2014</v>
      </c>
      <c r="DA398">
        <v>2014</v>
      </c>
      <c r="DB398">
        <f t="shared" si="417"/>
        <v>0</v>
      </c>
      <c r="DC398" t="str">
        <f t="shared" si="418"/>
        <v>0</v>
      </c>
      <c r="DD398">
        <v>0</v>
      </c>
      <c r="DE398">
        <v>0</v>
      </c>
      <c r="DF398">
        <v>0</v>
      </c>
      <c r="DG398">
        <v>1</v>
      </c>
      <c r="DH398"/>
      <c r="DI398">
        <f t="shared" si="419"/>
        <v>1</v>
      </c>
      <c r="DJ398" t="str">
        <f t="shared" si="420"/>
        <v>TimberInput</v>
      </c>
      <c r="DK398">
        <f t="shared" si="421"/>
        <v>0</v>
      </c>
      <c r="DL398">
        <f t="shared" si="422"/>
        <v>0</v>
      </c>
      <c r="DM398">
        <f t="shared" si="423"/>
        <v>0</v>
      </c>
      <c r="DN398" t="str">
        <f t="shared" si="424"/>
        <v>Timber</v>
      </c>
      <c r="DO398">
        <v>0</v>
      </c>
      <c r="DP398" s="143">
        <v>0</v>
      </c>
      <c r="DQ398" s="143">
        <v>0</v>
      </c>
      <c r="DR398" s="143">
        <v>0</v>
      </c>
      <c r="DS398">
        <v>0</v>
      </c>
      <c r="DT398">
        <f t="shared" si="425"/>
        <v>0</v>
      </c>
      <c r="DU398" s="143" t="str">
        <f t="shared" si="426"/>
        <v>explicit C balance</v>
      </c>
      <c r="DV398">
        <v>0</v>
      </c>
      <c r="DW398" s="143">
        <v>0</v>
      </c>
      <c r="DX398" s="143">
        <v>0</v>
      </c>
      <c r="DY398" s="143">
        <v>0</v>
      </c>
      <c r="DZ398">
        <v>0</v>
      </c>
      <c r="EA398" s="143">
        <v>1</v>
      </c>
      <c r="EB398">
        <v>0</v>
      </c>
      <c r="EC398" s="143">
        <v>1</v>
      </c>
      <c r="ED398" s="143">
        <v>0</v>
      </c>
      <c r="EE398">
        <v>0</v>
      </c>
      <c r="EF398">
        <v>0</v>
      </c>
      <c r="EG398" s="143">
        <v>0</v>
      </c>
      <c r="EH398" s="143">
        <v>0</v>
      </c>
      <c r="EI398" s="2">
        <v>0</v>
      </c>
      <c r="EJ398" s="1"/>
      <c r="EK398" t="str">
        <f t="shared" si="427"/>
        <v/>
      </c>
      <c r="EL398" t="str">
        <f t="shared" si="428"/>
        <v/>
      </c>
      <c r="EM398" s="2" t="str">
        <f t="shared" si="387"/>
        <v/>
      </c>
      <c r="EN398" t="s">
        <v>522</v>
      </c>
      <c r="EO398"/>
      <c r="EP398" t="b">
        <f>IF(ISNUMBER(BU398),IF(ABS(BU398-[4]QC_indicators!$B$2)&gt;3*[4]QC_indicators!$C$2,"C ratio",IF(ISNUMBER(BY398),IF(ABS(BY398-[4]QC_indicators!$B$1)&gt;3*[4]QC_indicators!$C$1,"DF","no"))),IF(ISNUMBER(BY398),IF(ABS(BY398-[4]QC_indicators!$B$1)&gt;3*[4]QC_indicators!$C$1,"DF","no")))</f>
        <v>0</v>
      </c>
      <c r="EQ398"/>
      <c r="ER398" s="294" t="s">
        <v>349</v>
      </c>
      <c r="ES398"/>
      <c r="ET398" s="264" t="s">
        <v>3406</v>
      </c>
      <c r="EU398"/>
    </row>
    <row r="399" spans="1:151" s="139" customFormat="1" ht="15" hidden="1" customHeight="1">
      <c r="A399" s="1" t="s">
        <v>505</v>
      </c>
      <c r="B399" t="s">
        <v>528</v>
      </c>
      <c r="C399" t="s">
        <v>529</v>
      </c>
      <c r="D399" t="s">
        <v>530</v>
      </c>
      <c r="E399" t="s">
        <v>531</v>
      </c>
      <c r="F399" t="s">
        <v>532</v>
      </c>
      <c r="G399" t="s">
        <v>511</v>
      </c>
      <c r="H399" t="s">
        <v>254</v>
      </c>
      <c r="I399">
        <v>2015</v>
      </c>
      <c r="J399">
        <v>31</v>
      </c>
      <c r="K399" t="s">
        <v>533</v>
      </c>
      <c r="L399"/>
      <c r="M399" t="str">
        <f t="shared" si="429"/>
        <v>Cambero_2015</v>
      </c>
      <c r="N399" t="s">
        <v>222</v>
      </c>
      <c r="O399" s="145" t="s">
        <v>223</v>
      </c>
      <c r="P399"/>
      <c r="Q399" t="s">
        <v>256</v>
      </c>
      <c r="R399" s="255" t="s">
        <v>225</v>
      </c>
      <c r="S399" s="1" t="s">
        <v>534</v>
      </c>
      <c r="T399" t="s">
        <v>535</v>
      </c>
      <c r="U399" t="s">
        <v>536</v>
      </c>
      <c r="V399">
        <v>0</v>
      </c>
      <c r="W399">
        <v>0</v>
      </c>
      <c r="X399">
        <v>0</v>
      </c>
      <c r="Y399">
        <v>0</v>
      </c>
      <c r="Z399">
        <v>0</v>
      </c>
      <c r="AA399">
        <v>0</v>
      </c>
      <c r="AB399">
        <v>0</v>
      </c>
      <c r="AC399">
        <v>0</v>
      </c>
      <c r="AD399">
        <v>0</v>
      </c>
      <c r="AE399">
        <v>0</v>
      </c>
      <c r="AF399">
        <v>0</v>
      </c>
      <c r="AG399">
        <v>0</v>
      </c>
      <c r="AH399">
        <v>0</v>
      </c>
      <c r="AI399">
        <v>0</v>
      </c>
      <c r="AJ399">
        <v>0</v>
      </c>
      <c r="AK399">
        <v>1</v>
      </c>
      <c r="AL399">
        <v>0</v>
      </c>
      <c r="AM399">
        <v>0</v>
      </c>
      <c r="AN399">
        <v>0</v>
      </c>
      <c r="AO399">
        <v>0</v>
      </c>
      <c r="AP399">
        <v>0</v>
      </c>
      <c r="AQ399">
        <v>0</v>
      </c>
      <c r="AR399">
        <v>0</v>
      </c>
      <c r="AS399">
        <v>0</v>
      </c>
      <c r="AT399">
        <v>0</v>
      </c>
      <c r="AU399">
        <v>0</v>
      </c>
      <c r="AV399">
        <v>0</v>
      </c>
      <c r="AW399">
        <v>0</v>
      </c>
      <c r="AX399" s="141">
        <f t="shared" si="399"/>
        <v>1</v>
      </c>
      <c r="AY399" s="141">
        <f t="shared" si="400"/>
        <v>1</v>
      </c>
      <c r="AZ399">
        <f t="shared" si="401"/>
        <v>0</v>
      </c>
      <c r="BA399">
        <f t="shared" si="402"/>
        <v>0</v>
      </c>
      <c r="BB399">
        <f t="shared" si="403"/>
        <v>1</v>
      </c>
      <c r="BC399">
        <f t="shared" si="404"/>
        <v>0</v>
      </c>
      <c r="BD399">
        <f t="shared" si="405"/>
        <v>0</v>
      </c>
      <c r="BE399" t="str">
        <f t="array" ref="BE399">IF(AY399=1,INDEX($V$7:$AL$7,MATCH(TRUE,INDEX($V399:$AW399&lt;&gt;0,),0)),IF(AY399=0,INDEX($AM$7:$AW$7,MATCH(1,$AM399:$AW399,0)),IF(BF399="Multiple strategies","mixed drivers",IF(BF399="Supply chain","multiple supply","multiple silviculture"))))</f>
        <v>technologies/design switch</v>
      </c>
      <c r="BF399" s="2" t="str" cm="1">
        <f t="array" ref="BF399">IF(COUNTIF(AZ399:BB399,"&lt;&gt;0")=1,INDEX($V$4:$AW$4,MATCH(TRUE,INDEX($V399:$AW399&lt;&gt;0,),0)),IF(COUNTIF(AZ399:BB399,"&lt;&gt;0")=0,INDEX($AM$4:$AW$4,MATCH(1,$AM399:$AW399,0)),"Multiple strategies"))</f>
        <v>Technology</v>
      </c>
      <c r="BG399" s="1" t="s">
        <v>229</v>
      </c>
      <c r="BH399" t="s">
        <v>537</v>
      </c>
      <c r="BI399" s="260" t="s">
        <v>3283</v>
      </c>
      <c r="BJ399" t="s">
        <v>538</v>
      </c>
      <c r="BK399">
        <v>0</v>
      </c>
      <c r="BL399">
        <v>4897.9591840000003</v>
      </c>
      <c r="BM399"/>
      <c r="BN399">
        <f t="shared" si="406"/>
        <v>4897.9591840000003</v>
      </c>
      <c r="BO399">
        <f t="shared" ref="BO399:BO406" si="434">BN399*t_to_m3</f>
        <v>9995.8350693877564</v>
      </c>
      <c r="BP399" t="s">
        <v>232</v>
      </c>
      <c r="BQ399" s="260" t="s">
        <v>3284</v>
      </c>
      <c r="BR399" t="s">
        <v>539</v>
      </c>
      <c r="BS399">
        <v>-143400</v>
      </c>
      <c r="BT399">
        <v>-147100</v>
      </c>
      <c r="BU399" s="144">
        <v>1.0258019525801954</v>
      </c>
      <c r="BV399">
        <v>-3700</v>
      </c>
      <c r="BW399"/>
      <c r="BX399">
        <f t="shared" ref="BX399:BX408" si="435">BV399</f>
        <v>-3700</v>
      </c>
      <c r="BY399">
        <f t="shared" si="386"/>
        <v>-0.37015416664198969</v>
      </c>
      <c r="BZ399" s="143">
        <v>0</v>
      </c>
      <c r="CA399" s="143">
        <v>0</v>
      </c>
      <c r="CB399" s="143">
        <v>0</v>
      </c>
      <c r="CC399" s="143">
        <v>0</v>
      </c>
      <c r="CD399" s="143">
        <v>0</v>
      </c>
      <c r="CE399" s="143">
        <v>0</v>
      </c>
      <c r="CF399" s="143">
        <v>0</v>
      </c>
      <c r="CG399" s="143">
        <v>0</v>
      </c>
      <c r="CH399" s="143">
        <v>0</v>
      </c>
      <c r="CI399" s="143">
        <v>0</v>
      </c>
      <c r="CJ399" s="143">
        <v>0</v>
      </c>
      <c r="CK399" s="143">
        <v>0</v>
      </c>
      <c r="CL399" s="143">
        <v>0</v>
      </c>
      <c r="CM399">
        <v>1</v>
      </c>
      <c r="CN399" t="str">
        <f t="shared" si="409"/>
        <v>refOK</v>
      </c>
      <c r="CO399">
        <f t="shared" ref="CO399:CO406" si="436">IF($CN399="refNeedCorrection",BL399,BK399)</f>
        <v>0</v>
      </c>
      <c r="CP399">
        <f t="shared" ref="CP399:CP406" si="437">IF($CN399="refNeedCorrection",BK399,BL399)</f>
        <v>4897.9591840000003</v>
      </c>
      <c r="CQ399">
        <f t="shared" si="410"/>
        <v>9995.8350693877564</v>
      </c>
      <c r="CR399">
        <f t="shared" si="411"/>
        <v>-143400</v>
      </c>
      <c r="CS399">
        <f t="shared" si="412"/>
        <v>-147100</v>
      </c>
      <c r="CT399">
        <f t="shared" ref="CT399:CT408" si="438">IF($CN399="refNeedCorrection",-BX399,BX399)*IF($BP399="Emissions positive",-1,1)</f>
        <v>-3700</v>
      </c>
      <c r="CU399">
        <f t="shared" si="414"/>
        <v>-0.37015416664198969</v>
      </c>
      <c r="CV399" s="2">
        <f t="shared" ref="CV399:CV408" si="439">IFERROR((CS399-CR399)/ABS(CR399),"")</f>
        <v>-2.5801952580195259E-2</v>
      </c>
      <c r="CW399" s="1" t="s">
        <v>347</v>
      </c>
      <c r="CX399" t="str">
        <f t="shared" si="416"/>
        <v>loc</v>
      </c>
      <c r="CY399" t="s">
        <v>540</v>
      </c>
      <c r="CZ399"/>
      <c r="DA399"/>
      <c r="DB399">
        <v>0</v>
      </c>
      <c r="DC399" t="str">
        <f t="shared" si="418"/>
        <v>0</v>
      </c>
      <c r="DD399">
        <v>0</v>
      </c>
      <c r="DE399">
        <v>1</v>
      </c>
      <c r="DF399">
        <v>0</v>
      </c>
      <c r="DG399">
        <v>0</v>
      </c>
      <c r="DH399"/>
      <c r="DI399">
        <f t="shared" si="419"/>
        <v>1</v>
      </c>
      <c r="DJ399" t="str">
        <f t="shared" si="420"/>
        <v>EnergyInput</v>
      </c>
      <c r="DK399">
        <f t="shared" si="421"/>
        <v>0</v>
      </c>
      <c r="DL399" t="str">
        <f t="shared" si="422"/>
        <v>Energy</v>
      </c>
      <c r="DM399">
        <f t="shared" si="423"/>
        <v>0</v>
      </c>
      <c r="DN399">
        <f t="shared" si="424"/>
        <v>0</v>
      </c>
      <c r="DO399">
        <v>0</v>
      </c>
      <c r="DP399" s="143">
        <v>0</v>
      </c>
      <c r="DQ399" s="143">
        <v>0</v>
      </c>
      <c r="DR399" s="143">
        <v>0</v>
      </c>
      <c r="DS399">
        <v>0</v>
      </c>
      <c r="DT399">
        <f t="shared" si="425"/>
        <v>0</v>
      </c>
      <c r="DU399" s="143" t="str">
        <f t="shared" si="426"/>
        <v>explicit C balance</v>
      </c>
      <c r="DV399">
        <v>0</v>
      </c>
      <c r="DW399" s="143">
        <v>1</v>
      </c>
      <c r="DX399" s="143">
        <v>0</v>
      </c>
      <c r="DY399" s="143">
        <v>0</v>
      </c>
      <c r="DZ399">
        <v>1</v>
      </c>
      <c r="EA399" s="143">
        <v>0</v>
      </c>
      <c r="EB399">
        <v>0</v>
      </c>
      <c r="EC399" s="143">
        <v>1</v>
      </c>
      <c r="ED399" s="143">
        <v>0</v>
      </c>
      <c r="EE399">
        <v>0</v>
      </c>
      <c r="EF399">
        <v>0</v>
      </c>
      <c r="EG399" s="143">
        <v>0</v>
      </c>
      <c r="EH399" s="143">
        <v>0</v>
      </c>
      <c r="EI399" s="2">
        <v>0</v>
      </c>
      <c r="EJ399" s="1"/>
      <c r="EK399" t="str">
        <f t="shared" si="427"/>
        <v/>
      </c>
      <c r="EL399" t="str">
        <f t="shared" si="428"/>
        <v/>
      </c>
      <c r="EM399" s="2" t="str">
        <f t="shared" si="387"/>
        <v/>
      </c>
      <c r="EN399"/>
      <c r="EO399"/>
      <c r="EP399" t="str">
        <f>IF(ISNUMBER(BU399),IF(ABS(BU399-[5]QC_indicators!$B$2)&gt;3*[5]QC_indicators!$C$2,"C ratio",IF(ISNUMBER(BY399),IF(ABS(BY399-[5]QC_indicators!$B$1)&gt;3*[5]QC_indicators!$C$1,"DF","no"))),IF(ISNUMBER(BY399),IF(ABS(BY399-[5]QC_indicators!$B$1)&gt;3*[5]QC_indicators!$C$1,"DF","no")))</f>
        <v>no</v>
      </c>
      <c r="EQ399"/>
      <c r="ER399" s="149" t="s">
        <v>349</v>
      </c>
      <c r="ES399"/>
      <c r="ET399" s="264" t="s">
        <v>3272</v>
      </c>
      <c r="EU399"/>
    </row>
    <row r="400" spans="1:151" s="139" customFormat="1" ht="15" hidden="1" customHeight="1">
      <c r="A400" s="1" t="s">
        <v>505</v>
      </c>
      <c r="B400" t="s">
        <v>528</v>
      </c>
      <c r="C400" t="s">
        <v>529</v>
      </c>
      <c r="D400" t="s">
        <v>530</v>
      </c>
      <c r="E400" t="s">
        <v>531</v>
      </c>
      <c r="F400" t="s">
        <v>532</v>
      </c>
      <c r="G400" t="s">
        <v>511</v>
      </c>
      <c r="H400" t="s">
        <v>254</v>
      </c>
      <c r="I400">
        <v>2015</v>
      </c>
      <c r="J400">
        <v>31</v>
      </c>
      <c r="K400" t="s">
        <v>533</v>
      </c>
      <c r="L400"/>
      <c r="M400" t="str">
        <f t="shared" si="429"/>
        <v>Cambero_2015</v>
      </c>
      <c r="N400" t="s">
        <v>222</v>
      </c>
      <c r="O400" s="145" t="s">
        <v>223</v>
      </c>
      <c r="P400"/>
      <c r="Q400" t="s">
        <v>256</v>
      </c>
      <c r="R400" s="255" t="s">
        <v>225</v>
      </c>
      <c r="S400" s="1" t="s">
        <v>534</v>
      </c>
      <c r="T400" t="s">
        <v>535</v>
      </c>
      <c r="U400" t="s">
        <v>541</v>
      </c>
      <c r="V400">
        <v>0</v>
      </c>
      <c r="W400">
        <v>0</v>
      </c>
      <c r="X400">
        <v>0</v>
      </c>
      <c r="Y400">
        <v>0</v>
      </c>
      <c r="Z400">
        <v>0</v>
      </c>
      <c r="AA400">
        <v>0</v>
      </c>
      <c r="AB400">
        <v>0</v>
      </c>
      <c r="AC400">
        <v>0</v>
      </c>
      <c r="AD400">
        <v>0</v>
      </c>
      <c r="AE400">
        <v>0</v>
      </c>
      <c r="AF400">
        <v>0</v>
      </c>
      <c r="AG400">
        <v>0</v>
      </c>
      <c r="AH400">
        <v>0</v>
      </c>
      <c r="AI400">
        <v>0</v>
      </c>
      <c r="AJ400">
        <v>0</v>
      </c>
      <c r="AK400">
        <v>1</v>
      </c>
      <c r="AL400">
        <v>0</v>
      </c>
      <c r="AM400">
        <v>0</v>
      </c>
      <c r="AN400">
        <v>0</v>
      </c>
      <c r="AO400">
        <v>0</v>
      </c>
      <c r="AP400">
        <v>0</v>
      </c>
      <c r="AQ400">
        <v>0</v>
      </c>
      <c r="AR400">
        <v>0</v>
      </c>
      <c r="AS400">
        <v>0</v>
      </c>
      <c r="AT400">
        <v>0</v>
      </c>
      <c r="AU400">
        <v>0</v>
      </c>
      <c r="AV400">
        <v>0</v>
      </c>
      <c r="AW400">
        <v>0</v>
      </c>
      <c r="AX400" s="141">
        <f t="shared" si="399"/>
        <v>1</v>
      </c>
      <c r="AY400" s="141">
        <f t="shared" si="400"/>
        <v>1</v>
      </c>
      <c r="AZ400">
        <f t="shared" si="401"/>
        <v>0</v>
      </c>
      <c r="BA400">
        <f t="shared" si="402"/>
        <v>0</v>
      </c>
      <c r="BB400">
        <f t="shared" si="403"/>
        <v>1</v>
      </c>
      <c r="BC400">
        <f t="shared" si="404"/>
        <v>0</v>
      </c>
      <c r="BD400">
        <f t="shared" si="405"/>
        <v>0</v>
      </c>
      <c r="BE400" t="str">
        <f t="array" ref="BE400">IF(AY400=1,INDEX($V$7:$AL$7,MATCH(TRUE,INDEX($V400:$AW400&lt;&gt;0,),0)),IF(AY400=0,INDEX($AM$7:$AW$7,MATCH(1,$AM400:$AW400,0)),IF(BF400="Multiple strategies","mixed drivers",IF(BF400="Supply chain","multiple supply","multiple silviculture"))))</f>
        <v>technologies/design switch</v>
      </c>
      <c r="BF400" s="2" t="str" cm="1">
        <f t="array" ref="BF400">IF(COUNTIF(AZ400:BB400,"&lt;&gt;0")=1,INDEX($V$4:$AW$4,MATCH(TRUE,INDEX($V400:$AW400&lt;&gt;0,),0)),IF(COUNTIF(AZ400:BB400,"&lt;&gt;0")=0,INDEX($AM$4:$AW$4,MATCH(1,$AM400:$AW400,0)),"Multiple strategies"))</f>
        <v>Technology</v>
      </c>
      <c r="BG400" s="1" t="s">
        <v>229</v>
      </c>
      <c r="BH400" t="s">
        <v>537</v>
      </c>
      <c r="BI400" s="260" t="s">
        <v>3283</v>
      </c>
      <c r="BJ400" t="s">
        <v>538</v>
      </c>
      <c r="BK400">
        <v>0</v>
      </c>
      <c r="BL400">
        <v>5986.394558</v>
      </c>
      <c r="BM400"/>
      <c r="BN400">
        <f t="shared" si="406"/>
        <v>5986.394558</v>
      </c>
      <c r="BO400">
        <f t="shared" si="434"/>
        <v>12217.131751020408</v>
      </c>
      <c r="BP400" t="s">
        <v>232</v>
      </c>
      <c r="BQ400" s="260" t="s">
        <v>3284</v>
      </c>
      <c r="BR400" t="s">
        <v>539</v>
      </c>
      <c r="BS400">
        <v>-143400</v>
      </c>
      <c r="BT400">
        <v>-147200</v>
      </c>
      <c r="BU400" s="144">
        <v>1.0264993026499303</v>
      </c>
      <c r="BV400">
        <v>-3800</v>
      </c>
      <c r="BW400"/>
      <c r="BX400">
        <f t="shared" si="435"/>
        <v>-3800</v>
      </c>
      <c r="BY400">
        <f t="shared" si="386"/>
        <v>-0.31103863635444656</v>
      </c>
      <c r="BZ400" s="143">
        <v>0</v>
      </c>
      <c r="CA400" s="143">
        <v>0</v>
      </c>
      <c r="CB400" s="143">
        <v>0</v>
      </c>
      <c r="CC400" s="143">
        <v>0</v>
      </c>
      <c r="CD400" s="143">
        <v>0</v>
      </c>
      <c r="CE400" s="143">
        <v>0</v>
      </c>
      <c r="CF400" s="143">
        <v>0</v>
      </c>
      <c r="CG400" s="143">
        <v>0</v>
      </c>
      <c r="CH400" s="143">
        <v>0</v>
      </c>
      <c r="CI400" s="143">
        <v>0</v>
      </c>
      <c r="CJ400" s="143">
        <v>0</v>
      </c>
      <c r="CK400" s="143">
        <v>0</v>
      </c>
      <c r="CL400" s="143">
        <v>0</v>
      </c>
      <c r="CM400">
        <v>1</v>
      </c>
      <c r="CN400" t="str">
        <f t="shared" si="409"/>
        <v>refOK</v>
      </c>
      <c r="CO400">
        <f t="shared" si="436"/>
        <v>0</v>
      </c>
      <c r="CP400">
        <f t="shared" si="437"/>
        <v>5986.394558</v>
      </c>
      <c r="CQ400">
        <f t="shared" si="410"/>
        <v>12217.131751020408</v>
      </c>
      <c r="CR400">
        <f t="shared" si="411"/>
        <v>-143400</v>
      </c>
      <c r="CS400">
        <f t="shared" si="412"/>
        <v>-147200</v>
      </c>
      <c r="CT400">
        <f t="shared" si="438"/>
        <v>-3800</v>
      </c>
      <c r="CU400">
        <f t="shared" si="414"/>
        <v>-0.31103863635444656</v>
      </c>
      <c r="CV400" s="2">
        <f t="shared" si="439"/>
        <v>-2.6499302649930265E-2</v>
      </c>
      <c r="CW400" s="1" t="s">
        <v>347</v>
      </c>
      <c r="CX400" t="str">
        <f t="shared" si="416"/>
        <v>loc</v>
      </c>
      <c r="CY400" t="s">
        <v>540</v>
      </c>
      <c r="CZ400"/>
      <c r="DA400"/>
      <c r="DB400">
        <v>0</v>
      </c>
      <c r="DC400" t="str">
        <f t="shared" si="418"/>
        <v>0</v>
      </c>
      <c r="DD400">
        <v>0</v>
      </c>
      <c r="DE400">
        <v>1</v>
      </c>
      <c r="DF400">
        <v>0</v>
      </c>
      <c r="DG400">
        <v>0</v>
      </c>
      <c r="DH400"/>
      <c r="DI400">
        <f t="shared" si="419"/>
        <v>1</v>
      </c>
      <c r="DJ400" t="str">
        <f t="shared" si="420"/>
        <v>EnergyInput</v>
      </c>
      <c r="DK400">
        <f t="shared" si="421"/>
        <v>0</v>
      </c>
      <c r="DL400" t="str">
        <f t="shared" si="422"/>
        <v>Energy</v>
      </c>
      <c r="DM400">
        <f t="shared" si="423"/>
        <v>0</v>
      </c>
      <c r="DN400">
        <f t="shared" si="424"/>
        <v>0</v>
      </c>
      <c r="DO400">
        <v>0</v>
      </c>
      <c r="DP400" s="143">
        <v>0</v>
      </c>
      <c r="DQ400" s="143">
        <v>0</v>
      </c>
      <c r="DR400" s="143">
        <v>0</v>
      </c>
      <c r="DS400">
        <v>0</v>
      </c>
      <c r="DT400">
        <f t="shared" si="425"/>
        <v>0</v>
      </c>
      <c r="DU400" s="143" t="str">
        <f t="shared" si="426"/>
        <v>explicit C balance</v>
      </c>
      <c r="DV400">
        <v>0</v>
      </c>
      <c r="DW400" s="143">
        <v>1</v>
      </c>
      <c r="DX400" s="143">
        <v>0</v>
      </c>
      <c r="DY400" s="143">
        <v>0</v>
      </c>
      <c r="DZ400">
        <v>1</v>
      </c>
      <c r="EA400" s="143">
        <v>0</v>
      </c>
      <c r="EB400">
        <v>0</v>
      </c>
      <c r="EC400" s="143">
        <v>1</v>
      </c>
      <c r="ED400" s="143">
        <v>0</v>
      </c>
      <c r="EE400">
        <v>0</v>
      </c>
      <c r="EF400">
        <v>0</v>
      </c>
      <c r="EG400" s="143">
        <v>0</v>
      </c>
      <c r="EH400" s="143">
        <v>0</v>
      </c>
      <c r="EI400" s="2">
        <v>0</v>
      </c>
      <c r="EJ400" s="1"/>
      <c r="EK400" t="str">
        <f t="shared" si="427"/>
        <v/>
      </c>
      <c r="EL400" t="str">
        <f t="shared" si="428"/>
        <v/>
      </c>
      <c r="EM400" s="2" t="str">
        <f t="shared" si="387"/>
        <v/>
      </c>
      <c r="EN400"/>
      <c r="EO400"/>
      <c r="EP400" t="str">
        <f>IF(ISNUMBER(BU400),IF(ABS(BU400-[5]QC_indicators!$B$2)&gt;3*[5]QC_indicators!$C$2,"C ratio",IF(ISNUMBER(BY400),IF(ABS(BY400-[5]QC_indicators!$B$1)&gt;3*[5]QC_indicators!$C$1,"DF","no"))),IF(ISNUMBER(BY400),IF(ABS(BY400-[5]QC_indicators!$B$1)&gt;3*[5]QC_indicators!$C$1,"DF","no")))</f>
        <v>no</v>
      </c>
      <c r="EQ400"/>
      <c r="ER400" s="149" t="s">
        <v>349</v>
      </c>
      <c r="ES400"/>
      <c r="ET400" s="264" t="s">
        <v>3272</v>
      </c>
      <c r="EU400"/>
    </row>
    <row r="401" spans="1:151" s="139" customFormat="1" ht="15" hidden="1" customHeight="1">
      <c r="A401" s="1" t="s">
        <v>505</v>
      </c>
      <c r="B401" t="s">
        <v>528</v>
      </c>
      <c r="C401" t="s">
        <v>529</v>
      </c>
      <c r="D401" t="s">
        <v>530</v>
      </c>
      <c r="E401" t="s">
        <v>531</v>
      </c>
      <c r="F401" t="s">
        <v>532</v>
      </c>
      <c r="G401" t="s">
        <v>511</v>
      </c>
      <c r="H401" t="s">
        <v>254</v>
      </c>
      <c r="I401">
        <v>2015</v>
      </c>
      <c r="J401">
        <v>31</v>
      </c>
      <c r="K401" t="s">
        <v>533</v>
      </c>
      <c r="L401"/>
      <c r="M401" t="str">
        <f t="shared" si="429"/>
        <v>Cambero_2015</v>
      </c>
      <c r="N401" t="s">
        <v>222</v>
      </c>
      <c r="O401" s="145" t="s">
        <v>223</v>
      </c>
      <c r="P401"/>
      <c r="Q401" t="s">
        <v>256</v>
      </c>
      <c r="R401" s="255" t="s">
        <v>225</v>
      </c>
      <c r="S401" s="1" t="s">
        <v>534</v>
      </c>
      <c r="T401" t="s">
        <v>535</v>
      </c>
      <c r="U401" t="s">
        <v>542</v>
      </c>
      <c r="V401">
        <v>0</v>
      </c>
      <c r="W401">
        <v>0</v>
      </c>
      <c r="X401">
        <v>0</v>
      </c>
      <c r="Y401">
        <v>0</v>
      </c>
      <c r="Z401">
        <v>0</v>
      </c>
      <c r="AA401">
        <v>0</v>
      </c>
      <c r="AB401">
        <v>0</v>
      </c>
      <c r="AC401">
        <v>0</v>
      </c>
      <c r="AD401">
        <v>0</v>
      </c>
      <c r="AE401">
        <v>0</v>
      </c>
      <c r="AF401">
        <v>0</v>
      </c>
      <c r="AG401">
        <v>0</v>
      </c>
      <c r="AH401">
        <v>0</v>
      </c>
      <c r="AI401">
        <v>0</v>
      </c>
      <c r="AJ401">
        <v>0</v>
      </c>
      <c r="AK401">
        <v>1</v>
      </c>
      <c r="AL401">
        <v>0</v>
      </c>
      <c r="AM401">
        <v>0</v>
      </c>
      <c r="AN401">
        <v>0</v>
      </c>
      <c r="AO401">
        <v>0</v>
      </c>
      <c r="AP401">
        <v>0</v>
      </c>
      <c r="AQ401">
        <v>0</v>
      </c>
      <c r="AR401">
        <v>0</v>
      </c>
      <c r="AS401">
        <v>0</v>
      </c>
      <c r="AT401">
        <v>0</v>
      </c>
      <c r="AU401">
        <v>0</v>
      </c>
      <c r="AV401">
        <v>0</v>
      </c>
      <c r="AW401">
        <v>0</v>
      </c>
      <c r="AX401" s="141">
        <f t="shared" si="399"/>
        <v>1</v>
      </c>
      <c r="AY401" s="141">
        <f t="shared" si="400"/>
        <v>1</v>
      </c>
      <c r="AZ401">
        <f t="shared" si="401"/>
        <v>0</v>
      </c>
      <c r="BA401">
        <f t="shared" si="402"/>
        <v>0</v>
      </c>
      <c r="BB401">
        <f t="shared" si="403"/>
        <v>1</v>
      </c>
      <c r="BC401">
        <f t="shared" si="404"/>
        <v>0</v>
      </c>
      <c r="BD401">
        <f t="shared" si="405"/>
        <v>0</v>
      </c>
      <c r="BE401" t="str">
        <f t="array" ref="BE401">IF(AY401=1,INDEX($V$7:$AL$7,MATCH(TRUE,INDEX($V401:$AW401&lt;&gt;0,),0)),IF(AY401=0,INDEX($AM$7:$AW$7,MATCH(1,$AM401:$AW401,0)),IF(BF401="Multiple strategies","mixed drivers",IF(BF401="Supply chain","multiple supply","multiple silviculture"))))</f>
        <v>technologies/design switch</v>
      </c>
      <c r="BF401" s="2" t="str" cm="1">
        <f t="array" ref="BF401">IF(COUNTIF(AZ401:BB401,"&lt;&gt;0")=1,INDEX($V$4:$AW$4,MATCH(TRUE,INDEX($V401:$AW401&lt;&gt;0,),0)),IF(COUNTIF(AZ401:BB401,"&lt;&gt;0")=0,INDEX($AM$4:$AW$4,MATCH(1,$AM401:$AW401,0)),"Multiple strategies"))</f>
        <v>Technology</v>
      </c>
      <c r="BG401" s="1" t="s">
        <v>229</v>
      </c>
      <c r="BH401" t="s">
        <v>537</v>
      </c>
      <c r="BI401" s="260" t="s">
        <v>3283</v>
      </c>
      <c r="BJ401" t="s">
        <v>538</v>
      </c>
      <c r="BK401">
        <v>0</v>
      </c>
      <c r="BL401">
        <v>7619.0476189999999</v>
      </c>
      <c r="BM401"/>
      <c r="BN401">
        <f t="shared" si="406"/>
        <v>7619.0476189999999</v>
      </c>
      <c r="BO401">
        <f t="shared" si="434"/>
        <v>15549.076773469387</v>
      </c>
      <c r="BP401" t="s">
        <v>232</v>
      </c>
      <c r="BQ401" s="260" t="s">
        <v>3284</v>
      </c>
      <c r="BR401" t="s">
        <v>539</v>
      </c>
      <c r="BS401">
        <v>-143400</v>
      </c>
      <c r="BT401">
        <v>-148200</v>
      </c>
      <c r="BU401" s="144">
        <v>1.0334728033472804</v>
      </c>
      <c r="BV401">
        <v>-4800</v>
      </c>
      <c r="BW401"/>
      <c r="BX401">
        <f t="shared" si="435"/>
        <v>-4800</v>
      </c>
      <c r="BY401">
        <f t="shared" si="386"/>
        <v>-0.30870000000192938</v>
      </c>
      <c r="BZ401" s="143">
        <v>0</v>
      </c>
      <c r="CA401" s="143">
        <v>0</v>
      </c>
      <c r="CB401" s="143">
        <v>0</v>
      </c>
      <c r="CC401" s="143">
        <v>0</v>
      </c>
      <c r="CD401" s="143">
        <v>0</v>
      </c>
      <c r="CE401" s="143">
        <v>0</v>
      </c>
      <c r="CF401" s="143">
        <v>0</v>
      </c>
      <c r="CG401" s="143">
        <v>0</v>
      </c>
      <c r="CH401" s="143">
        <v>0</v>
      </c>
      <c r="CI401" s="143">
        <v>0</v>
      </c>
      <c r="CJ401" s="143">
        <v>0</v>
      </c>
      <c r="CK401" s="143">
        <v>0</v>
      </c>
      <c r="CL401" s="143">
        <v>0</v>
      </c>
      <c r="CM401">
        <v>1</v>
      </c>
      <c r="CN401" t="str">
        <f t="shared" si="409"/>
        <v>refOK</v>
      </c>
      <c r="CO401">
        <f t="shared" si="436"/>
        <v>0</v>
      </c>
      <c r="CP401">
        <f t="shared" si="437"/>
        <v>7619.0476189999999</v>
      </c>
      <c r="CQ401">
        <f t="shared" si="410"/>
        <v>15549.076773469387</v>
      </c>
      <c r="CR401">
        <f t="shared" si="411"/>
        <v>-143400</v>
      </c>
      <c r="CS401">
        <f t="shared" si="412"/>
        <v>-148200</v>
      </c>
      <c r="CT401">
        <f t="shared" si="438"/>
        <v>-4800</v>
      </c>
      <c r="CU401">
        <f t="shared" si="414"/>
        <v>-0.30870000000192938</v>
      </c>
      <c r="CV401" s="2">
        <f t="shared" si="439"/>
        <v>-3.3472803347280332E-2</v>
      </c>
      <c r="CW401" s="1" t="s">
        <v>347</v>
      </c>
      <c r="CX401" t="str">
        <f t="shared" si="416"/>
        <v>loc</v>
      </c>
      <c r="CY401" t="s">
        <v>540</v>
      </c>
      <c r="CZ401"/>
      <c r="DA401"/>
      <c r="DB401">
        <v>0</v>
      </c>
      <c r="DC401" t="str">
        <f t="shared" si="418"/>
        <v>0</v>
      </c>
      <c r="DD401">
        <v>0</v>
      </c>
      <c r="DE401">
        <v>1</v>
      </c>
      <c r="DF401">
        <v>0</v>
      </c>
      <c r="DG401">
        <v>0</v>
      </c>
      <c r="DH401"/>
      <c r="DI401">
        <f t="shared" si="419"/>
        <v>1</v>
      </c>
      <c r="DJ401" t="str">
        <f t="shared" si="420"/>
        <v>EnergyInput</v>
      </c>
      <c r="DK401">
        <f t="shared" si="421"/>
        <v>0</v>
      </c>
      <c r="DL401" t="str">
        <f t="shared" si="422"/>
        <v>Energy</v>
      </c>
      <c r="DM401">
        <f t="shared" si="423"/>
        <v>0</v>
      </c>
      <c r="DN401">
        <f t="shared" si="424"/>
        <v>0</v>
      </c>
      <c r="DO401">
        <v>0</v>
      </c>
      <c r="DP401" s="143">
        <v>0</v>
      </c>
      <c r="DQ401" s="143">
        <v>0</v>
      </c>
      <c r="DR401" s="143">
        <v>0</v>
      </c>
      <c r="DS401">
        <v>0</v>
      </c>
      <c r="DT401">
        <f t="shared" si="425"/>
        <v>0</v>
      </c>
      <c r="DU401" s="143" t="str">
        <f t="shared" si="426"/>
        <v>explicit C balance</v>
      </c>
      <c r="DV401">
        <v>0</v>
      </c>
      <c r="DW401" s="143">
        <v>1</v>
      </c>
      <c r="DX401" s="143">
        <v>0</v>
      </c>
      <c r="DY401" s="143">
        <v>0</v>
      </c>
      <c r="DZ401">
        <v>1</v>
      </c>
      <c r="EA401" s="143">
        <v>0</v>
      </c>
      <c r="EB401">
        <v>0</v>
      </c>
      <c r="EC401" s="143">
        <v>1</v>
      </c>
      <c r="ED401" s="143">
        <v>0</v>
      </c>
      <c r="EE401">
        <v>0</v>
      </c>
      <c r="EF401">
        <v>0</v>
      </c>
      <c r="EG401" s="143">
        <v>0</v>
      </c>
      <c r="EH401" s="143">
        <v>0</v>
      </c>
      <c r="EI401" s="2">
        <v>0</v>
      </c>
      <c r="EJ401" s="1"/>
      <c r="EK401" t="str">
        <f t="shared" si="427"/>
        <v/>
      </c>
      <c r="EL401" t="str">
        <f t="shared" si="428"/>
        <v/>
      </c>
      <c r="EM401" s="2" t="str">
        <f t="shared" si="387"/>
        <v/>
      </c>
      <c r="EN401"/>
      <c r="EO401"/>
      <c r="EP401" t="str">
        <f>IF(ISNUMBER(BU401),IF(ABS(BU401-[5]QC_indicators!$B$2)&gt;3*[5]QC_indicators!$C$2,"C ratio",IF(ISNUMBER(BY401),IF(ABS(BY401-[5]QC_indicators!$B$1)&gt;3*[5]QC_indicators!$C$1,"DF","no"))),IF(ISNUMBER(BY401),IF(ABS(BY401-[5]QC_indicators!$B$1)&gt;3*[5]QC_indicators!$C$1,"DF","no")))</f>
        <v>no</v>
      </c>
      <c r="EQ401"/>
      <c r="ER401" s="149" t="s">
        <v>349</v>
      </c>
      <c r="ES401"/>
      <c r="ET401" s="264" t="s">
        <v>3272</v>
      </c>
      <c r="EU401"/>
    </row>
    <row r="402" spans="1:151" s="139" customFormat="1" ht="15" hidden="1" customHeight="1">
      <c r="A402" s="1" t="s">
        <v>505</v>
      </c>
      <c r="B402" t="s">
        <v>528</v>
      </c>
      <c r="C402" t="s">
        <v>529</v>
      </c>
      <c r="D402" t="s">
        <v>530</v>
      </c>
      <c r="E402" t="s">
        <v>531</v>
      </c>
      <c r="F402" t="s">
        <v>532</v>
      </c>
      <c r="G402" t="s">
        <v>511</v>
      </c>
      <c r="H402" t="s">
        <v>254</v>
      </c>
      <c r="I402">
        <v>2015</v>
      </c>
      <c r="J402">
        <v>31</v>
      </c>
      <c r="K402" t="s">
        <v>533</v>
      </c>
      <c r="L402"/>
      <c r="M402" t="str">
        <f t="shared" si="429"/>
        <v>Cambero_2015</v>
      </c>
      <c r="N402" t="s">
        <v>222</v>
      </c>
      <c r="O402" s="145" t="s">
        <v>223</v>
      </c>
      <c r="P402"/>
      <c r="Q402" t="s">
        <v>256</v>
      </c>
      <c r="R402" s="255" t="s">
        <v>225</v>
      </c>
      <c r="S402" s="1" t="s">
        <v>534</v>
      </c>
      <c r="T402" t="s">
        <v>535</v>
      </c>
      <c r="U402" t="s">
        <v>543</v>
      </c>
      <c r="V402">
        <v>0</v>
      </c>
      <c r="W402">
        <v>0</v>
      </c>
      <c r="X402">
        <v>0</v>
      </c>
      <c r="Y402">
        <v>0</v>
      </c>
      <c r="Z402">
        <v>0</v>
      </c>
      <c r="AA402">
        <v>0</v>
      </c>
      <c r="AB402">
        <v>0</v>
      </c>
      <c r="AC402">
        <v>0</v>
      </c>
      <c r="AD402">
        <v>0</v>
      </c>
      <c r="AE402">
        <v>0</v>
      </c>
      <c r="AF402">
        <v>0</v>
      </c>
      <c r="AG402">
        <v>0</v>
      </c>
      <c r="AH402">
        <v>0</v>
      </c>
      <c r="AI402">
        <v>0</v>
      </c>
      <c r="AJ402">
        <v>0</v>
      </c>
      <c r="AK402">
        <v>1</v>
      </c>
      <c r="AL402">
        <v>0</v>
      </c>
      <c r="AM402">
        <v>0</v>
      </c>
      <c r="AN402">
        <v>0</v>
      </c>
      <c r="AO402">
        <v>0</v>
      </c>
      <c r="AP402">
        <v>0</v>
      </c>
      <c r="AQ402">
        <v>0</v>
      </c>
      <c r="AR402">
        <v>0</v>
      </c>
      <c r="AS402">
        <v>0</v>
      </c>
      <c r="AT402">
        <v>0</v>
      </c>
      <c r="AU402">
        <v>0</v>
      </c>
      <c r="AV402">
        <v>0</v>
      </c>
      <c r="AW402">
        <v>0</v>
      </c>
      <c r="AX402" s="141">
        <f t="shared" si="399"/>
        <v>1</v>
      </c>
      <c r="AY402" s="141">
        <f t="shared" si="400"/>
        <v>1</v>
      </c>
      <c r="AZ402">
        <f t="shared" si="401"/>
        <v>0</v>
      </c>
      <c r="BA402">
        <f t="shared" si="402"/>
        <v>0</v>
      </c>
      <c r="BB402">
        <f t="shared" si="403"/>
        <v>1</v>
      </c>
      <c r="BC402">
        <f t="shared" si="404"/>
        <v>0</v>
      </c>
      <c r="BD402">
        <f t="shared" si="405"/>
        <v>0</v>
      </c>
      <c r="BE402" t="str">
        <f t="array" ref="BE402">IF(AY402=1,INDEX($V$7:$AL$7,MATCH(TRUE,INDEX($V402:$AW402&lt;&gt;0,),0)),IF(AY402=0,INDEX($AM$7:$AW$7,MATCH(1,$AM402:$AW402,0)),IF(BF402="Multiple strategies","mixed drivers",IF(BF402="Supply chain","multiple supply","multiple silviculture"))))</f>
        <v>technologies/design switch</v>
      </c>
      <c r="BF402" s="2" t="str" cm="1">
        <f t="array" ref="BF402">IF(COUNTIF(AZ402:BB402,"&lt;&gt;0")=1,INDEX($V$4:$AW$4,MATCH(TRUE,INDEX($V402:$AW402&lt;&gt;0,),0)),IF(COUNTIF(AZ402:BB402,"&lt;&gt;0")=0,INDEX($AM$4:$AW$4,MATCH(1,$AM402:$AW402,0)),"Multiple strategies"))</f>
        <v>Technology</v>
      </c>
      <c r="BG402" s="1" t="s">
        <v>229</v>
      </c>
      <c r="BH402" t="s">
        <v>537</v>
      </c>
      <c r="BI402" s="260" t="s">
        <v>3283</v>
      </c>
      <c r="BJ402" t="s">
        <v>538</v>
      </c>
      <c r="BK402">
        <v>0</v>
      </c>
      <c r="BL402">
        <v>6530.6122450000003</v>
      </c>
      <c r="BM402"/>
      <c r="BN402">
        <f t="shared" si="406"/>
        <v>6530.6122450000003</v>
      </c>
      <c r="BO402">
        <f t="shared" si="434"/>
        <v>13327.780091836736</v>
      </c>
      <c r="BP402" t="s">
        <v>232</v>
      </c>
      <c r="BQ402" s="260" t="s">
        <v>3284</v>
      </c>
      <c r="BR402" t="s">
        <v>539</v>
      </c>
      <c r="BS402">
        <v>-143400</v>
      </c>
      <c r="BT402">
        <v>-147500</v>
      </c>
      <c r="BU402" s="144">
        <v>1.0285913528591353</v>
      </c>
      <c r="BV402">
        <v>-4100</v>
      </c>
      <c r="BW402"/>
      <c r="BX402">
        <f t="shared" si="435"/>
        <v>-4100</v>
      </c>
      <c r="BY402">
        <f t="shared" si="386"/>
        <v>-0.30762812499519326</v>
      </c>
      <c r="BZ402" s="143">
        <v>0</v>
      </c>
      <c r="CA402" s="143">
        <v>0</v>
      </c>
      <c r="CB402" s="143">
        <v>0</v>
      </c>
      <c r="CC402" s="143">
        <v>0</v>
      </c>
      <c r="CD402" s="143">
        <v>0</v>
      </c>
      <c r="CE402" s="143">
        <v>0</v>
      </c>
      <c r="CF402" s="143">
        <v>0</v>
      </c>
      <c r="CG402" s="143">
        <v>0</v>
      </c>
      <c r="CH402" s="143">
        <v>0</v>
      </c>
      <c r="CI402" s="143">
        <v>0</v>
      </c>
      <c r="CJ402" s="143">
        <v>0</v>
      </c>
      <c r="CK402" s="143">
        <v>0</v>
      </c>
      <c r="CL402" s="143">
        <v>0</v>
      </c>
      <c r="CM402">
        <v>1</v>
      </c>
      <c r="CN402" t="str">
        <f t="shared" si="409"/>
        <v>refOK</v>
      </c>
      <c r="CO402">
        <f t="shared" si="436"/>
        <v>0</v>
      </c>
      <c r="CP402">
        <f t="shared" si="437"/>
        <v>6530.6122450000003</v>
      </c>
      <c r="CQ402">
        <f t="shared" si="410"/>
        <v>13327.780091836736</v>
      </c>
      <c r="CR402">
        <f t="shared" si="411"/>
        <v>-143400</v>
      </c>
      <c r="CS402">
        <f t="shared" si="412"/>
        <v>-147500</v>
      </c>
      <c r="CT402">
        <f t="shared" si="438"/>
        <v>-4100</v>
      </c>
      <c r="CU402">
        <f t="shared" si="414"/>
        <v>-0.30762812499519326</v>
      </c>
      <c r="CV402" s="2">
        <f t="shared" si="439"/>
        <v>-2.8591352859135284E-2</v>
      </c>
      <c r="CW402" s="1" t="s">
        <v>347</v>
      </c>
      <c r="CX402" t="str">
        <f t="shared" si="416"/>
        <v>loc</v>
      </c>
      <c r="CY402" t="s">
        <v>540</v>
      </c>
      <c r="CZ402"/>
      <c r="DA402"/>
      <c r="DB402">
        <v>0</v>
      </c>
      <c r="DC402" t="str">
        <f t="shared" si="418"/>
        <v>0</v>
      </c>
      <c r="DD402">
        <v>0</v>
      </c>
      <c r="DE402">
        <v>1</v>
      </c>
      <c r="DF402">
        <v>0</v>
      </c>
      <c r="DG402">
        <v>0</v>
      </c>
      <c r="DH402"/>
      <c r="DI402">
        <f t="shared" si="419"/>
        <v>1</v>
      </c>
      <c r="DJ402" t="str">
        <f t="shared" si="420"/>
        <v>EnergyInput</v>
      </c>
      <c r="DK402">
        <f t="shared" si="421"/>
        <v>0</v>
      </c>
      <c r="DL402" t="str">
        <f t="shared" si="422"/>
        <v>Energy</v>
      </c>
      <c r="DM402">
        <f t="shared" si="423"/>
        <v>0</v>
      </c>
      <c r="DN402">
        <f t="shared" si="424"/>
        <v>0</v>
      </c>
      <c r="DO402">
        <v>0</v>
      </c>
      <c r="DP402" s="143">
        <v>0</v>
      </c>
      <c r="DQ402" s="143">
        <v>0</v>
      </c>
      <c r="DR402" s="143">
        <v>0</v>
      </c>
      <c r="DS402">
        <v>0</v>
      </c>
      <c r="DT402">
        <f t="shared" si="425"/>
        <v>0</v>
      </c>
      <c r="DU402" s="143" t="str">
        <f t="shared" si="426"/>
        <v>explicit C balance</v>
      </c>
      <c r="DV402">
        <v>0</v>
      </c>
      <c r="DW402" s="143">
        <v>1</v>
      </c>
      <c r="DX402" s="143">
        <v>0</v>
      </c>
      <c r="DY402" s="143">
        <v>0</v>
      </c>
      <c r="DZ402">
        <v>1</v>
      </c>
      <c r="EA402" s="143">
        <v>0</v>
      </c>
      <c r="EB402">
        <v>0</v>
      </c>
      <c r="EC402" s="143">
        <v>1</v>
      </c>
      <c r="ED402" s="143">
        <v>0</v>
      </c>
      <c r="EE402">
        <v>0</v>
      </c>
      <c r="EF402">
        <v>0</v>
      </c>
      <c r="EG402" s="143">
        <v>0</v>
      </c>
      <c r="EH402" s="143">
        <v>0</v>
      </c>
      <c r="EI402" s="2">
        <v>0</v>
      </c>
      <c r="EJ402" s="1"/>
      <c r="EK402" t="str">
        <f t="shared" si="427"/>
        <v/>
      </c>
      <c r="EL402" t="str">
        <f t="shared" si="428"/>
        <v/>
      </c>
      <c r="EM402" s="2" t="str">
        <f t="shared" si="387"/>
        <v/>
      </c>
      <c r="EN402"/>
      <c r="EO402"/>
      <c r="EP402" t="str">
        <f>IF(ISNUMBER(BU402),IF(ABS(BU402-[5]QC_indicators!$B$2)&gt;3*[5]QC_indicators!$C$2,"C ratio",IF(ISNUMBER(BY402),IF(ABS(BY402-[5]QC_indicators!$B$1)&gt;3*[5]QC_indicators!$C$1,"DF","no"))),IF(ISNUMBER(BY402),IF(ABS(BY402-[5]QC_indicators!$B$1)&gt;3*[5]QC_indicators!$C$1,"DF","no")))</f>
        <v>no</v>
      </c>
      <c r="EQ402"/>
      <c r="ER402" s="149" t="s">
        <v>349</v>
      </c>
      <c r="ES402"/>
      <c r="ET402" s="264" t="s">
        <v>3272</v>
      </c>
      <c r="EU402"/>
    </row>
    <row r="403" spans="1:151" s="139" customFormat="1" ht="15" hidden="1" customHeight="1">
      <c r="A403" s="1" t="s">
        <v>505</v>
      </c>
      <c r="B403" t="s">
        <v>528</v>
      </c>
      <c r="C403" t="s">
        <v>529</v>
      </c>
      <c r="D403" t="s">
        <v>530</v>
      </c>
      <c r="E403" t="s">
        <v>531</v>
      </c>
      <c r="F403" t="s">
        <v>532</v>
      </c>
      <c r="G403" t="s">
        <v>511</v>
      </c>
      <c r="H403" t="s">
        <v>254</v>
      </c>
      <c r="I403">
        <v>2015</v>
      </c>
      <c r="J403">
        <v>31</v>
      </c>
      <c r="K403" t="s">
        <v>533</v>
      </c>
      <c r="L403"/>
      <c r="M403" t="str">
        <f t="shared" si="429"/>
        <v>Cambero_2015</v>
      </c>
      <c r="N403" t="s">
        <v>222</v>
      </c>
      <c r="O403" s="145" t="s">
        <v>223</v>
      </c>
      <c r="P403"/>
      <c r="Q403" t="s">
        <v>256</v>
      </c>
      <c r="R403" s="255" t="s">
        <v>225</v>
      </c>
      <c r="S403" s="1" t="s">
        <v>534</v>
      </c>
      <c r="T403" t="s">
        <v>535</v>
      </c>
      <c r="U403" t="s">
        <v>542</v>
      </c>
      <c r="V403">
        <v>0</v>
      </c>
      <c r="W403">
        <v>0</v>
      </c>
      <c r="X403">
        <v>0</v>
      </c>
      <c r="Y403">
        <v>0</v>
      </c>
      <c r="Z403">
        <v>0</v>
      </c>
      <c r="AA403">
        <v>0</v>
      </c>
      <c r="AB403">
        <v>0</v>
      </c>
      <c r="AC403">
        <v>0</v>
      </c>
      <c r="AD403">
        <v>0</v>
      </c>
      <c r="AE403">
        <v>0</v>
      </c>
      <c r="AF403">
        <v>0</v>
      </c>
      <c r="AG403">
        <v>0</v>
      </c>
      <c r="AH403">
        <v>0</v>
      </c>
      <c r="AI403">
        <v>0</v>
      </c>
      <c r="AJ403">
        <v>0</v>
      </c>
      <c r="AK403">
        <v>1</v>
      </c>
      <c r="AL403">
        <v>0</v>
      </c>
      <c r="AM403">
        <v>0</v>
      </c>
      <c r="AN403">
        <v>0</v>
      </c>
      <c r="AO403">
        <v>0</v>
      </c>
      <c r="AP403">
        <v>0</v>
      </c>
      <c r="AQ403">
        <v>0</v>
      </c>
      <c r="AR403">
        <v>0</v>
      </c>
      <c r="AS403">
        <v>0</v>
      </c>
      <c r="AT403">
        <v>0</v>
      </c>
      <c r="AU403">
        <v>0</v>
      </c>
      <c r="AV403">
        <v>0</v>
      </c>
      <c r="AW403">
        <v>0</v>
      </c>
      <c r="AX403" s="141">
        <f t="shared" si="399"/>
        <v>1</v>
      </c>
      <c r="AY403" s="141">
        <f t="shared" si="400"/>
        <v>1</v>
      </c>
      <c r="AZ403">
        <f t="shared" si="401"/>
        <v>0</v>
      </c>
      <c r="BA403">
        <f t="shared" si="402"/>
        <v>0</v>
      </c>
      <c r="BB403">
        <f t="shared" si="403"/>
        <v>1</v>
      </c>
      <c r="BC403">
        <f t="shared" si="404"/>
        <v>0</v>
      </c>
      <c r="BD403">
        <f t="shared" si="405"/>
        <v>0</v>
      </c>
      <c r="BE403" t="str">
        <f t="array" ref="BE403">IF(AY403=1,INDEX($V$7:$AL$7,MATCH(TRUE,INDEX($V403:$AW403&lt;&gt;0,),0)),IF(AY403=0,INDEX($AM$7:$AW$7,MATCH(1,$AM403:$AW403,0)),IF(BF403="Multiple strategies","mixed drivers",IF(BF403="Supply chain","multiple supply","multiple silviculture"))))</f>
        <v>technologies/design switch</v>
      </c>
      <c r="BF403" s="2" t="str" cm="1">
        <f t="array" ref="BF403">IF(COUNTIF(AZ403:BB403,"&lt;&gt;0")=1,INDEX($V$4:$AW$4,MATCH(TRUE,INDEX($V403:$AW403&lt;&gt;0,),0)),IF(COUNTIF(AZ403:BB403,"&lt;&gt;0")=0,INDEX($AM$4:$AW$4,MATCH(1,$AM403:$AW403,0)),"Multiple strategies"))</f>
        <v>Technology</v>
      </c>
      <c r="BG403" s="1" t="s">
        <v>229</v>
      </c>
      <c r="BH403" t="s">
        <v>537</v>
      </c>
      <c r="BI403" s="260" t="s">
        <v>3285</v>
      </c>
      <c r="BJ403" t="s">
        <v>538</v>
      </c>
      <c r="BK403">
        <v>0</v>
      </c>
      <c r="BL403">
        <v>30000</v>
      </c>
      <c r="BM403"/>
      <c r="BN403">
        <f t="shared" si="406"/>
        <v>30000</v>
      </c>
      <c r="BO403">
        <f t="shared" si="434"/>
        <v>61224.489795918365</v>
      </c>
      <c r="BP403" t="s">
        <v>232</v>
      </c>
      <c r="BQ403" s="260" t="s">
        <v>3286</v>
      </c>
      <c r="BR403" t="s">
        <v>539</v>
      </c>
      <c r="BS403">
        <v>-178600</v>
      </c>
      <c r="BT403">
        <v>-158400</v>
      </c>
      <c r="BU403" s="144">
        <v>0.88689809630459127</v>
      </c>
      <c r="BV403">
        <v>20200</v>
      </c>
      <c r="BW403"/>
      <c r="BX403">
        <f t="shared" si="435"/>
        <v>20200</v>
      </c>
      <c r="BY403">
        <f t="shared" si="386"/>
        <v>0.32993333333333336</v>
      </c>
      <c r="BZ403" s="143">
        <v>0</v>
      </c>
      <c r="CA403" s="143">
        <v>0</v>
      </c>
      <c r="CB403" s="143">
        <v>0</v>
      </c>
      <c r="CC403" s="143">
        <v>0</v>
      </c>
      <c r="CD403" s="143">
        <v>0</v>
      </c>
      <c r="CE403" s="143">
        <v>0</v>
      </c>
      <c r="CF403" s="143">
        <v>0</v>
      </c>
      <c r="CG403" s="143">
        <v>0</v>
      </c>
      <c r="CH403" s="143">
        <v>0</v>
      </c>
      <c r="CI403" s="143">
        <v>0</v>
      </c>
      <c r="CJ403" s="143">
        <v>0</v>
      </c>
      <c r="CK403" s="143">
        <v>0</v>
      </c>
      <c r="CL403" s="143">
        <v>0</v>
      </c>
      <c r="CM403">
        <v>1</v>
      </c>
      <c r="CN403" t="str">
        <f t="shared" si="409"/>
        <v>refOK</v>
      </c>
      <c r="CO403">
        <f t="shared" si="436"/>
        <v>0</v>
      </c>
      <c r="CP403">
        <f t="shared" si="437"/>
        <v>30000</v>
      </c>
      <c r="CQ403">
        <f t="shared" si="410"/>
        <v>61224.489795918365</v>
      </c>
      <c r="CR403">
        <f t="shared" si="411"/>
        <v>-178600</v>
      </c>
      <c r="CS403">
        <f t="shared" si="412"/>
        <v>-158400</v>
      </c>
      <c r="CT403">
        <f t="shared" si="438"/>
        <v>20200</v>
      </c>
      <c r="CU403">
        <f t="shared" si="414"/>
        <v>0.32993333333333336</v>
      </c>
      <c r="CV403" s="2">
        <f t="shared" si="439"/>
        <v>0.11310190369540873</v>
      </c>
      <c r="CW403" s="1" t="s">
        <v>347</v>
      </c>
      <c r="CX403" t="str">
        <f t="shared" si="416"/>
        <v>loc</v>
      </c>
      <c r="CY403" t="s">
        <v>540</v>
      </c>
      <c r="CZ403"/>
      <c r="DA403"/>
      <c r="DB403">
        <v>0</v>
      </c>
      <c r="DC403" t="str">
        <f t="shared" si="418"/>
        <v>0</v>
      </c>
      <c r="DD403">
        <v>0</v>
      </c>
      <c r="DE403">
        <v>1</v>
      </c>
      <c r="DF403">
        <v>0</v>
      </c>
      <c r="DG403">
        <v>0</v>
      </c>
      <c r="DH403"/>
      <c r="DI403">
        <f t="shared" si="419"/>
        <v>1</v>
      </c>
      <c r="DJ403" t="str">
        <f t="shared" si="420"/>
        <v>EnergyInput</v>
      </c>
      <c r="DK403">
        <f t="shared" si="421"/>
        <v>0</v>
      </c>
      <c r="DL403" t="str">
        <f t="shared" si="422"/>
        <v>Energy</v>
      </c>
      <c r="DM403">
        <f t="shared" si="423"/>
        <v>0</v>
      </c>
      <c r="DN403">
        <f t="shared" si="424"/>
        <v>0</v>
      </c>
      <c r="DO403">
        <v>0</v>
      </c>
      <c r="DP403" s="143">
        <v>0</v>
      </c>
      <c r="DQ403" s="143">
        <v>0</v>
      </c>
      <c r="DR403" s="143">
        <v>0</v>
      </c>
      <c r="DS403">
        <v>0</v>
      </c>
      <c r="DT403">
        <f t="shared" si="425"/>
        <v>0</v>
      </c>
      <c r="DU403" s="143" t="str">
        <f t="shared" si="426"/>
        <v>explicit C balance</v>
      </c>
      <c r="DV403">
        <v>0</v>
      </c>
      <c r="DW403" s="143">
        <v>1</v>
      </c>
      <c r="DX403" s="143">
        <v>0</v>
      </c>
      <c r="DY403" s="143">
        <v>0</v>
      </c>
      <c r="DZ403">
        <v>1</v>
      </c>
      <c r="EA403" s="143">
        <v>0</v>
      </c>
      <c r="EB403">
        <v>0</v>
      </c>
      <c r="EC403" s="143">
        <v>1</v>
      </c>
      <c r="ED403" s="143">
        <v>0</v>
      </c>
      <c r="EE403">
        <v>0</v>
      </c>
      <c r="EF403">
        <v>0</v>
      </c>
      <c r="EG403" s="143">
        <v>0</v>
      </c>
      <c r="EH403" s="143">
        <v>0</v>
      </c>
      <c r="EI403" s="2">
        <v>0</v>
      </c>
      <c r="EJ403" s="1"/>
      <c r="EK403" t="str">
        <f t="shared" si="427"/>
        <v/>
      </c>
      <c r="EL403" t="str">
        <f t="shared" si="428"/>
        <v/>
      </c>
      <c r="EM403" s="2" t="str">
        <f t="shared" si="387"/>
        <v/>
      </c>
      <c r="EN403"/>
      <c r="EO403"/>
      <c r="EP403" t="str">
        <f>IF(ISNUMBER(BU403),IF(ABS(BU403-[5]QC_indicators!$B$2)&gt;3*[5]QC_indicators!$C$2,"C ratio",IF(ISNUMBER(BY403),IF(ABS(BY403-[5]QC_indicators!$B$1)&gt;3*[5]QC_indicators!$C$1,"DF","no"))),IF(ISNUMBER(BY403),IF(ABS(BY403-[5]QC_indicators!$B$1)&gt;3*[5]QC_indicators!$C$1,"DF","no")))</f>
        <v>no</v>
      </c>
      <c r="EQ403"/>
      <c r="ER403" s="149" t="s">
        <v>349</v>
      </c>
      <c r="ES403"/>
      <c r="ET403" s="264" t="s">
        <v>3272</v>
      </c>
      <c r="EU403"/>
    </row>
    <row r="404" spans="1:151" s="139" customFormat="1" ht="15" hidden="1" customHeight="1">
      <c r="A404" s="1" t="s">
        <v>505</v>
      </c>
      <c r="B404" t="s">
        <v>528</v>
      </c>
      <c r="C404" t="s">
        <v>529</v>
      </c>
      <c r="D404" t="s">
        <v>530</v>
      </c>
      <c r="E404" t="s">
        <v>531</v>
      </c>
      <c r="F404" t="s">
        <v>532</v>
      </c>
      <c r="G404" t="s">
        <v>511</v>
      </c>
      <c r="H404" t="s">
        <v>254</v>
      </c>
      <c r="I404">
        <v>2015</v>
      </c>
      <c r="J404">
        <v>31</v>
      </c>
      <c r="K404" t="s">
        <v>533</v>
      </c>
      <c r="L404"/>
      <c r="M404" t="str">
        <f t="shared" si="429"/>
        <v>Cambero_2015</v>
      </c>
      <c r="N404" t="s">
        <v>222</v>
      </c>
      <c r="O404" s="145" t="s">
        <v>223</v>
      </c>
      <c r="P404"/>
      <c r="Q404" t="s">
        <v>256</v>
      </c>
      <c r="R404" s="255" t="s">
        <v>225</v>
      </c>
      <c r="S404" s="1" t="s">
        <v>534</v>
      </c>
      <c r="T404" t="s">
        <v>535</v>
      </c>
      <c r="U404" t="s">
        <v>536</v>
      </c>
      <c r="V404">
        <v>0</v>
      </c>
      <c r="W404">
        <v>0</v>
      </c>
      <c r="X404">
        <v>0</v>
      </c>
      <c r="Y404">
        <v>0</v>
      </c>
      <c r="Z404">
        <v>0</v>
      </c>
      <c r="AA404">
        <v>0</v>
      </c>
      <c r="AB404">
        <v>0</v>
      </c>
      <c r="AC404">
        <v>0</v>
      </c>
      <c r="AD404">
        <v>0</v>
      </c>
      <c r="AE404">
        <v>0</v>
      </c>
      <c r="AF404">
        <v>0</v>
      </c>
      <c r="AG404">
        <v>0</v>
      </c>
      <c r="AH404">
        <v>0</v>
      </c>
      <c r="AI404">
        <v>0</v>
      </c>
      <c r="AJ404">
        <v>0</v>
      </c>
      <c r="AK404">
        <v>1</v>
      </c>
      <c r="AL404">
        <v>0</v>
      </c>
      <c r="AM404">
        <v>0</v>
      </c>
      <c r="AN404">
        <v>0</v>
      </c>
      <c r="AO404">
        <v>0</v>
      </c>
      <c r="AP404">
        <v>0</v>
      </c>
      <c r="AQ404">
        <v>0</v>
      </c>
      <c r="AR404">
        <v>0</v>
      </c>
      <c r="AS404">
        <v>0</v>
      </c>
      <c r="AT404">
        <v>0</v>
      </c>
      <c r="AU404">
        <v>0</v>
      </c>
      <c r="AV404">
        <v>0</v>
      </c>
      <c r="AW404">
        <v>0</v>
      </c>
      <c r="AX404" s="141">
        <f t="shared" si="399"/>
        <v>1</v>
      </c>
      <c r="AY404" s="141">
        <f t="shared" si="400"/>
        <v>1</v>
      </c>
      <c r="AZ404">
        <f t="shared" si="401"/>
        <v>0</v>
      </c>
      <c r="BA404">
        <f t="shared" si="402"/>
        <v>0</v>
      </c>
      <c r="BB404">
        <f t="shared" si="403"/>
        <v>1</v>
      </c>
      <c r="BC404">
        <f t="shared" si="404"/>
        <v>0</v>
      </c>
      <c r="BD404">
        <f t="shared" si="405"/>
        <v>0</v>
      </c>
      <c r="BE404" t="str">
        <f t="array" ref="BE404">IF(AY404=1,INDEX($V$7:$AL$7,MATCH(TRUE,INDEX($V404:$AW404&lt;&gt;0,),0)),IF(AY404=0,INDEX($AM$7:$AW$7,MATCH(1,$AM404:$AW404,0)),IF(BF404="Multiple strategies","mixed drivers",IF(BF404="Supply chain","multiple supply","multiple silviculture"))))</f>
        <v>technologies/design switch</v>
      </c>
      <c r="BF404" s="2" t="str" cm="1">
        <f t="array" ref="BF404">IF(COUNTIF(AZ404:BB404,"&lt;&gt;0")=1,INDEX($V$4:$AW$4,MATCH(TRUE,INDEX($V404:$AW404&lt;&gt;0,),0)),IF(COUNTIF(AZ404:BB404,"&lt;&gt;0")=0,INDEX($AM$4:$AW$4,MATCH(1,$AM404:$AW404,0)),"Multiple strategies"))</f>
        <v>Technology</v>
      </c>
      <c r="BG404" s="1" t="s">
        <v>229</v>
      </c>
      <c r="BH404" t="s">
        <v>537</v>
      </c>
      <c r="BI404" s="260" t="s">
        <v>3285</v>
      </c>
      <c r="BJ404" t="s">
        <v>538</v>
      </c>
      <c r="BK404">
        <v>0</v>
      </c>
      <c r="BL404">
        <v>19523</v>
      </c>
      <c r="BM404"/>
      <c r="BN404">
        <f t="shared" si="406"/>
        <v>19523</v>
      </c>
      <c r="BO404">
        <f t="shared" si="434"/>
        <v>39842.857142857145</v>
      </c>
      <c r="BP404" t="s">
        <v>232</v>
      </c>
      <c r="BQ404" s="260" t="s">
        <v>3286</v>
      </c>
      <c r="BR404" t="s">
        <v>539</v>
      </c>
      <c r="BS404">
        <v>-178600</v>
      </c>
      <c r="BT404">
        <v>-164700</v>
      </c>
      <c r="BU404" s="144">
        <v>0.92217245240761481</v>
      </c>
      <c r="BV404">
        <v>13900</v>
      </c>
      <c r="BW404"/>
      <c r="BX404">
        <f t="shared" si="435"/>
        <v>13900</v>
      </c>
      <c r="BY404">
        <f t="shared" si="386"/>
        <v>0.34887056292577984</v>
      </c>
      <c r="BZ404" s="143">
        <v>0</v>
      </c>
      <c r="CA404" s="143">
        <v>0</v>
      </c>
      <c r="CB404" s="143">
        <v>0</v>
      </c>
      <c r="CC404" s="143">
        <v>0</v>
      </c>
      <c r="CD404" s="143">
        <v>0</v>
      </c>
      <c r="CE404" s="143">
        <v>0</v>
      </c>
      <c r="CF404" s="143">
        <v>0</v>
      </c>
      <c r="CG404" s="143">
        <v>0</v>
      </c>
      <c r="CH404" s="143">
        <v>0</v>
      </c>
      <c r="CI404" s="143">
        <v>0</v>
      </c>
      <c r="CJ404" s="143">
        <v>0</v>
      </c>
      <c r="CK404" s="143">
        <v>0</v>
      </c>
      <c r="CL404" s="143">
        <v>0</v>
      </c>
      <c r="CM404">
        <v>1</v>
      </c>
      <c r="CN404" t="str">
        <f t="shared" si="409"/>
        <v>refOK</v>
      </c>
      <c r="CO404">
        <f t="shared" si="436"/>
        <v>0</v>
      </c>
      <c r="CP404">
        <f t="shared" si="437"/>
        <v>19523</v>
      </c>
      <c r="CQ404">
        <f t="shared" si="410"/>
        <v>39842.857142857145</v>
      </c>
      <c r="CR404">
        <f t="shared" si="411"/>
        <v>-178600</v>
      </c>
      <c r="CS404">
        <f t="shared" si="412"/>
        <v>-164700</v>
      </c>
      <c r="CT404">
        <f t="shared" si="438"/>
        <v>13900</v>
      </c>
      <c r="CU404">
        <f t="shared" si="414"/>
        <v>0.34887056292577984</v>
      </c>
      <c r="CV404" s="2">
        <f t="shared" si="439"/>
        <v>7.7827547592385221E-2</v>
      </c>
      <c r="CW404" s="1" t="s">
        <v>347</v>
      </c>
      <c r="CX404" t="str">
        <f t="shared" si="416"/>
        <v>loc</v>
      </c>
      <c r="CY404" t="s">
        <v>540</v>
      </c>
      <c r="CZ404"/>
      <c r="DA404"/>
      <c r="DB404">
        <v>0</v>
      </c>
      <c r="DC404" t="str">
        <f t="shared" si="418"/>
        <v>0</v>
      </c>
      <c r="DD404">
        <v>0</v>
      </c>
      <c r="DE404">
        <v>1</v>
      </c>
      <c r="DF404">
        <v>0</v>
      </c>
      <c r="DG404">
        <v>0</v>
      </c>
      <c r="DH404"/>
      <c r="DI404">
        <f t="shared" si="419"/>
        <v>1</v>
      </c>
      <c r="DJ404" t="str">
        <f t="shared" si="420"/>
        <v>EnergyInput</v>
      </c>
      <c r="DK404">
        <f t="shared" si="421"/>
        <v>0</v>
      </c>
      <c r="DL404" t="str">
        <f t="shared" si="422"/>
        <v>Energy</v>
      </c>
      <c r="DM404">
        <f t="shared" si="423"/>
        <v>0</v>
      </c>
      <c r="DN404">
        <f t="shared" si="424"/>
        <v>0</v>
      </c>
      <c r="DO404">
        <v>0</v>
      </c>
      <c r="DP404" s="143">
        <v>0</v>
      </c>
      <c r="DQ404" s="143">
        <v>0</v>
      </c>
      <c r="DR404" s="143">
        <v>0</v>
      </c>
      <c r="DS404">
        <v>0</v>
      </c>
      <c r="DT404">
        <f t="shared" si="425"/>
        <v>0</v>
      </c>
      <c r="DU404" s="143" t="str">
        <f t="shared" si="426"/>
        <v>explicit C balance</v>
      </c>
      <c r="DV404">
        <v>0</v>
      </c>
      <c r="DW404" s="143">
        <v>1</v>
      </c>
      <c r="DX404" s="143">
        <v>0</v>
      </c>
      <c r="DY404" s="143">
        <v>0</v>
      </c>
      <c r="DZ404">
        <v>1</v>
      </c>
      <c r="EA404" s="143">
        <v>0</v>
      </c>
      <c r="EB404">
        <v>0</v>
      </c>
      <c r="EC404" s="143">
        <v>1</v>
      </c>
      <c r="ED404" s="143">
        <v>0</v>
      </c>
      <c r="EE404">
        <v>0</v>
      </c>
      <c r="EF404">
        <v>0</v>
      </c>
      <c r="EG404" s="143">
        <v>0</v>
      </c>
      <c r="EH404" s="143">
        <v>0</v>
      </c>
      <c r="EI404" s="2">
        <v>0</v>
      </c>
      <c r="EJ404" s="1"/>
      <c r="EK404" t="str">
        <f t="shared" si="427"/>
        <v/>
      </c>
      <c r="EL404" t="str">
        <f t="shared" si="428"/>
        <v/>
      </c>
      <c r="EM404" s="2" t="str">
        <f t="shared" si="387"/>
        <v/>
      </c>
      <c r="EN404"/>
      <c r="EO404"/>
      <c r="EP404" t="str">
        <f>IF(ISNUMBER(BU404),IF(ABS(BU404-[5]QC_indicators!$B$2)&gt;3*[5]QC_indicators!$C$2,"C ratio",IF(ISNUMBER(BY404),IF(ABS(BY404-[5]QC_indicators!$B$1)&gt;3*[5]QC_indicators!$C$1,"DF","no"))),IF(ISNUMBER(BY404),IF(ABS(BY404-[5]QC_indicators!$B$1)&gt;3*[5]QC_indicators!$C$1,"DF","no")))</f>
        <v>no</v>
      </c>
      <c r="EQ404"/>
      <c r="ER404" s="149" t="s">
        <v>349</v>
      </c>
      <c r="ES404"/>
      <c r="ET404" s="264" t="s">
        <v>3272</v>
      </c>
      <c r="EU404"/>
    </row>
    <row r="405" spans="1:151" s="139" customFormat="1" ht="15" hidden="1" customHeight="1">
      <c r="A405" s="1" t="s">
        <v>505</v>
      </c>
      <c r="B405" t="s">
        <v>528</v>
      </c>
      <c r="C405" t="s">
        <v>529</v>
      </c>
      <c r="D405" t="s">
        <v>530</v>
      </c>
      <c r="E405" t="s">
        <v>531</v>
      </c>
      <c r="F405" t="s">
        <v>532</v>
      </c>
      <c r="G405" t="s">
        <v>511</v>
      </c>
      <c r="H405" t="s">
        <v>254</v>
      </c>
      <c r="I405">
        <v>2015</v>
      </c>
      <c r="J405">
        <v>31</v>
      </c>
      <c r="K405" t="s">
        <v>533</v>
      </c>
      <c r="L405"/>
      <c r="M405" t="str">
        <f t="shared" si="429"/>
        <v>Cambero_2015</v>
      </c>
      <c r="N405" t="s">
        <v>222</v>
      </c>
      <c r="O405" s="145" t="s">
        <v>223</v>
      </c>
      <c r="P405"/>
      <c r="Q405" t="s">
        <v>256</v>
      </c>
      <c r="R405" s="255" t="s">
        <v>225</v>
      </c>
      <c r="S405" s="1" t="s">
        <v>534</v>
      </c>
      <c r="T405" t="s">
        <v>535</v>
      </c>
      <c r="U405" t="s">
        <v>541</v>
      </c>
      <c r="V405">
        <v>0</v>
      </c>
      <c r="W405">
        <v>0</v>
      </c>
      <c r="X405">
        <v>0</v>
      </c>
      <c r="Y405">
        <v>0</v>
      </c>
      <c r="Z405">
        <v>0</v>
      </c>
      <c r="AA405">
        <v>0</v>
      </c>
      <c r="AB405">
        <v>0</v>
      </c>
      <c r="AC405">
        <v>0</v>
      </c>
      <c r="AD405">
        <v>0</v>
      </c>
      <c r="AE405">
        <v>0</v>
      </c>
      <c r="AF405">
        <v>0</v>
      </c>
      <c r="AG405">
        <v>0</v>
      </c>
      <c r="AH405">
        <v>0</v>
      </c>
      <c r="AI405">
        <v>0</v>
      </c>
      <c r="AJ405">
        <v>0</v>
      </c>
      <c r="AK405">
        <v>1</v>
      </c>
      <c r="AL405">
        <v>0</v>
      </c>
      <c r="AM405">
        <v>0</v>
      </c>
      <c r="AN405">
        <v>0</v>
      </c>
      <c r="AO405">
        <v>0</v>
      </c>
      <c r="AP405">
        <v>0</v>
      </c>
      <c r="AQ405">
        <v>0</v>
      </c>
      <c r="AR405">
        <v>0</v>
      </c>
      <c r="AS405">
        <v>0</v>
      </c>
      <c r="AT405">
        <v>0</v>
      </c>
      <c r="AU405">
        <v>0</v>
      </c>
      <c r="AV405">
        <v>0</v>
      </c>
      <c r="AW405">
        <v>0</v>
      </c>
      <c r="AX405" s="141">
        <f t="shared" si="399"/>
        <v>1</v>
      </c>
      <c r="AY405" s="141">
        <f t="shared" si="400"/>
        <v>1</v>
      </c>
      <c r="AZ405">
        <f t="shared" si="401"/>
        <v>0</v>
      </c>
      <c r="BA405">
        <f t="shared" si="402"/>
        <v>0</v>
      </c>
      <c r="BB405">
        <f t="shared" si="403"/>
        <v>1</v>
      </c>
      <c r="BC405">
        <f t="shared" si="404"/>
        <v>0</v>
      </c>
      <c r="BD405">
        <f t="shared" si="405"/>
        <v>0</v>
      </c>
      <c r="BE405" t="str">
        <f t="array" ref="BE405">IF(AY405=1,INDEX($V$7:$AL$7,MATCH(TRUE,INDEX($V405:$AW405&lt;&gt;0,),0)),IF(AY405=0,INDEX($AM$7:$AW$7,MATCH(1,$AM405:$AW405,0)),IF(BF405="Multiple strategies","mixed drivers",IF(BF405="Supply chain","multiple supply","multiple silviculture"))))</f>
        <v>technologies/design switch</v>
      </c>
      <c r="BF405" s="2" t="str" cm="1">
        <f t="array" ref="BF405">IF(COUNTIF(AZ405:BB405,"&lt;&gt;0")=1,INDEX($V$4:$AW$4,MATCH(TRUE,INDEX($V405:$AW405&lt;&gt;0,),0)),IF(COUNTIF(AZ405:BB405,"&lt;&gt;0")=0,INDEX($AM$4:$AW$4,MATCH(1,$AM405:$AW405,0)),"Multiple strategies"))</f>
        <v>Technology</v>
      </c>
      <c r="BG405" s="1" t="s">
        <v>229</v>
      </c>
      <c r="BH405" t="s">
        <v>537</v>
      </c>
      <c r="BI405" s="260" t="s">
        <v>3285</v>
      </c>
      <c r="BJ405" t="s">
        <v>538</v>
      </c>
      <c r="BK405">
        <v>0</v>
      </c>
      <c r="BL405">
        <v>22380.952379999999</v>
      </c>
      <c r="BM405"/>
      <c r="BN405">
        <f t="shared" si="406"/>
        <v>22380.952379999999</v>
      </c>
      <c r="BO405">
        <f t="shared" si="434"/>
        <v>45675.413020408159</v>
      </c>
      <c r="BP405" t="s">
        <v>232</v>
      </c>
      <c r="BQ405" s="260" t="s">
        <v>3286</v>
      </c>
      <c r="BR405" t="s">
        <v>539</v>
      </c>
      <c r="BS405">
        <v>-178600</v>
      </c>
      <c r="BT405">
        <v>-158400</v>
      </c>
      <c r="BU405" s="144">
        <v>0.88689809630459127</v>
      </c>
      <c r="BV405">
        <v>20200</v>
      </c>
      <c r="BW405"/>
      <c r="BX405">
        <f t="shared" si="435"/>
        <v>20200</v>
      </c>
      <c r="BY405">
        <f t="shared" si="386"/>
        <v>0.44225106384860646</v>
      </c>
      <c r="BZ405" s="143">
        <v>0</v>
      </c>
      <c r="CA405" s="143">
        <v>0</v>
      </c>
      <c r="CB405" s="143">
        <v>0</v>
      </c>
      <c r="CC405" s="143">
        <v>0</v>
      </c>
      <c r="CD405" s="143">
        <v>0</v>
      </c>
      <c r="CE405" s="143">
        <v>0</v>
      </c>
      <c r="CF405" s="143">
        <v>0</v>
      </c>
      <c r="CG405" s="143">
        <v>0</v>
      </c>
      <c r="CH405" s="143">
        <v>0</v>
      </c>
      <c r="CI405" s="143">
        <v>0</v>
      </c>
      <c r="CJ405" s="143">
        <v>0</v>
      </c>
      <c r="CK405" s="143">
        <v>0</v>
      </c>
      <c r="CL405" s="143">
        <v>0</v>
      </c>
      <c r="CM405">
        <v>1</v>
      </c>
      <c r="CN405" t="str">
        <f t="shared" si="409"/>
        <v>refOK</v>
      </c>
      <c r="CO405">
        <f t="shared" si="436"/>
        <v>0</v>
      </c>
      <c r="CP405">
        <f t="shared" si="437"/>
        <v>22380.952379999999</v>
      </c>
      <c r="CQ405">
        <f t="shared" si="410"/>
        <v>45675.413020408159</v>
      </c>
      <c r="CR405">
        <f t="shared" si="411"/>
        <v>-178600</v>
      </c>
      <c r="CS405">
        <f t="shared" si="412"/>
        <v>-158400</v>
      </c>
      <c r="CT405">
        <f t="shared" si="438"/>
        <v>20200</v>
      </c>
      <c r="CU405">
        <f t="shared" si="414"/>
        <v>0.44225106384860646</v>
      </c>
      <c r="CV405" s="2">
        <f t="shared" si="439"/>
        <v>0.11310190369540873</v>
      </c>
      <c r="CW405" s="1" t="s">
        <v>347</v>
      </c>
      <c r="CX405" t="str">
        <f t="shared" si="416"/>
        <v>loc</v>
      </c>
      <c r="CY405" t="s">
        <v>540</v>
      </c>
      <c r="CZ405"/>
      <c r="DA405"/>
      <c r="DB405">
        <v>0</v>
      </c>
      <c r="DC405" t="str">
        <f t="shared" si="418"/>
        <v>0</v>
      </c>
      <c r="DD405">
        <v>0</v>
      </c>
      <c r="DE405">
        <v>1</v>
      </c>
      <c r="DF405">
        <v>0</v>
      </c>
      <c r="DG405">
        <v>0</v>
      </c>
      <c r="DH405"/>
      <c r="DI405">
        <f t="shared" si="419"/>
        <v>1</v>
      </c>
      <c r="DJ405" t="str">
        <f t="shared" si="420"/>
        <v>EnergyInput</v>
      </c>
      <c r="DK405">
        <f t="shared" si="421"/>
        <v>0</v>
      </c>
      <c r="DL405" t="str">
        <f t="shared" si="422"/>
        <v>Energy</v>
      </c>
      <c r="DM405">
        <f t="shared" si="423"/>
        <v>0</v>
      </c>
      <c r="DN405">
        <f t="shared" si="424"/>
        <v>0</v>
      </c>
      <c r="DO405">
        <v>0</v>
      </c>
      <c r="DP405" s="143">
        <v>0</v>
      </c>
      <c r="DQ405" s="143">
        <v>0</v>
      </c>
      <c r="DR405" s="143">
        <v>0</v>
      </c>
      <c r="DS405">
        <v>0</v>
      </c>
      <c r="DT405">
        <f t="shared" si="425"/>
        <v>0</v>
      </c>
      <c r="DU405" s="143" t="str">
        <f t="shared" si="426"/>
        <v>explicit C balance</v>
      </c>
      <c r="DV405">
        <v>0</v>
      </c>
      <c r="DW405" s="143">
        <v>1</v>
      </c>
      <c r="DX405" s="143">
        <v>0</v>
      </c>
      <c r="DY405" s="143">
        <v>0</v>
      </c>
      <c r="DZ405">
        <v>1</v>
      </c>
      <c r="EA405" s="143">
        <v>0</v>
      </c>
      <c r="EB405">
        <v>0</v>
      </c>
      <c r="EC405" s="143">
        <v>1</v>
      </c>
      <c r="ED405" s="143">
        <v>0</v>
      </c>
      <c r="EE405">
        <v>0</v>
      </c>
      <c r="EF405">
        <v>0</v>
      </c>
      <c r="EG405" s="143">
        <v>0</v>
      </c>
      <c r="EH405" s="143">
        <v>0</v>
      </c>
      <c r="EI405" s="2">
        <v>0</v>
      </c>
      <c r="EJ405" s="1"/>
      <c r="EK405" t="str">
        <f t="shared" si="427"/>
        <v/>
      </c>
      <c r="EL405" t="str">
        <f t="shared" si="428"/>
        <v/>
      </c>
      <c r="EM405" s="2" t="str">
        <f t="shared" si="387"/>
        <v/>
      </c>
      <c r="EN405"/>
      <c r="EO405"/>
      <c r="EP405" t="str">
        <f>IF(ISNUMBER(BU405),IF(ABS(BU405-[5]QC_indicators!$B$2)&gt;3*[5]QC_indicators!$C$2,"C ratio",IF(ISNUMBER(BY405),IF(ABS(BY405-[5]QC_indicators!$B$1)&gt;3*[5]QC_indicators!$C$1,"DF","no"))),IF(ISNUMBER(BY405),IF(ABS(BY405-[5]QC_indicators!$B$1)&gt;3*[5]QC_indicators!$C$1,"DF","no")))</f>
        <v>no</v>
      </c>
      <c r="EQ405"/>
      <c r="ER405" s="149" t="s">
        <v>349</v>
      </c>
      <c r="ES405"/>
      <c r="ET405" s="264" t="s">
        <v>3272</v>
      </c>
      <c r="EU405"/>
    </row>
    <row r="406" spans="1:151" s="139" customFormat="1" ht="15" hidden="1" customHeight="1">
      <c r="A406" s="1" t="s">
        <v>505</v>
      </c>
      <c r="B406" t="s">
        <v>528</v>
      </c>
      <c r="C406" t="s">
        <v>529</v>
      </c>
      <c r="D406" t="s">
        <v>530</v>
      </c>
      <c r="E406" t="s">
        <v>531</v>
      </c>
      <c r="F406" t="s">
        <v>532</v>
      </c>
      <c r="G406" t="s">
        <v>511</v>
      </c>
      <c r="H406" t="s">
        <v>254</v>
      </c>
      <c r="I406">
        <v>2015</v>
      </c>
      <c r="J406">
        <v>31</v>
      </c>
      <c r="K406" t="s">
        <v>533</v>
      </c>
      <c r="L406"/>
      <c r="M406" t="str">
        <f t="shared" si="429"/>
        <v>Cambero_2015</v>
      </c>
      <c r="N406" t="s">
        <v>222</v>
      </c>
      <c r="O406" s="145" t="s">
        <v>223</v>
      </c>
      <c r="P406"/>
      <c r="Q406" t="s">
        <v>256</v>
      </c>
      <c r="R406" s="255" t="s">
        <v>225</v>
      </c>
      <c r="S406" s="1" t="s">
        <v>534</v>
      </c>
      <c r="T406" t="s">
        <v>535</v>
      </c>
      <c r="U406" t="s">
        <v>543</v>
      </c>
      <c r="V406">
        <v>0</v>
      </c>
      <c r="W406">
        <v>0</v>
      </c>
      <c r="X406">
        <v>0</v>
      </c>
      <c r="Y406">
        <v>0</v>
      </c>
      <c r="Z406">
        <v>0</v>
      </c>
      <c r="AA406">
        <v>0</v>
      </c>
      <c r="AB406">
        <v>0</v>
      </c>
      <c r="AC406">
        <v>0</v>
      </c>
      <c r="AD406">
        <v>0</v>
      </c>
      <c r="AE406">
        <v>0</v>
      </c>
      <c r="AF406">
        <v>0</v>
      </c>
      <c r="AG406">
        <v>0</v>
      </c>
      <c r="AH406">
        <v>0</v>
      </c>
      <c r="AI406">
        <v>0</v>
      </c>
      <c r="AJ406">
        <v>0</v>
      </c>
      <c r="AK406">
        <v>1</v>
      </c>
      <c r="AL406">
        <v>0</v>
      </c>
      <c r="AM406">
        <v>0</v>
      </c>
      <c r="AN406">
        <v>0</v>
      </c>
      <c r="AO406">
        <v>0</v>
      </c>
      <c r="AP406">
        <v>0</v>
      </c>
      <c r="AQ406">
        <v>0</v>
      </c>
      <c r="AR406">
        <v>0</v>
      </c>
      <c r="AS406">
        <v>0</v>
      </c>
      <c r="AT406">
        <v>0</v>
      </c>
      <c r="AU406">
        <v>0</v>
      </c>
      <c r="AV406">
        <v>0</v>
      </c>
      <c r="AW406">
        <v>0</v>
      </c>
      <c r="AX406" s="141">
        <f t="shared" si="399"/>
        <v>1</v>
      </c>
      <c r="AY406" s="141">
        <f t="shared" si="400"/>
        <v>1</v>
      </c>
      <c r="AZ406">
        <f t="shared" si="401"/>
        <v>0</v>
      </c>
      <c r="BA406">
        <f t="shared" si="402"/>
        <v>0</v>
      </c>
      <c r="BB406">
        <f t="shared" si="403"/>
        <v>1</v>
      </c>
      <c r="BC406">
        <f t="shared" si="404"/>
        <v>0</v>
      </c>
      <c r="BD406">
        <f t="shared" si="405"/>
        <v>0</v>
      </c>
      <c r="BE406" t="str">
        <f t="array" ref="BE406">IF(AY406=1,INDEX($V$7:$AL$7,MATCH(TRUE,INDEX($V406:$AW406&lt;&gt;0,),0)),IF(AY406=0,INDEX($AM$7:$AW$7,MATCH(1,$AM406:$AW406,0)),IF(BF406="Multiple strategies","mixed drivers",IF(BF406="Supply chain","multiple supply","multiple silviculture"))))</f>
        <v>technologies/design switch</v>
      </c>
      <c r="BF406" s="2" t="str" cm="1">
        <f t="array" ref="BF406">IF(COUNTIF(AZ406:BB406,"&lt;&gt;0")=1,INDEX($V$4:$AW$4,MATCH(TRUE,INDEX($V406:$AW406&lt;&gt;0,),0)),IF(COUNTIF(AZ406:BB406,"&lt;&gt;0")=0,INDEX($AM$4:$AW$4,MATCH(1,$AM406:$AW406,0)),"Multiple strategies"))</f>
        <v>Technology</v>
      </c>
      <c r="BG406" s="1" t="s">
        <v>229</v>
      </c>
      <c r="BH406" t="s">
        <v>537</v>
      </c>
      <c r="BI406" s="260" t="s">
        <v>3285</v>
      </c>
      <c r="BJ406" t="s">
        <v>538</v>
      </c>
      <c r="BK406">
        <v>0</v>
      </c>
      <c r="BL406">
        <v>17619.047620000001</v>
      </c>
      <c r="BM406"/>
      <c r="BN406">
        <f t="shared" si="406"/>
        <v>17619.047620000001</v>
      </c>
      <c r="BO406">
        <f t="shared" si="434"/>
        <v>35957.24004081633</v>
      </c>
      <c r="BP406" t="s">
        <v>232</v>
      </c>
      <c r="BQ406" s="260" t="s">
        <v>3286</v>
      </c>
      <c r="BR406" t="s">
        <v>539</v>
      </c>
      <c r="BS406">
        <v>-178600</v>
      </c>
      <c r="BT406">
        <v>-162200</v>
      </c>
      <c r="BU406" s="144">
        <v>0.90817469204927215</v>
      </c>
      <c r="BV406">
        <v>16400</v>
      </c>
      <c r="BW406"/>
      <c r="BX406">
        <f t="shared" si="435"/>
        <v>16400</v>
      </c>
      <c r="BY406">
        <f t="shared" si="386"/>
        <v>0.45609729727264336</v>
      </c>
      <c r="BZ406" s="143">
        <v>0</v>
      </c>
      <c r="CA406" s="143">
        <v>0</v>
      </c>
      <c r="CB406" s="143">
        <v>0</v>
      </c>
      <c r="CC406" s="143">
        <v>0</v>
      </c>
      <c r="CD406" s="143">
        <v>0</v>
      </c>
      <c r="CE406" s="143">
        <v>0</v>
      </c>
      <c r="CF406" s="143">
        <v>0</v>
      </c>
      <c r="CG406" s="143">
        <v>0</v>
      </c>
      <c r="CH406" s="143">
        <v>0</v>
      </c>
      <c r="CI406" s="143">
        <v>0</v>
      </c>
      <c r="CJ406" s="143">
        <v>0</v>
      </c>
      <c r="CK406" s="143">
        <v>0</v>
      </c>
      <c r="CL406" s="143">
        <v>0</v>
      </c>
      <c r="CM406">
        <v>1</v>
      </c>
      <c r="CN406" t="str">
        <f t="shared" si="409"/>
        <v>refOK</v>
      </c>
      <c r="CO406">
        <f t="shared" si="436"/>
        <v>0</v>
      </c>
      <c r="CP406">
        <f t="shared" si="437"/>
        <v>17619.047620000001</v>
      </c>
      <c r="CQ406">
        <f t="shared" si="410"/>
        <v>35957.24004081633</v>
      </c>
      <c r="CR406">
        <f t="shared" si="411"/>
        <v>-178600</v>
      </c>
      <c r="CS406">
        <f t="shared" si="412"/>
        <v>-162200</v>
      </c>
      <c r="CT406">
        <f t="shared" si="438"/>
        <v>16400</v>
      </c>
      <c r="CU406">
        <f t="shared" si="414"/>
        <v>0.45609729727264336</v>
      </c>
      <c r="CV406" s="2">
        <f t="shared" si="439"/>
        <v>9.182530795072788E-2</v>
      </c>
      <c r="CW406" s="1" t="s">
        <v>347</v>
      </c>
      <c r="CX406" t="str">
        <f t="shared" si="416"/>
        <v>loc</v>
      </c>
      <c r="CY406" t="s">
        <v>540</v>
      </c>
      <c r="CZ406"/>
      <c r="DA406"/>
      <c r="DB406">
        <v>0</v>
      </c>
      <c r="DC406" t="str">
        <f t="shared" si="418"/>
        <v>0</v>
      </c>
      <c r="DD406">
        <v>0</v>
      </c>
      <c r="DE406">
        <v>1</v>
      </c>
      <c r="DF406">
        <v>0</v>
      </c>
      <c r="DG406">
        <v>0</v>
      </c>
      <c r="DH406"/>
      <c r="DI406">
        <f t="shared" si="419"/>
        <v>1</v>
      </c>
      <c r="DJ406" t="str">
        <f t="shared" si="420"/>
        <v>EnergyInput</v>
      </c>
      <c r="DK406">
        <f t="shared" si="421"/>
        <v>0</v>
      </c>
      <c r="DL406" t="str">
        <f t="shared" si="422"/>
        <v>Energy</v>
      </c>
      <c r="DM406">
        <f t="shared" si="423"/>
        <v>0</v>
      </c>
      <c r="DN406">
        <f t="shared" si="424"/>
        <v>0</v>
      </c>
      <c r="DO406">
        <v>0</v>
      </c>
      <c r="DP406" s="143">
        <v>0</v>
      </c>
      <c r="DQ406" s="143">
        <v>0</v>
      </c>
      <c r="DR406" s="143">
        <v>0</v>
      </c>
      <c r="DS406">
        <v>0</v>
      </c>
      <c r="DT406">
        <f t="shared" si="425"/>
        <v>0</v>
      </c>
      <c r="DU406" s="143" t="str">
        <f t="shared" si="426"/>
        <v>explicit C balance</v>
      </c>
      <c r="DV406">
        <v>0</v>
      </c>
      <c r="DW406" s="143">
        <v>1</v>
      </c>
      <c r="DX406" s="143">
        <v>0</v>
      </c>
      <c r="DY406" s="143">
        <v>0</v>
      </c>
      <c r="DZ406">
        <v>1</v>
      </c>
      <c r="EA406" s="143">
        <v>0</v>
      </c>
      <c r="EB406"/>
      <c r="EC406" s="143">
        <v>1</v>
      </c>
      <c r="ED406" s="143">
        <v>0</v>
      </c>
      <c r="EE406" s="143">
        <v>0</v>
      </c>
      <c r="EF406" s="143">
        <v>0</v>
      </c>
      <c r="EG406" s="143">
        <v>0</v>
      </c>
      <c r="EH406" s="143">
        <v>0</v>
      </c>
      <c r="EI406" s="2">
        <v>0</v>
      </c>
      <c r="EJ406" s="1"/>
      <c r="EK406" t="str">
        <f t="shared" si="427"/>
        <v/>
      </c>
      <c r="EL406" t="str">
        <f t="shared" si="428"/>
        <v/>
      </c>
      <c r="EM406" s="2" t="str">
        <f t="shared" si="387"/>
        <v/>
      </c>
      <c r="EN406"/>
      <c r="EO406"/>
      <c r="EP406" t="str">
        <f>IF(ISNUMBER(BU406),IF(ABS(BU406-[5]QC_indicators!$B$2)&gt;3*[5]QC_indicators!$C$2,"C ratio",IF(ISNUMBER(BY406),IF(ABS(BY406-[5]QC_indicators!$B$1)&gt;3*[5]QC_indicators!$C$1,"DF","no"))),IF(ISNUMBER(BY406),IF(ABS(BY406-[5]QC_indicators!$B$1)&gt;3*[5]QC_indicators!$C$1,"DF","no")))</f>
        <v>no</v>
      </c>
      <c r="EQ406"/>
      <c r="ER406" s="149" t="s">
        <v>349</v>
      </c>
      <c r="ES406"/>
      <c r="ET406" s="264" t="s">
        <v>3272</v>
      </c>
      <c r="EU406"/>
    </row>
    <row r="407" spans="1:151" s="139" customFormat="1" ht="15" hidden="1" customHeight="1">
      <c r="A407" s="1" t="s">
        <v>3500</v>
      </c>
      <c r="B407" t="s">
        <v>3501</v>
      </c>
      <c r="C407" t="s">
        <v>3502</v>
      </c>
      <c r="D407" t="s">
        <v>3503</v>
      </c>
      <c r="E407" t="s">
        <v>3504</v>
      </c>
      <c r="F407" t="s">
        <v>3505</v>
      </c>
      <c r="G407" t="s">
        <v>3506</v>
      </c>
      <c r="H407" t="s">
        <v>254</v>
      </c>
      <c r="I407">
        <v>2016</v>
      </c>
      <c r="J407">
        <v>60</v>
      </c>
      <c r="K407" t="s">
        <v>3507</v>
      </c>
      <c r="L407"/>
      <c r="M407" t="str">
        <f t="shared" si="429"/>
        <v>Cambero_2016</v>
      </c>
      <c r="N407" s="311" t="s">
        <v>4382</v>
      </c>
      <c r="O407" s="145" t="s">
        <v>223</v>
      </c>
      <c r="P407"/>
      <c r="Q407" s="311" t="s">
        <v>256</v>
      </c>
      <c r="R407" s="312"/>
      <c r="S407" s="1" t="s">
        <v>3508</v>
      </c>
      <c r="T407" s="311" t="s">
        <v>3509</v>
      </c>
      <c r="U407" s="311" t="s">
        <v>3510</v>
      </c>
      <c r="V407">
        <v>0</v>
      </c>
      <c r="W407">
        <v>0</v>
      </c>
      <c r="X407">
        <v>0</v>
      </c>
      <c r="Y407">
        <v>0</v>
      </c>
      <c r="Z407">
        <v>0</v>
      </c>
      <c r="AA407">
        <v>0</v>
      </c>
      <c r="AB407">
        <v>0</v>
      </c>
      <c r="AC407">
        <v>0</v>
      </c>
      <c r="AD407">
        <v>0</v>
      </c>
      <c r="AE407">
        <v>0</v>
      </c>
      <c r="AF407">
        <v>0</v>
      </c>
      <c r="AG407">
        <v>0</v>
      </c>
      <c r="AH407">
        <v>0</v>
      </c>
      <c r="AI407">
        <v>0</v>
      </c>
      <c r="AJ407">
        <v>1</v>
      </c>
      <c r="AK407">
        <v>0</v>
      </c>
      <c r="AL407">
        <v>0</v>
      </c>
      <c r="AM407">
        <v>0</v>
      </c>
      <c r="AN407">
        <v>0</v>
      </c>
      <c r="AO407">
        <v>0</v>
      </c>
      <c r="AP407">
        <v>0</v>
      </c>
      <c r="AQ407">
        <v>0</v>
      </c>
      <c r="AR407">
        <v>0</v>
      </c>
      <c r="AS407">
        <v>0</v>
      </c>
      <c r="AT407">
        <v>0</v>
      </c>
      <c r="AU407">
        <v>0</v>
      </c>
      <c r="AV407">
        <v>0</v>
      </c>
      <c r="AW407">
        <v>0</v>
      </c>
      <c r="AX407" s="141">
        <f t="shared" si="399"/>
        <v>1</v>
      </c>
      <c r="AY407" s="141">
        <f t="shared" si="400"/>
        <v>1</v>
      </c>
      <c r="AZ407">
        <f t="shared" si="401"/>
        <v>0</v>
      </c>
      <c r="BA407">
        <f t="shared" si="402"/>
        <v>0</v>
      </c>
      <c r="BB407">
        <f t="shared" si="403"/>
        <v>1</v>
      </c>
      <c r="BC407">
        <f t="shared" si="404"/>
        <v>0</v>
      </c>
      <c r="BD407">
        <f t="shared" si="405"/>
        <v>0</v>
      </c>
      <c r="BE407" t="str" cm="1">
        <f t="array" ref="BE407">IF(AY407=1,INDEX($V$7:$AL$7,MATCH(TRUE,INDEX($V407:$AW407&lt;&gt;0,),0)),IF(AY407=0,INDEX($AM$7:$AW$7,MATCH(1,$AM407:$AW407,0)),IF(BF407="Multiple strategies","mixed drivers",IF(BF407="Supply chain","multiple supply","multiple silviculture"))))</f>
        <v>efficiency improvement</v>
      </c>
      <c r="BF407" s="2" t="str" cm="1">
        <f t="array" ref="BF407">IF(COUNTIF(AZ407:BB407,"&lt;&gt;0")=1,INDEX($V$4:$AW$4,MATCH(TRUE,INDEX($V407:$AW407&lt;&gt;0,),0)),IF(COUNTIF(AZ407:BB407,"&lt;&gt;0")=0,INDEX($AM$4:$AW$4,MATCH(1,$AM407:$AW407,0)),"Multiple strategies"))</f>
        <v>Technology</v>
      </c>
      <c r="BG407" s="1"/>
      <c r="BH407"/>
      <c r="BI407"/>
      <c r="BJ407"/>
      <c r="BK407"/>
      <c r="BL407"/>
      <c r="BM407"/>
      <c r="BN407"/>
      <c r="BO407"/>
      <c r="BP407" s="311" t="s">
        <v>232</v>
      </c>
      <c r="BQ407" s="311"/>
      <c r="BR407" t="s">
        <v>539</v>
      </c>
      <c r="BS407">
        <v>-133870</v>
      </c>
      <c r="BT407">
        <v>-338710</v>
      </c>
      <c r="BU407" s="144">
        <v>2.5301411817434825</v>
      </c>
      <c r="BV407">
        <v>-204840</v>
      </c>
      <c r="BW407"/>
      <c r="BX407">
        <f t="shared" si="435"/>
        <v>-204840</v>
      </c>
      <c r="BY407" t="str">
        <f t="shared" si="386"/>
        <v/>
      </c>
      <c r="BZ407" s="143">
        <v>0</v>
      </c>
      <c r="CA407" s="143">
        <v>0</v>
      </c>
      <c r="CB407" s="143">
        <v>0</v>
      </c>
      <c r="CC407" s="143">
        <v>0</v>
      </c>
      <c r="CD407" s="143">
        <v>0</v>
      </c>
      <c r="CE407" s="143">
        <v>0</v>
      </c>
      <c r="CF407" s="143">
        <v>0</v>
      </c>
      <c r="CG407" s="143">
        <v>0</v>
      </c>
      <c r="CH407" s="143">
        <v>0</v>
      </c>
      <c r="CI407" s="143">
        <v>0</v>
      </c>
      <c r="CJ407" s="143">
        <v>0</v>
      </c>
      <c r="CK407" s="143">
        <v>0</v>
      </c>
      <c r="CL407" s="143">
        <v>0</v>
      </c>
      <c r="CM407">
        <v>1</v>
      </c>
      <c r="CN407" t="str">
        <f>IF(BL407&lt;BK407,"refNeedCorrection","refOK")</f>
        <v>refOK</v>
      </c>
      <c r="CO407"/>
      <c r="CP407"/>
      <c r="CQ407"/>
      <c r="CR407">
        <f t="shared" si="411"/>
        <v>-133870</v>
      </c>
      <c r="CS407">
        <f t="shared" si="412"/>
        <v>-338710</v>
      </c>
      <c r="CT407">
        <f t="shared" si="438"/>
        <v>-204840</v>
      </c>
      <c r="CU407" t="str">
        <f t="shared" si="414"/>
        <v/>
      </c>
      <c r="CV407" s="2">
        <f t="shared" si="439"/>
        <v>-1.5301411817434825</v>
      </c>
      <c r="CW407" s="1" t="s">
        <v>347</v>
      </c>
      <c r="CX407" s="311" t="str">
        <f t="shared" si="416"/>
        <v>loc</v>
      </c>
      <c r="CY407" t="s">
        <v>540</v>
      </c>
      <c r="CZ407"/>
      <c r="DA407"/>
      <c r="DB407">
        <v>0</v>
      </c>
      <c r="DC407" t="str">
        <f t="shared" si="418"/>
        <v>0</v>
      </c>
      <c r="DD407">
        <v>0</v>
      </c>
      <c r="DE407">
        <v>1</v>
      </c>
      <c r="DF407">
        <v>0</v>
      </c>
      <c r="DG407">
        <v>0</v>
      </c>
      <c r="DH407"/>
      <c r="DI407">
        <f t="shared" si="419"/>
        <v>1</v>
      </c>
      <c r="DJ407" t="str">
        <f t="shared" si="420"/>
        <v>EnergyInput</v>
      </c>
      <c r="DK407">
        <f t="shared" si="421"/>
        <v>0</v>
      </c>
      <c r="DL407" t="str">
        <f t="shared" si="422"/>
        <v>Energy</v>
      </c>
      <c r="DM407">
        <f t="shared" si="423"/>
        <v>0</v>
      </c>
      <c r="DN407">
        <f t="shared" si="424"/>
        <v>0</v>
      </c>
      <c r="DO407">
        <v>0</v>
      </c>
      <c r="DP407" s="143">
        <v>0</v>
      </c>
      <c r="DQ407" s="143">
        <v>0</v>
      </c>
      <c r="DR407" s="143">
        <v>0</v>
      </c>
      <c r="DS407">
        <v>0</v>
      </c>
      <c r="DT407">
        <f t="shared" si="425"/>
        <v>0</v>
      </c>
      <c r="DU407" s="143" t="str">
        <f t="shared" si="426"/>
        <v>explicit C balance</v>
      </c>
      <c r="DV407">
        <v>0</v>
      </c>
      <c r="DW407" s="143">
        <v>1</v>
      </c>
      <c r="DX407" s="143">
        <v>0</v>
      </c>
      <c r="DY407" s="143">
        <v>0</v>
      </c>
      <c r="DZ407">
        <v>1</v>
      </c>
      <c r="EA407" s="143">
        <v>0</v>
      </c>
      <c r="EB407">
        <v>1</v>
      </c>
      <c r="EC407" s="143">
        <v>1</v>
      </c>
      <c r="ED407" s="143">
        <v>0</v>
      </c>
      <c r="EE407">
        <v>0</v>
      </c>
      <c r="EF407">
        <v>0</v>
      </c>
      <c r="EG407" s="143">
        <v>0</v>
      </c>
      <c r="EH407" s="143">
        <v>0</v>
      </c>
      <c r="EI407" s="2">
        <v>0</v>
      </c>
      <c r="EJ407" s="1"/>
      <c r="EK407" t="str">
        <f t="shared" ref="EK407:EK429" si="440">IF(AND(AND(AND(OR($DX407=1,$DW407=1),OR($EC407=1,$EA407=1)),SUM($DV407:$DZ407,$EF407)&gt;=3),SUM($EA407:$EE407)&gt;=2),"Whole sector","")</f>
        <v/>
      </c>
      <c r="EL407" t="str">
        <f t="shared" ref="EL407:EL429" si="441">IF(AND(AND(OR($DX407=1,$DW407=1),AND($EC407=0,$EA407=0)),SUM($DV407:$DZ407,$EF407)&gt;=3),"Ecosystem approach","")</f>
        <v/>
      </c>
      <c r="EM407" s="2" t="str">
        <f t="shared" si="387"/>
        <v/>
      </c>
      <c r="EN407"/>
      <c r="EO407"/>
      <c r="EP407" t="b">
        <f>IF(ISNUMBER(BU407),IF(ABS(BU407-[1]QC_indicators!$B$2)&gt;3*[1]QC_indicators!$C$2,"C ratio",IF(ISNUMBER(BY407),IF(ABS(BY407-[1]QC_indicators!$B$1)&gt;3*[1]QC_indicators!$C$1,"DF","no"))),IF(ISNUMBER(BY407),IF(ABS(BY407-[1]QC_indicators!$B$1)&gt;3*[1]QC_indicators!$C$1,"DF","no")))</f>
        <v>0</v>
      </c>
      <c r="EQ407"/>
      <c r="ER407" s="313" t="s">
        <v>349</v>
      </c>
      <c r="ES407"/>
      <c r="ET407"/>
      <c r="EU407"/>
    </row>
    <row r="408" spans="1:151" s="139" customFormat="1" ht="15" hidden="1" customHeight="1">
      <c r="A408" s="1" t="s">
        <v>3500</v>
      </c>
      <c r="B408" t="s">
        <v>3501</v>
      </c>
      <c r="C408" t="s">
        <v>3502</v>
      </c>
      <c r="D408" t="s">
        <v>3503</v>
      </c>
      <c r="E408" t="s">
        <v>3504</v>
      </c>
      <c r="F408" t="s">
        <v>3505</v>
      </c>
      <c r="G408" t="s">
        <v>3506</v>
      </c>
      <c r="H408" t="s">
        <v>254</v>
      </c>
      <c r="I408">
        <v>2016</v>
      </c>
      <c r="J408">
        <v>60</v>
      </c>
      <c r="K408" t="s">
        <v>3507</v>
      </c>
      <c r="L408"/>
      <c r="M408" t="str">
        <f t="shared" si="429"/>
        <v>Cambero_2016</v>
      </c>
      <c r="N408" s="311" t="s">
        <v>4382</v>
      </c>
      <c r="O408" s="145" t="s">
        <v>223</v>
      </c>
      <c r="P408"/>
      <c r="Q408" s="311" t="s">
        <v>256</v>
      </c>
      <c r="R408" s="312"/>
      <c r="S408" s="1" t="s">
        <v>3508</v>
      </c>
      <c r="T408" s="311" t="s">
        <v>3509</v>
      </c>
      <c r="U408" s="311" t="s">
        <v>3511</v>
      </c>
      <c r="V408">
        <v>0</v>
      </c>
      <c r="W408">
        <v>0</v>
      </c>
      <c r="X408">
        <v>0</v>
      </c>
      <c r="Y408">
        <v>0</v>
      </c>
      <c r="Z408">
        <v>0</v>
      </c>
      <c r="AA408">
        <v>0</v>
      </c>
      <c r="AB408">
        <v>0</v>
      </c>
      <c r="AC408">
        <v>0</v>
      </c>
      <c r="AD408">
        <v>0</v>
      </c>
      <c r="AE408">
        <v>0</v>
      </c>
      <c r="AF408">
        <v>0</v>
      </c>
      <c r="AG408">
        <v>0</v>
      </c>
      <c r="AH408">
        <v>0</v>
      </c>
      <c r="AI408">
        <v>0</v>
      </c>
      <c r="AJ408">
        <v>1</v>
      </c>
      <c r="AK408">
        <v>0</v>
      </c>
      <c r="AL408">
        <v>0</v>
      </c>
      <c r="AM408">
        <v>0</v>
      </c>
      <c r="AN408">
        <v>0</v>
      </c>
      <c r="AO408">
        <v>0</v>
      </c>
      <c r="AP408">
        <v>0</v>
      </c>
      <c r="AQ408">
        <v>0</v>
      </c>
      <c r="AR408">
        <v>0</v>
      </c>
      <c r="AS408">
        <v>0</v>
      </c>
      <c r="AT408">
        <v>0</v>
      </c>
      <c r="AU408">
        <v>0</v>
      </c>
      <c r="AV408">
        <v>0</v>
      </c>
      <c r="AW408">
        <v>0</v>
      </c>
      <c r="AX408" s="141">
        <f t="shared" si="399"/>
        <v>1</v>
      </c>
      <c r="AY408" s="141">
        <f t="shared" si="400"/>
        <v>1</v>
      </c>
      <c r="AZ408">
        <f t="shared" si="401"/>
        <v>0</v>
      </c>
      <c r="BA408">
        <f t="shared" si="402"/>
        <v>0</v>
      </c>
      <c r="BB408">
        <f t="shared" si="403"/>
        <v>1</v>
      </c>
      <c r="BC408">
        <f t="shared" si="404"/>
        <v>0</v>
      </c>
      <c r="BD408">
        <f t="shared" si="405"/>
        <v>0</v>
      </c>
      <c r="BE408" t="str" cm="1">
        <f t="array" ref="BE408">IF(AY408=1,INDEX($V$7:$AL$7,MATCH(TRUE,INDEX($V408:$AW408&lt;&gt;0,),0)),IF(AY408=0,INDEX($AM$7:$AW$7,MATCH(1,$AM408:$AW408,0)),IF(BF408="Multiple strategies","mixed drivers",IF(BF408="Supply chain","multiple supply","multiple silviculture"))))</f>
        <v>efficiency improvement</v>
      </c>
      <c r="BF408" s="2" t="str" cm="1">
        <f t="array" ref="BF408">IF(COUNTIF(AZ408:BB408,"&lt;&gt;0")=1,INDEX($V$4:$AW$4,MATCH(TRUE,INDEX($V408:$AW408&lt;&gt;0,),0)),IF(COUNTIF(AZ408:BB408,"&lt;&gt;0")=0,INDEX($AM$4:$AW$4,MATCH(1,$AM408:$AW408,0)),"Multiple strategies"))</f>
        <v>Technology</v>
      </c>
      <c r="BG408" s="1"/>
      <c r="BH408"/>
      <c r="BI408"/>
      <c r="BJ408"/>
      <c r="BK408"/>
      <c r="BL408"/>
      <c r="BM408"/>
      <c r="BN408"/>
      <c r="BO408"/>
      <c r="BP408" s="311" t="s">
        <v>232</v>
      </c>
      <c r="BQ408" s="311"/>
      <c r="BR408" t="s">
        <v>539</v>
      </c>
      <c r="BS408">
        <v>-133870</v>
      </c>
      <c r="BT408">
        <v>-341940</v>
      </c>
      <c r="BU408" s="144">
        <v>2.5542690670053037</v>
      </c>
      <c r="BV408">
        <v>-208070</v>
      </c>
      <c r="BW408"/>
      <c r="BX408">
        <f t="shared" si="435"/>
        <v>-208070</v>
      </c>
      <c r="BY408" t="str">
        <f t="shared" si="386"/>
        <v/>
      </c>
      <c r="BZ408" s="143">
        <v>0</v>
      </c>
      <c r="CA408" s="143">
        <v>0</v>
      </c>
      <c r="CB408" s="143">
        <v>0</v>
      </c>
      <c r="CC408" s="143">
        <v>0</v>
      </c>
      <c r="CD408" s="143">
        <v>0</v>
      </c>
      <c r="CE408" s="143">
        <v>0</v>
      </c>
      <c r="CF408" s="143">
        <v>0</v>
      </c>
      <c r="CG408" s="143">
        <v>0</v>
      </c>
      <c r="CH408" s="143">
        <v>0</v>
      </c>
      <c r="CI408" s="143">
        <v>0</v>
      </c>
      <c r="CJ408" s="143">
        <v>0</v>
      </c>
      <c r="CK408" s="143">
        <v>0</v>
      </c>
      <c r="CL408" s="143">
        <v>0</v>
      </c>
      <c r="CM408">
        <v>1</v>
      </c>
      <c r="CN408" t="str">
        <f>IF(BL408&lt;BK408,"refNeedCorrection","refOK")</f>
        <v>refOK</v>
      </c>
      <c r="CO408"/>
      <c r="CP408"/>
      <c r="CQ408"/>
      <c r="CR408">
        <f t="shared" si="411"/>
        <v>-133870</v>
      </c>
      <c r="CS408">
        <f t="shared" si="412"/>
        <v>-341940</v>
      </c>
      <c r="CT408">
        <f t="shared" si="438"/>
        <v>-208070</v>
      </c>
      <c r="CU408" t="str">
        <f t="shared" si="414"/>
        <v/>
      </c>
      <c r="CV408" s="2">
        <f t="shared" si="439"/>
        <v>-1.5542690670053037</v>
      </c>
      <c r="CW408" s="1" t="s">
        <v>347</v>
      </c>
      <c r="CX408" s="311" t="str">
        <f t="shared" si="416"/>
        <v>loc</v>
      </c>
      <c r="CY408" t="s">
        <v>540</v>
      </c>
      <c r="CZ408"/>
      <c r="DA408"/>
      <c r="DB408">
        <v>0</v>
      </c>
      <c r="DC408" t="str">
        <f t="shared" si="418"/>
        <v>0</v>
      </c>
      <c r="DD408">
        <v>0</v>
      </c>
      <c r="DE408">
        <v>1</v>
      </c>
      <c r="DF408">
        <v>0</v>
      </c>
      <c r="DG408">
        <v>0</v>
      </c>
      <c r="DH408"/>
      <c r="DI408">
        <f t="shared" si="419"/>
        <v>1</v>
      </c>
      <c r="DJ408" t="str">
        <f t="shared" si="420"/>
        <v>EnergyInput</v>
      </c>
      <c r="DK408">
        <f t="shared" si="421"/>
        <v>0</v>
      </c>
      <c r="DL408" t="str">
        <f t="shared" si="422"/>
        <v>Energy</v>
      </c>
      <c r="DM408">
        <f t="shared" si="423"/>
        <v>0</v>
      </c>
      <c r="DN408">
        <f t="shared" si="424"/>
        <v>0</v>
      </c>
      <c r="DO408">
        <v>0</v>
      </c>
      <c r="DP408" s="143">
        <v>0</v>
      </c>
      <c r="DQ408" s="143">
        <v>0</v>
      </c>
      <c r="DR408" s="143">
        <v>0</v>
      </c>
      <c r="DS408">
        <v>0</v>
      </c>
      <c r="DT408">
        <f t="shared" si="425"/>
        <v>0</v>
      </c>
      <c r="DU408" s="143" t="str">
        <f t="shared" si="426"/>
        <v>explicit C balance</v>
      </c>
      <c r="DV408">
        <v>0</v>
      </c>
      <c r="DW408" s="143">
        <v>1</v>
      </c>
      <c r="DX408" s="143">
        <v>0</v>
      </c>
      <c r="DY408" s="143">
        <v>0</v>
      </c>
      <c r="DZ408">
        <v>1</v>
      </c>
      <c r="EA408" s="143">
        <v>0</v>
      </c>
      <c r="EB408">
        <v>1</v>
      </c>
      <c r="EC408" s="143">
        <v>1</v>
      </c>
      <c r="ED408" s="143">
        <v>0</v>
      </c>
      <c r="EE408">
        <v>0</v>
      </c>
      <c r="EF408">
        <v>0</v>
      </c>
      <c r="EG408" s="143">
        <v>0</v>
      </c>
      <c r="EH408" s="143">
        <v>0</v>
      </c>
      <c r="EI408" s="2">
        <v>0</v>
      </c>
      <c r="EJ408" s="1"/>
      <c r="EK408" t="str">
        <f t="shared" si="440"/>
        <v/>
      </c>
      <c r="EL408" t="str">
        <f t="shared" si="441"/>
        <v/>
      </c>
      <c r="EM408" s="2" t="str">
        <f t="shared" si="387"/>
        <v/>
      </c>
      <c r="EN408"/>
      <c r="EO408"/>
      <c r="EP408" t="b">
        <f>IF(ISNUMBER(BU408),IF(ABS(BU408-[1]QC_indicators!$B$2)&gt;3*[1]QC_indicators!$C$2,"C ratio",IF(ISNUMBER(BY408),IF(ABS(BY408-[1]QC_indicators!$B$1)&gt;3*[1]QC_indicators!$C$1,"DF","no"))),IF(ISNUMBER(BY408),IF(ABS(BY408-[1]QC_indicators!$B$1)&gt;3*[1]QC_indicators!$C$1,"DF","no")))</f>
        <v>0</v>
      </c>
      <c r="EQ408"/>
      <c r="ER408" s="313" t="s">
        <v>349</v>
      </c>
      <c r="ES408"/>
      <c r="ET408"/>
      <c r="EU408"/>
    </row>
    <row r="409" spans="1:151" s="139" customFormat="1" ht="15" hidden="1" customHeight="1">
      <c r="A409" s="1" t="s">
        <v>4768</v>
      </c>
      <c r="B409" t="s">
        <v>4769</v>
      </c>
      <c r="C409" t="s">
        <v>544</v>
      </c>
      <c r="D409" t="s">
        <v>4770</v>
      </c>
      <c r="E409" t="s">
        <v>4771</v>
      </c>
      <c r="F409" t="s">
        <v>4772</v>
      </c>
      <c r="G409" t="s">
        <v>4773</v>
      </c>
      <c r="H409" t="s">
        <v>254</v>
      </c>
      <c r="I409">
        <v>2020</v>
      </c>
      <c r="J409">
        <v>0</v>
      </c>
      <c r="K409" t="s">
        <v>4774</v>
      </c>
      <c r="L409"/>
      <c r="M409" t="str">
        <f t="shared" si="429"/>
        <v>Campbell_2020</v>
      </c>
      <c r="N409" t="s">
        <v>1351</v>
      </c>
      <c r="O409" s="145" t="s">
        <v>223</v>
      </c>
      <c r="P409"/>
      <c r="Q409" s="311" t="s">
        <v>256</v>
      </c>
      <c r="R409" s="312"/>
      <c r="S409" s="1"/>
      <c r="T409"/>
      <c r="U409"/>
      <c r="V409"/>
      <c r="W409"/>
      <c r="X409"/>
      <c r="Y409"/>
      <c r="Z409"/>
      <c r="AA409"/>
      <c r="AB409"/>
      <c r="AC409"/>
      <c r="AD409"/>
      <c r="AE409"/>
      <c r="AF409"/>
      <c r="AG409"/>
      <c r="AH409"/>
      <c r="AI409"/>
      <c r="AJ409"/>
      <c r="AK409"/>
      <c r="AL409"/>
      <c r="AM409"/>
      <c r="AN409"/>
      <c r="AO409"/>
      <c r="AP409"/>
      <c r="AQ409"/>
      <c r="AR409"/>
      <c r="AS409"/>
      <c r="AT409"/>
      <c r="AU409"/>
      <c r="AV409"/>
      <c r="AW409"/>
      <c r="AX409" s="141"/>
      <c r="AY409" s="141"/>
      <c r="AZ409"/>
      <c r="BA409"/>
      <c r="BB409"/>
      <c r="BC409"/>
      <c r="BD409"/>
      <c r="BE409"/>
      <c r="BF409" s="2"/>
      <c r="BG409" s="1"/>
      <c r="BH409"/>
      <c r="BI409"/>
      <c r="BJ409"/>
      <c r="BK409"/>
      <c r="BL409"/>
      <c r="BM409"/>
      <c r="BN409"/>
      <c r="BO409"/>
      <c r="BP409" s="143"/>
      <c r="BQ409" s="143"/>
      <c r="BR409"/>
      <c r="BS409"/>
      <c r="BT409"/>
      <c r="BU409" s="144"/>
      <c r="BV409"/>
      <c r="BW409"/>
      <c r="BX409"/>
      <c r="BY409" t="str">
        <f t="shared" si="386"/>
        <v/>
      </c>
      <c r="BZ409"/>
      <c r="CA409"/>
      <c r="CB409"/>
      <c r="CC409"/>
      <c r="CD409"/>
      <c r="CE409"/>
      <c r="CF409"/>
      <c r="CG409"/>
      <c r="CH409"/>
      <c r="CI409"/>
      <c r="CJ409"/>
      <c r="CK409"/>
      <c r="CL409"/>
      <c r="CM409"/>
      <c r="CN409"/>
      <c r="CO409"/>
      <c r="CP409"/>
      <c r="CQ409"/>
      <c r="CR409"/>
      <c r="CS409"/>
      <c r="CT409"/>
      <c r="CU409"/>
      <c r="CV409" s="2"/>
      <c r="CW409" s="1"/>
      <c r="CX409"/>
      <c r="CY409"/>
      <c r="CZ409"/>
      <c r="DA409"/>
      <c r="DB409"/>
      <c r="DC409"/>
      <c r="DD409"/>
      <c r="DE409"/>
      <c r="DF409"/>
      <c r="DG409"/>
      <c r="DH409"/>
      <c r="DI409"/>
      <c r="DJ409"/>
      <c r="DK409"/>
      <c r="DL409"/>
      <c r="DM409"/>
      <c r="DN409"/>
      <c r="DO409"/>
      <c r="DP409"/>
      <c r="DQ409"/>
      <c r="DR409"/>
      <c r="DS409"/>
      <c r="DT409"/>
      <c r="DU409" s="143"/>
      <c r="DV409"/>
      <c r="DW409"/>
      <c r="DX409"/>
      <c r="DY409"/>
      <c r="DZ409"/>
      <c r="EA409"/>
      <c r="EB409"/>
      <c r="EC409"/>
      <c r="ED409"/>
      <c r="EE409"/>
      <c r="EF409"/>
      <c r="EG409"/>
      <c r="EH409"/>
      <c r="EI409" s="2"/>
      <c r="EJ409" s="1"/>
      <c r="EK409" t="str">
        <f t="shared" si="440"/>
        <v/>
      </c>
      <c r="EL409" t="str">
        <f t="shared" si="441"/>
        <v/>
      </c>
      <c r="EM409" s="2" t="str">
        <f t="shared" si="387"/>
        <v/>
      </c>
      <c r="EN409"/>
      <c r="EO409" t="s">
        <v>450</v>
      </c>
      <c r="EP409" t="b">
        <f>IF(ISNUMBER(BU409),IF(ABS(BU409-[1]QC_indicators!$B$2)&gt;3*[1]QC_indicators!$C$2,"C ratio",IF(ISNUMBER(BY409),IF(ABS(BY409-[1]QC_indicators!$B$1)&gt;3*[1]QC_indicators!$C$1,"DF","no"))),IF(ISNUMBER(BY409),IF(ABS(BY409-[1]QC_indicators!$B$1)&gt;3*[1]QC_indicators!$C$1,"DF","no")))</f>
        <v>0</v>
      </c>
      <c r="EQ409"/>
      <c r="ER409"/>
      <c r="ES409"/>
      <c r="ET409"/>
      <c r="EU409"/>
    </row>
    <row r="410" spans="1:151" s="139" customFormat="1" ht="15" hidden="1" customHeight="1">
      <c r="A410" s="1" t="s">
        <v>4768</v>
      </c>
      <c r="B410" t="s">
        <v>4769</v>
      </c>
      <c r="C410" t="s">
        <v>544</v>
      </c>
      <c r="D410" t="s">
        <v>4770</v>
      </c>
      <c r="E410" t="s">
        <v>4771</v>
      </c>
      <c r="F410" t="s">
        <v>4772</v>
      </c>
      <c r="G410" t="s">
        <v>4773</v>
      </c>
      <c r="H410" t="s">
        <v>254</v>
      </c>
      <c r="I410">
        <v>2020</v>
      </c>
      <c r="J410">
        <v>0</v>
      </c>
      <c r="K410" t="s">
        <v>4774</v>
      </c>
      <c r="L410"/>
      <c r="M410" t="str">
        <f t="shared" si="429"/>
        <v>Campbell_2020</v>
      </c>
      <c r="N410" t="s">
        <v>1351</v>
      </c>
      <c r="O410" s="145" t="s">
        <v>223</v>
      </c>
      <c r="P410"/>
      <c r="Q410" s="311" t="s">
        <v>256</v>
      </c>
      <c r="R410" s="312"/>
      <c r="S410" s="1"/>
      <c r="T410"/>
      <c r="U410"/>
      <c r="V410"/>
      <c r="W410"/>
      <c r="X410"/>
      <c r="Y410"/>
      <c r="Z410"/>
      <c r="AA410"/>
      <c r="AB410"/>
      <c r="AC410"/>
      <c r="AD410"/>
      <c r="AE410"/>
      <c r="AF410"/>
      <c r="AG410"/>
      <c r="AH410"/>
      <c r="AI410"/>
      <c r="AJ410"/>
      <c r="AK410"/>
      <c r="AL410"/>
      <c r="AM410"/>
      <c r="AN410"/>
      <c r="AO410"/>
      <c r="AP410"/>
      <c r="AQ410"/>
      <c r="AR410"/>
      <c r="AS410"/>
      <c r="AT410"/>
      <c r="AU410"/>
      <c r="AV410"/>
      <c r="AW410"/>
      <c r="AX410" s="141"/>
      <c r="AY410" s="141"/>
      <c r="AZ410"/>
      <c r="BA410"/>
      <c r="BB410"/>
      <c r="BC410"/>
      <c r="BD410"/>
      <c r="BE410"/>
      <c r="BF410" s="2"/>
      <c r="BG410" s="1"/>
      <c r="BH410"/>
      <c r="BI410"/>
      <c r="BJ410"/>
      <c r="BK410"/>
      <c r="BL410"/>
      <c r="BM410"/>
      <c r="BN410"/>
      <c r="BO410"/>
      <c r="BP410" s="143"/>
      <c r="BQ410" s="143"/>
      <c r="BR410"/>
      <c r="BS410"/>
      <c r="BT410"/>
      <c r="BU410"/>
      <c r="BV410"/>
      <c r="BW410"/>
      <c r="BX410"/>
      <c r="BY410" t="str">
        <f t="shared" si="386"/>
        <v/>
      </c>
      <c r="BZ410"/>
      <c r="CA410"/>
      <c r="CB410"/>
      <c r="CC410"/>
      <c r="CD410"/>
      <c r="CE410"/>
      <c r="CF410"/>
      <c r="CG410"/>
      <c r="CH410"/>
      <c r="CI410"/>
      <c r="CJ410"/>
      <c r="CK410"/>
      <c r="CL410"/>
      <c r="CM410"/>
      <c r="CN410"/>
      <c r="CO410"/>
      <c r="CP410"/>
      <c r="CQ410"/>
      <c r="CR410"/>
      <c r="CS410"/>
      <c r="CT410"/>
      <c r="CU410"/>
      <c r="CV410" s="2"/>
      <c r="CW410" s="1"/>
      <c r="CX410"/>
      <c r="CY410"/>
      <c r="CZ410"/>
      <c r="DA410"/>
      <c r="DB410"/>
      <c r="DC410"/>
      <c r="DD410"/>
      <c r="DE410"/>
      <c r="DF410"/>
      <c r="DG410"/>
      <c r="DH410"/>
      <c r="DI410"/>
      <c r="DJ410"/>
      <c r="DK410"/>
      <c r="DL410"/>
      <c r="DM410"/>
      <c r="DN410"/>
      <c r="DO410"/>
      <c r="DP410"/>
      <c r="DQ410"/>
      <c r="DR410"/>
      <c r="DS410"/>
      <c r="DT410"/>
      <c r="DU410" s="143"/>
      <c r="DV410"/>
      <c r="DW410"/>
      <c r="DX410"/>
      <c r="DY410"/>
      <c r="DZ410"/>
      <c r="EA410"/>
      <c r="EB410"/>
      <c r="EC410"/>
      <c r="ED410"/>
      <c r="EE410"/>
      <c r="EF410"/>
      <c r="EG410"/>
      <c r="EH410"/>
      <c r="EI410" s="2"/>
      <c r="EJ410" s="1"/>
      <c r="EK410" t="str">
        <f t="shared" si="440"/>
        <v/>
      </c>
      <c r="EL410" t="str">
        <f t="shared" si="441"/>
        <v/>
      </c>
      <c r="EM410" s="2" t="str">
        <f t="shared" si="387"/>
        <v/>
      </c>
      <c r="EN410"/>
      <c r="EO410"/>
      <c r="EP410" t="b">
        <f>IF(ISNUMBER(BU410),IF(ABS(BU410-[1]QC_indicators!$B$2)&gt;3*[1]QC_indicators!$C$2,"C ratio",IF(ISNUMBER(BY410),IF(ABS(BY410-[1]QC_indicators!$B$1)&gt;3*[1]QC_indicators!$C$1,"DF","no"))),IF(ISNUMBER(BY410),IF(ABS(BY410-[1]QC_indicators!$B$1)&gt;3*[1]QC_indicators!$C$1,"DF","no")))</f>
        <v>0</v>
      </c>
      <c r="EQ410"/>
      <c r="ER410"/>
      <c r="ES410"/>
      <c r="ET410"/>
      <c r="EU410"/>
    </row>
    <row r="411" spans="1:151" s="139" customFormat="1" ht="15" hidden="1" customHeight="1">
      <c r="A411" s="1" t="s">
        <v>4952</v>
      </c>
      <c r="B411" t="s">
        <v>4953</v>
      </c>
      <c r="C411" t="s">
        <v>544</v>
      </c>
      <c r="D411" t="s">
        <v>4954</v>
      </c>
      <c r="E411" t="s">
        <v>4955</v>
      </c>
      <c r="F411" t="s">
        <v>4956</v>
      </c>
      <c r="G411" t="s">
        <v>544</v>
      </c>
      <c r="H411" t="s">
        <v>3964</v>
      </c>
      <c r="I411">
        <v>2016</v>
      </c>
      <c r="J411">
        <v>3</v>
      </c>
      <c r="K411" t="s">
        <v>544</v>
      </c>
      <c r="L411"/>
      <c r="M411" t="str">
        <f t="shared" si="429"/>
        <v>Cattarinussi_2016</v>
      </c>
      <c r="N411" t="s">
        <v>2583</v>
      </c>
      <c r="O411" s="145" t="s">
        <v>223</v>
      </c>
      <c r="P411"/>
      <c r="Q411" s="311" t="s">
        <v>256</v>
      </c>
      <c r="R411" s="312"/>
      <c r="S411" s="1"/>
      <c r="T411"/>
      <c r="U411"/>
      <c r="V411"/>
      <c r="W411"/>
      <c r="X411"/>
      <c r="Y411"/>
      <c r="Z411"/>
      <c r="AA411"/>
      <c r="AB411"/>
      <c r="AC411"/>
      <c r="AD411"/>
      <c r="AE411"/>
      <c r="AF411"/>
      <c r="AG411"/>
      <c r="AH411"/>
      <c r="AI411"/>
      <c r="AJ411"/>
      <c r="AK411"/>
      <c r="AL411"/>
      <c r="AM411"/>
      <c r="AN411"/>
      <c r="AO411"/>
      <c r="AP411"/>
      <c r="AQ411"/>
      <c r="AR411"/>
      <c r="AS411"/>
      <c r="AT411"/>
      <c r="AU411"/>
      <c r="AV411"/>
      <c r="AW411"/>
      <c r="AX411" s="141"/>
      <c r="AY411" s="141"/>
      <c r="AZ411"/>
      <c r="BA411"/>
      <c r="BB411"/>
      <c r="BC411"/>
      <c r="BD411"/>
      <c r="BE411"/>
      <c r="BF411" s="2"/>
      <c r="BG411" s="1"/>
      <c r="BH411"/>
      <c r="BI411"/>
      <c r="BJ411"/>
      <c r="BK411"/>
      <c r="BL411"/>
      <c r="BM411"/>
      <c r="BN411"/>
      <c r="BO411"/>
      <c r="BP411" s="143"/>
      <c r="BQ411" s="143"/>
      <c r="BR411"/>
      <c r="BS411"/>
      <c r="BT411"/>
      <c r="BU411" s="144"/>
      <c r="BV411"/>
      <c r="BW411"/>
      <c r="BX411"/>
      <c r="BY411" t="str">
        <f t="shared" si="386"/>
        <v/>
      </c>
      <c r="BZ411"/>
      <c r="CA411"/>
      <c r="CB411"/>
      <c r="CC411"/>
      <c r="CD411"/>
      <c r="CE411"/>
      <c r="CF411"/>
      <c r="CG411"/>
      <c r="CH411"/>
      <c r="CI411"/>
      <c r="CJ411"/>
      <c r="CK411"/>
      <c r="CL411"/>
      <c r="CM411"/>
      <c r="CN411"/>
      <c r="CO411"/>
      <c r="CP411"/>
      <c r="CQ411"/>
      <c r="CR411"/>
      <c r="CS411"/>
      <c r="CT411"/>
      <c r="CU411"/>
      <c r="CV411" s="2"/>
      <c r="CW411" s="1"/>
      <c r="CX411"/>
      <c r="CY411"/>
      <c r="CZ411"/>
      <c r="DA411"/>
      <c r="DB411"/>
      <c r="DC411"/>
      <c r="DD411"/>
      <c r="DE411"/>
      <c r="DF411"/>
      <c r="DG411"/>
      <c r="DH411"/>
      <c r="DI411"/>
      <c r="DJ411"/>
      <c r="DK411"/>
      <c r="DL411"/>
      <c r="DM411"/>
      <c r="DN411"/>
      <c r="DO411"/>
      <c r="DP411"/>
      <c r="DQ411"/>
      <c r="DR411"/>
      <c r="DS411"/>
      <c r="DT411"/>
      <c r="DU411" s="143"/>
      <c r="DV411"/>
      <c r="DW411"/>
      <c r="DX411"/>
      <c r="DY411"/>
      <c r="DZ411"/>
      <c r="EA411"/>
      <c r="EB411"/>
      <c r="EC411"/>
      <c r="ED411"/>
      <c r="EE411"/>
      <c r="EF411"/>
      <c r="EG411"/>
      <c r="EH411"/>
      <c r="EI411" s="2"/>
      <c r="EJ411" s="1"/>
      <c r="EK411" t="str">
        <f t="shared" si="440"/>
        <v/>
      </c>
      <c r="EL411" t="str">
        <f t="shared" si="441"/>
        <v/>
      </c>
      <c r="EM411" s="2" t="str">
        <f t="shared" si="387"/>
        <v/>
      </c>
      <c r="EN411"/>
      <c r="EO411" t="s">
        <v>450</v>
      </c>
      <c r="EP411" t="b">
        <f>IF(ISNUMBER(BU411),IF(ABS(BU411-[1]QC_indicators!$B$2)&gt;3*[1]QC_indicators!$C$2,"C ratio",IF(ISNUMBER(BY411),IF(ABS(BY411-[1]QC_indicators!$B$1)&gt;3*[1]QC_indicators!$C$1,"DF","no"))),IF(ISNUMBER(BY411),IF(ABS(BY411-[1]QC_indicators!$B$1)&gt;3*[1]QC_indicators!$C$1,"DF","no")))</f>
        <v>0</v>
      </c>
      <c r="EQ411"/>
      <c r="ER411"/>
      <c r="ES411"/>
      <c r="ET411"/>
      <c r="EU411"/>
    </row>
    <row r="412" spans="1:151" s="139" customFormat="1" ht="15" hidden="1" customHeight="1">
      <c r="A412" s="1" t="s">
        <v>4952</v>
      </c>
      <c r="B412" t="s">
        <v>4953</v>
      </c>
      <c r="C412" t="s">
        <v>544</v>
      </c>
      <c r="D412" t="s">
        <v>4954</v>
      </c>
      <c r="E412" t="s">
        <v>4955</v>
      </c>
      <c r="F412" t="s">
        <v>4956</v>
      </c>
      <c r="G412" t="s">
        <v>544</v>
      </c>
      <c r="H412" t="s">
        <v>3964</v>
      </c>
      <c r="I412">
        <v>2016</v>
      </c>
      <c r="J412">
        <v>3</v>
      </c>
      <c r="K412" t="s">
        <v>544</v>
      </c>
      <c r="L412"/>
      <c r="M412" t="str">
        <f t="shared" si="429"/>
        <v>Cattarinussi_2016</v>
      </c>
      <c r="N412" t="s">
        <v>2583</v>
      </c>
      <c r="O412" s="145" t="s">
        <v>223</v>
      </c>
      <c r="P412"/>
      <c r="Q412" s="311" t="s">
        <v>256</v>
      </c>
      <c r="R412" s="312"/>
      <c r="S412" s="1"/>
      <c r="T412"/>
      <c r="U412"/>
      <c r="V412"/>
      <c r="W412"/>
      <c r="X412"/>
      <c r="Y412"/>
      <c r="Z412"/>
      <c r="AA412"/>
      <c r="AB412"/>
      <c r="AC412"/>
      <c r="AD412"/>
      <c r="AE412"/>
      <c r="AF412"/>
      <c r="AG412"/>
      <c r="AH412"/>
      <c r="AI412"/>
      <c r="AJ412"/>
      <c r="AK412"/>
      <c r="AL412"/>
      <c r="AM412"/>
      <c r="AN412"/>
      <c r="AO412"/>
      <c r="AP412"/>
      <c r="AQ412"/>
      <c r="AR412"/>
      <c r="AS412"/>
      <c r="AT412"/>
      <c r="AU412"/>
      <c r="AV412"/>
      <c r="AW412"/>
      <c r="AX412" s="141"/>
      <c r="AY412" s="141"/>
      <c r="AZ412"/>
      <c r="BA412"/>
      <c r="BB412"/>
      <c r="BC412"/>
      <c r="BD412"/>
      <c r="BE412"/>
      <c r="BF412" s="2"/>
      <c r="BG412" s="1"/>
      <c r="BH412"/>
      <c r="BI412"/>
      <c r="BJ412"/>
      <c r="BK412"/>
      <c r="BL412"/>
      <c r="BM412"/>
      <c r="BN412"/>
      <c r="BO412"/>
      <c r="BP412" s="143"/>
      <c r="BQ412" s="143"/>
      <c r="BR412"/>
      <c r="BS412"/>
      <c r="BT412"/>
      <c r="BU412"/>
      <c r="BV412"/>
      <c r="BW412"/>
      <c r="BX412"/>
      <c r="BY412" t="str">
        <f t="shared" si="386"/>
        <v/>
      </c>
      <c r="BZ412"/>
      <c r="CA412"/>
      <c r="CB412"/>
      <c r="CC412"/>
      <c r="CD412"/>
      <c r="CE412"/>
      <c r="CF412"/>
      <c r="CG412"/>
      <c r="CH412"/>
      <c r="CI412"/>
      <c r="CJ412"/>
      <c r="CK412"/>
      <c r="CL412"/>
      <c r="CM412"/>
      <c r="CN412"/>
      <c r="CO412"/>
      <c r="CP412"/>
      <c r="CQ412"/>
      <c r="CR412"/>
      <c r="CS412"/>
      <c r="CT412"/>
      <c r="CU412"/>
      <c r="CV412" s="2"/>
      <c r="CW412" s="1"/>
      <c r="CX412"/>
      <c r="CY412"/>
      <c r="CZ412"/>
      <c r="DA412"/>
      <c r="DB412"/>
      <c r="DC412"/>
      <c r="DD412"/>
      <c r="DE412"/>
      <c r="DF412"/>
      <c r="DG412"/>
      <c r="DH412"/>
      <c r="DI412"/>
      <c r="DJ412"/>
      <c r="DK412"/>
      <c r="DL412"/>
      <c r="DM412"/>
      <c r="DN412"/>
      <c r="DO412"/>
      <c r="DP412"/>
      <c r="DQ412"/>
      <c r="DR412"/>
      <c r="DS412"/>
      <c r="DT412"/>
      <c r="DU412" s="143"/>
      <c r="DV412"/>
      <c r="DW412"/>
      <c r="DX412"/>
      <c r="DY412"/>
      <c r="DZ412"/>
      <c r="EA412"/>
      <c r="EB412"/>
      <c r="EC412"/>
      <c r="ED412"/>
      <c r="EE412"/>
      <c r="EF412"/>
      <c r="EG412"/>
      <c r="EH412"/>
      <c r="EI412" s="2"/>
      <c r="EJ412" s="1"/>
      <c r="EK412" t="str">
        <f t="shared" si="440"/>
        <v/>
      </c>
      <c r="EL412" t="str">
        <f t="shared" si="441"/>
        <v/>
      </c>
      <c r="EM412" s="2" t="str">
        <f t="shared" si="387"/>
        <v/>
      </c>
      <c r="EN412"/>
      <c r="EO412"/>
      <c r="EP412" t="b">
        <f>IF(ISNUMBER(BU412),IF(ABS(BU412-[1]QC_indicators!$B$2)&gt;3*[1]QC_indicators!$C$2,"C ratio",IF(ISNUMBER(BY412),IF(ABS(BY412-[1]QC_indicators!$B$1)&gt;3*[1]QC_indicators!$C$1,"DF","no"))),IF(ISNUMBER(BY412),IF(ABS(BY412-[1]QC_indicators!$B$1)&gt;3*[1]QC_indicators!$C$1,"DF","no")))</f>
        <v>0</v>
      </c>
      <c r="EQ412"/>
      <c r="ER412"/>
      <c r="ES412"/>
      <c r="ET412"/>
      <c r="EU412"/>
    </row>
    <row r="413" spans="1:151" s="139" customFormat="1" ht="15" hidden="1" customHeight="1">
      <c r="A413" s="1" t="s">
        <v>562</v>
      </c>
      <c r="B413" t="s">
        <v>544</v>
      </c>
      <c r="C413" t="s">
        <v>4775</v>
      </c>
      <c r="D413" t="s">
        <v>4776</v>
      </c>
      <c r="E413" t="s">
        <v>4777</v>
      </c>
      <c r="F413" t="s">
        <v>4778</v>
      </c>
      <c r="G413" t="s">
        <v>567</v>
      </c>
      <c r="H413" t="s">
        <v>254</v>
      </c>
      <c r="I413">
        <v>2014</v>
      </c>
      <c r="J413">
        <v>24</v>
      </c>
      <c r="K413" t="s">
        <v>4779</v>
      </c>
      <c r="L413"/>
      <c r="M413" t="str">
        <f t="shared" si="429"/>
        <v>Chen_2014</v>
      </c>
      <c r="N413" t="s">
        <v>1351</v>
      </c>
      <c r="O413" s="145" t="s">
        <v>223</v>
      </c>
      <c r="P413"/>
      <c r="Q413" s="311" t="s">
        <v>256</v>
      </c>
      <c r="R413" s="312"/>
      <c r="S413" s="1"/>
      <c r="T413"/>
      <c r="U413"/>
      <c r="V413"/>
      <c r="W413"/>
      <c r="X413"/>
      <c r="Y413"/>
      <c r="Z413"/>
      <c r="AA413"/>
      <c r="AB413"/>
      <c r="AC413"/>
      <c r="AD413"/>
      <c r="AE413"/>
      <c r="AF413"/>
      <c r="AG413"/>
      <c r="AH413"/>
      <c r="AI413"/>
      <c r="AJ413"/>
      <c r="AK413"/>
      <c r="AL413"/>
      <c r="AM413"/>
      <c r="AN413"/>
      <c r="AO413"/>
      <c r="AP413"/>
      <c r="AQ413"/>
      <c r="AR413"/>
      <c r="AS413"/>
      <c r="AT413"/>
      <c r="AU413"/>
      <c r="AV413"/>
      <c r="AW413"/>
      <c r="AX413" s="141">
        <f t="shared" ref="AX413:AX421" si="442">COUNTIF(V413:AW413,"&lt;&gt;0")</f>
        <v>28</v>
      </c>
      <c r="AY413" s="141">
        <f t="shared" ref="AY413:AY421" si="443">COUNTIF(V413:AL413,"&lt;&gt;0")</f>
        <v>17</v>
      </c>
      <c r="AZ413"/>
      <c r="BA413"/>
      <c r="BB413"/>
      <c r="BC413"/>
      <c r="BD413"/>
      <c r="BE413"/>
      <c r="BF413" s="2"/>
      <c r="BG413" s="1"/>
      <c r="BH413"/>
      <c r="BI413"/>
      <c r="BJ413"/>
      <c r="BK413"/>
      <c r="BL413"/>
      <c r="BM413"/>
      <c r="BN413"/>
      <c r="BO413"/>
      <c r="BP413" s="143"/>
      <c r="BQ413" s="143"/>
      <c r="BR413"/>
      <c r="BS413"/>
      <c r="BT413"/>
      <c r="BU413" s="144"/>
      <c r="BV413"/>
      <c r="BW413"/>
      <c r="BX413"/>
      <c r="BY413" t="str">
        <f t="shared" si="386"/>
        <v/>
      </c>
      <c r="BZ413"/>
      <c r="CA413"/>
      <c r="CB413"/>
      <c r="CC413"/>
      <c r="CD413"/>
      <c r="CE413"/>
      <c r="CF413"/>
      <c r="CG413"/>
      <c r="CH413"/>
      <c r="CI413"/>
      <c r="CJ413"/>
      <c r="CK413"/>
      <c r="CL413"/>
      <c r="CM413"/>
      <c r="CN413"/>
      <c r="CO413"/>
      <c r="CP413"/>
      <c r="CQ413"/>
      <c r="CR413"/>
      <c r="CS413"/>
      <c r="CT413"/>
      <c r="CU413"/>
      <c r="CV413" s="2"/>
      <c r="CW413" s="1" t="s">
        <v>1198</v>
      </c>
      <c r="CX413" s="311" t="str">
        <f t="shared" ref="CX413:CX421" si="444">IF(OR($CW413="prd",$CW413="std",$CW413="cit"),"loc",IF(OR($CW413="eur",$CW413="reg",$CW413="coy"),"reg",$CW413))</f>
        <v>reg</v>
      </c>
      <c r="CY413" t="s">
        <v>540</v>
      </c>
      <c r="CZ413"/>
      <c r="DA413"/>
      <c r="DB413">
        <v>100</v>
      </c>
      <c r="DC413" t="str">
        <f t="shared" ref="DC413:DC421" si="445">IF(DB413=0,"0",IF(AND(DB413&gt;=1,DB413&lt;=30),"1-30",IF(AND(DB413&gt;30,DB413&lt;=70),"31-70",IF(AND(DB413&gt;70,DB413&lt;=100),"71-100",IF(DB413&gt;100,"+100")))))</f>
        <v>71-100</v>
      </c>
      <c r="DD413">
        <v>0</v>
      </c>
      <c r="DE413">
        <v>1</v>
      </c>
      <c r="DF413">
        <v>1</v>
      </c>
      <c r="DG413">
        <v>1</v>
      </c>
      <c r="DH413"/>
      <c r="DI413">
        <f t="shared" ref="DI413:DI421" si="446">SUM(DD413:DG413)</f>
        <v>3</v>
      </c>
      <c r="DJ413" t="str">
        <f t="shared" ref="DJ413:DJ421" si="447">IF(DI413=1,INDEX($DD$7:$DG$7,MATCH(1,$DD413:$DG413,0)),"mixedProduct")</f>
        <v>mixedProduct</v>
      </c>
      <c r="DK413">
        <f t="shared" ref="DK413:DK421" si="448">IF(DD413=1,DK$7,0)</f>
        <v>0</v>
      </c>
      <c r="DL413" t="str">
        <f t="shared" ref="DL413:DL421" si="449">IF(DE413=1,DL$7,0)</f>
        <v>Energy</v>
      </c>
      <c r="DM413" t="str">
        <f t="shared" ref="DM413:DM421" si="450">IF(DF413=1,DM$7,0)</f>
        <v>Pulp/Paper</v>
      </c>
      <c r="DN413" t="str">
        <f t="shared" ref="DN413:DN421" si="451">IF(DG413=1,DN$7,0)</f>
        <v>Timber</v>
      </c>
      <c r="DO413">
        <v>1</v>
      </c>
      <c r="DP413">
        <v>0</v>
      </c>
      <c r="DQ413">
        <v>0</v>
      </c>
      <c r="DR413">
        <v>0</v>
      </c>
      <c r="DS413">
        <v>0</v>
      </c>
      <c r="DT413">
        <f t="shared" ref="DT413:DT421" si="452">SUM(DO413:DP413)</f>
        <v>1</v>
      </c>
      <c r="DU413" s="143" t="str">
        <f t="shared" ref="DU413:DU421" si="453">IF(DO413=1,"self-calculated DF",IF(DP413=1,"external DF used","explicit C balance"))</f>
        <v>self-calculated DF</v>
      </c>
      <c r="DV413">
        <v>1</v>
      </c>
      <c r="DW413">
        <v>1</v>
      </c>
      <c r="DX413">
        <v>1</v>
      </c>
      <c r="DY413">
        <v>1</v>
      </c>
      <c r="DZ413">
        <v>1</v>
      </c>
      <c r="EA413">
        <v>1</v>
      </c>
      <c r="EB413">
        <v>1</v>
      </c>
      <c r="EC413">
        <v>1</v>
      </c>
      <c r="ED413">
        <v>1</v>
      </c>
      <c r="EE413">
        <v>0</v>
      </c>
      <c r="EF413">
        <v>1</v>
      </c>
      <c r="EG413">
        <v>0</v>
      </c>
      <c r="EH413">
        <v>0</v>
      </c>
      <c r="EI413" s="2">
        <v>0</v>
      </c>
      <c r="EJ413" s="1"/>
      <c r="EK413" t="str">
        <f t="shared" si="440"/>
        <v>Whole sector</v>
      </c>
      <c r="EL413" t="str">
        <f t="shared" si="441"/>
        <v/>
      </c>
      <c r="EM413" s="2" t="str">
        <f t="shared" si="387"/>
        <v/>
      </c>
      <c r="EN413"/>
      <c r="EO413"/>
      <c r="EP413" t="b">
        <f>IF(ISNUMBER(BU413),IF(ABS(BU413-[1]QC_indicators!$B$2)&gt;3*[1]QC_indicators!$C$2,"C ratio",IF(ISNUMBER(BY413),IF(ABS(BY413-[1]QC_indicators!$B$1)&gt;3*[1]QC_indicators!$C$1,"DF","no"))),IF(ISNUMBER(BY413),IF(ABS(BY413-[1]QC_indicators!$B$1)&gt;3*[1]QC_indicators!$C$1,"DF","no")))</f>
        <v>0</v>
      </c>
      <c r="EQ413"/>
      <c r="ER413" s="313" t="s">
        <v>349</v>
      </c>
      <c r="ES413"/>
      <c r="ET413"/>
      <c r="EU413"/>
    </row>
    <row r="414" spans="1:151" s="139" customFormat="1" hidden="1">
      <c r="A414" s="1" t="s">
        <v>562</v>
      </c>
      <c r="B414" t="s">
        <v>544</v>
      </c>
      <c r="C414" t="s">
        <v>4775</v>
      </c>
      <c r="D414" t="s">
        <v>4776</v>
      </c>
      <c r="E414" t="s">
        <v>4777</v>
      </c>
      <c r="F414" t="s">
        <v>4778</v>
      </c>
      <c r="G414" t="s">
        <v>567</v>
      </c>
      <c r="H414" t="s">
        <v>254</v>
      </c>
      <c r="I414">
        <v>2014</v>
      </c>
      <c r="J414">
        <v>24</v>
      </c>
      <c r="K414" t="s">
        <v>4779</v>
      </c>
      <c r="L414"/>
      <c r="M414" t="str">
        <f t="shared" si="429"/>
        <v>Chen_2014</v>
      </c>
      <c r="N414" t="s">
        <v>1351</v>
      </c>
      <c r="O414" s="145" t="s">
        <v>223</v>
      </c>
      <c r="P414"/>
      <c r="Q414" s="311" t="s">
        <v>256</v>
      </c>
      <c r="R414" s="312"/>
      <c r="S414" s="1"/>
      <c r="T414"/>
      <c r="U414"/>
      <c r="V414"/>
      <c r="W414"/>
      <c r="X414"/>
      <c r="Y414"/>
      <c r="Z414"/>
      <c r="AA414"/>
      <c r="AB414"/>
      <c r="AC414"/>
      <c r="AD414"/>
      <c r="AE414"/>
      <c r="AF414"/>
      <c r="AG414"/>
      <c r="AH414"/>
      <c r="AI414"/>
      <c r="AJ414"/>
      <c r="AK414"/>
      <c r="AL414"/>
      <c r="AM414"/>
      <c r="AN414"/>
      <c r="AO414"/>
      <c r="AP414"/>
      <c r="AQ414"/>
      <c r="AR414"/>
      <c r="AS414"/>
      <c r="AT414"/>
      <c r="AU414"/>
      <c r="AV414"/>
      <c r="AW414"/>
      <c r="AX414" s="141">
        <f t="shared" si="442"/>
        <v>28</v>
      </c>
      <c r="AY414" s="141">
        <f t="shared" si="443"/>
        <v>17</v>
      </c>
      <c r="AZ414"/>
      <c r="BA414"/>
      <c r="BB414"/>
      <c r="BC414"/>
      <c r="BD414"/>
      <c r="BE414"/>
      <c r="BF414" s="2"/>
      <c r="BG414" s="1"/>
      <c r="BH414"/>
      <c r="BI414"/>
      <c r="BJ414"/>
      <c r="BK414"/>
      <c r="BL414"/>
      <c r="BM414"/>
      <c r="BN414"/>
      <c r="BO414"/>
      <c r="BP414" s="143"/>
      <c r="BQ414" s="143"/>
      <c r="BR414"/>
      <c r="BS414"/>
      <c r="BT414"/>
      <c r="BU414"/>
      <c r="BV414"/>
      <c r="BW414"/>
      <c r="BX414"/>
      <c r="BY414" t="str">
        <f t="shared" si="386"/>
        <v/>
      </c>
      <c r="BZ414"/>
      <c r="CA414"/>
      <c r="CB414"/>
      <c r="CC414"/>
      <c r="CD414"/>
      <c r="CE414"/>
      <c r="CF414"/>
      <c r="CG414"/>
      <c r="CH414"/>
      <c r="CI414"/>
      <c r="CJ414"/>
      <c r="CK414"/>
      <c r="CL414"/>
      <c r="CM414"/>
      <c r="CN414"/>
      <c r="CO414"/>
      <c r="CP414"/>
      <c r="CQ414"/>
      <c r="CR414"/>
      <c r="CS414"/>
      <c r="CT414"/>
      <c r="CU414"/>
      <c r="CV414" s="2"/>
      <c r="CW414" s="1" t="s">
        <v>1198</v>
      </c>
      <c r="CX414" s="311" t="str">
        <f t="shared" si="444"/>
        <v>reg</v>
      </c>
      <c r="CY414" t="s">
        <v>540</v>
      </c>
      <c r="CZ414"/>
      <c r="DA414"/>
      <c r="DB414">
        <v>100</v>
      </c>
      <c r="DC414" t="str">
        <f t="shared" si="445"/>
        <v>71-100</v>
      </c>
      <c r="DD414">
        <v>0</v>
      </c>
      <c r="DE414">
        <v>1</v>
      </c>
      <c r="DF414">
        <v>1</v>
      </c>
      <c r="DG414">
        <v>1</v>
      </c>
      <c r="DH414"/>
      <c r="DI414">
        <f t="shared" si="446"/>
        <v>3</v>
      </c>
      <c r="DJ414" t="str">
        <f t="shared" si="447"/>
        <v>mixedProduct</v>
      </c>
      <c r="DK414">
        <f t="shared" si="448"/>
        <v>0</v>
      </c>
      <c r="DL414" t="str">
        <f t="shared" si="449"/>
        <v>Energy</v>
      </c>
      <c r="DM414" t="str">
        <f t="shared" si="450"/>
        <v>Pulp/Paper</v>
      </c>
      <c r="DN414" t="str">
        <f t="shared" si="451"/>
        <v>Timber</v>
      </c>
      <c r="DO414">
        <v>1</v>
      </c>
      <c r="DP414">
        <v>0</v>
      </c>
      <c r="DQ414">
        <v>0</v>
      </c>
      <c r="DR414">
        <v>0</v>
      </c>
      <c r="DS414">
        <v>0</v>
      </c>
      <c r="DT414">
        <f t="shared" si="452"/>
        <v>1</v>
      </c>
      <c r="DU414" s="143" t="str">
        <f t="shared" si="453"/>
        <v>self-calculated DF</v>
      </c>
      <c r="DV414">
        <v>1</v>
      </c>
      <c r="DW414">
        <v>1</v>
      </c>
      <c r="DX414">
        <v>1</v>
      </c>
      <c r="DY414">
        <v>1</v>
      </c>
      <c r="DZ414">
        <v>1</v>
      </c>
      <c r="EA414">
        <v>1</v>
      </c>
      <c r="EB414">
        <v>1</v>
      </c>
      <c r="EC414">
        <v>1</v>
      </c>
      <c r="ED414">
        <v>1</v>
      </c>
      <c r="EE414">
        <v>0</v>
      </c>
      <c r="EF414">
        <v>1</v>
      </c>
      <c r="EG414">
        <v>0</v>
      </c>
      <c r="EH414">
        <v>0</v>
      </c>
      <c r="EI414" s="2">
        <v>0</v>
      </c>
      <c r="EJ414" s="1"/>
      <c r="EK414" t="str">
        <f t="shared" si="440"/>
        <v>Whole sector</v>
      </c>
      <c r="EL414" t="str">
        <f t="shared" si="441"/>
        <v/>
      </c>
      <c r="EM414" s="2" t="str">
        <f t="shared" si="387"/>
        <v/>
      </c>
      <c r="EN414"/>
      <c r="EO414"/>
      <c r="EP414" t="b">
        <f>IF(ISNUMBER(BU414),IF(ABS(BU414-[1]QC_indicators!$B$2)&gt;3*[1]QC_indicators!$C$2,"C ratio",IF(ISNUMBER(BY414),IF(ABS(BY414-[1]QC_indicators!$B$1)&gt;3*[1]QC_indicators!$C$1,"DF","no"))),IF(ISNUMBER(BY414),IF(ABS(BY414-[1]QC_indicators!$B$1)&gt;3*[1]QC_indicators!$C$1,"DF","no")))</f>
        <v>0</v>
      </c>
      <c r="EQ414"/>
      <c r="ER414" s="313" t="s">
        <v>349</v>
      </c>
      <c r="ES414"/>
      <c r="ET414"/>
      <c r="EU414"/>
    </row>
    <row r="415" spans="1:151" s="139" customFormat="1" hidden="1">
      <c r="A415" s="1" t="s">
        <v>1352</v>
      </c>
      <c r="B415" t="s">
        <v>544</v>
      </c>
      <c r="C415" t="s">
        <v>3512</v>
      </c>
      <c r="D415" t="s">
        <v>3513</v>
      </c>
      <c r="E415" t="s">
        <v>3514</v>
      </c>
      <c r="F415" t="s">
        <v>3515</v>
      </c>
      <c r="G415" t="s">
        <v>1353</v>
      </c>
      <c r="H415" t="s">
        <v>254</v>
      </c>
      <c r="I415">
        <v>2018</v>
      </c>
      <c r="J415">
        <v>26</v>
      </c>
      <c r="K415" t="s">
        <v>3516</v>
      </c>
      <c r="L415" t="s">
        <v>388</v>
      </c>
      <c r="M415" t="str">
        <f t="shared" si="429"/>
        <v>Chen_2018a</v>
      </c>
      <c r="N415" s="311" t="s">
        <v>4382</v>
      </c>
      <c r="O415" s="145" t="s">
        <v>223</v>
      </c>
      <c r="P415"/>
      <c r="Q415" s="311" t="s">
        <v>256</v>
      </c>
      <c r="R415" s="312"/>
      <c r="S415" s="1" t="s">
        <v>3517</v>
      </c>
      <c r="T415" t="s">
        <v>3518</v>
      </c>
      <c r="U415" t="s">
        <v>1110</v>
      </c>
      <c r="V415">
        <v>0</v>
      </c>
      <c r="W415">
        <v>0</v>
      </c>
      <c r="X415">
        <v>0</v>
      </c>
      <c r="Y415">
        <v>0</v>
      </c>
      <c r="Z415">
        <v>0</v>
      </c>
      <c r="AA415">
        <v>0</v>
      </c>
      <c r="AB415">
        <v>0</v>
      </c>
      <c r="AC415">
        <v>0</v>
      </c>
      <c r="AD415">
        <v>0</v>
      </c>
      <c r="AE415">
        <v>0</v>
      </c>
      <c r="AF415">
        <v>1</v>
      </c>
      <c r="AG415">
        <v>0</v>
      </c>
      <c r="AH415">
        <v>0</v>
      </c>
      <c r="AI415">
        <v>0</v>
      </c>
      <c r="AJ415">
        <v>0</v>
      </c>
      <c r="AK415">
        <v>0</v>
      </c>
      <c r="AL415">
        <v>0</v>
      </c>
      <c r="AM415">
        <v>0</v>
      </c>
      <c r="AN415">
        <v>0</v>
      </c>
      <c r="AO415">
        <v>0</v>
      </c>
      <c r="AP415">
        <v>0</v>
      </c>
      <c r="AQ415">
        <v>0</v>
      </c>
      <c r="AR415">
        <v>0</v>
      </c>
      <c r="AS415">
        <v>0</v>
      </c>
      <c r="AT415">
        <v>0</v>
      </c>
      <c r="AU415">
        <v>0</v>
      </c>
      <c r="AV415">
        <v>0</v>
      </c>
      <c r="AW415">
        <v>0</v>
      </c>
      <c r="AX415" s="141">
        <f t="shared" si="442"/>
        <v>1</v>
      </c>
      <c r="AY415" s="141">
        <f t="shared" si="443"/>
        <v>1</v>
      </c>
      <c r="AZ415">
        <f t="shared" ref="AZ415:AZ421" si="454">COUNTIF(V415:AC415,"&lt;&gt;0")</f>
        <v>0</v>
      </c>
      <c r="BA415">
        <f t="shared" ref="BA415:BA421" si="455">COUNTIF(AD415:AI415,"&lt;&gt;0")</f>
        <v>1</v>
      </c>
      <c r="BB415">
        <f t="shared" ref="BB415:BB421" si="456">COUNTIF(AJ415:AL415,"&lt;&gt;0")</f>
        <v>0</v>
      </c>
      <c r="BC415">
        <f t="shared" ref="BC415:BC421" si="457">COUNTIF(AS415:AW415,"&lt;&gt;0")</f>
        <v>0</v>
      </c>
      <c r="BD415">
        <f t="shared" ref="BD415:BD421" si="458">COUNTIF(AM415:AR415,"&lt;&gt;0")</f>
        <v>0</v>
      </c>
      <c r="BE415" t="str" cm="1">
        <f t="array" ref="BE415">IF(AY415=1,INDEX($V$7:$AL$7,MATCH(TRUE,INDEX($V415:$AW415&lt;&gt;0,),0)),IF(AY415=0,INDEX($AM$7:$AW$7,MATCH(1,$AM415:$AW415,0)),IF(BF415="Multiple strategies","mixed drivers",IF(BF415="Supply chain","multiple supply","multiple silviculture"))))</f>
        <v>supply chain organization</v>
      </c>
      <c r="BF415" s="2" t="str" cm="1">
        <f t="array" ref="BF415">IF(COUNTIF(AZ415:BB415,"&lt;&gt;0")=1,INDEX($V$4:$AW$4,MATCH(TRUE,INDEX($V415:$AW415&lt;&gt;0,),0)),IF(COUNTIF(AZ415:BB415,"&lt;&gt;0")=0,INDEX($AM$4:$AW$4,MATCH(1,$AM415:$AW415,0)),"Multiple strategies"))</f>
        <v>Supply chain</v>
      </c>
      <c r="BG415" s="1" t="s">
        <v>321</v>
      </c>
      <c r="BH415" t="s">
        <v>3519</v>
      </c>
      <c r="BI415"/>
      <c r="BJ415" t="s">
        <v>1354</v>
      </c>
      <c r="BK415">
        <v>118</v>
      </c>
      <c r="BL415">
        <v>118</v>
      </c>
      <c r="BM415"/>
      <c r="BN415">
        <f t="shared" ref="BN415:BN421" si="459">BL415-BK415</f>
        <v>0</v>
      </c>
      <c r="BO415">
        <f>BN415*10^6</f>
        <v>0</v>
      </c>
      <c r="BP415" s="311" t="s">
        <v>232</v>
      </c>
      <c r="BQ415" s="311"/>
      <c r="BR415" t="s">
        <v>3520</v>
      </c>
      <c r="BS415">
        <v>-66</v>
      </c>
      <c r="BT415">
        <v>21.4</v>
      </c>
      <c r="BU415">
        <v>-0.32424242424242422</v>
      </c>
      <c r="BV415">
        <v>87.4</v>
      </c>
      <c r="BW415"/>
      <c r="BX415">
        <f>BV415*10^6</f>
        <v>87400000</v>
      </c>
      <c r="BY415" t="str">
        <f t="shared" si="386"/>
        <v/>
      </c>
      <c r="BZ415">
        <v>0</v>
      </c>
      <c r="CA415">
        <v>0</v>
      </c>
      <c r="CB415">
        <v>0</v>
      </c>
      <c r="CC415">
        <v>0</v>
      </c>
      <c r="CD415">
        <v>0</v>
      </c>
      <c r="CE415">
        <v>0</v>
      </c>
      <c r="CF415">
        <v>0</v>
      </c>
      <c r="CG415">
        <v>0</v>
      </c>
      <c r="CH415">
        <v>0</v>
      </c>
      <c r="CI415">
        <v>0</v>
      </c>
      <c r="CJ415">
        <v>0</v>
      </c>
      <c r="CK415">
        <v>0</v>
      </c>
      <c r="CL415">
        <v>0</v>
      </c>
      <c r="CM415">
        <v>0</v>
      </c>
      <c r="CN415" t="str">
        <f t="shared" ref="CN415:CN421" si="460">IF($BL415&lt;$BK415,"refNeedCorrection","refOK")</f>
        <v>refOK</v>
      </c>
      <c r="CO415">
        <f>IF($CN415="refOK",$BK415,$BL415)</f>
        <v>118</v>
      </c>
      <c r="CP415">
        <f>IF($CN415="refOK",$BL415,$BK415)</f>
        <v>118</v>
      </c>
      <c r="CQ415">
        <f t="shared" ref="CQ415:CQ421" si="461">IF($CN415="refOK",$BO415,-$BO415)</f>
        <v>0</v>
      </c>
      <c r="CR415">
        <f t="shared" ref="CR415:CR421" si="462">IF($CN415="refOK",$BS415,$BT415)*IF($BP415="Emissions positive",-1,1)</f>
        <v>-66</v>
      </c>
      <c r="CS415">
        <f t="shared" ref="CS415:CS421" si="463">IF($CN415="refOK",$BT415,$BS415)*IF($BP415="Emissions positive",-1,1)</f>
        <v>21.4</v>
      </c>
      <c r="CT415">
        <f t="shared" ref="CT415:CT421" si="464">IF($CN415="refNeedCorrection",-BX415,BX415)*IF($BP415="Emissions positive",-1,1)</f>
        <v>87400000</v>
      </c>
      <c r="CU415" t="str">
        <f t="shared" ref="CU415:CU421" si="465">IFERROR(CT415/CQ415,"")</f>
        <v/>
      </c>
      <c r="CV415" s="2">
        <f t="shared" ref="CV415:CV421" si="466">IFERROR((CS415-CR415)/ABS(CR415),"")</f>
        <v>1.3242424242424242</v>
      </c>
      <c r="CW415" s="1" t="s">
        <v>1198</v>
      </c>
      <c r="CX415" s="311" t="str">
        <f t="shared" si="444"/>
        <v>reg</v>
      </c>
      <c r="CY415" t="s">
        <v>540</v>
      </c>
      <c r="CZ415"/>
      <c r="DA415"/>
      <c r="DB415">
        <v>100</v>
      </c>
      <c r="DC415" t="str">
        <f t="shared" si="445"/>
        <v>71-100</v>
      </c>
      <c r="DD415">
        <v>0</v>
      </c>
      <c r="DE415">
        <v>1</v>
      </c>
      <c r="DF415">
        <v>1</v>
      </c>
      <c r="DG415">
        <v>1</v>
      </c>
      <c r="DH415"/>
      <c r="DI415">
        <f t="shared" si="446"/>
        <v>3</v>
      </c>
      <c r="DJ415" t="str">
        <f t="shared" si="447"/>
        <v>mixedProduct</v>
      </c>
      <c r="DK415">
        <f t="shared" si="448"/>
        <v>0</v>
      </c>
      <c r="DL415" t="str">
        <f t="shared" si="449"/>
        <v>Energy</v>
      </c>
      <c r="DM415" t="str">
        <f t="shared" si="450"/>
        <v>Pulp/Paper</v>
      </c>
      <c r="DN415" t="str">
        <f t="shared" si="451"/>
        <v>Timber</v>
      </c>
      <c r="DO415">
        <v>1</v>
      </c>
      <c r="DP415">
        <v>0</v>
      </c>
      <c r="DQ415">
        <v>0</v>
      </c>
      <c r="DR415">
        <v>0</v>
      </c>
      <c r="DS415">
        <v>0</v>
      </c>
      <c r="DT415">
        <f t="shared" si="452"/>
        <v>1</v>
      </c>
      <c r="DU415" s="143" t="str">
        <f t="shared" si="453"/>
        <v>self-calculated DF</v>
      </c>
      <c r="DV415">
        <v>1</v>
      </c>
      <c r="DW415">
        <v>1</v>
      </c>
      <c r="DX415">
        <v>1</v>
      </c>
      <c r="DY415">
        <v>1</v>
      </c>
      <c r="DZ415">
        <v>1</v>
      </c>
      <c r="EA415">
        <v>1</v>
      </c>
      <c r="EB415">
        <v>1</v>
      </c>
      <c r="EC415">
        <v>1</v>
      </c>
      <c r="ED415">
        <v>1</v>
      </c>
      <c r="EE415">
        <v>0</v>
      </c>
      <c r="EF415">
        <v>1</v>
      </c>
      <c r="EG415">
        <v>0</v>
      </c>
      <c r="EH415">
        <v>0</v>
      </c>
      <c r="EI415" s="2">
        <v>0</v>
      </c>
      <c r="EJ415" s="1"/>
      <c r="EK415" t="str">
        <f t="shared" si="440"/>
        <v>Whole sector</v>
      </c>
      <c r="EL415" t="str">
        <f t="shared" si="441"/>
        <v/>
      </c>
      <c r="EM415" s="2" t="str">
        <f t="shared" si="387"/>
        <v/>
      </c>
      <c r="EN415"/>
      <c r="EO415"/>
      <c r="EP415" t="b">
        <f>IF(ISNUMBER(BU415),IF(ABS(BU415-[1]QC_indicators!$B$2)&gt;3*[1]QC_indicators!$C$2,"C ratio",IF(ISNUMBER(BY415),IF(ABS(BY415-[1]QC_indicators!$B$1)&gt;3*[1]QC_indicators!$C$1,"DF","no"))),IF(ISNUMBER(BY415),IF(ABS(BY415-[1]QC_indicators!$B$1)&gt;3*[1]QC_indicators!$C$1,"DF","no")))</f>
        <v>0</v>
      </c>
      <c r="EQ415"/>
      <c r="ER415" s="313" t="s">
        <v>349</v>
      </c>
      <c r="ES415"/>
      <c r="ET415"/>
      <c r="EU415"/>
    </row>
    <row r="416" spans="1:151" s="139" customFormat="1" hidden="1">
      <c r="A416" s="1" t="s">
        <v>1352</v>
      </c>
      <c r="B416" t="s">
        <v>544</v>
      </c>
      <c r="C416" t="s">
        <v>3512</v>
      </c>
      <c r="D416" t="s">
        <v>3513</v>
      </c>
      <c r="E416" t="s">
        <v>3514</v>
      </c>
      <c r="F416" t="s">
        <v>3515</v>
      </c>
      <c r="G416" t="s">
        <v>1353</v>
      </c>
      <c r="H416" t="s">
        <v>254</v>
      </c>
      <c r="I416">
        <v>2018</v>
      </c>
      <c r="J416">
        <v>26</v>
      </c>
      <c r="K416" t="s">
        <v>3516</v>
      </c>
      <c r="L416" t="s">
        <v>388</v>
      </c>
      <c r="M416" t="str">
        <f t="shared" si="429"/>
        <v>Chen_2018a</v>
      </c>
      <c r="N416" s="311" t="s">
        <v>4382</v>
      </c>
      <c r="O416" s="145" t="s">
        <v>223</v>
      </c>
      <c r="P416"/>
      <c r="Q416" s="311" t="s">
        <v>256</v>
      </c>
      <c r="R416" s="312"/>
      <c r="S416" s="1" t="s">
        <v>3517</v>
      </c>
      <c r="T416" t="s">
        <v>3518</v>
      </c>
      <c r="U416" t="s">
        <v>3521</v>
      </c>
      <c r="V416">
        <v>0</v>
      </c>
      <c r="W416">
        <v>0</v>
      </c>
      <c r="X416">
        <v>0</v>
      </c>
      <c r="Y416">
        <v>0</v>
      </c>
      <c r="Z416">
        <v>0</v>
      </c>
      <c r="AA416">
        <v>0</v>
      </c>
      <c r="AB416">
        <v>0</v>
      </c>
      <c r="AC416">
        <v>0</v>
      </c>
      <c r="AD416">
        <v>0</v>
      </c>
      <c r="AE416">
        <v>0</v>
      </c>
      <c r="AF416">
        <v>1</v>
      </c>
      <c r="AG416">
        <v>0</v>
      </c>
      <c r="AH416">
        <v>0</v>
      </c>
      <c r="AI416">
        <v>0</v>
      </c>
      <c r="AJ416">
        <v>0</v>
      </c>
      <c r="AK416">
        <v>0</v>
      </c>
      <c r="AL416">
        <v>0</v>
      </c>
      <c r="AM416">
        <v>0</v>
      </c>
      <c r="AN416">
        <v>0</v>
      </c>
      <c r="AO416">
        <v>0</v>
      </c>
      <c r="AP416">
        <v>0</v>
      </c>
      <c r="AQ416">
        <v>0</v>
      </c>
      <c r="AR416">
        <v>0</v>
      </c>
      <c r="AS416">
        <v>0</v>
      </c>
      <c r="AT416">
        <v>0</v>
      </c>
      <c r="AU416">
        <v>0</v>
      </c>
      <c r="AV416">
        <v>0</v>
      </c>
      <c r="AW416">
        <v>0</v>
      </c>
      <c r="AX416" s="141">
        <f t="shared" si="442"/>
        <v>1</v>
      </c>
      <c r="AY416" s="141">
        <f t="shared" si="443"/>
        <v>1</v>
      </c>
      <c r="AZ416">
        <f t="shared" si="454"/>
        <v>0</v>
      </c>
      <c r="BA416">
        <f t="shared" si="455"/>
        <v>1</v>
      </c>
      <c r="BB416">
        <f t="shared" si="456"/>
        <v>0</v>
      </c>
      <c r="BC416">
        <f t="shared" si="457"/>
        <v>0</v>
      </c>
      <c r="BD416">
        <f t="shared" si="458"/>
        <v>0</v>
      </c>
      <c r="BE416" t="str" cm="1">
        <f t="array" ref="BE416">IF(AY416=1,INDEX($V$7:$AL$7,MATCH(TRUE,INDEX($V416:$AW416&lt;&gt;0,),0)),IF(AY416=0,INDEX($AM$7:$AW$7,MATCH(1,$AM416:$AW416,0)),IF(BF416="Multiple strategies","mixed drivers",IF(BF416="Supply chain","multiple supply","multiple silviculture"))))</f>
        <v>supply chain organization</v>
      </c>
      <c r="BF416" s="2" t="str" cm="1">
        <f t="array" ref="BF416">IF(COUNTIF(AZ416:BB416,"&lt;&gt;0")=1,INDEX($V$4:$AW$4,MATCH(TRUE,INDEX($V416:$AW416&lt;&gt;0,),0)),IF(COUNTIF(AZ416:BB416,"&lt;&gt;0")=0,INDEX($AM$4:$AW$4,MATCH(1,$AM416:$AW416,0)),"Multiple strategies"))</f>
        <v>Supply chain</v>
      </c>
      <c r="BG416" s="1" t="s">
        <v>321</v>
      </c>
      <c r="BH416" t="s">
        <v>3519</v>
      </c>
      <c r="BI416"/>
      <c r="BJ416" t="s">
        <v>1354</v>
      </c>
      <c r="BK416">
        <v>118</v>
      </c>
      <c r="BL416">
        <v>118</v>
      </c>
      <c r="BM416"/>
      <c r="BN416">
        <f t="shared" si="459"/>
        <v>0</v>
      </c>
      <c r="BO416">
        <f>BN416*10^6</f>
        <v>0</v>
      </c>
      <c r="BP416" s="311" t="s">
        <v>232</v>
      </c>
      <c r="BQ416" s="311"/>
      <c r="BR416" t="s">
        <v>3520</v>
      </c>
      <c r="BS416">
        <v>-66</v>
      </c>
      <c r="BT416">
        <v>66.2</v>
      </c>
      <c r="BU416">
        <v>-1.0030303030303032</v>
      </c>
      <c r="BV416">
        <v>132.19999999999999</v>
      </c>
      <c r="BW416"/>
      <c r="BX416">
        <f>BV416*10^6</f>
        <v>132199999.99999999</v>
      </c>
      <c r="BY416" t="str">
        <f t="shared" si="386"/>
        <v/>
      </c>
      <c r="BZ416">
        <v>0</v>
      </c>
      <c r="CA416">
        <v>0</v>
      </c>
      <c r="CB416">
        <v>0</v>
      </c>
      <c r="CC416">
        <v>0</v>
      </c>
      <c r="CD416">
        <v>0</v>
      </c>
      <c r="CE416">
        <v>0</v>
      </c>
      <c r="CF416">
        <v>0</v>
      </c>
      <c r="CG416">
        <v>0</v>
      </c>
      <c r="CH416">
        <v>0</v>
      </c>
      <c r="CI416">
        <v>0</v>
      </c>
      <c r="CJ416">
        <v>0</v>
      </c>
      <c r="CK416">
        <v>0</v>
      </c>
      <c r="CL416">
        <v>0</v>
      </c>
      <c r="CM416">
        <v>0</v>
      </c>
      <c r="CN416" t="str">
        <f t="shared" si="460"/>
        <v>refOK</v>
      </c>
      <c r="CO416">
        <f>IF($CN416="refOK",$BK416,$BL416)</f>
        <v>118</v>
      </c>
      <c r="CP416">
        <f>IF($CN416="refOK",$BL416,$BK416)</f>
        <v>118</v>
      </c>
      <c r="CQ416">
        <f t="shared" si="461"/>
        <v>0</v>
      </c>
      <c r="CR416">
        <f t="shared" si="462"/>
        <v>-66</v>
      </c>
      <c r="CS416">
        <f t="shared" si="463"/>
        <v>66.2</v>
      </c>
      <c r="CT416">
        <f t="shared" si="464"/>
        <v>132199999.99999999</v>
      </c>
      <c r="CU416" t="str">
        <f t="shared" si="465"/>
        <v/>
      </c>
      <c r="CV416" s="2">
        <f t="shared" si="466"/>
        <v>2.0030303030303029</v>
      </c>
      <c r="CW416" s="1" t="s">
        <v>1198</v>
      </c>
      <c r="CX416" s="311" t="str">
        <f t="shared" si="444"/>
        <v>reg</v>
      </c>
      <c r="CY416" t="s">
        <v>540</v>
      </c>
      <c r="CZ416"/>
      <c r="DA416"/>
      <c r="DB416">
        <v>100</v>
      </c>
      <c r="DC416" t="str">
        <f t="shared" si="445"/>
        <v>71-100</v>
      </c>
      <c r="DD416">
        <v>0</v>
      </c>
      <c r="DE416">
        <v>1</v>
      </c>
      <c r="DF416">
        <v>1</v>
      </c>
      <c r="DG416">
        <v>1</v>
      </c>
      <c r="DH416"/>
      <c r="DI416">
        <f t="shared" si="446"/>
        <v>3</v>
      </c>
      <c r="DJ416" t="str">
        <f t="shared" si="447"/>
        <v>mixedProduct</v>
      </c>
      <c r="DK416">
        <f t="shared" si="448"/>
        <v>0</v>
      </c>
      <c r="DL416" t="str">
        <f t="shared" si="449"/>
        <v>Energy</v>
      </c>
      <c r="DM416" t="str">
        <f t="shared" si="450"/>
        <v>Pulp/Paper</v>
      </c>
      <c r="DN416" t="str">
        <f t="shared" si="451"/>
        <v>Timber</v>
      </c>
      <c r="DO416">
        <v>1</v>
      </c>
      <c r="DP416">
        <v>0</v>
      </c>
      <c r="DQ416">
        <v>0</v>
      </c>
      <c r="DR416">
        <v>0</v>
      </c>
      <c r="DS416">
        <v>0</v>
      </c>
      <c r="DT416">
        <f t="shared" si="452"/>
        <v>1</v>
      </c>
      <c r="DU416" s="143" t="str">
        <f t="shared" si="453"/>
        <v>self-calculated DF</v>
      </c>
      <c r="DV416">
        <v>1</v>
      </c>
      <c r="DW416">
        <v>1</v>
      </c>
      <c r="DX416">
        <v>1</v>
      </c>
      <c r="DY416">
        <v>1</v>
      </c>
      <c r="DZ416">
        <v>1</v>
      </c>
      <c r="EA416">
        <v>1</v>
      </c>
      <c r="EB416">
        <v>1</v>
      </c>
      <c r="EC416">
        <v>1</v>
      </c>
      <c r="ED416">
        <v>1</v>
      </c>
      <c r="EE416">
        <v>0</v>
      </c>
      <c r="EF416">
        <v>1</v>
      </c>
      <c r="EG416">
        <v>0</v>
      </c>
      <c r="EH416">
        <v>0</v>
      </c>
      <c r="EI416" s="2">
        <v>0</v>
      </c>
      <c r="EJ416" s="1"/>
      <c r="EK416" t="str">
        <f t="shared" si="440"/>
        <v>Whole sector</v>
      </c>
      <c r="EL416" t="str">
        <f t="shared" si="441"/>
        <v/>
      </c>
      <c r="EM416" s="2" t="str">
        <f t="shared" si="387"/>
        <v/>
      </c>
      <c r="EN416"/>
      <c r="EO416"/>
      <c r="EP416" t="b">
        <f>IF(ISNUMBER(BU416),IF(ABS(BU416-[1]QC_indicators!$B$2)&gt;3*[1]QC_indicators!$C$2,"C ratio",IF(ISNUMBER(BY416),IF(ABS(BY416-[1]QC_indicators!$B$1)&gt;3*[1]QC_indicators!$C$1,"DF","no"))),IF(ISNUMBER(BY416),IF(ABS(BY416-[1]QC_indicators!$B$1)&gt;3*[1]QC_indicators!$C$1,"DF","no")))</f>
        <v>0</v>
      </c>
      <c r="EQ416"/>
      <c r="ER416" s="313" t="s">
        <v>349</v>
      </c>
      <c r="ES416"/>
      <c r="ET416"/>
      <c r="EU416"/>
    </row>
    <row r="417" spans="1:151" s="139" customFormat="1" ht="15" hidden="1" customHeight="1">
      <c r="A417" s="1" t="s">
        <v>1352</v>
      </c>
      <c r="B417" t="s">
        <v>544</v>
      </c>
      <c r="C417" t="s">
        <v>3512</v>
      </c>
      <c r="D417" t="s">
        <v>3513</v>
      </c>
      <c r="E417" t="s">
        <v>3514</v>
      </c>
      <c r="F417" t="s">
        <v>3515</v>
      </c>
      <c r="G417" t="s">
        <v>1353</v>
      </c>
      <c r="H417" t="s">
        <v>254</v>
      </c>
      <c r="I417">
        <v>2018</v>
      </c>
      <c r="J417">
        <v>26</v>
      </c>
      <c r="K417" t="s">
        <v>3516</v>
      </c>
      <c r="L417" t="s">
        <v>388</v>
      </c>
      <c r="M417" t="str">
        <f t="shared" si="429"/>
        <v>Chen_2018a</v>
      </c>
      <c r="N417" s="311" t="s">
        <v>4382</v>
      </c>
      <c r="O417" s="145" t="s">
        <v>223</v>
      </c>
      <c r="P417"/>
      <c r="Q417" s="311" t="s">
        <v>256</v>
      </c>
      <c r="R417" s="312"/>
      <c r="S417" s="1" t="s">
        <v>3517</v>
      </c>
      <c r="T417" t="s">
        <v>3518</v>
      </c>
      <c r="U417" t="s">
        <v>1355</v>
      </c>
      <c r="V417">
        <v>0</v>
      </c>
      <c r="W417">
        <v>0</v>
      </c>
      <c r="X417">
        <v>0</v>
      </c>
      <c r="Y417">
        <v>0</v>
      </c>
      <c r="Z417">
        <v>0</v>
      </c>
      <c r="AA417">
        <v>0</v>
      </c>
      <c r="AB417">
        <v>0</v>
      </c>
      <c r="AC417">
        <v>0</v>
      </c>
      <c r="AD417">
        <v>0</v>
      </c>
      <c r="AE417">
        <v>0</v>
      </c>
      <c r="AF417">
        <v>1</v>
      </c>
      <c r="AG417">
        <v>0</v>
      </c>
      <c r="AH417">
        <v>0</v>
      </c>
      <c r="AI417">
        <v>0</v>
      </c>
      <c r="AJ417">
        <v>0</v>
      </c>
      <c r="AK417">
        <v>0</v>
      </c>
      <c r="AL417">
        <v>0</v>
      </c>
      <c r="AM417">
        <v>0</v>
      </c>
      <c r="AN417">
        <v>0</v>
      </c>
      <c r="AO417">
        <v>0</v>
      </c>
      <c r="AP417">
        <v>0</v>
      </c>
      <c r="AQ417">
        <v>0</v>
      </c>
      <c r="AR417">
        <v>0</v>
      </c>
      <c r="AS417">
        <v>0</v>
      </c>
      <c r="AT417">
        <v>0</v>
      </c>
      <c r="AU417">
        <v>0</v>
      </c>
      <c r="AV417">
        <v>0</v>
      </c>
      <c r="AW417">
        <v>0</v>
      </c>
      <c r="AX417" s="141">
        <f t="shared" si="442"/>
        <v>1</v>
      </c>
      <c r="AY417" s="141">
        <f t="shared" si="443"/>
        <v>1</v>
      </c>
      <c r="AZ417">
        <f t="shared" si="454"/>
        <v>0</v>
      </c>
      <c r="BA417">
        <f t="shared" si="455"/>
        <v>1</v>
      </c>
      <c r="BB417">
        <f t="shared" si="456"/>
        <v>0</v>
      </c>
      <c r="BC417">
        <f t="shared" si="457"/>
        <v>0</v>
      </c>
      <c r="BD417">
        <f t="shared" si="458"/>
        <v>0</v>
      </c>
      <c r="BE417" t="str" cm="1">
        <f t="array" ref="BE417">IF(AY417=1,INDEX($V$7:$AL$7,MATCH(TRUE,INDEX($V417:$AW417&lt;&gt;0,),0)),IF(AY417=0,INDEX($AM$7:$AW$7,MATCH(1,$AM417:$AW417,0)),IF(BF417="Multiple strategies","mixed drivers",IF(BF417="Supply chain","multiple supply","multiple silviculture"))))</f>
        <v>supply chain organization</v>
      </c>
      <c r="BF417" s="2" t="str" cm="1">
        <f t="array" ref="BF417">IF(COUNTIF(AZ417:BB417,"&lt;&gt;0")=1,INDEX($V$4:$AW$4,MATCH(TRUE,INDEX($V417:$AW417&lt;&gt;0,),0)),IF(COUNTIF(AZ417:BB417,"&lt;&gt;0")=0,INDEX($AM$4:$AW$4,MATCH(1,$AM417:$AW417,0)),"Multiple strategies"))</f>
        <v>Supply chain</v>
      </c>
      <c r="BG417" s="1" t="s">
        <v>321</v>
      </c>
      <c r="BH417" t="s">
        <v>3519</v>
      </c>
      <c r="BI417"/>
      <c r="BJ417" t="s">
        <v>1354</v>
      </c>
      <c r="BK417">
        <v>118</v>
      </c>
      <c r="BL417">
        <v>118</v>
      </c>
      <c r="BM417"/>
      <c r="BN417">
        <f t="shared" si="459"/>
        <v>0</v>
      </c>
      <c r="BO417">
        <f>BN417*10^6</f>
        <v>0</v>
      </c>
      <c r="BP417" s="311" t="s">
        <v>232</v>
      </c>
      <c r="BQ417" s="311"/>
      <c r="BR417" t="s">
        <v>3520</v>
      </c>
      <c r="BS417">
        <v>-66</v>
      </c>
      <c r="BT417">
        <v>93.3</v>
      </c>
      <c r="BU417">
        <v>-1.4136363636363636</v>
      </c>
      <c r="BV417">
        <v>159.30000000000001</v>
      </c>
      <c r="BW417"/>
      <c r="BX417">
        <f>BV417*10^6</f>
        <v>159300000</v>
      </c>
      <c r="BY417" t="str">
        <f t="shared" si="386"/>
        <v/>
      </c>
      <c r="BZ417">
        <v>0</v>
      </c>
      <c r="CA417">
        <v>0</v>
      </c>
      <c r="CB417">
        <v>0</v>
      </c>
      <c r="CC417">
        <v>0</v>
      </c>
      <c r="CD417">
        <v>0</v>
      </c>
      <c r="CE417">
        <v>0</v>
      </c>
      <c r="CF417">
        <v>0</v>
      </c>
      <c r="CG417">
        <v>0</v>
      </c>
      <c r="CH417">
        <v>0</v>
      </c>
      <c r="CI417">
        <v>0</v>
      </c>
      <c r="CJ417">
        <v>0</v>
      </c>
      <c r="CK417">
        <v>0</v>
      </c>
      <c r="CL417">
        <v>0</v>
      </c>
      <c r="CM417">
        <v>0</v>
      </c>
      <c r="CN417" t="str">
        <f t="shared" si="460"/>
        <v>refOK</v>
      </c>
      <c r="CO417">
        <f>IF($CN417="refOK",$BK417,$BL417)</f>
        <v>118</v>
      </c>
      <c r="CP417">
        <f>IF($CN417="refOK",$BL417,$BK417)</f>
        <v>118</v>
      </c>
      <c r="CQ417">
        <f t="shared" si="461"/>
        <v>0</v>
      </c>
      <c r="CR417">
        <f t="shared" si="462"/>
        <v>-66</v>
      </c>
      <c r="CS417">
        <f t="shared" si="463"/>
        <v>93.3</v>
      </c>
      <c r="CT417">
        <f t="shared" si="464"/>
        <v>159300000</v>
      </c>
      <c r="CU417" t="str">
        <f t="shared" si="465"/>
        <v/>
      </c>
      <c r="CV417" s="2">
        <f t="shared" si="466"/>
        <v>2.413636363636364</v>
      </c>
      <c r="CW417" s="1" t="s">
        <v>1198</v>
      </c>
      <c r="CX417" s="311" t="str">
        <f t="shared" si="444"/>
        <v>reg</v>
      </c>
      <c r="CY417" t="s">
        <v>540</v>
      </c>
      <c r="CZ417">
        <v>2020</v>
      </c>
      <c r="DA417">
        <v>2100</v>
      </c>
      <c r="DB417">
        <f>DA417-CZ417</f>
        <v>80</v>
      </c>
      <c r="DC417" t="str">
        <f t="shared" si="445"/>
        <v>71-100</v>
      </c>
      <c r="DD417">
        <v>0</v>
      </c>
      <c r="DE417">
        <v>1</v>
      </c>
      <c r="DF417">
        <v>1</v>
      </c>
      <c r="DG417">
        <v>1</v>
      </c>
      <c r="DH417"/>
      <c r="DI417">
        <f t="shared" si="446"/>
        <v>3</v>
      </c>
      <c r="DJ417" t="str">
        <f t="shared" si="447"/>
        <v>mixedProduct</v>
      </c>
      <c r="DK417">
        <f t="shared" si="448"/>
        <v>0</v>
      </c>
      <c r="DL417" t="str">
        <f t="shared" si="449"/>
        <v>Energy</v>
      </c>
      <c r="DM417" t="str">
        <f t="shared" si="450"/>
        <v>Pulp/Paper</v>
      </c>
      <c r="DN417" t="str">
        <f t="shared" si="451"/>
        <v>Timber</v>
      </c>
      <c r="DO417">
        <v>1</v>
      </c>
      <c r="DP417">
        <v>0</v>
      </c>
      <c r="DQ417">
        <v>0</v>
      </c>
      <c r="DR417">
        <v>0</v>
      </c>
      <c r="DS417">
        <v>0</v>
      </c>
      <c r="DT417">
        <f t="shared" si="452"/>
        <v>1</v>
      </c>
      <c r="DU417" s="143" t="str">
        <f t="shared" si="453"/>
        <v>self-calculated DF</v>
      </c>
      <c r="DV417">
        <v>1</v>
      </c>
      <c r="DW417">
        <v>1</v>
      </c>
      <c r="DX417">
        <v>1</v>
      </c>
      <c r="DY417">
        <v>1</v>
      </c>
      <c r="DZ417">
        <v>1</v>
      </c>
      <c r="EA417">
        <v>1</v>
      </c>
      <c r="EB417">
        <v>1</v>
      </c>
      <c r="EC417">
        <v>1</v>
      </c>
      <c r="ED417">
        <v>1</v>
      </c>
      <c r="EE417">
        <v>0</v>
      </c>
      <c r="EF417">
        <v>1</v>
      </c>
      <c r="EG417">
        <v>0</v>
      </c>
      <c r="EH417">
        <v>0</v>
      </c>
      <c r="EI417" s="2">
        <v>0</v>
      </c>
      <c r="EJ417" s="1"/>
      <c r="EK417" t="str">
        <f t="shared" si="440"/>
        <v>Whole sector</v>
      </c>
      <c r="EL417" t="str">
        <f t="shared" si="441"/>
        <v/>
      </c>
      <c r="EM417" s="2" t="str">
        <f t="shared" si="387"/>
        <v/>
      </c>
      <c r="EN417"/>
      <c r="EO417"/>
      <c r="EP417" t="b">
        <f>IF(ISNUMBER(BU417),IF(ABS(BU417-[1]QC_indicators!$B$2)&gt;3*[1]QC_indicators!$C$2,"C ratio",IF(ISNUMBER(BY417),IF(ABS(BY417-[1]QC_indicators!$B$1)&gt;3*[1]QC_indicators!$C$1,"DF","no"))),IF(ISNUMBER(BY417),IF(ABS(BY417-[1]QC_indicators!$B$1)&gt;3*[1]QC_indicators!$C$1,"DF","no")))</f>
        <v>0</v>
      </c>
      <c r="EQ417"/>
      <c r="ER417" s="313" t="s">
        <v>349</v>
      </c>
      <c r="ES417"/>
      <c r="ET417"/>
      <c r="EU417"/>
    </row>
    <row r="418" spans="1:151" s="139" customFormat="1" ht="15" hidden="1" customHeight="1">
      <c r="A418" s="1" t="s">
        <v>1352</v>
      </c>
      <c r="B418" t="s">
        <v>544</v>
      </c>
      <c r="C418" t="s">
        <v>3512</v>
      </c>
      <c r="D418" t="s">
        <v>3513</v>
      </c>
      <c r="E418" t="s">
        <v>3514</v>
      </c>
      <c r="F418" t="s">
        <v>3515</v>
      </c>
      <c r="G418" t="s">
        <v>1353</v>
      </c>
      <c r="H418" t="s">
        <v>254</v>
      </c>
      <c r="I418">
        <v>2018</v>
      </c>
      <c r="J418">
        <v>26</v>
      </c>
      <c r="K418" t="s">
        <v>3516</v>
      </c>
      <c r="L418" t="s">
        <v>388</v>
      </c>
      <c r="M418" t="str">
        <f t="shared" si="429"/>
        <v>Chen_2018a</v>
      </c>
      <c r="N418" s="311" t="s">
        <v>4382</v>
      </c>
      <c r="O418" s="145" t="s">
        <v>223</v>
      </c>
      <c r="P418"/>
      <c r="Q418" s="311" t="s">
        <v>256</v>
      </c>
      <c r="R418" s="312"/>
      <c r="S418" s="1" t="s">
        <v>3517</v>
      </c>
      <c r="T418" t="s">
        <v>3518</v>
      </c>
      <c r="U418" t="s">
        <v>3522</v>
      </c>
      <c r="V418">
        <v>0</v>
      </c>
      <c r="W418">
        <v>0</v>
      </c>
      <c r="X418">
        <v>0</v>
      </c>
      <c r="Y418">
        <v>0</v>
      </c>
      <c r="Z418">
        <v>0</v>
      </c>
      <c r="AA418">
        <v>0</v>
      </c>
      <c r="AB418">
        <v>0</v>
      </c>
      <c r="AC418">
        <v>0</v>
      </c>
      <c r="AD418">
        <v>0</v>
      </c>
      <c r="AE418">
        <v>0</v>
      </c>
      <c r="AF418">
        <v>1</v>
      </c>
      <c r="AG418">
        <v>0</v>
      </c>
      <c r="AH418">
        <v>0</v>
      </c>
      <c r="AI418">
        <v>0</v>
      </c>
      <c r="AJ418">
        <v>0</v>
      </c>
      <c r="AK418">
        <v>0</v>
      </c>
      <c r="AL418">
        <v>0</v>
      </c>
      <c r="AM418">
        <v>0</v>
      </c>
      <c r="AN418">
        <v>0</v>
      </c>
      <c r="AO418">
        <v>0</v>
      </c>
      <c r="AP418">
        <v>0</v>
      </c>
      <c r="AQ418">
        <v>0</v>
      </c>
      <c r="AR418">
        <v>0</v>
      </c>
      <c r="AS418">
        <v>0</v>
      </c>
      <c r="AT418">
        <v>0</v>
      </c>
      <c r="AU418">
        <v>0</v>
      </c>
      <c r="AV418">
        <v>0</v>
      </c>
      <c r="AW418">
        <v>0</v>
      </c>
      <c r="AX418" s="141">
        <f t="shared" si="442"/>
        <v>1</v>
      </c>
      <c r="AY418" s="141">
        <f t="shared" si="443"/>
        <v>1</v>
      </c>
      <c r="AZ418">
        <f t="shared" si="454"/>
        <v>0</v>
      </c>
      <c r="BA418">
        <f t="shared" si="455"/>
        <v>1</v>
      </c>
      <c r="BB418">
        <f t="shared" si="456"/>
        <v>0</v>
      </c>
      <c r="BC418">
        <f t="shared" si="457"/>
        <v>0</v>
      </c>
      <c r="BD418">
        <f t="shared" si="458"/>
        <v>0</v>
      </c>
      <c r="BE418" t="str" cm="1">
        <f t="array" ref="BE418">IF(AY418=1,INDEX($V$7:$AL$7,MATCH(TRUE,INDEX($V418:$AW418&lt;&gt;0,),0)),IF(AY418=0,INDEX($AM$7:$AW$7,MATCH(1,$AM418:$AW418,0)),IF(BF418="Multiple strategies","mixed drivers",IF(BF418="Supply chain","multiple supply","multiple silviculture"))))</f>
        <v>supply chain organization</v>
      </c>
      <c r="BF418" s="2" t="str" cm="1">
        <f t="array" ref="BF418">IF(COUNTIF(AZ418:BB418,"&lt;&gt;0")=1,INDEX($V$4:$AW$4,MATCH(TRUE,INDEX($V418:$AW418&lt;&gt;0,),0)),IF(COUNTIF(AZ418:BB418,"&lt;&gt;0")=0,INDEX($AM$4:$AW$4,MATCH(1,$AM418:$AW418,0)),"Multiple strategies"))</f>
        <v>Supply chain</v>
      </c>
      <c r="BG418" s="1" t="s">
        <v>321</v>
      </c>
      <c r="BH418" t="s">
        <v>3519</v>
      </c>
      <c r="BI418"/>
      <c r="BJ418" t="s">
        <v>1354</v>
      </c>
      <c r="BK418">
        <v>118</v>
      </c>
      <c r="BL418">
        <v>118</v>
      </c>
      <c r="BM418"/>
      <c r="BN418">
        <f t="shared" si="459"/>
        <v>0</v>
      </c>
      <c r="BO418">
        <f>BN418*10^6</f>
        <v>0</v>
      </c>
      <c r="BP418" s="311" t="s">
        <v>232</v>
      </c>
      <c r="BQ418" s="311"/>
      <c r="BR418" t="s">
        <v>3520</v>
      </c>
      <c r="BS418">
        <v>-66</v>
      </c>
      <c r="BT418">
        <v>111.8</v>
      </c>
      <c r="BU418">
        <v>-1.6939393939393939</v>
      </c>
      <c r="BV418">
        <v>177.8</v>
      </c>
      <c r="BW418"/>
      <c r="BX418">
        <f>BV418*10^6</f>
        <v>177800000</v>
      </c>
      <c r="BY418" t="str">
        <f t="shared" si="386"/>
        <v/>
      </c>
      <c r="BZ418">
        <v>0</v>
      </c>
      <c r="CA418">
        <v>0</v>
      </c>
      <c r="CB418">
        <v>0</v>
      </c>
      <c r="CC418">
        <v>0</v>
      </c>
      <c r="CD418">
        <v>0</v>
      </c>
      <c r="CE418">
        <v>0</v>
      </c>
      <c r="CF418">
        <v>0</v>
      </c>
      <c r="CG418">
        <v>0</v>
      </c>
      <c r="CH418">
        <v>0</v>
      </c>
      <c r="CI418">
        <v>0</v>
      </c>
      <c r="CJ418">
        <v>0</v>
      </c>
      <c r="CK418">
        <v>0</v>
      </c>
      <c r="CL418">
        <v>0</v>
      </c>
      <c r="CM418">
        <v>0</v>
      </c>
      <c r="CN418" t="str">
        <f t="shared" si="460"/>
        <v>refOK</v>
      </c>
      <c r="CO418">
        <f>IF($CN418="refOK",$BK418,$BL418)</f>
        <v>118</v>
      </c>
      <c r="CP418">
        <f>IF($CN418="refOK",$BL418,$BK418)</f>
        <v>118</v>
      </c>
      <c r="CQ418">
        <f t="shared" si="461"/>
        <v>0</v>
      </c>
      <c r="CR418">
        <f t="shared" si="462"/>
        <v>-66</v>
      </c>
      <c r="CS418">
        <f t="shared" si="463"/>
        <v>111.8</v>
      </c>
      <c r="CT418">
        <f t="shared" si="464"/>
        <v>177800000</v>
      </c>
      <c r="CU418" t="str">
        <f t="shared" si="465"/>
        <v/>
      </c>
      <c r="CV418" s="2">
        <f t="shared" si="466"/>
        <v>2.6939393939393943</v>
      </c>
      <c r="CW418" s="1" t="s">
        <v>1198</v>
      </c>
      <c r="CX418" s="311" t="str">
        <f t="shared" si="444"/>
        <v>reg</v>
      </c>
      <c r="CY418" t="s">
        <v>540</v>
      </c>
      <c r="CZ418">
        <v>2020</v>
      </c>
      <c r="DA418">
        <v>2100</v>
      </c>
      <c r="DB418">
        <f>DA418-CZ418</f>
        <v>80</v>
      </c>
      <c r="DC418" t="str">
        <f t="shared" si="445"/>
        <v>71-100</v>
      </c>
      <c r="DD418">
        <v>0</v>
      </c>
      <c r="DE418">
        <v>1</v>
      </c>
      <c r="DF418">
        <v>1</v>
      </c>
      <c r="DG418">
        <v>1</v>
      </c>
      <c r="DH418"/>
      <c r="DI418">
        <f t="shared" si="446"/>
        <v>3</v>
      </c>
      <c r="DJ418" t="str">
        <f t="shared" si="447"/>
        <v>mixedProduct</v>
      </c>
      <c r="DK418">
        <f t="shared" si="448"/>
        <v>0</v>
      </c>
      <c r="DL418" t="str">
        <f t="shared" si="449"/>
        <v>Energy</v>
      </c>
      <c r="DM418" t="str">
        <f t="shared" si="450"/>
        <v>Pulp/Paper</v>
      </c>
      <c r="DN418" t="str">
        <f t="shared" si="451"/>
        <v>Timber</v>
      </c>
      <c r="DO418">
        <v>1</v>
      </c>
      <c r="DP418">
        <v>0</v>
      </c>
      <c r="DQ418">
        <v>0</v>
      </c>
      <c r="DR418">
        <v>0</v>
      </c>
      <c r="DS418">
        <v>0</v>
      </c>
      <c r="DT418">
        <f t="shared" si="452"/>
        <v>1</v>
      </c>
      <c r="DU418" s="143" t="str">
        <f t="shared" si="453"/>
        <v>self-calculated DF</v>
      </c>
      <c r="DV418">
        <v>1</v>
      </c>
      <c r="DW418">
        <v>1</v>
      </c>
      <c r="DX418">
        <v>1</v>
      </c>
      <c r="DY418">
        <v>1</v>
      </c>
      <c r="DZ418">
        <v>1</v>
      </c>
      <c r="EA418">
        <v>1</v>
      </c>
      <c r="EB418">
        <v>1</v>
      </c>
      <c r="EC418">
        <v>1</v>
      </c>
      <c r="ED418">
        <v>1</v>
      </c>
      <c r="EE418">
        <v>0</v>
      </c>
      <c r="EF418">
        <v>1</v>
      </c>
      <c r="EG418">
        <v>0</v>
      </c>
      <c r="EH418">
        <v>0</v>
      </c>
      <c r="EI418" s="2">
        <v>0</v>
      </c>
      <c r="EJ418" s="1"/>
      <c r="EK418" t="str">
        <f t="shared" si="440"/>
        <v>Whole sector</v>
      </c>
      <c r="EL418" t="str">
        <f t="shared" si="441"/>
        <v/>
      </c>
      <c r="EM418" s="2" t="str">
        <f t="shared" si="387"/>
        <v/>
      </c>
      <c r="EN418"/>
      <c r="EO418"/>
      <c r="EP418" t="b">
        <f>IF(ISNUMBER(BU418),IF(ABS(BU418-[1]QC_indicators!$B$2)&gt;3*[1]QC_indicators!$C$2,"C ratio",IF(ISNUMBER(BY418),IF(ABS(BY418-[1]QC_indicators!$B$1)&gt;3*[1]QC_indicators!$C$1,"DF","no"))),IF(ISNUMBER(BY418),IF(ABS(BY418-[1]QC_indicators!$B$1)&gt;3*[1]QC_indicators!$C$1,"DF","no")))</f>
        <v>0</v>
      </c>
      <c r="EQ418"/>
      <c r="ER418" s="313" t="s">
        <v>349</v>
      </c>
      <c r="ES418"/>
      <c r="ET418"/>
      <c r="EU418"/>
    </row>
    <row r="419" spans="1:151" s="139" customFormat="1" ht="15" hidden="1" customHeight="1">
      <c r="A419" s="1" t="s">
        <v>1356</v>
      </c>
      <c r="B419" t="s">
        <v>3523</v>
      </c>
      <c r="C419" t="s">
        <v>3524</v>
      </c>
      <c r="D419" t="s">
        <v>3525</v>
      </c>
      <c r="E419" t="s">
        <v>3526</v>
      </c>
      <c r="F419" t="s">
        <v>3527</v>
      </c>
      <c r="G419" t="s">
        <v>1357</v>
      </c>
      <c r="H419" t="s">
        <v>254</v>
      </c>
      <c r="I419">
        <v>2018</v>
      </c>
      <c r="J419">
        <v>5</v>
      </c>
      <c r="K419" t="s">
        <v>3528</v>
      </c>
      <c r="L419" t="s">
        <v>406</v>
      </c>
      <c r="M419" t="str">
        <f t="shared" si="429"/>
        <v>Chen_2018b</v>
      </c>
      <c r="N419" s="311" t="s">
        <v>4382</v>
      </c>
      <c r="O419" s="145" t="s">
        <v>223</v>
      </c>
      <c r="P419"/>
      <c r="Q419" s="311" t="s">
        <v>256</v>
      </c>
      <c r="R419" s="312"/>
      <c r="S419" s="1" t="s">
        <v>3529</v>
      </c>
      <c r="T419" t="s">
        <v>3530</v>
      </c>
      <c r="U419" t="s">
        <v>3531</v>
      </c>
      <c r="V419">
        <v>0</v>
      </c>
      <c r="W419">
        <v>0</v>
      </c>
      <c r="X419">
        <v>0</v>
      </c>
      <c r="Y419">
        <v>0</v>
      </c>
      <c r="Z419">
        <v>0</v>
      </c>
      <c r="AA419">
        <v>0</v>
      </c>
      <c r="AB419">
        <v>0</v>
      </c>
      <c r="AC419">
        <v>0</v>
      </c>
      <c r="AD419">
        <v>0</v>
      </c>
      <c r="AE419">
        <v>0</v>
      </c>
      <c r="AF419">
        <v>1</v>
      </c>
      <c r="AG419">
        <v>0</v>
      </c>
      <c r="AH419">
        <v>0</v>
      </c>
      <c r="AI419">
        <v>0</v>
      </c>
      <c r="AJ419">
        <v>0</v>
      </c>
      <c r="AK419">
        <v>0</v>
      </c>
      <c r="AL419">
        <v>0</v>
      </c>
      <c r="AM419">
        <v>0</v>
      </c>
      <c r="AN419">
        <v>0</v>
      </c>
      <c r="AO419">
        <v>0</v>
      </c>
      <c r="AP419">
        <v>0</v>
      </c>
      <c r="AQ419">
        <v>0</v>
      </c>
      <c r="AR419">
        <v>0</v>
      </c>
      <c r="AS419">
        <v>0</v>
      </c>
      <c r="AT419">
        <v>0</v>
      </c>
      <c r="AU419">
        <v>0</v>
      </c>
      <c r="AV419">
        <v>0</v>
      </c>
      <c r="AW419">
        <v>0</v>
      </c>
      <c r="AX419" s="141">
        <f t="shared" si="442"/>
        <v>1</v>
      </c>
      <c r="AY419" s="141">
        <f t="shared" si="443"/>
        <v>1</v>
      </c>
      <c r="AZ419">
        <f t="shared" si="454"/>
        <v>0</v>
      </c>
      <c r="BA419">
        <f t="shared" si="455"/>
        <v>1</v>
      </c>
      <c r="BB419">
        <f t="shared" si="456"/>
        <v>0</v>
      </c>
      <c r="BC419">
        <f t="shared" si="457"/>
        <v>0</v>
      </c>
      <c r="BD419">
        <f t="shared" si="458"/>
        <v>0</v>
      </c>
      <c r="BE419" t="str" cm="1">
        <f t="array" ref="BE419">IF(AY419=1,INDEX($V$7:$AL$7,MATCH(TRUE,INDEX($V419:$AW419&lt;&gt;0,),0)),IF(AY419=0,INDEX($AM$7:$AW$7,MATCH(1,$AM419:$AW419,0)),IF(BF419="Multiple strategies","mixed drivers",IF(BF419="Supply chain","multiple supply","multiple silviculture"))))</f>
        <v>supply chain organization</v>
      </c>
      <c r="BF419" s="2" t="str" cm="1">
        <f t="array" ref="BF419">IF(COUNTIF(AZ419:BB419,"&lt;&gt;0")=1,INDEX($V$4:$AW$4,MATCH(TRUE,INDEX($V419:$AW419&lt;&gt;0,),0)),IF(COUNTIF(AZ419:BB419,"&lt;&gt;0")=0,INDEX($AM$4:$AW$4,MATCH(1,$AM419:$AW419,0)),"Multiple strategies"))</f>
        <v>Supply chain</v>
      </c>
      <c r="BG419" s="1" t="s">
        <v>321</v>
      </c>
      <c r="BH419" t="s">
        <v>3532</v>
      </c>
      <c r="BI419"/>
      <c r="BJ419" t="s">
        <v>498</v>
      </c>
      <c r="BK419">
        <v>1833</v>
      </c>
      <c r="BL419">
        <v>1833</v>
      </c>
      <c r="BM419"/>
      <c r="BN419">
        <f t="shared" si="459"/>
        <v>0</v>
      </c>
      <c r="BO419">
        <v>0</v>
      </c>
      <c r="BP419" s="311" t="s">
        <v>232</v>
      </c>
      <c r="BQ419" s="311"/>
      <c r="BR419" t="s">
        <v>1358</v>
      </c>
      <c r="BS419">
        <v>38.799999999999997</v>
      </c>
      <c r="BT419">
        <v>-33.9</v>
      </c>
      <c r="BU419" s="144">
        <v>-0.87371134020618557</v>
      </c>
      <c r="BV419">
        <v>-72.699999999999989</v>
      </c>
      <c r="BW419"/>
      <c r="BX419">
        <f>BV419*10^6*C_to_CO2</f>
        <v>-266808999.99999994</v>
      </c>
      <c r="BY419" t="str">
        <f t="shared" si="386"/>
        <v/>
      </c>
      <c r="BZ419">
        <v>0</v>
      </c>
      <c r="CA419">
        <v>0</v>
      </c>
      <c r="CB419">
        <v>0</v>
      </c>
      <c r="CC419">
        <v>0</v>
      </c>
      <c r="CD419">
        <v>0</v>
      </c>
      <c r="CE419">
        <v>0</v>
      </c>
      <c r="CF419">
        <v>0</v>
      </c>
      <c r="CG419">
        <v>0</v>
      </c>
      <c r="CH419">
        <v>0</v>
      </c>
      <c r="CI419">
        <v>0</v>
      </c>
      <c r="CJ419">
        <v>0</v>
      </c>
      <c r="CK419">
        <v>0</v>
      </c>
      <c r="CL419">
        <v>0</v>
      </c>
      <c r="CM419">
        <v>0</v>
      </c>
      <c r="CN419" t="str">
        <f t="shared" si="460"/>
        <v>refOK</v>
      </c>
      <c r="CO419">
        <f>IF($CN419="refNeedCorrection",BL419,BK419)</f>
        <v>1833</v>
      </c>
      <c r="CP419">
        <f>IF($CN419="refNeedCorrection",BK419,BL419)</f>
        <v>1833</v>
      </c>
      <c r="CQ419">
        <f t="shared" si="461"/>
        <v>0</v>
      </c>
      <c r="CR419">
        <f t="shared" si="462"/>
        <v>38.799999999999997</v>
      </c>
      <c r="CS419">
        <f t="shared" si="463"/>
        <v>-33.9</v>
      </c>
      <c r="CT419">
        <f t="shared" si="464"/>
        <v>-266808999.99999994</v>
      </c>
      <c r="CU419" t="str">
        <f t="shared" si="465"/>
        <v/>
      </c>
      <c r="CV419" s="2">
        <f t="shared" si="466"/>
        <v>-1.8737113402061853</v>
      </c>
      <c r="CW419" s="1" t="s">
        <v>1198</v>
      </c>
      <c r="CX419" s="311" t="str">
        <f t="shared" si="444"/>
        <v>reg</v>
      </c>
      <c r="CY419" t="s">
        <v>540</v>
      </c>
      <c r="CZ419">
        <v>2020</v>
      </c>
      <c r="DA419">
        <v>2100</v>
      </c>
      <c r="DB419">
        <f>DA419-CZ419</f>
        <v>80</v>
      </c>
      <c r="DC419" t="str">
        <f t="shared" si="445"/>
        <v>71-100</v>
      </c>
      <c r="DD419">
        <v>0</v>
      </c>
      <c r="DE419">
        <v>1</v>
      </c>
      <c r="DF419">
        <v>1</v>
      </c>
      <c r="DG419">
        <v>1</v>
      </c>
      <c r="DH419"/>
      <c r="DI419">
        <f t="shared" si="446"/>
        <v>3</v>
      </c>
      <c r="DJ419" t="str">
        <f t="shared" si="447"/>
        <v>mixedProduct</v>
      </c>
      <c r="DK419">
        <f t="shared" si="448"/>
        <v>0</v>
      </c>
      <c r="DL419" t="str">
        <f t="shared" si="449"/>
        <v>Energy</v>
      </c>
      <c r="DM419" t="str">
        <f t="shared" si="450"/>
        <v>Pulp/Paper</v>
      </c>
      <c r="DN419" t="str">
        <f t="shared" si="451"/>
        <v>Timber</v>
      </c>
      <c r="DO419">
        <v>1</v>
      </c>
      <c r="DP419">
        <v>0</v>
      </c>
      <c r="DQ419">
        <v>0</v>
      </c>
      <c r="DR419">
        <v>0</v>
      </c>
      <c r="DS419">
        <v>0</v>
      </c>
      <c r="DT419">
        <f t="shared" si="452"/>
        <v>1</v>
      </c>
      <c r="DU419" s="143" t="str">
        <f t="shared" si="453"/>
        <v>self-calculated DF</v>
      </c>
      <c r="DV419">
        <v>1</v>
      </c>
      <c r="DW419">
        <v>1</v>
      </c>
      <c r="DX419">
        <v>1</v>
      </c>
      <c r="DY419">
        <v>1</v>
      </c>
      <c r="DZ419">
        <v>1</v>
      </c>
      <c r="EA419">
        <v>1</v>
      </c>
      <c r="EB419">
        <v>1</v>
      </c>
      <c r="EC419">
        <v>1</v>
      </c>
      <c r="ED419">
        <v>1</v>
      </c>
      <c r="EE419">
        <v>0</v>
      </c>
      <c r="EF419">
        <v>1</v>
      </c>
      <c r="EG419">
        <v>0</v>
      </c>
      <c r="EH419">
        <v>0</v>
      </c>
      <c r="EI419" s="2">
        <v>0</v>
      </c>
      <c r="EJ419" s="1"/>
      <c r="EK419" t="str">
        <f t="shared" si="440"/>
        <v>Whole sector</v>
      </c>
      <c r="EL419" t="str">
        <f t="shared" si="441"/>
        <v/>
      </c>
      <c r="EM419" s="2" t="str">
        <f t="shared" si="387"/>
        <v/>
      </c>
      <c r="EN419"/>
      <c r="EO419"/>
      <c r="EP419" t="b">
        <f>IF(ISNUMBER(BU419),IF(ABS(BU419-[1]QC_indicators!$B$2)&gt;3*[1]QC_indicators!$C$2,"C ratio",IF(ISNUMBER(BY419),IF(ABS(BY419-[1]QC_indicators!$B$1)&gt;3*[1]QC_indicators!$C$1,"DF","no"))),IF(ISNUMBER(BY419),IF(ABS(BY419-[1]QC_indicators!$B$1)&gt;3*[1]QC_indicators!$C$1,"DF","no")))</f>
        <v>0</v>
      </c>
      <c r="EQ419"/>
      <c r="ER419" s="313" t="s">
        <v>349</v>
      </c>
      <c r="ES419"/>
      <c r="ET419"/>
      <c r="EU419"/>
    </row>
    <row r="420" spans="1:151" s="139" customFormat="1" ht="15" hidden="1" customHeight="1">
      <c r="A420" s="1" t="s">
        <v>1356</v>
      </c>
      <c r="B420" t="s">
        <v>3523</v>
      </c>
      <c r="C420" t="s">
        <v>3524</v>
      </c>
      <c r="D420" t="s">
        <v>3525</v>
      </c>
      <c r="E420" t="s">
        <v>3526</v>
      </c>
      <c r="F420" t="s">
        <v>3527</v>
      </c>
      <c r="G420" t="s">
        <v>1357</v>
      </c>
      <c r="H420" t="s">
        <v>254</v>
      </c>
      <c r="I420">
        <v>2018</v>
      </c>
      <c r="J420">
        <v>5</v>
      </c>
      <c r="K420" t="s">
        <v>3528</v>
      </c>
      <c r="L420" t="s">
        <v>406</v>
      </c>
      <c r="M420" t="str">
        <f t="shared" si="429"/>
        <v>Chen_2018b</v>
      </c>
      <c r="N420" s="311" t="s">
        <v>4382</v>
      </c>
      <c r="O420" s="145" t="s">
        <v>223</v>
      </c>
      <c r="P420"/>
      <c r="Q420" s="311" t="s">
        <v>256</v>
      </c>
      <c r="R420" s="312"/>
      <c r="S420" s="1" t="s">
        <v>3533</v>
      </c>
      <c r="T420" t="s">
        <v>3534</v>
      </c>
      <c r="U420" t="s">
        <v>3535</v>
      </c>
      <c r="V420">
        <v>0</v>
      </c>
      <c r="W420">
        <v>0</v>
      </c>
      <c r="X420">
        <v>0</v>
      </c>
      <c r="Y420">
        <v>0</v>
      </c>
      <c r="Z420">
        <v>0</v>
      </c>
      <c r="AA420">
        <v>0</v>
      </c>
      <c r="AB420">
        <v>0</v>
      </c>
      <c r="AC420">
        <v>0</v>
      </c>
      <c r="AD420">
        <v>0</v>
      </c>
      <c r="AE420">
        <v>0</v>
      </c>
      <c r="AF420">
        <v>1</v>
      </c>
      <c r="AG420">
        <v>0</v>
      </c>
      <c r="AH420">
        <v>0</v>
      </c>
      <c r="AI420">
        <v>0</v>
      </c>
      <c r="AJ420">
        <v>0</v>
      </c>
      <c r="AK420">
        <v>0</v>
      </c>
      <c r="AL420">
        <v>0</v>
      </c>
      <c r="AM420">
        <v>0</v>
      </c>
      <c r="AN420">
        <v>0</v>
      </c>
      <c r="AO420">
        <v>0</v>
      </c>
      <c r="AP420">
        <v>0</v>
      </c>
      <c r="AQ420">
        <v>0</v>
      </c>
      <c r="AR420">
        <v>0</v>
      </c>
      <c r="AS420">
        <v>0</v>
      </c>
      <c r="AT420">
        <v>0</v>
      </c>
      <c r="AU420">
        <v>0</v>
      </c>
      <c r="AV420">
        <v>0</v>
      </c>
      <c r="AW420">
        <v>0</v>
      </c>
      <c r="AX420" s="141">
        <f t="shared" si="442"/>
        <v>1</v>
      </c>
      <c r="AY420" s="141">
        <f t="shared" si="443"/>
        <v>1</v>
      </c>
      <c r="AZ420">
        <f t="shared" si="454"/>
        <v>0</v>
      </c>
      <c r="BA420">
        <f t="shared" si="455"/>
        <v>1</v>
      </c>
      <c r="BB420">
        <f t="shared" si="456"/>
        <v>0</v>
      </c>
      <c r="BC420">
        <f t="shared" si="457"/>
        <v>0</v>
      </c>
      <c r="BD420">
        <f t="shared" si="458"/>
        <v>0</v>
      </c>
      <c r="BE420" t="str" cm="1">
        <f t="array" ref="BE420">IF(AY420=1,INDEX($V$7:$AL$7,MATCH(TRUE,INDEX($V420:$AW420&lt;&gt;0,),0)),IF(AY420=0,INDEX($AM$7:$AW$7,MATCH(1,$AM420:$AW420,0)),IF(BF420="Multiple strategies","mixed drivers",IF(BF420="Supply chain","multiple supply","multiple silviculture"))))</f>
        <v>supply chain organization</v>
      </c>
      <c r="BF420" s="2" t="str" cm="1">
        <f t="array" ref="BF420">IF(COUNTIF(AZ420:BB420,"&lt;&gt;0")=1,INDEX($V$4:$AW$4,MATCH(TRUE,INDEX($V420:$AW420&lt;&gt;0,),0)),IF(COUNTIF(AZ420:BB420,"&lt;&gt;0")=0,INDEX($AM$4:$AW$4,MATCH(1,$AM420:$AW420,0)),"Multiple strategies"))</f>
        <v>Supply chain</v>
      </c>
      <c r="BG420" s="1" t="s">
        <v>321</v>
      </c>
      <c r="BH420" t="s">
        <v>3532</v>
      </c>
      <c r="BI420"/>
      <c r="BJ420" t="s">
        <v>498</v>
      </c>
      <c r="BK420">
        <v>1833</v>
      </c>
      <c r="BL420">
        <v>1833</v>
      </c>
      <c r="BM420"/>
      <c r="BN420">
        <f t="shared" si="459"/>
        <v>0</v>
      </c>
      <c r="BO420">
        <v>0</v>
      </c>
      <c r="BP420" s="311" t="s">
        <v>232</v>
      </c>
      <c r="BQ420" s="311"/>
      <c r="BR420" t="s">
        <v>1358</v>
      </c>
      <c r="BS420">
        <v>-33.9</v>
      </c>
      <c r="BT420">
        <v>-96.1</v>
      </c>
      <c r="BU420" s="144">
        <v>2.8348082595870205</v>
      </c>
      <c r="BV420">
        <v>-62.199999999999996</v>
      </c>
      <c r="BW420"/>
      <c r="BX420">
        <f>BV420*10^6*C_to_CO2</f>
        <v>-228273999.99999997</v>
      </c>
      <c r="BY420" t="str">
        <f t="shared" si="386"/>
        <v/>
      </c>
      <c r="BZ420">
        <v>0</v>
      </c>
      <c r="CA420">
        <v>0</v>
      </c>
      <c r="CB420">
        <v>0</v>
      </c>
      <c r="CC420">
        <v>0</v>
      </c>
      <c r="CD420">
        <v>0</v>
      </c>
      <c r="CE420">
        <v>0</v>
      </c>
      <c r="CF420">
        <v>0</v>
      </c>
      <c r="CG420">
        <v>0</v>
      </c>
      <c r="CH420">
        <v>0</v>
      </c>
      <c r="CI420">
        <v>0</v>
      </c>
      <c r="CJ420">
        <v>0</v>
      </c>
      <c r="CK420">
        <v>0</v>
      </c>
      <c r="CL420">
        <v>0</v>
      </c>
      <c r="CM420">
        <v>0</v>
      </c>
      <c r="CN420" t="str">
        <f t="shared" si="460"/>
        <v>refOK</v>
      </c>
      <c r="CO420">
        <f>IF($CN420="refNeedCorrection",BL420,BK420)</f>
        <v>1833</v>
      </c>
      <c r="CP420">
        <f>IF($CN420="refNeedCorrection",BK420,BL420)</f>
        <v>1833</v>
      </c>
      <c r="CQ420">
        <f t="shared" si="461"/>
        <v>0</v>
      </c>
      <c r="CR420">
        <f t="shared" si="462"/>
        <v>-33.9</v>
      </c>
      <c r="CS420">
        <f t="shared" si="463"/>
        <v>-96.1</v>
      </c>
      <c r="CT420">
        <f t="shared" si="464"/>
        <v>-228273999.99999997</v>
      </c>
      <c r="CU420" t="str">
        <f t="shared" si="465"/>
        <v/>
      </c>
      <c r="CV420" s="2">
        <f t="shared" si="466"/>
        <v>-1.8348082595870205</v>
      </c>
      <c r="CW420" s="1" t="s">
        <v>1198</v>
      </c>
      <c r="CX420" s="311" t="str">
        <f t="shared" si="444"/>
        <v>reg</v>
      </c>
      <c r="CY420" t="s">
        <v>540</v>
      </c>
      <c r="CZ420">
        <v>2020</v>
      </c>
      <c r="DA420">
        <v>2100</v>
      </c>
      <c r="DB420">
        <f>DA420-CZ420</f>
        <v>80</v>
      </c>
      <c r="DC420" t="str">
        <f t="shared" si="445"/>
        <v>71-100</v>
      </c>
      <c r="DD420">
        <v>0</v>
      </c>
      <c r="DE420">
        <v>1</v>
      </c>
      <c r="DF420">
        <v>1</v>
      </c>
      <c r="DG420">
        <v>1</v>
      </c>
      <c r="DH420"/>
      <c r="DI420">
        <f t="shared" si="446"/>
        <v>3</v>
      </c>
      <c r="DJ420" t="str">
        <f t="shared" si="447"/>
        <v>mixedProduct</v>
      </c>
      <c r="DK420">
        <f t="shared" si="448"/>
        <v>0</v>
      </c>
      <c r="DL420" t="str">
        <f t="shared" si="449"/>
        <v>Energy</v>
      </c>
      <c r="DM420" t="str">
        <f t="shared" si="450"/>
        <v>Pulp/Paper</v>
      </c>
      <c r="DN420" t="str">
        <f t="shared" si="451"/>
        <v>Timber</v>
      </c>
      <c r="DO420">
        <v>1</v>
      </c>
      <c r="DP420">
        <v>0</v>
      </c>
      <c r="DQ420">
        <v>0</v>
      </c>
      <c r="DR420">
        <v>0</v>
      </c>
      <c r="DS420">
        <v>0</v>
      </c>
      <c r="DT420">
        <f t="shared" si="452"/>
        <v>1</v>
      </c>
      <c r="DU420" s="143" t="str">
        <f t="shared" si="453"/>
        <v>self-calculated DF</v>
      </c>
      <c r="DV420">
        <v>1</v>
      </c>
      <c r="DW420">
        <v>1</v>
      </c>
      <c r="DX420">
        <v>1</v>
      </c>
      <c r="DY420">
        <v>1</v>
      </c>
      <c r="DZ420">
        <v>1</v>
      </c>
      <c r="EA420">
        <v>1</v>
      </c>
      <c r="EB420">
        <v>1</v>
      </c>
      <c r="EC420">
        <v>1</v>
      </c>
      <c r="ED420">
        <v>1</v>
      </c>
      <c r="EE420">
        <v>0</v>
      </c>
      <c r="EF420">
        <v>1</v>
      </c>
      <c r="EG420">
        <v>0</v>
      </c>
      <c r="EH420">
        <v>0</v>
      </c>
      <c r="EI420" s="2">
        <v>0</v>
      </c>
      <c r="EJ420" s="1"/>
      <c r="EK420" t="str">
        <f t="shared" si="440"/>
        <v>Whole sector</v>
      </c>
      <c r="EL420" t="str">
        <f t="shared" si="441"/>
        <v/>
      </c>
      <c r="EM420" s="2" t="str">
        <f t="shared" si="387"/>
        <v/>
      </c>
      <c r="EN420" t="s">
        <v>3536</v>
      </c>
      <c r="EO420" t="s">
        <v>450</v>
      </c>
      <c r="EP420" t="b">
        <f>IF(ISNUMBER(BU420),IF(ABS(BU420-[1]QC_indicators!$B$2)&gt;3*[1]QC_indicators!$C$2,"C ratio",IF(ISNUMBER(BY420),IF(ABS(BY420-[1]QC_indicators!$B$1)&gt;3*[1]QC_indicators!$C$1,"DF","no"))),IF(ISNUMBER(BY420),IF(ABS(BY420-[1]QC_indicators!$B$1)&gt;3*[1]QC_indicators!$C$1,"DF","no")))</f>
        <v>0</v>
      </c>
      <c r="EQ420"/>
      <c r="ER420"/>
      <c r="ES420"/>
      <c r="ET420"/>
      <c r="EU420"/>
    </row>
    <row r="421" spans="1:151" s="139" customFormat="1" ht="15" hidden="1" customHeight="1">
      <c r="A421" s="1" t="s">
        <v>1356</v>
      </c>
      <c r="B421" t="s">
        <v>3523</v>
      </c>
      <c r="C421" t="s">
        <v>3524</v>
      </c>
      <c r="D421" t="s">
        <v>3525</v>
      </c>
      <c r="E421" t="s">
        <v>3526</v>
      </c>
      <c r="F421" t="s">
        <v>3527</v>
      </c>
      <c r="G421" t="s">
        <v>1357</v>
      </c>
      <c r="H421" t="s">
        <v>254</v>
      </c>
      <c r="I421">
        <v>2018</v>
      </c>
      <c r="J421">
        <v>5</v>
      </c>
      <c r="K421" t="s">
        <v>3528</v>
      </c>
      <c r="L421" t="s">
        <v>406</v>
      </c>
      <c r="M421" t="str">
        <f t="shared" si="429"/>
        <v>Chen_2018b</v>
      </c>
      <c r="N421" s="311" t="s">
        <v>4382</v>
      </c>
      <c r="O421" s="145" t="s">
        <v>223</v>
      </c>
      <c r="P421"/>
      <c r="Q421" s="311" t="s">
        <v>256</v>
      </c>
      <c r="R421" s="312"/>
      <c r="S421" s="1" t="s">
        <v>3533</v>
      </c>
      <c r="T421" t="s">
        <v>3534</v>
      </c>
      <c r="U421" t="s">
        <v>3535</v>
      </c>
      <c r="V421">
        <v>0</v>
      </c>
      <c r="W421">
        <v>0</v>
      </c>
      <c r="X421">
        <v>0</v>
      </c>
      <c r="Y421">
        <v>0</v>
      </c>
      <c r="Z421">
        <v>0</v>
      </c>
      <c r="AA421">
        <v>0</v>
      </c>
      <c r="AB421">
        <v>0</v>
      </c>
      <c r="AC421">
        <v>0</v>
      </c>
      <c r="AD421">
        <v>0</v>
      </c>
      <c r="AE421">
        <v>0</v>
      </c>
      <c r="AF421">
        <v>1</v>
      </c>
      <c r="AG421">
        <v>0</v>
      </c>
      <c r="AH421">
        <v>0</v>
      </c>
      <c r="AI421">
        <v>0</v>
      </c>
      <c r="AJ421">
        <v>0</v>
      </c>
      <c r="AK421">
        <v>0</v>
      </c>
      <c r="AL421">
        <v>0</v>
      </c>
      <c r="AM421">
        <v>0</v>
      </c>
      <c r="AN421">
        <v>0</v>
      </c>
      <c r="AO421">
        <v>0</v>
      </c>
      <c r="AP421">
        <v>0</v>
      </c>
      <c r="AQ421">
        <v>0</v>
      </c>
      <c r="AR421">
        <v>0</v>
      </c>
      <c r="AS421">
        <v>0</v>
      </c>
      <c r="AT421">
        <v>0</v>
      </c>
      <c r="AU421">
        <v>0</v>
      </c>
      <c r="AV421">
        <v>0</v>
      </c>
      <c r="AW421">
        <v>0</v>
      </c>
      <c r="AX421" s="141">
        <f t="shared" si="442"/>
        <v>1</v>
      </c>
      <c r="AY421" s="141">
        <f t="shared" si="443"/>
        <v>1</v>
      </c>
      <c r="AZ421">
        <f t="shared" si="454"/>
        <v>0</v>
      </c>
      <c r="BA421">
        <f t="shared" si="455"/>
        <v>1</v>
      </c>
      <c r="BB421">
        <f t="shared" si="456"/>
        <v>0</v>
      </c>
      <c r="BC421">
        <f t="shared" si="457"/>
        <v>0</v>
      </c>
      <c r="BD421">
        <f t="shared" si="458"/>
        <v>0</v>
      </c>
      <c r="BE421" t="str" cm="1">
        <f t="array" ref="BE421">IF(AY421=1,INDEX($V$7:$AL$7,MATCH(TRUE,INDEX($V421:$AW421&lt;&gt;0,),0)),IF(AY421=0,INDEX($AM$7:$AW$7,MATCH(1,$AM421:$AW421,0)),IF(BF421="Multiple strategies","mixed drivers",IF(BF421="Supply chain","multiple supply","multiple silviculture"))))</f>
        <v>supply chain organization</v>
      </c>
      <c r="BF421" s="2" t="str" cm="1">
        <f t="array" ref="BF421">IF(COUNTIF(AZ421:BB421,"&lt;&gt;0")=1,INDEX($V$4:$AW$4,MATCH(TRUE,INDEX($V421:$AW421&lt;&gt;0,),0)),IF(COUNTIF(AZ421:BB421,"&lt;&gt;0")=0,INDEX($AM$4:$AW$4,MATCH(1,$AM421:$AW421,0)),"Multiple strategies"))</f>
        <v>Supply chain</v>
      </c>
      <c r="BG421" s="1" t="s">
        <v>321</v>
      </c>
      <c r="BH421" t="s">
        <v>3532</v>
      </c>
      <c r="BI421"/>
      <c r="BJ421" t="s">
        <v>498</v>
      </c>
      <c r="BK421">
        <v>1833</v>
      </c>
      <c r="BL421">
        <v>1833</v>
      </c>
      <c r="BM421"/>
      <c r="BN421">
        <f t="shared" si="459"/>
        <v>0</v>
      </c>
      <c r="BO421">
        <v>0</v>
      </c>
      <c r="BP421" s="311" t="s">
        <v>232</v>
      </c>
      <c r="BQ421" s="311"/>
      <c r="BR421" t="s">
        <v>1358</v>
      </c>
      <c r="BS421">
        <v>-33.9</v>
      </c>
      <c r="BT421">
        <v>-96.1</v>
      </c>
      <c r="BU421">
        <v>2.8348082595870205</v>
      </c>
      <c r="BV421">
        <v>-62.199999999999996</v>
      </c>
      <c r="BW421"/>
      <c r="BX421">
        <f>BV421*10^6*C_to_CO2</f>
        <v>-228273999.99999997</v>
      </c>
      <c r="BY421" t="str">
        <f t="shared" si="386"/>
        <v/>
      </c>
      <c r="BZ421">
        <v>0</v>
      </c>
      <c r="CA421">
        <v>0</v>
      </c>
      <c r="CB421">
        <v>0</v>
      </c>
      <c r="CC421">
        <v>0</v>
      </c>
      <c r="CD421">
        <v>0</v>
      </c>
      <c r="CE421">
        <v>0</v>
      </c>
      <c r="CF421">
        <v>0</v>
      </c>
      <c r="CG421">
        <v>0</v>
      </c>
      <c r="CH421">
        <v>0</v>
      </c>
      <c r="CI421">
        <v>0</v>
      </c>
      <c r="CJ421">
        <v>0</v>
      </c>
      <c r="CK421">
        <v>0</v>
      </c>
      <c r="CL421">
        <v>0</v>
      </c>
      <c r="CM421">
        <v>0</v>
      </c>
      <c r="CN421" t="str">
        <f t="shared" si="460"/>
        <v>refOK</v>
      </c>
      <c r="CO421">
        <f>IF($CN421="refNeedCorrection",BL421,BK421)</f>
        <v>1833</v>
      </c>
      <c r="CP421">
        <f>IF($CN421="refNeedCorrection",BK421,BL421)</f>
        <v>1833</v>
      </c>
      <c r="CQ421">
        <f t="shared" si="461"/>
        <v>0</v>
      </c>
      <c r="CR421">
        <f t="shared" si="462"/>
        <v>-33.9</v>
      </c>
      <c r="CS421">
        <f t="shared" si="463"/>
        <v>-96.1</v>
      </c>
      <c r="CT421">
        <f t="shared" si="464"/>
        <v>-228273999.99999997</v>
      </c>
      <c r="CU421" t="str">
        <f t="shared" si="465"/>
        <v/>
      </c>
      <c r="CV421" s="2">
        <f t="shared" si="466"/>
        <v>-1.8348082595870205</v>
      </c>
      <c r="CW421" s="1" t="s">
        <v>1198</v>
      </c>
      <c r="CX421" s="311" t="str">
        <f t="shared" si="444"/>
        <v>reg</v>
      </c>
      <c r="CY421" t="s">
        <v>540</v>
      </c>
      <c r="CZ421">
        <v>2020</v>
      </c>
      <c r="DA421">
        <v>2100</v>
      </c>
      <c r="DB421">
        <f>DA421-CZ421</f>
        <v>80</v>
      </c>
      <c r="DC421" t="str">
        <f t="shared" si="445"/>
        <v>71-100</v>
      </c>
      <c r="DD421">
        <v>0</v>
      </c>
      <c r="DE421">
        <v>1</v>
      </c>
      <c r="DF421">
        <v>1</v>
      </c>
      <c r="DG421">
        <v>1</v>
      </c>
      <c r="DH421"/>
      <c r="DI421">
        <f t="shared" si="446"/>
        <v>3</v>
      </c>
      <c r="DJ421" t="str">
        <f t="shared" si="447"/>
        <v>mixedProduct</v>
      </c>
      <c r="DK421">
        <f t="shared" si="448"/>
        <v>0</v>
      </c>
      <c r="DL421" t="str">
        <f t="shared" si="449"/>
        <v>Energy</v>
      </c>
      <c r="DM421" t="str">
        <f t="shared" si="450"/>
        <v>Pulp/Paper</v>
      </c>
      <c r="DN421" t="str">
        <f t="shared" si="451"/>
        <v>Timber</v>
      </c>
      <c r="DO421">
        <v>1</v>
      </c>
      <c r="DP421">
        <v>0</v>
      </c>
      <c r="DQ421">
        <v>0</v>
      </c>
      <c r="DR421">
        <v>0</v>
      </c>
      <c r="DS421">
        <v>0</v>
      </c>
      <c r="DT421">
        <f t="shared" si="452"/>
        <v>1</v>
      </c>
      <c r="DU421" s="143" t="str">
        <f t="shared" si="453"/>
        <v>self-calculated DF</v>
      </c>
      <c r="DV421">
        <v>1</v>
      </c>
      <c r="DW421">
        <v>1</v>
      </c>
      <c r="DX421">
        <v>1</v>
      </c>
      <c r="DY421">
        <v>1</v>
      </c>
      <c r="DZ421">
        <v>1</v>
      </c>
      <c r="EA421">
        <v>1</v>
      </c>
      <c r="EB421">
        <v>1</v>
      </c>
      <c r="EC421">
        <v>1</v>
      </c>
      <c r="ED421">
        <v>1</v>
      </c>
      <c r="EE421">
        <v>0</v>
      </c>
      <c r="EF421">
        <v>1</v>
      </c>
      <c r="EG421">
        <v>0</v>
      </c>
      <c r="EH421">
        <v>0</v>
      </c>
      <c r="EI421" s="2">
        <v>0</v>
      </c>
      <c r="EJ421" s="1"/>
      <c r="EK421" t="str">
        <f t="shared" si="440"/>
        <v>Whole sector</v>
      </c>
      <c r="EL421" t="str">
        <f t="shared" si="441"/>
        <v/>
      </c>
      <c r="EM421" s="2" t="str">
        <f t="shared" si="387"/>
        <v/>
      </c>
      <c r="EN421"/>
      <c r="EO421"/>
      <c r="EP421" t="b">
        <f>IF(ISNUMBER(BU421),IF(ABS(BU421-[1]QC_indicators!$B$2)&gt;3*[1]QC_indicators!$C$2,"C ratio",IF(ISNUMBER(BY421),IF(ABS(BY421-[1]QC_indicators!$B$1)&gt;3*[1]QC_indicators!$C$1,"DF","no"))),IF(ISNUMBER(BY421),IF(ABS(BY421-[1]QC_indicators!$B$1)&gt;3*[1]QC_indicators!$C$1,"DF","no")))</f>
        <v>0</v>
      </c>
      <c r="EQ421"/>
      <c r="ER421"/>
      <c r="ES421"/>
      <c r="ET421"/>
      <c r="EU421"/>
    </row>
    <row r="422" spans="1:151" s="139" customFormat="1" ht="15" hidden="1" customHeight="1">
      <c r="A422" s="1" t="s">
        <v>656</v>
      </c>
      <c r="B422" t="s">
        <v>4403</v>
      </c>
      <c r="C422" t="s">
        <v>4404</v>
      </c>
      <c r="D422" t="s">
        <v>4405</v>
      </c>
      <c r="E422" t="s">
        <v>4406</v>
      </c>
      <c r="F422" t="s">
        <v>4407</v>
      </c>
      <c r="G422" t="s">
        <v>662</v>
      </c>
      <c r="H422" t="s">
        <v>254</v>
      </c>
      <c r="I422">
        <v>2020</v>
      </c>
      <c r="J422">
        <v>10</v>
      </c>
      <c r="K422" t="s">
        <v>4408</v>
      </c>
      <c r="L422"/>
      <c r="M422" t="str">
        <f t="shared" si="429"/>
        <v>Chen_2020</v>
      </c>
      <c r="N422" t="s">
        <v>2581</v>
      </c>
      <c r="O422" s="145" t="s">
        <v>223</v>
      </c>
      <c r="P422"/>
      <c r="Q422" s="311" t="s">
        <v>256</v>
      </c>
      <c r="R422" s="312"/>
      <c r="S422" s="1"/>
      <c r="T422"/>
      <c r="U422"/>
      <c r="V422"/>
      <c r="W422"/>
      <c r="X422"/>
      <c r="Y422"/>
      <c r="Z422"/>
      <c r="AA422"/>
      <c r="AB422"/>
      <c r="AC422"/>
      <c r="AD422"/>
      <c r="AE422"/>
      <c r="AF422"/>
      <c r="AG422"/>
      <c r="AH422"/>
      <c r="AI422"/>
      <c r="AJ422"/>
      <c r="AK422"/>
      <c r="AL422"/>
      <c r="AM422"/>
      <c r="AN422"/>
      <c r="AO422"/>
      <c r="AP422"/>
      <c r="AQ422"/>
      <c r="AR422"/>
      <c r="AS422"/>
      <c r="AT422"/>
      <c r="AU422"/>
      <c r="AV422"/>
      <c r="AW422"/>
      <c r="AX422" s="141"/>
      <c r="AY422" s="141"/>
      <c r="AZ422"/>
      <c r="BA422"/>
      <c r="BB422"/>
      <c r="BC422"/>
      <c r="BD422"/>
      <c r="BE422"/>
      <c r="BF422" s="2"/>
      <c r="BG422" s="1"/>
      <c r="BH422"/>
      <c r="BI422"/>
      <c r="BJ422"/>
      <c r="BK422"/>
      <c r="BL422"/>
      <c r="BM422"/>
      <c r="BN422"/>
      <c r="BO422"/>
      <c r="BP422" s="143"/>
      <c r="BQ422" s="143"/>
      <c r="BR422"/>
      <c r="BS422"/>
      <c r="BT422"/>
      <c r="BU422" s="144"/>
      <c r="BV422"/>
      <c r="BW422"/>
      <c r="BX422"/>
      <c r="BY422" t="str">
        <f t="shared" si="386"/>
        <v/>
      </c>
      <c r="BZ422"/>
      <c r="CA422"/>
      <c r="CB422"/>
      <c r="CC422"/>
      <c r="CD422"/>
      <c r="CE422"/>
      <c r="CF422"/>
      <c r="CG422"/>
      <c r="CH422"/>
      <c r="CI422"/>
      <c r="CJ422"/>
      <c r="CK422"/>
      <c r="CL422"/>
      <c r="CM422"/>
      <c r="CN422"/>
      <c r="CO422"/>
      <c r="CP422"/>
      <c r="CQ422"/>
      <c r="CR422"/>
      <c r="CS422"/>
      <c r="CT422"/>
      <c r="CU422"/>
      <c r="CV422" s="2"/>
      <c r="CW422" s="1"/>
      <c r="CX422" s="311"/>
      <c r="CY422"/>
      <c r="CZ422"/>
      <c r="DA422"/>
      <c r="DB422"/>
      <c r="DC422"/>
      <c r="DD422"/>
      <c r="DE422"/>
      <c r="DF422"/>
      <c r="DG422"/>
      <c r="DH422"/>
      <c r="DI422"/>
      <c r="DJ422"/>
      <c r="DK422"/>
      <c r="DL422"/>
      <c r="DM422"/>
      <c r="DN422"/>
      <c r="DO422"/>
      <c r="DP422"/>
      <c r="DQ422"/>
      <c r="DR422"/>
      <c r="DS422"/>
      <c r="DT422"/>
      <c r="DU422" s="143"/>
      <c r="DV422"/>
      <c r="DW422"/>
      <c r="DX422"/>
      <c r="DY422"/>
      <c r="DZ422"/>
      <c r="EA422"/>
      <c r="EB422"/>
      <c r="EC422"/>
      <c r="ED422"/>
      <c r="EE422"/>
      <c r="EF422"/>
      <c r="EG422"/>
      <c r="EH422"/>
      <c r="EI422" s="2"/>
      <c r="EJ422" s="1"/>
      <c r="EK422" t="str">
        <f t="shared" si="440"/>
        <v/>
      </c>
      <c r="EL422" t="str">
        <f t="shared" si="441"/>
        <v/>
      </c>
      <c r="EM422" s="2" t="str">
        <f t="shared" si="387"/>
        <v/>
      </c>
      <c r="EN422" t="s">
        <v>4409</v>
      </c>
      <c r="EO422" t="s">
        <v>450</v>
      </c>
      <c r="EP422" t="b">
        <f>IF(ISNUMBER(BU422),IF(ABS(BU422-[1]QC_indicators!$B$2)&gt;3*[1]QC_indicators!$C$2,"C ratio",IF(ISNUMBER(BY422),IF(ABS(BY422-[1]QC_indicators!$B$1)&gt;3*[1]QC_indicators!$C$1,"DF","no"))),IF(ISNUMBER(BY422),IF(ABS(BY422-[1]QC_indicators!$B$1)&gt;3*[1]QC_indicators!$C$1,"DF","no")))</f>
        <v>0</v>
      </c>
      <c r="EQ422"/>
      <c r="ER422"/>
      <c r="ES422"/>
      <c r="ET422"/>
      <c r="EU422"/>
    </row>
    <row r="423" spans="1:151" s="139" customFormat="1" ht="15" hidden="1" customHeight="1">
      <c r="A423" s="1" t="s">
        <v>656</v>
      </c>
      <c r="B423" t="s">
        <v>4403</v>
      </c>
      <c r="C423" t="s">
        <v>4404</v>
      </c>
      <c r="D423" t="s">
        <v>4405</v>
      </c>
      <c r="E423" t="s">
        <v>4406</v>
      </c>
      <c r="F423" t="s">
        <v>4407</v>
      </c>
      <c r="G423" t="s">
        <v>662</v>
      </c>
      <c r="H423" t="s">
        <v>254</v>
      </c>
      <c r="I423">
        <v>2020</v>
      </c>
      <c r="J423">
        <v>10</v>
      </c>
      <c r="K423" t="s">
        <v>4408</v>
      </c>
      <c r="L423"/>
      <c r="M423" t="str">
        <f t="shared" si="429"/>
        <v>Chen_2020</v>
      </c>
      <c r="N423" t="s">
        <v>2581</v>
      </c>
      <c r="O423" s="145" t="s">
        <v>223</v>
      </c>
      <c r="P423"/>
      <c r="Q423" s="311" t="s">
        <v>256</v>
      </c>
      <c r="R423" s="312"/>
      <c r="S423" s="1"/>
      <c r="T423"/>
      <c r="U423"/>
      <c r="V423"/>
      <c r="W423"/>
      <c r="X423"/>
      <c r="Y423"/>
      <c r="Z423"/>
      <c r="AA423"/>
      <c r="AB423"/>
      <c r="AC423"/>
      <c r="AD423"/>
      <c r="AE423"/>
      <c r="AF423"/>
      <c r="AG423"/>
      <c r="AH423"/>
      <c r="AI423"/>
      <c r="AJ423"/>
      <c r="AK423"/>
      <c r="AL423"/>
      <c r="AM423"/>
      <c r="AN423"/>
      <c r="AO423"/>
      <c r="AP423"/>
      <c r="AQ423"/>
      <c r="AR423"/>
      <c r="AS423"/>
      <c r="AT423"/>
      <c r="AU423"/>
      <c r="AV423"/>
      <c r="AW423"/>
      <c r="AX423" s="141"/>
      <c r="AY423" s="141"/>
      <c r="AZ423"/>
      <c r="BA423"/>
      <c r="BB423"/>
      <c r="BC423"/>
      <c r="BD423"/>
      <c r="BE423"/>
      <c r="BF423" s="2"/>
      <c r="BG423" s="1"/>
      <c r="BH423"/>
      <c r="BI423"/>
      <c r="BJ423"/>
      <c r="BK423"/>
      <c r="BL423"/>
      <c r="BM423"/>
      <c r="BN423"/>
      <c r="BO423"/>
      <c r="BP423" s="143"/>
      <c r="BQ423" s="143"/>
      <c r="BR423"/>
      <c r="BS423"/>
      <c r="BT423"/>
      <c r="BU423"/>
      <c r="BV423"/>
      <c r="BW423"/>
      <c r="BX423"/>
      <c r="BY423" t="str">
        <f t="shared" si="386"/>
        <v/>
      </c>
      <c r="BZ423"/>
      <c r="CA423"/>
      <c r="CB423"/>
      <c r="CC423"/>
      <c r="CD423"/>
      <c r="CE423"/>
      <c r="CF423"/>
      <c r="CG423"/>
      <c r="CH423"/>
      <c r="CI423"/>
      <c r="CJ423"/>
      <c r="CK423"/>
      <c r="CL423"/>
      <c r="CM423"/>
      <c r="CN423"/>
      <c r="CO423"/>
      <c r="CP423"/>
      <c r="CQ423"/>
      <c r="CR423"/>
      <c r="CS423"/>
      <c r="CT423"/>
      <c r="CU423"/>
      <c r="CV423" s="2"/>
      <c r="CW423" s="1"/>
      <c r="CX423" s="311"/>
      <c r="CY423"/>
      <c r="CZ423"/>
      <c r="DA423"/>
      <c r="DB423"/>
      <c r="DC423"/>
      <c r="DD423"/>
      <c r="DE423"/>
      <c r="DF423"/>
      <c r="DG423"/>
      <c r="DH423"/>
      <c r="DI423"/>
      <c r="DJ423"/>
      <c r="DK423"/>
      <c r="DL423"/>
      <c r="DM423"/>
      <c r="DN423"/>
      <c r="DO423"/>
      <c r="DP423"/>
      <c r="DQ423"/>
      <c r="DR423"/>
      <c r="DS423"/>
      <c r="DT423"/>
      <c r="DU423" s="143"/>
      <c r="DV423"/>
      <c r="DW423"/>
      <c r="DX423"/>
      <c r="DY423"/>
      <c r="DZ423"/>
      <c r="EA423"/>
      <c r="EB423"/>
      <c r="EC423"/>
      <c r="ED423"/>
      <c r="EE423"/>
      <c r="EF423"/>
      <c r="EG423"/>
      <c r="EH423"/>
      <c r="EI423" s="2"/>
      <c r="EJ423" s="1"/>
      <c r="EK423" t="str">
        <f t="shared" si="440"/>
        <v/>
      </c>
      <c r="EL423" t="str">
        <f t="shared" si="441"/>
        <v/>
      </c>
      <c r="EM423" s="2" t="str">
        <f t="shared" si="387"/>
        <v/>
      </c>
      <c r="EN423" t="s">
        <v>4409</v>
      </c>
      <c r="EO423" t="s">
        <v>450</v>
      </c>
      <c r="EP423" t="b">
        <f>IF(ISNUMBER(BU423),IF(ABS(BU423-[1]QC_indicators!$B$2)&gt;3*[1]QC_indicators!$C$2,"C ratio",IF(ISNUMBER(BY423),IF(ABS(BY423-[1]QC_indicators!$B$1)&gt;3*[1]QC_indicators!$C$1,"DF","no"))),IF(ISNUMBER(BY423),IF(ABS(BY423-[1]QC_indicators!$B$1)&gt;3*[1]QC_indicators!$C$1,"DF","no")))</f>
        <v>0</v>
      </c>
      <c r="EQ423"/>
      <c r="ER423"/>
      <c r="ES423"/>
      <c r="ET423"/>
      <c r="EU423"/>
    </row>
    <row r="424" spans="1:151" s="139" customFormat="1" ht="15" hidden="1" customHeight="1">
      <c r="A424" s="1"/>
      <c r="B424"/>
      <c r="C424"/>
      <c r="D424" t="s">
        <v>3537</v>
      </c>
      <c r="E424" t="s">
        <v>3538</v>
      </c>
      <c r="F424"/>
      <c r="G424" t="s">
        <v>3539</v>
      </c>
      <c r="H424"/>
      <c r="I424">
        <v>2013</v>
      </c>
      <c r="J424"/>
      <c r="K424" s="295" t="s">
        <v>3540</v>
      </c>
      <c r="L424"/>
      <c r="M424" t="str">
        <f t="shared" si="429"/>
        <v>Cherubini_2013</v>
      </c>
      <c r="N424" s="311" t="s">
        <v>4382</v>
      </c>
      <c r="O424" t="s">
        <v>223</v>
      </c>
      <c r="P424"/>
      <c r="Q424" s="311" t="s">
        <v>256</v>
      </c>
      <c r="R424" s="312"/>
      <c r="S424" s="1" t="s">
        <v>3541</v>
      </c>
      <c r="T424" t="s">
        <v>3542</v>
      </c>
      <c r="U424" s="143" t="s">
        <v>3543</v>
      </c>
      <c r="V424">
        <v>1</v>
      </c>
      <c r="W424">
        <v>0</v>
      </c>
      <c r="X424">
        <v>0</v>
      </c>
      <c r="Y424">
        <v>0</v>
      </c>
      <c r="Z424">
        <v>0</v>
      </c>
      <c r="AA424">
        <v>0</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s="141">
        <f>COUNTIF(V424:AW424,"&lt;&gt;0")</f>
        <v>1</v>
      </c>
      <c r="AY424" s="141">
        <f>COUNTIF(V424:AL424,"&lt;&gt;0")</f>
        <v>1</v>
      </c>
      <c r="AZ424">
        <f>COUNTIF(V424:AC424,"&lt;&gt;0")</f>
        <v>1</v>
      </c>
      <c r="BA424">
        <f>COUNTIF(AD424:AI424,"&lt;&gt;0")</f>
        <v>0</v>
      </c>
      <c r="BB424">
        <f>COUNTIF(AJ424:AL424,"&lt;&gt;0")</f>
        <v>0</v>
      </c>
      <c r="BC424">
        <f>COUNTIF(AS424:AW424,"&lt;&gt;0")</f>
        <v>0</v>
      </c>
      <c r="BD424">
        <f>COUNTIF(AM424:AR424,"&lt;&gt;0")</f>
        <v>0</v>
      </c>
      <c r="BE424" t="str" cm="1">
        <f t="array" ref="BE424">IF(AY424=1,INDEX($V$7:$AL$7,MATCH(TRUE,INDEX($V424:$AW424&lt;&gt;0,),0)),IF(AY424=0,INDEX($AM$7:$AW$7,MATCH(1,$AM424:$AW424,0)),IF(BF424="Multiple strategies","mixed drivers",IF(BF424="Supply chain","multiple supply","multiple silviculture"))))</f>
        <v>area subject to harvest</v>
      </c>
      <c r="BF424" s="2" t="str" cm="1">
        <f t="array" ref="BF424">IF(COUNTIF(AZ424:BB424,"&lt;&gt;0")=1,INDEX($V$4:$AW$4,MATCH(TRUE,INDEX($V424:$AW424&lt;&gt;0,),0)),IF(COUNTIF(AZ424:BB424,"&lt;&gt;0")=0,INDEX($AM$4:$AW$4,MATCH(1,$AM424:$AW424,0)),"Multiple strategies"))</f>
        <v>Silviculture for removals</v>
      </c>
      <c r="BG424" s="142"/>
      <c r="BH424"/>
      <c r="BI424"/>
      <c r="BJ424" s="143"/>
      <c r="BK424"/>
      <c r="BL424" s="143"/>
      <c r="BM424" s="143"/>
      <c r="BN424" s="143"/>
      <c r="BO424" s="143"/>
      <c r="BP424" s="311" t="s">
        <v>232</v>
      </c>
      <c r="BQ424" s="311"/>
      <c r="BR424" t="s">
        <v>3544</v>
      </c>
      <c r="BS424" s="143">
        <v>0</v>
      </c>
      <c r="BT424">
        <v>0</v>
      </c>
      <c r="BU424" t="s">
        <v>544</v>
      </c>
      <c r="BV424">
        <v>0</v>
      </c>
      <c r="BW424"/>
      <c r="BX424">
        <f>BV424/10^6</f>
        <v>0</v>
      </c>
      <c r="BY424" t="str">
        <f t="shared" si="386"/>
        <v/>
      </c>
      <c r="BZ424" s="143">
        <v>0</v>
      </c>
      <c r="CA424" s="143">
        <v>0</v>
      </c>
      <c r="CB424" s="143">
        <v>0</v>
      </c>
      <c r="CC424" s="143">
        <v>0</v>
      </c>
      <c r="CD424" s="143">
        <v>0</v>
      </c>
      <c r="CE424" s="143">
        <v>0</v>
      </c>
      <c r="CF424" s="143">
        <v>0</v>
      </c>
      <c r="CG424" s="143">
        <v>0</v>
      </c>
      <c r="CH424" s="143">
        <v>0</v>
      </c>
      <c r="CI424" s="143">
        <v>0</v>
      </c>
      <c r="CJ424" s="143">
        <v>0</v>
      </c>
      <c r="CK424" s="143">
        <v>0</v>
      </c>
      <c r="CL424" s="143">
        <v>0</v>
      </c>
      <c r="CM424">
        <v>0</v>
      </c>
      <c r="CN424" t="str">
        <f>IF(BL424&lt;BK424,"refNeedCorrection","refOK")</f>
        <v>refOK</v>
      </c>
      <c r="CO424"/>
      <c r="CP424"/>
      <c r="CQ424"/>
      <c r="CR424">
        <f>IF($CN424="refOK",$BS424,$BT424)*IF($BP424="Emissions positive",-1,1)</f>
        <v>0</v>
      </c>
      <c r="CS424">
        <f>IF($CN424="refOK",$BT424,$BS424)*IF($BP424="Emissions positive",-1,1)</f>
        <v>0</v>
      </c>
      <c r="CT424">
        <f>IF($CN424="refNeedCorrection",-BX424,BX424)*IF($BP424="Emissions positive",-1,1)</f>
        <v>0</v>
      </c>
      <c r="CU424" t="str">
        <f>IFERROR(CT424/CQ424,"")</f>
        <v/>
      </c>
      <c r="CV424" s="2" t="str">
        <f>IFERROR((CS424-CR424)/ABS(CR424),"")</f>
        <v/>
      </c>
      <c r="CW424" s="1" t="s">
        <v>234</v>
      </c>
      <c r="CX424" s="311" t="str">
        <f>IF(OR($CW424="prd",$CW424="std",$CW424="cit"),"loc",IF(OR($CW424="eur",$CW424="reg",$CW424="coy"),"reg",$CW424))</f>
        <v>loc</v>
      </c>
      <c r="CY424" t="s">
        <v>264</v>
      </c>
      <c r="CZ424"/>
      <c r="DA424" s="143"/>
      <c r="DB424" s="143">
        <v>100</v>
      </c>
      <c r="DC424" t="str">
        <f>IF(DB424=0,"0",IF(AND(DB424&gt;=1,DB424&lt;=30),"1-30",IF(AND(DB424&gt;30,DB424&lt;=70),"31-70",IF(AND(DB424&gt;70,DB424&lt;=100),"71-100",IF(DB424&gt;100,"+100")))))</f>
        <v>71-100</v>
      </c>
      <c r="DD424">
        <v>0</v>
      </c>
      <c r="DE424">
        <v>1</v>
      </c>
      <c r="DF424">
        <v>0</v>
      </c>
      <c r="DG424">
        <v>0</v>
      </c>
      <c r="DH424"/>
      <c r="DI424">
        <f>SUM(DD424:DG424)</f>
        <v>1</v>
      </c>
      <c r="DJ424" t="str">
        <f>IF(DI424=1,INDEX($DD$7:$DG$7,MATCH(1,$DD424:$DG424,0)),"mixedProduct")</f>
        <v>EnergyInput</v>
      </c>
      <c r="DK424">
        <f t="shared" ref="DK424:DN427" si="467">IF(DD424=1,DK$7,0)</f>
        <v>0</v>
      </c>
      <c r="DL424" t="str">
        <f t="shared" si="467"/>
        <v>Energy</v>
      </c>
      <c r="DM424">
        <f t="shared" si="467"/>
        <v>0</v>
      </c>
      <c r="DN424">
        <f t="shared" si="467"/>
        <v>0</v>
      </c>
      <c r="DO424">
        <v>0</v>
      </c>
      <c r="DP424" s="143">
        <v>0</v>
      </c>
      <c r="DQ424" s="143">
        <v>0</v>
      </c>
      <c r="DR424" s="143">
        <v>0</v>
      </c>
      <c r="DS424" s="143">
        <v>0</v>
      </c>
      <c r="DT424">
        <f>SUM(DO424:DP424)</f>
        <v>0</v>
      </c>
      <c r="DU424" s="143" t="str">
        <f>IF(DO424=1,"self-calculated DF",IF(DP424=1,"external DF used","explicit C balance"))</f>
        <v>explicit C balance</v>
      </c>
      <c r="DV424" s="143">
        <v>0</v>
      </c>
      <c r="DW424" s="143">
        <v>0</v>
      </c>
      <c r="DX424" s="143">
        <v>1</v>
      </c>
      <c r="DY424" s="143">
        <v>0</v>
      </c>
      <c r="DZ424">
        <v>1</v>
      </c>
      <c r="EA424" s="143">
        <v>1</v>
      </c>
      <c r="EB424" s="143">
        <v>0</v>
      </c>
      <c r="EC424" s="143">
        <v>0</v>
      </c>
      <c r="ED424" s="143">
        <v>0</v>
      </c>
      <c r="EE424">
        <v>0</v>
      </c>
      <c r="EF424">
        <v>1</v>
      </c>
      <c r="EG424" s="143">
        <v>0</v>
      </c>
      <c r="EH424" s="143">
        <v>0</v>
      </c>
      <c r="EI424" s="2">
        <v>0</v>
      </c>
      <c r="EJ424" s="1"/>
      <c r="EK424" t="str">
        <f t="shared" si="440"/>
        <v/>
      </c>
      <c r="EL424" t="str">
        <f t="shared" si="441"/>
        <v/>
      </c>
      <c r="EM424" s="2" t="str">
        <f t="shared" si="387"/>
        <v/>
      </c>
      <c r="EN424"/>
      <c r="EO424"/>
      <c r="EP424" t="b">
        <f>IF(ISNUMBER(BU424),IF(ABS(BU424-[1]QC_indicators!$B$2)&gt;3*[1]QC_indicators!$C$2,"C ratio",IF(ISNUMBER(BY424),IF(ABS(BY424-[1]QC_indicators!$B$1)&gt;3*[1]QC_indicators!$C$1,"DF","no"))),IF(ISNUMBER(BY424),IF(ABS(BY424-[1]QC_indicators!$B$1)&gt;3*[1]QC_indicators!$C$1,"DF","no")))</f>
        <v>0</v>
      </c>
      <c r="EQ424"/>
      <c r="ER424" s="313" t="s">
        <v>349</v>
      </c>
      <c r="ES424"/>
      <c r="ET424"/>
      <c r="EU424"/>
    </row>
    <row r="425" spans="1:151" s="139" customFormat="1" ht="15" hidden="1" customHeight="1">
      <c r="A425" s="1"/>
      <c r="B425"/>
      <c r="C425"/>
      <c r="D425" t="s">
        <v>3537</v>
      </c>
      <c r="E425" t="s">
        <v>3538</v>
      </c>
      <c r="F425"/>
      <c r="G425" t="s">
        <v>3539</v>
      </c>
      <c r="H425"/>
      <c r="I425">
        <v>2013</v>
      </c>
      <c r="J425"/>
      <c r="K425" s="295" t="s">
        <v>3540</v>
      </c>
      <c r="L425"/>
      <c r="M425" t="str">
        <f t="shared" si="429"/>
        <v>Cherubini_2013</v>
      </c>
      <c r="N425" s="311" t="s">
        <v>4382</v>
      </c>
      <c r="O425" t="s">
        <v>223</v>
      </c>
      <c r="P425"/>
      <c r="Q425" s="311" t="s">
        <v>256</v>
      </c>
      <c r="R425" s="312"/>
      <c r="S425" s="1" t="s">
        <v>3541</v>
      </c>
      <c r="T425" t="s">
        <v>3542</v>
      </c>
      <c r="U425" s="143" t="s">
        <v>3543</v>
      </c>
      <c r="V425">
        <v>1</v>
      </c>
      <c r="W425">
        <v>0</v>
      </c>
      <c r="X425">
        <v>0</v>
      </c>
      <c r="Y425">
        <v>0</v>
      </c>
      <c r="Z425">
        <v>0</v>
      </c>
      <c r="AA425">
        <v>0</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s="141">
        <f>COUNTIF(V425:AW425,"&lt;&gt;0")</f>
        <v>1</v>
      </c>
      <c r="AY425" s="141">
        <f>COUNTIF(V425:AL425,"&lt;&gt;0")</f>
        <v>1</v>
      </c>
      <c r="AZ425">
        <f>COUNTIF(V425:AC425,"&lt;&gt;0")</f>
        <v>1</v>
      </c>
      <c r="BA425">
        <f>COUNTIF(AD425:AI425,"&lt;&gt;0")</f>
        <v>0</v>
      </c>
      <c r="BB425">
        <f>COUNTIF(AJ425:AL425,"&lt;&gt;0")</f>
        <v>0</v>
      </c>
      <c r="BC425">
        <f>COUNTIF(AS425:AW425,"&lt;&gt;0")</f>
        <v>0</v>
      </c>
      <c r="BD425">
        <f>COUNTIF(AM425:AR425,"&lt;&gt;0")</f>
        <v>0</v>
      </c>
      <c r="BE425" t="str" cm="1">
        <f t="array" ref="BE425">IF(AY425=1,INDEX($V$7:$AL$7,MATCH(TRUE,INDEX($V425:$AW425&lt;&gt;0,),0)),IF(AY425=0,INDEX($AM$7:$AW$7,MATCH(1,$AM425:$AW425,0)),IF(BF425="Multiple strategies","mixed drivers",IF(BF425="Supply chain","multiple supply","multiple silviculture"))))</f>
        <v>area subject to harvest</v>
      </c>
      <c r="BF425" s="2" t="str" cm="1">
        <f t="array" ref="BF425">IF(COUNTIF(AZ425:BB425,"&lt;&gt;0")=1,INDEX($V$4:$AW$4,MATCH(TRUE,INDEX($V425:$AW425&lt;&gt;0,),0)),IF(COUNTIF(AZ425:BB425,"&lt;&gt;0")=0,INDEX($AM$4:$AW$4,MATCH(1,$AM425:$AW425,0)),"Multiple strategies"))</f>
        <v>Silviculture for removals</v>
      </c>
      <c r="BG425" s="142"/>
      <c r="BH425"/>
      <c r="BI425"/>
      <c r="BJ425" s="143"/>
      <c r="BK425"/>
      <c r="BL425" s="143"/>
      <c r="BM425" s="143"/>
      <c r="BN425" s="143"/>
      <c r="BO425" s="143"/>
      <c r="BP425" s="311" t="s">
        <v>232</v>
      </c>
      <c r="BQ425" s="311"/>
      <c r="BR425" t="s">
        <v>3544</v>
      </c>
      <c r="BS425" s="143">
        <v>0</v>
      </c>
      <c r="BT425">
        <v>0</v>
      </c>
      <c r="BU425" t="s">
        <v>544</v>
      </c>
      <c r="BV425">
        <v>0</v>
      </c>
      <c r="BW425"/>
      <c r="BX425">
        <f>BV425/10^6</f>
        <v>0</v>
      </c>
      <c r="BY425" t="str">
        <f t="shared" si="386"/>
        <v/>
      </c>
      <c r="BZ425" s="143">
        <v>0</v>
      </c>
      <c r="CA425" s="143">
        <v>0</v>
      </c>
      <c r="CB425" s="143">
        <v>0</v>
      </c>
      <c r="CC425" s="143">
        <v>0</v>
      </c>
      <c r="CD425" s="143">
        <v>0</v>
      </c>
      <c r="CE425" s="143">
        <v>0</v>
      </c>
      <c r="CF425" s="143">
        <v>0</v>
      </c>
      <c r="CG425" s="143">
        <v>0</v>
      </c>
      <c r="CH425" s="143">
        <v>0</v>
      </c>
      <c r="CI425" s="143">
        <v>0</v>
      </c>
      <c r="CJ425" s="143">
        <v>0</v>
      </c>
      <c r="CK425" s="143">
        <v>0</v>
      </c>
      <c r="CL425" s="143">
        <v>0</v>
      </c>
      <c r="CM425">
        <v>0</v>
      </c>
      <c r="CN425" t="str">
        <f>IF(BL425&lt;BK425,"refNeedCorrection","refOK")</f>
        <v>refOK</v>
      </c>
      <c r="CO425"/>
      <c r="CP425"/>
      <c r="CQ425"/>
      <c r="CR425">
        <f>IF($CN425="refOK",$BS425,$BT425)*IF($BP425="Emissions positive",-1,1)</f>
        <v>0</v>
      </c>
      <c r="CS425">
        <f>IF($CN425="refOK",$BT425,$BS425)*IF($BP425="Emissions positive",-1,1)</f>
        <v>0</v>
      </c>
      <c r="CT425">
        <f>IF($CN425="refNeedCorrection",-BX425,BX425)*IF($BP425="Emissions positive",-1,1)</f>
        <v>0</v>
      </c>
      <c r="CU425" t="str">
        <f>IFERROR(CT425/CQ425,"")</f>
        <v/>
      </c>
      <c r="CV425" s="2" t="str">
        <f>IFERROR((CS425-CR425)/ABS(CR425),"")</f>
        <v/>
      </c>
      <c r="CW425" s="1" t="s">
        <v>234</v>
      </c>
      <c r="CX425" s="311" t="str">
        <f>IF(OR($CW425="prd",$CW425="std",$CW425="cit"),"loc",IF(OR($CW425="eur",$CW425="reg",$CW425="coy"),"reg",$CW425))</f>
        <v>loc</v>
      </c>
      <c r="CY425" t="s">
        <v>264</v>
      </c>
      <c r="CZ425"/>
      <c r="DA425" s="143"/>
      <c r="DB425" s="143">
        <v>20</v>
      </c>
      <c r="DC425" t="str">
        <f>IF(DB425=0,"0",IF(AND(DB425&gt;=1,DB425&lt;=30),"1-30",IF(AND(DB425&gt;30,DB425&lt;=70),"31-70",IF(AND(DB425&gt;70,DB425&lt;=100),"71-100",IF(DB425&gt;100,"+100")))))</f>
        <v>1-30</v>
      </c>
      <c r="DD425">
        <v>0</v>
      </c>
      <c r="DE425">
        <v>1</v>
      </c>
      <c r="DF425">
        <v>0</v>
      </c>
      <c r="DG425">
        <v>0</v>
      </c>
      <c r="DH425"/>
      <c r="DI425">
        <f>SUM(DD425:DG425)</f>
        <v>1</v>
      </c>
      <c r="DJ425" t="str">
        <f>IF(DI425=1,INDEX($DD$7:$DG$7,MATCH(1,$DD425:$DG425,0)),"mixedProduct")</f>
        <v>EnergyInput</v>
      </c>
      <c r="DK425">
        <f t="shared" si="467"/>
        <v>0</v>
      </c>
      <c r="DL425" t="str">
        <f t="shared" si="467"/>
        <v>Energy</v>
      </c>
      <c r="DM425">
        <f t="shared" si="467"/>
        <v>0</v>
      </c>
      <c r="DN425">
        <f t="shared" si="467"/>
        <v>0</v>
      </c>
      <c r="DO425">
        <v>0</v>
      </c>
      <c r="DP425" s="143">
        <v>0</v>
      </c>
      <c r="DQ425" s="143">
        <v>0</v>
      </c>
      <c r="DR425" s="143">
        <v>0</v>
      </c>
      <c r="DS425" s="143">
        <v>0</v>
      </c>
      <c r="DT425">
        <f>SUM(DO425:DP425)</f>
        <v>0</v>
      </c>
      <c r="DU425" s="143" t="str">
        <f>IF(DO425=1,"self-calculated DF",IF(DP425=1,"external DF used","explicit C balance"))</f>
        <v>explicit C balance</v>
      </c>
      <c r="DV425" s="143">
        <v>0</v>
      </c>
      <c r="DW425" s="143">
        <v>0</v>
      </c>
      <c r="DX425" s="143">
        <v>1</v>
      </c>
      <c r="DY425" s="143">
        <v>0</v>
      </c>
      <c r="DZ425">
        <v>1</v>
      </c>
      <c r="EA425" s="143">
        <v>1</v>
      </c>
      <c r="EB425" s="143">
        <v>0</v>
      </c>
      <c r="EC425" s="143">
        <v>0</v>
      </c>
      <c r="ED425" s="143">
        <v>0</v>
      </c>
      <c r="EE425">
        <v>0</v>
      </c>
      <c r="EF425">
        <v>1</v>
      </c>
      <c r="EG425" s="143">
        <v>0</v>
      </c>
      <c r="EH425" s="143">
        <v>0</v>
      </c>
      <c r="EI425" s="2">
        <v>0</v>
      </c>
      <c r="EJ425" s="1"/>
      <c r="EK425" t="str">
        <f t="shared" si="440"/>
        <v/>
      </c>
      <c r="EL425" t="str">
        <f t="shared" si="441"/>
        <v/>
      </c>
      <c r="EM425" s="2" t="str">
        <f t="shared" si="387"/>
        <v/>
      </c>
      <c r="EN425"/>
      <c r="EO425"/>
      <c r="EP425" t="b">
        <f>IF(ISNUMBER(BU425),IF(ABS(BU425-[1]QC_indicators!$B$2)&gt;3*[1]QC_indicators!$C$2,"C ratio",IF(ISNUMBER(BY425),IF(ABS(BY425-[1]QC_indicators!$B$1)&gt;3*[1]QC_indicators!$C$1,"DF","no"))),IF(ISNUMBER(BY425),IF(ABS(BY425-[1]QC_indicators!$B$1)&gt;3*[1]QC_indicators!$C$1,"DF","no")))</f>
        <v>0</v>
      </c>
      <c r="EQ425"/>
      <c r="ER425" s="313" t="s">
        <v>349</v>
      </c>
      <c r="ES425"/>
      <c r="ET425"/>
      <c r="EU425"/>
    </row>
    <row r="426" spans="1:151" s="139" customFormat="1" ht="15" hidden="1" customHeight="1">
      <c r="A426" s="1"/>
      <c r="B426"/>
      <c r="C426"/>
      <c r="D426" t="s">
        <v>3537</v>
      </c>
      <c r="E426" t="s">
        <v>3538</v>
      </c>
      <c r="F426"/>
      <c r="G426" t="s">
        <v>3539</v>
      </c>
      <c r="H426"/>
      <c r="I426">
        <v>2013</v>
      </c>
      <c r="J426"/>
      <c r="K426" s="295" t="s">
        <v>3540</v>
      </c>
      <c r="L426"/>
      <c r="M426" t="str">
        <f t="shared" si="429"/>
        <v>Cherubini_2013</v>
      </c>
      <c r="N426" s="311" t="s">
        <v>4382</v>
      </c>
      <c r="O426" t="s">
        <v>223</v>
      </c>
      <c r="P426"/>
      <c r="Q426" s="311" t="s">
        <v>256</v>
      </c>
      <c r="R426" s="312"/>
      <c r="S426" s="1" t="s">
        <v>3545</v>
      </c>
      <c r="T426" t="s">
        <v>3546</v>
      </c>
      <c r="U426" s="143" t="s">
        <v>3543</v>
      </c>
      <c r="V426">
        <v>0</v>
      </c>
      <c r="W426">
        <v>0</v>
      </c>
      <c r="X426">
        <v>0</v>
      </c>
      <c r="Y426">
        <v>0</v>
      </c>
      <c r="Z426">
        <v>0</v>
      </c>
      <c r="AA426">
        <v>0</v>
      </c>
      <c r="AB426">
        <v>0</v>
      </c>
      <c r="AC426">
        <v>1</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s="141">
        <f>COUNTIF(V426:AW426,"&lt;&gt;0")</f>
        <v>1</v>
      </c>
      <c r="AY426" s="141">
        <f>COUNTIF(V426:AL426,"&lt;&gt;0")</f>
        <v>1</v>
      </c>
      <c r="AZ426">
        <f>COUNTIF(V426:AC426,"&lt;&gt;0")</f>
        <v>1</v>
      </c>
      <c r="BA426">
        <f>COUNTIF(AD426:AI426,"&lt;&gt;0")</f>
        <v>0</v>
      </c>
      <c r="BB426">
        <f>COUNTIF(AJ426:AL426,"&lt;&gt;0")</f>
        <v>0</v>
      </c>
      <c r="BC426">
        <f>COUNTIF(AS426:AW426,"&lt;&gt;0")</f>
        <v>0</v>
      </c>
      <c r="BD426">
        <f>COUNTIF(AM426:AR426,"&lt;&gt;0")</f>
        <v>0</v>
      </c>
      <c r="BE426" t="str" cm="1">
        <f t="array" ref="BE426">IF(AY426=1,INDEX($V$7:$AL$7,MATCH(TRUE,INDEX($V426:$AW426&lt;&gt;0,),0)),IF(AY426=0,INDEX($AM$7:$AW$7,MATCH(1,$AM426:$AW426,0)),IF(BF426="Multiple strategies","mixed drivers",IF(BF426="Supply chain","multiple supply","multiple silviculture"))))</f>
        <v>site fertility</v>
      </c>
      <c r="BF426" s="2" t="str" cm="1">
        <f t="array" ref="BF426">IF(COUNTIF(AZ426:BB426,"&lt;&gt;0")=1,INDEX($V$4:$AW$4,MATCH(TRUE,INDEX($V426:$AW426&lt;&gt;0,),0)),IF(COUNTIF(AZ426:BB426,"&lt;&gt;0")=0,INDEX($AM$4:$AW$4,MATCH(1,$AM426:$AW426,0)),"Multiple strategies"))</f>
        <v>Silviculture for productivity</v>
      </c>
      <c r="BG426" s="142"/>
      <c r="BH426"/>
      <c r="BI426"/>
      <c r="BJ426" s="143"/>
      <c r="BK426"/>
      <c r="BL426" s="143"/>
      <c r="BM426" s="143"/>
      <c r="BN426" s="143"/>
      <c r="BO426" s="143"/>
      <c r="BP426" s="311" t="s">
        <v>232</v>
      </c>
      <c r="BQ426" s="311"/>
      <c r="BR426" t="s">
        <v>3544</v>
      </c>
      <c r="BS426" s="143">
        <v>-139</v>
      </c>
      <c r="BT426">
        <v>-132</v>
      </c>
      <c r="BU426">
        <v>0.94964028776978415</v>
      </c>
      <c r="BV426">
        <v>7</v>
      </c>
      <c r="BW426"/>
      <c r="BX426">
        <f>BV426/10^6</f>
        <v>6.9999999999999999E-6</v>
      </c>
      <c r="BY426" t="str">
        <f t="shared" si="386"/>
        <v/>
      </c>
      <c r="BZ426" s="143">
        <v>0</v>
      </c>
      <c r="CA426" s="143">
        <v>0</v>
      </c>
      <c r="CB426" s="143">
        <v>0</v>
      </c>
      <c r="CC426" s="143">
        <v>0</v>
      </c>
      <c r="CD426" s="143">
        <v>0</v>
      </c>
      <c r="CE426" s="143">
        <v>0</v>
      </c>
      <c r="CF426" s="143">
        <v>0</v>
      </c>
      <c r="CG426" s="143">
        <v>0</v>
      </c>
      <c r="CH426" s="143">
        <v>0</v>
      </c>
      <c r="CI426" s="143">
        <v>0</v>
      </c>
      <c r="CJ426" s="143">
        <v>0</v>
      </c>
      <c r="CK426" s="143">
        <v>0</v>
      </c>
      <c r="CL426" s="143">
        <v>0</v>
      </c>
      <c r="CM426">
        <v>0</v>
      </c>
      <c r="CN426" t="str">
        <f>IF(BL426&lt;BK426,"refNeedCorrection","refOK")</f>
        <v>refOK</v>
      </c>
      <c r="CO426"/>
      <c r="CP426"/>
      <c r="CQ426"/>
      <c r="CR426">
        <f>IF($CN426="refOK",$BS426,$BT426)*IF($BP426="Emissions positive",-1,1)</f>
        <v>-139</v>
      </c>
      <c r="CS426">
        <f>IF($CN426="refOK",$BT426,$BS426)*IF($BP426="Emissions positive",-1,1)</f>
        <v>-132</v>
      </c>
      <c r="CT426">
        <f>IF($CN426="refNeedCorrection",-BX426,BX426)*IF($BP426="Emissions positive",-1,1)</f>
        <v>6.9999999999999999E-6</v>
      </c>
      <c r="CU426" t="str">
        <f>IFERROR(CT426/CQ426,"")</f>
        <v/>
      </c>
      <c r="CV426" s="2">
        <f>IFERROR((CS426-CR426)/ABS(CR426),"")</f>
        <v>5.0359712230215826E-2</v>
      </c>
      <c r="CW426" s="1" t="s">
        <v>234</v>
      </c>
      <c r="CX426" s="311" t="str">
        <f>IF(OR($CW426="prd",$CW426="std",$CW426="cit"),"loc",IF(OR($CW426="eur",$CW426="reg",$CW426="coy"),"reg",$CW426))</f>
        <v>loc</v>
      </c>
      <c r="CY426" t="s">
        <v>264</v>
      </c>
      <c r="CZ426"/>
      <c r="DA426" s="143"/>
      <c r="DB426" s="143">
        <v>20</v>
      </c>
      <c r="DC426" t="str">
        <f>IF(DB426=0,"0",IF(AND(DB426&gt;=1,DB426&lt;=30),"1-30",IF(AND(DB426&gt;30,DB426&lt;=70),"31-70",IF(AND(DB426&gt;70,DB426&lt;=100),"71-100",IF(DB426&gt;100,"+100")))))</f>
        <v>1-30</v>
      </c>
      <c r="DD426">
        <v>0</v>
      </c>
      <c r="DE426">
        <v>1</v>
      </c>
      <c r="DF426">
        <v>0</v>
      </c>
      <c r="DG426">
        <v>0</v>
      </c>
      <c r="DH426"/>
      <c r="DI426">
        <f>SUM(DD426:DG426)</f>
        <v>1</v>
      </c>
      <c r="DJ426" t="str">
        <f>IF(DI426=1,INDEX($DD$7:$DG$7,MATCH(1,$DD426:$DG426,0)),"mixedProduct")</f>
        <v>EnergyInput</v>
      </c>
      <c r="DK426">
        <f t="shared" si="467"/>
        <v>0</v>
      </c>
      <c r="DL426" t="str">
        <f t="shared" si="467"/>
        <v>Energy</v>
      </c>
      <c r="DM426">
        <f t="shared" si="467"/>
        <v>0</v>
      </c>
      <c r="DN426">
        <f t="shared" si="467"/>
        <v>0</v>
      </c>
      <c r="DO426">
        <v>0</v>
      </c>
      <c r="DP426" s="143">
        <v>0</v>
      </c>
      <c r="DQ426" s="143">
        <v>0</v>
      </c>
      <c r="DR426" s="143">
        <v>0</v>
      </c>
      <c r="DS426" s="143">
        <v>0</v>
      </c>
      <c r="DT426">
        <f>SUM(DO426:DP426)</f>
        <v>0</v>
      </c>
      <c r="DU426" s="143" t="str">
        <f>IF(DO426=1,"self-calculated DF",IF(DP426=1,"external DF used","explicit C balance"))</f>
        <v>explicit C balance</v>
      </c>
      <c r="DV426" s="143">
        <v>0</v>
      </c>
      <c r="DW426" s="143">
        <v>0</v>
      </c>
      <c r="DX426" s="143">
        <v>0</v>
      </c>
      <c r="DY426" s="143">
        <v>0</v>
      </c>
      <c r="DZ426">
        <v>1</v>
      </c>
      <c r="EA426" s="143">
        <v>1</v>
      </c>
      <c r="EB426" s="143">
        <v>0</v>
      </c>
      <c r="EC426" s="143">
        <v>0</v>
      </c>
      <c r="ED426" s="143">
        <v>0</v>
      </c>
      <c r="EE426">
        <v>0</v>
      </c>
      <c r="EF426">
        <v>1</v>
      </c>
      <c r="EG426" s="143">
        <v>0</v>
      </c>
      <c r="EH426" s="143">
        <v>0</v>
      </c>
      <c r="EI426" s="2">
        <v>0</v>
      </c>
      <c r="EJ426" s="1"/>
      <c r="EK426" t="str">
        <f t="shared" si="440"/>
        <v/>
      </c>
      <c r="EL426" t="str">
        <f t="shared" si="441"/>
        <v/>
      </c>
      <c r="EM426" s="2" t="str">
        <f t="shared" si="387"/>
        <v/>
      </c>
      <c r="EN426"/>
      <c r="EO426"/>
      <c r="EP426" t="b">
        <f>IF(ISNUMBER(BU426),IF(ABS(BU426-[1]QC_indicators!$B$2)&gt;3*[1]QC_indicators!$C$2,"C ratio",IF(ISNUMBER(BY426),IF(ABS(BY426-[1]QC_indicators!$B$1)&gt;3*[1]QC_indicators!$C$1,"DF","no"))),IF(ISNUMBER(BY426),IF(ABS(BY426-[1]QC_indicators!$B$1)&gt;3*[1]QC_indicators!$C$1,"DF","no")))</f>
        <v>0</v>
      </c>
      <c r="EQ426"/>
      <c r="ER426" s="313" t="s">
        <v>349</v>
      </c>
      <c r="ES426"/>
      <c r="ET426"/>
      <c r="EU426"/>
    </row>
    <row r="427" spans="1:151" s="139" customFormat="1" ht="15" hidden="1" customHeight="1">
      <c r="A427" s="1"/>
      <c r="B427"/>
      <c r="C427"/>
      <c r="D427" t="s">
        <v>3537</v>
      </c>
      <c r="E427" t="s">
        <v>3538</v>
      </c>
      <c r="F427"/>
      <c r="G427" t="s">
        <v>3539</v>
      </c>
      <c r="H427"/>
      <c r="I427">
        <v>2013</v>
      </c>
      <c r="J427"/>
      <c r="K427" s="295" t="s">
        <v>3540</v>
      </c>
      <c r="L427"/>
      <c r="M427" t="str">
        <f t="shared" si="429"/>
        <v>Cherubini_2013</v>
      </c>
      <c r="N427" s="311" t="s">
        <v>4382</v>
      </c>
      <c r="O427" t="s">
        <v>223</v>
      </c>
      <c r="P427"/>
      <c r="Q427" s="311" t="s">
        <v>256</v>
      </c>
      <c r="R427" s="312"/>
      <c r="S427" s="1" t="s">
        <v>3545</v>
      </c>
      <c r="T427" t="s">
        <v>3546</v>
      </c>
      <c r="U427" s="143" t="s">
        <v>3543</v>
      </c>
      <c r="V427">
        <v>0</v>
      </c>
      <c r="W427">
        <v>0</v>
      </c>
      <c r="X427">
        <v>0</v>
      </c>
      <c r="Y427">
        <v>0</v>
      </c>
      <c r="Z427">
        <v>0</v>
      </c>
      <c r="AA427">
        <v>0</v>
      </c>
      <c r="AB427">
        <v>0</v>
      </c>
      <c r="AC427">
        <v>1</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s="141">
        <f>COUNTIF(V427:AW427,"&lt;&gt;0")</f>
        <v>1</v>
      </c>
      <c r="AY427" s="141">
        <f>COUNTIF(V427:AL427,"&lt;&gt;0")</f>
        <v>1</v>
      </c>
      <c r="AZ427">
        <f>COUNTIF(V427:AC427,"&lt;&gt;0")</f>
        <v>1</v>
      </c>
      <c r="BA427">
        <f>COUNTIF(AD427:AI427,"&lt;&gt;0")</f>
        <v>0</v>
      </c>
      <c r="BB427">
        <f>COUNTIF(AJ427:AL427,"&lt;&gt;0")</f>
        <v>0</v>
      </c>
      <c r="BC427">
        <f>COUNTIF(AS427:AW427,"&lt;&gt;0")</f>
        <v>0</v>
      </c>
      <c r="BD427">
        <f>COUNTIF(AM427:AR427,"&lt;&gt;0")</f>
        <v>0</v>
      </c>
      <c r="BE427" t="str" cm="1">
        <f t="array" ref="BE427">IF(AY427=1,INDEX($V$7:$AL$7,MATCH(TRUE,INDEX($V427:$AW427&lt;&gt;0,),0)),IF(AY427=0,INDEX($AM$7:$AW$7,MATCH(1,$AM427:$AW427,0)),IF(BF427="Multiple strategies","mixed drivers",IF(BF427="Supply chain","multiple supply","multiple silviculture"))))</f>
        <v>site fertility</v>
      </c>
      <c r="BF427" s="2" t="str" cm="1">
        <f t="array" ref="BF427">IF(COUNTIF(AZ427:BB427,"&lt;&gt;0")=1,INDEX($V$4:$AW$4,MATCH(TRUE,INDEX($V427:$AW427&lt;&gt;0,),0)),IF(COUNTIF(AZ427:BB427,"&lt;&gt;0")=0,INDEX($AM$4:$AW$4,MATCH(1,$AM427:$AW427,0)),"Multiple strategies"))</f>
        <v>Silviculture for productivity</v>
      </c>
      <c r="BG427" s="142"/>
      <c r="BH427"/>
      <c r="BI427"/>
      <c r="BJ427" s="143"/>
      <c r="BK427"/>
      <c r="BL427" s="143"/>
      <c r="BM427" s="143"/>
      <c r="BN427" s="143"/>
      <c r="BO427" s="143"/>
      <c r="BP427" s="311" t="s">
        <v>232</v>
      </c>
      <c r="BQ427" s="311"/>
      <c r="BR427" t="s">
        <v>3544</v>
      </c>
      <c r="BS427" s="143">
        <v>-71</v>
      </c>
      <c r="BT427">
        <v>-82</v>
      </c>
      <c r="BU427">
        <v>1.1549295774647887</v>
      </c>
      <c r="BV427">
        <v>-11</v>
      </c>
      <c r="BW427"/>
      <c r="BX427">
        <f>BV427/10^6</f>
        <v>-1.1E-5</v>
      </c>
      <c r="BY427" t="str">
        <f t="shared" si="386"/>
        <v/>
      </c>
      <c r="BZ427" s="143">
        <v>0</v>
      </c>
      <c r="CA427" s="143">
        <v>0</v>
      </c>
      <c r="CB427" s="143">
        <v>0</v>
      </c>
      <c r="CC427" s="143">
        <v>0</v>
      </c>
      <c r="CD427" s="143">
        <v>0</v>
      </c>
      <c r="CE427" s="143">
        <v>0</v>
      </c>
      <c r="CF427" s="143">
        <v>0</v>
      </c>
      <c r="CG427" s="143">
        <v>0</v>
      </c>
      <c r="CH427" s="143">
        <v>0</v>
      </c>
      <c r="CI427" s="143">
        <v>0</v>
      </c>
      <c r="CJ427" s="143">
        <v>0</v>
      </c>
      <c r="CK427" s="143">
        <v>0</v>
      </c>
      <c r="CL427" s="143">
        <v>0</v>
      </c>
      <c r="CM427">
        <v>0</v>
      </c>
      <c r="CN427" t="str">
        <f>IF(BL427&lt;BK427,"refNeedCorrection","refOK")</f>
        <v>refOK</v>
      </c>
      <c r="CO427"/>
      <c r="CP427"/>
      <c r="CQ427"/>
      <c r="CR427">
        <f>IF($CN427="refOK",$BS427,$BT427)*IF($BP427="Emissions positive",-1,1)</f>
        <v>-71</v>
      </c>
      <c r="CS427">
        <f>IF($CN427="refOK",$BT427,$BS427)*IF($BP427="Emissions positive",-1,1)</f>
        <v>-82</v>
      </c>
      <c r="CT427">
        <f>IF($CN427="refNeedCorrection",-BX427,BX427)*IF($BP427="Emissions positive",-1,1)</f>
        <v>-1.1E-5</v>
      </c>
      <c r="CU427" t="str">
        <f>IFERROR(CT427/CQ427,"")</f>
        <v/>
      </c>
      <c r="CV427" s="2">
        <f>IFERROR((CS427-CR427)/ABS(CR427),"")</f>
        <v>-0.15492957746478872</v>
      </c>
      <c r="CW427" s="1" t="s">
        <v>234</v>
      </c>
      <c r="CX427" s="311" t="str">
        <f>IF(OR($CW427="prd",$CW427="std",$CW427="cit"),"loc",IF(OR($CW427="eur",$CW427="reg",$CW427="coy"),"reg",$CW427))</f>
        <v>loc</v>
      </c>
      <c r="CY427" t="s">
        <v>264</v>
      </c>
      <c r="CZ427"/>
      <c r="DA427" s="143"/>
      <c r="DB427" s="143">
        <v>100</v>
      </c>
      <c r="DC427" t="str">
        <f>IF(DB427=0,"0",IF(AND(DB427&gt;=1,DB427&lt;=30),"1-30",IF(AND(DB427&gt;30,DB427&lt;=70),"31-70",IF(AND(DB427&gt;70,DB427&lt;=100),"71-100",IF(DB427&gt;100,"+100")))))</f>
        <v>71-100</v>
      </c>
      <c r="DD427">
        <v>0</v>
      </c>
      <c r="DE427">
        <v>1</v>
      </c>
      <c r="DF427">
        <v>0</v>
      </c>
      <c r="DG427">
        <v>0</v>
      </c>
      <c r="DH427"/>
      <c r="DI427">
        <f>SUM(DD427:DG427)</f>
        <v>1</v>
      </c>
      <c r="DJ427" t="str">
        <f>IF(DI427=1,INDEX($DD$7:$DG$7,MATCH(1,$DD427:$DG427,0)),"mixedProduct")</f>
        <v>EnergyInput</v>
      </c>
      <c r="DK427">
        <f t="shared" si="467"/>
        <v>0</v>
      </c>
      <c r="DL427" t="str">
        <f t="shared" si="467"/>
        <v>Energy</v>
      </c>
      <c r="DM427">
        <f t="shared" si="467"/>
        <v>0</v>
      </c>
      <c r="DN427">
        <f t="shared" si="467"/>
        <v>0</v>
      </c>
      <c r="DO427">
        <v>0</v>
      </c>
      <c r="DP427" s="143">
        <v>0</v>
      </c>
      <c r="DQ427" s="143">
        <v>0</v>
      </c>
      <c r="DR427" s="143">
        <v>0</v>
      </c>
      <c r="DS427" s="143">
        <v>0</v>
      </c>
      <c r="DT427">
        <f>SUM(DO427:DP427)</f>
        <v>0</v>
      </c>
      <c r="DU427" s="143" t="str">
        <f>IF(DO427=1,"self-calculated DF",IF(DP427=1,"external DF used","explicit C balance"))</f>
        <v>explicit C balance</v>
      </c>
      <c r="DV427" s="143">
        <v>0</v>
      </c>
      <c r="DW427" s="143">
        <v>0</v>
      </c>
      <c r="DX427" s="143">
        <v>0</v>
      </c>
      <c r="DY427" s="143">
        <v>0</v>
      </c>
      <c r="DZ427">
        <v>1</v>
      </c>
      <c r="EA427" s="143">
        <v>1</v>
      </c>
      <c r="EB427" s="143">
        <v>0</v>
      </c>
      <c r="EC427" s="143">
        <v>0</v>
      </c>
      <c r="ED427" s="143">
        <v>0</v>
      </c>
      <c r="EE427">
        <v>0</v>
      </c>
      <c r="EF427">
        <v>1</v>
      </c>
      <c r="EG427" s="143">
        <v>0</v>
      </c>
      <c r="EH427" s="143">
        <v>0</v>
      </c>
      <c r="EI427" s="2">
        <v>0</v>
      </c>
      <c r="EJ427" s="1"/>
      <c r="EK427" t="str">
        <f t="shared" si="440"/>
        <v/>
      </c>
      <c r="EL427" t="str">
        <f t="shared" si="441"/>
        <v/>
      </c>
      <c r="EM427" s="2" t="str">
        <f t="shared" si="387"/>
        <v/>
      </c>
      <c r="EN427"/>
      <c r="EO427"/>
      <c r="EP427" t="b">
        <f>IF(ISNUMBER(BU427),IF(ABS(BU427-[1]QC_indicators!$B$2)&gt;3*[1]QC_indicators!$C$2,"C ratio",IF(ISNUMBER(BY427),IF(ABS(BY427-[1]QC_indicators!$B$1)&gt;3*[1]QC_indicators!$C$1,"DF","no"))),IF(ISNUMBER(BY427),IF(ABS(BY427-[1]QC_indicators!$B$1)&gt;3*[1]QC_indicators!$C$1,"DF","no")))</f>
        <v>0</v>
      </c>
      <c r="EQ427"/>
      <c r="ER427" s="313" t="s">
        <v>349</v>
      </c>
      <c r="ES427"/>
      <c r="ET427"/>
      <c r="EU427"/>
    </row>
    <row r="428" spans="1:151" s="139" customFormat="1" ht="15" hidden="1" customHeight="1">
      <c r="A428" s="1" t="s">
        <v>4957</v>
      </c>
      <c r="B428" t="s">
        <v>4958</v>
      </c>
      <c r="C428" t="s">
        <v>4959</v>
      </c>
      <c r="D428" t="s">
        <v>4960</v>
      </c>
      <c r="E428" t="s">
        <v>4961</v>
      </c>
      <c r="F428" t="s">
        <v>4962</v>
      </c>
      <c r="G428" t="s">
        <v>544</v>
      </c>
      <c r="H428" t="s">
        <v>3964</v>
      </c>
      <c r="I428">
        <v>2019</v>
      </c>
      <c r="J428">
        <v>0</v>
      </c>
      <c r="K428" t="s">
        <v>544</v>
      </c>
      <c r="L428"/>
      <c r="M428" t="str">
        <f t="shared" si="429"/>
        <v>Chiaia_2019</v>
      </c>
      <c r="N428" t="s">
        <v>2583</v>
      </c>
      <c r="O428" s="145" t="s">
        <v>223</v>
      </c>
      <c r="P428"/>
      <c r="Q428" s="311" t="s">
        <v>256</v>
      </c>
      <c r="R428" s="312"/>
      <c r="S428" s="1"/>
      <c r="T428"/>
      <c r="U428"/>
      <c r="V428"/>
      <c r="W428"/>
      <c r="X428"/>
      <c r="Y428"/>
      <c r="Z428"/>
      <c r="AA428"/>
      <c r="AB428"/>
      <c r="AC428"/>
      <c r="AD428"/>
      <c r="AE428"/>
      <c r="AF428"/>
      <c r="AG428"/>
      <c r="AH428"/>
      <c r="AI428"/>
      <c r="AJ428"/>
      <c r="AK428"/>
      <c r="AL428"/>
      <c r="AM428"/>
      <c r="AN428"/>
      <c r="AO428"/>
      <c r="AP428"/>
      <c r="AQ428"/>
      <c r="AR428"/>
      <c r="AS428"/>
      <c r="AT428"/>
      <c r="AU428"/>
      <c r="AV428"/>
      <c r="AW428"/>
      <c r="AX428" s="141"/>
      <c r="AY428" s="141"/>
      <c r="AZ428"/>
      <c r="BA428"/>
      <c r="BB428"/>
      <c r="BC428"/>
      <c r="BD428"/>
      <c r="BE428"/>
      <c r="BF428" s="2"/>
      <c r="BG428" s="1"/>
      <c r="BH428"/>
      <c r="BI428"/>
      <c r="BJ428"/>
      <c r="BK428"/>
      <c r="BL428"/>
      <c r="BM428"/>
      <c r="BN428"/>
      <c r="BO428"/>
      <c r="BP428" s="143"/>
      <c r="BQ428" s="143"/>
      <c r="BR428"/>
      <c r="BS428"/>
      <c r="BT428"/>
      <c r="BU428" s="144"/>
      <c r="BV428"/>
      <c r="BW428"/>
      <c r="BX428"/>
      <c r="BY428" t="str">
        <f t="shared" ref="BY428:BY491" si="468">IFERROR(BX428/BO428,"")</f>
        <v/>
      </c>
      <c r="BZ428"/>
      <c r="CA428"/>
      <c r="CB428"/>
      <c r="CC428"/>
      <c r="CD428"/>
      <c r="CE428"/>
      <c r="CF428"/>
      <c r="CG428"/>
      <c r="CH428"/>
      <c r="CI428"/>
      <c r="CJ428"/>
      <c r="CK428"/>
      <c r="CL428"/>
      <c r="CM428"/>
      <c r="CN428"/>
      <c r="CO428"/>
      <c r="CP428"/>
      <c r="CQ428"/>
      <c r="CR428"/>
      <c r="CS428"/>
      <c r="CT428"/>
      <c r="CU428"/>
      <c r="CV428" s="2"/>
      <c r="CW428" s="1"/>
      <c r="CX428"/>
      <c r="CY428"/>
      <c r="CZ428"/>
      <c r="DA428"/>
      <c r="DB428"/>
      <c r="DC428"/>
      <c r="DD428"/>
      <c r="DE428"/>
      <c r="DF428"/>
      <c r="DG428"/>
      <c r="DH428"/>
      <c r="DI428"/>
      <c r="DJ428"/>
      <c r="DK428"/>
      <c r="DL428"/>
      <c r="DM428"/>
      <c r="DN428"/>
      <c r="DO428"/>
      <c r="DP428"/>
      <c r="DQ428"/>
      <c r="DR428"/>
      <c r="DS428"/>
      <c r="DT428"/>
      <c r="DU428" s="143"/>
      <c r="DV428"/>
      <c r="DW428"/>
      <c r="DX428"/>
      <c r="DY428"/>
      <c r="DZ428"/>
      <c r="EA428"/>
      <c r="EB428"/>
      <c r="EC428"/>
      <c r="ED428"/>
      <c r="EE428"/>
      <c r="EF428"/>
      <c r="EG428"/>
      <c r="EH428"/>
      <c r="EI428" s="2"/>
      <c r="EJ428" s="1"/>
      <c r="EK428" t="str">
        <f t="shared" si="440"/>
        <v/>
      </c>
      <c r="EL428" t="str">
        <f t="shared" si="441"/>
        <v/>
      </c>
      <c r="EM428" s="2" t="str">
        <f t="shared" ref="EM428:EM491" si="469">IF(AND(AND(AND($DX428=0,$DW428=0),OR($EC428=1,$EA428=1)),SUM($EB428:$EE428)&gt;=2),"Technology approach","")</f>
        <v/>
      </c>
      <c r="EN428"/>
      <c r="EO428" t="s">
        <v>450</v>
      </c>
      <c r="EP428" t="b">
        <f>IF(ISNUMBER(BU428),IF(ABS(BU428-[1]QC_indicators!$B$2)&gt;3*[1]QC_indicators!$C$2,"C ratio",IF(ISNUMBER(BY428),IF(ABS(BY428-[1]QC_indicators!$B$1)&gt;3*[1]QC_indicators!$C$1,"DF","no"))),IF(ISNUMBER(BY428),IF(ABS(BY428-[1]QC_indicators!$B$1)&gt;3*[1]QC_indicators!$C$1,"DF","no")))</f>
        <v>0</v>
      </c>
      <c r="EQ428"/>
      <c r="ER428"/>
      <c r="ES428"/>
      <c r="ET428"/>
      <c r="EU428"/>
    </row>
    <row r="429" spans="1:151" s="139" customFormat="1" ht="15" hidden="1" customHeight="1">
      <c r="A429" s="1" t="s">
        <v>4957</v>
      </c>
      <c r="B429" t="s">
        <v>4958</v>
      </c>
      <c r="C429" t="s">
        <v>4959</v>
      </c>
      <c r="D429" t="s">
        <v>4960</v>
      </c>
      <c r="E429" t="s">
        <v>4961</v>
      </c>
      <c r="F429" t="s">
        <v>4962</v>
      </c>
      <c r="G429" t="s">
        <v>544</v>
      </c>
      <c r="H429" t="s">
        <v>3964</v>
      </c>
      <c r="I429">
        <v>2019</v>
      </c>
      <c r="J429">
        <v>0</v>
      </c>
      <c r="K429" t="s">
        <v>544</v>
      </c>
      <c r="L429"/>
      <c r="M429" t="str">
        <f t="shared" si="429"/>
        <v>Chiaia_2019</v>
      </c>
      <c r="N429" t="s">
        <v>2583</v>
      </c>
      <c r="O429" s="145" t="s">
        <v>223</v>
      </c>
      <c r="P429"/>
      <c r="Q429" s="311" t="s">
        <v>256</v>
      </c>
      <c r="R429" s="312"/>
      <c r="S429" s="1"/>
      <c r="T429"/>
      <c r="U429"/>
      <c r="V429"/>
      <c r="W429"/>
      <c r="X429"/>
      <c r="Y429"/>
      <c r="Z429"/>
      <c r="AA429"/>
      <c r="AB429"/>
      <c r="AC429"/>
      <c r="AD429"/>
      <c r="AE429"/>
      <c r="AF429"/>
      <c r="AG429"/>
      <c r="AH429"/>
      <c r="AI429"/>
      <c r="AJ429"/>
      <c r="AK429"/>
      <c r="AL429"/>
      <c r="AM429"/>
      <c r="AN429"/>
      <c r="AO429"/>
      <c r="AP429"/>
      <c r="AQ429"/>
      <c r="AR429"/>
      <c r="AS429"/>
      <c r="AT429"/>
      <c r="AU429"/>
      <c r="AV429"/>
      <c r="AW429"/>
      <c r="AX429" s="141"/>
      <c r="AY429" s="141"/>
      <c r="AZ429"/>
      <c r="BA429"/>
      <c r="BB429"/>
      <c r="BC429"/>
      <c r="BD429"/>
      <c r="BE429"/>
      <c r="BF429" s="2"/>
      <c r="BG429" s="1"/>
      <c r="BH429"/>
      <c r="BI429"/>
      <c r="BJ429"/>
      <c r="BK429"/>
      <c r="BL429"/>
      <c r="BM429"/>
      <c r="BN429"/>
      <c r="BO429"/>
      <c r="BP429" s="143"/>
      <c r="BQ429" s="143"/>
      <c r="BR429"/>
      <c r="BS429"/>
      <c r="BT429"/>
      <c r="BU429"/>
      <c r="BV429"/>
      <c r="BW429"/>
      <c r="BX429"/>
      <c r="BY429" t="str">
        <f t="shared" si="468"/>
        <v/>
      </c>
      <c r="BZ429"/>
      <c r="CA429"/>
      <c r="CB429"/>
      <c r="CC429"/>
      <c r="CD429"/>
      <c r="CE429"/>
      <c r="CF429"/>
      <c r="CG429"/>
      <c r="CH429"/>
      <c r="CI429"/>
      <c r="CJ429"/>
      <c r="CK429"/>
      <c r="CL429"/>
      <c r="CM429"/>
      <c r="CN429"/>
      <c r="CO429"/>
      <c r="CP429"/>
      <c r="CQ429"/>
      <c r="CR429"/>
      <c r="CS429"/>
      <c r="CT429"/>
      <c r="CU429"/>
      <c r="CV429" s="2"/>
      <c r="CW429" s="1"/>
      <c r="CX429"/>
      <c r="CY429"/>
      <c r="CZ429"/>
      <c r="DA429"/>
      <c r="DB429"/>
      <c r="DC429"/>
      <c r="DD429"/>
      <c r="DE429"/>
      <c r="DF429"/>
      <c r="DG429"/>
      <c r="DH429"/>
      <c r="DI429"/>
      <c r="DJ429"/>
      <c r="DK429"/>
      <c r="DL429"/>
      <c r="DM429"/>
      <c r="DN429"/>
      <c r="DO429"/>
      <c r="DP429"/>
      <c r="DQ429"/>
      <c r="DR429"/>
      <c r="DS429"/>
      <c r="DT429"/>
      <c r="DU429" s="143"/>
      <c r="DV429"/>
      <c r="DW429"/>
      <c r="DX429"/>
      <c r="DY429"/>
      <c r="DZ429"/>
      <c r="EA429"/>
      <c r="EB429"/>
      <c r="EC429"/>
      <c r="ED429"/>
      <c r="EE429"/>
      <c r="EF429"/>
      <c r="EG429"/>
      <c r="EH429"/>
      <c r="EI429" s="2"/>
      <c r="EJ429" s="1"/>
      <c r="EK429" t="str">
        <f t="shared" si="440"/>
        <v/>
      </c>
      <c r="EL429" t="str">
        <f t="shared" si="441"/>
        <v/>
      </c>
      <c r="EM429" s="2" t="str">
        <f t="shared" si="469"/>
        <v/>
      </c>
      <c r="EN429"/>
      <c r="EO429"/>
      <c r="EP429" t="b">
        <f>IF(ISNUMBER(BU429),IF(ABS(BU429-[1]QC_indicators!$B$2)&gt;3*[1]QC_indicators!$C$2,"C ratio",IF(ISNUMBER(BY429),IF(ABS(BY429-[1]QC_indicators!$B$1)&gt;3*[1]QC_indicators!$C$1,"DF","no"))),IF(ISNUMBER(BY429),IF(ABS(BY429-[1]QC_indicators!$B$1)&gt;3*[1]QC_indicators!$C$1,"DF","no")))</f>
        <v>0</v>
      </c>
      <c r="EQ429"/>
      <c r="ER429"/>
      <c r="ES429"/>
      <c r="ET429"/>
      <c r="EU429"/>
    </row>
    <row r="430" spans="1:151" s="139" customFormat="1" ht="15" hidden="1" customHeight="1">
      <c r="A430" s="1" t="s">
        <v>1359</v>
      </c>
      <c r="B430" t="s">
        <v>1360</v>
      </c>
      <c r="C430" t="s">
        <v>1361</v>
      </c>
      <c r="D430" t="s">
        <v>1362</v>
      </c>
      <c r="E430" t="s">
        <v>1363</v>
      </c>
      <c r="F430" t="s">
        <v>1364</v>
      </c>
      <c r="G430" t="s">
        <v>1365</v>
      </c>
      <c r="H430" t="s">
        <v>254</v>
      </c>
      <c r="I430">
        <v>2012</v>
      </c>
      <c r="J430">
        <v>27</v>
      </c>
      <c r="K430" t="s">
        <v>1366</v>
      </c>
      <c r="L430"/>
      <c r="M430" t="str">
        <f t="shared" si="429"/>
        <v>Colombo_2012</v>
      </c>
      <c r="N430" t="s">
        <v>222</v>
      </c>
      <c r="O430" s="145" t="s">
        <v>223</v>
      </c>
      <c r="P430"/>
      <c r="Q430" t="s">
        <v>256</v>
      </c>
      <c r="R430" s="269" t="s">
        <v>274</v>
      </c>
      <c r="S430" s="1" t="s">
        <v>1367</v>
      </c>
      <c r="T430" t="s">
        <v>1368</v>
      </c>
      <c r="U430" t="s">
        <v>1369</v>
      </c>
      <c r="V430">
        <v>1</v>
      </c>
      <c r="W430">
        <v>0</v>
      </c>
      <c r="X430">
        <v>0</v>
      </c>
      <c r="Y430">
        <v>0</v>
      </c>
      <c r="Z430">
        <v>0</v>
      </c>
      <c r="AA430">
        <v>0</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s="141">
        <f t="shared" ref="AX430:AX465" si="470">COUNTIF(V430:AW430,"&lt;&gt;0")</f>
        <v>1</v>
      </c>
      <c r="AY430" s="141">
        <f t="shared" ref="AY430:AY465" si="471">COUNTIF(V430:AL430,"&lt;&gt;0")</f>
        <v>1</v>
      </c>
      <c r="AZ430">
        <f t="shared" ref="AZ430:AZ465" si="472">COUNTIF(V430:AC430,"&lt;&gt;0")</f>
        <v>1</v>
      </c>
      <c r="BA430">
        <f t="shared" ref="BA430:BA465" si="473">COUNTIF(AD430:AI430,"&lt;&gt;0")</f>
        <v>0</v>
      </c>
      <c r="BB430">
        <f t="shared" ref="BB430:BB465" si="474">COUNTIF(AJ430:AL430,"&lt;&gt;0")</f>
        <v>0</v>
      </c>
      <c r="BC430">
        <f t="shared" ref="BC430:BC465" si="475">COUNTIF(AS430:AW430,"&lt;&gt;0")</f>
        <v>0</v>
      </c>
      <c r="BD430">
        <f t="shared" ref="BD430:BD465" si="476">COUNTIF(AM430:AR430,"&lt;&gt;0")</f>
        <v>0</v>
      </c>
      <c r="BE430" t="str">
        <f t="array" ref="BE430">IF(AY430=1,INDEX($V$7:$AL$7,MATCH(TRUE,INDEX($V430:$AW430&lt;&gt;0,),0)),IF(AY430=0,INDEX($AM$7:$AW$7,MATCH(1,$AM430:$AW430,0)),IF(BF430="Multiple strategies","mixed drivers",IF(BF430="Supply chain","multiple supply","multiple silviculture"))))</f>
        <v>area subject to harvest</v>
      </c>
      <c r="BF430" s="2" t="str" cm="1">
        <f t="array" ref="BF430">IF(COUNTIF(AZ430:BB430,"&lt;&gt;0")=1,INDEX($V$4:$AW$4,MATCH(TRUE,INDEX($V430:$AW430&lt;&gt;0,),0)),IF(COUNTIF(AZ430:BB430,"&lt;&gt;0")=0,INDEX($AM$4:$AW$4,MATCH(1,$AM430:$AW430,0)),"Multiple strategies"))</f>
        <v>Silviculture for removals</v>
      </c>
      <c r="BG430" s="1" t="s">
        <v>229</v>
      </c>
      <c r="BH430" t="s">
        <v>1370</v>
      </c>
      <c r="BI430" s="264" t="s">
        <v>3175</v>
      </c>
      <c r="BJ430" t="s">
        <v>1371</v>
      </c>
      <c r="BK430">
        <v>0</v>
      </c>
      <c r="BL430">
        <v>16</v>
      </c>
      <c r="BM430"/>
      <c r="BN430">
        <f t="shared" ref="BN430:BN458" si="477">BL430-BK430</f>
        <v>16</v>
      </c>
      <c r="BO430">
        <f>BN430*10^6*tC_to_m3</f>
        <v>69474598.349978298</v>
      </c>
      <c r="BP430" s="143" t="s">
        <v>232</v>
      </c>
      <c r="BQ430" s="143" t="s">
        <v>689</v>
      </c>
      <c r="BR430" t="s">
        <v>1371</v>
      </c>
      <c r="BS430">
        <v>592.19047619047603</v>
      </c>
      <c r="BT430">
        <v>569.33333333333303</v>
      </c>
      <c r="BU430" s="144">
        <f t="shared" ref="BU430:BU435" si="478">IFERROR(BT430/BS430,"")</f>
        <v>0.96140238018655488</v>
      </c>
      <c r="BV430">
        <f t="shared" ref="BV430:BV435" si="479">BT430-BS430</f>
        <v>-22.857142857143003</v>
      </c>
      <c r="BW430"/>
      <c r="BX430">
        <f t="shared" ref="BX430:BX435" si="480">BV430*10^6*C_to_CO2</f>
        <v>-83885714.28571482</v>
      </c>
      <c r="BY430">
        <f t="shared" si="468"/>
        <v>-1.2074300000000076</v>
      </c>
      <c r="BZ430">
        <v>0</v>
      </c>
      <c r="CA430">
        <v>0</v>
      </c>
      <c r="CB430">
        <v>0</v>
      </c>
      <c r="CC430">
        <v>0</v>
      </c>
      <c r="CD430">
        <v>0</v>
      </c>
      <c r="CE430">
        <v>0</v>
      </c>
      <c r="CF430">
        <v>0</v>
      </c>
      <c r="CG430">
        <v>0</v>
      </c>
      <c r="CH430">
        <v>0</v>
      </c>
      <c r="CI430">
        <v>0</v>
      </c>
      <c r="CJ430">
        <v>0</v>
      </c>
      <c r="CK430">
        <v>0</v>
      </c>
      <c r="CL430">
        <v>0</v>
      </c>
      <c r="CM430">
        <v>0</v>
      </c>
      <c r="CN430" t="str">
        <f t="shared" ref="CN430:CN456" si="481">IF($BL430&lt;$BK430,"refNeedCorrection","refOK")</f>
        <v>refOK</v>
      </c>
      <c r="CO430">
        <f t="shared" ref="CO430:CO447" si="482">IF($CN430="refOK",$BK430,$BL430)</f>
        <v>0</v>
      </c>
      <c r="CP430">
        <f t="shared" ref="CP430:CP447" si="483">IF($CN430="refOK",$BL430,$BK430)</f>
        <v>16</v>
      </c>
      <c r="CQ430">
        <f t="shared" ref="CQ430:CQ456" si="484">IF($CN430="refOK",$BO430,-$BO430)</f>
        <v>69474598.349978298</v>
      </c>
      <c r="CR430">
        <f t="shared" ref="CR430:CR456" si="485">IF($CN430="refOK",$BS430,$BT430)*IF($BP430="Emissions positive",-1,1)</f>
        <v>592.19047619047603</v>
      </c>
      <c r="CS430">
        <f t="shared" ref="CS430:CS456" si="486">IF($CN430="refOK",$BT430,$BS430)*IF($BP430="Emissions positive",-1,1)</f>
        <v>569.33333333333303</v>
      </c>
      <c r="CT430">
        <f t="shared" ref="CT430:CT456" si="487">IF($CN430="refNeedCorrection",-BX430,BX430)*IF($BP430="Emissions positive",-1,1)</f>
        <v>-83885714.28571482</v>
      </c>
      <c r="CU430">
        <f t="shared" ref="CU430:CU465" si="488">IFERROR(CT430/CQ430,"")</f>
        <v>-1.2074300000000076</v>
      </c>
      <c r="CV430" s="2">
        <f t="shared" ref="CV430:CV456" si="489">IFERROR((CS430-CR430)/ABS(CR430),"")</f>
        <v>-3.8597619813445096E-2</v>
      </c>
      <c r="CW430" s="1" t="s">
        <v>1198</v>
      </c>
      <c r="CX430" t="str">
        <f t="shared" ref="CX430:CX465" si="490">IF(OR($CW430="prd",$CW430="std",$CW430="cit"),"loc",IF(OR($CW430="eur",$CW430="reg",$CW430="coy"),"reg",$CW430))</f>
        <v>reg</v>
      </c>
      <c r="CY430" t="s">
        <v>540</v>
      </c>
      <c r="CZ430">
        <v>2010</v>
      </c>
      <c r="DA430">
        <v>2050</v>
      </c>
      <c r="DB430">
        <f t="shared" ref="DB430:DB435" si="491">DA430-CZ430</f>
        <v>40</v>
      </c>
      <c r="DC430" t="str">
        <f t="shared" ref="DC430:DC465" si="492">IF(DB430=0,"0",IF(AND(DB430&gt;=1,DB430&lt;=30),"1-30",IF(AND(DB430&gt;30,DB430&lt;=70),"31-70",IF(AND(DB430&gt;70,DB430&lt;=100),"71-100",IF(DB430&gt;100,"+100")))))</f>
        <v>31-70</v>
      </c>
      <c r="DD430">
        <v>0</v>
      </c>
      <c r="DE430">
        <v>1</v>
      </c>
      <c r="DF430">
        <v>1</v>
      </c>
      <c r="DG430">
        <v>1</v>
      </c>
      <c r="DH430"/>
      <c r="DI430">
        <f t="shared" ref="DI430:DI460" si="493">SUM(DD430:DG430)</f>
        <v>3</v>
      </c>
      <c r="DJ430" t="str">
        <f t="shared" ref="DJ430:DJ465" si="494">IF(DI430=1,INDEX($DD$7:$DG$7,MATCH(1,$DD430:$DG430,0)),"mixedProduct")</f>
        <v>mixedProduct</v>
      </c>
      <c r="DK430">
        <f t="shared" ref="DK430:DK465" si="495">IF(DD430=1,DK$7,0)</f>
        <v>0</v>
      </c>
      <c r="DL430" t="str">
        <f t="shared" ref="DL430:DL465" si="496">IF(DE430=1,DL$7,0)</f>
        <v>Energy</v>
      </c>
      <c r="DM430" t="str">
        <f t="shared" ref="DM430:DM465" si="497">IF(DF430=1,DM$7,0)</f>
        <v>Pulp/Paper</v>
      </c>
      <c r="DN430" t="str">
        <f t="shared" ref="DN430:DN465" si="498">IF(DG430=1,DN$7,0)</f>
        <v>Timber</v>
      </c>
      <c r="DO430">
        <v>0</v>
      </c>
      <c r="DP430">
        <v>0</v>
      </c>
      <c r="DQ430">
        <v>0</v>
      </c>
      <c r="DR430">
        <v>0</v>
      </c>
      <c r="DS430">
        <v>0</v>
      </c>
      <c r="DT430">
        <f t="shared" ref="DT430:DT465" si="499">SUM(DO430:DP430)</f>
        <v>0</v>
      </c>
      <c r="DU430" s="143" t="str">
        <f t="shared" ref="DU430:DU465" si="500">IF(DO430=1,"self-calculated DF",IF(DP430=1,"external DF used","explicit C balance"))</f>
        <v>explicit C balance</v>
      </c>
      <c r="DV430">
        <v>1</v>
      </c>
      <c r="DW430">
        <v>1</v>
      </c>
      <c r="DX430">
        <v>1</v>
      </c>
      <c r="DY430">
        <v>1</v>
      </c>
      <c r="DZ430">
        <v>0</v>
      </c>
      <c r="EA430" s="143">
        <v>0</v>
      </c>
      <c r="EB430">
        <v>0</v>
      </c>
      <c r="EC430">
        <v>0</v>
      </c>
      <c r="ED430">
        <v>0</v>
      </c>
      <c r="EE430">
        <v>0</v>
      </c>
      <c r="EF430">
        <v>1</v>
      </c>
      <c r="EG430">
        <v>0</v>
      </c>
      <c r="EH430">
        <v>0</v>
      </c>
      <c r="EI430" s="2">
        <v>0</v>
      </c>
      <c r="EJ430" s="1"/>
      <c r="EK430" t="str">
        <f t="shared" ref="EK430:EK458" si="501">IF(AND(AND(AND(OR($DX430=1,$DW430=1),OR($EC430=1,$EA430=1)),SUM($DV430:$DZ430,$EF430)&gt;=4),SUM($EA430:$EE430)&gt;=2),"Whole sector","")</f>
        <v/>
      </c>
      <c r="EL430" t="str">
        <f t="shared" ref="EL430:EL458" si="502">IF(AND(AND(OR($DX430=1,$DW430=1),AND($EC430=0,$EA430=0)),SUM($DV430:$DZ430,$EF430)&gt;=4),"Ecosystem approach","")</f>
        <v>Ecosystem approach</v>
      </c>
      <c r="EM430" s="2" t="str">
        <f t="shared" si="469"/>
        <v/>
      </c>
      <c r="EN430"/>
      <c r="EO430"/>
      <c r="EP430" t="str">
        <f>IF(ISNUMBER(BU430),IF(ABS(BU430-[2]QC_indicators!$B$2)&gt;3*[2]QC_indicators!$C$2,"C ratio",IF(ISNUMBER(BY430),IF(ABS(BY430-[2]QC_indicators!$B$1)&gt;3*[2]QC_indicators!$C$1,"DF","no"))),IF(ISNUMBER(BY430),IF(ABS(BY430-[2]QC_indicators!$B$1)&gt;3*[2]QC_indicators!$C$1,"DF","no")))</f>
        <v>no</v>
      </c>
      <c r="EQ430"/>
      <c r="ER430" t="s">
        <v>1372</v>
      </c>
      <c r="ES430"/>
      <c r="ET430" s="264" t="s">
        <v>3263</v>
      </c>
      <c r="EU430"/>
    </row>
    <row r="431" spans="1:151" s="139" customFormat="1" ht="15" hidden="1" customHeight="1">
      <c r="A431" s="1" t="s">
        <v>1359</v>
      </c>
      <c r="B431" t="s">
        <v>1360</v>
      </c>
      <c r="C431" t="s">
        <v>1361</v>
      </c>
      <c r="D431" t="s">
        <v>1362</v>
      </c>
      <c r="E431" t="s">
        <v>1363</v>
      </c>
      <c r="F431" t="s">
        <v>1364</v>
      </c>
      <c r="G431" t="s">
        <v>1365</v>
      </c>
      <c r="H431" t="s">
        <v>254</v>
      </c>
      <c r="I431">
        <v>2012</v>
      </c>
      <c r="J431">
        <v>27</v>
      </c>
      <c r="K431" t="s">
        <v>1366</v>
      </c>
      <c r="L431"/>
      <c r="M431" t="str">
        <f t="shared" si="429"/>
        <v>Colombo_2012</v>
      </c>
      <c r="N431" t="s">
        <v>222</v>
      </c>
      <c r="O431" s="145" t="s">
        <v>223</v>
      </c>
      <c r="P431"/>
      <c r="Q431" t="s">
        <v>256</v>
      </c>
      <c r="R431" s="269" t="s">
        <v>274</v>
      </c>
      <c r="S431" s="1" t="s">
        <v>1367</v>
      </c>
      <c r="T431" t="s">
        <v>1368</v>
      </c>
      <c r="U431" t="s">
        <v>1373</v>
      </c>
      <c r="V431">
        <v>1</v>
      </c>
      <c r="W431">
        <v>0</v>
      </c>
      <c r="X431">
        <v>0</v>
      </c>
      <c r="Y431">
        <v>0</v>
      </c>
      <c r="Z431">
        <v>0</v>
      </c>
      <c r="AA431">
        <v>0</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s="141">
        <f t="shared" si="470"/>
        <v>1</v>
      </c>
      <c r="AY431" s="141">
        <f t="shared" si="471"/>
        <v>1</v>
      </c>
      <c r="AZ431">
        <f t="shared" si="472"/>
        <v>1</v>
      </c>
      <c r="BA431">
        <f t="shared" si="473"/>
        <v>0</v>
      </c>
      <c r="BB431">
        <f t="shared" si="474"/>
        <v>0</v>
      </c>
      <c r="BC431">
        <f t="shared" si="475"/>
        <v>0</v>
      </c>
      <c r="BD431">
        <f t="shared" si="476"/>
        <v>0</v>
      </c>
      <c r="BE431" t="str">
        <f t="array" ref="BE431">IF(AY431=1,INDEX($V$7:$AL$7,MATCH(TRUE,INDEX($V431:$AW431&lt;&gt;0,),0)),IF(AY431=0,INDEX($AM$7:$AW$7,MATCH(1,$AM431:$AW431,0)),IF(BF431="Multiple strategies","mixed drivers",IF(BF431="Supply chain","multiple supply","multiple silviculture"))))</f>
        <v>area subject to harvest</v>
      </c>
      <c r="BF431" s="2" t="str" cm="1">
        <f t="array" ref="BF431">IF(COUNTIF(AZ431:BB431,"&lt;&gt;0")=1,INDEX($V$4:$AW$4,MATCH(TRUE,INDEX($V431:$AW431&lt;&gt;0,),0)),IF(COUNTIF(AZ431:BB431,"&lt;&gt;0")=0,INDEX($AM$4:$AW$4,MATCH(1,$AM431:$AW431,0)),"Multiple strategies"))</f>
        <v>Silviculture for removals</v>
      </c>
      <c r="BG431" s="1" t="s">
        <v>229</v>
      </c>
      <c r="BH431" t="s">
        <v>1370</v>
      </c>
      <c r="BI431" s="264" t="s">
        <v>3175</v>
      </c>
      <c r="BJ431" t="s">
        <v>1371</v>
      </c>
      <c r="BK431">
        <v>0</v>
      </c>
      <c r="BL431">
        <v>31</v>
      </c>
      <c r="BM431"/>
      <c r="BN431">
        <f t="shared" si="477"/>
        <v>31</v>
      </c>
      <c r="BO431">
        <f>BN431*10^6*tC_to_m3</f>
        <v>134607034.30308294</v>
      </c>
      <c r="BP431" s="143" t="s">
        <v>232</v>
      </c>
      <c r="BQ431" s="143" t="s">
        <v>689</v>
      </c>
      <c r="BR431" t="s">
        <v>1371</v>
      </c>
      <c r="BS431">
        <v>592.19047619047603</v>
      </c>
      <c r="BT431">
        <v>557.142857142857</v>
      </c>
      <c r="BU431" s="144">
        <f t="shared" si="478"/>
        <v>0.94081698295271787</v>
      </c>
      <c r="BV431">
        <f t="shared" si="479"/>
        <v>-35.047619047619037</v>
      </c>
      <c r="BW431"/>
      <c r="BX431">
        <f t="shared" si="480"/>
        <v>-128624761.90476187</v>
      </c>
      <c r="BY431">
        <f t="shared" si="468"/>
        <v>-0.95555750537634376</v>
      </c>
      <c r="BZ431">
        <v>0</v>
      </c>
      <c r="CA431">
        <v>0</v>
      </c>
      <c r="CB431">
        <v>0</v>
      </c>
      <c r="CC431">
        <v>0</v>
      </c>
      <c r="CD431">
        <v>0</v>
      </c>
      <c r="CE431">
        <v>0</v>
      </c>
      <c r="CF431">
        <v>0</v>
      </c>
      <c r="CG431">
        <v>0</v>
      </c>
      <c r="CH431">
        <v>0</v>
      </c>
      <c r="CI431">
        <v>0</v>
      </c>
      <c r="CJ431">
        <v>0</v>
      </c>
      <c r="CK431">
        <v>0</v>
      </c>
      <c r="CL431">
        <v>0</v>
      </c>
      <c r="CM431">
        <v>0</v>
      </c>
      <c r="CN431" t="str">
        <f t="shared" si="481"/>
        <v>refOK</v>
      </c>
      <c r="CO431">
        <f t="shared" si="482"/>
        <v>0</v>
      </c>
      <c r="CP431">
        <f t="shared" si="483"/>
        <v>31</v>
      </c>
      <c r="CQ431">
        <f t="shared" si="484"/>
        <v>134607034.30308294</v>
      </c>
      <c r="CR431">
        <f t="shared" si="485"/>
        <v>592.19047619047603</v>
      </c>
      <c r="CS431">
        <f t="shared" si="486"/>
        <v>557.142857142857</v>
      </c>
      <c r="CT431">
        <f t="shared" si="487"/>
        <v>-128624761.90476187</v>
      </c>
      <c r="CU431">
        <f t="shared" si="488"/>
        <v>-0.95555750537634376</v>
      </c>
      <c r="CV431" s="2">
        <f t="shared" si="489"/>
        <v>-5.9183017047282079E-2</v>
      </c>
      <c r="CW431" s="1" t="s">
        <v>1198</v>
      </c>
      <c r="CX431" t="str">
        <f t="shared" si="490"/>
        <v>reg</v>
      </c>
      <c r="CY431" t="s">
        <v>540</v>
      </c>
      <c r="CZ431">
        <v>2010</v>
      </c>
      <c r="DA431">
        <v>2050</v>
      </c>
      <c r="DB431">
        <f t="shared" si="491"/>
        <v>40</v>
      </c>
      <c r="DC431" t="str">
        <f t="shared" si="492"/>
        <v>31-70</v>
      </c>
      <c r="DD431">
        <v>0</v>
      </c>
      <c r="DE431">
        <v>1</v>
      </c>
      <c r="DF431">
        <v>1</v>
      </c>
      <c r="DG431">
        <v>1</v>
      </c>
      <c r="DH431"/>
      <c r="DI431">
        <f t="shared" si="493"/>
        <v>3</v>
      </c>
      <c r="DJ431" t="str">
        <f t="shared" si="494"/>
        <v>mixedProduct</v>
      </c>
      <c r="DK431">
        <f t="shared" si="495"/>
        <v>0</v>
      </c>
      <c r="DL431" t="str">
        <f t="shared" si="496"/>
        <v>Energy</v>
      </c>
      <c r="DM431" t="str">
        <f t="shared" si="497"/>
        <v>Pulp/Paper</v>
      </c>
      <c r="DN431" t="str">
        <f t="shared" si="498"/>
        <v>Timber</v>
      </c>
      <c r="DO431">
        <v>0</v>
      </c>
      <c r="DP431">
        <v>0</v>
      </c>
      <c r="DQ431">
        <v>0</v>
      </c>
      <c r="DR431">
        <v>0</v>
      </c>
      <c r="DS431">
        <v>0</v>
      </c>
      <c r="DT431">
        <f t="shared" si="499"/>
        <v>0</v>
      </c>
      <c r="DU431" s="143" t="str">
        <f t="shared" si="500"/>
        <v>explicit C balance</v>
      </c>
      <c r="DV431">
        <v>1</v>
      </c>
      <c r="DW431">
        <v>1</v>
      </c>
      <c r="DX431">
        <v>1</v>
      </c>
      <c r="DY431">
        <v>1</v>
      </c>
      <c r="DZ431">
        <v>0</v>
      </c>
      <c r="EA431" s="143">
        <v>0</v>
      </c>
      <c r="EB431">
        <v>0</v>
      </c>
      <c r="EC431">
        <v>0</v>
      </c>
      <c r="ED431">
        <v>0</v>
      </c>
      <c r="EE431">
        <v>0</v>
      </c>
      <c r="EF431">
        <v>1</v>
      </c>
      <c r="EG431">
        <v>0</v>
      </c>
      <c r="EH431">
        <v>0</v>
      </c>
      <c r="EI431" s="2">
        <v>0</v>
      </c>
      <c r="EJ431" s="1"/>
      <c r="EK431" t="str">
        <f t="shared" si="501"/>
        <v/>
      </c>
      <c r="EL431" t="str">
        <f t="shared" si="502"/>
        <v>Ecosystem approach</v>
      </c>
      <c r="EM431" s="2" t="str">
        <f t="shared" si="469"/>
        <v/>
      </c>
      <c r="EN431"/>
      <c r="EO431"/>
      <c r="EP431" t="str">
        <f>IF(ISNUMBER(BU431),IF(ABS(BU431-[2]QC_indicators!$B$2)&gt;3*[2]QC_indicators!$C$2,"C ratio",IF(ISNUMBER(BY431),IF(ABS(BY431-[2]QC_indicators!$B$1)&gt;3*[2]QC_indicators!$C$1,"DF","no"))),IF(ISNUMBER(BY431),IF(ABS(BY431-[2]QC_indicators!$B$1)&gt;3*[2]QC_indicators!$C$1,"DF","no")))</f>
        <v>no</v>
      </c>
      <c r="EQ431"/>
      <c r="ER431" t="s">
        <v>1372</v>
      </c>
      <c r="ES431"/>
      <c r="ET431" s="264" t="s">
        <v>3263</v>
      </c>
      <c r="EU431"/>
    </row>
    <row r="432" spans="1:151" s="139" customFormat="1" ht="15" hidden="1" customHeight="1">
      <c r="A432" s="1" t="s">
        <v>1359</v>
      </c>
      <c r="B432" t="s">
        <v>1360</v>
      </c>
      <c r="C432" t="s">
        <v>1361</v>
      </c>
      <c r="D432" t="s">
        <v>1362</v>
      </c>
      <c r="E432" t="s">
        <v>1363</v>
      </c>
      <c r="F432" t="s">
        <v>1364</v>
      </c>
      <c r="G432" t="s">
        <v>1365</v>
      </c>
      <c r="H432" t="s">
        <v>254</v>
      </c>
      <c r="I432">
        <v>2012</v>
      </c>
      <c r="J432">
        <v>27</v>
      </c>
      <c r="K432" t="s">
        <v>1366</v>
      </c>
      <c r="L432"/>
      <c r="M432" t="str">
        <f t="shared" si="429"/>
        <v>Colombo_2012</v>
      </c>
      <c r="N432" t="s">
        <v>222</v>
      </c>
      <c r="O432" s="145" t="s">
        <v>223</v>
      </c>
      <c r="P432"/>
      <c r="Q432" t="s">
        <v>256</v>
      </c>
      <c r="R432" s="269" t="s">
        <v>274</v>
      </c>
      <c r="S432" s="1" t="s">
        <v>1367</v>
      </c>
      <c r="T432" t="s">
        <v>1368</v>
      </c>
      <c r="U432" t="s">
        <v>1373</v>
      </c>
      <c r="V432">
        <v>1</v>
      </c>
      <c r="W432">
        <v>0</v>
      </c>
      <c r="X432">
        <v>0</v>
      </c>
      <c r="Y432">
        <v>0</v>
      </c>
      <c r="Z432">
        <v>0</v>
      </c>
      <c r="AA432">
        <v>0</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s="141">
        <f t="shared" si="470"/>
        <v>1</v>
      </c>
      <c r="AY432" s="141">
        <f t="shared" si="471"/>
        <v>1</v>
      </c>
      <c r="AZ432">
        <f t="shared" si="472"/>
        <v>1</v>
      </c>
      <c r="BA432">
        <f t="shared" si="473"/>
        <v>0</v>
      </c>
      <c r="BB432">
        <f t="shared" si="474"/>
        <v>0</v>
      </c>
      <c r="BC432">
        <f t="shared" si="475"/>
        <v>0</v>
      </c>
      <c r="BD432">
        <f t="shared" si="476"/>
        <v>0</v>
      </c>
      <c r="BE432" t="str">
        <f t="array" ref="BE432">IF(AY432=1,INDEX($V$7:$AL$7,MATCH(TRUE,INDEX($V432:$AW432&lt;&gt;0,),0)),IF(AY432=0,INDEX($AM$7:$AW$7,MATCH(1,$AM432:$AW432,0)),IF(BF432="Multiple strategies","mixed drivers",IF(BF432="Supply chain","multiple supply","multiple silviculture"))))</f>
        <v>area subject to harvest</v>
      </c>
      <c r="BF432" s="2" t="str" cm="1">
        <f t="array" ref="BF432">IF(COUNTIF(AZ432:BB432,"&lt;&gt;0")=1,INDEX($V$4:$AW$4,MATCH(TRUE,INDEX($V432:$AW432&lt;&gt;0,),0)),IF(COUNTIF(AZ432:BB432,"&lt;&gt;0")=0,INDEX($AM$4:$AW$4,MATCH(1,$AM432:$AW432,0)),"Multiple strategies"))</f>
        <v>Silviculture for removals</v>
      </c>
      <c r="BG432" s="1" t="s">
        <v>229</v>
      </c>
      <c r="BH432" t="s">
        <v>1370</v>
      </c>
      <c r="BI432" s="264" t="s">
        <v>3175</v>
      </c>
      <c r="BJ432" t="s">
        <v>1371</v>
      </c>
      <c r="BK432">
        <v>0</v>
      </c>
      <c r="BL432">
        <f>27+42</f>
        <v>69</v>
      </c>
      <c r="BM432"/>
      <c r="BN432">
        <f t="shared" si="477"/>
        <v>69</v>
      </c>
      <c r="BO432">
        <f>BN432*10^6*tC_to_m3</f>
        <v>299609205.3842814</v>
      </c>
      <c r="BP432" s="143" t="s">
        <v>232</v>
      </c>
      <c r="BQ432" s="143" t="s">
        <v>689</v>
      </c>
      <c r="BR432" t="s">
        <v>1371</v>
      </c>
      <c r="BS432">
        <v>590.28571428571399</v>
      </c>
      <c r="BT432">
        <v>587.80952380952294</v>
      </c>
      <c r="BU432" s="144">
        <f t="shared" si="478"/>
        <v>0.99580509841884379</v>
      </c>
      <c r="BV432">
        <f t="shared" si="479"/>
        <v>-2.47619047619105</v>
      </c>
      <c r="BW432"/>
      <c r="BX432">
        <f t="shared" si="480"/>
        <v>-9087619.0476211533</v>
      </c>
      <c r="BY432">
        <f t="shared" si="468"/>
        <v>-3.0331574879234078E-2</v>
      </c>
      <c r="BZ432">
        <v>0</v>
      </c>
      <c r="CA432">
        <v>0</v>
      </c>
      <c r="CB432">
        <v>0</v>
      </c>
      <c r="CC432">
        <v>0</v>
      </c>
      <c r="CD432">
        <v>0</v>
      </c>
      <c r="CE432">
        <v>0</v>
      </c>
      <c r="CF432">
        <v>0</v>
      </c>
      <c r="CG432">
        <v>0</v>
      </c>
      <c r="CH432">
        <v>0</v>
      </c>
      <c r="CI432">
        <v>0</v>
      </c>
      <c r="CJ432">
        <v>0</v>
      </c>
      <c r="CK432">
        <v>0</v>
      </c>
      <c r="CL432">
        <v>0</v>
      </c>
      <c r="CM432">
        <v>0</v>
      </c>
      <c r="CN432" t="str">
        <f t="shared" si="481"/>
        <v>refOK</v>
      </c>
      <c r="CO432">
        <f t="shared" si="482"/>
        <v>0</v>
      </c>
      <c r="CP432">
        <f t="shared" si="483"/>
        <v>69</v>
      </c>
      <c r="CQ432">
        <f t="shared" si="484"/>
        <v>299609205.3842814</v>
      </c>
      <c r="CR432">
        <f t="shared" si="485"/>
        <v>590.28571428571399</v>
      </c>
      <c r="CS432">
        <f t="shared" si="486"/>
        <v>587.80952380952294</v>
      </c>
      <c r="CT432">
        <f t="shared" si="487"/>
        <v>-9087619.0476211533</v>
      </c>
      <c r="CU432">
        <f t="shared" si="488"/>
        <v>-3.0331574879234078E-2</v>
      </c>
      <c r="CV432" s="2">
        <f t="shared" si="489"/>
        <v>-4.1949015811561857E-3</v>
      </c>
      <c r="CW432" s="1" t="s">
        <v>1198</v>
      </c>
      <c r="CX432" t="str">
        <f t="shared" si="490"/>
        <v>reg</v>
      </c>
      <c r="CY432" t="s">
        <v>540</v>
      </c>
      <c r="CZ432">
        <v>2010</v>
      </c>
      <c r="DA432">
        <v>2110</v>
      </c>
      <c r="DB432">
        <f t="shared" si="491"/>
        <v>100</v>
      </c>
      <c r="DC432" t="str">
        <f t="shared" si="492"/>
        <v>71-100</v>
      </c>
      <c r="DD432">
        <v>0</v>
      </c>
      <c r="DE432">
        <v>1</v>
      </c>
      <c r="DF432">
        <v>1</v>
      </c>
      <c r="DG432">
        <v>1</v>
      </c>
      <c r="DH432"/>
      <c r="DI432">
        <f t="shared" si="493"/>
        <v>3</v>
      </c>
      <c r="DJ432" t="str">
        <f t="shared" si="494"/>
        <v>mixedProduct</v>
      </c>
      <c r="DK432">
        <f t="shared" si="495"/>
        <v>0</v>
      </c>
      <c r="DL432" t="str">
        <f t="shared" si="496"/>
        <v>Energy</v>
      </c>
      <c r="DM432" t="str">
        <f t="shared" si="497"/>
        <v>Pulp/Paper</v>
      </c>
      <c r="DN432" t="str">
        <f t="shared" si="498"/>
        <v>Timber</v>
      </c>
      <c r="DO432">
        <v>0</v>
      </c>
      <c r="DP432">
        <v>0</v>
      </c>
      <c r="DQ432">
        <v>0</v>
      </c>
      <c r="DR432">
        <v>0</v>
      </c>
      <c r="DS432">
        <v>0</v>
      </c>
      <c r="DT432">
        <f t="shared" si="499"/>
        <v>0</v>
      </c>
      <c r="DU432" s="143" t="str">
        <f t="shared" si="500"/>
        <v>explicit C balance</v>
      </c>
      <c r="DV432">
        <v>1</v>
      </c>
      <c r="DW432">
        <v>1</v>
      </c>
      <c r="DX432">
        <v>1</v>
      </c>
      <c r="DY432">
        <v>1</v>
      </c>
      <c r="DZ432">
        <v>0</v>
      </c>
      <c r="EA432" s="143">
        <v>0</v>
      </c>
      <c r="EB432">
        <v>0</v>
      </c>
      <c r="EC432">
        <v>0</v>
      </c>
      <c r="ED432">
        <v>0</v>
      </c>
      <c r="EE432">
        <v>0</v>
      </c>
      <c r="EF432">
        <v>1</v>
      </c>
      <c r="EG432">
        <v>0</v>
      </c>
      <c r="EH432">
        <v>0</v>
      </c>
      <c r="EI432" s="2">
        <v>0</v>
      </c>
      <c r="EJ432" s="1"/>
      <c r="EK432" t="str">
        <f t="shared" si="501"/>
        <v/>
      </c>
      <c r="EL432" t="str">
        <f t="shared" si="502"/>
        <v>Ecosystem approach</v>
      </c>
      <c r="EM432" s="2" t="str">
        <f t="shared" si="469"/>
        <v/>
      </c>
      <c r="EN432"/>
      <c r="EO432"/>
      <c r="EP432" t="str">
        <f>IF(ISNUMBER(BU432),IF(ABS(BU432-[2]QC_indicators!$B$2)&gt;3*[2]QC_indicators!$C$2,"C ratio",IF(ISNUMBER(BY432),IF(ABS(BY432-[2]QC_indicators!$B$1)&gt;3*[2]QC_indicators!$C$1,"DF","no"))),IF(ISNUMBER(BY432),IF(ABS(BY432-[2]QC_indicators!$B$1)&gt;3*[2]QC_indicators!$C$1,"DF","no")))</f>
        <v>no</v>
      </c>
      <c r="EQ432"/>
      <c r="ER432" t="s">
        <v>1372</v>
      </c>
      <c r="ES432"/>
      <c r="ET432" s="264" t="s">
        <v>3263</v>
      </c>
      <c r="EU432"/>
    </row>
    <row r="433" spans="1:151" s="139" customFormat="1" ht="15" hidden="1" customHeight="1">
      <c r="A433" s="1" t="s">
        <v>1359</v>
      </c>
      <c r="B433" t="s">
        <v>1360</v>
      </c>
      <c r="C433" t="s">
        <v>1361</v>
      </c>
      <c r="D433" t="s">
        <v>1362</v>
      </c>
      <c r="E433" t="s">
        <v>1363</v>
      </c>
      <c r="F433" t="s">
        <v>1364</v>
      </c>
      <c r="G433" t="s">
        <v>1365</v>
      </c>
      <c r="H433" t="s">
        <v>254</v>
      </c>
      <c r="I433">
        <v>2012</v>
      </c>
      <c r="J433">
        <v>27</v>
      </c>
      <c r="K433" t="s">
        <v>1366</v>
      </c>
      <c r="L433"/>
      <c r="M433" t="str">
        <f t="shared" si="429"/>
        <v>Colombo_2012</v>
      </c>
      <c r="N433" t="s">
        <v>222</v>
      </c>
      <c r="O433" s="145" t="s">
        <v>223</v>
      </c>
      <c r="P433"/>
      <c r="Q433" t="s">
        <v>256</v>
      </c>
      <c r="R433" s="269" t="s">
        <v>274</v>
      </c>
      <c r="S433" s="1" t="s">
        <v>1367</v>
      </c>
      <c r="T433" t="s">
        <v>1368</v>
      </c>
      <c r="U433" t="s">
        <v>1369</v>
      </c>
      <c r="V433">
        <v>1</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s="141">
        <f t="shared" si="470"/>
        <v>1</v>
      </c>
      <c r="AY433" s="141">
        <f t="shared" si="471"/>
        <v>1</v>
      </c>
      <c r="AZ433">
        <f t="shared" si="472"/>
        <v>1</v>
      </c>
      <c r="BA433">
        <f t="shared" si="473"/>
        <v>0</v>
      </c>
      <c r="BB433">
        <f t="shared" si="474"/>
        <v>0</v>
      </c>
      <c r="BC433">
        <f t="shared" si="475"/>
        <v>0</v>
      </c>
      <c r="BD433">
        <f t="shared" si="476"/>
        <v>0</v>
      </c>
      <c r="BE433" t="str">
        <f t="array" ref="BE433">IF(AY433=1,INDEX($V$7:$AL$7,MATCH(TRUE,INDEX($V433:$AW433&lt;&gt;0,),0)),IF(AY433=0,INDEX($AM$7:$AW$7,MATCH(1,$AM433:$AW433,0)),IF(BF433="Multiple strategies","mixed drivers",IF(BF433="Supply chain","multiple supply","multiple silviculture"))))</f>
        <v>area subject to harvest</v>
      </c>
      <c r="BF433" s="2" t="str" cm="1">
        <f t="array" ref="BF433">IF(COUNTIF(AZ433:BB433,"&lt;&gt;0")=1,INDEX($V$4:$AW$4,MATCH(TRUE,INDEX($V433:$AW433&lt;&gt;0,),0)),IF(COUNTIF(AZ433:BB433,"&lt;&gt;0")=0,INDEX($AM$4:$AW$4,MATCH(1,$AM433:$AW433,0)),"Multiple strategies"))</f>
        <v>Silviculture for removals</v>
      </c>
      <c r="BG433" s="1" t="s">
        <v>229</v>
      </c>
      <c r="BH433" t="s">
        <v>1370</v>
      </c>
      <c r="BI433" s="264" t="s">
        <v>3175</v>
      </c>
      <c r="BJ433" t="s">
        <v>1371</v>
      </c>
      <c r="BK433">
        <v>0</v>
      </c>
      <c r="BL433">
        <v>38</v>
      </c>
      <c r="BM433"/>
      <c r="BN433">
        <f t="shared" si="477"/>
        <v>38</v>
      </c>
      <c r="BO433">
        <f>BN433*10^6*tC_to_m3</f>
        <v>165002171.08119845</v>
      </c>
      <c r="BP433" s="143" t="s">
        <v>232</v>
      </c>
      <c r="BQ433" s="143" t="s">
        <v>689</v>
      </c>
      <c r="BR433" t="s">
        <v>1371</v>
      </c>
      <c r="BS433">
        <v>590.28571428571399</v>
      </c>
      <c r="BT433">
        <v>594.28571428571399</v>
      </c>
      <c r="BU433" s="144">
        <f t="shared" si="478"/>
        <v>1.0067763794772506</v>
      </c>
      <c r="BV433">
        <f t="shared" si="479"/>
        <v>4</v>
      </c>
      <c r="BW433"/>
      <c r="BX433">
        <f t="shared" si="480"/>
        <v>14680000</v>
      </c>
      <c r="BY433">
        <f t="shared" si="468"/>
        <v>8.896852631578947E-2</v>
      </c>
      <c r="BZ433">
        <v>0</v>
      </c>
      <c r="CA433">
        <v>0</v>
      </c>
      <c r="CB433">
        <v>0</v>
      </c>
      <c r="CC433">
        <v>0</v>
      </c>
      <c r="CD433">
        <v>0</v>
      </c>
      <c r="CE433">
        <v>0</v>
      </c>
      <c r="CF433">
        <v>0</v>
      </c>
      <c r="CG433">
        <v>0</v>
      </c>
      <c r="CH433">
        <v>0</v>
      </c>
      <c r="CI433">
        <v>0</v>
      </c>
      <c r="CJ433">
        <v>0</v>
      </c>
      <c r="CK433">
        <v>0</v>
      </c>
      <c r="CL433">
        <v>0</v>
      </c>
      <c r="CM433">
        <v>0</v>
      </c>
      <c r="CN433" t="str">
        <f t="shared" si="481"/>
        <v>refOK</v>
      </c>
      <c r="CO433">
        <f t="shared" si="482"/>
        <v>0</v>
      </c>
      <c r="CP433">
        <f t="shared" si="483"/>
        <v>38</v>
      </c>
      <c r="CQ433">
        <f t="shared" si="484"/>
        <v>165002171.08119845</v>
      </c>
      <c r="CR433">
        <f t="shared" si="485"/>
        <v>590.28571428571399</v>
      </c>
      <c r="CS433">
        <f t="shared" si="486"/>
        <v>594.28571428571399</v>
      </c>
      <c r="CT433">
        <f t="shared" si="487"/>
        <v>14680000</v>
      </c>
      <c r="CU433">
        <f t="shared" si="488"/>
        <v>8.896852631578947E-2</v>
      </c>
      <c r="CV433" s="2">
        <f t="shared" si="489"/>
        <v>6.7763794772507293E-3</v>
      </c>
      <c r="CW433" s="1" t="s">
        <v>1198</v>
      </c>
      <c r="CX433" t="str">
        <f t="shared" si="490"/>
        <v>reg</v>
      </c>
      <c r="CY433" t="s">
        <v>540</v>
      </c>
      <c r="CZ433">
        <v>2010</v>
      </c>
      <c r="DA433">
        <v>2110</v>
      </c>
      <c r="DB433">
        <f t="shared" si="491"/>
        <v>100</v>
      </c>
      <c r="DC433" t="str">
        <f t="shared" si="492"/>
        <v>71-100</v>
      </c>
      <c r="DD433">
        <v>0</v>
      </c>
      <c r="DE433">
        <v>1</v>
      </c>
      <c r="DF433">
        <v>1</v>
      </c>
      <c r="DG433">
        <v>1</v>
      </c>
      <c r="DH433"/>
      <c r="DI433">
        <f t="shared" si="493"/>
        <v>3</v>
      </c>
      <c r="DJ433" t="str">
        <f t="shared" si="494"/>
        <v>mixedProduct</v>
      </c>
      <c r="DK433">
        <f t="shared" si="495"/>
        <v>0</v>
      </c>
      <c r="DL433" t="str">
        <f t="shared" si="496"/>
        <v>Energy</v>
      </c>
      <c r="DM433" t="str">
        <f t="shared" si="497"/>
        <v>Pulp/Paper</v>
      </c>
      <c r="DN433" t="str">
        <f t="shared" si="498"/>
        <v>Timber</v>
      </c>
      <c r="DO433">
        <v>0</v>
      </c>
      <c r="DP433">
        <v>0</v>
      </c>
      <c r="DQ433">
        <v>0</v>
      </c>
      <c r="DR433">
        <v>0</v>
      </c>
      <c r="DS433">
        <v>0</v>
      </c>
      <c r="DT433">
        <f t="shared" si="499"/>
        <v>0</v>
      </c>
      <c r="DU433" s="143" t="str">
        <f t="shared" si="500"/>
        <v>explicit C balance</v>
      </c>
      <c r="DV433">
        <v>1</v>
      </c>
      <c r="DW433">
        <v>1</v>
      </c>
      <c r="DX433">
        <v>1</v>
      </c>
      <c r="DY433">
        <v>1</v>
      </c>
      <c r="DZ433">
        <v>0</v>
      </c>
      <c r="EA433" s="143">
        <v>0</v>
      </c>
      <c r="EB433">
        <v>0</v>
      </c>
      <c r="EC433">
        <v>0</v>
      </c>
      <c r="ED433">
        <v>0</v>
      </c>
      <c r="EE433">
        <v>0</v>
      </c>
      <c r="EF433">
        <v>1</v>
      </c>
      <c r="EG433">
        <v>0</v>
      </c>
      <c r="EH433">
        <v>0</v>
      </c>
      <c r="EI433" s="2">
        <v>0</v>
      </c>
      <c r="EJ433" s="1"/>
      <c r="EK433" t="str">
        <f t="shared" si="501"/>
        <v/>
      </c>
      <c r="EL433" t="str">
        <f t="shared" si="502"/>
        <v>Ecosystem approach</v>
      </c>
      <c r="EM433" s="2" t="str">
        <f t="shared" si="469"/>
        <v/>
      </c>
      <c r="EN433"/>
      <c r="EO433"/>
      <c r="EP433" t="str">
        <f>IF(ISNUMBER(BU433),IF(ABS(BU433-[2]QC_indicators!$B$2)&gt;3*[2]QC_indicators!$C$2,"C ratio",IF(ISNUMBER(BY433),IF(ABS(BY433-[2]QC_indicators!$B$1)&gt;3*[2]QC_indicators!$C$1,"DF","no"))),IF(ISNUMBER(BY433),IF(ABS(BY433-[2]QC_indicators!$B$1)&gt;3*[2]QC_indicators!$C$1,"DF","no")))</f>
        <v>no</v>
      </c>
      <c r="EQ433"/>
      <c r="ER433" t="s">
        <v>1372</v>
      </c>
      <c r="ES433"/>
      <c r="ET433" s="264" t="s">
        <v>3263</v>
      </c>
      <c r="EU433"/>
    </row>
    <row r="434" spans="1:151" s="139" customFormat="1" ht="15" hidden="1" customHeight="1">
      <c r="A434" s="1" t="s">
        <v>1359</v>
      </c>
      <c r="B434" t="s">
        <v>1360</v>
      </c>
      <c r="C434" t="s">
        <v>1361</v>
      </c>
      <c r="D434" t="s">
        <v>1362</v>
      </c>
      <c r="E434" t="s">
        <v>1363</v>
      </c>
      <c r="F434" t="s">
        <v>1364</v>
      </c>
      <c r="G434" t="s">
        <v>1365</v>
      </c>
      <c r="H434" t="s">
        <v>254</v>
      </c>
      <c r="I434">
        <v>2012</v>
      </c>
      <c r="J434">
        <v>27</v>
      </c>
      <c r="K434" t="s">
        <v>1366</v>
      </c>
      <c r="L434"/>
      <c r="M434" t="str">
        <f t="shared" si="429"/>
        <v>Colombo_2012</v>
      </c>
      <c r="N434" t="s">
        <v>222</v>
      </c>
      <c r="O434" s="145" t="s">
        <v>223</v>
      </c>
      <c r="P434"/>
      <c r="Q434" t="s">
        <v>256</v>
      </c>
      <c r="R434" s="269" t="s">
        <v>274</v>
      </c>
      <c r="S434" s="1" t="s">
        <v>1374</v>
      </c>
      <c r="T434" t="s">
        <v>1375</v>
      </c>
      <c r="U434" t="s">
        <v>1376</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c r="AP434">
        <v>0</v>
      </c>
      <c r="AQ434">
        <v>1</v>
      </c>
      <c r="AR434">
        <v>0</v>
      </c>
      <c r="AS434">
        <v>0</v>
      </c>
      <c r="AT434">
        <v>0</v>
      </c>
      <c r="AU434">
        <v>0</v>
      </c>
      <c r="AV434">
        <v>0</v>
      </c>
      <c r="AW434">
        <v>0</v>
      </c>
      <c r="AX434" s="141">
        <f t="shared" si="470"/>
        <v>1</v>
      </c>
      <c r="AY434" s="141">
        <f t="shared" si="471"/>
        <v>0</v>
      </c>
      <c r="AZ434">
        <f t="shared" si="472"/>
        <v>0</v>
      </c>
      <c r="BA434">
        <f t="shared" si="473"/>
        <v>0</v>
      </c>
      <c r="BB434">
        <f t="shared" si="474"/>
        <v>0</v>
      </c>
      <c r="BC434">
        <f t="shared" si="475"/>
        <v>0</v>
      </c>
      <c r="BD434">
        <f t="shared" si="476"/>
        <v>1</v>
      </c>
      <c r="BE434" t="str">
        <f t="array" ref="BE434">IF(AY434=1,INDEX($V$7:$AL$7,MATCH(TRUE,INDEX($V434:$AW434&lt;&gt;0,),0)),IF(AY434=0,INDEX($AM$7:$AW$7,MATCH(1,$AM434:$AW434,0)),IF(BF434="Multiple strategies","mixed drivers",IF(BF434="Supply chain","multiple supply","multiple silviculture"))))</f>
        <v>disturbance</v>
      </c>
      <c r="BF434" s="2" t="str" cm="1">
        <f t="array" ref="BF434">IF(COUNTIF(AZ434:BB434,"&lt;&gt;0")=1,INDEX($V$4:$AW$4,MATCH(TRUE,INDEX($V434:$AW434&lt;&gt;0,),0)),IF(COUNTIF(AZ434:BB434,"&lt;&gt;0")=0,INDEX($AM$4:$AW$4,MATCH(1,$AM434:$AW434,0)),"Multiple strategies"))</f>
        <v>Environmental change</v>
      </c>
      <c r="BG434" s="1" t="s">
        <v>229</v>
      </c>
      <c r="BH434" t="s">
        <v>1370</v>
      </c>
      <c r="BI434" s="264"/>
      <c r="BJ434" t="s">
        <v>1371</v>
      </c>
      <c r="BK434">
        <v>0</v>
      </c>
      <c r="BL434">
        <v>0</v>
      </c>
      <c r="BM434"/>
      <c r="BN434">
        <f t="shared" si="477"/>
        <v>0</v>
      </c>
      <c r="BO434">
        <f>BN434*10^6*t_to_m3</f>
        <v>0</v>
      </c>
      <c r="BP434" s="143" t="s">
        <v>232</v>
      </c>
      <c r="BQ434" s="143" t="s">
        <v>689</v>
      </c>
      <c r="BR434" t="s">
        <v>1371</v>
      </c>
      <c r="BS434">
        <v>492.76190476190402</v>
      </c>
      <c r="BT434">
        <v>548.57142857142799</v>
      </c>
      <c r="BU434" s="144">
        <f t="shared" si="478"/>
        <v>1.1132586006957872</v>
      </c>
      <c r="BV434">
        <f t="shared" si="479"/>
        <v>55.809523809523967</v>
      </c>
      <c r="BW434"/>
      <c r="BX434">
        <f t="shared" si="480"/>
        <v>204820952.38095295</v>
      </c>
      <c r="BY434" t="str">
        <f t="shared" si="468"/>
        <v/>
      </c>
      <c r="BZ434">
        <v>0</v>
      </c>
      <c r="CA434">
        <v>0</v>
      </c>
      <c r="CB434">
        <v>0</v>
      </c>
      <c r="CC434">
        <v>0</v>
      </c>
      <c r="CD434">
        <v>0</v>
      </c>
      <c r="CE434">
        <v>0</v>
      </c>
      <c r="CF434">
        <v>0</v>
      </c>
      <c r="CG434">
        <v>0</v>
      </c>
      <c r="CH434">
        <v>0</v>
      </c>
      <c r="CI434">
        <v>0</v>
      </c>
      <c r="CJ434">
        <v>0</v>
      </c>
      <c r="CK434">
        <v>0</v>
      </c>
      <c r="CL434">
        <v>0</v>
      </c>
      <c r="CM434">
        <v>0</v>
      </c>
      <c r="CN434" t="str">
        <f t="shared" si="481"/>
        <v>refOK</v>
      </c>
      <c r="CO434" s="271">
        <f t="shared" si="482"/>
        <v>0</v>
      </c>
      <c r="CP434" s="271">
        <f t="shared" si="483"/>
        <v>0</v>
      </c>
      <c r="CQ434">
        <f t="shared" si="484"/>
        <v>0</v>
      </c>
      <c r="CR434">
        <f t="shared" si="485"/>
        <v>492.76190476190402</v>
      </c>
      <c r="CS434">
        <f t="shared" si="486"/>
        <v>548.57142857142799</v>
      </c>
      <c r="CT434">
        <f t="shared" si="487"/>
        <v>204820952.38095295</v>
      </c>
      <c r="CU434" t="str">
        <f t="shared" si="488"/>
        <v/>
      </c>
      <c r="CV434" s="2">
        <f t="shared" si="489"/>
        <v>0.11325860069578711</v>
      </c>
      <c r="CW434" s="1" t="s">
        <v>1198</v>
      </c>
      <c r="CX434" t="str">
        <f t="shared" si="490"/>
        <v>reg</v>
      </c>
      <c r="CY434" t="s">
        <v>540</v>
      </c>
      <c r="CZ434">
        <v>2010</v>
      </c>
      <c r="DA434">
        <v>2110</v>
      </c>
      <c r="DB434">
        <f t="shared" si="491"/>
        <v>100</v>
      </c>
      <c r="DC434" t="str">
        <f t="shared" si="492"/>
        <v>71-100</v>
      </c>
      <c r="DD434">
        <v>0</v>
      </c>
      <c r="DE434">
        <v>1</v>
      </c>
      <c r="DF434">
        <v>1</v>
      </c>
      <c r="DG434">
        <v>1</v>
      </c>
      <c r="DH434"/>
      <c r="DI434">
        <f t="shared" si="493"/>
        <v>3</v>
      </c>
      <c r="DJ434" t="str">
        <f t="shared" si="494"/>
        <v>mixedProduct</v>
      </c>
      <c r="DK434">
        <f t="shared" si="495"/>
        <v>0</v>
      </c>
      <c r="DL434" t="str">
        <f t="shared" si="496"/>
        <v>Energy</v>
      </c>
      <c r="DM434" t="str">
        <f t="shared" si="497"/>
        <v>Pulp/Paper</v>
      </c>
      <c r="DN434" t="str">
        <f t="shared" si="498"/>
        <v>Timber</v>
      </c>
      <c r="DO434">
        <v>0</v>
      </c>
      <c r="DP434">
        <v>0</v>
      </c>
      <c r="DQ434">
        <v>0</v>
      </c>
      <c r="DR434">
        <v>0</v>
      </c>
      <c r="DS434">
        <v>0</v>
      </c>
      <c r="DT434">
        <f t="shared" si="499"/>
        <v>0</v>
      </c>
      <c r="DU434" s="143" t="str">
        <f t="shared" si="500"/>
        <v>explicit C balance</v>
      </c>
      <c r="DV434">
        <v>1</v>
      </c>
      <c r="DW434">
        <v>1</v>
      </c>
      <c r="DX434">
        <v>1</v>
      </c>
      <c r="DY434">
        <v>1</v>
      </c>
      <c r="DZ434">
        <v>0</v>
      </c>
      <c r="EA434" s="143">
        <v>0</v>
      </c>
      <c r="EB434">
        <v>0</v>
      </c>
      <c r="EC434">
        <v>0</v>
      </c>
      <c r="ED434">
        <v>0</v>
      </c>
      <c r="EE434">
        <v>0</v>
      </c>
      <c r="EF434">
        <v>1</v>
      </c>
      <c r="EG434">
        <v>0</v>
      </c>
      <c r="EH434">
        <v>0</v>
      </c>
      <c r="EI434" s="2">
        <v>0</v>
      </c>
      <c r="EJ434" s="1"/>
      <c r="EK434" t="str">
        <f t="shared" si="501"/>
        <v/>
      </c>
      <c r="EL434" t="str">
        <f t="shared" si="502"/>
        <v>Ecosystem approach</v>
      </c>
      <c r="EM434" s="2" t="str">
        <f t="shared" si="469"/>
        <v/>
      </c>
      <c r="EN434"/>
      <c r="EO434"/>
      <c r="EP434" t="b">
        <f>IF(ISNUMBER(BU434),IF(ABS(BU434-[2]QC_indicators!$B$2)&gt;3*[2]QC_indicators!$C$2,"C ratio",IF(ISNUMBER(BY434),IF(ABS(BY434-[2]QC_indicators!$B$1)&gt;3*[2]QC_indicators!$C$1,"DF","no"))),IF(ISNUMBER(BY434),IF(ABS(BY434-[2]QC_indicators!$B$1)&gt;3*[2]QC_indicators!$C$1,"DF","no")))</f>
        <v>0</v>
      </c>
      <c r="EQ434"/>
      <c r="ER434"/>
      <c r="ES434"/>
      <c r="ET434" s="264" t="s">
        <v>3150</v>
      </c>
      <c r="EU434"/>
    </row>
    <row r="435" spans="1:151" s="139" customFormat="1" ht="15" hidden="1" customHeight="1">
      <c r="A435" s="1" t="s">
        <v>1359</v>
      </c>
      <c r="B435" t="s">
        <v>1360</v>
      </c>
      <c r="C435" t="s">
        <v>1361</v>
      </c>
      <c r="D435" t="s">
        <v>1362</v>
      </c>
      <c r="E435" t="s">
        <v>1363</v>
      </c>
      <c r="F435" t="s">
        <v>1364</v>
      </c>
      <c r="G435" t="s">
        <v>1365</v>
      </c>
      <c r="H435" t="s">
        <v>254</v>
      </c>
      <c r="I435">
        <v>2012</v>
      </c>
      <c r="J435">
        <v>27</v>
      </c>
      <c r="K435" t="s">
        <v>1366</v>
      </c>
      <c r="L435"/>
      <c r="M435" t="str">
        <f t="shared" si="429"/>
        <v>Colombo_2012</v>
      </c>
      <c r="N435" t="s">
        <v>222</v>
      </c>
      <c r="O435" s="145" t="s">
        <v>223</v>
      </c>
      <c r="P435"/>
      <c r="Q435" t="s">
        <v>256</v>
      </c>
      <c r="R435" s="269" t="s">
        <v>274</v>
      </c>
      <c r="S435" s="1" t="s">
        <v>1374</v>
      </c>
      <c r="T435" t="s">
        <v>1375</v>
      </c>
      <c r="U435" t="s">
        <v>1376</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v>0</v>
      </c>
      <c r="AQ435">
        <v>1</v>
      </c>
      <c r="AR435">
        <v>0</v>
      </c>
      <c r="AS435">
        <v>0</v>
      </c>
      <c r="AT435">
        <v>0</v>
      </c>
      <c r="AU435">
        <v>0</v>
      </c>
      <c r="AV435">
        <v>0</v>
      </c>
      <c r="AW435">
        <v>0</v>
      </c>
      <c r="AX435" s="141">
        <f t="shared" si="470"/>
        <v>1</v>
      </c>
      <c r="AY435" s="141">
        <f t="shared" si="471"/>
        <v>0</v>
      </c>
      <c r="AZ435">
        <f t="shared" si="472"/>
        <v>0</v>
      </c>
      <c r="BA435">
        <f t="shared" si="473"/>
        <v>0</v>
      </c>
      <c r="BB435">
        <f t="shared" si="474"/>
        <v>0</v>
      </c>
      <c r="BC435">
        <f t="shared" si="475"/>
        <v>0</v>
      </c>
      <c r="BD435">
        <f t="shared" si="476"/>
        <v>1</v>
      </c>
      <c r="BE435" t="str">
        <f t="array" ref="BE435">IF(AY435=1,INDEX($V$7:$AL$7,MATCH(TRUE,INDEX($V435:$AW435&lt;&gt;0,),0)),IF(AY435=0,INDEX($AM$7:$AW$7,MATCH(1,$AM435:$AW435,0)),IF(BF435="Multiple strategies","mixed drivers",IF(BF435="Supply chain","multiple supply","multiple silviculture"))))</f>
        <v>disturbance</v>
      </c>
      <c r="BF435" s="2" t="str" cm="1">
        <f t="array" ref="BF435">IF(COUNTIF(AZ435:BB435,"&lt;&gt;0")=1,INDEX($V$4:$AW$4,MATCH(TRUE,INDEX($V435:$AW435&lt;&gt;0,),0)),IF(COUNTIF(AZ435:BB435,"&lt;&gt;0")=0,INDEX($AM$4:$AW$4,MATCH(1,$AM435:$AW435,0)),"Multiple strategies"))</f>
        <v>Environmental change</v>
      </c>
      <c r="BG435" s="1" t="s">
        <v>229</v>
      </c>
      <c r="BH435" t="s">
        <v>1370</v>
      </c>
      <c r="BI435" s="264"/>
      <c r="BJ435" t="s">
        <v>1371</v>
      </c>
      <c r="BK435">
        <v>0</v>
      </c>
      <c r="BL435">
        <v>0</v>
      </c>
      <c r="BM435"/>
      <c r="BN435">
        <f t="shared" si="477"/>
        <v>0</v>
      </c>
      <c r="BO435">
        <f>BN435*10^6*t_to_m3</f>
        <v>0</v>
      </c>
      <c r="BP435" s="143" t="s">
        <v>232</v>
      </c>
      <c r="BQ435" s="143" t="s">
        <v>689</v>
      </c>
      <c r="BR435" t="s">
        <v>1371</v>
      </c>
      <c r="BS435">
        <v>501.90476190476198</v>
      </c>
      <c r="BT435">
        <v>554.66666666666595</v>
      </c>
      <c r="BU435" s="144">
        <f t="shared" si="478"/>
        <v>1.1051233396584423</v>
      </c>
      <c r="BV435">
        <f t="shared" si="479"/>
        <v>52.761904761903963</v>
      </c>
      <c r="BW435"/>
      <c r="BX435">
        <f t="shared" si="480"/>
        <v>193636190.47618756</v>
      </c>
      <c r="BY435" t="str">
        <f t="shared" si="468"/>
        <v/>
      </c>
      <c r="BZ435">
        <v>0</v>
      </c>
      <c r="CA435">
        <v>0</v>
      </c>
      <c r="CB435">
        <v>0</v>
      </c>
      <c r="CC435">
        <v>0</v>
      </c>
      <c r="CD435">
        <v>0</v>
      </c>
      <c r="CE435">
        <v>0</v>
      </c>
      <c r="CF435">
        <v>0</v>
      </c>
      <c r="CG435">
        <v>0</v>
      </c>
      <c r="CH435">
        <v>0</v>
      </c>
      <c r="CI435">
        <v>0</v>
      </c>
      <c r="CJ435">
        <v>0</v>
      </c>
      <c r="CK435">
        <v>0</v>
      </c>
      <c r="CL435">
        <v>0</v>
      </c>
      <c r="CM435">
        <v>0</v>
      </c>
      <c r="CN435" t="str">
        <f t="shared" si="481"/>
        <v>refOK</v>
      </c>
      <c r="CO435" s="271">
        <f t="shared" si="482"/>
        <v>0</v>
      </c>
      <c r="CP435" s="271">
        <f t="shared" si="483"/>
        <v>0</v>
      </c>
      <c r="CQ435">
        <f t="shared" si="484"/>
        <v>0</v>
      </c>
      <c r="CR435">
        <f t="shared" si="485"/>
        <v>501.90476190476198</v>
      </c>
      <c r="CS435">
        <f t="shared" si="486"/>
        <v>554.66666666666595</v>
      </c>
      <c r="CT435">
        <f t="shared" si="487"/>
        <v>193636190.47618756</v>
      </c>
      <c r="CU435" t="str">
        <f t="shared" si="488"/>
        <v/>
      </c>
      <c r="CV435" s="2">
        <f t="shared" si="489"/>
        <v>0.10512333965844242</v>
      </c>
      <c r="CW435" s="1" t="s">
        <v>1198</v>
      </c>
      <c r="CX435" t="str">
        <f t="shared" si="490"/>
        <v>reg</v>
      </c>
      <c r="CY435" t="s">
        <v>540</v>
      </c>
      <c r="CZ435">
        <v>2010</v>
      </c>
      <c r="DA435">
        <v>2050</v>
      </c>
      <c r="DB435">
        <f t="shared" si="491"/>
        <v>40</v>
      </c>
      <c r="DC435" t="str">
        <f t="shared" si="492"/>
        <v>31-70</v>
      </c>
      <c r="DD435">
        <v>0</v>
      </c>
      <c r="DE435">
        <v>1</v>
      </c>
      <c r="DF435">
        <v>1</v>
      </c>
      <c r="DG435">
        <v>1</v>
      </c>
      <c r="DH435"/>
      <c r="DI435">
        <f t="shared" si="493"/>
        <v>3</v>
      </c>
      <c r="DJ435" t="str">
        <f t="shared" si="494"/>
        <v>mixedProduct</v>
      </c>
      <c r="DK435">
        <f t="shared" si="495"/>
        <v>0</v>
      </c>
      <c r="DL435" t="str">
        <f t="shared" si="496"/>
        <v>Energy</v>
      </c>
      <c r="DM435" t="str">
        <f t="shared" si="497"/>
        <v>Pulp/Paper</v>
      </c>
      <c r="DN435" t="str">
        <f t="shared" si="498"/>
        <v>Timber</v>
      </c>
      <c r="DO435">
        <v>0</v>
      </c>
      <c r="DP435">
        <v>0</v>
      </c>
      <c r="DQ435">
        <v>0</v>
      </c>
      <c r="DR435">
        <v>0</v>
      </c>
      <c r="DS435">
        <v>0</v>
      </c>
      <c r="DT435">
        <f t="shared" si="499"/>
        <v>0</v>
      </c>
      <c r="DU435" s="143" t="str">
        <f t="shared" si="500"/>
        <v>explicit C balance</v>
      </c>
      <c r="DV435">
        <v>1</v>
      </c>
      <c r="DW435">
        <v>1</v>
      </c>
      <c r="DX435">
        <v>1</v>
      </c>
      <c r="DY435">
        <v>1</v>
      </c>
      <c r="DZ435">
        <v>0</v>
      </c>
      <c r="EA435" s="143">
        <v>0</v>
      </c>
      <c r="EB435">
        <v>0</v>
      </c>
      <c r="EC435">
        <v>0</v>
      </c>
      <c r="ED435">
        <v>0</v>
      </c>
      <c r="EE435">
        <v>0</v>
      </c>
      <c r="EF435">
        <v>1</v>
      </c>
      <c r="EG435">
        <v>0</v>
      </c>
      <c r="EH435">
        <v>0</v>
      </c>
      <c r="EI435" s="2">
        <v>0</v>
      </c>
      <c r="EJ435" s="1"/>
      <c r="EK435" t="str">
        <f t="shared" si="501"/>
        <v/>
      </c>
      <c r="EL435" t="str">
        <f t="shared" si="502"/>
        <v>Ecosystem approach</v>
      </c>
      <c r="EM435" s="2" t="str">
        <f t="shared" si="469"/>
        <v/>
      </c>
      <c r="EN435"/>
      <c r="EO435"/>
      <c r="EP435" t="b">
        <f>IF(ISNUMBER(BU435),IF(ABS(BU435-[2]QC_indicators!$B$2)&gt;3*[2]QC_indicators!$C$2,"C ratio",IF(ISNUMBER(BY435),IF(ABS(BY435-[2]QC_indicators!$B$1)&gt;3*[2]QC_indicators!$C$1,"DF","no"))),IF(ISNUMBER(BY435),IF(ABS(BY435-[2]QC_indicators!$B$1)&gt;3*[2]QC_indicators!$C$1,"DF","no")))</f>
        <v>0</v>
      </c>
      <c r="EQ435"/>
      <c r="ER435"/>
      <c r="ES435"/>
      <c r="ET435" s="264" t="s">
        <v>3150</v>
      </c>
      <c r="EU435"/>
    </row>
    <row r="436" spans="1:151" s="139" customFormat="1" ht="15" hidden="1" customHeight="1">
      <c r="A436" s="1" t="s">
        <v>545</v>
      </c>
      <c r="B436" t="s">
        <v>546</v>
      </c>
      <c r="C436" t="s">
        <v>547</v>
      </c>
      <c r="D436" t="s">
        <v>548</v>
      </c>
      <c r="E436" t="s">
        <v>549</v>
      </c>
      <c r="F436" t="s">
        <v>550</v>
      </c>
      <c r="G436" t="s">
        <v>551</v>
      </c>
      <c r="H436" t="s">
        <v>254</v>
      </c>
      <c r="I436">
        <v>2017</v>
      </c>
      <c r="J436">
        <v>3</v>
      </c>
      <c r="K436" t="s">
        <v>552</v>
      </c>
      <c r="L436"/>
      <c r="M436" t="str">
        <f t="shared" si="429"/>
        <v>Crafford_2017</v>
      </c>
      <c r="N436" t="s">
        <v>222</v>
      </c>
      <c r="O436" s="145" t="s">
        <v>223</v>
      </c>
      <c r="P436"/>
      <c r="Q436" t="s">
        <v>256</v>
      </c>
      <c r="R436" s="255" t="s">
        <v>225</v>
      </c>
      <c r="S436" s="1" t="s">
        <v>559</v>
      </c>
      <c r="T436" t="s">
        <v>560</v>
      </c>
      <c r="U436" t="s">
        <v>554</v>
      </c>
      <c r="V436">
        <v>0</v>
      </c>
      <c r="W436">
        <v>0</v>
      </c>
      <c r="X436">
        <v>0</v>
      </c>
      <c r="Y436">
        <v>0</v>
      </c>
      <c r="Z436">
        <v>0</v>
      </c>
      <c r="AA436">
        <v>0</v>
      </c>
      <c r="AB436">
        <v>0</v>
      </c>
      <c r="AC436">
        <v>0</v>
      </c>
      <c r="AD436">
        <v>0</v>
      </c>
      <c r="AE436">
        <v>0</v>
      </c>
      <c r="AF436">
        <v>0</v>
      </c>
      <c r="AG436">
        <v>0</v>
      </c>
      <c r="AH436">
        <v>0</v>
      </c>
      <c r="AI436">
        <v>0</v>
      </c>
      <c r="AJ436">
        <v>0</v>
      </c>
      <c r="AK436">
        <v>1</v>
      </c>
      <c r="AL436">
        <v>0</v>
      </c>
      <c r="AM436">
        <v>0</v>
      </c>
      <c r="AN436">
        <v>0</v>
      </c>
      <c r="AO436">
        <v>0</v>
      </c>
      <c r="AP436">
        <v>0</v>
      </c>
      <c r="AQ436">
        <v>0</v>
      </c>
      <c r="AR436">
        <v>0</v>
      </c>
      <c r="AS436">
        <v>0</v>
      </c>
      <c r="AT436">
        <v>0</v>
      </c>
      <c r="AU436">
        <v>0</v>
      </c>
      <c r="AV436">
        <v>0</v>
      </c>
      <c r="AW436">
        <v>0</v>
      </c>
      <c r="AX436" s="141">
        <f t="shared" si="470"/>
        <v>1</v>
      </c>
      <c r="AY436" s="141">
        <f t="shared" si="471"/>
        <v>1</v>
      </c>
      <c r="AZ436">
        <f t="shared" si="472"/>
        <v>0</v>
      </c>
      <c r="BA436">
        <f t="shared" si="473"/>
        <v>0</v>
      </c>
      <c r="BB436">
        <f t="shared" si="474"/>
        <v>1</v>
      </c>
      <c r="BC436">
        <f t="shared" si="475"/>
        <v>0</v>
      </c>
      <c r="BD436">
        <f t="shared" si="476"/>
        <v>0</v>
      </c>
      <c r="BE436" t="str">
        <f t="array" ref="BE436">IF(AY436=1,INDEX($V$7:$AL$7,MATCH(TRUE,INDEX($V436:$AW436&lt;&gt;0,),0)),IF(AY436=0,INDEX($AM$7:$AW$7,MATCH(1,$AM436:$AW436,0)),IF(BF436="Multiple strategies","mixed drivers",IF(BF436="Supply chain","multiple supply","multiple silviculture"))))</f>
        <v>technologies/design switch</v>
      </c>
      <c r="BF436" s="2" t="str" cm="1">
        <f t="array" ref="BF436">IF(COUNTIF(AZ436:BB436,"&lt;&gt;0")=1,INDEX($V$4:$AW$4,MATCH(TRUE,INDEX($V436:$AW436&lt;&gt;0,),0)),IF(COUNTIF(AZ436:BB436,"&lt;&gt;0")=0,INDEX($AM$4:$AW$4,MATCH(1,$AM436:$AW436,0)),"Multiple strategies"))</f>
        <v>Technology</v>
      </c>
      <c r="BG436" s="1" t="s">
        <v>229</v>
      </c>
      <c r="BH436" t="s">
        <v>556</v>
      </c>
      <c r="BI436" t="s">
        <v>424</v>
      </c>
      <c r="BJ436" t="s">
        <v>498</v>
      </c>
      <c r="BK436">
        <v>0</v>
      </c>
      <c r="BL436">
        <v>1.33</v>
      </c>
      <c r="BM436"/>
      <c r="BN436">
        <f t="shared" si="477"/>
        <v>1.33</v>
      </c>
      <c r="BO436">
        <f t="shared" ref="BO436:BO447" si="503">BN436</f>
        <v>1.33</v>
      </c>
      <c r="BP436" t="s">
        <v>232</v>
      </c>
      <c r="BQ436" s="260" t="s">
        <v>3291</v>
      </c>
      <c r="BR436" t="s">
        <v>397</v>
      </c>
      <c r="BS436">
        <v>-1038</v>
      </c>
      <c r="BT436">
        <v>-164</v>
      </c>
      <c r="BU436" s="144">
        <v>0.15799614643545279</v>
      </c>
      <c r="BV436">
        <v>874</v>
      </c>
      <c r="BW436"/>
      <c r="BX436">
        <f t="shared" ref="BX436:BX447" si="504">BV436/1000</f>
        <v>0.874</v>
      </c>
      <c r="BY436">
        <f t="shared" si="468"/>
        <v>0.65714285714285714</v>
      </c>
      <c r="BZ436">
        <v>1</v>
      </c>
      <c r="CA436">
        <v>0</v>
      </c>
      <c r="CB436">
        <v>0</v>
      </c>
      <c r="CC436">
        <v>0</v>
      </c>
      <c r="CD436">
        <v>0</v>
      </c>
      <c r="CE436">
        <v>0</v>
      </c>
      <c r="CF436">
        <v>0</v>
      </c>
      <c r="CG436">
        <v>0</v>
      </c>
      <c r="CH436">
        <v>0</v>
      </c>
      <c r="CI436">
        <v>0</v>
      </c>
      <c r="CJ436">
        <v>0</v>
      </c>
      <c r="CK436">
        <v>0</v>
      </c>
      <c r="CL436">
        <v>0</v>
      </c>
      <c r="CM436">
        <v>0</v>
      </c>
      <c r="CN436" t="str">
        <f t="shared" si="481"/>
        <v>refOK</v>
      </c>
      <c r="CO436">
        <f t="shared" si="482"/>
        <v>0</v>
      </c>
      <c r="CP436">
        <f t="shared" si="483"/>
        <v>1.33</v>
      </c>
      <c r="CQ436">
        <f t="shared" si="484"/>
        <v>1.33</v>
      </c>
      <c r="CR436">
        <f t="shared" si="485"/>
        <v>-1038</v>
      </c>
      <c r="CS436">
        <f t="shared" si="486"/>
        <v>-164</v>
      </c>
      <c r="CT436">
        <f t="shared" si="487"/>
        <v>0.874</v>
      </c>
      <c r="CU436">
        <f t="shared" si="488"/>
        <v>0.65714285714285714</v>
      </c>
      <c r="CV436" s="2">
        <f t="shared" si="489"/>
        <v>0.84200385356454721</v>
      </c>
      <c r="CW436" s="1" t="s">
        <v>263</v>
      </c>
      <c r="CX436" t="str">
        <f t="shared" si="490"/>
        <v>loc</v>
      </c>
      <c r="CY436" t="s">
        <v>557</v>
      </c>
      <c r="CZ436"/>
      <c r="DA436"/>
      <c r="DB436">
        <v>0</v>
      </c>
      <c r="DC436" t="str">
        <f t="shared" si="492"/>
        <v>0</v>
      </c>
      <c r="DD436">
        <v>0</v>
      </c>
      <c r="DE436">
        <v>0</v>
      </c>
      <c r="DF436">
        <v>0</v>
      </c>
      <c r="DG436">
        <v>1</v>
      </c>
      <c r="DH436"/>
      <c r="DI436">
        <f t="shared" si="493"/>
        <v>1</v>
      </c>
      <c r="DJ436" t="str">
        <f t="shared" si="494"/>
        <v>TimberInput</v>
      </c>
      <c r="DK436">
        <f t="shared" si="495"/>
        <v>0</v>
      </c>
      <c r="DL436">
        <f t="shared" si="496"/>
        <v>0</v>
      </c>
      <c r="DM436">
        <f t="shared" si="497"/>
        <v>0</v>
      </c>
      <c r="DN436" t="str">
        <f t="shared" si="498"/>
        <v>Timber</v>
      </c>
      <c r="DO436">
        <v>0</v>
      </c>
      <c r="DP436">
        <v>0</v>
      </c>
      <c r="DQ436">
        <v>0</v>
      </c>
      <c r="DR436">
        <v>0</v>
      </c>
      <c r="DS436">
        <v>0</v>
      </c>
      <c r="DT436">
        <f t="shared" si="499"/>
        <v>0</v>
      </c>
      <c r="DU436" s="143" t="str">
        <f t="shared" si="500"/>
        <v>explicit C balance</v>
      </c>
      <c r="DV436">
        <v>0</v>
      </c>
      <c r="DW436">
        <v>0</v>
      </c>
      <c r="DX436">
        <v>0</v>
      </c>
      <c r="DY436">
        <v>1</v>
      </c>
      <c r="DZ436">
        <v>1</v>
      </c>
      <c r="EA436" s="143">
        <v>0</v>
      </c>
      <c r="EB436">
        <v>0</v>
      </c>
      <c r="EC436">
        <v>1</v>
      </c>
      <c r="ED436">
        <v>0</v>
      </c>
      <c r="EE436">
        <v>1</v>
      </c>
      <c r="EF436">
        <v>0</v>
      </c>
      <c r="EG436">
        <v>0</v>
      </c>
      <c r="EH436">
        <v>0</v>
      </c>
      <c r="EI436" s="2">
        <v>0</v>
      </c>
      <c r="EJ436" s="1"/>
      <c r="EK436" t="str">
        <f t="shared" si="501"/>
        <v/>
      </c>
      <c r="EL436" t="str">
        <f t="shared" si="502"/>
        <v/>
      </c>
      <c r="EM436" s="2" t="str">
        <f t="shared" si="469"/>
        <v>Technology approach</v>
      </c>
      <c r="EN436"/>
      <c r="EO436"/>
      <c r="EP436" t="str">
        <f>IF(ISNUMBER(BU436),IF(ABS(BU436-[5]QC_indicators!$B$2)&gt;3*[5]QC_indicators!$C$2,"C ratio",IF(ISNUMBER(BY436),IF(ABS(BY436-[5]QC_indicators!$B$1)&gt;3*[5]QC_indicators!$C$1,"DF","no"))),IF(ISNUMBER(BY436),IF(ABS(BY436-[5]QC_indicators!$B$1)&gt;3*[5]QC_indicators!$C$1,"DF","no")))</f>
        <v>no</v>
      </c>
      <c r="EQ436"/>
      <c r="ER436" s="149" t="s">
        <v>349</v>
      </c>
      <c r="ES436"/>
      <c r="ET436" s="264" t="s">
        <v>3272</v>
      </c>
      <c r="EU436"/>
    </row>
    <row r="437" spans="1:151" s="139" customFormat="1" ht="15" hidden="1" customHeight="1">
      <c r="A437" s="1" t="s">
        <v>545</v>
      </c>
      <c r="B437" t="s">
        <v>546</v>
      </c>
      <c r="C437" t="s">
        <v>547</v>
      </c>
      <c r="D437" t="s">
        <v>548</v>
      </c>
      <c r="E437" t="s">
        <v>549</v>
      </c>
      <c r="F437" t="s">
        <v>550</v>
      </c>
      <c r="G437" t="s">
        <v>551</v>
      </c>
      <c r="H437" t="s">
        <v>254</v>
      </c>
      <c r="I437">
        <v>2017</v>
      </c>
      <c r="J437">
        <v>3</v>
      </c>
      <c r="K437" t="s">
        <v>552</v>
      </c>
      <c r="L437"/>
      <c r="M437" t="str">
        <f t="shared" si="429"/>
        <v>Crafford_2017</v>
      </c>
      <c r="N437" t="s">
        <v>222</v>
      </c>
      <c r="O437" s="145" t="s">
        <v>223</v>
      </c>
      <c r="P437"/>
      <c r="Q437" t="s">
        <v>256</v>
      </c>
      <c r="R437" s="255" t="s">
        <v>225</v>
      </c>
      <c r="S437" s="1" t="s">
        <v>559</v>
      </c>
      <c r="T437" t="s">
        <v>560</v>
      </c>
      <c r="U437" t="s">
        <v>555</v>
      </c>
      <c r="V437">
        <v>0</v>
      </c>
      <c r="W437">
        <v>0</v>
      </c>
      <c r="X437">
        <v>0</v>
      </c>
      <c r="Y437">
        <v>0</v>
      </c>
      <c r="Z437">
        <v>0</v>
      </c>
      <c r="AA437">
        <v>0</v>
      </c>
      <c r="AB437">
        <v>0</v>
      </c>
      <c r="AC437">
        <v>0</v>
      </c>
      <c r="AD437">
        <v>0</v>
      </c>
      <c r="AE437">
        <v>0</v>
      </c>
      <c r="AF437">
        <v>0</v>
      </c>
      <c r="AG437">
        <v>0</v>
      </c>
      <c r="AH437">
        <v>0</v>
      </c>
      <c r="AI437">
        <v>0</v>
      </c>
      <c r="AJ437">
        <v>0</v>
      </c>
      <c r="AK437">
        <v>1</v>
      </c>
      <c r="AL437">
        <v>0</v>
      </c>
      <c r="AM437">
        <v>0</v>
      </c>
      <c r="AN437">
        <v>0</v>
      </c>
      <c r="AO437">
        <v>0</v>
      </c>
      <c r="AP437">
        <v>0</v>
      </c>
      <c r="AQ437">
        <v>0</v>
      </c>
      <c r="AR437">
        <v>0</v>
      </c>
      <c r="AS437">
        <v>0</v>
      </c>
      <c r="AT437">
        <v>0</v>
      </c>
      <c r="AU437">
        <v>0</v>
      </c>
      <c r="AV437">
        <v>0</v>
      </c>
      <c r="AW437">
        <v>0</v>
      </c>
      <c r="AX437" s="141">
        <f t="shared" si="470"/>
        <v>1</v>
      </c>
      <c r="AY437" s="141">
        <f t="shared" si="471"/>
        <v>1</v>
      </c>
      <c r="AZ437">
        <f t="shared" si="472"/>
        <v>0</v>
      </c>
      <c r="BA437">
        <f t="shared" si="473"/>
        <v>0</v>
      </c>
      <c r="BB437">
        <f t="shared" si="474"/>
        <v>1</v>
      </c>
      <c r="BC437">
        <f t="shared" si="475"/>
        <v>0</v>
      </c>
      <c r="BD437">
        <f t="shared" si="476"/>
        <v>0</v>
      </c>
      <c r="BE437" t="str">
        <f t="array" ref="BE437">IF(AY437=1,INDEX($V$7:$AL$7,MATCH(TRUE,INDEX($V437:$AW437&lt;&gt;0,),0)),IF(AY437=0,INDEX($AM$7:$AW$7,MATCH(1,$AM437:$AW437,0)),IF(BF437="Multiple strategies","mixed drivers",IF(BF437="Supply chain","multiple supply","multiple silviculture"))))</f>
        <v>technologies/design switch</v>
      </c>
      <c r="BF437" s="2" t="str" cm="1">
        <f t="array" ref="BF437">IF(COUNTIF(AZ437:BB437,"&lt;&gt;0")=1,INDEX($V$4:$AW$4,MATCH(TRUE,INDEX($V437:$AW437&lt;&gt;0,),0)),IF(COUNTIF(AZ437:BB437,"&lt;&gt;0")=0,INDEX($AM$4:$AW$4,MATCH(1,$AM437:$AW437,0)),"Multiple strategies"))</f>
        <v>Technology</v>
      </c>
      <c r="BG437" s="1" t="s">
        <v>229</v>
      </c>
      <c r="BH437" t="s">
        <v>556</v>
      </c>
      <c r="BI437" t="s">
        <v>424</v>
      </c>
      <c r="BJ437" t="s">
        <v>498</v>
      </c>
      <c r="BK437">
        <v>0</v>
      </c>
      <c r="BL437">
        <v>1.33</v>
      </c>
      <c r="BM437"/>
      <c r="BN437">
        <f t="shared" si="477"/>
        <v>1.33</v>
      </c>
      <c r="BO437">
        <f t="shared" si="503"/>
        <v>1.33</v>
      </c>
      <c r="BP437" t="s">
        <v>232</v>
      </c>
      <c r="BQ437" s="260" t="s">
        <v>3292</v>
      </c>
      <c r="BR437" t="s">
        <v>397</v>
      </c>
      <c r="BS437">
        <v>-1038</v>
      </c>
      <c r="BT437">
        <v>-85</v>
      </c>
      <c r="BU437" s="144">
        <v>8.1888246628131017E-2</v>
      </c>
      <c r="BV437">
        <v>953</v>
      </c>
      <c r="BW437"/>
      <c r="BX437">
        <f t="shared" si="504"/>
        <v>0.95299999999999996</v>
      </c>
      <c r="BY437">
        <f t="shared" si="468"/>
        <v>0.71654135338345859</v>
      </c>
      <c r="BZ437">
        <v>1</v>
      </c>
      <c r="CA437">
        <v>0</v>
      </c>
      <c r="CB437">
        <v>0</v>
      </c>
      <c r="CC437">
        <v>0</v>
      </c>
      <c r="CD437">
        <v>0</v>
      </c>
      <c r="CE437">
        <v>0</v>
      </c>
      <c r="CF437">
        <v>0</v>
      </c>
      <c r="CG437">
        <v>0</v>
      </c>
      <c r="CH437">
        <v>0</v>
      </c>
      <c r="CI437">
        <v>0</v>
      </c>
      <c r="CJ437">
        <v>0</v>
      </c>
      <c r="CK437">
        <v>0</v>
      </c>
      <c r="CL437">
        <v>0</v>
      </c>
      <c r="CM437">
        <v>0</v>
      </c>
      <c r="CN437" t="str">
        <f t="shared" si="481"/>
        <v>refOK</v>
      </c>
      <c r="CO437">
        <f t="shared" si="482"/>
        <v>0</v>
      </c>
      <c r="CP437">
        <f t="shared" si="483"/>
        <v>1.33</v>
      </c>
      <c r="CQ437">
        <f t="shared" si="484"/>
        <v>1.33</v>
      </c>
      <c r="CR437">
        <f t="shared" si="485"/>
        <v>-1038</v>
      </c>
      <c r="CS437">
        <f t="shared" si="486"/>
        <v>-85</v>
      </c>
      <c r="CT437">
        <f t="shared" si="487"/>
        <v>0.95299999999999996</v>
      </c>
      <c r="CU437">
        <f t="shared" si="488"/>
        <v>0.71654135338345859</v>
      </c>
      <c r="CV437" s="2">
        <f t="shared" si="489"/>
        <v>0.91811175337186901</v>
      </c>
      <c r="CW437" s="1" t="s">
        <v>263</v>
      </c>
      <c r="CX437" t="str">
        <f t="shared" si="490"/>
        <v>loc</v>
      </c>
      <c r="CY437" t="s">
        <v>557</v>
      </c>
      <c r="CZ437"/>
      <c r="DA437"/>
      <c r="DB437">
        <v>0</v>
      </c>
      <c r="DC437" t="str">
        <f t="shared" si="492"/>
        <v>0</v>
      </c>
      <c r="DD437">
        <v>0</v>
      </c>
      <c r="DE437">
        <v>0</v>
      </c>
      <c r="DF437">
        <v>0</v>
      </c>
      <c r="DG437">
        <v>1</v>
      </c>
      <c r="DH437"/>
      <c r="DI437">
        <f t="shared" si="493"/>
        <v>1</v>
      </c>
      <c r="DJ437" t="str">
        <f t="shared" si="494"/>
        <v>TimberInput</v>
      </c>
      <c r="DK437">
        <f t="shared" si="495"/>
        <v>0</v>
      </c>
      <c r="DL437">
        <f t="shared" si="496"/>
        <v>0</v>
      </c>
      <c r="DM437">
        <f t="shared" si="497"/>
        <v>0</v>
      </c>
      <c r="DN437" t="str">
        <f t="shared" si="498"/>
        <v>Timber</v>
      </c>
      <c r="DO437">
        <v>0</v>
      </c>
      <c r="DP437">
        <v>0</v>
      </c>
      <c r="DQ437">
        <v>0</v>
      </c>
      <c r="DR437">
        <v>0</v>
      </c>
      <c r="DS437">
        <v>0</v>
      </c>
      <c r="DT437">
        <f t="shared" si="499"/>
        <v>0</v>
      </c>
      <c r="DU437" s="143" t="str">
        <f t="shared" si="500"/>
        <v>explicit C balance</v>
      </c>
      <c r="DV437">
        <v>0</v>
      </c>
      <c r="DW437">
        <v>0</v>
      </c>
      <c r="DX437">
        <v>0</v>
      </c>
      <c r="DY437">
        <v>1</v>
      </c>
      <c r="DZ437">
        <v>1</v>
      </c>
      <c r="EA437" s="143">
        <v>0</v>
      </c>
      <c r="EB437">
        <v>0</v>
      </c>
      <c r="EC437">
        <v>1</v>
      </c>
      <c r="ED437">
        <v>0</v>
      </c>
      <c r="EE437">
        <v>1</v>
      </c>
      <c r="EF437">
        <v>0</v>
      </c>
      <c r="EG437">
        <v>0</v>
      </c>
      <c r="EH437">
        <v>0</v>
      </c>
      <c r="EI437" s="2">
        <v>0</v>
      </c>
      <c r="EJ437" s="1"/>
      <c r="EK437" t="str">
        <f t="shared" si="501"/>
        <v/>
      </c>
      <c r="EL437" t="str">
        <f t="shared" si="502"/>
        <v/>
      </c>
      <c r="EM437" s="2" t="str">
        <f t="shared" si="469"/>
        <v>Technology approach</v>
      </c>
      <c r="EN437"/>
      <c r="EO437"/>
      <c r="EP437" t="str">
        <f>IF(ISNUMBER(BU437),IF(ABS(BU437-[5]QC_indicators!$B$2)&gt;3*[5]QC_indicators!$C$2,"C ratio",IF(ISNUMBER(BY437),IF(ABS(BY437-[5]QC_indicators!$B$1)&gt;3*[5]QC_indicators!$C$1,"DF","no"))),IF(ISNUMBER(BY437),IF(ABS(BY437-[5]QC_indicators!$B$1)&gt;3*[5]QC_indicators!$C$1,"DF","no")))</f>
        <v>no</v>
      </c>
      <c r="EQ437"/>
      <c r="ER437" s="149" t="s">
        <v>349</v>
      </c>
      <c r="ES437"/>
      <c r="ET437" s="264" t="s">
        <v>3272</v>
      </c>
      <c r="EU437"/>
    </row>
    <row r="438" spans="1:151" s="139" customFormat="1" ht="15" hidden="1" customHeight="1">
      <c r="A438" s="1" t="s">
        <v>545</v>
      </c>
      <c r="B438" t="s">
        <v>546</v>
      </c>
      <c r="C438" t="s">
        <v>547</v>
      </c>
      <c r="D438" t="s">
        <v>548</v>
      </c>
      <c r="E438" t="s">
        <v>549</v>
      </c>
      <c r="F438" t="s">
        <v>550</v>
      </c>
      <c r="G438" t="s">
        <v>551</v>
      </c>
      <c r="H438" t="s">
        <v>254</v>
      </c>
      <c r="I438">
        <v>2017</v>
      </c>
      <c r="J438">
        <v>3</v>
      </c>
      <c r="K438" t="s">
        <v>552</v>
      </c>
      <c r="L438"/>
      <c r="M438" t="str">
        <f t="shared" si="429"/>
        <v>Crafford_2017</v>
      </c>
      <c r="N438" t="s">
        <v>222</v>
      </c>
      <c r="O438" s="145" t="s">
        <v>223</v>
      </c>
      <c r="P438"/>
      <c r="Q438" t="s">
        <v>256</v>
      </c>
      <c r="R438" s="255" t="s">
        <v>225</v>
      </c>
      <c r="S438" s="1" t="s">
        <v>561</v>
      </c>
      <c r="T438" t="s">
        <v>560</v>
      </c>
      <c r="U438" t="s">
        <v>554</v>
      </c>
      <c r="V438">
        <v>0</v>
      </c>
      <c r="W438">
        <v>0</v>
      </c>
      <c r="X438">
        <v>0</v>
      </c>
      <c r="Y438">
        <v>0</v>
      </c>
      <c r="Z438">
        <v>0</v>
      </c>
      <c r="AA438">
        <v>0</v>
      </c>
      <c r="AB438">
        <v>0</v>
      </c>
      <c r="AC438">
        <v>0</v>
      </c>
      <c r="AD438">
        <v>0</v>
      </c>
      <c r="AE438">
        <v>0</v>
      </c>
      <c r="AF438">
        <v>0</v>
      </c>
      <c r="AG438">
        <v>0</v>
      </c>
      <c r="AH438">
        <v>0</v>
      </c>
      <c r="AI438">
        <v>0</v>
      </c>
      <c r="AJ438">
        <v>0</v>
      </c>
      <c r="AK438">
        <v>1</v>
      </c>
      <c r="AL438">
        <v>0</v>
      </c>
      <c r="AM438">
        <v>0</v>
      </c>
      <c r="AN438">
        <v>0</v>
      </c>
      <c r="AO438">
        <v>0</v>
      </c>
      <c r="AP438">
        <v>0</v>
      </c>
      <c r="AQ438">
        <v>0</v>
      </c>
      <c r="AR438">
        <v>0</v>
      </c>
      <c r="AS438">
        <v>0</v>
      </c>
      <c r="AT438">
        <v>0</v>
      </c>
      <c r="AU438">
        <v>0</v>
      </c>
      <c r="AV438">
        <v>0</v>
      </c>
      <c r="AW438">
        <v>0</v>
      </c>
      <c r="AX438" s="141">
        <f t="shared" si="470"/>
        <v>1</v>
      </c>
      <c r="AY438" s="141">
        <f t="shared" si="471"/>
        <v>1</v>
      </c>
      <c r="AZ438">
        <f t="shared" si="472"/>
        <v>0</v>
      </c>
      <c r="BA438">
        <f t="shared" si="473"/>
        <v>0</v>
      </c>
      <c r="BB438">
        <f t="shared" si="474"/>
        <v>1</v>
      </c>
      <c r="BC438">
        <f t="shared" si="475"/>
        <v>0</v>
      </c>
      <c r="BD438">
        <f t="shared" si="476"/>
        <v>0</v>
      </c>
      <c r="BE438" t="str">
        <f t="array" ref="BE438">IF(AY438=1,INDEX($V$7:$AL$7,MATCH(TRUE,INDEX($V438:$AW438&lt;&gt;0,),0)),IF(AY438=0,INDEX($AM$7:$AW$7,MATCH(1,$AM438:$AW438,0)),IF(BF438="Multiple strategies","mixed drivers",IF(BF438="Supply chain","multiple supply","multiple silviculture"))))</f>
        <v>technologies/design switch</v>
      </c>
      <c r="BF438" s="2" t="str" cm="1">
        <f t="array" ref="BF438">IF(COUNTIF(AZ438:BB438,"&lt;&gt;0")=1,INDEX($V$4:$AW$4,MATCH(TRUE,INDEX($V438:$AW438&lt;&gt;0,),0)),IF(COUNTIF(AZ438:BB438,"&lt;&gt;0")=0,INDEX($AM$4:$AW$4,MATCH(1,$AM438:$AW438,0)),"Multiple strategies"))</f>
        <v>Technology</v>
      </c>
      <c r="BG438" s="1" t="s">
        <v>229</v>
      </c>
      <c r="BH438" t="s">
        <v>556</v>
      </c>
      <c r="BI438" t="s">
        <v>424</v>
      </c>
      <c r="BJ438" t="s">
        <v>498</v>
      </c>
      <c r="BK438">
        <v>0</v>
      </c>
      <c r="BL438">
        <v>6.05</v>
      </c>
      <c r="BM438"/>
      <c r="BN438">
        <f t="shared" si="477"/>
        <v>6.05</v>
      </c>
      <c r="BO438">
        <f t="shared" si="503"/>
        <v>6.05</v>
      </c>
      <c r="BP438" t="s">
        <v>232</v>
      </c>
      <c r="BQ438" s="260" t="s">
        <v>3293</v>
      </c>
      <c r="BR438" t="s">
        <v>397</v>
      </c>
      <c r="BS438">
        <v>-6769</v>
      </c>
      <c r="BT438">
        <v>-1242</v>
      </c>
      <c r="BU438" s="144">
        <v>0.18348352784754027</v>
      </c>
      <c r="BV438">
        <v>5527</v>
      </c>
      <c r="BW438"/>
      <c r="BX438">
        <f t="shared" si="504"/>
        <v>5.5270000000000001</v>
      </c>
      <c r="BY438">
        <f t="shared" si="468"/>
        <v>0.91355371900826454</v>
      </c>
      <c r="BZ438">
        <v>1</v>
      </c>
      <c r="CA438">
        <v>0</v>
      </c>
      <c r="CB438">
        <v>0</v>
      </c>
      <c r="CC438">
        <v>0</v>
      </c>
      <c r="CD438">
        <v>0</v>
      </c>
      <c r="CE438">
        <v>0</v>
      </c>
      <c r="CF438">
        <v>0</v>
      </c>
      <c r="CG438">
        <v>0</v>
      </c>
      <c r="CH438">
        <v>0</v>
      </c>
      <c r="CI438">
        <v>0</v>
      </c>
      <c r="CJ438">
        <v>0</v>
      </c>
      <c r="CK438">
        <v>0</v>
      </c>
      <c r="CL438">
        <v>0</v>
      </c>
      <c r="CM438">
        <v>0</v>
      </c>
      <c r="CN438" t="str">
        <f t="shared" si="481"/>
        <v>refOK</v>
      </c>
      <c r="CO438">
        <f t="shared" si="482"/>
        <v>0</v>
      </c>
      <c r="CP438">
        <f t="shared" si="483"/>
        <v>6.05</v>
      </c>
      <c r="CQ438">
        <f t="shared" si="484"/>
        <v>6.05</v>
      </c>
      <c r="CR438">
        <f t="shared" si="485"/>
        <v>-6769</v>
      </c>
      <c r="CS438">
        <f t="shared" si="486"/>
        <v>-1242</v>
      </c>
      <c r="CT438">
        <f t="shared" si="487"/>
        <v>5.5270000000000001</v>
      </c>
      <c r="CU438">
        <f t="shared" si="488"/>
        <v>0.91355371900826454</v>
      </c>
      <c r="CV438" s="2">
        <f t="shared" si="489"/>
        <v>0.8165164721524597</v>
      </c>
      <c r="CW438" s="1" t="s">
        <v>263</v>
      </c>
      <c r="CX438" t="str">
        <f t="shared" si="490"/>
        <v>loc</v>
      </c>
      <c r="CY438" t="s">
        <v>557</v>
      </c>
      <c r="CZ438"/>
      <c r="DA438"/>
      <c r="DB438">
        <v>0</v>
      </c>
      <c r="DC438" t="str">
        <f t="shared" si="492"/>
        <v>0</v>
      </c>
      <c r="DD438">
        <v>0</v>
      </c>
      <c r="DE438">
        <v>0</v>
      </c>
      <c r="DF438">
        <v>0</v>
      </c>
      <c r="DG438">
        <v>1</v>
      </c>
      <c r="DH438"/>
      <c r="DI438">
        <f t="shared" si="493"/>
        <v>1</v>
      </c>
      <c r="DJ438" t="str">
        <f t="shared" si="494"/>
        <v>TimberInput</v>
      </c>
      <c r="DK438">
        <f t="shared" si="495"/>
        <v>0</v>
      </c>
      <c r="DL438">
        <f t="shared" si="496"/>
        <v>0</v>
      </c>
      <c r="DM438">
        <f t="shared" si="497"/>
        <v>0</v>
      </c>
      <c r="DN438" t="str">
        <f t="shared" si="498"/>
        <v>Timber</v>
      </c>
      <c r="DO438">
        <v>0</v>
      </c>
      <c r="DP438">
        <v>0</v>
      </c>
      <c r="DQ438">
        <v>0</v>
      </c>
      <c r="DR438">
        <v>0</v>
      </c>
      <c r="DS438">
        <v>0</v>
      </c>
      <c r="DT438">
        <f t="shared" si="499"/>
        <v>0</v>
      </c>
      <c r="DU438" s="143" t="str">
        <f t="shared" si="500"/>
        <v>explicit C balance</v>
      </c>
      <c r="DV438">
        <v>0</v>
      </c>
      <c r="DW438">
        <v>0</v>
      </c>
      <c r="DX438">
        <v>0</v>
      </c>
      <c r="DY438">
        <v>1</v>
      </c>
      <c r="DZ438">
        <v>1</v>
      </c>
      <c r="EA438" s="143">
        <v>0</v>
      </c>
      <c r="EB438">
        <v>0</v>
      </c>
      <c r="EC438">
        <v>1</v>
      </c>
      <c r="ED438">
        <v>0</v>
      </c>
      <c r="EE438">
        <v>1</v>
      </c>
      <c r="EF438">
        <v>0</v>
      </c>
      <c r="EG438">
        <v>0</v>
      </c>
      <c r="EH438">
        <v>0</v>
      </c>
      <c r="EI438" s="2">
        <v>0</v>
      </c>
      <c r="EJ438" s="1"/>
      <c r="EK438" t="str">
        <f t="shared" si="501"/>
        <v/>
      </c>
      <c r="EL438" t="str">
        <f t="shared" si="502"/>
        <v/>
      </c>
      <c r="EM438" s="2" t="str">
        <f t="shared" si="469"/>
        <v>Technology approach</v>
      </c>
      <c r="EN438"/>
      <c r="EO438"/>
      <c r="EP438" t="str">
        <f>IF(ISNUMBER(BU438),IF(ABS(BU438-[5]QC_indicators!$B$2)&gt;3*[5]QC_indicators!$C$2,"C ratio",IF(ISNUMBER(BY438),IF(ABS(BY438-[5]QC_indicators!$B$1)&gt;3*[5]QC_indicators!$C$1,"DF","no"))),IF(ISNUMBER(BY438),IF(ABS(BY438-[5]QC_indicators!$B$1)&gt;3*[5]QC_indicators!$C$1,"DF","no")))</f>
        <v>no</v>
      </c>
      <c r="EQ438"/>
      <c r="ER438" s="149" t="s">
        <v>349</v>
      </c>
      <c r="ES438"/>
      <c r="ET438" s="264" t="s">
        <v>3272</v>
      </c>
      <c r="EU438"/>
    </row>
    <row r="439" spans="1:151" s="139" customFormat="1" ht="15" hidden="1" customHeight="1">
      <c r="A439" s="1" t="s">
        <v>545</v>
      </c>
      <c r="B439" t="s">
        <v>546</v>
      </c>
      <c r="C439" t="s">
        <v>547</v>
      </c>
      <c r="D439" t="s">
        <v>548</v>
      </c>
      <c r="E439" t="s">
        <v>549</v>
      </c>
      <c r="F439" t="s">
        <v>550</v>
      </c>
      <c r="G439" t="s">
        <v>551</v>
      </c>
      <c r="H439" t="s">
        <v>254</v>
      </c>
      <c r="I439">
        <v>2017</v>
      </c>
      <c r="J439">
        <v>3</v>
      </c>
      <c r="K439" t="s">
        <v>552</v>
      </c>
      <c r="L439"/>
      <c r="M439" t="str">
        <f t="shared" si="429"/>
        <v>Crafford_2017</v>
      </c>
      <c r="N439" t="s">
        <v>222</v>
      </c>
      <c r="O439" s="145" t="s">
        <v>223</v>
      </c>
      <c r="P439"/>
      <c r="Q439" t="s">
        <v>256</v>
      </c>
      <c r="R439" s="255" t="s">
        <v>225</v>
      </c>
      <c r="S439" s="1" t="s">
        <v>561</v>
      </c>
      <c r="T439" t="s">
        <v>560</v>
      </c>
      <c r="U439" t="s">
        <v>555</v>
      </c>
      <c r="V439">
        <v>0</v>
      </c>
      <c r="W439">
        <v>0</v>
      </c>
      <c r="X439">
        <v>0</v>
      </c>
      <c r="Y439">
        <v>0</v>
      </c>
      <c r="Z439">
        <v>0</v>
      </c>
      <c r="AA439">
        <v>0</v>
      </c>
      <c r="AB439">
        <v>0</v>
      </c>
      <c r="AC439">
        <v>0</v>
      </c>
      <c r="AD439">
        <v>0</v>
      </c>
      <c r="AE439">
        <v>0</v>
      </c>
      <c r="AF439">
        <v>0</v>
      </c>
      <c r="AG439">
        <v>0</v>
      </c>
      <c r="AH439">
        <v>0</v>
      </c>
      <c r="AI439">
        <v>0</v>
      </c>
      <c r="AJ439">
        <v>0</v>
      </c>
      <c r="AK439">
        <v>1</v>
      </c>
      <c r="AL439">
        <v>0</v>
      </c>
      <c r="AM439">
        <v>0</v>
      </c>
      <c r="AN439">
        <v>0</v>
      </c>
      <c r="AO439">
        <v>0</v>
      </c>
      <c r="AP439">
        <v>0</v>
      </c>
      <c r="AQ439">
        <v>0</v>
      </c>
      <c r="AR439">
        <v>0</v>
      </c>
      <c r="AS439">
        <v>0</v>
      </c>
      <c r="AT439">
        <v>0</v>
      </c>
      <c r="AU439">
        <v>0</v>
      </c>
      <c r="AV439">
        <v>0</v>
      </c>
      <c r="AW439">
        <v>0</v>
      </c>
      <c r="AX439" s="141">
        <f t="shared" si="470"/>
        <v>1</v>
      </c>
      <c r="AY439" s="141">
        <f t="shared" si="471"/>
        <v>1</v>
      </c>
      <c r="AZ439">
        <f t="shared" si="472"/>
        <v>0</v>
      </c>
      <c r="BA439">
        <f t="shared" si="473"/>
        <v>0</v>
      </c>
      <c r="BB439">
        <f t="shared" si="474"/>
        <v>1</v>
      </c>
      <c r="BC439">
        <f t="shared" si="475"/>
        <v>0</v>
      </c>
      <c r="BD439">
        <f t="shared" si="476"/>
        <v>0</v>
      </c>
      <c r="BE439" t="str">
        <f t="array" ref="BE439">IF(AY439=1,INDEX($V$7:$AL$7,MATCH(TRUE,INDEX($V439:$AW439&lt;&gt;0,),0)),IF(AY439=0,INDEX($AM$7:$AW$7,MATCH(1,$AM439:$AW439,0)),IF(BF439="Multiple strategies","mixed drivers",IF(BF439="Supply chain","multiple supply","multiple silviculture"))))</f>
        <v>technologies/design switch</v>
      </c>
      <c r="BF439" s="2" t="str" cm="1">
        <f t="array" ref="BF439">IF(COUNTIF(AZ439:BB439,"&lt;&gt;0")=1,INDEX($V$4:$AW$4,MATCH(TRUE,INDEX($V439:$AW439&lt;&gt;0,),0)),IF(COUNTIF(AZ439:BB439,"&lt;&gt;0")=0,INDEX($AM$4:$AW$4,MATCH(1,$AM439:$AW439,0)),"Multiple strategies"))</f>
        <v>Technology</v>
      </c>
      <c r="BG439" s="1" t="s">
        <v>229</v>
      </c>
      <c r="BH439" t="s">
        <v>556</v>
      </c>
      <c r="BI439" t="s">
        <v>424</v>
      </c>
      <c r="BJ439" t="s">
        <v>498</v>
      </c>
      <c r="BK439">
        <v>0</v>
      </c>
      <c r="BL439">
        <v>6.05</v>
      </c>
      <c r="BM439"/>
      <c r="BN439">
        <f t="shared" si="477"/>
        <v>6.05</v>
      </c>
      <c r="BO439">
        <f t="shared" si="503"/>
        <v>6.05</v>
      </c>
      <c r="BP439" t="s">
        <v>232</v>
      </c>
      <c r="BQ439" s="260" t="s">
        <v>3294</v>
      </c>
      <c r="BR439" t="s">
        <v>397</v>
      </c>
      <c r="BS439">
        <v>-6769</v>
      </c>
      <c r="BT439">
        <v>-873</v>
      </c>
      <c r="BU439" s="144">
        <v>0.12897030580587976</v>
      </c>
      <c r="BV439">
        <v>5896</v>
      </c>
      <c r="BW439"/>
      <c r="BX439">
        <f t="shared" si="504"/>
        <v>5.8959999999999999</v>
      </c>
      <c r="BY439">
        <f t="shared" si="468"/>
        <v>0.9745454545454546</v>
      </c>
      <c r="BZ439">
        <v>1</v>
      </c>
      <c r="CA439">
        <v>0</v>
      </c>
      <c r="CB439">
        <v>0</v>
      </c>
      <c r="CC439">
        <v>0</v>
      </c>
      <c r="CD439">
        <v>0</v>
      </c>
      <c r="CE439">
        <v>0</v>
      </c>
      <c r="CF439">
        <v>0</v>
      </c>
      <c r="CG439">
        <v>0</v>
      </c>
      <c r="CH439">
        <v>0</v>
      </c>
      <c r="CI439">
        <v>0</v>
      </c>
      <c r="CJ439">
        <v>0</v>
      </c>
      <c r="CK439">
        <v>0</v>
      </c>
      <c r="CL439">
        <v>0</v>
      </c>
      <c r="CM439">
        <v>0</v>
      </c>
      <c r="CN439" t="str">
        <f t="shared" si="481"/>
        <v>refOK</v>
      </c>
      <c r="CO439">
        <f t="shared" si="482"/>
        <v>0</v>
      </c>
      <c r="CP439">
        <f t="shared" si="483"/>
        <v>6.05</v>
      </c>
      <c r="CQ439">
        <f t="shared" si="484"/>
        <v>6.05</v>
      </c>
      <c r="CR439">
        <f t="shared" si="485"/>
        <v>-6769</v>
      </c>
      <c r="CS439">
        <f t="shared" si="486"/>
        <v>-873</v>
      </c>
      <c r="CT439">
        <f t="shared" si="487"/>
        <v>5.8959999999999999</v>
      </c>
      <c r="CU439">
        <f t="shared" si="488"/>
        <v>0.9745454545454546</v>
      </c>
      <c r="CV439" s="2">
        <f t="shared" si="489"/>
        <v>0.87102969419412024</v>
      </c>
      <c r="CW439" s="1" t="s">
        <v>263</v>
      </c>
      <c r="CX439" t="str">
        <f t="shared" si="490"/>
        <v>loc</v>
      </c>
      <c r="CY439" t="s">
        <v>557</v>
      </c>
      <c r="CZ439"/>
      <c r="DA439"/>
      <c r="DB439">
        <v>0</v>
      </c>
      <c r="DC439" t="str">
        <f t="shared" si="492"/>
        <v>0</v>
      </c>
      <c r="DD439">
        <v>0</v>
      </c>
      <c r="DE439">
        <v>0</v>
      </c>
      <c r="DF439">
        <v>0</v>
      </c>
      <c r="DG439">
        <v>1</v>
      </c>
      <c r="DH439"/>
      <c r="DI439">
        <f t="shared" si="493"/>
        <v>1</v>
      </c>
      <c r="DJ439" t="str">
        <f t="shared" si="494"/>
        <v>TimberInput</v>
      </c>
      <c r="DK439">
        <f t="shared" si="495"/>
        <v>0</v>
      </c>
      <c r="DL439">
        <f t="shared" si="496"/>
        <v>0</v>
      </c>
      <c r="DM439">
        <f t="shared" si="497"/>
        <v>0</v>
      </c>
      <c r="DN439" t="str">
        <f t="shared" si="498"/>
        <v>Timber</v>
      </c>
      <c r="DO439">
        <v>0</v>
      </c>
      <c r="DP439">
        <v>0</v>
      </c>
      <c r="DQ439">
        <v>0</v>
      </c>
      <c r="DR439">
        <v>0</v>
      </c>
      <c r="DS439">
        <v>0</v>
      </c>
      <c r="DT439">
        <f t="shared" si="499"/>
        <v>0</v>
      </c>
      <c r="DU439" s="143" t="str">
        <f t="shared" si="500"/>
        <v>explicit C balance</v>
      </c>
      <c r="DV439">
        <v>0</v>
      </c>
      <c r="DW439">
        <v>0</v>
      </c>
      <c r="DX439">
        <v>0</v>
      </c>
      <c r="DY439">
        <v>1</v>
      </c>
      <c r="DZ439">
        <v>1</v>
      </c>
      <c r="EA439" s="143">
        <v>0</v>
      </c>
      <c r="EB439">
        <v>0</v>
      </c>
      <c r="EC439">
        <v>1</v>
      </c>
      <c r="ED439">
        <v>0</v>
      </c>
      <c r="EE439">
        <v>1</v>
      </c>
      <c r="EF439">
        <v>0</v>
      </c>
      <c r="EG439">
        <v>0</v>
      </c>
      <c r="EH439">
        <v>0</v>
      </c>
      <c r="EI439" s="2">
        <v>0</v>
      </c>
      <c r="EJ439" s="1"/>
      <c r="EK439" t="str">
        <f t="shared" si="501"/>
        <v/>
      </c>
      <c r="EL439" t="str">
        <f t="shared" si="502"/>
        <v/>
      </c>
      <c r="EM439" s="2" t="str">
        <f t="shared" si="469"/>
        <v>Technology approach</v>
      </c>
      <c r="EN439"/>
      <c r="EO439"/>
      <c r="EP439" t="str">
        <f>IF(ISNUMBER(BU439),IF(ABS(BU439-[5]QC_indicators!$B$2)&gt;3*[5]QC_indicators!$C$2,"C ratio",IF(ISNUMBER(BY439),IF(ABS(BY439-[5]QC_indicators!$B$1)&gt;3*[5]QC_indicators!$C$1,"DF","no"))),IF(ISNUMBER(BY439),IF(ABS(BY439-[5]QC_indicators!$B$1)&gt;3*[5]QC_indicators!$C$1,"DF","no")))</f>
        <v>no</v>
      </c>
      <c r="EQ439"/>
      <c r="ER439" s="149" t="s">
        <v>349</v>
      </c>
      <c r="ES439"/>
      <c r="ET439" s="264" t="s">
        <v>3272</v>
      </c>
      <c r="EU439"/>
    </row>
    <row r="440" spans="1:151" s="139" customFormat="1" ht="15" hidden="1" customHeight="1">
      <c r="A440" s="1" t="s">
        <v>545</v>
      </c>
      <c r="B440" t="s">
        <v>546</v>
      </c>
      <c r="C440" t="s">
        <v>547</v>
      </c>
      <c r="D440" t="s">
        <v>548</v>
      </c>
      <c r="E440" t="s">
        <v>549</v>
      </c>
      <c r="F440" t="s">
        <v>550</v>
      </c>
      <c r="G440" t="s">
        <v>551</v>
      </c>
      <c r="H440" t="s">
        <v>254</v>
      </c>
      <c r="I440">
        <v>2017</v>
      </c>
      <c r="J440">
        <v>3</v>
      </c>
      <c r="K440" t="s">
        <v>552</v>
      </c>
      <c r="L440"/>
      <c r="M440" t="str">
        <f t="shared" si="429"/>
        <v>Crafford_2017</v>
      </c>
      <c r="N440" t="s">
        <v>222</v>
      </c>
      <c r="O440" s="145" t="s">
        <v>223</v>
      </c>
      <c r="P440"/>
      <c r="Q440" t="s">
        <v>256</v>
      </c>
      <c r="R440" s="255" t="s">
        <v>225</v>
      </c>
      <c r="S440" s="1" t="s">
        <v>559</v>
      </c>
      <c r="T440" t="s">
        <v>560</v>
      </c>
      <c r="U440" t="s">
        <v>555</v>
      </c>
      <c r="V440">
        <v>0</v>
      </c>
      <c r="W440">
        <v>0</v>
      </c>
      <c r="X440">
        <v>0</v>
      </c>
      <c r="Y440">
        <v>0</v>
      </c>
      <c r="Z440">
        <v>0</v>
      </c>
      <c r="AA440">
        <v>0</v>
      </c>
      <c r="AB440">
        <v>0</v>
      </c>
      <c r="AC440">
        <v>0</v>
      </c>
      <c r="AD440">
        <v>0</v>
      </c>
      <c r="AE440">
        <v>0</v>
      </c>
      <c r="AF440">
        <v>0</v>
      </c>
      <c r="AG440">
        <v>0</v>
      </c>
      <c r="AH440">
        <v>0</v>
      </c>
      <c r="AI440">
        <v>0</v>
      </c>
      <c r="AJ440">
        <v>0</v>
      </c>
      <c r="AK440">
        <v>1</v>
      </c>
      <c r="AL440">
        <v>0</v>
      </c>
      <c r="AM440">
        <v>0</v>
      </c>
      <c r="AN440">
        <v>0</v>
      </c>
      <c r="AO440">
        <v>0</v>
      </c>
      <c r="AP440">
        <v>0</v>
      </c>
      <c r="AQ440">
        <v>0</v>
      </c>
      <c r="AR440">
        <v>0</v>
      </c>
      <c r="AS440">
        <v>0</v>
      </c>
      <c r="AT440">
        <v>0</v>
      </c>
      <c r="AU440">
        <v>0</v>
      </c>
      <c r="AV440">
        <v>0</v>
      </c>
      <c r="AW440">
        <v>0</v>
      </c>
      <c r="AX440" s="141">
        <f t="shared" si="470"/>
        <v>1</v>
      </c>
      <c r="AY440" s="141">
        <f t="shared" si="471"/>
        <v>1</v>
      </c>
      <c r="AZ440">
        <f t="shared" si="472"/>
        <v>0</v>
      </c>
      <c r="BA440">
        <f t="shared" si="473"/>
        <v>0</v>
      </c>
      <c r="BB440">
        <f t="shared" si="474"/>
        <v>1</v>
      </c>
      <c r="BC440">
        <f t="shared" si="475"/>
        <v>0</v>
      </c>
      <c r="BD440">
        <f t="shared" si="476"/>
        <v>0</v>
      </c>
      <c r="BE440" t="str">
        <f t="array" ref="BE440">IF(AY440=1,INDEX($V$7:$AL$7,MATCH(TRUE,INDEX($V440:$AW440&lt;&gt;0,),0)),IF(AY440=0,INDEX($AM$7:$AW$7,MATCH(1,$AM440:$AW440,0)),IF(BF440="Multiple strategies","mixed drivers",IF(BF440="Supply chain","multiple supply","multiple silviculture"))))</f>
        <v>technologies/design switch</v>
      </c>
      <c r="BF440" s="2" t="str" cm="1">
        <f t="array" ref="BF440">IF(COUNTIF(AZ440:BB440,"&lt;&gt;0")=1,INDEX($V$4:$AW$4,MATCH(TRUE,INDEX($V440:$AW440&lt;&gt;0,),0)),IF(COUNTIF(AZ440:BB440,"&lt;&gt;0")=0,INDEX($AM$4:$AW$4,MATCH(1,$AM440:$AW440,0)),"Multiple strategies"))</f>
        <v>Technology</v>
      </c>
      <c r="BG440" s="1" t="s">
        <v>229</v>
      </c>
      <c r="BH440" t="s">
        <v>556</v>
      </c>
      <c r="BI440" t="s">
        <v>424</v>
      </c>
      <c r="BJ440" t="s">
        <v>498</v>
      </c>
      <c r="BK440">
        <v>0</v>
      </c>
      <c r="BL440">
        <v>1.33</v>
      </c>
      <c r="BM440"/>
      <c r="BN440">
        <f t="shared" si="477"/>
        <v>1.33</v>
      </c>
      <c r="BO440">
        <f t="shared" si="503"/>
        <v>1.33</v>
      </c>
      <c r="BP440" t="s">
        <v>232</v>
      </c>
      <c r="BQ440" s="260" t="s">
        <v>3295</v>
      </c>
      <c r="BR440" t="s">
        <v>397</v>
      </c>
      <c r="BS440">
        <v>-988</v>
      </c>
      <c r="BT440">
        <v>919</v>
      </c>
      <c r="BU440" s="144">
        <v>-0.93016194331983804</v>
      </c>
      <c r="BV440">
        <v>1907</v>
      </c>
      <c r="BW440"/>
      <c r="BX440">
        <f t="shared" si="504"/>
        <v>1.907</v>
      </c>
      <c r="BY440">
        <f t="shared" si="468"/>
        <v>1.4338345864661655</v>
      </c>
      <c r="BZ440">
        <v>1</v>
      </c>
      <c r="CA440">
        <v>0</v>
      </c>
      <c r="CB440">
        <v>0</v>
      </c>
      <c r="CC440">
        <v>0</v>
      </c>
      <c r="CD440">
        <v>0</v>
      </c>
      <c r="CE440">
        <v>0</v>
      </c>
      <c r="CF440">
        <v>0</v>
      </c>
      <c r="CG440">
        <v>0</v>
      </c>
      <c r="CH440">
        <v>0</v>
      </c>
      <c r="CI440">
        <v>0</v>
      </c>
      <c r="CJ440">
        <v>0</v>
      </c>
      <c r="CK440">
        <v>0</v>
      </c>
      <c r="CL440">
        <v>0</v>
      </c>
      <c r="CM440">
        <v>0</v>
      </c>
      <c r="CN440" t="str">
        <f t="shared" si="481"/>
        <v>refOK</v>
      </c>
      <c r="CO440">
        <f t="shared" si="482"/>
        <v>0</v>
      </c>
      <c r="CP440">
        <f t="shared" si="483"/>
        <v>1.33</v>
      </c>
      <c r="CQ440">
        <f t="shared" si="484"/>
        <v>1.33</v>
      </c>
      <c r="CR440">
        <f t="shared" si="485"/>
        <v>-988</v>
      </c>
      <c r="CS440">
        <f t="shared" si="486"/>
        <v>919</v>
      </c>
      <c r="CT440">
        <f t="shared" si="487"/>
        <v>1.907</v>
      </c>
      <c r="CU440">
        <f t="shared" si="488"/>
        <v>1.4338345864661655</v>
      </c>
      <c r="CV440" s="2">
        <f t="shared" si="489"/>
        <v>1.930161943319838</v>
      </c>
      <c r="CW440" s="1" t="s">
        <v>263</v>
      </c>
      <c r="CX440" t="str">
        <f t="shared" si="490"/>
        <v>loc</v>
      </c>
      <c r="CY440" t="s">
        <v>557</v>
      </c>
      <c r="CZ440"/>
      <c r="DA440"/>
      <c r="DB440">
        <v>0</v>
      </c>
      <c r="DC440" t="str">
        <f t="shared" si="492"/>
        <v>0</v>
      </c>
      <c r="DD440">
        <v>0</v>
      </c>
      <c r="DE440">
        <v>0</v>
      </c>
      <c r="DF440">
        <v>0</v>
      </c>
      <c r="DG440">
        <v>1</v>
      </c>
      <c r="DH440"/>
      <c r="DI440">
        <f t="shared" si="493"/>
        <v>1</v>
      </c>
      <c r="DJ440" t="str">
        <f t="shared" si="494"/>
        <v>TimberInput</v>
      </c>
      <c r="DK440">
        <f t="shared" si="495"/>
        <v>0</v>
      </c>
      <c r="DL440">
        <f t="shared" si="496"/>
        <v>0</v>
      </c>
      <c r="DM440">
        <f t="shared" si="497"/>
        <v>0</v>
      </c>
      <c r="DN440" t="str">
        <f t="shared" si="498"/>
        <v>Timber</v>
      </c>
      <c r="DO440">
        <v>0</v>
      </c>
      <c r="DP440">
        <v>0</v>
      </c>
      <c r="DQ440">
        <v>0</v>
      </c>
      <c r="DR440">
        <v>0</v>
      </c>
      <c r="DS440">
        <v>0</v>
      </c>
      <c r="DT440">
        <f t="shared" si="499"/>
        <v>0</v>
      </c>
      <c r="DU440" s="143" t="str">
        <f t="shared" si="500"/>
        <v>explicit C balance</v>
      </c>
      <c r="DV440">
        <v>0</v>
      </c>
      <c r="DW440">
        <v>0</v>
      </c>
      <c r="DX440">
        <v>0</v>
      </c>
      <c r="DY440">
        <v>1</v>
      </c>
      <c r="DZ440">
        <v>0</v>
      </c>
      <c r="EA440" s="143">
        <v>0</v>
      </c>
      <c r="EB440">
        <v>0</v>
      </c>
      <c r="EC440">
        <v>1</v>
      </c>
      <c r="ED440">
        <v>0</v>
      </c>
      <c r="EE440">
        <v>1</v>
      </c>
      <c r="EF440">
        <v>0</v>
      </c>
      <c r="EG440">
        <v>0</v>
      </c>
      <c r="EH440">
        <v>0</v>
      </c>
      <c r="EI440" s="2">
        <v>0</v>
      </c>
      <c r="EJ440" s="1"/>
      <c r="EK440" t="str">
        <f t="shared" si="501"/>
        <v/>
      </c>
      <c r="EL440" t="str">
        <f t="shared" si="502"/>
        <v/>
      </c>
      <c r="EM440" s="2" t="str">
        <f t="shared" si="469"/>
        <v>Technology approach</v>
      </c>
      <c r="EN440"/>
      <c r="EO440"/>
      <c r="EP440" t="str">
        <f>IF(ISNUMBER(BU440),IF(ABS(BU440-[5]QC_indicators!$B$2)&gt;3*[5]QC_indicators!$C$2,"C ratio",IF(ISNUMBER(BY440),IF(ABS(BY440-[5]QC_indicators!$B$1)&gt;3*[5]QC_indicators!$C$1,"DF","no"))),IF(ISNUMBER(BY440),IF(ABS(BY440-[5]QC_indicators!$B$1)&gt;3*[5]QC_indicators!$C$1,"DF","no")))</f>
        <v>no</v>
      </c>
      <c r="EQ440"/>
      <c r="ER440" s="149" t="s">
        <v>349</v>
      </c>
      <c r="ES440"/>
      <c r="ET440" s="264" t="s">
        <v>3272</v>
      </c>
      <c r="EU440"/>
    </row>
    <row r="441" spans="1:151" s="139" customFormat="1" ht="15" hidden="1" customHeight="1">
      <c r="A441" s="1" t="s">
        <v>545</v>
      </c>
      <c r="B441" t="s">
        <v>546</v>
      </c>
      <c r="C441" t="s">
        <v>547</v>
      </c>
      <c r="D441" t="s">
        <v>548</v>
      </c>
      <c r="E441" t="s">
        <v>549</v>
      </c>
      <c r="F441" t="s">
        <v>550</v>
      </c>
      <c r="G441" t="s">
        <v>551</v>
      </c>
      <c r="H441" t="s">
        <v>254</v>
      </c>
      <c r="I441">
        <v>2017</v>
      </c>
      <c r="J441">
        <v>3</v>
      </c>
      <c r="K441" t="s">
        <v>552</v>
      </c>
      <c r="L441"/>
      <c r="M441" t="str">
        <f t="shared" si="429"/>
        <v>Crafford_2017</v>
      </c>
      <c r="N441" t="s">
        <v>222</v>
      </c>
      <c r="O441" s="145" t="s">
        <v>223</v>
      </c>
      <c r="P441"/>
      <c r="Q441" t="s">
        <v>256</v>
      </c>
      <c r="R441" s="255" t="s">
        <v>225</v>
      </c>
      <c r="S441" s="1" t="s">
        <v>559</v>
      </c>
      <c r="T441" t="s">
        <v>560</v>
      </c>
      <c r="U441" t="s">
        <v>554</v>
      </c>
      <c r="V441">
        <v>0</v>
      </c>
      <c r="W441">
        <v>0</v>
      </c>
      <c r="X441">
        <v>0</v>
      </c>
      <c r="Y441">
        <v>0</v>
      </c>
      <c r="Z441">
        <v>0</v>
      </c>
      <c r="AA441">
        <v>0</v>
      </c>
      <c r="AB441">
        <v>0</v>
      </c>
      <c r="AC441">
        <v>0</v>
      </c>
      <c r="AD441">
        <v>0</v>
      </c>
      <c r="AE441">
        <v>0</v>
      </c>
      <c r="AF441">
        <v>0</v>
      </c>
      <c r="AG441">
        <v>0</v>
      </c>
      <c r="AH441">
        <v>0</v>
      </c>
      <c r="AI441">
        <v>0</v>
      </c>
      <c r="AJ441">
        <v>0</v>
      </c>
      <c r="AK441">
        <v>1</v>
      </c>
      <c r="AL441">
        <v>0</v>
      </c>
      <c r="AM441">
        <v>0</v>
      </c>
      <c r="AN441">
        <v>0</v>
      </c>
      <c r="AO441">
        <v>0</v>
      </c>
      <c r="AP441">
        <v>0</v>
      </c>
      <c r="AQ441">
        <v>0</v>
      </c>
      <c r="AR441">
        <v>0</v>
      </c>
      <c r="AS441">
        <v>0</v>
      </c>
      <c r="AT441">
        <v>0</v>
      </c>
      <c r="AU441">
        <v>0</v>
      </c>
      <c r="AV441">
        <v>0</v>
      </c>
      <c r="AW441">
        <v>0</v>
      </c>
      <c r="AX441" s="141">
        <f t="shared" si="470"/>
        <v>1</v>
      </c>
      <c r="AY441" s="141">
        <f t="shared" si="471"/>
        <v>1</v>
      </c>
      <c r="AZ441">
        <f t="shared" si="472"/>
        <v>0</v>
      </c>
      <c r="BA441">
        <f t="shared" si="473"/>
        <v>0</v>
      </c>
      <c r="BB441">
        <f t="shared" si="474"/>
        <v>1</v>
      </c>
      <c r="BC441">
        <f t="shared" si="475"/>
        <v>0</v>
      </c>
      <c r="BD441">
        <f t="shared" si="476"/>
        <v>0</v>
      </c>
      <c r="BE441" t="str">
        <f t="array" ref="BE441">IF(AY441=1,INDEX($V$7:$AL$7,MATCH(TRUE,INDEX($V441:$AW441&lt;&gt;0,),0)),IF(AY441=0,INDEX($AM$7:$AW$7,MATCH(1,$AM441:$AW441,0)),IF(BF441="Multiple strategies","mixed drivers",IF(BF441="Supply chain","multiple supply","multiple silviculture"))))</f>
        <v>technologies/design switch</v>
      </c>
      <c r="BF441" s="2" t="str" cm="1">
        <f t="array" ref="BF441">IF(COUNTIF(AZ441:BB441,"&lt;&gt;0")=1,INDEX($V$4:$AW$4,MATCH(TRUE,INDEX($V441:$AW441&lt;&gt;0,),0)),IF(COUNTIF(AZ441:BB441,"&lt;&gt;0")=0,INDEX($AM$4:$AW$4,MATCH(1,$AM441:$AW441,0)),"Multiple strategies"))</f>
        <v>Technology</v>
      </c>
      <c r="BG441" s="1" t="s">
        <v>229</v>
      </c>
      <c r="BH441" t="s">
        <v>556</v>
      </c>
      <c r="BI441" t="s">
        <v>424</v>
      </c>
      <c r="BJ441" t="s">
        <v>498</v>
      </c>
      <c r="BK441">
        <v>0</v>
      </c>
      <c r="BL441">
        <v>1.33</v>
      </c>
      <c r="BM441"/>
      <c r="BN441">
        <f t="shared" si="477"/>
        <v>1.33</v>
      </c>
      <c r="BO441">
        <f t="shared" si="503"/>
        <v>1.33</v>
      </c>
      <c r="BP441" t="s">
        <v>232</v>
      </c>
      <c r="BQ441" s="260" t="s">
        <v>3296</v>
      </c>
      <c r="BR441" t="s">
        <v>397</v>
      </c>
      <c r="BS441">
        <v>-988</v>
      </c>
      <c r="BT441">
        <v>1224</v>
      </c>
      <c r="BU441" s="144">
        <v>-1.2388663967611335</v>
      </c>
      <c r="BV441">
        <v>2212</v>
      </c>
      <c r="BW441"/>
      <c r="BX441">
        <f t="shared" si="504"/>
        <v>2.2120000000000002</v>
      </c>
      <c r="BY441">
        <f t="shared" si="468"/>
        <v>1.6631578947368422</v>
      </c>
      <c r="BZ441">
        <v>1</v>
      </c>
      <c r="CA441">
        <v>0</v>
      </c>
      <c r="CB441">
        <v>0</v>
      </c>
      <c r="CC441">
        <v>0</v>
      </c>
      <c r="CD441">
        <v>0</v>
      </c>
      <c r="CE441">
        <v>0</v>
      </c>
      <c r="CF441">
        <v>0</v>
      </c>
      <c r="CG441">
        <v>0</v>
      </c>
      <c r="CH441">
        <v>0</v>
      </c>
      <c r="CI441">
        <v>0</v>
      </c>
      <c r="CJ441">
        <v>0</v>
      </c>
      <c r="CK441">
        <v>0</v>
      </c>
      <c r="CL441">
        <v>0</v>
      </c>
      <c r="CM441">
        <v>0</v>
      </c>
      <c r="CN441" t="str">
        <f t="shared" si="481"/>
        <v>refOK</v>
      </c>
      <c r="CO441">
        <f t="shared" si="482"/>
        <v>0</v>
      </c>
      <c r="CP441">
        <f t="shared" si="483"/>
        <v>1.33</v>
      </c>
      <c r="CQ441">
        <f t="shared" si="484"/>
        <v>1.33</v>
      </c>
      <c r="CR441">
        <f t="shared" si="485"/>
        <v>-988</v>
      </c>
      <c r="CS441">
        <f t="shared" si="486"/>
        <v>1224</v>
      </c>
      <c r="CT441">
        <f t="shared" si="487"/>
        <v>2.2120000000000002</v>
      </c>
      <c r="CU441">
        <f t="shared" si="488"/>
        <v>1.6631578947368422</v>
      </c>
      <c r="CV441" s="2">
        <f t="shared" si="489"/>
        <v>2.2388663967611335</v>
      </c>
      <c r="CW441" s="1" t="s">
        <v>263</v>
      </c>
      <c r="CX441" t="str">
        <f t="shared" si="490"/>
        <v>loc</v>
      </c>
      <c r="CY441" t="s">
        <v>557</v>
      </c>
      <c r="CZ441"/>
      <c r="DA441"/>
      <c r="DB441">
        <v>0</v>
      </c>
      <c r="DC441" t="str">
        <f t="shared" si="492"/>
        <v>0</v>
      </c>
      <c r="DD441">
        <v>0</v>
      </c>
      <c r="DE441">
        <v>0</v>
      </c>
      <c r="DF441">
        <v>0</v>
      </c>
      <c r="DG441">
        <v>1</v>
      </c>
      <c r="DH441"/>
      <c r="DI441">
        <f t="shared" si="493"/>
        <v>1</v>
      </c>
      <c r="DJ441" t="str">
        <f t="shared" si="494"/>
        <v>TimberInput</v>
      </c>
      <c r="DK441">
        <f t="shared" si="495"/>
        <v>0</v>
      </c>
      <c r="DL441">
        <f t="shared" si="496"/>
        <v>0</v>
      </c>
      <c r="DM441">
        <f t="shared" si="497"/>
        <v>0</v>
      </c>
      <c r="DN441" t="str">
        <f t="shared" si="498"/>
        <v>Timber</v>
      </c>
      <c r="DO441">
        <v>0</v>
      </c>
      <c r="DP441">
        <v>0</v>
      </c>
      <c r="DQ441">
        <v>0</v>
      </c>
      <c r="DR441">
        <v>0</v>
      </c>
      <c r="DS441">
        <v>0</v>
      </c>
      <c r="DT441">
        <f t="shared" si="499"/>
        <v>0</v>
      </c>
      <c r="DU441" s="143" t="str">
        <f t="shared" si="500"/>
        <v>explicit C balance</v>
      </c>
      <c r="DV441">
        <v>0</v>
      </c>
      <c r="DW441">
        <v>0</v>
      </c>
      <c r="DX441">
        <v>0</v>
      </c>
      <c r="DY441">
        <v>1</v>
      </c>
      <c r="DZ441">
        <v>0</v>
      </c>
      <c r="EA441" s="143">
        <v>0</v>
      </c>
      <c r="EB441">
        <v>0</v>
      </c>
      <c r="EC441">
        <v>1</v>
      </c>
      <c r="ED441">
        <v>0</v>
      </c>
      <c r="EE441">
        <v>1</v>
      </c>
      <c r="EF441">
        <v>0</v>
      </c>
      <c r="EG441">
        <v>0</v>
      </c>
      <c r="EH441">
        <v>0</v>
      </c>
      <c r="EI441" s="2">
        <v>0</v>
      </c>
      <c r="EJ441" s="1"/>
      <c r="EK441" t="str">
        <f t="shared" si="501"/>
        <v/>
      </c>
      <c r="EL441" t="str">
        <f t="shared" si="502"/>
        <v/>
      </c>
      <c r="EM441" s="2" t="str">
        <f t="shared" si="469"/>
        <v>Technology approach</v>
      </c>
      <c r="EN441"/>
      <c r="EO441"/>
      <c r="EP441" t="str">
        <f>IF(ISNUMBER(BU441),IF(ABS(BU441-[5]QC_indicators!$B$2)&gt;3*[5]QC_indicators!$C$2,"C ratio",IF(ISNUMBER(BY441),IF(ABS(BY441-[5]QC_indicators!$B$1)&gt;3*[5]QC_indicators!$C$1,"DF","no"))),IF(ISNUMBER(BY441),IF(ABS(BY441-[5]QC_indicators!$B$1)&gt;3*[5]QC_indicators!$C$1,"DF","no")))</f>
        <v>no</v>
      </c>
      <c r="EQ441"/>
      <c r="ER441" s="149" t="s">
        <v>349</v>
      </c>
      <c r="ES441"/>
      <c r="ET441" s="264" t="s">
        <v>3272</v>
      </c>
      <c r="EU441"/>
    </row>
    <row r="442" spans="1:151" s="139" customFormat="1" ht="15" hidden="1" customHeight="1">
      <c r="A442" s="1" t="s">
        <v>545</v>
      </c>
      <c r="B442" t="s">
        <v>546</v>
      </c>
      <c r="C442" t="s">
        <v>547</v>
      </c>
      <c r="D442" t="s">
        <v>548</v>
      </c>
      <c r="E442" t="s">
        <v>549</v>
      </c>
      <c r="F442" t="s">
        <v>550</v>
      </c>
      <c r="G442" t="s">
        <v>551</v>
      </c>
      <c r="H442" t="s">
        <v>254</v>
      </c>
      <c r="I442">
        <v>2017</v>
      </c>
      <c r="J442">
        <v>3</v>
      </c>
      <c r="K442" t="s">
        <v>552</v>
      </c>
      <c r="L442"/>
      <c r="M442" t="str">
        <f t="shared" si="429"/>
        <v>Crafford_2017</v>
      </c>
      <c r="N442" t="s">
        <v>222</v>
      </c>
      <c r="O442" s="145" t="s">
        <v>223</v>
      </c>
      <c r="P442"/>
      <c r="Q442" t="s">
        <v>256</v>
      </c>
      <c r="R442" s="255" t="s">
        <v>225</v>
      </c>
      <c r="S442" s="1" t="s">
        <v>561</v>
      </c>
      <c r="T442" t="s">
        <v>560</v>
      </c>
      <c r="U442" t="s">
        <v>555</v>
      </c>
      <c r="V442">
        <v>0</v>
      </c>
      <c r="W442">
        <v>0</v>
      </c>
      <c r="X442">
        <v>0</v>
      </c>
      <c r="Y442">
        <v>0</v>
      </c>
      <c r="Z442">
        <v>0</v>
      </c>
      <c r="AA442">
        <v>0</v>
      </c>
      <c r="AB442">
        <v>0</v>
      </c>
      <c r="AC442">
        <v>0</v>
      </c>
      <c r="AD442">
        <v>0</v>
      </c>
      <c r="AE442">
        <v>0</v>
      </c>
      <c r="AF442">
        <v>0</v>
      </c>
      <c r="AG442">
        <v>0</v>
      </c>
      <c r="AH442">
        <v>0</v>
      </c>
      <c r="AI442">
        <v>0</v>
      </c>
      <c r="AJ442">
        <v>0</v>
      </c>
      <c r="AK442">
        <v>1</v>
      </c>
      <c r="AL442">
        <v>0</v>
      </c>
      <c r="AM442">
        <v>0</v>
      </c>
      <c r="AN442">
        <v>0</v>
      </c>
      <c r="AO442">
        <v>0</v>
      </c>
      <c r="AP442">
        <v>0</v>
      </c>
      <c r="AQ442">
        <v>0</v>
      </c>
      <c r="AR442">
        <v>0</v>
      </c>
      <c r="AS442">
        <v>0</v>
      </c>
      <c r="AT442">
        <v>0</v>
      </c>
      <c r="AU442">
        <v>0</v>
      </c>
      <c r="AV442">
        <v>0</v>
      </c>
      <c r="AW442">
        <v>0</v>
      </c>
      <c r="AX442" s="141">
        <f t="shared" si="470"/>
        <v>1</v>
      </c>
      <c r="AY442" s="141">
        <f t="shared" si="471"/>
        <v>1</v>
      </c>
      <c r="AZ442">
        <f t="shared" si="472"/>
        <v>0</v>
      </c>
      <c r="BA442">
        <f t="shared" si="473"/>
        <v>0</v>
      </c>
      <c r="BB442">
        <f t="shared" si="474"/>
        <v>1</v>
      </c>
      <c r="BC442">
        <f t="shared" si="475"/>
        <v>0</v>
      </c>
      <c r="BD442">
        <f t="shared" si="476"/>
        <v>0</v>
      </c>
      <c r="BE442" t="str">
        <f t="array" ref="BE442">IF(AY442=1,INDEX($V$7:$AL$7,MATCH(TRUE,INDEX($V442:$AW442&lt;&gt;0,),0)),IF(AY442=0,INDEX($AM$7:$AW$7,MATCH(1,$AM442:$AW442,0)),IF(BF442="Multiple strategies","mixed drivers",IF(BF442="Supply chain","multiple supply","multiple silviculture"))))</f>
        <v>technologies/design switch</v>
      </c>
      <c r="BF442" s="2" t="str" cm="1">
        <f t="array" ref="BF442">IF(COUNTIF(AZ442:BB442,"&lt;&gt;0")=1,INDEX($V$4:$AW$4,MATCH(TRUE,INDEX($V442:$AW442&lt;&gt;0,),0)),IF(COUNTIF(AZ442:BB442,"&lt;&gt;0")=0,INDEX($AM$4:$AW$4,MATCH(1,$AM442:$AW442,0)),"Multiple strategies"))</f>
        <v>Technology</v>
      </c>
      <c r="BG442" s="1" t="s">
        <v>229</v>
      </c>
      <c r="BH442" t="s">
        <v>556</v>
      </c>
      <c r="BI442" t="s">
        <v>424</v>
      </c>
      <c r="BJ442" t="s">
        <v>498</v>
      </c>
      <c r="BK442">
        <v>0</v>
      </c>
      <c r="BL442">
        <v>6.05</v>
      </c>
      <c r="BM442"/>
      <c r="BN442">
        <f t="shared" si="477"/>
        <v>6.05</v>
      </c>
      <c r="BO442">
        <f t="shared" si="503"/>
        <v>6.05</v>
      </c>
      <c r="BP442" t="s">
        <v>232</v>
      </c>
      <c r="BQ442" s="260" t="s">
        <v>3297</v>
      </c>
      <c r="BR442" t="s">
        <v>397</v>
      </c>
      <c r="BS442">
        <v>-6445</v>
      </c>
      <c r="BT442">
        <v>3721</v>
      </c>
      <c r="BU442" s="144">
        <v>-0.57734678044996124</v>
      </c>
      <c r="BV442">
        <v>10166</v>
      </c>
      <c r="BW442"/>
      <c r="BX442">
        <f t="shared" si="504"/>
        <v>10.166</v>
      </c>
      <c r="BY442">
        <f t="shared" si="468"/>
        <v>1.6803305785123968</v>
      </c>
      <c r="BZ442">
        <v>1</v>
      </c>
      <c r="CA442">
        <v>0</v>
      </c>
      <c r="CB442">
        <v>0</v>
      </c>
      <c r="CC442">
        <v>0</v>
      </c>
      <c r="CD442">
        <v>0</v>
      </c>
      <c r="CE442">
        <v>0</v>
      </c>
      <c r="CF442">
        <v>0</v>
      </c>
      <c r="CG442">
        <v>0</v>
      </c>
      <c r="CH442">
        <v>0</v>
      </c>
      <c r="CI442">
        <v>0</v>
      </c>
      <c r="CJ442">
        <v>0</v>
      </c>
      <c r="CK442">
        <v>0</v>
      </c>
      <c r="CL442">
        <v>0</v>
      </c>
      <c r="CM442">
        <v>0</v>
      </c>
      <c r="CN442" t="str">
        <f t="shared" si="481"/>
        <v>refOK</v>
      </c>
      <c r="CO442">
        <f t="shared" si="482"/>
        <v>0</v>
      </c>
      <c r="CP442">
        <f t="shared" si="483"/>
        <v>6.05</v>
      </c>
      <c r="CQ442">
        <f t="shared" si="484"/>
        <v>6.05</v>
      </c>
      <c r="CR442">
        <f t="shared" si="485"/>
        <v>-6445</v>
      </c>
      <c r="CS442">
        <f t="shared" si="486"/>
        <v>3721</v>
      </c>
      <c r="CT442">
        <f t="shared" si="487"/>
        <v>10.166</v>
      </c>
      <c r="CU442">
        <f t="shared" si="488"/>
        <v>1.6803305785123968</v>
      </c>
      <c r="CV442" s="2">
        <f t="shared" si="489"/>
        <v>1.5773467804499612</v>
      </c>
      <c r="CW442" s="1" t="s">
        <v>263</v>
      </c>
      <c r="CX442" t="str">
        <f t="shared" si="490"/>
        <v>loc</v>
      </c>
      <c r="CY442" t="s">
        <v>557</v>
      </c>
      <c r="CZ442"/>
      <c r="DA442"/>
      <c r="DB442">
        <v>0</v>
      </c>
      <c r="DC442" t="str">
        <f t="shared" si="492"/>
        <v>0</v>
      </c>
      <c r="DD442">
        <v>0</v>
      </c>
      <c r="DE442">
        <v>0</v>
      </c>
      <c r="DF442">
        <v>0</v>
      </c>
      <c r="DG442">
        <v>1</v>
      </c>
      <c r="DH442"/>
      <c r="DI442">
        <f t="shared" si="493"/>
        <v>1</v>
      </c>
      <c r="DJ442" t="str">
        <f t="shared" si="494"/>
        <v>TimberInput</v>
      </c>
      <c r="DK442">
        <f t="shared" si="495"/>
        <v>0</v>
      </c>
      <c r="DL442">
        <f t="shared" si="496"/>
        <v>0</v>
      </c>
      <c r="DM442">
        <f t="shared" si="497"/>
        <v>0</v>
      </c>
      <c r="DN442" t="str">
        <f t="shared" si="498"/>
        <v>Timber</v>
      </c>
      <c r="DO442">
        <v>0</v>
      </c>
      <c r="DP442">
        <v>0</v>
      </c>
      <c r="DQ442">
        <v>0</v>
      </c>
      <c r="DR442">
        <v>0</v>
      </c>
      <c r="DS442">
        <v>0</v>
      </c>
      <c r="DT442">
        <f t="shared" si="499"/>
        <v>0</v>
      </c>
      <c r="DU442" s="143" t="str">
        <f t="shared" si="500"/>
        <v>explicit C balance</v>
      </c>
      <c r="DV442">
        <v>0</v>
      </c>
      <c r="DW442">
        <v>0</v>
      </c>
      <c r="DX442">
        <v>0</v>
      </c>
      <c r="DY442">
        <v>1</v>
      </c>
      <c r="DZ442">
        <v>0</v>
      </c>
      <c r="EA442" s="143">
        <v>0</v>
      </c>
      <c r="EB442">
        <v>0</v>
      </c>
      <c r="EC442">
        <v>1</v>
      </c>
      <c r="ED442">
        <v>0</v>
      </c>
      <c r="EE442">
        <v>1</v>
      </c>
      <c r="EF442">
        <v>0</v>
      </c>
      <c r="EG442">
        <v>0</v>
      </c>
      <c r="EH442">
        <v>0</v>
      </c>
      <c r="EI442" s="2">
        <v>0</v>
      </c>
      <c r="EJ442" s="1"/>
      <c r="EK442" t="str">
        <f t="shared" si="501"/>
        <v/>
      </c>
      <c r="EL442" t="str">
        <f t="shared" si="502"/>
        <v/>
      </c>
      <c r="EM442" s="2" t="str">
        <f t="shared" si="469"/>
        <v>Technology approach</v>
      </c>
      <c r="EN442"/>
      <c r="EO442"/>
      <c r="EP442" t="str">
        <f>IF(ISNUMBER(BU442),IF(ABS(BU442-[5]QC_indicators!$B$2)&gt;3*[5]QC_indicators!$C$2,"C ratio",IF(ISNUMBER(BY442),IF(ABS(BY442-[5]QC_indicators!$B$1)&gt;3*[5]QC_indicators!$C$1,"DF","no"))),IF(ISNUMBER(BY442),IF(ABS(BY442-[5]QC_indicators!$B$1)&gt;3*[5]QC_indicators!$C$1,"DF","no")))</f>
        <v>no</v>
      </c>
      <c r="EQ442"/>
      <c r="ER442" s="149" t="s">
        <v>349</v>
      </c>
      <c r="ES442"/>
      <c r="ET442" s="264" t="s">
        <v>3272</v>
      </c>
      <c r="EU442"/>
    </row>
    <row r="443" spans="1:151" s="139" customFormat="1" ht="15" hidden="1" customHeight="1">
      <c r="A443" s="1" t="s">
        <v>545</v>
      </c>
      <c r="B443" t="s">
        <v>546</v>
      </c>
      <c r="C443" t="s">
        <v>547</v>
      </c>
      <c r="D443" t="s">
        <v>548</v>
      </c>
      <c r="E443" t="s">
        <v>549</v>
      </c>
      <c r="F443" t="s">
        <v>550</v>
      </c>
      <c r="G443" t="s">
        <v>551</v>
      </c>
      <c r="H443" t="s">
        <v>254</v>
      </c>
      <c r="I443">
        <v>2017</v>
      </c>
      <c r="J443">
        <v>3</v>
      </c>
      <c r="K443" t="s">
        <v>552</v>
      </c>
      <c r="L443"/>
      <c r="M443" t="str">
        <f t="shared" si="429"/>
        <v>Crafford_2017</v>
      </c>
      <c r="N443" t="s">
        <v>222</v>
      </c>
      <c r="O443" s="145" t="s">
        <v>223</v>
      </c>
      <c r="P443"/>
      <c r="Q443" t="s">
        <v>256</v>
      </c>
      <c r="R443" s="255" t="s">
        <v>225</v>
      </c>
      <c r="S443" s="1" t="s">
        <v>561</v>
      </c>
      <c r="T443" t="s">
        <v>560</v>
      </c>
      <c r="U443" t="s">
        <v>554</v>
      </c>
      <c r="V443">
        <v>0</v>
      </c>
      <c r="W443">
        <v>0</v>
      </c>
      <c r="X443">
        <v>0</v>
      </c>
      <c r="Y443">
        <v>0</v>
      </c>
      <c r="Z443">
        <v>0</v>
      </c>
      <c r="AA443">
        <v>0</v>
      </c>
      <c r="AB443">
        <v>0</v>
      </c>
      <c r="AC443">
        <v>0</v>
      </c>
      <c r="AD443">
        <v>0</v>
      </c>
      <c r="AE443">
        <v>0</v>
      </c>
      <c r="AF443">
        <v>0</v>
      </c>
      <c r="AG443">
        <v>0</v>
      </c>
      <c r="AH443">
        <v>0</v>
      </c>
      <c r="AI443">
        <v>0</v>
      </c>
      <c r="AJ443">
        <v>0</v>
      </c>
      <c r="AK443">
        <v>1</v>
      </c>
      <c r="AL443">
        <v>0</v>
      </c>
      <c r="AM443">
        <v>0</v>
      </c>
      <c r="AN443">
        <v>0</v>
      </c>
      <c r="AO443">
        <v>0</v>
      </c>
      <c r="AP443">
        <v>0</v>
      </c>
      <c r="AQ443">
        <v>0</v>
      </c>
      <c r="AR443">
        <v>0</v>
      </c>
      <c r="AS443">
        <v>0</v>
      </c>
      <c r="AT443">
        <v>0</v>
      </c>
      <c r="AU443">
        <v>0</v>
      </c>
      <c r="AV443">
        <v>0</v>
      </c>
      <c r="AW443">
        <v>0</v>
      </c>
      <c r="AX443" s="141">
        <f t="shared" si="470"/>
        <v>1</v>
      </c>
      <c r="AY443" s="141">
        <f t="shared" si="471"/>
        <v>1</v>
      </c>
      <c r="AZ443">
        <f t="shared" si="472"/>
        <v>0</v>
      </c>
      <c r="BA443">
        <f t="shared" si="473"/>
        <v>0</v>
      </c>
      <c r="BB443">
        <f t="shared" si="474"/>
        <v>1</v>
      </c>
      <c r="BC443">
        <f t="shared" si="475"/>
        <v>0</v>
      </c>
      <c r="BD443">
        <f t="shared" si="476"/>
        <v>0</v>
      </c>
      <c r="BE443" t="str">
        <f t="array" ref="BE443">IF(AY443=1,INDEX($V$7:$AL$7,MATCH(TRUE,INDEX($V443:$AW443&lt;&gt;0,),0)),IF(AY443=0,INDEX($AM$7:$AW$7,MATCH(1,$AM443:$AW443,0)),IF(BF443="Multiple strategies","mixed drivers",IF(BF443="Supply chain","multiple supply","multiple silviculture"))))</f>
        <v>technologies/design switch</v>
      </c>
      <c r="BF443" s="2" t="str" cm="1">
        <f t="array" ref="BF443">IF(COUNTIF(AZ443:BB443,"&lt;&gt;0")=1,INDEX($V$4:$AW$4,MATCH(TRUE,INDEX($V443:$AW443&lt;&gt;0,),0)),IF(COUNTIF(AZ443:BB443,"&lt;&gt;0")=0,INDEX($AM$4:$AW$4,MATCH(1,$AM443:$AW443,0)),"Multiple strategies"))</f>
        <v>Technology</v>
      </c>
      <c r="BG443" s="1" t="s">
        <v>229</v>
      </c>
      <c r="BH443" t="s">
        <v>556</v>
      </c>
      <c r="BI443" t="s">
        <v>424</v>
      </c>
      <c r="BJ443" t="s">
        <v>498</v>
      </c>
      <c r="BK443">
        <v>0</v>
      </c>
      <c r="BL443">
        <v>6.05</v>
      </c>
      <c r="BM443"/>
      <c r="BN443">
        <f t="shared" si="477"/>
        <v>6.05</v>
      </c>
      <c r="BO443">
        <f t="shared" si="503"/>
        <v>6.05</v>
      </c>
      <c r="BP443" t="s">
        <v>232</v>
      </c>
      <c r="BQ443" s="260" t="s">
        <v>3298</v>
      </c>
      <c r="BR443" t="s">
        <v>397</v>
      </c>
      <c r="BS443">
        <v>-6445</v>
      </c>
      <c r="BT443">
        <v>5100</v>
      </c>
      <c r="BU443" s="144">
        <v>-0.79131109387121801</v>
      </c>
      <c r="BV443">
        <v>11545</v>
      </c>
      <c r="BW443"/>
      <c r="BX443">
        <f t="shared" si="504"/>
        <v>11.545</v>
      </c>
      <c r="BY443">
        <f t="shared" si="468"/>
        <v>1.9082644628099175</v>
      </c>
      <c r="BZ443">
        <v>1</v>
      </c>
      <c r="CA443">
        <v>0</v>
      </c>
      <c r="CB443">
        <v>0</v>
      </c>
      <c r="CC443">
        <v>0</v>
      </c>
      <c r="CD443">
        <v>0</v>
      </c>
      <c r="CE443">
        <v>0</v>
      </c>
      <c r="CF443">
        <v>0</v>
      </c>
      <c r="CG443">
        <v>0</v>
      </c>
      <c r="CH443">
        <v>0</v>
      </c>
      <c r="CI443">
        <v>0</v>
      </c>
      <c r="CJ443">
        <v>0</v>
      </c>
      <c r="CK443">
        <v>0</v>
      </c>
      <c r="CL443">
        <v>0</v>
      </c>
      <c r="CM443">
        <v>0</v>
      </c>
      <c r="CN443" t="str">
        <f t="shared" si="481"/>
        <v>refOK</v>
      </c>
      <c r="CO443">
        <f t="shared" si="482"/>
        <v>0</v>
      </c>
      <c r="CP443">
        <f t="shared" si="483"/>
        <v>6.05</v>
      </c>
      <c r="CQ443">
        <f t="shared" si="484"/>
        <v>6.05</v>
      </c>
      <c r="CR443">
        <f t="shared" si="485"/>
        <v>-6445</v>
      </c>
      <c r="CS443">
        <f t="shared" si="486"/>
        <v>5100</v>
      </c>
      <c r="CT443">
        <f t="shared" si="487"/>
        <v>11.545</v>
      </c>
      <c r="CU443">
        <f t="shared" si="488"/>
        <v>1.9082644628099175</v>
      </c>
      <c r="CV443" s="2">
        <f t="shared" si="489"/>
        <v>1.791311093871218</v>
      </c>
      <c r="CW443" s="1" t="s">
        <v>263</v>
      </c>
      <c r="CX443" t="str">
        <f t="shared" si="490"/>
        <v>loc</v>
      </c>
      <c r="CY443" t="s">
        <v>557</v>
      </c>
      <c r="CZ443"/>
      <c r="DA443"/>
      <c r="DB443">
        <v>0</v>
      </c>
      <c r="DC443" t="str">
        <f t="shared" si="492"/>
        <v>0</v>
      </c>
      <c r="DD443">
        <v>0</v>
      </c>
      <c r="DE443">
        <v>0</v>
      </c>
      <c r="DF443">
        <v>0</v>
      </c>
      <c r="DG443">
        <v>1</v>
      </c>
      <c r="DH443"/>
      <c r="DI443">
        <f t="shared" si="493"/>
        <v>1</v>
      </c>
      <c r="DJ443" t="str">
        <f t="shared" si="494"/>
        <v>TimberInput</v>
      </c>
      <c r="DK443">
        <f t="shared" si="495"/>
        <v>0</v>
      </c>
      <c r="DL443">
        <f t="shared" si="496"/>
        <v>0</v>
      </c>
      <c r="DM443">
        <f t="shared" si="497"/>
        <v>0</v>
      </c>
      <c r="DN443" t="str">
        <f t="shared" si="498"/>
        <v>Timber</v>
      </c>
      <c r="DO443">
        <v>0</v>
      </c>
      <c r="DP443">
        <v>0</v>
      </c>
      <c r="DQ443">
        <v>0</v>
      </c>
      <c r="DR443">
        <v>0</v>
      </c>
      <c r="DS443">
        <v>0</v>
      </c>
      <c r="DT443">
        <f t="shared" si="499"/>
        <v>0</v>
      </c>
      <c r="DU443" s="143" t="str">
        <f t="shared" si="500"/>
        <v>explicit C balance</v>
      </c>
      <c r="DV443">
        <v>0</v>
      </c>
      <c r="DW443">
        <v>0</v>
      </c>
      <c r="DX443">
        <v>0</v>
      </c>
      <c r="DY443">
        <v>1</v>
      </c>
      <c r="DZ443">
        <v>0</v>
      </c>
      <c r="EA443" s="143">
        <v>0</v>
      </c>
      <c r="EB443">
        <v>0</v>
      </c>
      <c r="EC443">
        <v>1</v>
      </c>
      <c r="ED443">
        <v>0</v>
      </c>
      <c r="EE443">
        <v>1</v>
      </c>
      <c r="EF443">
        <v>0</v>
      </c>
      <c r="EG443">
        <v>0</v>
      </c>
      <c r="EH443">
        <v>0</v>
      </c>
      <c r="EI443" s="2">
        <v>0</v>
      </c>
      <c r="EJ443" s="1"/>
      <c r="EK443" t="str">
        <f t="shared" si="501"/>
        <v/>
      </c>
      <c r="EL443" t="str">
        <f t="shared" si="502"/>
        <v/>
      </c>
      <c r="EM443" s="2" t="str">
        <f t="shared" si="469"/>
        <v>Technology approach</v>
      </c>
      <c r="EN443"/>
      <c r="EO443"/>
      <c r="EP443" t="str">
        <f>IF(ISNUMBER(BU443),IF(ABS(BU443-[5]QC_indicators!$B$2)&gt;3*[5]QC_indicators!$C$2,"C ratio",IF(ISNUMBER(BY443),IF(ABS(BY443-[5]QC_indicators!$B$1)&gt;3*[5]QC_indicators!$C$1,"DF","no"))),IF(ISNUMBER(BY443),IF(ABS(BY443-[5]QC_indicators!$B$1)&gt;3*[5]QC_indicators!$C$1,"DF","no")))</f>
        <v>no</v>
      </c>
      <c r="EQ443"/>
      <c r="ER443" s="149" t="s">
        <v>349</v>
      </c>
      <c r="ES443"/>
      <c r="ET443" s="264" t="s">
        <v>3272</v>
      </c>
      <c r="EU443"/>
    </row>
    <row r="444" spans="1:151" s="139" customFormat="1" ht="15" hidden="1" customHeight="1">
      <c r="A444" s="1" t="s">
        <v>545</v>
      </c>
      <c r="B444" t="s">
        <v>546</v>
      </c>
      <c r="C444" t="s">
        <v>547</v>
      </c>
      <c r="D444" t="s">
        <v>548</v>
      </c>
      <c r="E444" t="s">
        <v>549</v>
      </c>
      <c r="F444" t="s">
        <v>550</v>
      </c>
      <c r="G444" t="s">
        <v>551</v>
      </c>
      <c r="H444" t="s">
        <v>254</v>
      </c>
      <c r="I444">
        <v>2017</v>
      </c>
      <c r="J444">
        <v>3</v>
      </c>
      <c r="K444" t="s">
        <v>552</v>
      </c>
      <c r="L444"/>
      <c r="M444" t="str">
        <f t="shared" si="429"/>
        <v>Crafford_2017</v>
      </c>
      <c r="N444" t="s">
        <v>222</v>
      </c>
      <c r="O444" s="145" t="s">
        <v>223</v>
      </c>
      <c r="P444"/>
      <c r="Q444" t="s">
        <v>256</v>
      </c>
      <c r="R444" s="255" t="s">
        <v>225</v>
      </c>
      <c r="S444" s="1" t="s">
        <v>553</v>
      </c>
      <c r="T444" t="s">
        <v>554</v>
      </c>
      <c r="U444" t="s">
        <v>555</v>
      </c>
      <c r="V444">
        <v>0</v>
      </c>
      <c r="W444">
        <v>0</v>
      </c>
      <c r="X444">
        <v>0</v>
      </c>
      <c r="Y444">
        <v>0</v>
      </c>
      <c r="Z444">
        <v>1</v>
      </c>
      <c r="AA444">
        <v>0</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s="141">
        <f t="shared" si="470"/>
        <v>1</v>
      </c>
      <c r="AY444" s="141">
        <f t="shared" si="471"/>
        <v>1</v>
      </c>
      <c r="AZ444">
        <f t="shared" si="472"/>
        <v>1</v>
      </c>
      <c r="BA444">
        <f t="shared" si="473"/>
        <v>0</v>
      </c>
      <c r="BB444">
        <f t="shared" si="474"/>
        <v>0</v>
      </c>
      <c r="BC444">
        <f t="shared" si="475"/>
        <v>0</v>
      </c>
      <c r="BD444">
        <f t="shared" si="476"/>
        <v>0</v>
      </c>
      <c r="BE444" t="str">
        <f t="array" ref="BE444">IF(AY444=1,INDEX($V$7:$AL$7,MATCH(TRUE,INDEX($V444:$AW444&lt;&gt;0,),0)),IF(AY444=0,INDEX($AM$7:$AW$7,MATCH(1,$AM444:$AW444,0)),IF(BF444="Multiple strategies","mixed drivers",IF(BF444="Supply chain","multiple supply","multiple silviculture"))))</f>
        <v>species</v>
      </c>
      <c r="BF444" s="2" t="str" cm="1">
        <f t="array" ref="BF444">IF(COUNTIF(AZ444:BB444,"&lt;&gt;0")=1,INDEX($V$4:$AW$4,MATCH(TRUE,INDEX($V444:$AW444&lt;&gt;0,),0)),IF(COUNTIF(AZ444:BB444,"&lt;&gt;0")=0,INDEX($AM$4:$AW$4,MATCH(1,$AM444:$AW444,0)),"Multiple strategies"))</f>
        <v>Silviculture for productivity</v>
      </c>
      <c r="BG444" s="1" t="s">
        <v>229</v>
      </c>
      <c r="BH444" t="s">
        <v>556</v>
      </c>
      <c r="BI444" t="s">
        <v>424</v>
      </c>
      <c r="BJ444" t="s">
        <v>498</v>
      </c>
      <c r="BK444">
        <v>1.33</v>
      </c>
      <c r="BL444">
        <v>1.33</v>
      </c>
      <c r="BM444"/>
      <c r="BN444">
        <f t="shared" si="477"/>
        <v>0</v>
      </c>
      <c r="BO444">
        <f t="shared" si="503"/>
        <v>0</v>
      </c>
      <c r="BP444" t="s">
        <v>232</v>
      </c>
      <c r="BQ444" s="260" t="s">
        <v>3287</v>
      </c>
      <c r="BR444" t="s">
        <v>397</v>
      </c>
      <c r="BS444">
        <v>-164</v>
      </c>
      <c r="BT444">
        <v>-85</v>
      </c>
      <c r="BU444" s="144">
        <v>0.51829268292682928</v>
      </c>
      <c r="BV444">
        <v>79</v>
      </c>
      <c r="BW444"/>
      <c r="BX444">
        <f t="shared" si="504"/>
        <v>7.9000000000000001E-2</v>
      </c>
      <c r="BY444" t="str">
        <f t="shared" si="468"/>
        <v/>
      </c>
      <c r="BZ444">
        <v>1</v>
      </c>
      <c r="CA444">
        <v>0</v>
      </c>
      <c r="CB444">
        <v>0</v>
      </c>
      <c r="CC444">
        <v>0</v>
      </c>
      <c r="CD444">
        <v>0</v>
      </c>
      <c r="CE444">
        <v>0</v>
      </c>
      <c r="CF444">
        <v>0</v>
      </c>
      <c r="CG444">
        <v>0</v>
      </c>
      <c r="CH444">
        <v>0</v>
      </c>
      <c r="CI444">
        <v>0</v>
      </c>
      <c r="CJ444">
        <v>0</v>
      </c>
      <c r="CK444">
        <v>0</v>
      </c>
      <c r="CL444">
        <v>0</v>
      </c>
      <c r="CM444">
        <v>0</v>
      </c>
      <c r="CN444" t="str">
        <f t="shared" si="481"/>
        <v>refOK</v>
      </c>
      <c r="CO444">
        <f t="shared" si="482"/>
        <v>1.33</v>
      </c>
      <c r="CP444">
        <f t="shared" si="483"/>
        <v>1.33</v>
      </c>
      <c r="CQ444">
        <f t="shared" si="484"/>
        <v>0</v>
      </c>
      <c r="CR444">
        <f t="shared" si="485"/>
        <v>-164</v>
      </c>
      <c r="CS444">
        <f t="shared" si="486"/>
        <v>-85</v>
      </c>
      <c r="CT444">
        <f t="shared" si="487"/>
        <v>7.9000000000000001E-2</v>
      </c>
      <c r="CU444" t="str">
        <f t="shared" si="488"/>
        <v/>
      </c>
      <c r="CV444" s="2">
        <f t="shared" si="489"/>
        <v>0.48170731707317072</v>
      </c>
      <c r="CW444" s="1" t="s">
        <v>263</v>
      </c>
      <c r="CX444" t="str">
        <f t="shared" si="490"/>
        <v>loc</v>
      </c>
      <c r="CY444" t="s">
        <v>557</v>
      </c>
      <c r="CZ444"/>
      <c r="DA444"/>
      <c r="DB444">
        <v>0</v>
      </c>
      <c r="DC444" t="str">
        <f t="shared" si="492"/>
        <v>0</v>
      </c>
      <c r="DD444">
        <v>0</v>
      </c>
      <c r="DE444">
        <v>0</v>
      </c>
      <c r="DF444">
        <v>0</v>
      </c>
      <c r="DG444">
        <v>1</v>
      </c>
      <c r="DH444"/>
      <c r="DI444">
        <f t="shared" si="493"/>
        <v>1</v>
      </c>
      <c r="DJ444" t="str">
        <f t="shared" si="494"/>
        <v>TimberInput</v>
      </c>
      <c r="DK444">
        <f t="shared" si="495"/>
        <v>0</v>
      </c>
      <c r="DL444">
        <f t="shared" si="496"/>
        <v>0</v>
      </c>
      <c r="DM444">
        <f t="shared" si="497"/>
        <v>0</v>
      </c>
      <c r="DN444" t="str">
        <f t="shared" si="498"/>
        <v>Timber</v>
      </c>
      <c r="DO444">
        <v>0</v>
      </c>
      <c r="DP444">
        <v>0</v>
      </c>
      <c r="DQ444">
        <v>0</v>
      </c>
      <c r="DR444">
        <v>0</v>
      </c>
      <c r="DS444">
        <v>0</v>
      </c>
      <c r="DT444">
        <f t="shared" si="499"/>
        <v>0</v>
      </c>
      <c r="DU444" s="143" t="str">
        <f t="shared" si="500"/>
        <v>explicit C balance</v>
      </c>
      <c r="DV444">
        <v>0</v>
      </c>
      <c r="DW444">
        <v>0</v>
      </c>
      <c r="DX444">
        <v>0</v>
      </c>
      <c r="DY444">
        <v>1</v>
      </c>
      <c r="DZ444">
        <v>1</v>
      </c>
      <c r="EA444" s="143">
        <v>0</v>
      </c>
      <c r="EB444">
        <v>0</v>
      </c>
      <c r="EC444">
        <v>1</v>
      </c>
      <c r="ED444">
        <v>0</v>
      </c>
      <c r="EE444">
        <v>1</v>
      </c>
      <c r="EF444">
        <v>0</v>
      </c>
      <c r="EG444">
        <v>0</v>
      </c>
      <c r="EH444">
        <v>0</v>
      </c>
      <c r="EI444" s="2">
        <v>0</v>
      </c>
      <c r="EJ444" s="1"/>
      <c r="EK444" t="str">
        <f t="shared" si="501"/>
        <v/>
      </c>
      <c r="EL444" t="str">
        <f t="shared" si="502"/>
        <v/>
      </c>
      <c r="EM444" s="2" t="str">
        <f t="shared" si="469"/>
        <v>Technology approach</v>
      </c>
      <c r="EN444"/>
      <c r="EO444"/>
      <c r="EP444" t="b">
        <f>IF(ISNUMBER(BU444),IF(ABS(BU444-[5]QC_indicators!$B$2)&gt;3*[5]QC_indicators!$C$2,"C ratio",IF(ISNUMBER(BY444),IF(ABS(BY444-[5]QC_indicators!$B$1)&gt;3*[5]QC_indicators!$C$1,"DF","no"))),IF(ISNUMBER(BY444),IF(ABS(BY444-[5]QC_indicators!$B$1)&gt;3*[5]QC_indicators!$C$1,"DF","no")))</f>
        <v>0</v>
      </c>
      <c r="EQ444"/>
      <c r="ER444" s="149" t="s">
        <v>349</v>
      </c>
      <c r="ES444"/>
      <c r="ET444" s="264" t="s">
        <v>3272</v>
      </c>
      <c r="EU444"/>
    </row>
    <row r="445" spans="1:151" s="139" customFormat="1" ht="15" hidden="1" customHeight="1">
      <c r="A445" s="1" t="s">
        <v>545</v>
      </c>
      <c r="B445" t="s">
        <v>546</v>
      </c>
      <c r="C445" t="s">
        <v>547</v>
      </c>
      <c r="D445" t="s">
        <v>548</v>
      </c>
      <c r="E445" t="s">
        <v>549</v>
      </c>
      <c r="F445" t="s">
        <v>550</v>
      </c>
      <c r="G445" t="s">
        <v>551</v>
      </c>
      <c r="H445" t="s">
        <v>254</v>
      </c>
      <c r="I445">
        <v>2017</v>
      </c>
      <c r="J445">
        <v>3</v>
      </c>
      <c r="K445" t="s">
        <v>552</v>
      </c>
      <c r="L445"/>
      <c r="M445" t="str">
        <f t="shared" si="429"/>
        <v>Crafford_2017</v>
      </c>
      <c r="N445" t="s">
        <v>222</v>
      </c>
      <c r="O445" s="145" t="s">
        <v>223</v>
      </c>
      <c r="P445"/>
      <c r="Q445" t="s">
        <v>256</v>
      </c>
      <c r="R445" s="255" t="s">
        <v>225</v>
      </c>
      <c r="S445" s="1" t="s">
        <v>553</v>
      </c>
      <c r="T445" t="s">
        <v>555</v>
      </c>
      <c r="U445" t="s">
        <v>554</v>
      </c>
      <c r="V445">
        <v>0</v>
      </c>
      <c r="W445">
        <v>0</v>
      </c>
      <c r="X445">
        <v>0</v>
      </c>
      <c r="Y445">
        <v>0</v>
      </c>
      <c r="Z445">
        <v>1</v>
      </c>
      <c r="AA445">
        <v>0</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s="141">
        <f t="shared" si="470"/>
        <v>1</v>
      </c>
      <c r="AY445" s="141">
        <f t="shared" si="471"/>
        <v>1</v>
      </c>
      <c r="AZ445">
        <f t="shared" si="472"/>
        <v>1</v>
      </c>
      <c r="BA445">
        <f t="shared" si="473"/>
        <v>0</v>
      </c>
      <c r="BB445">
        <f t="shared" si="474"/>
        <v>0</v>
      </c>
      <c r="BC445">
        <f t="shared" si="475"/>
        <v>0</v>
      </c>
      <c r="BD445">
        <f t="shared" si="476"/>
        <v>0</v>
      </c>
      <c r="BE445" t="str">
        <f t="array" ref="BE445">IF(AY445=1,INDEX($V$7:$AL$7,MATCH(TRUE,INDEX($V445:$AW445&lt;&gt;0,),0)),IF(AY445=0,INDEX($AM$7:$AW$7,MATCH(1,$AM445:$AW445,0)),IF(BF445="Multiple strategies","mixed drivers",IF(BF445="Supply chain","multiple supply","multiple silviculture"))))</f>
        <v>species</v>
      </c>
      <c r="BF445" s="2" t="str" cm="1">
        <f t="array" ref="BF445">IF(COUNTIF(AZ445:BB445,"&lt;&gt;0")=1,INDEX($V$4:$AW$4,MATCH(TRUE,INDEX($V445:$AW445&lt;&gt;0,),0)),IF(COUNTIF(AZ445:BB445,"&lt;&gt;0")=0,INDEX($AM$4:$AW$4,MATCH(1,$AM445:$AW445,0)),"Multiple strategies"))</f>
        <v>Silviculture for productivity</v>
      </c>
      <c r="BG445" s="1" t="s">
        <v>229</v>
      </c>
      <c r="BH445" t="s">
        <v>556</v>
      </c>
      <c r="BI445" t="s">
        <v>424</v>
      </c>
      <c r="BJ445" t="s">
        <v>498</v>
      </c>
      <c r="BK445">
        <v>1.33</v>
      </c>
      <c r="BL445">
        <v>1.33</v>
      </c>
      <c r="BM445"/>
      <c r="BN445">
        <f t="shared" si="477"/>
        <v>0</v>
      </c>
      <c r="BO445">
        <f t="shared" si="503"/>
        <v>0</v>
      </c>
      <c r="BP445" t="s">
        <v>232</v>
      </c>
      <c r="BQ445" s="260" t="s">
        <v>3288</v>
      </c>
      <c r="BR445" t="s">
        <v>397</v>
      </c>
      <c r="BS445" s="264">
        <v>919</v>
      </c>
      <c r="BT445" s="264">
        <v>1224</v>
      </c>
      <c r="BU445" s="144">
        <v>1.3318824809575627</v>
      </c>
      <c r="BV445">
        <v>305</v>
      </c>
      <c r="BW445"/>
      <c r="BX445">
        <f t="shared" si="504"/>
        <v>0.30499999999999999</v>
      </c>
      <c r="BY445" t="str">
        <f t="shared" si="468"/>
        <v/>
      </c>
      <c r="BZ445">
        <v>1</v>
      </c>
      <c r="CA445">
        <v>0</v>
      </c>
      <c r="CB445">
        <v>0</v>
      </c>
      <c r="CC445">
        <v>0</v>
      </c>
      <c r="CD445">
        <v>0</v>
      </c>
      <c r="CE445">
        <v>0</v>
      </c>
      <c r="CF445">
        <v>0</v>
      </c>
      <c r="CG445">
        <v>0</v>
      </c>
      <c r="CH445">
        <v>0</v>
      </c>
      <c r="CI445">
        <v>0</v>
      </c>
      <c r="CJ445">
        <v>0</v>
      </c>
      <c r="CK445">
        <v>0</v>
      </c>
      <c r="CL445">
        <v>0</v>
      </c>
      <c r="CM445">
        <v>0</v>
      </c>
      <c r="CN445" t="str">
        <f t="shared" si="481"/>
        <v>refOK</v>
      </c>
      <c r="CO445">
        <f t="shared" si="482"/>
        <v>1.33</v>
      </c>
      <c r="CP445">
        <f t="shared" si="483"/>
        <v>1.33</v>
      </c>
      <c r="CQ445">
        <f t="shared" si="484"/>
        <v>0</v>
      </c>
      <c r="CR445">
        <f t="shared" si="485"/>
        <v>919</v>
      </c>
      <c r="CS445">
        <f t="shared" si="486"/>
        <v>1224</v>
      </c>
      <c r="CT445">
        <f t="shared" si="487"/>
        <v>0.30499999999999999</v>
      </c>
      <c r="CU445" t="str">
        <f t="shared" si="488"/>
        <v/>
      </c>
      <c r="CV445" s="2">
        <f t="shared" si="489"/>
        <v>0.33188248095756256</v>
      </c>
      <c r="CW445" s="1" t="s">
        <v>263</v>
      </c>
      <c r="CX445" t="str">
        <f t="shared" si="490"/>
        <v>loc</v>
      </c>
      <c r="CY445" t="s">
        <v>557</v>
      </c>
      <c r="CZ445"/>
      <c r="DA445"/>
      <c r="DB445">
        <v>0</v>
      </c>
      <c r="DC445" t="str">
        <f t="shared" si="492"/>
        <v>0</v>
      </c>
      <c r="DD445">
        <v>0</v>
      </c>
      <c r="DE445">
        <v>0</v>
      </c>
      <c r="DF445">
        <v>0</v>
      </c>
      <c r="DG445">
        <v>1</v>
      </c>
      <c r="DH445"/>
      <c r="DI445">
        <f t="shared" si="493"/>
        <v>1</v>
      </c>
      <c r="DJ445" t="str">
        <f t="shared" si="494"/>
        <v>TimberInput</v>
      </c>
      <c r="DK445">
        <f t="shared" si="495"/>
        <v>0</v>
      </c>
      <c r="DL445">
        <f t="shared" si="496"/>
        <v>0</v>
      </c>
      <c r="DM445">
        <f t="shared" si="497"/>
        <v>0</v>
      </c>
      <c r="DN445" t="str">
        <f t="shared" si="498"/>
        <v>Timber</v>
      </c>
      <c r="DO445">
        <v>0</v>
      </c>
      <c r="DP445">
        <v>0</v>
      </c>
      <c r="DQ445">
        <v>0</v>
      </c>
      <c r="DR445">
        <v>0</v>
      </c>
      <c r="DS445">
        <v>0</v>
      </c>
      <c r="DT445">
        <f t="shared" si="499"/>
        <v>0</v>
      </c>
      <c r="DU445" s="143" t="str">
        <f t="shared" si="500"/>
        <v>explicit C balance</v>
      </c>
      <c r="DV445">
        <v>0</v>
      </c>
      <c r="DW445">
        <v>0</v>
      </c>
      <c r="DX445">
        <v>0</v>
      </c>
      <c r="DY445">
        <v>1</v>
      </c>
      <c r="DZ445">
        <v>1</v>
      </c>
      <c r="EA445" s="143">
        <v>0</v>
      </c>
      <c r="EB445">
        <v>0</v>
      </c>
      <c r="EC445">
        <v>1</v>
      </c>
      <c r="ED445">
        <v>0</v>
      </c>
      <c r="EE445">
        <v>1</v>
      </c>
      <c r="EF445">
        <v>0</v>
      </c>
      <c r="EG445">
        <v>0</v>
      </c>
      <c r="EH445">
        <v>0</v>
      </c>
      <c r="EI445" s="2">
        <v>0</v>
      </c>
      <c r="EJ445" s="1"/>
      <c r="EK445" t="str">
        <f t="shared" si="501"/>
        <v/>
      </c>
      <c r="EL445" t="str">
        <f t="shared" si="502"/>
        <v/>
      </c>
      <c r="EM445" s="2" t="str">
        <f t="shared" si="469"/>
        <v>Technology approach</v>
      </c>
      <c r="EN445"/>
      <c r="EO445"/>
      <c r="EP445" t="b">
        <f>IF(ISNUMBER(BU445),IF(ABS(BU445-[5]QC_indicators!$B$2)&gt;3*[5]QC_indicators!$C$2,"C ratio",IF(ISNUMBER(BY445),IF(ABS(BY445-[5]QC_indicators!$B$1)&gt;3*[5]QC_indicators!$C$1,"DF","no"))),IF(ISNUMBER(BY445),IF(ABS(BY445-[5]QC_indicators!$B$1)&gt;3*[5]QC_indicators!$C$1,"DF","no")))</f>
        <v>0</v>
      </c>
      <c r="EQ445"/>
      <c r="ER445" s="149" t="s">
        <v>349</v>
      </c>
      <c r="ES445"/>
      <c r="ET445" s="264" t="s">
        <v>3272</v>
      </c>
      <c r="EU445"/>
    </row>
    <row r="446" spans="1:151" s="139" customFormat="1" ht="15" hidden="1" customHeight="1">
      <c r="A446" s="1" t="s">
        <v>545</v>
      </c>
      <c r="B446" t="s">
        <v>546</v>
      </c>
      <c r="C446" t="s">
        <v>547</v>
      </c>
      <c r="D446" t="s">
        <v>548</v>
      </c>
      <c r="E446" t="s">
        <v>549</v>
      </c>
      <c r="F446" t="s">
        <v>550</v>
      </c>
      <c r="G446" t="s">
        <v>551</v>
      </c>
      <c r="H446" t="s">
        <v>254</v>
      </c>
      <c r="I446">
        <v>2017</v>
      </c>
      <c r="J446">
        <v>3</v>
      </c>
      <c r="K446" t="s">
        <v>552</v>
      </c>
      <c r="L446"/>
      <c r="M446" t="str">
        <f t="shared" si="429"/>
        <v>Crafford_2017</v>
      </c>
      <c r="N446" t="s">
        <v>222</v>
      </c>
      <c r="O446" s="145" t="s">
        <v>223</v>
      </c>
      <c r="P446"/>
      <c r="Q446" t="s">
        <v>256</v>
      </c>
      <c r="R446" s="255" t="s">
        <v>225</v>
      </c>
      <c r="S446" s="1" t="s">
        <v>558</v>
      </c>
      <c r="T446" t="s">
        <v>554</v>
      </c>
      <c r="U446" t="s">
        <v>555</v>
      </c>
      <c r="V446">
        <v>0</v>
      </c>
      <c r="W446">
        <v>0</v>
      </c>
      <c r="X446">
        <v>0</v>
      </c>
      <c r="Y446">
        <v>0</v>
      </c>
      <c r="Z446">
        <v>1</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s="141">
        <f t="shared" si="470"/>
        <v>1</v>
      </c>
      <c r="AY446" s="141">
        <f t="shared" si="471"/>
        <v>1</v>
      </c>
      <c r="AZ446">
        <f t="shared" si="472"/>
        <v>1</v>
      </c>
      <c r="BA446">
        <f t="shared" si="473"/>
        <v>0</v>
      </c>
      <c r="BB446">
        <f t="shared" si="474"/>
        <v>0</v>
      </c>
      <c r="BC446">
        <f t="shared" si="475"/>
        <v>0</v>
      </c>
      <c r="BD446">
        <f t="shared" si="476"/>
        <v>0</v>
      </c>
      <c r="BE446" t="str">
        <f t="array" ref="BE446">IF(AY446=1,INDEX($V$7:$AL$7,MATCH(TRUE,INDEX($V446:$AW446&lt;&gt;0,),0)),IF(AY446=0,INDEX($AM$7:$AW$7,MATCH(1,$AM446:$AW446,0)),IF(BF446="Multiple strategies","mixed drivers",IF(BF446="Supply chain","multiple supply","multiple silviculture"))))</f>
        <v>species</v>
      </c>
      <c r="BF446" s="2" t="str" cm="1">
        <f t="array" ref="BF446">IF(COUNTIF(AZ446:BB446,"&lt;&gt;0")=1,INDEX($V$4:$AW$4,MATCH(TRUE,INDEX($V446:$AW446&lt;&gt;0,),0)),IF(COUNTIF(AZ446:BB446,"&lt;&gt;0")=0,INDEX($AM$4:$AW$4,MATCH(1,$AM446:$AW446,0)),"Multiple strategies"))</f>
        <v>Silviculture for productivity</v>
      </c>
      <c r="BG446" s="1" t="s">
        <v>229</v>
      </c>
      <c r="BH446" t="s">
        <v>556</v>
      </c>
      <c r="BI446" t="s">
        <v>424</v>
      </c>
      <c r="BJ446" t="s">
        <v>498</v>
      </c>
      <c r="BK446">
        <v>6.05</v>
      </c>
      <c r="BL446">
        <v>6.05</v>
      </c>
      <c r="BM446"/>
      <c r="BN446">
        <f t="shared" si="477"/>
        <v>0</v>
      </c>
      <c r="BO446">
        <f t="shared" si="503"/>
        <v>0</v>
      </c>
      <c r="BP446" t="s">
        <v>232</v>
      </c>
      <c r="BQ446" s="260" t="s">
        <v>3289</v>
      </c>
      <c r="BR446" t="s">
        <v>397</v>
      </c>
      <c r="BS446">
        <v>-1242</v>
      </c>
      <c r="BT446">
        <v>-873</v>
      </c>
      <c r="BU446" s="144">
        <v>0.70289855072463769</v>
      </c>
      <c r="BV446">
        <v>369</v>
      </c>
      <c r="BW446"/>
      <c r="BX446">
        <f t="shared" si="504"/>
        <v>0.36899999999999999</v>
      </c>
      <c r="BY446" t="str">
        <f t="shared" si="468"/>
        <v/>
      </c>
      <c r="BZ446">
        <v>1</v>
      </c>
      <c r="CA446">
        <v>0</v>
      </c>
      <c r="CB446">
        <v>0</v>
      </c>
      <c r="CC446">
        <v>0</v>
      </c>
      <c r="CD446">
        <v>0</v>
      </c>
      <c r="CE446">
        <v>0</v>
      </c>
      <c r="CF446">
        <v>0</v>
      </c>
      <c r="CG446">
        <v>0</v>
      </c>
      <c r="CH446">
        <v>0</v>
      </c>
      <c r="CI446">
        <v>0</v>
      </c>
      <c r="CJ446">
        <v>0</v>
      </c>
      <c r="CK446">
        <v>0</v>
      </c>
      <c r="CL446">
        <v>0</v>
      </c>
      <c r="CM446">
        <v>0</v>
      </c>
      <c r="CN446" t="str">
        <f t="shared" si="481"/>
        <v>refOK</v>
      </c>
      <c r="CO446">
        <f t="shared" si="482"/>
        <v>6.05</v>
      </c>
      <c r="CP446">
        <f t="shared" si="483"/>
        <v>6.05</v>
      </c>
      <c r="CQ446">
        <f t="shared" si="484"/>
        <v>0</v>
      </c>
      <c r="CR446">
        <f t="shared" si="485"/>
        <v>-1242</v>
      </c>
      <c r="CS446">
        <f t="shared" si="486"/>
        <v>-873</v>
      </c>
      <c r="CT446">
        <f t="shared" si="487"/>
        <v>0.36899999999999999</v>
      </c>
      <c r="CU446" t="str">
        <f t="shared" si="488"/>
        <v/>
      </c>
      <c r="CV446" s="2">
        <f t="shared" si="489"/>
        <v>0.29710144927536231</v>
      </c>
      <c r="CW446" s="1" t="s">
        <v>263</v>
      </c>
      <c r="CX446" t="str">
        <f t="shared" si="490"/>
        <v>loc</v>
      </c>
      <c r="CY446" t="s">
        <v>557</v>
      </c>
      <c r="CZ446"/>
      <c r="DA446"/>
      <c r="DB446">
        <v>0</v>
      </c>
      <c r="DC446" t="str">
        <f t="shared" si="492"/>
        <v>0</v>
      </c>
      <c r="DD446">
        <v>0</v>
      </c>
      <c r="DE446">
        <v>0</v>
      </c>
      <c r="DF446">
        <v>0</v>
      </c>
      <c r="DG446">
        <v>1</v>
      </c>
      <c r="DH446"/>
      <c r="DI446">
        <f t="shared" si="493"/>
        <v>1</v>
      </c>
      <c r="DJ446" t="str">
        <f t="shared" si="494"/>
        <v>TimberInput</v>
      </c>
      <c r="DK446">
        <f t="shared" si="495"/>
        <v>0</v>
      </c>
      <c r="DL446">
        <f t="shared" si="496"/>
        <v>0</v>
      </c>
      <c r="DM446">
        <f t="shared" si="497"/>
        <v>0</v>
      </c>
      <c r="DN446" t="str">
        <f t="shared" si="498"/>
        <v>Timber</v>
      </c>
      <c r="DO446">
        <v>0</v>
      </c>
      <c r="DP446">
        <v>0</v>
      </c>
      <c r="DQ446">
        <v>0</v>
      </c>
      <c r="DR446">
        <v>0</v>
      </c>
      <c r="DS446">
        <v>0</v>
      </c>
      <c r="DT446">
        <f t="shared" si="499"/>
        <v>0</v>
      </c>
      <c r="DU446" s="143" t="str">
        <f t="shared" si="500"/>
        <v>explicit C balance</v>
      </c>
      <c r="DV446">
        <v>0</v>
      </c>
      <c r="DW446">
        <v>0</v>
      </c>
      <c r="DX446">
        <v>0</v>
      </c>
      <c r="DY446">
        <v>1</v>
      </c>
      <c r="DZ446">
        <v>1</v>
      </c>
      <c r="EA446" s="143">
        <v>0</v>
      </c>
      <c r="EB446">
        <v>0</v>
      </c>
      <c r="EC446">
        <v>1</v>
      </c>
      <c r="ED446">
        <v>0</v>
      </c>
      <c r="EE446">
        <v>1</v>
      </c>
      <c r="EF446">
        <v>0</v>
      </c>
      <c r="EG446">
        <v>0</v>
      </c>
      <c r="EH446">
        <v>0</v>
      </c>
      <c r="EI446" s="2">
        <v>0</v>
      </c>
      <c r="EJ446" s="1"/>
      <c r="EK446" t="str">
        <f t="shared" si="501"/>
        <v/>
      </c>
      <c r="EL446" t="str">
        <f t="shared" si="502"/>
        <v/>
      </c>
      <c r="EM446" s="2" t="str">
        <f t="shared" si="469"/>
        <v>Technology approach</v>
      </c>
      <c r="EN446"/>
      <c r="EO446"/>
      <c r="EP446" t="b">
        <f>IF(ISNUMBER(BU446),IF(ABS(BU446-[5]QC_indicators!$B$2)&gt;3*[5]QC_indicators!$C$2,"C ratio",IF(ISNUMBER(BY446),IF(ABS(BY446-[5]QC_indicators!$B$1)&gt;3*[5]QC_indicators!$C$1,"DF","no"))),IF(ISNUMBER(BY446),IF(ABS(BY446-[5]QC_indicators!$B$1)&gt;3*[5]QC_indicators!$C$1,"DF","no")))</f>
        <v>0</v>
      </c>
      <c r="EQ446"/>
      <c r="ER446" s="149" t="s">
        <v>349</v>
      </c>
      <c r="ES446"/>
      <c r="ET446" s="264" t="s">
        <v>3272</v>
      </c>
      <c r="EU446"/>
    </row>
    <row r="447" spans="1:151" s="139" customFormat="1" ht="15" hidden="1" customHeight="1">
      <c r="A447" s="1" t="s">
        <v>545</v>
      </c>
      <c r="B447" t="s">
        <v>546</v>
      </c>
      <c r="C447" t="s">
        <v>547</v>
      </c>
      <c r="D447" t="s">
        <v>548</v>
      </c>
      <c r="E447" t="s">
        <v>549</v>
      </c>
      <c r="F447" t="s">
        <v>550</v>
      </c>
      <c r="G447" t="s">
        <v>551</v>
      </c>
      <c r="H447" t="s">
        <v>254</v>
      </c>
      <c r="I447">
        <v>2017</v>
      </c>
      <c r="J447">
        <v>3</v>
      </c>
      <c r="K447" t="s">
        <v>552</v>
      </c>
      <c r="L447"/>
      <c r="M447" t="str">
        <f t="shared" si="429"/>
        <v>Crafford_2017</v>
      </c>
      <c r="N447" t="s">
        <v>222</v>
      </c>
      <c r="O447" s="145" t="s">
        <v>223</v>
      </c>
      <c r="P447"/>
      <c r="Q447" t="s">
        <v>256</v>
      </c>
      <c r="R447" s="255" t="s">
        <v>225</v>
      </c>
      <c r="S447" s="1" t="s">
        <v>558</v>
      </c>
      <c r="T447" t="s">
        <v>555</v>
      </c>
      <c r="U447" t="s">
        <v>554</v>
      </c>
      <c r="V447">
        <v>0</v>
      </c>
      <c r="W447">
        <v>0</v>
      </c>
      <c r="X447">
        <v>0</v>
      </c>
      <c r="Y447">
        <v>0</v>
      </c>
      <c r="Z447">
        <v>1</v>
      </c>
      <c r="AA447">
        <v>0</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s="141">
        <f t="shared" si="470"/>
        <v>1</v>
      </c>
      <c r="AY447" s="141">
        <f t="shared" si="471"/>
        <v>1</v>
      </c>
      <c r="AZ447">
        <f t="shared" si="472"/>
        <v>1</v>
      </c>
      <c r="BA447">
        <f t="shared" si="473"/>
        <v>0</v>
      </c>
      <c r="BB447">
        <f t="shared" si="474"/>
        <v>0</v>
      </c>
      <c r="BC447">
        <f t="shared" si="475"/>
        <v>0</v>
      </c>
      <c r="BD447">
        <f t="shared" si="476"/>
        <v>0</v>
      </c>
      <c r="BE447" t="str">
        <f t="array" ref="BE447">IF(AY447=1,INDEX($V$7:$AL$7,MATCH(TRUE,INDEX($V447:$AW447&lt;&gt;0,),0)),IF(AY447=0,INDEX($AM$7:$AW$7,MATCH(1,$AM447:$AW447,0)),IF(BF447="Multiple strategies","mixed drivers",IF(BF447="Supply chain","multiple supply","multiple silviculture"))))</f>
        <v>species</v>
      </c>
      <c r="BF447" s="2" t="str" cm="1">
        <f t="array" ref="BF447">IF(COUNTIF(AZ447:BB447,"&lt;&gt;0")=1,INDEX($V$4:$AW$4,MATCH(TRUE,INDEX($V447:$AW447&lt;&gt;0,),0)),IF(COUNTIF(AZ447:BB447,"&lt;&gt;0")=0,INDEX($AM$4:$AW$4,MATCH(1,$AM447:$AW447,0)),"Multiple strategies"))</f>
        <v>Silviculture for productivity</v>
      </c>
      <c r="BG447" s="1" t="s">
        <v>229</v>
      </c>
      <c r="BH447" t="s">
        <v>556</v>
      </c>
      <c r="BI447" t="s">
        <v>424</v>
      </c>
      <c r="BJ447" t="s">
        <v>498</v>
      </c>
      <c r="BK447">
        <v>6.05</v>
      </c>
      <c r="BL447">
        <v>6.05</v>
      </c>
      <c r="BM447"/>
      <c r="BN447">
        <f t="shared" si="477"/>
        <v>0</v>
      </c>
      <c r="BO447">
        <f t="shared" si="503"/>
        <v>0</v>
      </c>
      <c r="BP447" t="s">
        <v>232</v>
      </c>
      <c r="BQ447" s="260" t="s">
        <v>3290</v>
      </c>
      <c r="BR447" t="s">
        <v>397</v>
      </c>
      <c r="BS447" s="141">
        <v>3721</v>
      </c>
      <c r="BT447" s="141">
        <v>5100</v>
      </c>
      <c r="BU447" s="144">
        <v>1.3705993012631013</v>
      </c>
      <c r="BV447">
        <v>1379</v>
      </c>
      <c r="BW447"/>
      <c r="BX447">
        <f t="shared" si="504"/>
        <v>1.379</v>
      </c>
      <c r="BY447" t="str">
        <f t="shared" si="468"/>
        <v/>
      </c>
      <c r="BZ447">
        <v>1</v>
      </c>
      <c r="CA447">
        <v>0</v>
      </c>
      <c r="CB447">
        <v>0</v>
      </c>
      <c r="CC447">
        <v>0</v>
      </c>
      <c r="CD447">
        <v>0</v>
      </c>
      <c r="CE447">
        <v>0</v>
      </c>
      <c r="CF447">
        <v>0</v>
      </c>
      <c r="CG447">
        <v>0</v>
      </c>
      <c r="CH447">
        <v>0</v>
      </c>
      <c r="CI447">
        <v>0</v>
      </c>
      <c r="CJ447">
        <v>0</v>
      </c>
      <c r="CK447">
        <v>0</v>
      </c>
      <c r="CL447">
        <v>0</v>
      </c>
      <c r="CM447">
        <v>0</v>
      </c>
      <c r="CN447" t="str">
        <f t="shared" si="481"/>
        <v>refOK</v>
      </c>
      <c r="CO447">
        <f t="shared" si="482"/>
        <v>6.05</v>
      </c>
      <c r="CP447">
        <f t="shared" si="483"/>
        <v>6.05</v>
      </c>
      <c r="CQ447">
        <f t="shared" si="484"/>
        <v>0</v>
      </c>
      <c r="CR447">
        <f t="shared" si="485"/>
        <v>3721</v>
      </c>
      <c r="CS447">
        <f t="shared" si="486"/>
        <v>5100</v>
      </c>
      <c r="CT447">
        <f t="shared" si="487"/>
        <v>1.379</v>
      </c>
      <c r="CU447" t="str">
        <f t="shared" si="488"/>
        <v/>
      </c>
      <c r="CV447" s="2">
        <f t="shared" si="489"/>
        <v>0.37059930126310131</v>
      </c>
      <c r="CW447" s="1" t="s">
        <v>263</v>
      </c>
      <c r="CX447" t="str">
        <f t="shared" si="490"/>
        <v>loc</v>
      </c>
      <c r="CY447" t="s">
        <v>557</v>
      </c>
      <c r="CZ447"/>
      <c r="DA447"/>
      <c r="DB447">
        <v>0</v>
      </c>
      <c r="DC447" t="str">
        <f t="shared" si="492"/>
        <v>0</v>
      </c>
      <c r="DD447">
        <v>0</v>
      </c>
      <c r="DE447">
        <v>0</v>
      </c>
      <c r="DF447">
        <v>0</v>
      </c>
      <c r="DG447">
        <v>1</v>
      </c>
      <c r="DH447"/>
      <c r="DI447">
        <f t="shared" si="493"/>
        <v>1</v>
      </c>
      <c r="DJ447" t="str">
        <f t="shared" si="494"/>
        <v>TimberInput</v>
      </c>
      <c r="DK447">
        <f t="shared" si="495"/>
        <v>0</v>
      </c>
      <c r="DL447">
        <f t="shared" si="496"/>
        <v>0</v>
      </c>
      <c r="DM447">
        <f t="shared" si="497"/>
        <v>0</v>
      </c>
      <c r="DN447" t="str">
        <f t="shared" si="498"/>
        <v>Timber</v>
      </c>
      <c r="DO447">
        <v>0</v>
      </c>
      <c r="DP447">
        <v>0</v>
      </c>
      <c r="DQ447">
        <v>0</v>
      </c>
      <c r="DR447">
        <v>0</v>
      </c>
      <c r="DS447">
        <v>0</v>
      </c>
      <c r="DT447">
        <f t="shared" si="499"/>
        <v>0</v>
      </c>
      <c r="DU447" s="143" t="str">
        <f t="shared" si="500"/>
        <v>explicit C balance</v>
      </c>
      <c r="DV447">
        <v>0</v>
      </c>
      <c r="DW447">
        <v>0</v>
      </c>
      <c r="DX447">
        <v>0</v>
      </c>
      <c r="DY447">
        <v>1</v>
      </c>
      <c r="DZ447">
        <v>1</v>
      </c>
      <c r="EA447" s="143">
        <v>0</v>
      </c>
      <c r="EB447">
        <v>0</v>
      </c>
      <c r="EC447">
        <v>1</v>
      </c>
      <c r="ED447">
        <v>0</v>
      </c>
      <c r="EE447">
        <v>1</v>
      </c>
      <c r="EF447">
        <v>0</v>
      </c>
      <c r="EG447">
        <v>0</v>
      </c>
      <c r="EH447">
        <v>0</v>
      </c>
      <c r="EI447" s="2">
        <v>0</v>
      </c>
      <c r="EJ447" s="1"/>
      <c r="EK447" t="str">
        <f t="shared" si="501"/>
        <v/>
      </c>
      <c r="EL447" t="str">
        <f t="shared" si="502"/>
        <v/>
      </c>
      <c r="EM447" s="2" t="str">
        <f t="shared" si="469"/>
        <v>Technology approach</v>
      </c>
      <c r="EN447"/>
      <c r="EO447"/>
      <c r="EP447" t="b">
        <f>IF(ISNUMBER(BU447),IF(ABS(BU447-[5]QC_indicators!$B$2)&gt;3*[5]QC_indicators!$C$2,"C ratio",IF(ISNUMBER(BY447),IF(ABS(BY447-[5]QC_indicators!$B$1)&gt;3*[5]QC_indicators!$C$1,"DF","no"))),IF(ISNUMBER(BY447),IF(ABS(BY447-[5]QC_indicators!$B$1)&gt;3*[5]QC_indicators!$C$1,"DF","no")))</f>
        <v>0</v>
      </c>
      <c r="EQ447"/>
      <c r="ER447" s="149" t="s">
        <v>349</v>
      </c>
      <c r="ES447"/>
      <c r="ET447" s="264" t="s">
        <v>3272</v>
      </c>
      <c r="EU447"/>
    </row>
    <row r="448" spans="1:151" s="139" customFormat="1" ht="15" hidden="1" customHeight="1">
      <c r="A448" s="1" t="s">
        <v>562</v>
      </c>
      <c r="B448" t="s">
        <v>544</v>
      </c>
      <c r="C448" t="s">
        <v>563</v>
      </c>
      <c r="D448" t="s">
        <v>564</v>
      </c>
      <c r="E448" t="s">
        <v>565</v>
      </c>
      <c r="F448" t="s">
        <v>566</v>
      </c>
      <c r="G448" t="s">
        <v>567</v>
      </c>
      <c r="H448" t="s">
        <v>254</v>
      </c>
      <c r="I448">
        <v>2009</v>
      </c>
      <c r="J448">
        <v>16</v>
      </c>
      <c r="K448" t="s">
        <v>568</v>
      </c>
      <c r="L448"/>
      <c r="M448" t="str">
        <f t="shared" si="429"/>
        <v>Crawford_2009</v>
      </c>
      <c r="N448" t="s">
        <v>222</v>
      </c>
      <c r="O448" s="145" t="s">
        <v>223</v>
      </c>
      <c r="P448"/>
      <c r="Q448" s="264" t="s">
        <v>256</v>
      </c>
      <c r="R448" s="269" t="s">
        <v>1153</v>
      </c>
      <c r="S448" s="1" t="s">
        <v>579</v>
      </c>
      <c r="T448" s="264" t="s">
        <v>580</v>
      </c>
      <c r="U448" s="264" t="s">
        <v>571</v>
      </c>
      <c r="V448">
        <v>0</v>
      </c>
      <c r="W448">
        <v>0</v>
      </c>
      <c r="X448">
        <v>0</v>
      </c>
      <c r="Y448">
        <v>0</v>
      </c>
      <c r="Z448">
        <v>0</v>
      </c>
      <c r="AA448">
        <v>0</v>
      </c>
      <c r="AB448">
        <v>0</v>
      </c>
      <c r="AC448">
        <v>0</v>
      </c>
      <c r="AD448">
        <v>0</v>
      </c>
      <c r="AE448">
        <v>0</v>
      </c>
      <c r="AF448">
        <v>0</v>
      </c>
      <c r="AG448">
        <v>0</v>
      </c>
      <c r="AH448">
        <v>0</v>
      </c>
      <c r="AI448">
        <v>0</v>
      </c>
      <c r="AJ448">
        <v>0</v>
      </c>
      <c r="AK448">
        <v>1</v>
      </c>
      <c r="AL448">
        <v>0</v>
      </c>
      <c r="AM448">
        <v>0</v>
      </c>
      <c r="AN448">
        <v>0</v>
      </c>
      <c r="AO448">
        <v>0</v>
      </c>
      <c r="AP448">
        <v>0</v>
      </c>
      <c r="AQ448">
        <v>0</v>
      </c>
      <c r="AR448">
        <v>0</v>
      </c>
      <c r="AS448">
        <v>0</v>
      </c>
      <c r="AT448">
        <v>0</v>
      </c>
      <c r="AU448">
        <v>0</v>
      </c>
      <c r="AV448">
        <v>0</v>
      </c>
      <c r="AW448">
        <v>0</v>
      </c>
      <c r="AX448" s="141">
        <f t="shared" si="470"/>
        <v>1</v>
      </c>
      <c r="AY448" s="141">
        <f t="shared" si="471"/>
        <v>1</v>
      </c>
      <c r="AZ448">
        <f t="shared" si="472"/>
        <v>0</v>
      </c>
      <c r="BA448">
        <f t="shared" si="473"/>
        <v>0</v>
      </c>
      <c r="BB448">
        <f t="shared" si="474"/>
        <v>1</v>
      </c>
      <c r="BC448">
        <f t="shared" si="475"/>
        <v>0</v>
      </c>
      <c r="BD448">
        <f t="shared" si="476"/>
        <v>0</v>
      </c>
      <c r="BE448" t="str" cm="1">
        <f t="array" ref="BE448">IF(AY448=1,INDEX($V$7:$AL$7,MATCH(TRUE,INDEX($V448:$AW448&lt;&gt;0,),0)),IF(AY448=0,INDEX($AM$7:$AW$7,MATCH(1,$AM448:$AW448,0)),IF(BF448="Multiple strategies","mixed drivers",IF(BF448="Supply chain","multiple supply","multiple silviculture"))))</f>
        <v>technologies/design switch</v>
      </c>
      <c r="BF448" s="2" t="str" cm="1">
        <f t="array" ref="BF448">IF(COUNTIF(AZ448:BB448,"&lt;&gt;0")=1,INDEX($V$4:$AW$4,MATCH(TRUE,INDEX($V448:$AW448&lt;&gt;0,),0)),IF(COUNTIF(AZ448:BB448,"&lt;&gt;0")=0,INDEX($AM$4:$AW$4,MATCH(1,$AM448:$AW448,0)),"Multiple strategies"))</f>
        <v>Technology</v>
      </c>
      <c r="BG448" s="1" t="s">
        <v>229</v>
      </c>
      <c r="BH448" t="s">
        <v>572</v>
      </c>
      <c r="BI448"/>
      <c r="BJ448" t="s">
        <v>345</v>
      </c>
      <c r="BK448">
        <v>0</v>
      </c>
      <c r="BL448">
        <f t="shared" ref="BL448:BL457" si="505">80.2*1460</f>
        <v>117092</v>
      </c>
      <c r="BM448"/>
      <c r="BN448">
        <f t="shared" si="477"/>
        <v>117092</v>
      </c>
      <c r="BO448">
        <f t="shared" ref="BO448:BO457" si="506">BN448*kg_to_m3</f>
        <v>238.96326530612248</v>
      </c>
      <c r="BP448" s="264" t="s">
        <v>232</v>
      </c>
      <c r="BQ448" s="264" t="s">
        <v>581</v>
      </c>
      <c r="BR448" t="s">
        <v>573</v>
      </c>
      <c r="BS448">
        <v>-1491</v>
      </c>
      <c r="BT448">
        <v>-3656</v>
      </c>
      <c r="BU448" s="144">
        <v>3.2421193829644532</v>
      </c>
      <c r="BV448">
        <v>-3343</v>
      </c>
      <c r="BW448"/>
      <c r="BX448">
        <f t="shared" ref="BX448:BX456" si="507">BV448</f>
        <v>-3343</v>
      </c>
      <c r="BY448">
        <f t="shared" si="468"/>
        <v>-13.989597923000716</v>
      </c>
      <c r="BZ448">
        <v>0</v>
      </c>
      <c r="CA448">
        <v>0</v>
      </c>
      <c r="CB448">
        <v>0</v>
      </c>
      <c r="CC448">
        <v>0</v>
      </c>
      <c r="CD448">
        <v>0</v>
      </c>
      <c r="CE448">
        <v>0</v>
      </c>
      <c r="CF448">
        <v>0</v>
      </c>
      <c r="CG448">
        <v>0</v>
      </c>
      <c r="CH448">
        <v>0</v>
      </c>
      <c r="CI448">
        <v>0</v>
      </c>
      <c r="CJ448">
        <v>0</v>
      </c>
      <c r="CK448">
        <v>0</v>
      </c>
      <c r="CL448">
        <v>0</v>
      </c>
      <c r="CM448">
        <v>0</v>
      </c>
      <c r="CN448" t="str">
        <f t="shared" si="481"/>
        <v>refOK</v>
      </c>
      <c r="CO448">
        <f t="shared" ref="CO448:CO456" si="508">IF($CN448="refNeedCorrection",BL448,BK448)</f>
        <v>0</v>
      </c>
      <c r="CP448">
        <f t="shared" ref="CP448:CP456" si="509">IF($CN448="refNeedCorrection",BK448,BL448)</f>
        <v>117092</v>
      </c>
      <c r="CQ448">
        <f t="shared" si="484"/>
        <v>238.96326530612248</v>
      </c>
      <c r="CR448">
        <f t="shared" si="485"/>
        <v>-1491</v>
      </c>
      <c r="CS448">
        <f t="shared" si="486"/>
        <v>-3656</v>
      </c>
      <c r="CT448">
        <f t="shared" si="487"/>
        <v>-3343</v>
      </c>
      <c r="CU448">
        <f t="shared" si="488"/>
        <v>-13.989597923000716</v>
      </c>
      <c r="CV448" s="2">
        <f t="shared" si="489"/>
        <v>-1.4520456069751844</v>
      </c>
      <c r="CW448" s="1" t="s">
        <v>263</v>
      </c>
      <c r="CX448" s="264" t="str">
        <f t="shared" si="490"/>
        <v>loc</v>
      </c>
      <c r="CY448" t="s">
        <v>574</v>
      </c>
      <c r="CZ448"/>
      <c r="DA448"/>
      <c r="DB448">
        <v>100</v>
      </c>
      <c r="DC448" t="str">
        <f t="shared" si="492"/>
        <v>71-100</v>
      </c>
      <c r="DD448">
        <v>0</v>
      </c>
      <c r="DE448">
        <v>0</v>
      </c>
      <c r="DF448">
        <v>0</v>
      </c>
      <c r="DG448">
        <v>1</v>
      </c>
      <c r="DH448"/>
      <c r="DI448">
        <f t="shared" si="493"/>
        <v>1</v>
      </c>
      <c r="DJ448" t="str">
        <f t="shared" si="494"/>
        <v>TimberInput</v>
      </c>
      <c r="DK448">
        <f t="shared" si="495"/>
        <v>0</v>
      </c>
      <c r="DL448">
        <f t="shared" si="496"/>
        <v>0</v>
      </c>
      <c r="DM448">
        <f t="shared" si="497"/>
        <v>0</v>
      </c>
      <c r="DN448" t="str">
        <f t="shared" si="498"/>
        <v>Timber</v>
      </c>
      <c r="DO448">
        <v>0</v>
      </c>
      <c r="DP448">
        <v>0</v>
      </c>
      <c r="DQ448">
        <v>0</v>
      </c>
      <c r="DR448">
        <v>0</v>
      </c>
      <c r="DS448">
        <v>0</v>
      </c>
      <c r="DT448">
        <f t="shared" si="499"/>
        <v>0</v>
      </c>
      <c r="DU448" s="143" t="str">
        <f t="shared" si="500"/>
        <v>explicit C balance</v>
      </c>
      <c r="DV448">
        <v>0</v>
      </c>
      <c r="DW448">
        <v>1</v>
      </c>
      <c r="DX448">
        <v>0</v>
      </c>
      <c r="DY448">
        <v>1</v>
      </c>
      <c r="DZ448">
        <v>1</v>
      </c>
      <c r="EA448" s="143">
        <v>0</v>
      </c>
      <c r="EB448">
        <v>1</v>
      </c>
      <c r="EC448">
        <v>1</v>
      </c>
      <c r="ED448">
        <v>0</v>
      </c>
      <c r="EE448">
        <v>1</v>
      </c>
      <c r="EF448">
        <v>0</v>
      </c>
      <c r="EG448">
        <v>0</v>
      </c>
      <c r="EH448">
        <v>0</v>
      </c>
      <c r="EI448" s="2">
        <v>0</v>
      </c>
      <c r="EJ448" s="1"/>
      <c r="EK448" t="str">
        <f t="shared" si="501"/>
        <v/>
      </c>
      <c r="EL448" t="str">
        <f t="shared" si="502"/>
        <v/>
      </c>
      <c r="EM448" s="2" t="str">
        <f t="shared" si="469"/>
        <v/>
      </c>
      <c r="EN448"/>
      <c r="EO448"/>
      <c r="EP448" t="str">
        <f>IF(ISNUMBER(BU448),IF(ABS(BU448-[4]QC_indicators!$B$2)&gt;3*[4]QC_indicators!$C$2,"C ratio",IF(ISNUMBER(BY448),IF(ABS(BY448-[4]QC_indicators!$B$1)&gt;3*[4]QC_indicators!$C$1,"DF","no"))),IF(ISNUMBER(BY448),IF(ABS(BY448-[4]QC_indicators!$B$1)&gt;3*[4]QC_indicators!$C$1,"DF","no")))</f>
        <v>DF</v>
      </c>
      <c r="EQ448"/>
      <c r="ER448" s="294" t="s">
        <v>349</v>
      </c>
      <c r="ES448"/>
      <c r="ET448" s="264" t="s">
        <v>3406</v>
      </c>
      <c r="EU448"/>
    </row>
    <row r="449" spans="1:151" s="139" customFormat="1" ht="15" hidden="1" customHeight="1">
      <c r="A449" s="1" t="s">
        <v>562</v>
      </c>
      <c r="B449" t="s">
        <v>544</v>
      </c>
      <c r="C449" t="s">
        <v>563</v>
      </c>
      <c r="D449" t="s">
        <v>564</v>
      </c>
      <c r="E449" t="s">
        <v>565</v>
      </c>
      <c r="F449" t="s">
        <v>566</v>
      </c>
      <c r="G449" t="s">
        <v>567</v>
      </c>
      <c r="H449" t="s">
        <v>254</v>
      </c>
      <c r="I449">
        <v>2009</v>
      </c>
      <c r="J449">
        <v>16</v>
      </c>
      <c r="K449" t="s">
        <v>568</v>
      </c>
      <c r="L449"/>
      <c r="M449" t="str">
        <f t="shared" ref="M449:M512" si="510">LEFT($D449,FIND(",",$D449)-1)&amp;"_"&amp;I449&amp;L449</f>
        <v>Crawford_2009</v>
      </c>
      <c r="N449" t="s">
        <v>222</v>
      </c>
      <c r="O449" s="145" t="s">
        <v>223</v>
      </c>
      <c r="P449"/>
      <c r="Q449" s="264" t="s">
        <v>256</v>
      </c>
      <c r="R449" s="269" t="s">
        <v>1153</v>
      </c>
      <c r="S449" s="1" t="s">
        <v>579</v>
      </c>
      <c r="T449" s="264" t="s">
        <v>582</v>
      </c>
      <c r="U449" s="264" t="s">
        <v>571</v>
      </c>
      <c r="V449">
        <v>0</v>
      </c>
      <c r="W449">
        <v>0</v>
      </c>
      <c r="X449">
        <v>0</v>
      </c>
      <c r="Y449">
        <v>0</v>
      </c>
      <c r="Z449">
        <v>0</v>
      </c>
      <c r="AA449">
        <v>0</v>
      </c>
      <c r="AB449">
        <v>0</v>
      </c>
      <c r="AC449">
        <v>0</v>
      </c>
      <c r="AD449">
        <v>0</v>
      </c>
      <c r="AE449">
        <v>0</v>
      </c>
      <c r="AF449">
        <v>0</v>
      </c>
      <c r="AG449">
        <v>0</v>
      </c>
      <c r="AH449">
        <v>0</v>
      </c>
      <c r="AI449">
        <v>0</v>
      </c>
      <c r="AJ449">
        <v>0</v>
      </c>
      <c r="AK449">
        <v>1</v>
      </c>
      <c r="AL449">
        <v>0</v>
      </c>
      <c r="AM449">
        <v>0</v>
      </c>
      <c r="AN449">
        <v>0</v>
      </c>
      <c r="AO449">
        <v>0</v>
      </c>
      <c r="AP449">
        <v>0</v>
      </c>
      <c r="AQ449">
        <v>0</v>
      </c>
      <c r="AR449">
        <v>0</v>
      </c>
      <c r="AS449">
        <v>0</v>
      </c>
      <c r="AT449">
        <v>0</v>
      </c>
      <c r="AU449">
        <v>0</v>
      </c>
      <c r="AV449">
        <v>0</v>
      </c>
      <c r="AW449">
        <v>0</v>
      </c>
      <c r="AX449" s="141">
        <f t="shared" si="470"/>
        <v>1</v>
      </c>
      <c r="AY449" s="141">
        <f t="shared" si="471"/>
        <v>1</v>
      </c>
      <c r="AZ449">
        <f t="shared" si="472"/>
        <v>0</v>
      </c>
      <c r="BA449">
        <f t="shared" si="473"/>
        <v>0</v>
      </c>
      <c r="BB449">
        <f t="shared" si="474"/>
        <v>1</v>
      </c>
      <c r="BC449">
        <f t="shared" si="475"/>
        <v>0</v>
      </c>
      <c r="BD449">
        <f t="shared" si="476"/>
        <v>0</v>
      </c>
      <c r="BE449" t="str" cm="1">
        <f t="array" ref="BE449">IF(AY449=1,INDEX($V$7:$AL$7,MATCH(TRUE,INDEX($V449:$AW449&lt;&gt;0,),0)),IF(AY449=0,INDEX($AM$7:$AW$7,MATCH(1,$AM449:$AW449,0)),IF(BF449="Multiple strategies","mixed drivers",IF(BF449="Supply chain","multiple supply","multiple silviculture"))))</f>
        <v>technologies/design switch</v>
      </c>
      <c r="BF449" s="2" t="str" cm="1">
        <f t="array" ref="BF449">IF(COUNTIF(AZ449:BB449,"&lt;&gt;0")=1,INDEX($V$4:$AW$4,MATCH(TRUE,INDEX($V449:$AW449&lt;&gt;0,),0)),IF(COUNTIF(AZ449:BB449,"&lt;&gt;0")=0,INDEX($AM$4:$AW$4,MATCH(1,$AM449:$AW449,0)),"Multiple strategies"))</f>
        <v>Technology</v>
      </c>
      <c r="BG449" s="1" t="s">
        <v>229</v>
      </c>
      <c r="BH449" t="s">
        <v>572</v>
      </c>
      <c r="BI449"/>
      <c r="BJ449" t="s">
        <v>345</v>
      </c>
      <c r="BK449">
        <v>0</v>
      </c>
      <c r="BL449">
        <f t="shared" si="505"/>
        <v>117092</v>
      </c>
      <c r="BM449"/>
      <c r="BN449">
        <f t="shared" si="477"/>
        <v>117092</v>
      </c>
      <c r="BO449">
        <f t="shared" si="506"/>
        <v>238.96326530612248</v>
      </c>
      <c r="BP449" s="264" t="s">
        <v>232</v>
      </c>
      <c r="BQ449" s="264"/>
      <c r="BR449" t="s">
        <v>573</v>
      </c>
      <c r="BS449">
        <v>-822</v>
      </c>
      <c r="BT449">
        <v>-3656</v>
      </c>
      <c r="BU449" s="144">
        <v>4.447688564476886</v>
      </c>
      <c r="BV449">
        <v>-2834</v>
      </c>
      <c r="BW449"/>
      <c r="BX449">
        <f t="shared" si="507"/>
        <v>-2834</v>
      </c>
      <c r="BY449">
        <f t="shared" si="468"/>
        <v>-11.859563420216581</v>
      </c>
      <c r="BZ449">
        <v>0</v>
      </c>
      <c r="CA449">
        <v>0</v>
      </c>
      <c r="CB449">
        <v>0</v>
      </c>
      <c r="CC449">
        <v>0</v>
      </c>
      <c r="CD449">
        <v>0</v>
      </c>
      <c r="CE449">
        <v>0</v>
      </c>
      <c r="CF449">
        <v>0</v>
      </c>
      <c r="CG449">
        <v>0</v>
      </c>
      <c r="CH449">
        <v>0</v>
      </c>
      <c r="CI449">
        <v>0</v>
      </c>
      <c r="CJ449">
        <v>0</v>
      </c>
      <c r="CK449">
        <v>0</v>
      </c>
      <c r="CL449">
        <v>0</v>
      </c>
      <c r="CM449">
        <v>0</v>
      </c>
      <c r="CN449" t="str">
        <f t="shared" si="481"/>
        <v>refOK</v>
      </c>
      <c r="CO449">
        <f t="shared" si="508"/>
        <v>0</v>
      </c>
      <c r="CP449">
        <f t="shared" si="509"/>
        <v>117092</v>
      </c>
      <c r="CQ449">
        <f t="shared" si="484"/>
        <v>238.96326530612248</v>
      </c>
      <c r="CR449">
        <f t="shared" si="485"/>
        <v>-822</v>
      </c>
      <c r="CS449">
        <f t="shared" si="486"/>
        <v>-3656</v>
      </c>
      <c r="CT449">
        <f t="shared" si="487"/>
        <v>-2834</v>
      </c>
      <c r="CU449">
        <f t="shared" si="488"/>
        <v>-11.859563420216581</v>
      </c>
      <c r="CV449" s="2">
        <f t="shared" si="489"/>
        <v>-3.4476885644768855</v>
      </c>
      <c r="CW449" s="1" t="s">
        <v>263</v>
      </c>
      <c r="CX449" s="264" t="str">
        <f t="shared" si="490"/>
        <v>loc</v>
      </c>
      <c r="CY449" t="s">
        <v>574</v>
      </c>
      <c r="CZ449"/>
      <c r="DA449"/>
      <c r="DB449">
        <v>100</v>
      </c>
      <c r="DC449" t="str">
        <f t="shared" si="492"/>
        <v>71-100</v>
      </c>
      <c r="DD449">
        <v>0</v>
      </c>
      <c r="DE449">
        <v>0</v>
      </c>
      <c r="DF449">
        <v>0</v>
      </c>
      <c r="DG449">
        <v>1</v>
      </c>
      <c r="DH449"/>
      <c r="DI449">
        <f t="shared" si="493"/>
        <v>1</v>
      </c>
      <c r="DJ449" t="str">
        <f t="shared" si="494"/>
        <v>TimberInput</v>
      </c>
      <c r="DK449">
        <f t="shared" si="495"/>
        <v>0</v>
      </c>
      <c r="DL449">
        <f t="shared" si="496"/>
        <v>0</v>
      </c>
      <c r="DM449">
        <f t="shared" si="497"/>
        <v>0</v>
      </c>
      <c r="DN449" t="str">
        <f t="shared" si="498"/>
        <v>Timber</v>
      </c>
      <c r="DO449">
        <v>0</v>
      </c>
      <c r="DP449">
        <v>0</v>
      </c>
      <c r="DQ449">
        <v>0</v>
      </c>
      <c r="DR449">
        <v>0</v>
      </c>
      <c r="DS449">
        <v>0</v>
      </c>
      <c r="DT449">
        <f t="shared" si="499"/>
        <v>0</v>
      </c>
      <c r="DU449" s="143" t="str">
        <f t="shared" si="500"/>
        <v>explicit C balance</v>
      </c>
      <c r="DV449">
        <v>0</v>
      </c>
      <c r="DW449">
        <v>1</v>
      </c>
      <c r="DX449">
        <v>0</v>
      </c>
      <c r="DY449">
        <v>1</v>
      </c>
      <c r="DZ449">
        <v>1</v>
      </c>
      <c r="EA449" s="143">
        <v>0</v>
      </c>
      <c r="EB449">
        <v>1</v>
      </c>
      <c r="EC449">
        <v>1</v>
      </c>
      <c r="ED449">
        <v>0</v>
      </c>
      <c r="EE449">
        <v>1</v>
      </c>
      <c r="EF449">
        <v>0</v>
      </c>
      <c r="EG449">
        <v>0</v>
      </c>
      <c r="EH449">
        <v>0</v>
      </c>
      <c r="EI449" s="2">
        <v>0</v>
      </c>
      <c r="EJ449" s="1"/>
      <c r="EK449" t="str">
        <f t="shared" si="501"/>
        <v/>
      </c>
      <c r="EL449" t="str">
        <f t="shared" si="502"/>
        <v/>
      </c>
      <c r="EM449" s="2" t="str">
        <f t="shared" si="469"/>
        <v/>
      </c>
      <c r="EN449"/>
      <c r="EO449"/>
      <c r="EP449" t="str">
        <f>IF(ISNUMBER(BU449),IF(ABS(BU449-[4]QC_indicators!$B$2)&gt;3*[4]QC_indicators!$C$2,"C ratio",IF(ISNUMBER(BY449),IF(ABS(BY449-[4]QC_indicators!$B$1)&gt;3*[4]QC_indicators!$C$1,"DF","no"))),IF(ISNUMBER(BY449),IF(ABS(BY449-[4]QC_indicators!$B$1)&gt;3*[4]QC_indicators!$C$1,"DF","no")))</f>
        <v>DF</v>
      </c>
      <c r="EQ449"/>
      <c r="ER449" s="294" t="s">
        <v>349</v>
      </c>
      <c r="ES449"/>
      <c r="ET449" s="264" t="s">
        <v>3406</v>
      </c>
      <c r="EU449"/>
    </row>
    <row r="450" spans="1:151" s="139" customFormat="1" ht="15" hidden="1" customHeight="1">
      <c r="A450" s="1" t="s">
        <v>562</v>
      </c>
      <c r="B450" t="s">
        <v>544</v>
      </c>
      <c r="C450" t="s">
        <v>563</v>
      </c>
      <c r="D450" t="s">
        <v>564</v>
      </c>
      <c r="E450" t="s">
        <v>565</v>
      </c>
      <c r="F450" t="s">
        <v>566</v>
      </c>
      <c r="G450" t="s">
        <v>567</v>
      </c>
      <c r="H450" t="s">
        <v>254</v>
      </c>
      <c r="I450">
        <v>2009</v>
      </c>
      <c r="J450">
        <v>16</v>
      </c>
      <c r="K450" t="s">
        <v>568</v>
      </c>
      <c r="L450"/>
      <c r="M450" t="str">
        <f t="shared" si="510"/>
        <v>Crawford_2009</v>
      </c>
      <c r="N450" t="s">
        <v>222</v>
      </c>
      <c r="O450" s="145" t="s">
        <v>223</v>
      </c>
      <c r="P450"/>
      <c r="Q450" s="264" t="s">
        <v>256</v>
      </c>
      <c r="R450" s="269" t="s">
        <v>1153</v>
      </c>
      <c r="S450" s="1" t="s">
        <v>579</v>
      </c>
      <c r="T450" s="264" t="s">
        <v>580</v>
      </c>
      <c r="U450" s="264" t="s">
        <v>575</v>
      </c>
      <c r="V450">
        <v>0</v>
      </c>
      <c r="W450">
        <v>0</v>
      </c>
      <c r="X450">
        <v>0</v>
      </c>
      <c r="Y450">
        <v>0</v>
      </c>
      <c r="Z450">
        <v>0</v>
      </c>
      <c r="AA450">
        <v>0</v>
      </c>
      <c r="AB450">
        <v>0</v>
      </c>
      <c r="AC450">
        <v>0</v>
      </c>
      <c r="AD450">
        <v>0</v>
      </c>
      <c r="AE450">
        <v>0</v>
      </c>
      <c r="AF450">
        <v>0</v>
      </c>
      <c r="AG450">
        <v>0</v>
      </c>
      <c r="AH450">
        <v>0</v>
      </c>
      <c r="AI450">
        <v>0</v>
      </c>
      <c r="AJ450">
        <v>0</v>
      </c>
      <c r="AK450">
        <v>1</v>
      </c>
      <c r="AL450">
        <v>0</v>
      </c>
      <c r="AM450">
        <v>0</v>
      </c>
      <c r="AN450">
        <v>0</v>
      </c>
      <c r="AO450">
        <v>0</v>
      </c>
      <c r="AP450">
        <v>0</v>
      </c>
      <c r="AQ450">
        <v>0</v>
      </c>
      <c r="AR450">
        <v>0</v>
      </c>
      <c r="AS450">
        <v>0</v>
      </c>
      <c r="AT450">
        <v>0</v>
      </c>
      <c r="AU450">
        <v>0</v>
      </c>
      <c r="AV450">
        <v>0</v>
      </c>
      <c r="AW450">
        <v>0</v>
      </c>
      <c r="AX450" s="141">
        <f t="shared" si="470"/>
        <v>1</v>
      </c>
      <c r="AY450" s="141">
        <f t="shared" si="471"/>
        <v>1</v>
      </c>
      <c r="AZ450">
        <f t="shared" si="472"/>
        <v>0</v>
      </c>
      <c r="BA450">
        <f t="shared" si="473"/>
        <v>0</v>
      </c>
      <c r="BB450">
        <f t="shared" si="474"/>
        <v>1</v>
      </c>
      <c r="BC450">
        <f t="shared" si="475"/>
        <v>0</v>
      </c>
      <c r="BD450">
        <f t="shared" si="476"/>
        <v>0</v>
      </c>
      <c r="BE450" t="str" cm="1">
        <f t="array" ref="BE450">IF(AY450=1,INDEX($V$7:$AL$7,MATCH(TRUE,INDEX($V450:$AW450&lt;&gt;0,),0)),IF(AY450=0,INDEX($AM$7:$AW$7,MATCH(1,$AM450:$AW450,0)),IF(BF450="Multiple strategies","mixed drivers",IF(BF450="Supply chain","multiple supply","multiple silviculture"))))</f>
        <v>technologies/design switch</v>
      </c>
      <c r="BF450" s="2" t="str" cm="1">
        <f t="array" ref="BF450">IF(COUNTIF(AZ450:BB450,"&lt;&gt;0")=1,INDEX($V$4:$AW$4,MATCH(TRUE,INDEX($V450:$AW450&lt;&gt;0,),0)),IF(COUNTIF(AZ450:BB450,"&lt;&gt;0")=0,INDEX($AM$4:$AW$4,MATCH(1,$AM450:$AW450,0)),"Multiple strategies"))</f>
        <v>Technology</v>
      </c>
      <c r="BG450" s="1" t="s">
        <v>229</v>
      </c>
      <c r="BH450" t="s">
        <v>572</v>
      </c>
      <c r="BI450"/>
      <c r="BJ450" t="s">
        <v>345</v>
      </c>
      <c r="BK450">
        <v>0</v>
      </c>
      <c r="BL450">
        <f t="shared" si="505"/>
        <v>117092</v>
      </c>
      <c r="BM450"/>
      <c r="BN450">
        <f t="shared" si="477"/>
        <v>117092</v>
      </c>
      <c r="BO450">
        <f t="shared" si="506"/>
        <v>238.96326530612248</v>
      </c>
      <c r="BP450" s="264" t="s">
        <v>232</v>
      </c>
      <c r="BQ450" s="264"/>
      <c r="BR450" t="s">
        <v>573</v>
      </c>
      <c r="BS450">
        <v>-1491</v>
      </c>
      <c r="BT450">
        <v>-4208</v>
      </c>
      <c r="BU450" s="144">
        <v>2.8222669349429914</v>
      </c>
      <c r="BV450">
        <v>-2717</v>
      </c>
      <c r="BW450"/>
      <c r="BX450">
        <f t="shared" si="507"/>
        <v>-2717</v>
      </c>
      <c r="BY450">
        <f t="shared" si="468"/>
        <v>-11.369948416629658</v>
      </c>
      <c r="BZ450">
        <v>0</v>
      </c>
      <c r="CA450">
        <v>0</v>
      </c>
      <c r="CB450">
        <v>0</v>
      </c>
      <c r="CC450">
        <v>0</v>
      </c>
      <c r="CD450">
        <v>0</v>
      </c>
      <c r="CE450">
        <v>0</v>
      </c>
      <c r="CF450">
        <v>0</v>
      </c>
      <c r="CG450">
        <v>0</v>
      </c>
      <c r="CH450">
        <v>0</v>
      </c>
      <c r="CI450">
        <v>0</v>
      </c>
      <c r="CJ450">
        <v>0</v>
      </c>
      <c r="CK450">
        <v>0</v>
      </c>
      <c r="CL450">
        <v>0</v>
      </c>
      <c r="CM450">
        <v>0</v>
      </c>
      <c r="CN450" t="str">
        <f t="shared" si="481"/>
        <v>refOK</v>
      </c>
      <c r="CO450">
        <f t="shared" si="508"/>
        <v>0</v>
      </c>
      <c r="CP450">
        <f t="shared" si="509"/>
        <v>117092</v>
      </c>
      <c r="CQ450">
        <f t="shared" si="484"/>
        <v>238.96326530612248</v>
      </c>
      <c r="CR450">
        <f t="shared" si="485"/>
        <v>-1491</v>
      </c>
      <c r="CS450">
        <f t="shared" si="486"/>
        <v>-4208</v>
      </c>
      <c r="CT450">
        <f t="shared" si="487"/>
        <v>-2717</v>
      </c>
      <c r="CU450">
        <f t="shared" si="488"/>
        <v>-11.369948416629658</v>
      </c>
      <c r="CV450" s="2">
        <f t="shared" si="489"/>
        <v>-1.8222669349429912</v>
      </c>
      <c r="CW450" s="1" t="s">
        <v>263</v>
      </c>
      <c r="CX450" s="264" t="str">
        <f t="shared" si="490"/>
        <v>loc</v>
      </c>
      <c r="CY450" t="s">
        <v>574</v>
      </c>
      <c r="CZ450"/>
      <c r="DA450"/>
      <c r="DB450">
        <v>100</v>
      </c>
      <c r="DC450" t="str">
        <f t="shared" si="492"/>
        <v>71-100</v>
      </c>
      <c r="DD450">
        <v>0</v>
      </c>
      <c r="DE450">
        <v>0</v>
      </c>
      <c r="DF450">
        <v>0</v>
      </c>
      <c r="DG450">
        <v>1</v>
      </c>
      <c r="DH450"/>
      <c r="DI450">
        <f t="shared" si="493"/>
        <v>1</v>
      </c>
      <c r="DJ450" t="str">
        <f t="shared" si="494"/>
        <v>TimberInput</v>
      </c>
      <c r="DK450">
        <f t="shared" si="495"/>
        <v>0</v>
      </c>
      <c r="DL450">
        <f t="shared" si="496"/>
        <v>0</v>
      </c>
      <c r="DM450">
        <f t="shared" si="497"/>
        <v>0</v>
      </c>
      <c r="DN450" t="str">
        <f t="shared" si="498"/>
        <v>Timber</v>
      </c>
      <c r="DO450">
        <v>0</v>
      </c>
      <c r="DP450">
        <v>0</v>
      </c>
      <c r="DQ450">
        <v>0</v>
      </c>
      <c r="DR450">
        <v>0</v>
      </c>
      <c r="DS450">
        <v>0</v>
      </c>
      <c r="DT450">
        <f t="shared" si="499"/>
        <v>0</v>
      </c>
      <c r="DU450" s="143" t="str">
        <f t="shared" si="500"/>
        <v>explicit C balance</v>
      </c>
      <c r="DV450">
        <v>0</v>
      </c>
      <c r="DW450">
        <v>1</v>
      </c>
      <c r="DX450">
        <v>0</v>
      </c>
      <c r="DY450">
        <v>1</v>
      </c>
      <c r="DZ450">
        <v>1</v>
      </c>
      <c r="EA450" s="143">
        <v>0</v>
      </c>
      <c r="EB450">
        <v>1</v>
      </c>
      <c r="EC450">
        <v>1</v>
      </c>
      <c r="ED450">
        <v>0</v>
      </c>
      <c r="EE450">
        <v>1</v>
      </c>
      <c r="EF450">
        <v>0</v>
      </c>
      <c r="EG450">
        <v>0</v>
      </c>
      <c r="EH450">
        <v>0</v>
      </c>
      <c r="EI450" s="2">
        <v>0</v>
      </c>
      <c r="EJ450" s="1"/>
      <c r="EK450" t="str">
        <f t="shared" si="501"/>
        <v/>
      </c>
      <c r="EL450" t="str">
        <f t="shared" si="502"/>
        <v/>
      </c>
      <c r="EM450" s="2" t="str">
        <f t="shared" si="469"/>
        <v/>
      </c>
      <c r="EN450" t="s">
        <v>583</v>
      </c>
      <c r="EO450"/>
      <c r="EP450" t="str">
        <f>IF(ISNUMBER(BU450),IF(ABS(BU450-[4]QC_indicators!$B$2)&gt;3*[4]QC_indicators!$C$2,"C ratio",IF(ISNUMBER(BY450),IF(ABS(BY450-[4]QC_indicators!$B$1)&gt;3*[4]QC_indicators!$C$1,"DF","no"))),IF(ISNUMBER(BY450),IF(ABS(BY450-[4]QC_indicators!$B$1)&gt;3*[4]QC_indicators!$C$1,"DF","no")))</f>
        <v>DF</v>
      </c>
      <c r="EQ450"/>
      <c r="ER450" s="294" t="s">
        <v>349</v>
      </c>
      <c r="ES450"/>
      <c r="ET450" s="264" t="s">
        <v>3406</v>
      </c>
      <c r="EU450"/>
    </row>
    <row r="451" spans="1:151" s="139" customFormat="1" ht="15" hidden="1" customHeight="1">
      <c r="A451" s="1" t="s">
        <v>562</v>
      </c>
      <c r="B451" t="s">
        <v>544</v>
      </c>
      <c r="C451" t="s">
        <v>563</v>
      </c>
      <c r="D451" t="s">
        <v>564</v>
      </c>
      <c r="E451" t="s">
        <v>565</v>
      </c>
      <c r="F451" t="s">
        <v>566</v>
      </c>
      <c r="G451" t="s">
        <v>567</v>
      </c>
      <c r="H451" t="s">
        <v>254</v>
      </c>
      <c r="I451">
        <v>2009</v>
      </c>
      <c r="J451">
        <v>16</v>
      </c>
      <c r="K451" t="s">
        <v>568</v>
      </c>
      <c r="L451"/>
      <c r="M451" t="str">
        <f t="shared" si="510"/>
        <v>Crawford_2009</v>
      </c>
      <c r="N451" t="s">
        <v>222</v>
      </c>
      <c r="O451" s="145" t="s">
        <v>223</v>
      </c>
      <c r="P451"/>
      <c r="Q451" s="264" t="s">
        <v>256</v>
      </c>
      <c r="R451" s="269" t="s">
        <v>1153</v>
      </c>
      <c r="S451" s="1" t="s">
        <v>579</v>
      </c>
      <c r="T451" s="264" t="s">
        <v>582</v>
      </c>
      <c r="U451" s="264" t="s">
        <v>576</v>
      </c>
      <c r="V451">
        <v>0</v>
      </c>
      <c r="W451">
        <v>0</v>
      </c>
      <c r="X451">
        <v>0</v>
      </c>
      <c r="Y451">
        <v>0</v>
      </c>
      <c r="Z451">
        <v>0</v>
      </c>
      <c r="AA451">
        <v>0</v>
      </c>
      <c r="AB451">
        <v>0</v>
      </c>
      <c r="AC451">
        <v>0</v>
      </c>
      <c r="AD451">
        <v>0</v>
      </c>
      <c r="AE451">
        <v>0</v>
      </c>
      <c r="AF451">
        <v>0</v>
      </c>
      <c r="AG451">
        <v>0</v>
      </c>
      <c r="AH451">
        <v>0</v>
      </c>
      <c r="AI451">
        <v>0</v>
      </c>
      <c r="AJ451">
        <v>0</v>
      </c>
      <c r="AK451">
        <v>1</v>
      </c>
      <c r="AL451">
        <v>0</v>
      </c>
      <c r="AM451">
        <v>0</v>
      </c>
      <c r="AN451">
        <v>0</v>
      </c>
      <c r="AO451">
        <v>0</v>
      </c>
      <c r="AP451">
        <v>0</v>
      </c>
      <c r="AQ451">
        <v>0</v>
      </c>
      <c r="AR451">
        <v>0</v>
      </c>
      <c r="AS451">
        <v>0</v>
      </c>
      <c r="AT451">
        <v>0</v>
      </c>
      <c r="AU451">
        <v>0</v>
      </c>
      <c r="AV451">
        <v>0</v>
      </c>
      <c r="AW451">
        <v>0</v>
      </c>
      <c r="AX451" s="141">
        <f t="shared" si="470"/>
        <v>1</v>
      </c>
      <c r="AY451" s="141">
        <f t="shared" si="471"/>
        <v>1</v>
      </c>
      <c r="AZ451">
        <f t="shared" si="472"/>
        <v>0</v>
      </c>
      <c r="BA451">
        <f t="shared" si="473"/>
        <v>0</v>
      </c>
      <c r="BB451">
        <f t="shared" si="474"/>
        <v>1</v>
      </c>
      <c r="BC451">
        <f t="shared" si="475"/>
        <v>0</v>
      </c>
      <c r="BD451">
        <f t="shared" si="476"/>
        <v>0</v>
      </c>
      <c r="BE451" t="str" cm="1">
        <f t="array" ref="BE451">IF(AY451=1,INDEX($V$7:$AL$7,MATCH(TRUE,INDEX($V451:$AW451&lt;&gt;0,),0)),IF(AY451=0,INDEX($AM$7:$AW$7,MATCH(1,$AM451:$AW451,0)),IF(BF451="Multiple strategies","mixed drivers",IF(BF451="Supply chain","multiple supply","multiple silviculture"))))</f>
        <v>technologies/design switch</v>
      </c>
      <c r="BF451" s="2" t="str" cm="1">
        <f t="array" ref="BF451">IF(COUNTIF(AZ451:BB451,"&lt;&gt;0")=1,INDEX($V$4:$AW$4,MATCH(TRUE,INDEX($V451:$AW451&lt;&gt;0,),0)),IF(COUNTIF(AZ451:BB451,"&lt;&gt;0")=0,INDEX($AM$4:$AW$4,MATCH(1,$AM451:$AW451,0)),"Multiple strategies"))</f>
        <v>Technology</v>
      </c>
      <c r="BG451" s="1" t="s">
        <v>229</v>
      </c>
      <c r="BH451" t="s">
        <v>572</v>
      </c>
      <c r="BI451"/>
      <c r="BJ451" t="s">
        <v>345</v>
      </c>
      <c r="BK451">
        <v>0</v>
      </c>
      <c r="BL451">
        <f t="shared" si="505"/>
        <v>117092</v>
      </c>
      <c r="BM451"/>
      <c r="BN451">
        <f t="shared" si="477"/>
        <v>117092</v>
      </c>
      <c r="BO451">
        <f t="shared" si="506"/>
        <v>238.96326530612248</v>
      </c>
      <c r="BP451" s="264" t="s">
        <v>232</v>
      </c>
      <c r="BQ451" s="264"/>
      <c r="BR451" t="s">
        <v>573</v>
      </c>
      <c r="BS451">
        <v>-822</v>
      </c>
      <c r="BT451">
        <v>-3185</v>
      </c>
      <c r="BU451" s="144">
        <v>3.8746958637469588</v>
      </c>
      <c r="BV451">
        <v>-2363</v>
      </c>
      <c r="BW451"/>
      <c r="BX451">
        <f t="shared" si="507"/>
        <v>-2363</v>
      </c>
      <c r="BY451">
        <f t="shared" si="468"/>
        <v>-9.8885491750076842</v>
      </c>
      <c r="BZ451">
        <v>0</v>
      </c>
      <c r="CA451">
        <v>0</v>
      </c>
      <c r="CB451">
        <v>0</v>
      </c>
      <c r="CC451">
        <v>0</v>
      </c>
      <c r="CD451">
        <v>0</v>
      </c>
      <c r="CE451">
        <v>0</v>
      </c>
      <c r="CF451">
        <v>0</v>
      </c>
      <c r="CG451">
        <v>0</v>
      </c>
      <c r="CH451">
        <v>0</v>
      </c>
      <c r="CI451">
        <v>0</v>
      </c>
      <c r="CJ451">
        <v>0</v>
      </c>
      <c r="CK451">
        <v>0</v>
      </c>
      <c r="CL451">
        <v>0</v>
      </c>
      <c r="CM451">
        <v>0</v>
      </c>
      <c r="CN451" t="str">
        <f t="shared" si="481"/>
        <v>refOK</v>
      </c>
      <c r="CO451">
        <f t="shared" si="508"/>
        <v>0</v>
      </c>
      <c r="CP451">
        <f t="shared" si="509"/>
        <v>117092</v>
      </c>
      <c r="CQ451">
        <f t="shared" si="484"/>
        <v>238.96326530612248</v>
      </c>
      <c r="CR451">
        <f t="shared" si="485"/>
        <v>-822</v>
      </c>
      <c r="CS451">
        <f t="shared" si="486"/>
        <v>-3185</v>
      </c>
      <c r="CT451">
        <f t="shared" si="487"/>
        <v>-2363</v>
      </c>
      <c r="CU451">
        <f t="shared" si="488"/>
        <v>-9.8885491750076842</v>
      </c>
      <c r="CV451" s="2">
        <f t="shared" si="489"/>
        <v>-2.8746958637469588</v>
      </c>
      <c r="CW451" s="1" t="s">
        <v>263</v>
      </c>
      <c r="CX451" s="264" t="str">
        <f t="shared" si="490"/>
        <v>loc</v>
      </c>
      <c r="CY451" t="s">
        <v>574</v>
      </c>
      <c r="CZ451"/>
      <c r="DA451"/>
      <c r="DB451">
        <v>100</v>
      </c>
      <c r="DC451" t="str">
        <f t="shared" si="492"/>
        <v>71-100</v>
      </c>
      <c r="DD451">
        <v>0</v>
      </c>
      <c r="DE451">
        <v>0</v>
      </c>
      <c r="DF451">
        <v>0</v>
      </c>
      <c r="DG451">
        <v>1</v>
      </c>
      <c r="DH451"/>
      <c r="DI451">
        <f t="shared" si="493"/>
        <v>1</v>
      </c>
      <c r="DJ451" t="str">
        <f t="shared" si="494"/>
        <v>TimberInput</v>
      </c>
      <c r="DK451">
        <f t="shared" si="495"/>
        <v>0</v>
      </c>
      <c r="DL451">
        <f t="shared" si="496"/>
        <v>0</v>
      </c>
      <c r="DM451">
        <f t="shared" si="497"/>
        <v>0</v>
      </c>
      <c r="DN451" t="str">
        <f t="shared" si="498"/>
        <v>Timber</v>
      </c>
      <c r="DO451">
        <v>0</v>
      </c>
      <c r="DP451">
        <v>0</v>
      </c>
      <c r="DQ451">
        <v>0</v>
      </c>
      <c r="DR451">
        <v>0</v>
      </c>
      <c r="DS451">
        <v>0</v>
      </c>
      <c r="DT451">
        <f t="shared" si="499"/>
        <v>0</v>
      </c>
      <c r="DU451" s="143" t="str">
        <f t="shared" si="500"/>
        <v>explicit C balance</v>
      </c>
      <c r="DV451">
        <v>0</v>
      </c>
      <c r="DW451">
        <v>1</v>
      </c>
      <c r="DX451">
        <v>0</v>
      </c>
      <c r="DY451">
        <v>1</v>
      </c>
      <c r="DZ451">
        <v>1</v>
      </c>
      <c r="EA451" s="143">
        <v>0</v>
      </c>
      <c r="EB451">
        <v>1</v>
      </c>
      <c r="EC451">
        <v>1</v>
      </c>
      <c r="ED451">
        <v>0</v>
      </c>
      <c r="EE451">
        <v>1</v>
      </c>
      <c r="EF451">
        <v>0</v>
      </c>
      <c r="EG451">
        <v>0</v>
      </c>
      <c r="EH451">
        <v>0</v>
      </c>
      <c r="EI451" s="2">
        <v>0</v>
      </c>
      <c r="EJ451" s="1"/>
      <c r="EK451" t="str">
        <f t="shared" si="501"/>
        <v/>
      </c>
      <c r="EL451" t="str">
        <f t="shared" si="502"/>
        <v/>
      </c>
      <c r="EM451" s="2" t="str">
        <f t="shared" si="469"/>
        <v/>
      </c>
      <c r="EN451" t="s">
        <v>583</v>
      </c>
      <c r="EO451"/>
      <c r="EP451" t="str">
        <f>IF(ISNUMBER(BU451),IF(ABS(BU451-[4]QC_indicators!$B$2)&gt;3*[4]QC_indicators!$C$2,"C ratio",IF(ISNUMBER(BY451),IF(ABS(BY451-[4]QC_indicators!$B$1)&gt;3*[4]QC_indicators!$C$1,"DF","no"))),IF(ISNUMBER(BY451),IF(ABS(BY451-[4]QC_indicators!$B$1)&gt;3*[4]QC_indicators!$C$1,"DF","no")))</f>
        <v>DF</v>
      </c>
      <c r="EQ451"/>
      <c r="ER451" s="294" t="s">
        <v>349</v>
      </c>
      <c r="ES451"/>
      <c r="ET451" s="264" t="s">
        <v>3406</v>
      </c>
      <c r="EU451"/>
    </row>
    <row r="452" spans="1:151" s="139" customFormat="1" ht="15" hidden="1" customHeight="1">
      <c r="A452" s="1" t="s">
        <v>562</v>
      </c>
      <c r="B452" t="s">
        <v>544</v>
      </c>
      <c r="C452" t="s">
        <v>563</v>
      </c>
      <c r="D452" t="s">
        <v>564</v>
      </c>
      <c r="E452" t="s">
        <v>565</v>
      </c>
      <c r="F452" t="s">
        <v>566</v>
      </c>
      <c r="G452" t="s">
        <v>567</v>
      </c>
      <c r="H452" t="s">
        <v>254</v>
      </c>
      <c r="I452">
        <v>2009</v>
      </c>
      <c r="J452">
        <v>16</v>
      </c>
      <c r="K452" t="s">
        <v>568</v>
      </c>
      <c r="L452"/>
      <c r="M452" t="str">
        <f t="shared" si="510"/>
        <v>Crawford_2009</v>
      </c>
      <c r="N452" t="s">
        <v>222</v>
      </c>
      <c r="O452" s="145" t="s">
        <v>223</v>
      </c>
      <c r="P452"/>
      <c r="Q452" s="264" t="s">
        <v>256</v>
      </c>
      <c r="R452" s="269" t="s">
        <v>1153</v>
      </c>
      <c r="S452" s="1" t="s">
        <v>579</v>
      </c>
      <c r="T452" s="264" t="s">
        <v>584</v>
      </c>
      <c r="U452" s="264" t="s">
        <v>571</v>
      </c>
      <c r="V452">
        <v>0</v>
      </c>
      <c r="W452">
        <v>0</v>
      </c>
      <c r="X452">
        <v>0</v>
      </c>
      <c r="Y452">
        <v>0</v>
      </c>
      <c r="Z452">
        <v>0</v>
      </c>
      <c r="AA452">
        <v>0</v>
      </c>
      <c r="AB452">
        <v>0</v>
      </c>
      <c r="AC452">
        <v>0</v>
      </c>
      <c r="AD452">
        <v>0</v>
      </c>
      <c r="AE452">
        <v>0</v>
      </c>
      <c r="AF452">
        <v>0</v>
      </c>
      <c r="AG452">
        <v>0</v>
      </c>
      <c r="AH452">
        <v>0</v>
      </c>
      <c r="AI452">
        <v>0</v>
      </c>
      <c r="AJ452">
        <v>0</v>
      </c>
      <c r="AK452">
        <v>1</v>
      </c>
      <c r="AL452">
        <v>0</v>
      </c>
      <c r="AM452">
        <v>0</v>
      </c>
      <c r="AN452">
        <v>0</v>
      </c>
      <c r="AO452">
        <v>0</v>
      </c>
      <c r="AP452">
        <v>0</v>
      </c>
      <c r="AQ452">
        <v>0</v>
      </c>
      <c r="AR452">
        <v>0</v>
      </c>
      <c r="AS452">
        <v>0</v>
      </c>
      <c r="AT452">
        <v>0</v>
      </c>
      <c r="AU452">
        <v>0</v>
      </c>
      <c r="AV452">
        <v>0</v>
      </c>
      <c r="AW452">
        <v>0</v>
      </c>
      <c r="AX452" s="141">
        <f t="shared" si="470"/>
        <v>1</v>
      </c>
      <c r="AY452" s="141">
        <f t="shared" si="471"/>
        <v>1</v>
      </c>
      <c r="AZ452">
        <f t="shared" si="472"/>
        <v>0</v>
      </c>
      <c r="BA452">
        <f t="shared" si="473"/>
        <v>0</v>
      </c>
      <c r="BB452">
        <f t="shared" si="474"/>
        <v>1</v>
      </c>
      <c r="BC452">
        <f t="shared" si="475"/>
        <v>0</v>
      </c>
      <c r="BD452">
        <f t="shared" si="476"/>
        <v>0</v>
      </c>
      <c r="BE452" t="str" cm="1">
        <f t="array" ref="BE452">IF(AY452=1,INDEX($V$7:$AL$7,MATCH(TRUE,INDEX($V452:$AW452&lt;&gt;0,),0)),IF(AY452=0,INDEX($AM$7:$AW$7,MATCH(1,$AM452:$AW452,0)),IF(BF452="Multiple strategies","mixed drivers",IF(BF452="Supply chain","multiple supply","multiple silviculture"))))</f>
        <v>technologies/design switch</v>
      </c>
      <c r="BF452" s="2" t="str" cm="1">
        <f t="array" ref="BF452">IF(COUNTIF(AZ452:BB452,"&lt;&gt;0")=1,INDEX($V$4:$AW$4,MATCH(TRUE,INDEX($V452:$AW452&lt;&gt;0,),0)),IF(COUNTIF(AZ452:BB452,"&lt;&gt;0")=0,INDEX($AM$4:$AW$4,MATCH(1,$AM452:$AW452,0)),"Multiple strategies"))</f>
        <v>Technology</v>
      </c>
      <c r="BG452" s="1" t="s">
        <v>229</v>
      </c>
      <c r="BH452" t="s">
        <v>572</v>
      </c>
      <c r="BI452"/>
      <c r="BJ452" t="s">
        <v>345</v>
      </c>
      <c r="BK452">
        <v>0</v>
      </c>
      <c r="BL452">
        <f t="shared" si="505"/>
        <v>117092</v>
      </c>
      <c r="BM452"/>
      <c r="BN452">
        <f t="shared" si="477"/>
        <v>117092</v>
      </c>
      <c r="BO452">
        <f t="shared" si="506"/>
        <v>238.96326530612248</v>
      </c>
      <c r="BP452" s="264" t="s">
        <v>232</v>
      </c>
      <c r="BQ452" s="264"/>
      <c r="BR452" t="s">
        <v>573</v>
      </c>
      <c r="BS452">
        <v>-1491</v>
      </c>
      <c r="BT452">
        <v>-3656</v>
      </c>
      <c r="BU452" s="144">
        <v>2.4352783366867872</v>
      </c>
      <c r="BV452">
        <v>-2140</v>
      </c>
      <c r="BW452"/>
      <c r="BX452">
        <f t="shared" si="507"/>
        <v>-2140</v>
      </c>
      <c r="BY452">
        <f t="shared" si="468"/>
        <v>-8.9553513476582509</v>
      </c>
      <c r="BZ452">
        <v>0</v>
      </c>
      <c r="CA452">
        <v>0</v>
      </c>
      <c r="CB452">
        <v>0</v>
      </c>
      <c r="CC452">
        <v>0</v>
      </c>
      <c r="CD452">
        <v>0</v>
      </c>
      <c r="CE452">
        <v>0</v>
      </c>
      <c r="CF452">
        <v>0</v>
      </c>
      <c r="CG452">
        <v>0</v>
      </c>
      <c r="CH452">
        <v>0</v>
      </c>
      <c r="CI452">
        <v>0</v>
      </c>
      <c r="CJ452">
        <v>0</v>
      </c>
      <c r="CK452">
        <v>0</v>
      </c>
      <c r="CL452">
        <v>0</v>
      </c>
      <c r="CM452">
        <v>0</v>
      </c>
      <c r="CN452" t="str">
        <f t="shared" si="481"/>
        <v>refOK</v>
      </c>
      <c r="CO452">
        <f t="shared" si="508"/>
        <v>0</v>
      </c>
      <c r="CP452">
        <f t="shared" si="509"/>
        <v>117092</v>
      </c>
      <c r="CQ452">
        <f t="shared" si="484"/>
        <v>238.96326530612248</v>
      </c>
      <c r="CR452">
        <f t="shared" si="485"/>
        <v>-1491</v>
      </c>
      <c r="CS452">
        <f t="shared" si="486"/>
        <v>-3656</v>
      </c>
      <c r="CT452">
        <f t="shared" si="487"/>
        <v>-2140</v>
      </c>
      <c r="CU452">
        <f t="shared" si="488"/>
        <v>-8.9553513476582509</v>
      </c>
      <c r="CV452" s="2">
        <f t="shared" si="489"/>
        <v>-1.4520456069751844</v>
      </c>
      <c r="CW452" s="1" t="s">
        <v>263</v>
      </c>
      <c r="CX452" s="264" t="str">
        <f t="shared" si="490"/>
        <v>loc</v>
      </c>
      <c r="CY452" t="s">
        <v>574</v>
      </c>
      <c r="CZ452"/>
      <c r="DA452"/>
      <c r="DB452">
        <v>100</v>
      </c>
      <c r="DC452" t="str">
        <f t="shared" si="492"/>
        <v>71-100</v>
      </c>
      <c r="DD452">
        <v>0</v>
      </c>
      <c r="DE452">
        <v>0</v>
      </c>
      <c r="DF452">
        <v>0</v>
      </c>
      <c r="DG452">
        <v>1</v>
      </c>
      <c r="DH452"/>
      <c r="DI452">
        <f t="shared" si="493"/>
        <v>1</v>
      </c>
      <c r="DJ452" t="str">
        <f t="shared" si="494"/>
        <v>TimberInput</v>
      </c>
      <c r="DK452">
        <f t="shared" si="495"/>
        <v>0</v>
      </c>
      <c r="DL452">
        <f t="shared" si="496"/>
        <v>0</v>
      </c>
      <c r="DM452">
        <f t="shared" si="497"/>
        <v>0</v>
      </c>
      <c r="DN452" t="str">
        <f t="shared" si="498"/>
        <v>Timber</v>
      </c>
      <c r="DO452">
        <v>0</v>
      </c>
      <c r="DP452">
        <v>0</v>
      </c>
      <c r="DQ452">
        <v>0</v>
      </c>
      <c r="DR452">
        <v>0</v>
      </c>
      <c r="DS452">
        <v>0</v>
      </c>
      <c r="DT452">
        <f t="shared" si="499"/>
        <v>0</v>
      </c>
      <c r="DU452" s="143" t="str">
        <f t="shared" si="500"/>
        <v>explicit C balance</v>
      </c>
      <c r="DV452">
        <v>0</v>
      </c>
      <c r="DW452">
        <v>1</v>
      </c>
      <c r="DX452">
        <v>0</v>
      </c>
      <c r="DY452">
        <v>1</v>
      </c>
      <c r="DZ452">
        <v>1</v>
      </c>
      <c r="EA452" s="143">
        <v>0</v>
      </c>
      <c r="EB452">
        <v>1</v>
      </c>
      <c r="EC452">
        <v>1</v>
      </c>
      <c r="ED452">
        <v>0</v>
      </c>
      <c r="EE452">
        <v>1</v>
      </c>
      <c r="EF452">
        <v>0</v>
      </c>
      <c r="EG452">
        <v>0</v>
      </c>
      <c r="EH452">
        <v>0</v>
      </c>
      <c r="EI452" s="2">
        <v>0</v>
      </c>
      <c r="EJ452" s="1"/>
      <c r="EK452" t="str">
        <f t="shared" si="501"/>
        <v/>
      </c>
      <c r="EL452" t="str">
        <f t="shared" si="502"/>
        <v/>
      </c>
      <c r="EM452" s="2" t="str">
        <f t="shared" si="469"/>
        <v/>
      </c>
      <c r="EN452" t="s">
        <v>583</v>
      </c>
      <c r="EO452"/>
      <c r="EP452" t="str">
        <f>IF(ISNUMBER(BU452),IF(ABS(BU452-[4]QC_indicators!$B$2)&gt;3*[4]QC_indicators!$C$2,"C ratio",IF(ISNUMBER(BY452),IF(ABS(BY452-[4]QC_indicators!$B$1)&gt;3*[4]QC_indicators!$C$1,"DF","no"))),IF(ISNUMBER(BY452),IF(ABS(BY452-[4]QC_indicators!$B$1)&gt;3*[4]QC_indicators!$C$1,"DF","no")))</f>
        <v>DF</v>
      </c>
      <c r="EQ452"/>
      <c r="ER452" s="294" t="s">
        <v>349</v>
      </c>
      <c r="ES452"/>
      <c r="ET452" s="264" t="s">
        <v>3406</v>
      </c>
      <c r="EU452"/>
    </row>
    <row r="453" spans="1:151" s="139" customFormat="1" ht="15" hidden="1" customHeight="1">
      <c r="A453" s="1" t="s">
        <v>562</v>
      </c>
      <c r="B453" t="s">
        <v>544</v>
      </c>
      <c r="C453" t="s">
        <v>563</v>
      </c>
      <c r="D453" t="s">
        <v>564</v>
      </c>
      <c r="E453" t="s">
        <v>565</v>
      </c>
      <c r="F453" t="s">
        <v>566</v>
      </c>
      <c r="G453" t="s">
        <v>567</v>
      </c>
      <c r="H453" t="s">
        <v>254</v>
      </c>
      <c r="I453">
        <v>2009</v>
      </c>
      <c r="J453">
        <v>16</v>
      </c>
      <c r="K453" t="s">
        <v>568</v>
      </c>
      <c r="L453"/>
      <c r="M453" t="str">
        <f t="shared" si="510"/>
        <v>Crawford_2009</v>
      </c>
      <c r="N453" t="s">
        <v>222</v>
      </c>
      <c r="O453" s="145" t="s">
        <v>223</v>
      </c>
      <c r="P453"/>
      <c r="Q453" s="264" t="s">
        <v>256</v>
      </c>
      <c r="R453" s="269" t="s">
        <v>1153</v>
      </c>
      <c r="S453" s="1" t="s">
        <v>579</v>
      </c>
      <c r="T453" s="264" t="s">
        <v>585</v>
      </c>
      <c r="U453" s="264" t="s">
        <v>578</v>
      </c>
      <c r="V453">
        <v>0</v>
      </c>
      <c r="W453">
        <v>0</v>
      </c>
      <c r="X453">
        <v>0</v>
      </c>
      <c r="Y453">
        <v>0</v>
      </c>
      <c r="Z453">
        <v>0</v>
      </c>
      <c r="AA453">
        <v>0</v>
      </c>
      <c r="AB453">
        <v>0</v>
      </c>
      <c r="AC453">
        <v>0</v>
      </c>
      <c r="AD453">
        <v>0</v>
      </c>
      <c r="AE453">
        <v>0</v>
      </c>
      <c r="AF453">
        <v>0</v>
      </c>
      <c r="AG453">
        <v>0</v>
      </c>
      <c r="AH453">
        <v>0</v>
      </c>
      <c r="AI453">
        <v>0</v>
      </c>
      <c r="AJ453">
        <v>0</v>
      </c>
      <c r="AK453">
        <v>1</v>
      </c>
      <c r="AL453">
        <v>0</v>
      </c>
      <c r="AM453">
        <v>0</v>
      </c>
      <c r="AN453">
        <v>0</v>
      </c>
      <c r="AO453">
        <v>0</v>
      </c>
      <c r="AP453">
        <v>0</v>
      </c>
      <c r="AQ453">
        <v>0</v>
      </c>
      <c r="AR453">
        <v>0</v>
      </c>
      <c r="AS453">
        <v>0</v>
      </c>
      <c r="AT453">
        <v>0</v>
      </c>
      <c r="AU453">
        <v>0</v>
      </c>
      <c r="AV453">
        <v>0</v>
      </c>
      <c r="AW453">
        <v>0</v>
      </c>
      <c r="AX453" s="141">
        <f t="shared" si="470"/>
        <v>1</v>
      </c>
      <c r="AY453" s="141">
        <f t="shared" si="471"/>
        <v>1</v>
      </c>
      <c r="AZ453">
        <f t="shared" si="472"/>
        <v>0</v>
      </c>
      <c r="BA453">
        <f t="shared" si="473"/>
        <v>0</v>
      </c>
      <c r="BB453">
        <f t="shared" si="474"/>
        <v>1</v>
      </c>
      <c r="BC453">
        <f t="shared" si="475"/>
        <v>0</v>
      </c>
      <c r="BD453">
        <f t="shared" si="476"/>
        <v>0</v>
      </c>
      <c r="BE453" t="str" cm="1">
        <f t="array" ref="BE453">IF(AY453=1,INDEX($V$7:$AL$7,MATCH(TRUE,INDEX($V453:$AW453&lt;&gt;0,),0)),IF(AY453=0,INDEX($AM$7:$AW$7,MATCH(1,$AM453:$AW453,0)),IF(BF453="Multiple strategies","mixed drivers",IF(BF453="Supply chain","multiple supply","multiple silviculture"))))</f>
        <v>technologies/design switch</v>
      </c>
      <c r="BF453" s="2" t="str" cm="1">
        <f t="array" ref="BF453">IF(COUNTIF(AZ453:BB453,"&lt;&gt;0")=1,INDEX($V$4:$AW$4,MATCH(TRUE,INDEX($V453:$AW453&lt;&gt;0,),0)),IF(COUNTIF(AZ453:BB453,"&lt;&gt;0")=0,INDEX($AM$4:$AW$4,MATCH(1,$AM453:$AW453,0)),"Multiple strategies"))</f>
        <v>Technology</v>
      </c>
      <c r="BG453" s="1" t="s">
        <v>229</v>
      </c>
      <c r="BH453" t="s">
        <v>572</v>
      </c>
      <c r="BI453"/>
      <c r="BJ453" t="s">
        <v>345</v>
      </c>
      <c r="BK453">
        <v>0</v>
      </c>
      <c r="BL453">
        <f t="shared" si="505"/>
        <v>117092</v>
      </c>
      <c r="BM453"/>
      <c r="BN453">
        <f t="shared" si="477"/>
        <v>117092</v>
      </c>
      <c r="BO453">
        <f t="shared" si="506"/>
        <v>238.96326530612248</v>
      </c>
      <c r="BP453" s="264" t="s">
        <v>232</v>
      </c>
      <c r="BQ453" s="264"/>
      <c r="BR453" t="s">
        <v>573</v>
      </c>
      <c r="BS453">
        <v>-822</v>
      </c>
      <c r="BT453">
        <v>-2751</v>
      </c>
      <c r="BU453" s="144">
        <v>3.3467153284671531</v>
      </c>
      <c r="BV453">
        <v>-1929</v>
      </c>
      <c r="BW453"/>
      <c r="BX453">
        <f t="shared" si="507"/>
        <v>-1929</v>
      </c>
      <c r="BY453">
        <f t="shared" si="468"/>
        <v>-8.0723704437536288</v>
      </c>
      <c r="BZ453">
        <v>0</v>
      </c>
      <c r="CA453">
        <v>0</v>
      </c>
      <c r="CB453">
        <v>0</v>
      </c>
      <c r="CC453">
        <v>0</v>
      </c>
      <c r="CD453">
        <v>0</v>
      </c>
      <c r="CE453">
        <v>0</v>
      </c>
      <c r="CF453">
        <v>0</v>
      </c>
      <c r="CG453">
        <v>0</v>
      </c>
      <c r="CH453">
        <v>0</v>
      </c>
      <c r="CI453">
        <v>0</v>
      </c>
      <c r="CJ453">
        <v>0</v>
      </c>
      <c r="CK453">
        <v>0</v>
      </c>
      <c r="CL453">
        <v>0</v>
      </c>
      <c r="CM453">
        <v>0</v>
      </c>
      <c r="CN453" t="str">
        <f t="shared" si="481"/>
        <v>refOK</v>
      </c>
      <c r="CO453">
        <f t="shared" si="508"/>
        <v>0</v>
      </c>
      <c r="CP453">
        <f t="shared" si="509"/>
        <v>117092</v>
      </c>
      <c r="CQ453">
        <f t="shared" si="484"/>
        <v>238.96326530612248</v>
      </c>
      <c r="CR453">
        <f t="shared" si="485"/>
        <v>-822</v>
      </c>
      <c r="CS453">
        <f t="shared" si="486"/>
        <v>-2751</v>
      </c>
      <c r="CT453">
        <f t="shared" si="487"/>
        <v>-1929</v>
      </c>
      <c r="CU453">
        <f t="shared" si="488"/>
        <v>-8.0723704437536288</v>
      </c>
      <c r="CV453" s="2">
        <f t="shared" si="489"/>
        <v>-2.3467153284671531</v>
      </c>
      <c r="CW453" s="1" t="s">
        <v>263</v>
      </c>
      <c r="CX453" s="264" t="str">
        <f t="shared" si="490"/>
        <v>loc</v>
      </c>
      <c r="CY453" t="s">
        <v>574</v>
      </c>
      <c r="CZ453"/>
      <c r="DA453"/>
      <c r="DB453">
        <v>100</v>
      </c>
      <c r="DC453" t="str">
        <f t="shared" si="492"/>
        <v>71-100</v>
      </c>
      <c r="DD453">
        <v>0</v>
      </c>
      <c r="DE453">
        <v>0</v>
      </c>
      <c r="DF453">
        <v>0</v>
      </c>
      <c r="DG453">
        <v>1</v>
      </c>
      <c r="DH453"/>
      <c r="DI453">
        <f t="shared" si="493"/>
        <v>1</v>
      </c>
      <c r="DJ453" t="str">
        <f t="shared" si="494"/>
        <v>TimberInput</v>
      </c>
      <c r="DK453">
        <f t="shared" si="495"/>
        <v>0</v>
      </c>
      <c r="DL453">
        <f t="shared" si="496"/>
        <v>0</v>
      </c>
      <c r="DM453">
        <f t="shared" si="497"/>
        <v>0</v>
      </c>
      <c r="DN453" t="str">
        <f t="shared" si="498"/>
        <v>Timber</v>
      </c>
      <c r="DO453">
        <v>0</v>
      </c>
      <c r="DP453">
        <v>0</v>
      </c>
      <c r="DQ453">
        <v>0</v>
      </c>
      <c r="DR453">
        <v>0</v>
      </c>
      <c r="DS453">
        <v>0</v>
      </c>
      <c r="DT453">
        <f t="shared" si="499"/>
        <v>0</v>
      </c>
      <c r="DU453" s="143" t="str">
        <f t="shared" si="500"/>
        <v>explicit C balance</v>
      </c>
      <c r="DV453">
        <v>0</v>
      </c>
      <c r="DW453">
        <v>1</v>
      </c>
      <c r="DX453">
        <v>0</v>
      </c>
      <c r="DY453">
        <v>1</v>
      </c>
      <c r="DZ453">
        <v>1</v>
      </c>
      <c r="EA453" s="143">
        <v>0</v>
      </c>
      <c r="EB453">
        <v>1</v>
      </c>
      <c r="EC453">
        <v>1</v>
      </c>
      <c r="ED453">
        <v>0</v>
      </c>
      <c r="EE453">
        <v>1</v>
      </c>
      <c r="EF453">
        <v>0</v>
      </c>
      <c r="EG453">
        <v>0</v>
      </c>
      <c r="EH453">
        <v>0</v>
      </c>
      <c r="EI453" s="2">
        <v>0</v>
      </c>
      <c r="EJ453" s="1"/>
      <c r="EK453" t="str">
        <f t="shared" si="501"/>
        <v/>
      </c>
      <c r="EL453" t="str">
        <f t="shared" si="502"/>
        <v/>
      </c>
      <c r="EM453" s="2" t="str">
        <f t="shared" si="469"/>
        <v/>
      </c>
      <c r="EN453" t="s">
        <v>583</v>
      </c>
      <c r="EO453"/>
      <c r="EP453" t="str">
        <f>IF(ISNUMBER(BU453),IF(ABS(BU453-[4]QC_indicators!$B$2)&gt;3*[4]QC_indicators!$C$2,"C ratio",IF(ISNUMBER(BY453),IF(ABS(BY453-[4]QC_indicators!$B$1)&gt;3*[4]QC_indicators!$C$1,"DF","no"))),IF(ISNUMBER(BY453),IF(ABS(BY453-[4]QC_indicators!$B$1)&gt;3*[4]QC_indicators!$C$1,"DF","no")))</f>
        <v>DF</v>
      </c>
      <c r="EQ453"/>
      <c r="ER453" s="294" t="s">
        <v>349</v>
      </c>
      <c r="ES453"/>
      <c r="ET453" s="264" t="s">
        <v>3406</v>
      </c>
      <c r="EU453"/>
    </row>
    <row r="454" spans="1:151" s="139" customFormat="1" ht="15" hidden="1" customHeight="1">
      <c r="A454" s="1" t="s">
        <v>562</v>
      </c>
      <c r="B454" t="s">
        <v>544</v>
      </c>
      <c r="C454" t="s">
        <v>563</v>
      </c>
      <c r="D454" t="s">
        <v>564</v>
      </c>
      <c r="E454" t="s">
        <v>565</v>
      </c>
      <c r="F454" t="s">
        <v>566</v>
      </c>
      <c r="G454" t="s">
        <v>567</v>
      </c>
      <c r="H454" t="s">
        <v>254</v>
      </c>
      <c r="I454">
        <v>2009</v>
      </c>
      <c r="J454">
        <v>16</v>
      </c>
      <c r="K454" t="s">
        <v>568</v>
      </c>
      <c r="L454"/>
      <c r="M454" t="str">
        <f t="shared" si="510"/>
        <v>Crawford_2009</v>
      </c>
      <c r="N454" t="s">
        <v>222</v>
      </c>
      <c r="O454" s="145" t="s">
        <v>223</v>
      </c>
      <c r="P454"/>
      <c r="Q454" s="264" t="s">
        <v>256</v>
      </c>
      <c r="R454" s="269" t="s">
        <v>1153</v>
      </c>
      <c r="S454" s="1" t="s">
        <v>569</v>
      </c>
      <c r="T454" s="264" t="s">
        <v>570</v>
      </c>
      <c r="U454" s="264" t="s">
        <v>571</v>
      </c>
      <c r="V454">
        <v>0</v>
      </c>
      <c r="W454">
        <v>0</v>
      </c>
      <c r="X454">
        <v>0</v>
      </c>
      <c r="Y454">
        <v>0</v>
      </c>
      <c r="Z454">
        <v>0</v>
      </c>
      <c r="AA454">
        <v>0</v>
      </c>
      <c r="AB454">
        <v>0</v>
      </c>
      <c r="AC454">
        <v>0</v>
      </c>
      <c r="AD454">
        <v>0</v>
      </c>
      <c r="AE454">
        <v>0</v>
      </c>
      <c r="AF454">
        <v>0</v>
      </c>
      <c r="AG454">
        <v>0</v>
      </c>
      <c r="AH454">
        <v>0</v>
      </c>
      <c r="AI454">
        <v>1</v>
      </c>
      <c r="AJ454">
        <v>0</v>
      </c>
      <c r="AK454">
        <v>0</v>
      </c>
      <c r="AL454">
        <v>0</v>
      </c>
      <c r="AM454">
        <v>0</v>
      </c>
      <c r="AN454">
        <v>0</v>
      </c>
      <c r="AO454">
        <v>0</v>
      </c>
      <c r="AP454">
        <v>0</v>
      </c>
      <c r="AQ454">
        <v>0</v>
      </c>
      <c r="AR454">
        <v>0</v>
      </c>
      <c r="AS454">
        <v>0</v>
      </c>
      <c r="AT454">
        <v>0</v>
      </c>
      <c r="AU454">
        <v>0</v>
      </c>
      <c r="AV454">
        <v>0</v>
      </c>
      <c r="AW454">
        <v>0</v>
      </c>
      <c r="AX454" s="141">
        <f t="shared" si="470"/>
        <v>1</v>
      </c>
      <c r="AY454" s="141">
        <f t="shared" si="471"/>
        <v>1</v>
      </c>
      <c r="AZ454">
        <f t="shared" si="472"/>
        <v>0</v>
      </c>
      <c r="BA454">
        <f t="shared" si="473"/>
        <v>1</v>
      </c>
      <c r="BB454">
        <f t="shared" si="474"/>
        <v>0</v>
      </c>
      <c r="BC454">
        <f t="shared" si="475"/>
        <v>0</v>
      </c>
      <c r="BD454">
        <f t="shared" si="476"/>
        <v>0</v>
      </c>
      <c r="BE454" t="str" cm="1">
        <f t="array" ref="BE454">IF(AY454=1,INDEX($V$7:$AL$7,MATCH(TRUE,INDEX($V454:$AW454&lt;&gt;0,),0)),IF(AY454=0,INDEX($AM$7:$AW$7,MATCH(1,$AM454:$AW454,0)),IF(BF454="Multiple strategies","mixed drivers",IF(BF454="Supply chain","multiple supply","multiple silviculture"))))</f>
        <v>products lifespan</v>
      </c>
      <c r="BF454" s="2" t="str" cm="1">
        <f t="array" ref="BF454">IF(COUNTIF(AZ454:BB454,"&lt;&gt;0")=1,INDEX($V$4:$AW$4,MATCH(TRUE,INDEX($V454:$AW454&lt;&gt;0,),0)),IF(COUNTIF(AZ454:BB454,"&lt;&gt;0")=0,INDEX($AM$4:$AW$4,MATCH(1,$AM454:$AW454,0)),"Multiple strategies"))</f>
        <v>Supply chain</v>
      </c>
      <c r="BG454" s="1" t="s">
        <v>229</v>
      </c>
      <c r="BH454" t="s">
        <v>572</v>
      </c>
      <c r="BI454"/>
      <c r="BJ454" t="s">
        <v>345</v>
      </c>
      <c r="BK454">
        <f>80.2*1460</f>
        <v>117092</v>
      </c>
      <c r="BL454">
        <f t="shared" si="505"/>
        <v>117092</v>
      </c>
      <c r="BM454"/>
      <c r="BN454">
        <f t="shared" si="477"/>
        <v>0</v>
      </c>
      <c r="BO454">
        <f t="shared" si="506"/>
        <v>0</v>
      </c>
      <c r="BP454" s="264" t="s">
        <v>232</v>
      </c>
      <c r="BQ454" s="264"/>
      <c r="BR454" t="s">
        <v>573</v>
      </c>
      <c r="BS454">
        <v>-4834</v>
      </c>
      <c r="BT454">
        <v>-3656</v>
      </c>
      <c r="BU454" s="144">
        <v>0.75630947455523378</v>
      </c>
      <c r="BV454">
        <v>1178</v>
      </c>
      <c r="BW454"/>
      <c r="BX454">
        <f t="shared" si="507"/>
        <v>1178</v>
      </c>
      <c r="BY454" t="str">
        <f t="shared" si="468"/>
        <v/>
      </c>
      <c r="BZ454">
        <v>0</v>
      </c>
      <c r="CA454">
        <v>0</v>
      </c>
      <c r="CB454">
        <v>0</v>
      </c>
      <c r="CC454">
        <v>0</v>
      </c>
      <c r="CD454">
        <v>0</v>
      </c>
      <c r="CE454">
        <v>0</v>
      </c>
      <c r="CF454">
        <v>0</v>
      </c>
      <c r="CG454">
        <v>0</v>
      </c>
      <c r="CH454">
        <v>0</v>
      </c>
      <c r="CI454">
        <v>0</v>
      </c>
      <c r="CJ454">
        <v>0</v>
      </c>
      <c r="CK454">
        <v>0</v>
      </c>
      <c r="CL454">
        <v>0</v>
      </c>
      <c r="CM454">
        <v>0</v>
      </c>
      <c r="CN454" t="str">
        <f t="shared" si="481"/>
        <v>refOK</v>
      </c>
      <c r="CO454">
        <f t="shared" si="508"/>
        <v>117092</v>
      </c>
      <c r="CP454">
        <f t="shared" si="509"/>
        <v>117092</v>
      </c>
      <c r="CQ454">
        <f t="shared" si="484"/>
        <v>0</v>
      </c>
      <c r="CR454">
        <f t="shared" si="485"/>
        <v>-4834</v>
      </c>
      <c r="CS454">
        <f t="shared" si="486"/>
        <v>-3656</v>
      </c>
      <c r="CT454">
        <f t="shared" si="487"/>
        <v>1178</v>
      </c>
      <c r="CU454" t="str">
        <f t="shared" si="488"/>
        <v/>
      </c>
      <c r="CV454" s="2">
        <f t="shared" si="489"/>
        <v>0.24369052544476624</v>
      </c>
      <c r="CW454" s="1" t="s">
        <v>263</v>
      </c>
      <c r="CX454" s="264" t="str">
        <f t="shared" si="490"/>
        <v>loc</v>
      </c>
      <c r="CY454" t="s">
        <v>574</v>
      </c>
      <c r="CZ454"/>
      <c r="DA454"/>
      <c r="DB454">
        <v>100</v>
      </c>
      <c r="DC454" t="str">
        <f t="shared" si="492"/>
        <v>71-100</v>
      </c>
      <c r="DD454">
        <v>0</v>
      </c>
      <c r="DE454">
        <v>0</v>
      </c>
      <c r="DF454">
        <v>0</v>
      </c>
      <c r="DG454">
        <v>1</v>
      </c>
      <c r="DH454"/>
      <c r="DI454">
        <f t="shared" si="493"/>
        <v>1</v>
      </c>
      <c r="DJ454" t="str">
        <f t="shared" si="494"/>
        <v>TimberInput</v>
      </c>
      <c r="DK454">
        <f t="shared" si="495"/>
        <v>0</v>
      </c>
      <c r="DL454">
        <f t="shared" si="496"/>
        <v>0</v>
      </c>
      <c r="DM454">
        <f t="shared" si="497"/>
        <v>0</v>
      </c>
      <c r="DN454" t="str">
        <f t="shared" si="498"/>
        <v>Timber</v>
      </c>
      <c r="DO454">
        <v>0</v>
      </c>
      <c r="DP454">
        <v>0</v>
      </c>
      <c r="DQ454">
        <v>0</v>
      </c>
      <c r="DR454">
        <v>0</v>
      </c>
      <c r="DS454">
        <v>0</v>
      </c>
      <c r="DT454">
        <f t="shared" si="499"/>
        <v>0</v>
      </c>
      <c r="DU454" s="143" t="str">
        <f t="shared" si="500"/>
        <v>explicit C balance</v>
      </c>
      <c r="DV454">
        <v>0</v>
      </c>
      <c r="DW454">
        <v>1</v>
      </c>
      <c r="DX454">
        <v>0</v>
      </c>
      <c r="DY454">
        <v>1</v>
      </c>
      <c r="DZ454">
        <v>1</v>
      </c>
      <c r="EA454" s="143">
        <v>0</v>
      </c>
      <c r="EB454">
        <v>1</v>
      </c>
      <c r="EC454">
        <v>1</v>
      </c>
      <c r="ED454">
        <v>0</v>
      </c>
      <c r="EE454">
        <v>1</v>
      </c>
      <c r="EF454">
        <v>0</v>
      </c>
      <c r="EG454">
        <v>0</v>
      </c>
      <c r="EH454">
        <v>0</v>
      </c>
      <c r="EI454" s="2">
        <v>0</v>
      </c>
      <c r="EJ454" s="1"/>
      <c r="EK454" t="str">
        <f t="shared" si="501"/>
        <v/>
      </c>
      <c r="EL454" t="str">
        <f t="shared" si="502"/>
        <v/>
      </c>
      <c r="EM454" s="2" t="str">
        <f t="shared" si="469"/>
        <v/>
      </c>
      <c r="EN454"/>
      <c r="EO454"/>
      <c r="EP454" t="b">
        <f>IF(ISNUMBER(BU454),IF(ABS(BU454-[4]QC_indicators!$B$2)&gt;3*[4]QC_indicators!$C$2,"C ratio",IF(ISNUMBER(BY454),IF(ABS(BY454-[4]QC_indicators!$B$1)&gt;3*[4]QC_indicators!$C$1,"DF","no"))),IF(ISNUMBER(BY454),IF(ABS(BY454-[4]QC_indicators!$B$1)&gt;3*[4]QC_indicators!$C$1,"DF","no")))</f>
        <v>0</v>
      </c>
      <c r="EQ454"/>
      <c r="ER454" s="294" t="s">
        <v>349</v>
      </c>
      <c r="ES454"/>
      <c r="ET454" s="264" t="s">
        <v>3406</v>
      </c>
      <c r="EU454"/>
    </row>
    <row r="455" spans="1:151" s="139" customFormat="1" ht="15" hidden="1" customHeight="1">
      <c r="A455" s="1" t="s">
        <v>562</v>
      </c>
      <c r="B455" t="s">
        <v>544</v>
      </c>
      <c r="C455" t="s">
        <v>563</v>
      </c>
      <c r="D455" t="s">
        <v>564</v>
      </c>
      <c r="E455" t="s">
        <v>565</v>
      </c>
      <c r="F455" t="s">
        <v>566</v>
      </c>
      <c r="G455" t="s">
        <v>567</v>
      </c>
      <c r="H455" t="s">
        <v>254</v>
      </c>
      <c r="I455">
        <v>2009</v>
      </c>
      <c r="J455">
        <v>16</v>
      </c>
      <c r="K455" t="s">
        <v>568</v>
      </c>
      <c r="L455"/>
      <c r="M455" t="str">
        <f t="shared" si="510"/>
        <v>Crawford_2009</v>
      </c>
      <c r="N455" t="s">
        <v>222</v>
      </c>
      <c r="O455" s="145" t="s">
        <v>223</v>
      </c>
      <c r="P455"/>
      <c r="Q455" s="264" t="s">
        <v>256</v>
      </c>
      <c r="R455" s="269" t="s">
        <v>1153</v>
      </c>
      <c r="S455" s="1" t="s">
        <v>569</v>
      </c>
      <c r="T455" s="264" t="s">
        <v>575</v>
      </c>
      <c r="U455" s="264" t="s">
        <v>576</v>
      </c>
      <c r="V455">
        <v>0</v>
      </c>
      <c r="W455">
        <v>0</v>
      </c>
      <c r="X455">
        <v>0</v>
      </c>
      <c r="Y455">
        <v>0</v>
      </c>
      <c r="Z455">
        <v>0</v>
      </c>
      <c r="AA455">
        <v>0</v>
      </c>
      <c r="AB455">
        <v>0</v>
      </c>
      <c r="AC455">
        <v>0</v>
      </c>
      <c r="AD455">
        <v>0</v>
      </c>
      <c r="AE455">
        <v>0</v>
      </c>
      <c r="AF455">
        <v>0</v>
      </c>
      <c r="AG455">
        <v>0</v>
      </c>
      <c r="AH455">
        <v>0</v>
      </c>
      <c r="AI455">
        <v>1</v>
      </c>
      <c r="AJ455">
        <v>0</v>
      </c>
      <c r="AK455">
        <v>0</v>
      </c>
      <c r="AL455">
        <v>0</v>
      </c>
      <c r="AM455">
        <v>0</v>
      </c>
      <c r="AN455">
        <v>0</v>
      </c>
      <c r="AO455">
        <v>0</v>
      </c>
      <c r="AP455">
        <v>0</v>
      </c>
      <c r="AQ455">
        <v>0</v>
      </c>
      <c r="AR455">
        <v>0</v>
      </c>
      <c r="AS455">
        <v>0</v>
      </c>
      <c r="AT455">
        <v>0</v>
      </c>
      <c r="AU455">
        <v>0</v>
      </c>
      <c r="AV455">
        <v>0</v>
      </c>
      <c r="AW455">
        <v>0</v>
      </c>
      <c r="AX455" s="141">
        <f t="shared" si="470"/>
        <v>1</v>
      </c>
      <c r="AY455" s="141">
        <f t="shared" si="471"/>
        <v>1</v>
      </c>
      <c r="AZ455">
        <f t="shared" si="472"/>
        <v>0</v>
      </c>
      <c r="BA455">
        <f t="shared" si="473"/>
        <v>1</v>
      </c>
      <c r="BB455">
        <f t="shared" si="474"/>
        <v>0</v>
      </c>
      <c r="BC455">
        <f t="shared" si="475"/>
        <v>0</v>
      </c>
      <c r="BD455">
        <f t="shared" si="476"/>
        <v>0</v>
      </c>
      <c r="BE455" t="str" cm="1">
        <f t="array" ref="BE455">IF(AY455=1,INDEX($V$7:$AL$7,MATCH(TRUE,INDEX($V455:$AW455&lt;&gt;0,),0)),IF(AY455=0,INDEX($AM$7:$AW$7,MATCH(1,$AM455:$AW455,0)),IF(BF455="Multiple strategies","mixed drivers",IF(BF455="Supply chain","multiple supply","multiple silviculture"))))</f>
        <v>products lifespan</v>
      </c>
      <c r="BF455" s="2" t="str" cm="1">
        <f t="array" ref="BF455">IF(COUNTIF(AZ455:BB455,"&lt;&gt;0")=1,INDEX($V$4:$AW$4,MATCH(TRUE,INDEX($V455:$AW455&lt;&gt;0,),0)),IF(COUNTIF(AZ455:BB455,"&lt;&gt;0")=0,INDEX($AM$4:$AW$4,MATCH(1,$AM455:$AW455,0)),"Multiple strategies"))</f>
        <v>Supply chain</v>
      </c>
      <c r="BG455" s="1" t="s">
        <v>229</v>
      </c>
      <c r="BH455" t="s">
        <v>572</v>
      </c>
      <c r="BI455"/>
      <c r="BJ455" t="s">
        <v>345</v>
      </c>
      <c r="BK455">
        <f>80.2*1460</f>
        <v>117092</v>
      </c>
      <c r="BL455">
        <f t="shared" si="505"/>
        <v>117092</v>
      </c>
      <c r="BM455"/>
      <c r="BN455">
        <f t="shared" si="477"/>
        <v>0</v>
      </c>
      <c r="BO455">
        <f t="shared" si="506"/>
        <v>0</v>
      </c>
      <c r="BP455" s="264" t="s">
        <v>232</v>
      </c>
      <c r="BQ455" s="264"/>
      <c r="BR455" t="s">
        <v>573</v>
      </c>
      <c r="BS455">
        <v>-4208</v>
      </c>
      <c r="BT455">
        <v>-3185</v>
      </c>
      <c r="BU455" s="144">
        <v>0.75689163498098855</v>
      </c>
      <c r="BV455">
        <v>1023</v>
      </c>
      <c r="BW455"/>
      <c r="BX455">
        <f t="shared" si="507"/>
        <v>1023</v>
      </c>
      <c r="BY455" t="str">
        <f t="shared" si="468"/>
        <v/>
      </c>
      <c r="BZ455">
        <v>0</v>
      </c>
      <c r="CA455">
        <v>0</v>
      </c>
      <c r="CB455">
        <v>0</v>
      </c>
      <c r="CC455">
        <v>0</v>
      </c>
      <c r="CD455">
        <v>0</v>
      </c>
      <c r="CE455">
        <v>0</v>
      </c>
      <c r="CF455">
        <v>0</v>
      </c>
      <c r="CG455">
        <v>0</v>
      </c>
      <c r="CH455">
        <v>0</v>
      </c>
      <c r="CI455">
        <v>0</v>
      </c>
      <c r="CJ455">
        <v>0</v>
      </c>
      <c r="CK455">
        <v>0</v>
      </c>
      <c r="CL455">
        <v>0</v>
      </c>
      <c r="CM455">
        <v>0</v>
      </c>
      <c r="CN455" t="str">
        <f t="shared" si="481"/>
        <v>refOK</v>
      </c>
      <c r="CO455">
        <f t="shared" si="508"/>
        <v>117092</v>
      </c>
      <c r="CP455">
        <f t="shared" si="509"/>
        <v>117092</v>
      </c>
      <c r="CQ455">
        <f t="shared" si="484"/>
        <v>0</v>
      </c>
      <c r="CR455">
        <f t="shared" si="485"/>
        <v>-4208</v>
      </c>
      <c r="CS455">
        <f t="shared" si="486"/>
        <v>-3185</v>
      </c>
      <c r="CT455">
        <f t="shared" si="487"/>
        <v>1023</v>
      </c>
      <c r="CU455" t="str">
        <f t="shared" si="488"/>
        <v/>
      </c>
      <c r="CV455" s="2">
        <f t="shared" si="489"/>
        <v>0.2431083650190114</v>
      </c>
      <c r="CW455" s="1" t="s">
        <v>263</v>
      </c>
      <c r="CX455" s="264" t="str">
        <f t="shared" si="490"/>
        <v>loc</v>
      </c>
      <c r="CY455" t="s">
        <v>574</v>
      </c>
      <c r="CZ455"/>
      <c r="DA455"/>
      <c r="DB455">
        <v>100</v>
      </c>
      <c r="DC455" t="str">
        <f t="shared" si="492"/>
        <v>71-100</v>
      </c>
      <c r="DD455">
        <v>0</v>
      </c>
      <c r="DE455">
        <v>0</v>
      </c>
      <c r="DF455">
        <v>0</v>
      </c>
      <c r="DG455">
        <v>1</v>
      </c>
      <c r="DH455"/>
      <c r="DI455">
        <f t="shared" si="493"/>
        <v>1</v>
      </c>
      <c r="DJ455" t="str">
        <f t="shared" si="494"/>
        <v>TimberInput</v>
      </c>
      <c r="DK455">
        <f t="shared" si="495"/>
        <v>0</v>
      </c>
      <c r="DL455">
        <f t="shared" si="496"/>
        <v>0</v>
      </c>
      <c r="DM455">
        <f t="shared" si="497"/>
        <v>0</v>
      </c>
      <c r="DN455" t="str">
        <f t="shared" si="498"/>
        <v>Timber</v>
      </c>
      <c r="DO455">
        <v>0</v>
      </c>
      <c r="DP455">
        <v>0</v>
      </c>
      <c r="DQ455">
        <v>0</v>
      </c>
      <c r="DR455">
        <v>0</v>
      </c>
      <c r="DS455">
        <v>0</v>
      </c>
      <c r="DT455">
        <f t="shared" si="499"/>
        <v>0</v>
      </c>
      <c r="DU455" s="143" t="str">
        <f t="shared" si="500"/>
        <v>explicit C balance</v>
      </c>
      <c r="DV455">
        <v>0</v>
      </c>
      <c r="DW455">
        <v>1</v>
      </c>
      <c r="DX455">
        <v>0</v>
      </c>
      <c r="DY455">
        <v>1</v>
      </c>
      <c r="DZ455">
        <v>1</v>
      </c>
      <c r="EA455" s="143">
        <v>0</v>
      </c>
      <c r="EB455">
        <v>1</v>
      </c>
      <c r="EC455">
        <v>1</v>
      </c>
      <c r="ED455">
        <v>0</v>
      </c>
      <c r="EE455">
        <v>1</v>
      </c>
      <c r="EF455">
        <v>0</v>
      </c>
      <c r="EG455">
        <v>0</v>
      </c>
      <c r="EH455">
        <v>0</v>
      </c>
      <c r="EI455" s="2">
        <v>0</v>
      </c>
      <c r="EJ455" s="1"/>
      <c r="EK455" t="str">
        <f t="shared" si="501"/>
        <v/>
      </c>
      <c r="EL455" t="str">
        <f t="shared" si="502"/>
        <v/>
      </c>
      <c r="EM455" s="2" t="str">
        <f t="shared" si="469"/>
        <v/>
      </c>
      <c r="EN455"/>
      <c r="EO455"/>
      <c r="EP455" t="b">
        <f>IF(ISNUMBER(BU455),IF(ABS(BU455-[4]QC_indicators!$B$2)&gt;3*[4]QC_indicators!$C$2,"C ratio",IF(ISNUMBER(BY455),IF(ABS(BY455-[4]QC_indicators!$B$1)&gt;3*[4]QC_indicators!$C$1,"DF","no"))),IF(ISNUMBER(BY455),IF(ABS(BY455-[4]QC_indicators!$B$1)&gt;3*[4]QC_indicators!$C$1,"DF","no")))</f>
        <v>0</v>
      </c>
      <c r="EQ455"/>
      <c r="ER455" s="294" t="s">
        <v>349</v>
      </c>
      <c r="ES455"/>
      <c r="ET455" s="264" t="s">
        <v>3406</v>
      </c>
      <c r="EU455"/>
    </row>
    <row r="456" spans="1:151" s="139" customFormat="1" ht="15" hidden="1" customHeight="1">
      <c r="A456" s="1" t="s">
        <v>562</v>
      </c>
      <c r="B456" t="s">
        <v>544</v>
      </c>
      <c r="C456" t="s">
        <v>563</v>
      </c>
      <c r="D456" t="s">
        <v>564</v>
      </c>
      <c r="E456" t="s">
        <v>565</v>
      </c>
      <c r="F456" t="s">
        <v>566</v>
      </c>
      <c r="G456" t="s">
        <v>567</v>
      </c>
      <c r="H456" t="s">
        <v>254</v>
      </c>
      <c r="I456">
        <v>2009</v>
      </c>
      <c r="J456">
        <v>16</v>
      </c>
      <c r="K456" t="s">
        <v>568</v>
      </c>
      <c r="L456"/>
      <c r="M456" t="str">
        <f t="shared" si="510"/>
        <v>Crawford_2009</v>
      </c>
      <c r="N456" t="s">
        <v>222</v>
      </c>
      <c r="O456" s="145" t="s">
        <v>223</v>
      </c>
      <c r="P456"/>
      <c r="Q456" s="264" t="s">
        <v>256</v>
      </c>
      <c r="R456" s="269" t="s">
        <v>1153</v>
      </c>
      <c r="S456" s="1" t="s">
        <v>569</v>
      </c>
      <c r="T456" s="264" t="s">
        <v>577</v>
      </c>
      <c r="U456" s="264" t="s">
        <v>578</v>
      </c>
      <c r="V456">
        <v>0</v>
      </c>
      <c r="W456">
        <v>0</v>
      </c>
      <c r="X456">
        <v>0</v>
      </c>
      <c r="Y456">
        <v>0</v>
      </c>
      <c r="Z456">
        <v>0</v>
      </c>
      <c r="AA456">
        <v>0</v>
      </c>
      <c r="AB456">
        <v>0</v>
      </c>
      <c r="AC456">
        <v>0</v>
      </c>
      <c r="AD456">
        <v>0</v>
      </c>
      <c r="AE456">
        <v>0</v>
      </c>
      <c r="AF456">
        <v>0</v>
      </c>
      <c r="AG456">
        <v>0</v>
      </c>
      <c r="AH456">
        <v>0</v>
      </c>
      <c r="AI456">
        <v>1</v>
      </c>
      <c r="AJ456">
        <v>0</v>
      </c>
      <c r="AK456">
        <v>0</v>
      </c>
      <c r="AL456">
        <v>0</v>
      </c>
      <c r="AM456">
        <v>0</v>
      </c>
      <c r="AN456">
        <v>0</v>
      </c>
      <c r="AO456">
        <v>0</v>
      </c>
      <c r="AP456">
        <v>0</v>
      </c>
      <c r="AQ456">
        <v>0</v>
      </c>
      <c r="AR456">
        <v>0</v>
      </c>
      <c r="AS456">
        <v>0</v>
      </c>
      <c r="AT456">
        <v>0</v>
      </c>
      <c r="AU456">
        <v>0</v>
      </c>
      <c r="AV456">
        <v>0</v>
      </c>
      <c r="AW456">
        <v>0</v>
      </c>
      <c r="AX456" s="141">
        <f t="shared" si="470"/>
        <v>1</v>
      </c>
      <c r="AY456" s="141">
        <f t="shared" si="471"/>
        <v>1</v>
      </c>
      <c r="AZ456">
        <f t="shared" si="472"/>
        <v>0</v>
      </c>
      <c r="BA456">
        <f t="shared" si="473"/>
        <v>1</v>
      </c>
      <c r="BB456">
        <f t="shared" si="474"/>
        <v>0</v>
      </c>
      <c r="BC456">
        <f t="shared" si="475"/>
        <v>0</v>
      </c>
      <c r="BD456">
        <f t="shared" si="476"/>
        <v>0</v>
      </c>
      <c r="BE456" t="str" cm="1">
        <f t="array" ref="BE456">IF(AY456=1,INDEX($V$7:$AL$7,MATCH(TRUE,INDEX($V456:$AW456&lt;&gt;0,),0)),IF(AY456=0,INDEX($AM$7:$AW$7,MATCH(1,$AM456:$AW456,0)),IF(BF456="Multiple strategies","mixed drivers",IF(BF456="Supply chain","multiple supply","multiple silviculture"))))</f>
        <v>products lifespan</v>
      </c>
      <c r="BF456" s="2" t="str" cm="1">
        <f t="array" ref="BF456">IF(COUNTIF(AZ456:BB456,"&lt;&gt;0")=1,INDEX($V$4:$AW$4,MATCH(TRUE,INDEX($V456:$AW456&lt;&gt;0,),0)),IF(COUNTIF(AZ456:BB456,"&lt;&gt;0")=0,INDEX($AM$4:$AW$4,MATCH(1,$AM456:$AW456,0)),"Multiple strategies"))</f>
        <v>Supply chain</v>
      </c>
      <c r="BG456" s="1" t="s">
        <v>229</v>
      </c>
      <c r="BH456" t="s">
        <v>572</v>
      </c>
      <c r="BI456"/>
      <c r="BJ456" t="s">
        <v>345</v>
      </c>
      <c r="BK456">
        <f>80.2*1460</f>
        <v>117092</v>
      </c>
      <c r="BL456">
        <f t="shared" si="505"/>
        <v>117092</v>
      </c>
      <c r="BM456"/>
      <c r="BN456">
        <f t="shared" si="477"/>
        <v>0</v>
      </c>
      <c r="BO456">
        <f t="shared" si="506"/>
        <v>0</v>
      </c>
      <c r="BP456" s="264" t="s">
        <v>232</v>
      </c>
      <c r="BQ456" s="264"/>
      <c r="BR456" t="s">
        <v>573</v>
      </c>
      <c r="BS456">
        <v>-3631</v>
      </c>
      <c r="BT456">
        <v>-2751</v>
      </c>
      <c r="BU456" s="144">
        <v>0.75764252272101351</v>
      </c>
      <c r="BV456">
        <v>880</v>
      </c>
      <c r="BW456"/>
      <c r="BX456">
        <f t="shared" si="507"/>
        <v>880</v>
      </c>
      <c r="BY456" t="str">
        <f t="shared" si="468"/>
        <v/>
      </c>
      <c r="BZ456">
        <v>0</v>
      </c>
      <c r="CA456">
        <v>0</v>
      </c>
      <c r="CB456">
        <v>0</v>
      </c>
      <c r="CC456">
        <v>0</v>
      </c>
      <c r="CD456">
        <v>0</v>
      </c>
      <c r="CE456">
        <v>0</v>
      </c>
      <c r="CF456">
        <v>0</v>
      </c>
      <c r="CG456">
        <v>0</v>
      </c>
      <c r="CH456">
        <v>0</v>
      </c>
      <c r="CI456">
        <v>0</v>
      </c>
      <c r="CJ456">
        <v>0</v>
      </c>
      <c r="CK456">
        <v>0</v>
      </c>
      <c r="CL456">
        <v>0</v>
      </c>
      <c r="CM456">
        <v>0</v>
      </c>
      <c r="CN456" t="str">
        <f t="shared" si="481"/>
        <v>refOK</v>
      </c>
      <c r="CO456">
        <f t="shared" si="508"/>
        <v>117092</v>
      </c>
      <c r="CP456">
        <f t="shared" si="509"/>
        <v>117092</v>
      </c>
      <c r="CQ456">
        <f t="shared" si="484"/>
        <v>0</v>
      </c>
      <c r="CR456">
        <f t="shared" si="485"/>
        <v>-3631</v>
      </c>
      <c r="CS456">
        <f t="shared" si="486"/>
        <v>-2751</v>
      </c>
      <c r="CT456">
        <f t="shared" si="487"/>
        <v>880</v>
      </c>
      <c r="CU456" t="str">
        <f t="shared" si="488"/>
        <v/>
      </c>
      <c r="CV456" s="2">
        <f t="shared" si="489"/>
        <v>0.24235747727898652</v>
      </c>
      <c r="CW456" s="1" t="s">
        <v>263</v>
      </c>
      <c r="CX456" s="264" t="str">
        <f t="shared" si="490"/>
        <v>loc</v>
      </c>
      <c r="CY456" t="s">
        <v>574</v>
      </c>
      <c r="CZ456"/>
      <c r="DA456"/>
      <c r="DB456">
        <v>100</v>
      </c>
      <c r="DC456" t="str">
        <f t="shared" si="492"/>
        <v>71-100</v>
      </c>
      <c r="DD456">
        <v>0</v>
      </c>
      <c r="DE456">
        <v>0</v>
      </c>
      <c r="DF456">
        <v>0</v>
      </c>
      <c r="DG456">
        <v>1</v>
      </c>
      <c r="DH456"/>
      <c r="DI456">
        <f t="shared" si="493"/>
        <v>1</v>
      </c>
      <c r="DJ456" t="str">
        <f t="shared" si="494"/>
        <v>TimberInput</v>
      </c>
      <c r="DK456">
        <f t="shared" si="495"/>
        <v>0</v>
      </c>
      <c r="DL456">
        <f t="shared" si="496"/>
        <v>0</v>
      </c>
      <c r="DM456">
        <f t="shared" si="497"/>
        <v>0</v>
      </c>
      <c r="DN456" t="str">
        <f t="shared" si="498"/>
        <v>Timber</v>
      </c>
      <c r="DO456">
        <v>0</v>
      </c>
      <c r="DP456">
        <v>0</v>
      </c>
      <c r="DQ456">
        <v>0</v>
      </c>
      <c r="DR456">
        <v>0</v>
      </c>
      <c r="DS456">
        <v>0</v>
      </c>
      <c r="DT456">
        <f t="shared" si="499"/>
        <v>0</v>
      </c>
      <c r="DU456" s="143" t="str">
        <f t="shared" si="500"/>
        <v>explicit C balance</v>
      </c>
      <c r="DV456">
        <v>0</v>
      </c>
      <c r="DW456">
        <v>1</v>
      </c>
      <c r="DX456">
        <v>0</v>
      </c>
      <c r="DY456">
        <v>1</v>
      </c>
      <c r="DZ456">
        <v>1</v>
      </c>
      <c r="EA456" s="143">
        <v>0</v>
      </c>
      <c r="EB456">
        <v>1</v>
      </c>
      <c r="EC456">
        <v>1</v>
      </c>
      <c r="ED456">
        <v>0</v>
      </c>
      <c r="EE456">
        <v>1</v>
      </c>
      <c r="EF456">
        <v>0</v>
      </c>
      <c r="EG456">
        <v>0</v>
      </c>
      <c r="EH456">
        <v>0</v>
      </c>
      <c r="EI456" s="2">
        <v>0</v>
      </c>
      <c r="EJ456" s="1"/>
      <c r="EK456" t="str">
        <f t="shared" si="501"/>
        <v/>
      </c>
      <c r="EL456" t="str">
        <f t="shared" si="502"/>
        <v/>
      </c>
      <c r="EM456" s="2" t="str">
        <f t="shared" si="469"/>
        <v/>
      </c>
      <c r="EN456"/>
      <c r="EO456"/>
      <c r="EP456" t="b">
        <f>IF(ISNUMBER(BU456),IF(ABS(BU456-[4]QC_indicators!$B$2)&gt;3*[4]QC_indicators!$C$2,"C ratio",IF(ISNUMBER(BY456),IF(ABS(BY456-[4]QC_indicators!$B$1)&gt;3*[4]QC_indicators!$C$1,"DF","no"))),IF(ISNUMBER(BY456),IF(ABS(BY456-[4]QC_indicators!$B$1)&gt;3*[4]QC_indicators!$C$1,"DF","no")))</f>
        <v>0</v>
      </c>
      <c r="EQ456"/>
      <c r="ER456" s="294" t="s">
        <v>349</v>
      </c>
      <c r="ES456"/>
      <c r="ET456" s="264" t="s">
        <v>3406</v>
      </c>
      <c r="EU456"/>
    </row>
    <row r="457" spans="1:151" s="139" customFormat="1" ht="15" hidden="1" customHeight="1">
      <c r="A457" s="1" t="s">
        <v>562</v>
      </c>
      <c r="B457" t="s">
        <v>544</v>
      </c>
      <c r="C457" t="s">
        <v>563</v>
      </c>
      <c r="D457" t="s">
        <v>564</v>
      </c>
      <c r="E457" t="s">
        <v>565</v>
      </c>
      <c r="F457" t="s">
        <v>566</v>
      </c>
      <c r="G457" t="s">
        <v>567</v>
      </c>
      <c r="H457" t="s">
        <v>254</v>
      </c>
      <c r="I457">
        <v>2009</v>
      </c>
      <c r="J457">
        <v>16</v>
      </c>
      <c r="K457" t="s">
        <v>568</v>
      </c>
      <c r="L457"/>
      <c r="M457" t="str">
        <f t="shared" si="510"/>
        <v>Crawford_2009</v>
      </c>
      <c r="N457" t="s">
        <v>222</v>
      </c>
      <c r="O457" s="145" t="s">
        <v>223</v>
      </c>
      <c r="P457"/>
      <c r="Q457" s="264" t="s">
        <v>256</v>
      </c>
      <c r="R457" s="269" t="s">
        <v>1153</v>
      </c>
      <c r="S457" s="1" t="s">
        <v>569</v>
      </c>
      <c r="T457" s="264" t="s">
        <v>586</v>
      </c>
      <c r="U457" s="264" t="s">
        <v>578</v>
      </c>
      <c r="V457">
        <v>0</v>
      </c>
      <c r="W457">
        <v>0</v>
      </c>
      <c r="X457">
        <v>0</v>
      </c>
      <c r="Y457">
        <v>0</v>
      </c>
      <c r="Z457">
        <v>0</v>
      </c>
      <c r="AA457">
        <v>0</v>
      </c>
      <c r="AB457">
        <v>0</v>
      </c>
      <c r="AC457">
        <v>0</v>
      </c>
      <c r="AD457">
        <v>0</v>
      </c>
      <c r="AE457">
        <v>0</v>
      </c>
      <c r="AF457">
        <v>0</v>
      </c>
      <c r="AG457">
        <v>0</v>
      </c>
      <c r="AH457">
        <v>0</v>
      </c>
      <c r="AI457">
        <v>0</v>
      </c>
      <c r="AJ457">
        <v>0</v>
      </c>
      <c r="AK457">
        <v>1</v>
      </c>
      <c r="AL457">
        <v>0</v>
      </c>
      <c r="AM457">
        <v>0</v>
      </c>
      <c r="AN457">
        <v>0</v>
      </c>
      <c r="AO457">
        <v>0</v>
      </c>
      <c r="AP457">
        <v>0</v>
      </c>
      <c r="AQ457">
        <v>0</v>
      </c>
      <c r="AR457">
        <v>0</v>
      </c>
      <c r="AS457">
        <v>0</v>
      </c>
      <c r="AT457">
        <v>0</v>
      </c>
      <c r="AU457">
        <v>0</v>
      </c>
      <c r="AV457">
        <v>0</v>
      </c>
      <c r="AW457">
        <v>0</v>
      </c>
      <c r="AX457" s="141">
        <f t="shared" si="470"/>
        <v>1</v>
      </c>
      <c r="AY457" s="141">
        <f t="shared" si="471"/>
        <v>1</v>
      </c>
      <c r="AZ457">
        <f t="shared" si="472"/>
        <v>0</v>
      </c>
      <c r="BA457">
        <f t="shared" si="473"/>
        <v>0</v>
      </c>
      <c r="BB457">
        <f t="shared" si="474"/>
        <v>1</v>
      </c>
      <c r="BC457">
        <f t="shared" si="475"/>
        <v>0</v>
      </c>
      <c r="BD457">
        <f t="shared" si="476"/>
        <v>0</v>
      </c>
      <c r="BE457" t="str" cm="1">
        <f t="array" ref="BE457">IF(AY457=1,INDEX($V$7:$AL$7,MATCH(TRUE,INDEX($V457:$AW457&lt;&gt;0,),0)),IF(AY457=0,INDEX($AM$7:$AW$7,MATCH(1,$AM457:$AW457,0)),IF(BF457="Multiple strategies","mixed drivers",IF(BF457="Supply chain","multiple supply","multiple silviculture"))))</f>
        <v>technologies/design switch</v>
      </c>
      <c r="BF457" s="2" t="str" cm="1">
        <f t="array" ref="BF457">IF(COUNTIF(AZ457:BB457,"&lt;&gt;0")=1,INDEX($V$4:$AW$4,MATCH(TRUE,INDEX($V457:$AW457&lt;&gt;0,),0)),IF(COUNTIF(AZ457:BB457,"&lt;&gt;0")=0,INDEX($AM$4:$AW$4,MATCH(1,$AM457:$AW457,0)),"Multiple strategies"))</f>
        <v>Technology</v>
      </c>
      <c r="BG457" s="1" t="s">
        <v>229</v>
      </c>
      <c r="BH457" t="s">
        <v>572</v>
      </c>
      <c r="BI457"/>
      <c r="BJ457" t="s">
        <v>345</v>
      </c>
      <c r="BK457">
        <f>80.2*1460</f>
        <v>117092</v>
      </c>
      <c r="BL457">
        <f t="shared" si="505"/>
        <v>117092</v>
      </c>
      <c r="BM457"/>
      <c r="BN457">
        <f t="shared" si="477"/>
        <v>0</v>
      </c>
      <c r="BO457">
        <f t="shared" si="506"/>
        <v>0</v>
      </c>
      <c r="BP457" s="264" t="s">
        <v>232</v>
      </c>
      <c r="BQ457"/>
      <c r="BR457" t="s">
        <v>573</v>
      </c>
      <c r="BS457">
        <v>-3185</v>
      </c>
      <c r="BT457">
        <v>-2751</v>
      </c>
      <c r="BU457"/>
      <c r="BV457"/>
      <c r="BW457"/>
      <c r="BX457"/>
      <c r="BY457" t="str">
        <f t="shared" si="468"/>
        <v/>
      </c>
      <c r="BZ457"/>
      <c r="CA457"/>
      <c r="CB457"/>
      <c r="CC457"/>
      <c r="CD457"/>
      <c r="CE457"/>
      <c r="CF457"/>
      <c r="CG457"/>
      <c r="CH457"/>
      <c r="CI457"/>
      <c r="CJ457"/>
      <c r="CK457"/>
      <c r="CL457"/>
      <c r="CM457"/>
      <c r="CN457"/>
      <c r="CO457"/>
      <c r="CP457"/>
      <c r="CQ457"/>
      <c r="CR457"/>
      <c r="CS457"/>
      <c r="CT457"/>
      <c r="CU457" t="str">
        <f t="shared" si="488"/>
        <v/>
      </c>
      <c r="CV457" s="2"/>
      <c r="CW457" s="1" t="s">
        <v>263</v>
      </c>
      <c r="CX457" s="264" t="str">
        <f t="shared" si="490"/>
        <v>loc</v>
      </c>
      <c r="CY457" t="s">
        <v>574</v>
      </c>
      <c r="CZ457"/>
      <c r="DA457"/>
      <c r="DB457">
        <v>100</v>
      </c>
      <c r="DC457" t="str">
        <f t="shared" si="492"/>
        <v>71-100</v>
      </c>
      <c r="DD457">
        <v>0</v>
      </c>
      <c r="DE457">
        <v>0</v>
      </c>
      <c r="DF457">
        <v>0</v>
      </c>
      <c r="DG457">
        <v>1</v>
      </c>
      <c r="DH457"/>
      <c r="DI457">
        <f t="shared" si="493"/>
        <v>1</v>
      </c>
      <c r="DJ457" t="str">
        <f t="shared" si="494"/>
        <v>TimberInput</v>
      </c>
      <c r="DK457">
        <f t="shared" si="495"/>
        <v>0</v>
      </c>
      <c r="DL457">
        <f t="shared" si="496"/>
        <v>0</v>
      </c>
      <c r="DM457">
        <f t="shared" si="497"/>
        <v>0</v>
      </c>
      <c r="DN457" t="str">
        <f t="shared" si="498"/>
        <v>Timber</v>
      </c>
      <c r="DO457">
        <v>0</v>
      </c>
      <c r="DP457">
        <v>0</v>
      </c>
      <c r="DQ457">
        <v>0</v>
      </c>
      <c r="DR457">
        <v>0</v>
      </c>
      <c r="DS457">
        <v>0</v>
      </c>
      <c r="DT457">
        <f t="shared" si="499"/>
        <v>0</v>
      </c>
      <c r="DU457" s="143" t="str">
        <f t="shared" si="500"/>
        <v>explicit C balance</v>
      </c>
      <c r="DV457">
        <v>0</v>
      </c>
      <c r="DW457">
        <v>1</v>
      </c>
      <c r="DX457">
        <v>0</v>
      </c>
      <c r="DY457">
        <v>1</v>
      </c>
      <c r="DZ457">
        <v>1</v>
      </c>
      <c r="EA457" s="143">
        <v>0</v>
      </c>
      <c r="EB457">
        <v>1</v>
      </c>
      <c r="EC457">
        <v>1</v>
      </c>
      <c r="ED457">
        <v>0</v>
      </c>
      <c r="EE457">
        <v>1</v>
      </c>
      <c r="EF457">
        <v>0</v>
      </c>
      <c r="EG457">
        <v>0</v>
      </c>
      <c r="EH457">
        <v>0</v>
      </c>
      <c r="EI457" s="2">
        <v>0</v>
      </c>
      <c r="EJ457" s="1"/>
      <c r="EK457" t="str">
        <f t="shared" si="501"/>
        <v/>
      </c>
      <c r="EL457" t="str">
        <f t="shared" si="502"/>
        <v/>
      </c>
      <c r="EM457" s="2" t="str">
        <f t="shared" si="469"/>
        <v/>
      </c>
      <c r="EN457"/>
      <c r="EO457"/>
      <c r="EP457"/>
      <c r="EQ457"/>
      <c r="ER457"/>
      <c r="ES457"/>
      <c r="ET457" s="264" t="s">
        <v>3406</v>
      </c>
      <c r="EU457"/>
    </row>
    <row r="458" spans="1:151" s="139" customFormat="1" ht="15" hidden="1" customHeight="1">
      <c r="A458" s="1" t="s">
        <v>587</v>
      </c>
      <c r="B458" t="s">
        <v>588</v>
      </c>
      <c r="C458" t="s">
        <v>589</v>
      </c>
      <c r="D458" t="s">
        <v>590</v>
      </c>
      <c r="E458" t="s">
        <v>591</v>
      </c>
      <c r="F458" t="s">
        <v>592</v>
      </c>
      <c r="G458" t="s">
        <v>593</v>
      </c>
      <c r="H458" t="s">
        <v>254</v>
      </c>
      <c r="I458">
        <v>2021</v>
      </c>
      <c r="J458">
        <v>17</v>
      </c>
      <c r="K458" t="s">
        <v>594</v>
      </c>
      <c r="L458"/>
      <c r="M458" t="str">
        <f t="shared" si="510"/>
        <v>D'Amico_2021</v>
      </c>
      <c r="N458" t="s">
        <v>222</v>
      </c>
      <c r="O458" s="145" t="s">
        <v>223</v>
      </c>
      <c r="P458"/>
      <c r="Q458" s="264" t="s">
        <v>256</v>
      </c>
      <c r="R458" s="269" t="s">
        <v>1153</v>
      </c>
      <c r="S458" s="1" t="s">
        <v>595</v>
      </c>
      <c r="T458" t="s">
        <v>258</v>
      </c>
      <c r="U458" t="s">
        <v>259</v>
      </c>
      <c r="V458">
        <v>0</v>
      </c>
      <c r="W458">
        <v>0</v>
      </c>
      <c r="X458">
        <v>0</v>
      </c>
      <c r="Y458">
        <v>0</v>
      </c>
      <c r="Z458">
        <v>0</v>
      </c>
      <c r="AA458">
        <v>0</v>
      </c>
      <c r="AB458">
        <v>0</v>
      </c>
      <c r="AC458">
        <v>0</v>
      </c>
      <c r="AD458">
        <v>0</v>
      </c>
      <c r="AE458">
        <v>0</v>
      </c>
      <c r="AF458">
        <v>0</v>
      </c>
      <c r="AG458">
        <v>0</v>
      </c>
      <c r="AH458">
        <v>0</v>
      </c>
      <c r="AI458">
        <v>0</v>
      </c>
      <c r="AJ458">
        <v>0</v>
      </c>
      <c r="AK458">
        <v>1</v>
      </c>
      <c r="AL458">
        <v>0</v>
      </c>
      <c r="AM458">
        <v>0</v>
      </c>
      <c r="AN458">
        <v>0</v>
      </c>
      <c r="AO458">
        <v>0</v>
      </c>
      <c r="AP458">
        <v>0</v>
      </c>
      <c r="AQ458">
        <v>0</v>
      </c>
      <c r="AR458">
        <v>0</v>
      </c>
      <c r="AS458">
        <v>0</v>
      </c>
      <c r="AT458">
        <v>0</v>
      </c>
      <c r="AU458">
        <v>0</v>
      </c>
      <c r="AV458">
        <v>0</v>
      </c>
      <c r="AW458">
        <v>0</v>
      </c>
      <c r="AX458" s="141">
        <f t="shared" si="470"/>
        <v>1</v>
      </c>
      <c r="AY458" s="141">
        <f t="shared" si="471"/>
        <v>1</v>
      </c>
      <c r="AZ458">
        <f t="shared" si="472"/>
        <v>0</v>
      </c>
      <c r="BA458">
        <f t="shared" si="473"/>
        <v>0</v>
      </c>
      <c r="BB458">
        <f t="shared" si="474"/>
        <v>1</v>
      </c>
      <c r="BC458">
        <f t="shared" si="475"/>
        <v>0</v>
      </c>
      <c r="BD458">
        <f t="shared" si="476"/>
        <v>0</v>
      </c>
      <c r="BE458" t="str" cm="1">
        <f t="array" ref="BE458">IF(AY458=1,INDEX($V$7:$AL$7,MATCH(TRUE,INDEX($V458:$AW458&lt;&gt;0,),0)),IF(AY458=0,INDEX($AM$7:$AW$7,MATCH(1,$AM458:$AW458,0)),IF(BF458="Multiple strategies","mixed drivers",IF(BF458="Supply chain","multiple supply","multiple silviculture"))))</f>
        <v>technologies/design switch</v>
      </c>
      <c r="BF458" s="2" t="str" cm="1">
        <f t="array" ref="BF458">IF(COUNTIF(AZ458:BB458,"&lt;&gt;0")=1,INDEX($V$4:$AW$4,MATCH(TRUE,INDEX($V458:$AW458&lt;&gt;0,),0)),IF(COUNTIF(AZ458:BB458,"&lt;&gt;0")=0,INDEX($AM$4:$AW$4,MATCH(1,$AM458:$AW458,0)),"Multiple strategies"))</f>
        <v>Technology</v>
      </c>
      <c r="BG458" s="1" t="s">
        <v>229</v>
      </c>
      <c r="BH458" t="s">
        <v>596</v>
      </c>
      <c r="BI458"/>
      <c r="BJ458" t="s">
        <v>597</v>
      </c>
      <c r="BK458">
        <v>0</v>
      </c>
      <c r="BL458">
        <v>33</v>
      </c>
      <c r="BM458"/>
      <c r="BN458">
        <f t="shared" si="477"/>
        <v>33</v>
      </c>
      <c r="BO458">
        <f>BN458*10^6*t_to_m3</f>
        <v>67346938.775510207</v>
      </c>
      <c r="BP458" s="264" t="s">
        <v>232</v>
      </c>
      <c r="BQ458" s="264"/>
      <c r="BR458" t="s">
        <v>598</v>
      </c>
      <c r="BS458">
        <v>-237</v>
      </c>
      <c r="BT458">
        <v>-185.5</v>
      </c>
      <c r="BU458" s="144">
        <v>0.78270042194092826</v>
      </c>
      <c r="BV458">
        <v>51.5</v>
      </c>
      <c r="BW458"/>
      <c r="BX458">
        <f>BV458*10^6</f>
        <v>51500000</v>
      </c>
      <c r="BY458">
        <f t="shared" si="468"/>
        <v>0.76469696969696965</v>
      </c>
      <c r="BZ458">
        <v>0</v>
      </c>
      <c r="CA458">
        <v>0</v>
      </c>
      <c r="CB458">
        <v>0</v>
      </c>
      <c r="CC458">
        <v>0</v>
      </c>
      <c r="CD458">
        <v>0</v>
      </c>
      <c r="CE458">
        <v>0</v>
      </c>
      <c r="CF458">
        <v>0</v>
      </c>
      <c r="CG458">
        <v>0</v>
      </c>
      <c r="CH458">
        <v>0</v>
      </c>
      <c r="CI458">
        <v>0</v>
      </c>
      <c r="CJ458">
        <v>0</v>
      </c>
      <c r="CK458">
        <v>0</v>
      </c>
      <c r="CL458">
        <v>0</v>
      </c>
      <c r="CM458">
        <v>0</v>
      </c>
      <c r="CN458" t="str">
        <f>IF($BL458&lt;$BK458,"refNeedCorrection","refOK")</f>
        <v>refOK</v>
      </c>
      <c r="CO458">
        <f>IF($CN458="refOK",$BK458,$BL458)</f>
        <v>0</v>
      </c>
      <c r="CP458">
        <f>IF($CN458="refOK",$BL458,$BK458)</f>
        <v>33</v>
      </c>
      <c r="CQ458">
        <f>IF($CN458="refOK",$BO458,-$BO458)</f>
        <v>67346938.775510207</v>
      </c>
      <c r="CR458">
        <f t="shared" ref="CR458:CR465" si="511">IF($CN458="refOK",$BS458,$BT458)*IF($BP458="Emissions positive",-1,1)</f>
        <v>-237</v>
      </c>
      <c r="CS458">
        <f t="shared" ref="CS458:CS465" si="512">IF($CN458="refOK",$BT458,$BS458)*IF($BP458="Emissions positive",-1,1)</f>
        <v>-185.5</v>
      </c>
      <c r="CT458">
        <f t="shared" ref="CT458:CT465" si="513">IF($CN458="refNeedCorrection",-BX458,BX458)*IF($BP458="Emissions positive",-1,1)</f>
        <v>51500000</v>
      </c>
      <c r="CU458">
        <f t="shared" si="488"/>
        <v>0.76469696969696965</v>
      </c>
      <c r="CV458" s="2">
        <f t="shared" ref="CV458:CV465" si="514">IFERROR((CS458-CR458)/ABS(CR458),"")</f>
        <v>0.21729957805907174</v>
      </c>
      <c r="CW458" s="1" t="s">
        <v>263</v>
      </c>
      <c r="CX458" s="264" t="str">
        <f t="shared" si="490"/>
        <v>loc</v>
      </c>
      <c r="CY458" s="308" t="s">
        <v>3422</v>
      </c>
      <c r="CZ458">
        <v>2020</v>
      </c>
      <c r="DA458">
        <v>2050</v>
      </c>
      <c r="DB458">
        <f>DA458-CZ458</f>
        <v>30</v>
      </c>
      <c r="DC458" t="str">
        <f t="shared" si="492"/>
        <v>1-30</v>
      </c>
      <c r="DD458">
        <v>0</v>
      </c>
      <c r="DE458">
        <v>0</v>
      </c>
      <c r="DF458">
        <v>0</v>
      </c>
      <c r="DG458">
        <v>1</v>
      </c>
      <c r="DH458"/>
      <c r="DI458">
        <f t="shared" si="493"/>
        <v>1</v>
      </c>
      <c r="DJ458" t="str">
        <f t="shared" si="494"/>
        <v>TimberInput</v>
      </c>
      <c r="DK458">
        <f t="shared" si="495"/>
        <v>0</v>
      </c>
      <c r="DL458">
        <f t="shared" si="496"/>
        <v>0</v>
      </c>
      <c r="DM458">
        <f t="shared" si="497"/>
        <v>0</v>
      </c>
      <c r="DN458" t="str">
        <f t="shared" si="498"/>
        <v>Timber</v>
      </c>
      <c r="DO458">
        <v>0</v>
      </c>
      <c r="DP458">
        <v>0</v>
      </c>
      <c r="DQ458">
        <v>0</v>
      </c>
      <c r="DR458">
        <v>0</v>
      </c>
      <c r="DS458">
        <v>0</v>
      </c>
      <c r="DT458">
        <f t="shared" si="499"/>
        <v>0</v>
      </c>
      <c r="DU458" s="143" t="str">
        <f t="shared" si="500"/>
        <v>explicit C balance</v>
      </c>
      <c r="DV458">
        <v>0</v>
      </c>
      <c r="DW458">
        <v>0</v>
      </c>
      <c r="DX458">
        <v>0</v>
      </c>
      <c r="DY458">
        <v>0</v>
      </c>
      <c r="DZ458">
        <v>0</v>
      </c>
      <c r="EA458" s="143">
        <v>0</v>
      </c>
      <c r="EB458">
        <v>1</v>
      </c>
      <c r="EC458">
        <v>1</v>
      </c>
      <c r="ED458">
        <v>0</v>
      </c>
      <c r="EE458">
        <v>1</v>
      </c>
      <c r="EF458">
        <v>0</v>
      </c>
      <c r="EG458">
        <v>0</v>
      </c>
      <c r="EH458">
        <v>0</v>
      </c>
      <c r="EI458" s="2">
        <v>0</v>
      </c>
      <c r="EJ458" s="1"/>
      <c r="EK458" t="str">
        <f t="shared" si="501"/>
        <v/>
      </c>
      <c r="EL458" t="str">
        <f t="shared" si="502"/>
        <v/>
      </c>
      <c r="EM458" s="2" t="str">
        <f t="shared" si="469"/>
        <v>Technology approach</v>
      </c>
      <c r="EN458"/>
      <c r="EO458"/>
      <c r="EP458" t="str">
        <f>IF(ISNUMBER(BU458),IF(ABS(BU458-[4]QC_indicators!$B$2)&gt;3*[4]QC_indicators!$C$2,"C ratio",IF(ISNUMBER(BY458),IF(ABS(BY458-[4]QC_indicators!$B$1)&gt;3*[4]QC_indicators!$C$1,"DF","no"))),IF(ISNUMBER(BY458),IF(ABS(BY458-[4]QC_indicators!$B$1)&gt;3*[4]QC_indicators!$C$1,"DF","no")))</f>
        <v>no</v>
      </c>
      <c r="EQ458"/>
      <c r="ER458" s="294" t="s">
        <v>349</v>
      </c>
      <c r="ES458"/>
      <c r="ET458" s="264" t="s">
        <v>3406</v>
      </c>
      <c r="EU458"/>
    </row>
    <row r="459" spans="1:151" s="139" customFormat="1" ht="15" hidden="1" customHeight="1">
      <c r="A459" s="1" t="s">
        <v>3547</v>
      </c>
      <c r="B459" t="s">
        <v>3548</v>
      </c>
      <c r="C459" t="s">
        <v>3549</v>
      </c>
      <c r="D459" t="s">
        <v>3550</v>
      </c>
      <c r="E459" s="311" t="s">
        <v>3551</v>
      </c>
      <c r="F459" t="s">
        <v>3552</v>
      </c>
      <c r="G459" t="s">
        <v>3553</v>
      </c>
      <c r="H459" t="s">
        <v>254</v>
      </c>
      <c r="I459">
        <v>2021</v>
      </c>
      <c r="J459">
        <v>1</v>
      </c>
      <c r="K459" t="s">
        <v>3554</v>
      </c>
      <c r="L459"/>
      <c r="M459" t="str">
        <f t="shared" si="510"/>
        <v>Dampha_2021</v>
      </c>
      <c r="N459" s="311" t="s">
        <v>4382</v>
      </c>
      <c r="O459" s="145" t="s">
        <v>223</v>
      </c>
      <c r="P459"/>
      <c r="Q459" s="311" t="s">
        <v>256</v>
      </c>
      <c r="R459" s="312"/>
      <c r="S459" s="1" t="s">
        <v>3555</v>
      </c>
      <c r="T459" t="s">
        <v>3556</v>
      </c>
      <c r="U459" t="s">
        <v>1110</v>
      </c>
      <c r="V459">
        <v>1</v>
      </c>
      <c r="W459">
        <v>0</v>
      </c>
      <c r="X459">
        <v>0</v>
      </c>
      <c r="Y459">
        <v>0</v>
      </c>
      <c r="Z459">
        <v>0</v>
      </c>
      <c r="AA459">
        <v>0</v>
      </c>
      <c r="AB459">
        <v>0</v>
      </c>
      <c r="AC459">
        <v>0</v>
      </c>
      <c r="AD459">
        <v>0</v>
      </c>
      <c r="AE459">
        <v>0</v>
      </c>
      <c r="AF459">
        <v>0</v>
      </c>
      <c r="AG459">
        <v>0</v>
      </c>
      <c r="AH459">
        <v>0</v>
      </c>
      <c r="AI459">
        <v>0</v>
      </c>
      <c r="AJ459">
        <v>0</v>
      </c>
      <c r="AK459">
        <v>0</v>
      </c>
      <c r="AL459">
        <v>0</v>
      </c>
      <c r="AM459">
        <v>0</v>
      </c>
      <c r="AN459">
        <v>0</v>
      </c>
      <c r="AO459">
        <v>0</v>
      </c>
      <c r="AP459">
        <v>0</v>
      </c>
      <c r="AQ459">
        <v>0</v>
      </c>
      <c r="AR459">
        <v>0</v>
      </c>
      <c r="AS459">
        <v>0</v>
      </c>
      <c r="AT459">
        <v>0</v>
      </c>
      <c r="AU459">
        <v>0</v>
      </c>
      <c r="AV459">
        <v>0</v>
      </c>
      <c r="AW459">
        <v>2</v>
      </c>
      <c r="AX459" s="141">
        <f t="shared" si="470"/>
        <v>2</v>
      </c>
      <c r="AY459" s="141">
        <f t="shared" si="471"/>
        <v>1</v>
      </c>
      <c r="AZ459">
        <f t="shared" si="472"/>
        <v>1</v>
      </c>
      <c r="BA459">
        <f t="shared" si="473"/>
        <v>0</v>
      </c>
      <c r="BB459">
        <f t="shared" si="474"/>
        <v>0</v>
      </c>
      <c r="BC459">
        <f t="shared" si="475"/>
        <v>1</v>
      </c>
      <c r="BD459">
        <f t="shared" si="476"/>
        <v>0</v>
      </c>
      <c r="BE459" t="str" cm="1">
        <f t="array" ref="BE459">IF(AY459=1,INDEX($V$7:$AL$7,MATCH(TRUE,INDEX($V459:$AW459&lt;&gt;0,),0)),IF(AY459=0,INDEX($AM$7:$AW$7,MATCH(1,$AM459:$AW459,0)),IF(BF459="Multiple strategies","mixed drivers",IF(BF459="Supply chain","multiple supply","multiple silviculture"))))</f>
        <v>area subject to harvest</v>
      </c>
      <c r="BF459" s="2" t="str" cm="1">
        <f t="array" ref="BF459">IF(COUNTIF(AZ459:BB459,"&lt;&gt;0")=1,INDEX($V$4:$AW$4,MATCH(TRUE,INDEX($V459:$AW459&lt;&gt;0,),0)),IF(COUNTIF(AZ459:BB459,"&lt;&gt;0")=0,INDEX($AM$4:$AW$4,MATCH(1,$AM459:$AW459,0)),"Multiple strategies"))</f>
        <v>Silviculture for removals</v>
      </c>
      <c r="BG459" s="1"/>
      <c r="BH459"/>
      <c r="BI459"/>
      <c r="BJ459"/>
      <c r="BK459"/>
      <c r="BL459"/>
      <c r="BM459"/>
      <c r="BN459"/>
      <c r="BO459"/>
      <c r="BP459" t="s">
        <v>232</v>
      </c>
      <c r="BQ459"/>
      <c r="BR459" t="s">
        <v>937</v>
      </c>
      <c r="BS459">
        <v>63078</v>
      </c>
      <c r="BT459">
        <v>41950</v>
      </c>
      <c r="BU459" s="144">
        <f t="shared" ref="BU459:BU465" si="515">IFERROR(BT459/BS459,"")</f>
        <v>0.66504962110402999</v>
      </c>
      <c r="BV459">
        <f t="shared" ref="BV459:BV465" si="516">BT459-BS459</f>
        <v>-21128</v>
      </c>
      <c r="BW459"/>
      <c r="BX459">
        <f>BV459*C_to_CO2</f>
        <v>-77539.759999999995</v>
      </c>
      <c r="BY459" t="str">
        <f t="shared" si="468"/>
        <v/>
      </c>
      <c r="BZ459">
        <v>0</v>
      </c>
      <c r="CA459">
        <v>0</v>
      </c>
      <c r="CB459">
        <v>0</v>
      </c>
      <c r="CC459">
        <v>0</v>
      </c>
      <c r="CD459">
        <v>0</v>
      </c>
      <c r="CE459">
        <v>0</v>
      </c>
      <c r="CF459">
        <v>0</v>
      </c>
      <c r="CG459">
        <v>0</v>
      </c>
      <c r="CH459">
        <v>0</v>
      </c>
      <c r="CI459">
        <v>0</v>
      </c>
      <c r="CJ459">
        <v>0</v>
      </c>
      <c r="CK459">
        <v>0</v>
      </c>
      <c r="CL459">
        <v>0</v>
      </c>
      <c r="CM459">
        <v>1</v>
      </c>
      <c r="CN459" t="str">
        <f>IF(BL459&lt;BK459,"refNeedCorrection","refOK")</f>
        <v>refOK</v>
      </c>
      <c r="CO459"/>
      <c r="CP459"/>
      <c r="CQ459"/>
      <c r="CR459">
        <f t="shared" si="511"/>
        <v>63078</v>
      </c>
      <c r="CS459">
        <f t="shared" si="512"/>
        <v>41950</v>
      </c>
      <c r="CT459">
        <f t="shared" si="513"/>
        <v>-77539.759999999995</v>
      </c>
      <c r="CU459" t="str">
        <f t="shared" si="488"/>
        <v/>
      </c>
      <c r="CV459" s="2">
        <f t="shared" si="514"/>
        <v>-0.33495037889597007</v>
      </c>
      <c r="CW459" s="1" t="s">
        <v>1198</v>
      </c>
      <c r="CX459" s="311" t="str">
        <f t="shared" si="490"/>
        <v>reg</v>
      </c>
      <c r="CY459" t="s">
        <v>3557</v>
      </c>
      <c r="CZ459">
        <v>2020</v>
      </c>
      <c r="DA459">
        <v>2050</v>
      </c>
      <c r="DB459">
        <f>DA459-CZ459</f>
        <v>30</v>
      </c>
      <c r="DC459" t="str">
        <f t="shared" si="492"/>
        <v>1-30</v>
      </c>
      <c r="DD459">
        <v>1</v>
      </c>
      <c r="DE459">
        <v>0</v>
      </c>
      <c r="DF459">
        <v>0</v>
      </c>
      <c r="DG459">
        <v>0</v>
      </c>
      <c r="DH459"/>
      <c r="DI459">
        <f t="shared" si="493"/>
        <v>1</v>
      </c>
      <c r="DJ459" t="str">
        <f t="shared" si="494"/>
        <v>UpstreamInput</v>
      </c>
      <c r="DK459" t="str">
        <f t="shared" si="495"/>
        <v>Upstream</v>
      </c>
      <c r="DL459">
        <f t="shared" si="496"/>
        <v>0</v>
      </c>
      <c r="DM459">
        <f t="shared" si="497"/>
        <v>0</v>
      </c>
      <c r="DN459">
        <f t="shared" si="498"/>
        <v>0</v>
      </c>
      <c r="DO459">
        <v>0</v>
      </c>
      <c r="DP459">
        <v>0</v>
      </c>
      <c r="DQ459">
        <v>0</v>
      </c>
      <c r="DR459">
        <v>0</v>
      </c>
      <c r="DS459">
        <v>0</v>
      </c>
      <c r="DT459">
        <f t="shared" si="499"/>
        <v>0</v>
      </c>
      <c r="DU459" s="143" t="str">
        <f t="shared" si="500"/>
        <v>explicit C balance</v>
      </c>
      <c r="DV459">
        <v>1</v>
      </c>
      <c r="DW459">
        <v>0</v>
      </c>
      <c r="DX459">
        <v>1</v>
      </c>
      <c r="DY459">
        <v>0</v>
      </c>
      <c r="DZ459">
        <v>0</v>
      </c>
      <c r="EA459" s="143">
        <v>0</v>
      </c>
      <c r="EB459">
        <v>0</v>
      </c>
      <c r="EC459">
        <v>0</v>
      </c>
      <c r="ED459">
        <v>0</v>
      </c>
      <c r="EE459">
        <v>0</v>
      </c>
      <c r="EF459">
        <v>0</v>
      </c>
      <c r="EG459">
        <v>0</v>
      </c>
      <c r="EH459">
        <v>1</v>
      </c>
      <c r="EI459" s="2">
        <v>0</v>
      </c>
      <c r="EJ459" s="1"/>
      <c r="EK459" t="str">
        <f>IF(AND(AND(AND(OR($DX459=1,$DW459=1),OR($EC459=1,$EA459=1)),SUM($DV459:$DZ459,$EF459)&gt;=3),SUM($EA459:$EE459)&gt;=2),"Whole sector","")</f>
        <v/>
      </c>
      <c r="EL459" t="str">
        <f>IF(AND(AND(OR($DX459=1,$DW459=1),AND($EC459=0,$EA459=0)),SUM($DV459:$DZ459,$EF459)&gt;=3),"Ecosystem approach","")</f>
        <v/>
      </c>
      <c r="EM459" s="2" t="str">
        <f t="shared" si="469"/>
        <v/>
      </c>
      <c r="EN459"/>
      <c r="EO459"/>
      <c r="EP459" t="b">
        <f>IF(ISNUMBER(BU459),IF(ABS(BU459-[1]QC_indicators!$B$2)&gt;3*[1]QC_indicators!$C$2,"C ratio",IF(ISNUMBER(BY459),IF(ABS(BY459-[1]QC_indicators!$B$1)&gt;3*[1]QC_indicators!$C$1,"DF","no"))),IF(ISNUMBER(BY459),IF(ABS(BY459-[1]QC_indicators!$B$1)&gt;3*[1]QC_indicators!$C$1,"DF","no")))</f>
        <v>0</v>
      </c>
      <c r="EQ459"/>
      <c r="ER459" s="313" t="s">
        <v>3558</v>
      </c>
      <c r="ES459"/>
      <c r="ET459"/>
      <c r="EU459"/>
    </row>
    <row r="460" spans="1:151" ht="15" hidden="1" customHeight="1">
      <c r="A460" s="1" t="s">
        <v>3547</v>
      </c>
      <c r="B460" t="s">
        <v>3548</v>
      </c>
      <c r="C460" t="s">
        <v>3549</v>
      </c>
      <c r="D460" t="s">
        <v>3550</v>
      </c>
      <c r="E460" t="s">
        <v>3551</v>
      </c>
      <c r="F460" t="s">
        <v>3552</v>
      </c>
      <c r="G460" t="s">
        <v>3553</v>
      </c>
      <c r="H460" t="s">
        <v>254</v>
      </c>
      <c r="I460">
        <v>2021</v>
      </c>
      <c r="J460">
        <v>1</v>
      </c>
      <c r="K460" t="s">
        <v>3554</v>
      </c>
      <c r="M460" t="str">
        <f t="shared" si="510"/>
        <v>Dampha_2021</v>
      </c>
      <c r="N460" s="311" t="s">
        <v>4382</v>
      </c>
      <c r="O460" s="145" t="s">
        <v>223</v>
      </c>
      <c r="Q460" s="311" t="s">
        <v>256</v>
      </c>
      <c r="R460" s="312"/>
      <c r="S460" s="1" t="s">
        <v>3555</v>
      </c>
      <c r="T460" t="s">
        <v>3556</v>
      </c>
      <c r="U460" t="s">
        <v>3559</v>
      </c>
      <c r="V460">
        <v>1</v>
      </c>
      <c r="W460">
        <v>0</v>
      </c>
      <c r="X460">
        <v>0</v>
      </c>
      <c r="Y460">
        <v>0</v>
      </c>
      <c r="Z460">
        <v>0</v>
      </c>
      <c r="AA460">
        <v>0</v>
      </c>
      <c r="AB460">
        <v>0</v>
      </c>
      <c r="AC460">
        <v>0</v>
      </c>
      <c r="AD460">
        <v>0</v>
      </c>
      <c r="AE460">
        <v>0</v>
      </c>
      <c r="AF460">
        <v>0</v>
      </c>
      <c r="AG460">
        <v>0</v>
      </c>
      <c r="AH460">
        <v>0</v>
      </c>
      <c r="AI460">
        <v>0</v>
      </c>
      <c r="AJ460">
        <v>0</v>
      </c>
      <c r="AK460">
        <v>0</v>
      </c>
      <c r="AL460">
        <v>0</v>
      </c>
      <c r="AM460">
        <v>0</v>
      </c>
      <c r="AN460">
        <v>0</v>
      </c>
      <c r="AO460">
        <v>0</v>
      </c>
      <c r="AP460">
        <v>0</v>
      </c>
      <c r="AQ460">
        <v>0</v>
      </c>
      <c r="AR460">
        <v>0</v>
      </c>
      <c r="AS460">
        <v>0</v>
      </c>
      <c r="AT460">
        <v>0</v>
      </c>
      <c r="AU460">
        <v>0</v>
      </c>
      <c r="AV460">
        <v>0</v>
      </c>
      <c r="AW460">
        <v>2</v>
      </c>
      <c r="AX460" s="141">
        <f t="shared" si="470"/>
        <v>2</v>
      </c>
      <c r="AY460" s="141">
        <f t="shared" si="471"/>
        <v>1</v>
      </c>
      <c r="AZ460">
        <f t="shared" si="472"/>
        <v>1</v>
      </c>
      <c r="BA460">
        <f t="shared" si="473"/>
        <v>0</v>
      </c>
      <c r="BB460">
        <f t="shared" si="474"/>
        <v>0</v>
      </c>
      <c r="BC460">
        <f t="shared" si="475"/>
        <v>1</v>
      </c>
      <c r="BD460">
        <f t="shared" si="476"/>
        <v>0</v>
      </c>
      <c r="BE460" t="str" cm="1">
        <f t="array" ref="BE460">IF(AY460=1,INDEX($V$7:$AL$7,MATCH(TRUE,INDEX($V460:$AW460&lt;&gt;0,),0)),IF(AY460=0,INDEX($AM$7:$AW$7,MATCH(1,$AM460:$AW460,0)),IF(BF460="Multiple strategies","mixed drivers",IF(BF460="Supply chain","multiple supply","multiple silviculture"))))</f>
        <v>area subject to harvest</v>
      </c>
      <c r="BF460" s="2" t="str" cm="1">
        <f t="array" ref="BF460">IF(COUNTIF(AZ460:BB460,"&lt;&gt;0")=1,INDEX($V$4:$AW$4,MATCH(TRUE,INDEX($V460:$AW460&lt;&gt;0,),0)),IF(COUNTIF(AZ460:BB460,"&lt;&gt;0")=0,INDEX($AM$4:$AW$4,MATCH(1,$AM460:$AW460,0)),"Multiple strategies"))</f>
        <v>Silviculture for removals</v>
      </c>
      <c r="BP460" t="s">
        <v>232</v>
      </c>
      <c r="BR460" t="s">
        <v>937</v>
      </c>
      <c r="BS460">
        <v>63078</v>
      </c>
      <c r="BT460">
        <v>20975</v>
      </c>
      <c r="BU460" s="144">
        <f t="shared" si="515"/>
        <v>0.33252481055201499</v>
      </c>
      <c r="BV460">
        <f t="shared" si="516"/>
        <v>-42103</v>
      </c>
      <c r="BX460">
        <f>BV460*C_to_CO2</f>
        <v>-154518.01</v>
      </c>
      <c r="BY460" t="str">
        <f t="shared" si="468"/>
        <v/>
      </c>
      <c r="BZ460">
        <v>0</v>
      </c>
      <c r="CA460">
        <v>0</v>
      </c>
      <c r="CB460">
        <v>0</v>
      </c>
      <c r="CC460">
        <v>0</v>
      </c>
      <c r="CD460">
        <v>0</v>
      </c>
      <c r="CE460">
        <v>0</v>
      </c>
      <c r="CF460">
        <v>0</v>
      </c>
      <c r="CG460">
        <v>0</v>
      </c>
      <c r="CH460">
        <v>0</v>
      </c>
      <c r="CI460">
        <v>0</v>
      </c>
      <c r="CJ460">
        <v>0</v>
      </c>
      <c r="CK460">
        <v>0</v>
      </c>
      <c r="CL460">
        <v>0</v>
      </c>
      <c r="CM460">
        <v>1</v>
      </c>
      <c r="CN460" t="str">
        <f>IF(BL460&lt;BK460,"refNeedCorrection","refOK")</f>
        <v>refOK</v>
      </c>
      <c r="CO460"/>
      <c r="CP460"/>
      <c r="CQ460"/>
      <c r="CR460">
        <f t="shared" si="511"/>
        <v>63078</v>
      </c>
      <c r="CS460">
        <f t="shared" si="512"/>
        <v>20975</v>
      </c>
      <c r="CT460">
        <f t="shared" si="513"/>
        <v>-154518.01</v>
      </c>
      <c r="CU460" t="str">
        <f t="shared" si="488"/>
        <v/>
      </c>
      <c r="CV460" s="2">
        <f t="shared" si="514"/>
        <v>-0.66747518944798501</v>
      </c>
      <c r="CW460" s="1" t="s">
        <v>1198</v>
      </c>
      <c r="CX460" s="311" t="str">
        <f t="shared" si="490"/>
        <v>reg</v>
      </c>
      <c r="CY460" t="s">
        <v>3557</v>
      </c>
      <c r="CZ460">
        <v>2020</v>
      </c>
      <c r="DA460">
        <v>2050</v>
      </c>
      <c r="DB460">
        <f>DA460-CZ460</f>
        <v>30</v>
      </c>
      <c r="DC460" t="str">
        <f t="shared" si="492"/>
        <v>1-30</v>
      </c>
      <c r="DD460">
        <v>1</v>
      </c>
      <c r="DE460">
        <v>0</v>
      </c>
      <c r="DF460">
        <v>0</v>
      </c>
      <c r="DG460">
        <v>0</v>
      </c>
      <c r="DI460">
        <f t="shared" si="493"/>
        <v>1</v>
      </c>
      <c r="DJ460" t="str">
        <f t="shared" si="494"/>
        <v>UpstreamInput</v>
      </c>
      <c r="DK460" t="str">
        <f t="shared" si="495"/>
        <v>Upstream</v>
      </c>
      <c r="DL460">
        <f t="shared" si="496"/>
        <v>0</v>
      </c>
      <c r="DM460">
        <f t="shared" si="497"/>
        <v>0</v>
      </c>
      <c r="DN460">
        <f t="shared" si="498"/>
        <v>0</v>
      </c>
      <c r="DO460">
        <v>0</v>
      </c>
      <c r="DP460">
        <v>0</v>
      </c>
      <c r="DQ460">
        <v>0</v>
      </c>
      <c r="DR460">
        <v>0</v>
      </c>
      <c r="DS460">
        <v>0</v>
      </c>
      <c r="DT460">
        <f t="shared" si="499"/>
        <v>0</v>
      </c>
      <c r="DU460" s="143" t="str">
        <f t="shared" si="500"/>
        <v>explicit C balance</v>
      </c>
      <c r="DV460">
        <v>1</v>
      </c>
      <c r="DW460">
        <v>0</v>
      </c>
      <c r="DX460">
        <v>1</v>
      </c>
      <c r="DY460">
        <v>0</v>
      </c>
      <c r="DZ460">
        <v>0</v>
      </c>
      <c r="EA460" s="143">
        <v>0</v>
      </c>
      <c r="EB460">
        <v>0</v>
      </c>
      <c r="EC460">
        <v>0</v>
      </c>
      <c r="ED460">
        <v>0</v>
      </c>
      <c r="EE460">
        <v>0</v>
      </c>
      <c r="EF460">
        <v>0</v>
      </c>
      <c r="EG460">
        <v>0</v>
      </c>
      <c r="EH460">
        <v>1</v>
      </c>
      <c r="EI460" s="2">
        <v>0</v>
      </c>
      <c r="EK460" t="str">
        <f>IF(AND(AND(AND(OR($DX460=1,$DW460=1),OR($EC460=1,$EA460=1)),SUM($DV460:$DZ460,$EF460)&gt;=3),SUM($EA460:$EE460)&gt;=2),"Whole sector","")</f>
        <v/>
      </c>
      <c r="EL460" t="str">
        <f>IF(AND(AND(OR($DX460=1,$DW460=1),AND($EC460=0,$EA460=0)),SUM($DV460:$DZ460,$EF460)&gt;=3),"Ecosystem approach","")</f>
        <v/>
      </c>
      <c r="EM460" s="2" t="str">
        <f t="shared" si="469"/>
        <v/>
      </c>
      <c r="EP460" t="b">
        <f>IF(ISNUMBER(BU460),IF(ABS(BU460-[1]QC_indicators!$B$2)&gt;3*[1]QC_indicators!$C$2,"C ratio",IF(ISNUMBER(BY460),IF(ABS(BY460-[1]QC_indicators!$B$1)&gt;3*[1]QC_indicators!$C$1,"DF","no"))),IF(ISNUMBER(BY460),IF(ABS(BY460-[1]QC_indicators!$B$1)&gt;3*[1]QC_indicators!$C$1,"DF","no")))</f>
        <v>0</v>
      </c>
      <c r="ER460" s="313" t="s">
        <v>3560</v>
      </c>
    </row>
    <row r="461" spans="1:151" ht="15" hidden="1" customHeight="1">
      <c r="A461" s="1" t="s">
        <v>599</v>
      </c>
      <c r="B461" t="s">
        <v>600</v>
      </c>
      <c r="C461" t="s">
        <v>601</v>
      </c>
      <c r="D461" t="s">
        <v>602</v>
      </c>
      <c r="E461" t="s">
        <v>603</v>
      </c>
      <c r="F461" t="s">
        <v>604</v>
      </c>
      <c r="G461" t="s">
        <v>605</v>
      </c>
      <c r="H461" t="s">
        <v>254</v>
      </c>
      <c r="I461">
        <v>2022</v>
      </c>
      <c r="J461">
        <v>15</v>
      </c>
      <c r="K461" t="s">
        <v>606</v>
      </c>
      <c r="M461" t="str">
        <f t="shared" si="510"/>
        <v>Dani_2022</v>
      </c>
      <c r="N461" t="s">
        <v>222</v>
      </c>
      <c r="O461" s="145" t="s">
        <v>223</v>
      </c>
      <c r="Q461" t="s">
        <v>389</v>
      </c>
      <c r="R461" s="255" t="s">
        <v>225</v>
      </c>
      <c r="S461" s="1" t="s">
        <v>607</v>
      </c>
      <c r="T461" t="s">
        <v>608</v>
      </c>
      <c r="U461" t="s">
        <v>609</v>
      </c>
      <c r="V461">
        <v>0</v>
      </c>
      <c r="W461">
        <v>0</v>
      </c>
      <c r="X461">
        <v>0</v>
      </c>
      <c r="Y461">
        <v>0</v>
      </c>
      <c r="Z461">
        <v>0</v>
      </c>
      <c r="AA461">
        <v>0</v>
      </c>
      <c r="AB461">
        <v>0</v>
      </c>
      <c r="AC461">
        <v>0</v>
      </c>
      <c r="AD461">
        <v>0</v>
      </c>
      <c r="AE461">
        <v>0</v>
      </c>
      <c r="AF461">
        <v>0</v>
      </c>
      <c r="AG461">
        <v>0</v>
      </c>
      <c r="AH461">
        <v>0</v>
      </c>
      <c r="AI461">
        <v>0</v>
      </c>
      <c r="AJ461">
        <v>0</v>
      </c>
      <c r="AK461">
        <v>1</v>
      </c>
      <c r="AL461">
        <v>0</v>
      </c>
      <c r="AM461">
        <v>0</v>
      </c>
      <c r="AN461">
        <v>0</v>
      </c>
      <c r="AO461">
        <v>0</v>
      </c>
      <c r="AP461">
        <v>0</v>
      </c>
      <c r="AQ461">
        <v>0</v>
      </c>
      <c r="AR461">
        <v>0</v>
      </c>
      <c r="AS461">
        <v>0</v>
      </c>
      <c r="AT461">
        <v>0</v>
      </c>
      <c r="AU461">
        <v>0</v>
      </c>
      <c r="AV461">
        <v>0</v>
      </c>
      <c r="AW461">
        <v>0</v>
      </c>
      <c r="AX461" s="141">
        <f t="shared" si="470"/>
        <v>1</v>
      </c>
      <c r="AY461" s="141">
        <f t="shared" si="471"/>
        <v>1</v>
      </c>
      <c r="AZ461">
        <f t="shared" si="472"/>
        <v>0</v>
      </c>
      <c r="BA461">
        <f t="shared" si="473"/>
        <v>0</v>
      </c>
      <c r="BB461">
        <f t="shared" si="474"/>
        <v>1</v>
      </c>
      <c r="BC461">
        <f t="shared" si="475"/>
        <v>0</v>
      </c>
      <c r="BD461">
        <f t="shared" si="476"/>
        <v>0</v>
      </c>
      <c r="BE461" t="str">
        <f t="array" ref="BE461">IF(AY461=1,INDEX($V$7:$AL$7,MATCH(TRUE,INDEX($V461:$AW461&lt;&gt;0,),0)),IF(AY461=0,INDEX($AM$7:$AW$7,MATCH(1,$AM461:$AW461,0)),IF(BF461="Multiple strategies","mixed drivers",IF(BF461="Supply chain","multiple supply","multiple silviculture"))))</f>
        <v>technologies/design switch</v>
      </c>
      <c r="BF461" s="2" t="str" cm="1">
        <f t="array" ref="BF461">IF(COUNTIF(AZ461:BB461,"&lt;&gt;0")=1,INDEX($V$4:$AW$4,MATCH(TRUE,INDEX($V461:$AW461&lt;&gt;0,),0)),IF(COUNTIF(AZ461:BB461,"&lt;&gt;0")=0,INDEX($AM$4:$AW$4,MATCH(1,$AM461:$AW461,0)),"Multiple strategies"))</f>
        <v>Technology</v>
      </c>
      <c r="BG461" s="1" t="s">
        <v>229</v>
      </c>
      <c r="BH461" t="s">
        <v>610</v>
      </c>
      <c r="BI461" t="s">
        <v>424</v>
      </c>
      <c r="BJ461" t="s">
        <v>498</v>
      </c>
      <c r="BK461">
        <f>0.041+0.652</f>
        <v>0.69300000000000006</v>
      </c>
      <c r="BL461">
        <f>0.298+2.905+0.284+3.758+0.808+6.645+2.786+0.678</f>
        <v>18.161999999999999</v>
      </c>
      <c r="BN461">
        <f>BL461-BK461</f>
        <v>17.468999999999998</v>
      </c>
      <c r="BO461">
        <f>BN461</f>
        <v>17.468999999999998</v>
      </c>
      <c r="BP461" t="s">
        <v>395</v>
      </c>
      <c r="BQ461" s="301" t="s">
        <v>3299</v>
      </c>
      <c r="BR461" t="s">
        <v>612</v>
      </c>
      <c r="BS461">
        <f>146*(15.41)</f>
        <v>2249.86</v>
      </c>
      <c r="BT461">
        <f>107*13.72</f>
        <v>1468.04</v>
      </c>
      <c r="BU461" s="144">
        <f t="shared" si="515"/>
        <v>0.65250282239783808</v>
      </c>
      <c r="BV461">
        <f t="shared" si="516"/>
        <v>-781.82000000000016</v>
      </c>
      <c r="BX461">
        <f>BV461/1000</f>
        <v>-0.78182000000000018</v>
      </c>
      <c r="BY461">
        <f t="shared" si="468"/>
        <v>-4.4754708340488884E-2</v>
      </c>
      <c r="BZ461">
        <v>0</v>
      </c>
      <c r="CA461">
        <v>0</v>
      </c>
      <c r="CB461">
        <v>0</v>
      </c>
      <c r="CC461">
        <v>0</v>
      </c>
      <c r="CD461">
        <v>0</v>
      </c>
      <c r="CE461">
        <v>0</v>
      </c>
      <c r="CF461">
        <v>0</v>
      </c>
      <c r="CG461">
        <v>0</v>
      </c>
      <c r="CH461">
        <v>0</v>
      </c>
      <c r="CI461">
        <v>0</v>
      </c>
      <c r="CJ461">
        <v>0</v>
      </c>
      <c r="CK461">
        <v>0</v>
      </c>
      <c r="CL461">
        <v>0</v>
      </c>
      <c r="CM461">
        <v>0</v>
      </c>
      <c r="CN461" t="str">
        <f>IF($BL461&lt;$BK461,"refNeedCorrection","refOK")</f>
        <v>refOK</v>
      </c>
      <c r="CO461"/>
      <c r="CP461"/>
      <c r="CQ461">
        <f>IF($CN461="refOK",$BO461,-$BO461)</f>
        <v>17.468999999999998</v>
      </c>
      <c r="CR461">
        <f t="shared" si="511"/>
        <v>-2249.86</v>
      </c>
      <c r="CS461">
        <f t="shared" si="512"/>
        <v>-1468.04</v>
      </c>
      <c r="CT461">
        <f t="shared" si="513"/>
        <v>0.78182000000000018</v>
      </c>
      <c r="CU461">
        <f t="shared" si="488"/>
        <v>4.4754708340488884E-2</v>
      </c>
      <c r="CV461" s="2">
        <f t="shared" si="514"/>
        <v>0.34749717760216198</v>
      </c>
      <c r="CW461" s="1" t="s">
        <v>263</v>
      </c>
      <c r="CX461" t="str">
        <f t="shared" si="490"/>
        <v>loc</v>
      </c>
      <c r="CY461" t="s">
        <v>613</v>
      </c>
      <c r="DB461">
        <v>0</v>
      </c>
      <c r="DC461" t="str">
        <f t="shared" si="492"/>
        <v>0</v>
      </c>
      <c r="DD461">
        <v>0</v>
      </c>
      <c r="DE461">
        <v>0</v>
      </c>
      <c r="DF461">
        <v>0</v>
      </c>
      <c r="DG461">
        <v>1</v>
      </c>
      <c r="DH461">
        <v>0</v>
      </c>
      <c r="DI461">
        <f>SUM(DD461:DH461)</f>
        <v>1</v>
      </c>
      <c r="DJ461" t="str">
        <f t="shared" si="494"/>
        <v>TimberInput</v>
      </c>
      <c r="DK461">
        <f t="shared" si="495"/>
        <v>0</v>
      </c>
      <c r="DL461">
        <f t="shared" si="496"/>
        <v>0</v>
      </c>
      <c r="DM461">
        <f t="shared" si="497"/>
        <v>0</v>
      </c>
      <c r="DN461" t="str">
        <f t="shared" si="498"/>
        <v>Timber</v>
      </c>
      <c r="DO461">
        <v>0</v>
      </c>
      <c r="DP461">
        <v>0</v>
      </c>
      <c r="DQ461">
        <v>0</v>
      </c>
      <c r="DR461">
        <v>0</v>
      </c>
      <c r="DS461">
        <v>0</v>
      </c>
      <c r="DT461">
        <f t="shared" si="499"/>
        <v>0</v>
      </c>
      <c r="DU461" t="str">
        <f t="shared" si="500"/>
        <v>explicit C balance</v>
      </c>
      <c r="DV461">
        <v>0</v>
      </c>
      <c r="DW461">
        <v>0</v>
      </c>
      <c r="DX461">
        <v>0</v>
      </c>
      <c r="DY461">
        <v>0</v>
      </c>
      <c r="DZ461">
        <v>0</v>
      </c>
      <c r="EA461" s="264">
        <v>1</v>
      </c>
      <c r="EB461">
        <v>1</v>
      </c>
      <c r="EC461">
        <v>1</v>
      </c>
      <c r="ED461">
        <v>1</v>
      </c>
      <c r="EE461">
        <v>1</v>
      </c>
      <c r="EF461">
        <v>0</v>
      </c>
      <c r="EG461">
        <v>0</v>
      </c>
      <c r="EH461">
        <v>0</v>
      </c>
      <c r="EI461" s="2">
        <v>0</v>
      </c>
      <c r="EK461" t="str">
        <f>IF(AND(AND(AND(OR($DX461=1,$DW461=1),OR($EC461=1,$EA461=1)),SUM($DV461:$DZ461,$EF461)&gt;=4),SUM($EA461:$EE461)&gt;=2),"Whole sector","")</f>
        <v/>
      </c>
      <c r="EL461" t="str">
        <f>IF(AND(AND(OR($DX461=1,$DW461=1),AND($EC461=0,$EA461=0)),SUM($DV461:$DZ461,$EF461)&gt;=4),"Ecosystem approach","")</f>
        <v/>
      </c>
      <c r="EM461" s="2" t="str">
        <f t="shared" si="469"/>
        <v>Technology approach</v>
      </c>
      <c r="EP461" t="str">
        <f>IF(ISNUMBER(BU461),IF(ABS(BU461-[5]QC_indicators!$B$2)&gt;3*[5]QC_indicators!$C$2,"C ratio",IF(ISNUMBER(BY461),IF(ABS(BY461-[5]QC_indicators!$B$1)&gt;3*[5]QC_indicators!$C$1,"DF","no"))),IF(ISNUMBER(BY461),IF(ABS(BY461-[5]QC_indicators!$B$1)&gt;3*[5]QC_indicators!$C$1,"DF","no")))</f>
        <v>no</v>
      </c>
      <c r="ET461" s="264" t="s">
        <v>3272</v>
      </c>
    </row>
    <row r="462" spans="1:151" ht="15" hidden="1" customHeight="1">
      <c r="A462" s="1" t="s">
        <v>599</v>
      </c>
      <c r="B462" t="s">
        <v>600</v>
      </c>
      <c r="C462" t="s">
        <v>601</v>
      </c>
      <c r="D462" t="s">
        <v>602</v>
      </c>
      <c r="E462" t="s">
        <v>603</v>
      </c>
      <c r="F462" t="s">
        <v>604</v>
      </c>
      <c r="G462" t="s">
        <v>605</v>
      </c>
      <c r="H462" t="s">
        <v>254</v>
      </c>
      <c r="I462">
        <v>2022</v>
      </c>
      <c r="J462">
        <v>15</v>
      </c>
      <c r="K462" t="s">
        <v>606</v>
      </c>
      <c r="M462" t="str">
        <f t="shared" si="510"/>
        <v>Dani_2022</v>
      </c>
      <c r="N462" t="s">
        <v>222</v>
      </c>
      <c r="O462" s="145" t="s">
        <v>223</v>
      </c>
      <c r="Q462" t="s">
        <v>389</v>
      </c>
      <c r="R462" s="255" t="s">
        <v>225</v>
      </c>
      <c r="S462" s="1" t="s">
        <v>607</v>
      </c>
      <c r="T462" t="s">
        <v>608</v>
      </c>
      <c r="U462" t="s">
        <v>609</v>
      </c>
      <c r="V462">
        <v>0</v>
      </c>
      <c r="W462">
        <v>0</v>
      </c>
      <c r="X462">
        <v>0</v>
      </c>
      <c r="Y462">
        <v>0</v>
      </c>
      <c r="Z462">
        <v>0</v>
      </c>
      <c r="AA462">
        <v>0</v>
      </c>
      <c r="AB462">
        <v>0</v>
      </c>
      <c r="AC462">
        <v>0</v>
      </c>
      <c r="AD462">
        <v>0</v>
      </c>
      <c r="AE462">
        <v>0</v>
      </c>
      <c r="AF462">
        <v>0</v>
      </c>
      <c r="AG462">
        <v>0</v>
      </c>
      <c r="AH462">
        <v>0</v>
      </c>
      <c r="AI462">
        <v>0</v>
      </c>
      <c r="AJ462">
        <v>0</v>
      </c>
      <c r="AK462">
        <v>1</v>
      </c>
      <c r="AL462">
        <v>0</v>
      </c>
      <c r="AM462">
        <v>0</v>
      </c>
      <c r="AN462">
        <v>0</v>
      </c>
      <c r="AO462">
        <v>0</v>
      </c>
      <c r="AP462">
        <v>0</v>
      </c>
      <c r="AQ462">
        <v>0</v>
      </c>
      <c r="AR462">
        <v>0</v>
      </c>
      <c r="AS462">
        <v>0</v>
      </c>
      <c r="AT462">
        <v>0</v>
      </c>
      <c r="AU462">
        <v>0</v>
      </c>
      <c r="AV462">
        <v>0</v>
      </c>
      <c r="AW462">
        <v>0</v>
      </c>
      <c r="AX462" s="141">
        <f t="shared" si="470"/>
        <v>1</v>
      </c>
      <c r="AY462" s="141">
        <f t="shared" si="471"/>
        <v>1</v>
      </c>
      <c r="AZ462">
        <f t="shared" si="472"/>
        <v>0</v>
      </c>
      <c r="BA462">
        <f t="shared" si="473"/>
        <v>0</v>
      </c>
      <c r="BB462">
        <f t="shared" si="474"/>
        <v>1</v>
      </c>
      <c r="BC462">
        <f t="shared" si="475"/>
        <v>0</v>
      </c>
      <c r="BD462">
        <f t="shared" si="476"/>
        <v>0</v>
      </c>
      <c r="BE462" t="str">
        <f t="array" ref="BE462">IF(AY462=1,INDEX($V$7:$AL$7,MATCH(TRUE,INDEX($V462:$AW462&lt;&gt;0,),0)),IF(AY462=0,INDEX($AM$7:$AW$7,MATCH(1,$AM462:$AW462,0)),IF(BF462="Multiple strategies","mixed drivers",IF(BF462="Supply chain","multiple supply","multiple silviculture"))))</f>
        <v>technologies/design switch</v>
      </c>
      <c r="BF462" s="2" t="str" cm="1">
        <f t="array" ref="BF462">IF(COUNTIF(AZ462:BB462,"&lt;&gt;0")=1,INDEX($V$4:$AW$4,MATCH(TRUE,INDEX($V462:$AW462&lt;&gt;0,),0)),IF(COUNTIF(AZ462:BB462,"&lt;&gt;0")=0,INDEX($AM$4:$AW$4,MATCH(1,$AM462:$AW462,0)),"Multiple strategies"))</f>
        <v>Technology</v>
      </c>
      <c r="BG462" s="1" t="s">
        <v>229</v>
      </c>
      <c r="BH462" t="s">
        <v>610</v>
      </c>
      <c r="BI462" t="s">
        <v>424</v>
      </c>
      <c r="BJ462" t="s">
        <v>498</v>
      </c>
      <c r="BK462">
        <f>0.041+0.652</f>
        <v>0.69300000000000006</v>
      </c>
      <c r="BL462">
        <f>0.298+2.905+0.284+3.758+0.808+6.645+2.786+0.678</f>
        <v>18.161999999999999</v>
      </c>
      <c r="BN462">
        <f>BL462-BK462</f>
        <v>17.468999999999998</v>
      </c>
      <c r="BO462">
        <f>BN462</f>
        <v>17.468999999999998</v>
      </c>
      <c r="BP462" t="s">
        <v>395</v>
      </c>
      <c r="BQ462" s="301" t="s">
        <v>3300</v>
      </c>
      <c r="BR462" t="s">
        <v>612</v>
      </c>
      <c r="BS462">
        <f>(1.47+8.39+1.85)*146</f>
        <v>1709.66</v>
      </c>
      <c r="BT462">
        <f>107*(1.16+8.34+1.52)</f>
        <v>1179.1399999999999</v>
      </c>
      <c r="BU462" s="144">
        <f t="shared" si="515"/>
        <v>0.68969268743492851</v>
      </c>
      <c r="BV462">
        <f t="shared" si="516"/>
        <v>-530.52000000000021</v>
      </c>
      <c r="BX462">
        <f>BV462/1000</f>
        <v>-0.53052000000000021</v>
      </c>
      <c r="BY462">
        <f t="shared" si="468"/>
        <v>-3.0369225485145132E-2</v>
      </c>
      <c r="BZ462">
        <v>0</v>
      </c>
      <c r="CA462">
        <v>0</v>
      </c>
      <c r="CB462">
        <v>0</v>
      </c>
      <c r="CC462">
        <v>0</v>
      </c>
      <c r="CD462">
        <v>0</v>
      </c>
      <c r="CE462">
        <v>0</v>
      </c>
      <c r="CF462">
        <v>0</v>
      </c>
      <c r="CG462">
        <v>0</v>
      </c>
      <c r="CH462">
        <v>0</v>
      </c>
      <c r="CI462">
        <v>0</v>
      </c>
      <c r="CJ462">
        <v>0</v>
      </c>
      <c r="CK462">
        <v>0</v>
      </c>
      <c r="CL462">
        <v>0</v>
      </c>
      <c r="CM462">
        <v>0</v>
      </c>
      <c r="CN462" t="str">
        <f>IF($BL462&lt;$BK462,"refNeedCorrection","refOK")</f>
        <v>refOK</v>
      </c>
      <c r="CO462"/>
      <c r="CP462"/>
      <c r="CQ462">
        <f>IF($CN462="refOK",$BO462,-$BO462)</f>
        <v>17.468999999999998</v>
      </c>
      <c r="CR462">
        <f t="shared" si="511"/>
        <v>-1709.66</v>
      </c>
      <c r="CS462">
        <f t="shared" si="512"/>
        <v>-1179.1399999999999</v>
      </c>
      <c r="CT462">
        <f t="shared" si="513"/>
        <v>0.53052000000000021</v>
      </c>
      <c r="CU462">
        <f t="shared" si="488"/>
        <v>3.0369225485145132E-2</v>
      </c>
      <c r="CV462" s="2">
        <f t="shared" si="514"/>
        <v>0.31030731256507155</v>
      </c>
      <c r="CW462" s="1" t="s">
        <v>263</v>
      </c>
      <c r="CX462" t="str">
        <f t="shared" si="490"/>
        <v>loc</v>
      </c>
      <c r="CY462" t="s">
        <v>613</v>
      </c>
      <c r="DB462">
        <v>0</v>
      </c>
      <c r="DC462" t="str">
        <f t="shared" si="492"/>
        <v>0</v>
      </c>
      <c r="DD462">
        <v>0</v>
      </c>
      <c r="DE462">
        <v>0</v>
      </c>
      <c r="DF462">
        <v>0</v>
      </c>
      <c r="DG462">
        <v>1</v>
      </c>
      <c r="DH462">
        <v>0</v>
      </c>
      <c r="DI462">
        <f>SUM(DD462:DH462)</f>
        <v>1</v>
      </c>
      <c r="DJ462" t="str">
        <f t="shared" si="494"/>
        <v>TimberInput</v>
      </c>
      <c r="DK462">
        <f t="shared" si="495"/>
        <v>0</v>
      </c>
      <c r="DL462">
        <f t="shared" si="496"/>
        <v>0</v>
      </c>
      <c r="DM462">
        <f t="shared" si="497"/>
        <v>0</v>
      </c>
      <c r="DN462" t="str">
        <f t="shared" si="498"/>
        <v>Timber</v>
      </c>
      <c r="DO462">
        <v>0</v>
      </c>
      <c r="DP462">
        <v>0</v>
      </c>
      <c r="DQ462">
        <v>0</v>
      </c>
      <c r="DR462">
        <v>0</v>
      </c>
      <c r="DS462">
        <v>0</v>
      </c>
      <c r="DT462">
        <f t="shared" si="499"/>
        <v>0</v>
      </c>
      <c r="DU462" t="str">
        <f t="shared" si="500"/>
        <v>explicit C balance</v>
      </c>
      <c r="DV462">
        <v>0</v>
      </c>
      <c r="DW462">
        <v>0</v>
      </c>
      <c r="DX462">
        <v>0</v>
      </c>
      <c r="DY462">
        <v>0</v>
      </c>
      <c r="DZ462">
        <v>0</v>
      </c>
      <c r="EA462" s="143">
        <v>0</v>
      </c>
      <c r="EB462">
        <v>0</v>
      </c>
      <c r="EC462">
        <v>0</v>
      </c>
      <c r="ED462">
        <v>1</v>
      </c>
      <c r="EE462">
        <v>0</v>
      </c>
      <c r="EF462">
        <v>0</v>
      </c>
      <c r="EG462">
        <v>0</v>
      </c>
      <c r="EH462">
        <v>0</v>
      </c>
      <c r="EI462" s="2">
        <v>0</v>
      </c>
      <c r="EK462" t="str">
        <f>IF(AND(AND(AND(OR($DX462=1,$DW462=1),OR($EC462=1,$EA462=1)),SUM($DV462:$DZ462,$EF462)&gt;=4),SUM($EA462:$EE462)&gt;=2),"Whole sector","")</f>
        <v/>
      </c>
      <c r="EL462" t="str">
        <f>IF(AND(AND(OR($DX462=1,$DW462=1),AND($EC462=0,$EA462=0)),SUM($DV462:$DZ462,$EF462)&gt;=4),"Ecosystem approach","")</f>
        <v/>
      </c>
      <c r="EM462" s="2" t="str">
        <f t="shared" si="469"/>
        <v/>
      </c>
      <c r="EP462" t="str">
        <f>IF(ISNUMBER(BU462),IF(ABS(BU462-[5]QC_indicators!$B$2)&gt;3*[5]QC_indicators!$C$2,"C ratio",IF(ISNUMBER(BY462),IF(ABS(BY462-[5]QC_indicators!$B$1)&gt;3*[5]QC_indicators!$C$1,"DF","no"))),IF(ISNUMBER(BY462),IF(ABS(BY462-[5]QC_indicators!$B$1)&gt;3*[5]QC_indicators!$C$1,"DF","no")))</f>
        <v>no</v>
      </c>
      <c r="ET462" s="264" t="s">
        <v>3272</v>
      </c>
    </row>
    <row r="463" spans="1:151" ht="15" hidden="1" customHeight="1">
      <c r="A463" s="1" t="s">
        <v>599</v>
      </c>
      <c r="B463" t="s">
        <v>600</v>
      </c>
      <c r="C463" t="s">
        <v>601</v>
      </c>
      <c r="D463" t="s">
        <v>602</v>
      </c>
      <c r="E463" t="s">
        <v>603</v>
      </c>
      <c r="F463" t="s">
        <v>604</v>
      </c>
      <c r="G463" t="s">
        <v>605</v>
      </c>
      <c r="H463" t="s">
        <v>254</v>
      </c>
      <c r="I463">
        <v>2022</v>
      </c>
      <c r="J463">
        <v>15</v>
      </c>
      <c r="K463" t="s">
        <v>606</v>
      </c>
      <c r="M463" t="str">
        <f t="shared" si="510"/>
        <v>Dani_2022</v>
      </c>
      <c r="N463" t="s">
        <v>222</v>
      </c>
      <c r="O463" s="145" t="s">
        <v>223</v>
      </c>
      <c r="Q463" t="s">
        <v>389</v>
      </c>
      <c r="R463" s="255" t="s">
        <v>225</v>
      </c>
      <c r="S463" s="1" t="s">
        <v>607</v>
      </c>
      <c r="T463" t="s">
        <v>608</v>
      </c>
      <c r="U463" t="s">
        <v>609</v>
      </c>
      <c r="V463">
        <v>0</v>
      </c>
      <c r="W463">
        <v>0</v>
      </c>
      <c r="X463">
        <v>0</v>
      </c>
      <c r="Y463">
        <v>0</v>
      </c>
      <c r="Z463">
        <v>0</v>
      </c>
      <c r="AA463">
        <v>0</v>
      </c>
      <c r="AB463">
        <v>0</v>
      </c>
      <c r="AC463">
        <v>0</v>
      </c>
      <c r="AD463">
        <v>0</v>
      </c>
      <c r="AE463">
        <v>0</v>
      </c>
      <c r="AF463">
        <v>0</v>
      </c>
      <c r="AG463">
        <v>0</v>
      </c>
      <c r="AH463">
        <v>0</v>
      </c>
      <c r="AI463">
        <v>0</v>
      </c>
      <c r="AJ463">
        <v>0</v>
      </c>
      <c r="AK463">
        <v>1</v>
      </c>
      <c r="AL463">
        <v>0</v>
      </c>
      <c r="AM463">
        <v>0</v>
      </c>
      <c r="AN463">
        <v>0</v>
      </c>
      <c r="AO463">
        <v>0</v>
      </c>
      <c r="AP463">
        <v>0</v>
      </c>
      <c r="AQ463">
        <v>0</v>
      </c>
      <c r="AR463">
        <v>0</v>
      </c>
      <c r="AS463">
        <v>0</v>
      </c>
      <c r="AT463">
        <v>0</v>
      </c>
      <c r="AU463">
        <v>0</v>
      </c>
      <c r="AV463">
        <v>0</v>
      </c>
      <c r="AW463">
        <v>0</v>
      </c>
      <c r="AX463" s="141">
        <f t="shared" si="470"/>
        <v>1</v>
      </c>
      <c r="AY463" s="141">
        <f t="shared" si="471"/>
        <v>1</v>
      </c>
      <c r="AZ463">
        <f t="shared" si="472"/>
        <v>0</v>
      </c>
      <c r="BA463">
        <f t="shared" si="473"/>
        <v>0</v>
      </c>
      <c r="BB463">
        <f t="shared" si="474"/>
        <v>1</v>
      </c>
      <c r="BC463">
        <f t="shared" si="475"/>
        <v>0</v>
      </c>
      <c r="BD463">
        <f t="shared" si="476"/>
        <v>0</v>
      </c>
      <c r="BE463" t="str">
        <f t="array" ref="BE463">IF(AY463=1,INDEX($V$7:$AL$7,MATCH(TRUE,INDEX($V463:$AW463&lt;&gt;0,),0)),IF(AY463=0,INDEX($AM$7:$AW$7,MATCH(1,$AM463:$AW463,0)),IF(BF463="Multiple strategies","mixed drivers",IF(BF463="Supply chain","multiple supply","multiple silviculture"))))</f>
        <v>technologies/design switch</v>
      </c>
      <c r="BF463" s="2" t="str" cm="1">
        <f t="array" ref="BF463">IF(COUNTIF(AZ463:BB463,"&lt;&gt;0")=1,INDEX($V$4:$AW$4,MATCH(TRUE,INDEX($V463:$AW463&lt;&gt;0,),0)),IF(COUNTIF(AZ463:BB463,"&lt;&gt;0")=0,INDEX($AM$4:$AW$4,MATCH(1,$AM463:$AW463,0)),"Multiple strategies"))</f>
        <v>Technology</v>
      </c>
      <c r="BG463" s="1" t="s">
        <v>229</v>
      </c>
      <c r="BH463" t="s">
        <v>610</v>
      </c>
      <c r="BI463" t="s">
        <v>424</v>
      </c>
      <c r="BJ463" t="s">
        <v>498</v>
      </c>
      <c r="BK463">
        <f>0.041+0.652</f>
        <v>0.69300000000000006</v>
      </c>
      <c r="BL463">
        <f>0.298+2.905+0.284+3.758+0.808+6.645+2.786+0.678</f>
        <v>18.161999999999999</v>
      </c>
      <c r="BN463">
        <f>BL463-BK463</f>
        <v>17.468999999999998</v>
      </c>
      <c r="BO463">
        <f>BN463</f>
        <v>17.468999999999998</v>
      </c>
      <c r="BP463" t="s">
        <v>395</v>
      </c>
      <c r="BQ463" s="301" t="s">
        <v>3301</v>
      </c>
      <c r="BR463" t="s">
        <v>612</v>
      </c>
      <c r="BS463">
        <f>146*(4.66+0.31)</f>
        <v>725.62</v>
      </c>
      <c r="BT463">
        <f>107*(2.31+0.49)</f>
        <v>299.59999999999997</v>
      </c>
      <c r="BU463" s="144">
        <f t="shared" si="515"/>
        <v>0.41288828863592508</v>
      </c>
      <c r="BV463">
        <f t="shared" si="516"/>
        <v>-426.02000000000004</v>
      </c>
      <c r="BX463">
        <f>BV463/1000</f>
        <v>-0.42602000000000007</v>
      </c>
      <c r="BY463">
        <f t="shared" si="468"/>
        <v>-2.4387200183181645E-2</v>
      </c>
      <c r="BZ463">
        <v>0</v>
      </c>
      <c r="CA463">
        <v>0</v>
      </c>
      <c r="CB463">
        <v>0</v>
      </c>
      <c r="CC463">
        <v>0</v>
      </c>
      <c r="CD463">
        <v>0</v>
      </c>
      <c r="CE463">
        <v>0</v>
      </c>
      <c r="CF463">
        <v>0</v>
      </c>
      <c r="CG463">
        <v>0</v>
      </c>
      <c r="CH463">
        <v>0</v>
      </c>
      <c r="CI463">
        <v>0</v>
      </c>
      <c r="CJ463">
        <v>0</v>
      </c>
      <c r="CK463">
        <v>0</v>
      </c>
      <c r="CL463">
        <v>0</v>
      </c>
      <c r="CM463">
        <v>0</v>
      </c>
      <c r="CN463" t="str">
        <f>IF($BL463&lt;$BK463,"refNeedCorrection","refOK")</f>
        <v>refOK</v>
      </c>
      <c r="CO463"/>
      <c r="CP463"/>
      <c r="CQ463">
        <f>IF($CN463="refOK",$BO463,-$BO463)</f>
        <v>17.468999999999998</v>
      </c>
      <c r="CR463">
        <f t="shared" si="511"/>
        <v>-725.62</v>
      </c>
      <c r="CS463">
        <f t="shared" si="512"/>
        <v>-299.59999999999997</v>
      </c>
      <c r="CT463">
        <f t="shared" si="513"/>
        <v>0.42602000000000007</v>
      </c>
      <c r="CU463">
        <f t="shared" si="488"/>
        <v>2.4387200183181645E-2</v>
      </c>
      <c r="CV463" s="2">
        <f t="shared" si="514"/>
        <v>0.58711171136407492</v>
      </c>
      <c r="CW463" s="1" t="s">
        <v>263</v>
      </c>
      <c r="CX463" t="str">
        <f t="shared" si="490"/>
        <v>loc</v>
      </c>
      <c r="CY463" t="s">
        <v>613</v>
      </c>
      <c r="DB463">
        <v>0</v>
      </c>
      <c r="DC463" t="str">
        <f t="shared" si="492"/>
        <v>0</v>
      </c>
      <c r="DD463">
        <v>0</v>
      </c>
      <c r="DE463">
        <v>0</v>
      </c>
      <c r="DF463">
        <v>0</v>
      </c>
      <c r="DG463">
        <v>1</v>
      </c>
      <c r="DH463">
        <v>0</v>
      </c>
      <c r="DI463">
        <f>SUM(DD463:DH463)</f>
        <v>1</v>
      </c>
      <c r="DJ463" t="str">
        <f t="shared" si="494"/>
        <v>TimberInput</v>
      </c>
      <c r="DK463">
        <f t="shared" si="495"/>
        <v>0</v>
      </c>
      <c r="DL463">
        <f t="shared" si="496"/>
        <v>0</v>
      </c>
      <c r="DM463">
        <f t="shared" si="497"/>
        <v>0</v>
      </c>
      <c r="DN463" t="str">
        <f t="shared" si="498"/>
        <v>Timber</v>
      </c>
      <c r="DO463">
        <v>0</v>
      </c>
      <c r="DP463">
        <v>0</v>
      </c>
      <c r="DQ463">
        <v>0</v>
      </c>
      <c r="DR463">
        <v>0</v>
      </c>
      <c r="DS463">
        <v>0</v>
      </c>
      <c r="DT463">
        <f t="shared" si="499"/>
        <v>0</v>
      </c>
      <c r="DU463" t="str">
        <f t="shared" si="500"/>
        <v>explicit C balance</v>
      </c>
      <c r="DV463">
        <v>0</v>
      </c>
      <c r="DW463">
        <v>0</v>
      </c>
      <c r="DX463">
        <v>0</v>
      </c>
      <c r="DY463">
        <v>0</v>
      </c>
      <c r="DZ463">
        <v>0</v>
      </c>
      <c r="EA463" s="143">
        <v>0</v>
      </c>
      <c r="EB463">
        <v>1</v>
      </c>
      <c r="EC463">
        <v>1</v>
      </c>
      <c r="ED463">
        <v>0</v>
      </c>
      <c r="EE463">
        <v>0</v>
      </c>
      <c r="EF463">
        <v>0</v>
      </c>
      <c r="EG463">
        <v>0</v>
      </c>
      <c r="EH463">
        <v>0</v>
      </c>
      <c r="EI463" s="2">
        <v>0</v>
      </c>
      <c r="EK463" t="str">
        <f>IF(AND(AND(AND(OR($DX463=1,$DW463=1),OR($EC463=1,$EA463=1)),SUM($DV463:$DZ463,$EF463)&gt;=4),SUM($EA463:$EE463)&gt;=2),"Whole sector","")</f>
        <v/>
      </c>
      <c r="EL463" t="str">
        <f>IF(AND(AND(OR($DX463=1,$DW463=1),AND($EC463=0,$EA463=0)),SUM($DV463:$DZ463,$EF463)&gt;=4),"Ecosystem approach","")</f>
        <v/>
      </c>
      <c r="EM463" s="2" t="str">
        <f t="shared" si="469"/>
        <v>Technology approach</v>
      </c>
      <c r="EP463" t="str">
        <f>IF(ISNUMBER(BU463),IF(ABS(BU463-[5]QC_indicators!$B$2)&gt;3*[5]QC_indicators!$C$2,"C ratio",IF(ISNUMBER(BY463),IF(ABS(BY463-[5]QC_indicators!$B$1)&gt;3*[5]QC_indicators!$C$1,"DF","no"))),IF(ISNUMBER(BY463),IF(ABS(BY463-[5]QC_indicators!$B$1)&gt;3*[5]QC_indicators!$C$1,"DF","no")))</f>
        <v>no</v>
      </c>
      <c r="ET463" s="264" t="s">
        <v>3272</v>
      </c>
    </row>
    <row r="464" spans="1:151" ht="15" hidden="1" customHeight="1">
      <c r="A464" s="1" t="s">
        <v>599</v>
      </c>
      <c r="B464" t="s">
        <v>600</v>
      </c>
      <c r="C464" t="s">
        <v>601</v>
      </c>
      <c r="D464" t="s">
        <v>602</v>
      </c>
      <c r="E464" t="s">
        <v>603</v>
      </c>
      <c r="F464" t="s">
        <v>604</v>
      </c>
      <c r="G464" t="s">
        <v>605</v>
      </c>
      <c r="H464" t="s">
        <v>254</v>
      </c>
      <c r="I464">
        <v>2022</v>
      </c>
      <c r="J464">
        <v>15</v>
      </c>
      <c r="K464" t="s">
        <v>606</v>
      </c>
      <c r="M464" t="str">
        <f t="shared" si="510"/>
        <v>Dani_2022</v>
      </c>
      <c r="N464" t="s">
        <v>222</v>
      </c>
      <c r="O464" s="145" t="s">
        <v>223</v>
      </c>
      <c r="Q464" t="s">
        <v>389</v>
      </c>
      <c r="R464" s="255" t="s">
        <v>225</v>
      </c>
      <c r="S464" s="1" t="s">
        <v>607</v>
      </c>
      <c r="T464" t="s">
        <v>608</v>
      </c>
      <c r="U464" t="s">
        <v>609</v>
      </c>
      <c r="V464">
        <v>0</v>
      </c>
      <c r="W464">
        <v>0</v>
      </c>
      <c r="X464">
        <v>0</v>
      </c>
      <c r="Y464">
        <v>0</v>
      </c>
      <c r="Z464">
        <v>0</v>
      </c>
      <c r="AA464">
        <v>0</v>
      </c>
      <c r="AB464">
        <v>0</v>
      </c>
      <c r="AC464">
        <v>0</v>
      </c>
      <c r="AD464">
        <v>0</v>
      </c>
      <c r="AE464">
        <v>0</v>
      </c>
      <c r="AF464">
        <v>0</v>
      </c>
      <c r="AG464">
        <v>0</v>
      </c>
      <c r="AH464">
        <v>0</v>
      </c>
      <c r="AI464">
        <v>0</v>
      </c>
      <c r="AJ464">
        <v>0</v>
      </c>
      <c r="AK464">
        <v>1</v>
      </c>
      <c r="AL464">
        <v>0</v>
      </c>
      <c r="AM464">
        <v>0</v>
      </c>
      <c r="AN464">
        <v>0</v>
      </c>
      <c r="AO464">
        <v>0</v>
      </c>
      <c r="AP464">
        <v>0</v>
      </c>
      <c r="AQ464">
        <v>0</v>
      </c>
      <c r="AR464">
        <v>0</v>
      </c>
      <c r="AS464">
        <v>0</v>
      </c>
      <c r="AT464">
        <v>0</v>
      </c>
      <c r="AU464">
        <v>0</v>
      </c>
      <c r="AV464">
        <v>0</v>
      </c>
      <c r="AW464">
        <v>0</v>
      </c>
      <c r="AX464" s="141">
        <f t="shared" si="470"/>
        <v>1</v>
      </c>
      <c r="AY464" s="141">
        <f t="shared" si="471"/>
        <v>1</v>
      </c>
      <c r="AZ464">
        <f t="shared" si="472"/>
        <v>0</v>
      </c>
      <c r="BA464">
        <f t="shared" si="473"/>
        <v>0</v>
      </c>
      <c r="BB464">
        <f t="shared" si="474"/>
        <v>1</v>
      </c>
      <c r="BC464">
        <f t="shared" si="475"/>
        <v>0</v>
      </c>
      <c r="BD464">
        <f t="shared" si="476"/>
        <v>0</v>
      </c>
      <c r="BE464" t="str">
        <f t="array" ref="BE464">IF(AY464=1,INDEX($V$7:$AL$7,MATCH(TRUE,INDEX($V464:$AW464&lt;&gt;0,),0)),IF(AY464=0,INDEX($AM$7:$AW$7,MATCH(1,$AM464:$AW464,0)),IF(BF464="Multiple strategies","mixed drivers",IF(BF464="Supply chain","multiple supply","multiple silviculture"))))</f>
        <v>technologies/design switch</v>
      </c>
      <c r="BF464" s="2" t="str" cm="1">
        <f t="array" ref="BF464">IF(COUNTIF(AZ464:BB464,"&lt;&gt;0")=1,INDEX($V$4:$AW$4,MATCH(TRUE,INDEX($V464:$AW464&lt;&gt;0,),0)),IF(COUNTIF(AZ464:BB464,"&lt;&gt;0")=0,INDEX($AM$4:$AW$4,MATCH(1,$AM464:$AW464,0)),"Multiple strategies"))</f>
        <v>Technology</v>
      </c>
      <c r="BG464" s="1" t="s">
        <v>229</v>
      </c>
      <c r="BH464" t="s">
        <v>610</v>
      </c>
      <c r="BI464" t="s">
        <v>424</v>
      </c>
      <c r="BJ464" t="s">
        <v>498</v>
      </c>
      <c r="BK464">
        <f>0.041+0.652</f>
        <v>0.69300000000000006</v>
      </c>
      <c r="BL464">
        <f>0.298+2.905+0.284+3.758+0.808+6.645+2.786+0.678</f>
        <v>18.161999999999999</v>
      </c>
      <c r="BN464">
        <f>BL464-BK464</f>
        <v>17.468999999999998</v>
      </c>
      <c r="BO464">
        <f>BN464</f>
        <v>17.468999999999998</v>
      </c>
      <c r="BP464" t="s">
        <v>395</v>
      </c>
      <c r="BQ464" s="301" t="s">
        <v>3302</v>
      </c>
      <c r="BR464" t="s">
        <v>612</v>
      </c>
      <c r="BS464">
        <f>146*0.27</f>
        <v>39.42</v>
      </c>
      <c r="BT464">
        <f>107*0.64</f>
        <v>68.48</v>
      </c>
      <c r="BU464" s="144">
        <f t="shared" si="515"/>
        <v>1.7371892440385592</v>
      </c>
      <c r="BV464">
        <f t="shared" si="516"/>
        <v>29.060000000000002</v>
      </c>
      <c r="BX464">
        <f>BV464/1000</f>
        <v>2.9060000000000002E-2</v>
      </c>
      <c r="BY464">
        <f t="shared" si="468"/>
        <v>1.6635182322972126E-3</v>
      </c>
      <c r="BZ464">
        <v>0</v>
      </c>
      <c r="CA464">
        <v>0</v>
      </c>
      <c r="CB464">
        <v>0</v>
      </c>
      <c r="CC464">
        <v>0</v>
      </c>
      <c r="CD464">
        <v>0</v>
      </c>
      <c r="CE464">
        <v>0</v>
      </c>
      <c r="CF464">
        <v>0</v>
      </c>
      <c r="CG464">
        <v>0</v>
      </c>
      <c r="CH464">
        <v>0</v>
      </c>
      <c r="CI464">
        <v>0</v>
      </c>
      <c r="CJ464">
        <v>0</v>
      </c>
      <c r="CK464">
        <v>0</v>
      </c>
      <c r="CL464">
        <v>0</v>
      </c>
      <c r="CM464">
        <v>0</v>
      </c>
      <c r="CN464" t="str">
        <f>IF($BL464&lt;$BK464,"refNeedCorrection","refOK")</f>
        <v>refOK</v>
      </c>
      <c r="CO464"/>
      <c r="CP464"/>
      <c r="CQ464">
        <f>IF($CN464="refOK",$BO464,-$BO464)</f>
        <v>17.468999999999998</v>
      </c>
      <c r="CR464">
        <f t="shared" si="511"/>
        <v>-39.42</v>
      </c>
      <c r="CS464">
        <f t="shared" si="512"/>
        <v>-68.48</v>
      </c>
      <c r="CT464">
        <f t="shared" si="513"/>
        <v>-2.9060000000000002E-2</v>
      </c>
      <c r="CU464">
        <f t="shared" si="488"/>
        <v>-1.6635182322972126E-3</v>
      </c>
      <c r="CV464" s="2">
        <f t="shared" si="514"/>
        <v>-0.73718924403855912</v>
      </c>
      <c r="CW464" s="1" t="s">
        <v>263</v>
      </c>
      <c r="CX464" t="str">
        <f t="shared" si="490"/>
        <v>loc</v>
      </c>
      <c r="CY464" t="s">
        <v>613</v>
      </c>
      <c r="DB464">
        <v>0</v>
      </c>
      <c r="DC464" t="str">
        <f t="shared" si="492"/>
        <v>0</v>
      </c>
      <c r="DD464">
        <v>0</v>
      </c>
      <c r="DE464">
        <v>0</v>
      </c>
      <c r="DF464">
        <v>0</v>
      </c>
      <c r="DG464">
        <v>1</v>
      </c>
      <c r="DH464">
        <v>0</v>
      </c>
      <c r="DI464">
        <f>SUM(DD464:DH464)</f>
        <v>1</v>
      </c>
      <c r="DJ464" t="str">
        <f t="shared" si="494"/>
        <v>TimberInput</v>
      </c>
      <c r="DK464">
        <f t="shared" si="495"/>
        <v>0</v>
      </c>
      <c r="DL464">
        <f t="shared" si="496"/>
        <v>0</v>
      </c>
      <c r="DM464">
        <f t="shared" si="497"/>
        <v>0</v>
      </c>
      <c r="DN464" t="str">
        <f t="shared" si="498"/>
        <v>Timber</v>
      </c>
      <c r="DO464">
        <v>0</v>
      </c>
      <c r="DP464">
        <v>0</v>
      </c>
      <c r="DQ464">
        <v>0</v>
      </c>
      <c r="DR464">
        <v>0</v>
      </c>
      <c r="DS464">
        <v>0</v>
      </c>
      <c r="DT464">
        <f t="shared" si="499"/>
        <v>0</v>
      </c>
      <c r="DU464" t="str">
        <f t="shared" si="500"/>
        <v>explicit C balance</v>
      </c>
      <c r="DV464">
        <v>0</v>
      </c>
      <c r="DW464">
        <v>0</v>
      </c>
      <c r="DX464">
        <v>0</v>
      </c>
      <c r="DY464">
        <v>0</v>
      </c>
      <c r="DZ464">
        <v>0</v>
      </c>
      <c r="EA464" s="143">
        <v>0</v>
      </c>
      <c r="EB464">
        <v>0</v>
      </c>
      <c r="EC464">
        <v>0</v>
      </c>
      <c r="ED464">
        <v>0</v>
      </c>
      <c r="EE464">
        <v>1</v>
      </c>
      <c r="EF464">
        <v>0</v>
      </c>
      <c r="EG464">
        <v>0</v>
      </c>
      <c r="EH464">
        <v>0</v>
      </c>
      <c r="EI464" s="2">
        <v>0</v>
      </c>
      <c r="EK464" t="str">
        <f>IF(AND(AND(AND(OR($DX464=1,$DW464=1),OR($EC464=1,$EA464=1)),SUM($DV464:$DZ464,$EF464)&gt;=4),SUM($EA464:$EE464)&gt;=2),"Whole sector","")</f>
        <v/>
      </c>
      <c r="EL464" t="str">
        <f>IF(AND(AND(OR($DX464=1,$DW464=1),AND($EC464=0,$EA464=0)),SUM($DV464:$DZ464,$EF464)&gt;=4),"Ecosystem approach","")</f>
        <v/>
      </c>
      <c r="EM464" s="2" t="str">
        <f t="shared" si="469"/>
        <v/>
      </c>
      <c r="EP464" t="str">
        <f>IF(ISNUMBER(BU464),IF(ABS(BU464-[5]QC_indicators!$B$2)&gt;3*[5]QC_indicators!$C$2,"C ratio",IF(ISNUMBER(BY464),IF(ABS(BY464-[5]QC_indicators!$B$1)&gt;3*[5]QC_indicators!$C$1,"DF","no"))),IF(ISNUMBER(BY464),IF(ABS(BY464-[5]QC_indicators!$B$1)&gt;3*[5]QC_indicators!$C$1,"DF","no")))</f>
        <v>no</v>
      </c>
      <c r="ET464" s="264" t="s">
        <v>3272</v>
      </c>
    </row>
    <row r="465" spans="1:150" ht="15" hidden="1" customHeight="1">
      <c r="A465" s="1" t="s">
        <v>599</v>
      </c>
      <c r="B465" t="s">
        <v>600</v>
      </c>
      <c r="C465" t="s">
        <v>601</v>
      </c>
      <c r="D465" t="s">
        <v>602</v>
      </c>
      <c r="E465" t="s">
        <v>603</v>
      </c>
      <c r="F465" t="s">
        <v>604</v>
      </c>
      <c r="G465" t="s">
        <v>605</v>
      </c>
      <c r="H465" t="s">
        <v>254</v>
      </c>
      <c r="I465">
        <v>2022</v>
      </c>
      <c r="J465">
        <v>15</v>
      </c>
      <c r="K465" t="s">
        <v>606</v>
      </c>
      <c r="M465" t="str">
        <f t="shared" si="510"/>
        <v>Dani_2022</v>
      </c>
      <c r="N465" t="s">
        <v>222</v>
      </c>
      <c r="O465" s="145" t="s">
        <v>223</v>
      </c>
      <c r="Q465" t="s">
        <v>389</v>
      </c>
      <c r="R465" s="255" t="s">
        <v>225</v>
      </c>
      <c r="S465" s="1" t="s">
        <v>607</v>
      </c>
      <c r="T465" t="s">
        <v>608</v>
      </c>
      <c r="U465" t="s">
        <v>609</v>
      </c>
      <c r="V465">
        <v>0</v>
      </c>
      <c r="W465">
        <v>0</v>
      </c>
      <c r="X465">
        <v>0</v>
      </c>
      <c r="Y465">
        <v>0</v>
      </c>
      <c r="Z465">
        <v>0</v>
      </c>
      <c r="AA465">
        <v>0</v>
      </c>
      <c r="AB465">
        <v>0</v>
      </c>
      <c r="AC465">
        <v>0</v>
      </c>
      <c r="AD465">
        <v>0</v>
      </c>
      <c r="AE465">
        <v>0</v>
      </c>
      <c r="AF465">
        <v>0</v>
      </c>
      <c r="AG465">
        <v>0</v>
      </c>
      <c r="AH465">
        <v>0</v>
      </c>
      <c r="AI465">
        <v>0</v>
      </c>
      <c r="AJ465">
        <v>0</v>
      </c>
      <c r="AK465">
        <v>1</v>
      </c>
      <c r="AL465">
        <v>0</v>
      </c>
      <c r="AM465">
        <v>0</v>
      </c>
      <c r="AN465">
        <v>0</v>
      </c>
      <c r="AO465">
        <v>0</v>
      </c>
      <c r="AP465">
        <v>0</v>
      </c>
      <c r="AQ465">
        <v>0</v>
      </c>
      <c r="AR465">
        <v>0</v>
      </c>
      <c r="AS465">
        <v>0</v>
      </c>
      <c r="AT465">
        <v>0</v>
      </c>
      <c r="AU465">
        <v>0</v>
      </c>
      <c r="AV465">
        <v>0</v>
      </c>
      <c r="AW465">
        <v>0</v>
      </c>
      <c r="AX465" s="141">
        <f t="shared" si="470"/>
        <v>1</v>
      </c>
      <c r="AY465" s="141">
        <f t="shared" si="471"/>
        <v>1</v>
      </c>
      <c r="AZ465">
        <f t="shared" si="472"/>
        <v>0</v>
      </c>
      <c r="BA465">
        <f t="shared" si="473"/>
        <v>0</v>
      </c>
      <c r="BB465">
        <f t="shared" si="474"/>
        <v>1</v>
      </c>
      <c r="BC465">
        <f t="shared" si="475"/>
        <v>0</v>
      </c>
      <c r="BD465">
        <f t="shared" si="476"/>
        <v>0</v>
      </c>
      <c r="BE465" t="str">
        <f t="array" ref="BE465">IF(AY465=1,INDEX($V$7:$AL$7,MATCH(TRUE,INDEX($V465:$AW465&lt;&gt;0,),0)),IF(AY465=0,INDEX($AM$7:$AW$7,MATCH(1,$AM465:$AW465,0)),IF(BF465="Multiple strategies","mixed drivers",IF(BF465="Supply chain","multiple supply","multiple silviculture"))))</f>
        <v>technologies/design switch</v>
      </c>
      <c r="BF465" s="2" t="str" cm="1">
        <f t="array" ref="BF465">IF(COUNTIF(AZ465:BB465,"&lt;&gt;0")=1,INDEX($V$4:$AW$4,MATCH(TRUE,INDEX($V465:$AW465&lt;&gt;0,),0)),IF(COUNTIF(AZ465:BB465,"&lt;&gt;0")=0,INDEX($AM$4:$AW$4,MATCH(1,$AM465:$AW465,0)),"Multiple strategies"))</f>
        <v>Technology</v>
      </c>
      <c r="BG465" s="1" t="s">
        <v>229</v>
      </c>
      <c r="BH465" t="s">
        <v>610</v>
      </c>
      <c r="BI465" t="s">
        <v>424</v>
      </c>
      <c r="BJ465" t="s">
        <v>498</v>
      </c>
      <c r="BK465">
        <f>0.041+0.652</f>
        <v>0.69300000000000006</v>
      </c>
      <c r="BL465">
        <f>0.298+2.905+0.284+3.758+0.808+6.645+2.786+0.678</f>
        <v>18.161999999999999</v>
      </c>
      <c r="BN465">
        <f>BL465-BK465</f>
        <v>17.468999999999998</v>
      </c>
      <c r="BO465">
        <f>BN465</f>
        <v>17.468999999999998</v>
      </c>
      <c r="BP465" t="s">
        <v>395</v>
      </c>
      <c r="BQ465" s="301" t="s">
        <v>3303</v>
      </c>
      <c r="BR465" t="s">
        <v>612</v>
      </c>
      <c r="BS465">
        <f>146*(-1.53)</f>
        <v>-223.38</v>
      </c>
      <c r="BT465" s="144">
        <f>107*(-0.74)</f>
        <v>-79.179999999999993</v>
      </c>
      <c r="BU465" s="144">
        <f t="shared" si="515"/>
        <v>0.3544632464858089</v>
      </c>
      <c r="BV465">
        <f t="shared" si="516"/>
        <v>144.19999999999999</v>
      </c>
      <c r="BX465">
        <f>BV465/1000</f>
        <v>0.14419999999999999</v>
      </c>
      <c r="BY465">
        <f t="shared" si="468"/>
        <v>8.2546224740969731E-3</v>
      </c>
      <c r="BZ465">
        <v>0</v>
      </c>
      <c r="CA465">
        <v>0</v>
      </c>
      <c r="CB465">
        <v>0</v>
      </c>
      <c r="CC465">
        <v>0</v>
      </c>
      <c r="CD465">
        <v>0</v>
      </c>
      <c r="CE465">
        <v>0</v>
      </c>
      <c r="CF465">
        <v>0</v>
      </c>
      <c r="CG465">
        <v>0</v>
      </c>
      <c r="CH465">
        <v>0</v>
      </c>
      <c r="CI465">
        <v>0</v>
      </c>
      <c r="CJ465">
        <v>0</v>
      </c>
      <c r="CK465">
        <v>0</v>
      </c>
      <c r="CL465">
        <v>0</v>
      </c>
      <c r="CM465">
        <v>0</v>
      </c>
      <c r="CN465" t="str">
        <f>IF($BL465&lt;$BK465,"refNeedCorrection","refOK")</f>
        <v>refOK</v>
      </c>
      <c r="CO465"/>
      <c r="CP465"/>
      <c r="CQ465">
        <f>IF($CN465="refOK",$BO465,-$BO465)</f>
        <v>17.468999999999998</v>
      </c>
      <c r="CR465">
        <f t="shared" si="511"/>
        <v>223.38</v>
      </c>
      <c r="CS465">
        <f t="shared" si="512"/>
        <v>79.179999999999993</v>
      </c>
      <c r="CT465">
        <f t="shared" si="513"/>
        <v>-0.14419999999999999</v>
      </c>
      <c r="CU465">
        <f t="shared" si="488"/>
        <v>-8.2546224740969731E-3</v>
      </c>
      <c r="CV465" s="2">
        <f t="shared" si="514"/>
        <v>-0.64553675351419104</v>
      </c>
      <c r="CW465" s="1" t="s">
        <v>263</v>
      </c>
      <c r="CX465" t="str">
        <f t="shared" si="490"/>
        <v>loc</v>
      </c>
      <c r="CY465" t="s">
        <v>613</v>
      </c>
      <c r="DB465">
        <v>0</v>
      </c>
      <c r="DC465" t="str">
        <f t="shared" si="492"/>
        <v>0</v>
      </c>
      <c r="DD465">
        <v>0</v>
      </c>
      <c r="DE465">
        <v>0</v>
      </c>
      <c r="DF465">
        <v>0</v>
      </c>
      <c r="DG465">
        <v>1</v>
      </c>
      <c r="DH465">
        <v>0</v>
      </c>
      <c r="DI465">
        <f>SUM(DD465:DH465)</f>
        <v>1</v>
      </c>
      <c r="DJ465" t="str">
        <f t="shared" si="494"/>
        <v>TimberInput</v>
      </c>
      <c r="DK465">
        <f t="shared" si="495"/>
        <v>0</v>
      </c>
      <c r="DL465">
        <f t="shared" si="496"/>
        <v>0</v>
      </c>
      <c r="DM465">
        <f t="shared" si="497"/>
        <v>0</v>
      </c>
      <c r="DN465" t="str">
        <f t="shared" si="498"/>
        <v>Timber</v>
      </c>
      <c r="DO465">
        <v>0</v>
      </c>
      <c r="DP465">
        <v>0</v>
      </c>
      <c r="DQ465">
        <v>0</v>
      </c>
      <c r="DR465">
        <v>0</v>
      </c>
      <c r="DS465">
        <v>0</v>
      </c>
      <c r="DT465">
        <f t="shared" si="499"/>
        <v>0</v>
      </c>
      <c r="DU465" t="str">
        <f t="shared" si="500"/>
        <v>explicit C balance</v>
      </c>
      <c r="DV465">
        <v>0</v>
      </c>
      <c r="DW465">
        <v>0</v>
      </c>
      <c r="DX465">
        <v>0</v>
      </c>
      <c r="DY465">
        <v>0</v>
      </c>
      <c r="DZ465">
        <v>0</v>
      </c>
      <c r="EA465" s="264">
        <v>1</v>
      </c>
      <c r="EB465">
        <v>0</v>
      </c>
      <c r="EC465">
        <v>0</v>
      </c>
      <c r="ED465">
        <v>0</v>
      </c>
      <c r="EE465">
        <v>0</v>
      </c>
      <c r="EF465">
        <v>0</v>
      </c>
      <c r="EG465">
        <v>0</v>
      </c>
      <c r="EH465">
        <v>0</v>
      </c>
      <c r="EI465" s="2">
        <v>0</v>
      </c>
      <c r="EK465" t="str">
        <f>IF(AND(AND(AND(OR($DX465=1,$DW465=1),OR($EC465=1,$EA465=1)),SUM($DV465:$DZ465,$EF465)&gt;=4),SUM($EA465:$EE465)&gt;=2),"Whole sector","")</f>
        <v/>
      </c>
      <c r="EL465" t="str">
        <f>IF(AND(AND(OR($DX465=1,$DW465=1),AND($EC465=0,$EA465=0)),SUM($DV465:$DZ465,$EF465)&gt;=4),"Ecosystem approach","")</f>
        <v/>
      </c>
      <c r="EM465" s="2" t="str">
        <f t="shared" si="469"/>
        <v/>
      </c>
      <c r="EP465" t="str">
        <f>IF(ISNUMBER(BU465),IF(ABS(BU465-[5]QC_indicators!$B$2)&gt;3*[5]QC_indicators!$C$2,"C ratio",IF(ISNUMBER(BY465),IF(ABS(BY465-[5]QC_indicators!$B$1)&gt;3*[5]QC_indicators!$C$1,"DF","no"))),IF(ISNUMBER(BY465),IF(ABS(BY465-[5]QC_indicators!$B$1)&gt;3*[5]QC_indicators!$C$1,"DF","no")))</f>
        <v>no</v>
      </c>
      <c r="ET465" s="264" t="s">
        <v>3272</v>
      </c>
    </row>
    <row r="466" spans="1:150" ht="15" hidden="1" customHeight="1">
      <c r="A466" s="1" t="s">
        <v>4474</v>
      </c>
      <c r="B466" t="s">
        <v>4475</v>
      </c>
      <c r="C466" t="s">
        <v>4476</v>
      </c>
      <c r="D466" t="s">
        <v>4477</v>
      </c>
      <c r="E466" t="s">
        <v>4478</v>
      </c>
      <c r="F466" t="s">
        <v>4479</v>
      </c>
      <c r="G466" t="s">
        <v>4480</v>
      </c>
      <c r="H466" t="s">
        <v>3790</v>
      </c>
      <c r="I466">
        <v>2011</v>
      </c>
      <c r="J466">
        <v>20</v>
      </c>
      <c r="K466" t="s">
        <v>4481</v>
      </c>
      <c r="M466" t="str">
        <f t="shared" si="510"/>
        <v>Davis_2011</v>
      </c>
      <c r="N466" t="s">
        <v>2582</v>
      </c>
      <c r="O466" s="145" t="s">
        <v>223</v>
      </c>
      <c r="Q466" s="311" t="s">
        <v>256</v>
      </c>
      <c r="R466" s="312"/>
      <c r="AX466" s="141"/>
      <c r="AY466" s="141"/>
      <c r="BE466"/>
      <c r="BF466" s="2"/>
      <c r="BY466" t="str">
        <f t="shared" si="468"/>
        <v/>
      </c>
      <c r="CN466"/>
      <c r="CO466"/>
      <c r="CP466"/>
      <c r="CQ466"/>
      <c r="CR466"/>
      <c r="CS466"/>
      <c r="CT466"/>
      <c r="CU466"/>
      <c r="CV466" s="2"/>
      <c r="CX466"/>
      <c r="DC466"/>
      <c r="DI466"/>
      <c r="DJ466"/>
      <c r="DK466"/>
      <c r="DL466"/>
      <c r="DM466"/>
      <c r="DN466"/>
      <c r="DT466"/>
      <c r="DU466" s="143"/>
      <c r="EK466" t="str">
        <f>IF(AND(AND(AND(OR($DX466=1,$DW466=1),OR($EC466=1,$EA466=1)),SUM($DV466:$DZ466,$EF466)&gt;=3),SUM($EA466:$EE466)&gt;=2),"Whole sector","")</f>
        <v/>
      </c>
      <c r="EL466" t="str">
        <f>IF(AND(AND(OR($DX466=1,$DW466=1),AND($EC466=0,$EA466=0)),SUM($DV466:$DZ466,$EF466)&gt;=3),"Ecosystem approach","")</f>
        <v/>
      </c>
      <c r="EM466" s="2" t="str">
        <f t="shared" si="469"/>
        <v/>
      </c>
      <c r="EP466" t="b">
        <f>IF(ISNUMBER(BU466),IF(ABS(BU466-[1]QC_indicators!$B$2)&gt;3*[1]QC_indicators!$C$2,"C ratio",IF(ISNUMBER(BY466),IF(ABS(BY466-[1]QC_indicators!$B$1)&gt;3*[1]QC_indicators!$C$1,"DF","no"))),IF(ISNUMBER(BY466),IF(ABS(BY466-[1]QC_indicators!$B$1)&gt;3*[1]QC_indicators!$C$1,"DF","no")))</f>
        <v>0</v>
      </c>
    </row>
    <row r="467" spans="1:150" ht="15" hidden="1" customHeight="1">
      <c r="A467" s="1" t="s">
        <v>1359</v>
      </c>
      <c r="B467" t="s">
        <v>4482</v>
      </c>
      <c r="C467" t="s">
        <v>4483</v>
      </c>
      <c r="D467" t="s">
        <v>4484</v>
      </c>
      <c r="E467" t="s">
        <v>4485</v>
      </c>
      <c r="F467" t="s">
        <v>4486</v>
      </c>
      <c r="G467" t="s">
        <v>1365</v>
      </c>
      <c r="H467" t="s">
        <v>254</v>
      </c>
      <c r="I467">
        <v>2021</v>
      </c>
      <c r="J467">
        <v>5</v>
      </c>
      <c r="K467" t="s">
        <v>4487</v>
      </c>
      <c r="M467" t="str">
        <f t="shared" si="510"/>
        <v>de Vries_2021</v>
      </c>
      <c r="N467" t="s">
        <v>2582</v>
      </c>
      <c r="O467" s="145" t="s">
        <v>223</v>
      </c>
      <c r="Q467" s="311" t="s">
        <v>256</v>
      </c>
      <c r="R467" s="312"/>
      <c r="AX467" s="141"/>
      <c r="AY467" s="141"/>
      <c r="BE467"/>
      <c r="BF467" s="2"/>
      <c r="BU467" s="144"/>
      <c r="BY467" t="str">
        <f t="shared" si="468"/>
        <v/>
      </c>
      <c r="CN467"/>
      <c r="CO467"/>
      <c r="CP467"/>
      <c r="CQ467"/>
      <c r="CR467"/>
      <c r="CS467"/>
      <c r="CT467"/>
      <c r="CU467"/>
      <c r="CV467" s="2"/>
      <c r="CX467"/>
      <c r="DC467"/>
      <c r="DI467"/>
      <c r="DJ467"/>
      <c r="DK467"/>
      <c r="DL467"/>
      <c r="DM467"/>
      <c r="DN467"/>
      <c r="DT467"/>
      <c r="DU467" s="143"/>
      <c r="EK467" t="str">
        <f>IF(AND(AND(AND(OR($DX467=1,$DW467=1),OR($EC467=1,$EA467=1)),SUM($DV467:$DZ467,$EF467)&gt;=3),SUM($EA467:$EE467)&gt;=2),"Whole sector","")</f>
        <v/>
      </c>
      <c r="EL467" t="str">
        <f>IF(AND(AND(OR($DX467=1,$DW467=1),AND($EC467=0,$EA467=0)),SUM($DV467:$DZ467,$EF467)&gt;=3),"Ecosystem approach","")</f>
        <v/>
      </c>
      <c r="EM467" s="2" t="str">
        <f t="shared" si="469"/>
        <v/>
      </c>
      <c r="EO467" t="s">
        <v>450</v>
      </c>
      <c r="EP467" t="b">
        <f>IF(ISNUMBER(BU467),IF(ABS(BU467-[1]QC_indicators!$B$2)&gt;3*[1]QC_indicators!$C$2,"C ratio",IF(ISNUMBER(BY467),IF(ABS(BY467-[1]QC_indicators!$B$1)&gt;3*[1]QC_indicators!$C$1,"DF","no"))),IF(ISNUMBER(BY467),IF(ABS(BY467-[1]QC_indicators!$B$1)&gt;3*[1]QC_indicators!$C$1,"DF","no")))</f>
        <v>0</v>
      </c>
    </row>
    <row r="468" spans="1:150" ht="15" hidden="1" customHeight="1">
      <c r="A468" s="1" t="s">
        <v>1359</v>
      </c>
      <c r="B468" t="s">
        <v>4482</v>
      </c>
      <c r="C468" t="s">
        <v>4483</v>
      </c>
      <c r="D468" t="s">
        <v>4484</v>
      </c>
      <c r="E468" t="s">
        <v>4485</v>
      </c>
      <c r="F468" t="s">
        <v>4486</v>
      </c>
      <c r="G468" t="s">
        <v>1365</v>
      </c>
      <c r="H468" t="s">
        <v>254</v>
      </c>
      <c r="I468">
        <v>2021</v>
      </c>
      <c r="J468">
        <v>5</v>
      </c>
      <c r="K468" t="s">
        <v>4487</v>
      </c>
      <c r="M468" t="str">
        <f t="shared" si="510"/>
        <v>de Vries_2021</v>
      </c>
      <c r="N468" t="s">
        <v>2582</v>
      </c>
      <c r="O468" s="145" t="s">
        <v>223</v>
      </c>
      <c r="Q468" s="311" t="s">
        <v>256</v>
      </c>
      <c r="R468" s="312"/>
      <c r="AX468" s="141"/>
      <c r="AY468" s="141"/>
      <c r="BE468"/>
      <c r="BF468" s="2"/>
      <c r="BY468" t="str">
        <f t="shared" si="468"/>
        <v/>
      </c>
      <c r="CN468"/>
      <c r="CO468"/>
      <c r="CP468"/>
      <c r="CQ468"/>
      <c r="CR468"/>
      <c r="CS468"/>
      <c r="CT468"/>
      <c r="CU468"/>
      <c r="CV468" s="2"/>
      <c r="CX468"/>
      <c r="DC468"/>
      <c r="DI468"/>
      <c r="DJ468"/>
      <c r="DK468"/>
      <c r="DL468"/>
      <c r="DM468"/>
      <c r="DN468"/>
      <c r="DT468"/>
      <c r="DU468" s="143"/>
      <c r="EK468" t="str">
        <f>IF(AND(AND(AND(OR($DX468=1,$DW468=1),OR($EC468=1,$EA468=1)),SUM($DV468:$DZ468,$EF468)&gt;=3),SUM($EA468:$EE468)&gt;=2),"Whole sector","")</f>
        <v/>
      </c>
      <c r="EL468" t="str">
        <f>IF(AND(AND(OR($DX468=1,$DW468=1),AND($EC468=0,$EA468=0)),SUM($DV468:$DZ468,$EF468)&gt;=3),"Ecosystem approach","")</f>
        <v/>
      </c>
      <c r="EM468" s="2" t="str">
        <f t="shared" si="469"/>
        <v/>
      </c>
      <c r="EP468" t="b">
        <f>IF(ISNUMBER(BU468),IF(ABS(BU468-[1]QC_indicators!$B$2)&gt;3*[1]QC_indicators!$C$2,"C ratio",IF(ISNUMBER(BY468),IF(ABS(BY468-[1]QC_indicators!$B$1)&gt;3*[1]QC_indicators!$C$1,"DF","no"))),IF(ISNUMBER(BY468),IF(ABS(BY468-[1]QC_indicators!$B$1)&gt;3*[1]QC_indicators!$C$1,"DF","no")))</f>
        <v>0</v>
      </c>
    </row>
    <row r="469" spans="1:150" ht="15" hidden="1" customHeight="1">
      <c r="A469" s="1" t="s">
        <v>4963</v>
      </c>
      <c r="B469" t="s">
        <v>544</v>
      </c>
      <c r="C469" t="s">
        <v>544</v>
      </c>
      <c r="D469" t="s">
        <v>4964</v>
      </c>
      <c r="E469" t="s">
        <v>4965</v>
      </c>
      <c r="F469" t="s">
        <v>4966</v>
      </c>
      <c r="G469" t="s">
        <v>544</v>
      </c>
      <c r="H469" t="s">
        <v>3964</v>
      </c>
      <c r="I469">
        <v>2019</v>
      </c>
      <c r="J469">
        <v>0</v>
      </c>
      <c r="K469" t="s">
        <v>544</v>
      </c>
      <c r="M469" t="str">
        <f t="shared" si="510"/>
        <v>De Wolf_2019</v>
      </c>
      <c r="N469" t="s">
        <v>2583</v>
      </c>
      <c r="O469" s="145" t="s">
        <v>223</v>
      </c>
      <c r="Q469" s="311" t="s">
        <v>256</v>
      </c>
      <c r="R469" s="312"/>
      <c r="AX469" s="141"/>
      <c r="AY469" s="141"/>
      <c r="BE469"/>
      <c r="BF469" s="2"/>
      <c r="BU469" s="144"/>
      <c r="BY469" t="str">
        <f t="shared" si="468"/>
        <v/>
      </c>
      <c r="CN469"/>
      <c r="CO469"/>
      <c r="CP469"/>
      <c r="CQ469"/>
      <c r="CR469"/>
      <c r="CS469"/>
      <c r="CT469"/>
      <c r="CU469"/>
      <c r="CV469" s="2"/>
      <c r="CX469"/>
      <c r="DC469"/>
      <c r="DI469"/>
      <c r="DJ469"/>
      <c r="DK469"/>
      <c r="DL469"/>
      <c r="DM469"/>
      <c r="DN469"/>
      <c r="DT469"/>
      <c r="DU469" s="143"/>
      <c r="EK469" t="str">
        <f>IF(AND(AND(AND(OR($DX469=1,$DW469=1),OR($EC469=1,$EA469=1)),SUM($DV469:$DZ469,$EF469)&gt;=3),SUM($EA469:$EE469)&gt;=2),"Whole sector","")</f>
        <v/>
      </c>
      <c r="EL469" t="str">
        <f>IF(AND(AND(OR($DX469=1,$DW469=1),AND($EC469=0,$EA469=0)),SUM($DV469:$DZ469,$EF469)&gt;=3),"Ecosystem approach","")</f>
        <v/>
      </c>
      <c r="EM469" s="2" t="str">
        <f t="shared" si="469"/>
        <v/>
      </c>
      <c r="EO469" t="s">
        <v>450</v>
      </c>
      <c r="EP469" t="b">
        <f>IF(ISNUMBER(BU469),IF(ABS(BU469-[1]QC_indicators!$B$2)&gt;3*[1]QC_indicators!$C$2,"C ratio",IF(ISNUMBER(BY469),IF(ABS(BY469-[1]QC_indicators!$B$1)&gt;3*[1]QC_indicators!$C$1,"DF","no"))),IF(ISNUMBER(BY469),IF(ABS(BY469-[1]QC_indicators!$B$1)&gt;3*[1]QC_indicators!$C$1,"DF","no")))</f>
        <v>0</v>
      </c>
    </row>
    <row r="470" spans="1:150" ht="15" hidden="1" customHeight="1">
      <c r="A470" s="1" t="s">
        <v>4963</v>
      </c>
      <c r="B470" t="s">
        <v>544</v>
      </c>
      <c r="C470" t="s">
        <v>544</v>
      </c>
      <c r="D470" t="s">
        <v>4964</v>
      </c>
      <c r="E470" t="s">
        <v>4965</v>
      </c>
      <c r="F470" t="s">
        <v>4966</v>
      </c>
      <c r="G470" t="s">
        <v>544</v>
      </c>
      <c r="H470" t="s">
        <v>3964</v>
      </c>
      <c r="I470">
        <v>2019</v>
      </c>
      <c r="J470">
        <v>0</v>
      </c>
      <c r="K470" t="s">
        <v>544</v>
      </c>
      <c r="M470" t="str">
        <f t="shared" si="510"/>
        <v>De Wolf_2019</v>
      </c>
      <c r="N470" t="s">
        <v>2583</v>
      </c>
      <c r="O470" s="145" t="s">
        <v>223</v>
      </c>
      <c r="Q470" s="311" t="s">
        <v>256</v>
      </c>
      <c r="R470" s="312"/>
      <c r="AX470" s="141"/>
      <c r="AY470" s="141"/>
      <c r="BE470"/>
      <c r="BF470" s="2"/>
      <c r="BY470" t="str">
        <f t="shared" si="468"/>
        <v/>
      </c>
      <c r="CN470"/>
      <c r="CO470"/>
      <c r="CP470"/>
      <c r="CQ470"/>
      <c r="CR470"/>
      <c r="CS470"/>
      <c r="CT470"/>
      <c r="CU470"/>
      <c r="CV470" s="2"/>
      <c r="CX470"/>
      <c r="DC470"/>
      <c r="DI470"/>
      <c r="DJ470"/>
      <c r="DK470"/>
      <c r="DL470"/>
      <c r="DM470"/>
      <c r="DN470"/>
      <c r="DT470"/>
      <c r="DU470" s="143"/>
      <c r="EK470" t="str">
        <f>IF(AND(AND(AND(OR($DX470=1,$DW470=1),OR($EC470=1,$EA470=1)),SUM($DV470:$DZ470,$EF470)&gt;=3),SUM($EA470:$EE470)&gt;=2),"Whole sector","")</f>
        <v/>
      </c>
      <c r="EL470" t="str">
        <f>IF(AND(AND(OR($DX470=1,$DW470=1),AND($EC470=0,$EA470=0)),SUM($DV470:$DZ470,$EF470)&gt;=3),"Ecosystem approach","")</f>
        <v/>
      </c>
      <c r="EM470" s="2" t="str">
        <f t="shared" si="469"/>
        <v/>
      </c>
      <c r="EP470" t="b">
        <f>IF(ISNUMBER(BU470),IF(ABS(BU470-[1]QC_indicators!$B$2)&gt;3*[1]QC_indicators!$C$2,"C ratio",IF(ISNUMBER(BY470),IF(ABS(BY470-[1]QC_indicators!$B$1)&gt;3*[1]QC_indicators!$C$1,"DF","no"))),IF(ISNUMBER(BY470),IF(ABS(BY470-[1]QC_indicators!$B$1)&gt;3*[1]QC_indicators!$C$1,"DF","no")))</f>
        <v>0</v>
      </c>
    </row>
    <row r="471" spans="1:150" ht="15" hidden="1" customHeight="1">
      <c r="A471" s="1" t="s">
        <v>1377</v>
      </c>
      <c r="B471" t="s">
        <v>1378</v>
      </c>
      <c r="C471" t="s">
        <v>1379</v>
      </c>
      <c r="D471" t="s">
        <v>1380</v>
      </c>
      <c r="E471" t="s">
        <v>1381</v>
      </c>
      <c r="F471" t="s">
        <v>1382</v>
      </c>
      <c r="G471" t="s">
        <v>1383</v>
      </c>
      <c r="H471" t="s">
        <v>254</v>
      </c>
      <c r="I471">
        <v>2021</v>
      </c>
      <c r="J471">
        <v>0</v>
      </c>
      <c r="K471" t="s">
        <v>1384</v>
      </c>
      <c r="M471" t="str">
        <f t="shared" si="510"/>
        <v>Delacote_2021</v>
      </c>
      <c r="N471" t="s">
        <v>222</v>
      </c>
      <c r="O471" s="145" t="s">
        <v>223</v>
      </c>
      <c r="Q471" s="264" t="s">
        <v>256</v>
      </c>
      <c r="R471" s="269" t="s">
        <v>1153</v>
      </c>
      <c r="S471" s="1" t="s">
        <v>1396</v>
      </c>
      <c r="T471" t="s">
        <v>1397</v>
      </c>
      <c r="U471" t="s">
        <v>1386</v>
      </c>
      <c r="V471">
        <v>0</v>
      </c>
      <c r="W471">
        <v>0</v>
      </c>
      <c r="X471">
        <v>0</v>
      </c>
      <c r="Y471">
        <v>0</v>
      </c>
      <c r="Z471">
        <v>0</v>
      </c>
      <c r="AA471">
        <v>0</v>
      </c>
      <c r="AB471">
        <v>0</v>
      </c>
      <c r="AC471">
        <v>0</v>
      </c>
      <c r="AD471">
        <v>0</v>
      </c>
      <c r="AE471">
        <v>0</v>
      </c>
      <c r="AF471">
        <v>0</v>
      </c>
      <c r="AG471">
        <v>0</v>
      </c>
      <c r="AH471">
        <v>0</v>
      </c>
      <c r="AI471">
        <v>0</v>
      </c>
      <c r="AJ471">
        <v>0</v>
      </c>
      <c r="AK471">
        <v>0</v>
      </c>
      <c r="AL471">
        <v>0</v>
      </c>
      <c r="AM471">
        <v>0</v>
      </c>
      <c r="AN471">
        <v>1</v>
      </c>
      <c r="AO471">
        <v>2</v>
      </c>
      <c r="AP471">
        <v>0</v>
      </c>
      <c r="AQ471">
        <v>0</v>
      </c>
      <c r="AR471">
        <v>0</v>
      </c>
      <c r="AS471">
        <v>0</v>
      </c>
      <c r="AT471">
        <v>0</v>
      </c>
      <c r="AU471">
        <v>0</v>
      </c>
      <c r="AV471">
        <v>0</v>
      </c>
      <c r="AW471">
        <v>0</v>
      </c>
      <c r="AX471" s="141">
        <f t="shared" ref="AX471:AX498" si="517">COUNTIF(V471:AW471,"&lt;&gt;0")</f>
        <v>2</v>
      </c>
      <c r="AY471" s="141">
        <f t="shared" ref="AY471:AY498" si="518">COUNTIF(V471:AL471,"&lt;&gt;0")</f>
        <v>0</v>
      </c>
      <c r="AZ471">
        <f t="shared" ref="AZ471:AZ498" si="519">COUNTIF(V471:AC471,"&lt;&gt;0")</f>
        <v>0</v>
      </c>
      <c r="BA471">
        <f t="shared" ref="BA471:BA498" si="520">COUNTIF(AD471:AI471,"&lt;&gt;0")</f>
        <v>0</v>
      </c>
      <c r="BB471">
        <f t="shared" ref="BB471:BB498" si="521">COUNTIF(AJ471:AL471,"&lt;&gt;0")</f>
        <v>0</v>
      </c>
      <c r="BC471">
        <f t="shared" ref="BC471:BC498" si="522">COUNTIF(AS471:AW471,"&lt;&gt;0")</f>
        <v>0</v>
      </c>
      <c r="BD471">
        <f t="shared" ref="BD471:BD498" si="523">COUNTIF(AM471:AR471,"&lt;&gt;0")</f>
        <v>2</v>
      </c>
      <c r="BE471" t="str" cm="1">
        <f t="array" ref="BE471">IF(AY471=1,INDEX($V$7:$AL$7,MATCH(TRUE,INDEX($V471:$AW471&lt;&gt;0,),0)),IF(AY471=0,INDEX($AM$7:$AW$7,MATCH(1,$AM471:$AW471,0)),IF(BF471="Multiple strategies","mixed drivers",IF(BF471="Supply chain","multiple supply","multiple silviculture"))))</f>
        <v>Temperature</v>
      </c>
      <c r="BF471" s="2" t="str" cm="1">
        <f t="array" ref="BF471">IF(COUNTIF(AZ471:BB471,"&lt;&gt;0")=1,INDEX($V$4:$AW$4,MATCH(TRUE,INDEX($V471:$AW471&lt;&gt;0,),0)),IF(COUNTIF(AZ471:BB471,"&lt;&gt;0")=0,INDEX($AM$4:$AW$4,MATCH(1,$AM471:$AW471,0)),"Multiple strategies"))</f>
        <v>Environmental change</v>
      </c>
      <c r="BG471" s="1" t="s">
        <v>321</v>
      </c>
      <c r="BH471" t="s">
        <v>1296</v>
      </c>
      <c r="BJ471" t="s">
        <v>1213</v>
      </c>
      <c r="BK471">
        <v>51.780999999999999</v>
      </c>
      <c r="BL471">
        <v>58.277999999999999</v>
      </c>
      <c r="BM471">
        <f>BL471/BK471</f>
        <v>1.1254707325080628</v>
      </c>
      <c r="BN471">
        <f t="shared" ref="BN471:BN498" si="524">BL471-BK471</f>
        <v>6.4969999999999999</v>
      </c>
      <c r="BO471">
        <f t="shared" ref="BO471:BO480" si="525">BN471*10^6</f>
        <v>6497000</v>
      </c>
      <c r="BP471" t="s">
        <v>232</v>
      </c>
      <c r="BR471" t="s">
        <v>1229</v>
      </c>
      <c r="BS471">
        <v>94.81</v>
      </c>
      <c r="BT471">
        <v>56.534999999999997</v>
      </c>
      <c r="BU471" s="144">
        <f t="shared" ref="BU471:BU480" si="526">IFERROR(BT471/BS471,"")</f>
        <v>0.59629785887564601</v>
      </c>
      <c r="BV471">
        <f t="shared" ref="BV471:BV480" si="527">BT471-BS471</f>
        <v>-38.275000000000006</v>
      </c>
      <c r="BX471">
        <f t="shared" ref="BX471:BX480" si="528">BV471*10^6</f>
        <v>-38275000.000000007</v>
      </c>
      <c r="BY471">
        <f t="shared" si="468"/>
        <v>-5.891180544866863</v>
      </c>
      <c r="BZ471">
        <v>0</v>
      </c>
      <c r="CA471">
        <v>0</v>
      </c>
      <c r="CB471">
        <v>0</v>
      </c>
      <c r="CC471">
        <v>0</v>
      </c>
      <c r="CD471">
        <v>0</v>
      </c>
      <c r="CE471">
        <v>0</v>
      </c>
      <c r="CF471">
        <v>0</v>
      </c>
      <c r="CG471">
        <v>0</v>
      </c>
      <c r="CH471">
        <v>0</v>
      </c>
      <c r="CI471">
        <v>0</v>
      </c>
      <c r="CJ471">
        <v>0</v>
      </c>
      <c r="CK471">
        <v>0</v>
      </c>
      <c r="CL471">
        <v>0</v>
      </c>
      <c r="CM471">
        <v>1</v>
      </c>
      <c r="CN471" t="str">
        <f t="shared" ref="CN471:CN498" si="529">IF($BL471&lt;$BK471,"refNeedCorrection","refOK")</f>
        <v>refOK</v>
      </c>
      <c r="CO471">
        <f t="shared" ref="CO471:CO484" si="530">IF($CN471="refOK",$BK471,$BL471)</f>
        <v>51.780999999999999</v>
      </c>
      <c r="CP471">
        <f t="shared" ref="CP471:CP484" si="531">IF($CN471="refOK",$BL471,$BK471)</f>
        <v>58.277999999999999</v>
      </c>
      <c r="CQ471">
        <f t="shared" ref="CQ471:CQ498" si="532">IF($CN471="refOK",$BO471,-$BO471)</f>
        <v>6497000</v>
      </c>
      <c r="CR471">
        <f t="shared" ref="CR471:CR498" si="533">IF($CN471="refOK",$BS471,$BT471)*IF($BP471="Emissions positive",-1,1)</f>
        <v>94.81</v>
      </c>
      <c r="CS471">
        <f t="shared" ref="CS471:CS498" si="534">IF($CN471="refOK",$BT471,$BS471)*IF($BP471="Emissions positive",-1,1)</f>
        <v>56.534999999999997</v>
      </c>
      <c r="CT471">
        <f t="shared" ref="CT471:CT498" si="535">IF($CN471="refNeedCorrection",-BX471,BX471)*IF($BP471="Emissions positive",-1,1)</f>
        <v>-38275000.000000007</v>
      </c>
      <c r="CU471">
        <f t="shared" ref="CU471:CU498" si="536">IFERROR(CT471/CQ471,"")</f>
        <v>-5.891180544866863</v>
      </c>
      <c r="CV471" s="2">
        <f t="shared" ref="CV471:CV498" si="537">IFERROR((CS471-CR471)/ABS(CR471),"")</f>
        <v>-0.40370214112435404</v>
      </c>
      <c r="CW471" s="1" t="s">
        <v>1202</v>
      </c>
      <c r="CX471" s="264" t="str">
        <f t="shared" ref="CX471:CX498" si="538">IF(OR($CW471="prd",$CW471="std",$CW471="cit"),"loc",IF(OR($CW471="eur",$CW471="reg",$CW471="coy"),"reg",$CW471))</f>
        <v>reg</v>
      </c>
      <c r="CY471" t="s">
        <v>729</v>
      </c>
      <c r="CZ471">
        <v>2015</v>
      </c>
      <c r="DA471">
        <v>2100</v>
      </c>
      <c r="DB471">
        <f t="shared" ref="DB471:DB480" si="539">DA471-CZ471</f>
        <v>85</v>
      </c>
      <c r="DC471" t="str">
        <f t="shared" ref="DC471:DC498" si="540">IF(DB471=0,"0",IF(AND(DB471&gt;=1,DB471&lt;=30),"1-30",IF(AND(DB471&gt;30,DB471&lt;=70),"31-70",IF(AND(DB471&gt;70,DB471&lt;=100),"71-100",IF(DB471&gt;100,"+100")))))</f>
        <v>71-100</v>
      </c>
      <c r="DD471">
        <v>0</v>
      </c>
      <c r="DE471">
        <v>1</v>
      </c>
      <c r="DF471">
        <v>1</v>
      </c>
      <c r="DG471">
        <v>1</v>
      </c>
      <c r="DI471">
        <f t="shared" ref="DI471:DI484" si="541">SUM(DD471:DG471)</f>
        <v>3</v>
      </c>
      <c r="DJ471" t="str">
        <f t="shared" ref="DJ471:DJ498" si="542">IF(DI471=1,INDEX($DD$7:$DG$7,MATCH(1,$DD471:$DG471,0)),"mixedProduct")</f>
        <v>mixedProduct</v>
      </c>
      <c r="DK471">
        <f t="shared" ref="DK471:DK498" si="543">IF(DD471=1,DK$7,0)</f>
        <v>0</v>
      </c>
      <c r="DL471" t="str">
        <f t="shared" ref="DL471:DL498" si="544">IF(DE471=1,DL$7,0)</f>
        <v>Energy</v>
      </c>
      <c r="DM471" t="str">
        <f t="shared" ref="DM471:DM498" si="545">IF(DF471=1,DM$7,0)</f>
        <v>Pulp/Paper</v>
      </c>
      <c r="DN471" t="str">
        <f t="shared" ref="DN471:DN498" si="546">IF(DG471=1,DN$7,0)</f>
        <v>Timber</v>
      </c>
      <c r="DO471">
        <v>0</v>
      </c>
      <c r="DP471">
        <v>0</v>
      </c>
      <c r="DQ471">
        <v>0</v>
      </c>
      <c r="DR471">
        <v>0</v>
      </c>
      <c r="DS471">
        <v>0</v>
      </c>
      <c r="DT471">
        <f t="shared" ref="DT471:DT498" si="547">SUM(DO471:DP471)</f>
        <v>0</v>
      </c>
      <c r="DU471" s="143" t="str">
        <f t="shared" ref="DU471:DU498" si="548">IF(DO471=1,"self-calculated DF",IF(DP471=1,"external DF used","explicit C balance"))</f>
        <v>explicit C balance</v>
      </c>
      <c r="DV471">
        <v>0</v>
      </c>
      <c r="DW471">
        <v>1</v>
      </c>
      <c r="DX471">
        <v>1</v>
      </c>
      <c r="DY471">
        <v>1</v>
      </c>
      <c r="DZ471">
        <v>0</v>
      </c>
      <c r="EA471">
        <v>0</v>
      </c>
      <c r="EB471">
        <v>0</v>
      </c>
      <c r="EC471">
        <v>0</v>
      </c>
      <c r="ED471">
        <v>0</v>
      </c>
      <c r="EE471">
        <v>0</v>
      </c>
      <c r="EF471">
        <v>1</v>
      </c>
      <c r="EG471">
        <v>0</v>
      </c>
      <c r="EH471">
        <v>1</v>
      </c>
      <c r="EI471" s="2">
        <v>1</v>
      </c>
      <c r="EK471" t="str">
        <f t="shared" ref="EK471:EK498" si="549">IF(AND(AND(AND(OR($DX471=1,$DW471=1),OR($EC471=1,$EA471=1)),SUM($DV471:$DZ471,$EF471)&gt;=4),SUM($EA471:$EE471)&gt;=2),"Whole sector","")</f>
        <v/>
      </c>
      <c r="EL471" t="str">
        <f t="shared" ref="EL471:EL498" si="550">IF(AND(AND(OR($DX471=1,$DW471=1),AND($EC471=0,$EA471=0)),SUM($DV471:$DZ471,$EF471)&gt;=4),"Ecosystem approach","")</f>
        <v>Ecosystem approach</v>
      </c>
      <c r="EM471" s="2" t="str">
        <f t="shared" si="469"/>
        <v/>
      </c>
      <c r="EP471" t="str">
        <f>IF(ISNUMBER(BU471),IF(ABS(BU471-[4]QC_indicators!$B$2)&gt;3*[4]QC_indicators!$C$2,"C ratio",IF(ISNUMBER(BY471),IF(ABS(BY471-[4]QC_indicators!$B$1)&gt;3*[4]QC_indicators!$C$1,"DF","no"))),IF(ISNUMBER(BY471),IF(ABS(BY471-[4]QC_indicators!$B$1)&gt;3*[4]QC_indicators!$C$1,"DF","no")))</f>
        <v>DF</v>
      </c>
      <c r="ET471" s="264" t="s">
        <v>3406</v>
      </c>
    </row>
    <row r="472" spans="1:150" ht="15" hidden="1" customHeight="1">
      <c r="A472" s="1" t="s">
        <v>1377</v>
      </c>
      <c r="B472" t="s">
        <v>1378</v>
      </c>
      <c r="C472" t="s">
        <v>1379</v>
      </c>
      <c r="D472" t="s">
        <v>1380</v>
      </c>
      <c r="E472" t="s">
        <v>1381</v>
      </c>
      <c r="F472" t="s">
        <v>1382</v>
      </c>
      <c r="G472" t="s">
        <v>1383</v>
      </c>
      <c r="H472" t="s">
        <v>254</v>
      </c>
      <c r="I472">
        <v>2021</v>
      </c>
      <c r="J472">
        <v>0</v>
      </c>
      <c r="K472" t="s">
        <v>1384</v>
      </c>
      <c r="M472" t="str">
        <f t="shared" si="510"/>
        <v>Delacote_2021</v>
      </c>
      <c r="N472" t="s">
        <v>222</v>
      </c>
      <c r="O472" s="145" t="s">
        <v>223</v>
      </c>
      <c r="Q472" s="264" t="s">
        <v>256</v>
      </c>
      <c r="R472" s="269" t="s">
        <v>1153</v>
      </c>
      <c r="S472" s="1" t="s">
        <v>1396</v>
      </c>
      <c r="T472" t="s">
        <v>1397</v>
      </c>
      <c r="U472" t="s">
        <v>1386</v>
      </c>
      <c r="V472">
        <v>0</v>
      </c>
      <c r="W472">
        <v>0</v>
      </c>
      <c r="X472">
        <v>0</v>
      </c>
      <c r="Y472">
        <v>0</v>
      </c>
      <c r="Z472">
        <v>0</v>
      </c>
      <c r="AA472">
        <v>0</v>
      </c>
      <c r="AB472">
        <v>0</v>
      </c>
      <c r="AC472">
        <v>0</v>
      </c>
      <c r="AD472">
        <v>0</v>
      </c>
      <c r="AE472">
        <v>0</v>
      </c>
      <c r="AF472">
        <v>0</v>
      </c>
      <c r="AG472">
        <v>0</v>
      </c>
      <c r="AH472">
        <v>0</v>
      </c>
      <c r="AI472">
        <v>0</v>
      </c>
      <c r="AJ472">
        <v>0</v>
      </c>
      <c r="AK472">
        <v>0</v>
      </c>
      <c r="AL472">
        <v>0</v>
      </c>
      <c r="AM472">
        <v>0</v>
      </c>
      <c r="AN472">
        <v>1</v>
      </c>
      <c r="AO472">
        <v>2</v>
      </c>
      <c r="AP472">
        <v>0</v>
      </c>
      <c r="AQ472">
        <v>0</v>
      </c>
      <c r="AR472">
        <v>0</v>
      </c>
      <c r="AS472">
        <v>0</v>
      </c>
      <c r="AT472">
        <v>0</v>
      </c>
      <c r="AU472">
        <v>0</v>
      </c>
      <c r="AV472">
        <v>0</v>
      </c>
      <c r="AW472">
        <v>0</v>
      </c>
      <c r="AX472" s="141">
        <f t="shared" si="517"/>
        <v>2</v>
      </c>
      <c r="AY472" s="141">
        <f t="shared" si="518"/>
        <v>0</v>
      </c>
      <c r="AZ472">
        <f t="shared" si="519"/>
        <v>0</v>
      </c>
      <c r="BA472">
        <f t="shared" si="520"/>
        <v>0</v>
      </c>
      <c r="BB472">
        <f t="shared" si="521"/>
        <v>0</v>
      </c>
      <c r="BC472">
        <f t="shared" si="522"/>
        <v>0</v>
      </c>
      <c r="BD472">
        <f t="shared" si="523"/>
        <v>2</v>
      </c>
      <c r="BE472" t="str" cm="1">
        <f t="array" ref="BE472">IF(AY472=1,INDEX($V$7:$AL$7,MATCH(TRUE,INDEX($V472:$AW472&lt;&gt;0,),0)),IF(AY472=0,INDEX($AM$7:$AW$7,MATCH(1,$AM472:$AW472,0)),IF(BF472="Multiple strategies","mixed drivers",IF(BF472="Supply chain","multiple supply","multiple silviculture"))))</f>
        <v>Temperature</v>
      </c>
      <c r="BF472" s="2" t="str" cm="1">
        <f t="array" ref="BF472">IF(COUNTIF(AZ472:BB472,"&lt;&gt;0")=1,INDEX($V$4:$AW$4,MATCH(TRUE,INDEX($V472:$AW472&lt;&gt;0,),0)),IF(COUNTIF(AZ472:BB472,"&lt;&gt;0")=0,INDEX($AM$4:$AW$4,MATCH(1,$AM472:$AW472,0)),"Multiple strategies"))</f>
        <v>Environmental change</v>
      </c>
      <c r="BG472" s="1" t="s">
        <v>321</v>
      </c>
      <c r="BH472" t="s">
        <v>1296</v>
      </c>
      <c r="BJ472" t="s">
        <v>1213</v>
      </c>
      <c r="BK472">
        <v>51.780999999999999</v>
      </c>
      <c r="BL472">
        <v>58.277999999999999</v>
      </c>
      <c r="BM472">
        <f>BL472/BK472</f>
        <v>1.1254707325080628</v>
      </c>
      <c r="BN472">
        <f t="shared" si="524"/>
        <v>6.4969999999999999</v>
      </c>
      <c r="BO472">
        <f t="shared" si="525"/>
        <v>6497000</v>
      </c>
      <c r="BP472" t="s">
        <v>232</v>
      </c>
      <c r="BR472" t="s">
        <v>1229</v>
      </c>
      <c r="BS472">
        <v>123.172</v>
      </c>
      <c r="BT472">
        <f>BS472*(1-29.85/100)</f>
        <v>86.405158</v>
      </c>
      <c r="BU472" s="144">
        <f t="shared" si="526"/>
        <v>0.70150000000000001</v>
      </c>
      <c r="BV472">
        <f t="shared" si="527"/>
        <v>-36.766841999999997</v>
      </c>
      <c r="BX472">
        <f t="shared" si="528"/>
        <v>-36766842</v>
      </c>
      <c r="BY472">
        <f t="shared" si="468"/>
        <v>-5.6590490995844238</v>
      </c>
      <c r="BZ472">
        <v>0</v>
      </c>
      <c r="CA472">
        <v>0</v>
      </c>
      <c r="CB472">
        <v>0</v>
      </c>
      <c r="CC472">
        <v>0</v>
      </c>
      <c r="CD472">
        <v>0</v>
      </c>
      <c r="CE472">
        <v>0</v>
      </c>
      <c r="CF472">
        <v>0</v>
      </c>
      <c r="CG472">
        <v>0</v>
      </c>
      <c r="CH472">
        <v>0</v>
      </c>
      <c r="CI472">
        <v>0</v>
      </c>
      <c r="CJ472">
        <v>0</v>
      </c>
      <c r="CK472">
        <v>0</v>
      </c>
      <c r="CL472">
        <v>0</v>
      </c>
      <c r="CM472">
        <v>1</v>
      </c>
      <c r="CN472" t="str">
        <f t="shared" si="529"/>
        <v>refOK</v>
      </c>
      <c r="CO472">
        <f t="shared" si="530"/>
        <v>51.780999999999999</v>
      </c>
      <c r="CP472">
        <f t="shared" si="531"/>
        <v>58.277999999999999</v>
      </c>
      <c r="CQ472">
        <f t="shared" si="532"/>
        <v>6497000</v>
      </c>
      <c r="CR472">
        <f t="shared" si="533"/>
        <v>123.172</v>
      </c>
      <c r="CS472">
        <f t="shared" si="534"/>
        <v>86.405158</v>
      </c>
      <c r="CT472">
        <f t="shared" si="535"/>
        <v>-36766842</v>
      </c>
      <c r="CU472">
        <f t="shared" si="536"/>
        <v>-5.6590490995844238</v>
      </c>
      <c r="CV472" s="2">
        <f t="shared" si="537"/>
        <v>-0.29849999999999999</v>
      </c>
      <c r="CW472" s="1" t="s">
        <v>1202</v>
      </c>
      <c r="CX472" s="264" t="str">
        <f t="shared" si="538"/>
        <v>reg</v>
      </c>
      <c r="CY472" t="s">
        <v>729</v>
      </c>
      <c r="CZ472">
        <v>2015</v>
      </c>
      <c r="DA472">
        <v>2100</v>
      </c>
      <c r="DB472">
        <f t="shared" si="539"/>
        <v>85</v>
      </c>
      <c r="DC472" t="str">
        <f t="shared" si="540"/>
        <v>71-100</v>
      </c>
      <c r="DD472">
        <v>0</v>
      </c>
      <c r="DE472">
        <v>1</v>
      </c>
      <c r="DF472">
        <v>1</v>
      </c>
      <c r="DG472">
        <v>1</v>
      </c>
      <c r="DI472">
        <f t="shared" si="541"/>
        <v>3</v>
      </c>
      <c r="DJ472" t="str">
        <f t="shared" si="542"/>
        <v>mixedProduct</v>
      </c>
      <c r="DK472">
        <f t="shared" si="543"/>
        <v>0</v>
      </c>
      <c r="DL472" t="str">
        <f t="shared" si="544"/>
        <v>Energy</v>
      </c>
      <c r="DM472" t="str">
        <f t="shared" si="545"/>
        <v>Pulp/Paper</v>
      </c>
      <c r="DN472" t="str">
        <f t="shared" si="546"/>
        <v>Timber</v>
      </c>
      <c r="DO472">
        <v>0</v>
      </c>
      <c r="DP472">
        <v>1</v>
      </c>
      <c r="DQ472" t="s">
        <v>1388</v>
      </c>
      <c r="DR472" t="s">
        <v>1388</v>
      </c>
      <c r="DS472" t="s">
        <v>1388</v>
      </c>
      <c r="DT472">
        <f t="shared" si="547"/>
        <v>1</v>
      </c>
      <c r="DU472" s="143" t="str">
        <f t="shared" si="548"/>
        <v>external DF used</v>
      </c>
      <c r="DV472">
        <v>0</v>
      </c>
      <c r="DW472">
        <v>1</v>
      </c>
      <c r="DX472">
        <v>1</v>
      </c>
      <c r="DY472">
        <v>1</v>
      </c>
      <c r="DZ472">
        <v>0</v>
      </c>
      <c r="EA472">
        <v>1</v>
      </c>
      <c r="EB472">
        <v>1</v>
      </c>
      <c r="EC472">
        <v>1</v>
      </c>
      <c r="ED472">
        <v>0</v>
      </c>
      <c r="EE472">
        <v>0</v>
      </c>
      <c r="EF472">
        <v>1</v>
      </c>
      <c r="EG472">
        <v>0</v>
      </c>
      <c r="EH472">
        <v>1</v>
      </c>
      <c r="EI472" s="2">
        <v>1</v>
      </c>
      <c r="EK472" t="str">
        <f t="shared" si="549"/>
        <v>Whole sector</v>
      </c>
      <c r="EL472" t="str">
        <f t="shared" si="550"/>
        <v/>
      </c>
      <c r="EM472" s="2" t="str">
        <f t="shared" si="469"/>
        <v/>
      </c>
      <c r="EP472" t="str">
        <f>IF(ISNUMBER(BU472),IF(ABS(BU472-[4]QC_indicators!$B$2)&gt;3*[4]QC_indicators!$C$2,"C ratio",IF(ISNUMBER(BY472),IF(ABS(BY472-[4]QC_indicators!$B$1)&gt;3*[4]QC_indicators!$C$1,"DF","no"))),IF(ISNUMBER(BY472),IF(ABS(BY472-[4]QC_indicators!$B$1)&gt;3*[4]QC_indicators!$C$1,"DF","no")))</f>
        <v>no</v>
      </c>
      <c r="ET472" s="264" t="s">
        <v>3406</v>
      </c>
    </row>
    <row r="473" spans="1:150" ht="15" hidden="1" customHeight="1">
      <c r="A473" s="1" t="s">
        <v>1377</v>
      </c>
      <c r="B473" t="s">
        <v>1378</v>
      </c>
      <c r="C473" t="s">
        <v>1379</v>
      </c>
      <c r="D473" t="s">
        <v>1380</v>
      </c>
      <c r="E473" t="s">
        <v>1381</v>
      </c>
      <c r="F473" t="s">
        <v>1382</v>
      </c>
      <c r="G473" t="s">
        <v>1383</v>
      </c>
      <c r="H473" t="s">
        <v>254</v>
      </c>
      <c r="I473">
        <v>2021</v>
      </c>
      <c r="J473">
        <v>0</v>
      </c>
      <c r="K473" t="s">
        <v>1384</v>
      </c>
      <c r="M473" t="str">
        <f t="shared" si="510"/>
        <v>Delacote_2021</v>
      </c>
      <c r="N473" t="s">
        <v>222</v>
      </c>
      <c r="O473" s="145" t="s">
        <v>223</v>
      </c>
      <c r="Q473" s="264" t="s">
        <v>256</v>
      </c>
      <c r="R473" s="269" t="s">
        <v>1153</v>
      </c>
      <c r="S473" s="1" t="s">
        <v>1396</v>
      </c>
      <c r="T473" t="s">
        <v>1386</v>
      </c>
      <c r="U473" t="s">
        <v>1392</v>
      </c>
      <c r="V473">
        <v>0</v>
      </c>
      <c r="W473">
        <v>0</v>
      </c>
      <c r="X473">
        <v>0</v>
      </c>
      <c r="Y473">
        <v>0</v>
      </c>
      <c r="Z473">
        <v>0</v>
      </c>
      <c r="AA473">
        <v>0</v>
      </c>
      <c r="AB473">
        <v>0</v>
      </c>
      <c r="AC473">
        <v>0</v>
      </c>
      <c r="AD473">
        <v>0</v>
      </c>
      <c r="AE473">
        <v>0</v>
      </c>
      <c r="AF473">
        <v>0</v>
      </c>
      <c r="AG473">
        <v>0</v>
      </c>
      <c r="AH473">
        <v>0</v>
      </c>
      <c r="AI473">
        <v>0</v>
      </c>
      <c r="AJ473">
        <v>0</v>
      </c>
      <c r="AK473">
        <v>0</v>
      </c>
      <c r="AL473">
        <v>0</v>
      </c>
      <c r="AM473">
        <v>0</v>
      </c>
      <c r="AN473">
        <v>1</v>
      </c>
      <c r="AO473">
        <v>2</v>
      </c>
      <c r="AP473">
        <v>0</v>
      </c>
      <c r="AQ473">
        <v>0</v>
      </c>
      <c r="AR473">
        <v>0</v>
      </c>
      <c r="AS473">
        <v>0</v>
      </c>
      <c r="AT473">
        <v>0</v>
      </c>
      <c r="AU473">
        <v>0</v>
      </c>
      <c r="AV473">
        <v>0</v>
      </c>
      <c r="AW473">
        <v>0</v>
      </c>
      <c r="AX473" s="141">
        <f t="shared" si="517"/>
        <v>2</v>
      </c>
      <c r="AY473" s="141">
        <f t="shared" si="518"/>
        <v>0</v>
      </c>
      <c r="AZ473">
        <f t="shared" si="519"/>
        <v>0</v>
      </c>
      <c r="BA473">
        <f t="shared" si="520"/>
        <v>0</v>
      </c>
      <c r="BB473">
        <f t="shared" si="521"/>
        <v>0</v>
      </c>
      <c r="BC473">
        <f t="shared" si="522"/>
        <v>0</v>
      </c>
      <c r="BD473">
        <f t="shared" si="523"/>
        <v>2</v>
      </c>
      <c r="BE473" t="str" cm="1">
        <f t="array" ref="BE473">IF(AY473=1,INDEX($V$7:$AL$7,MATCH(TRUE,INDEX($V473:$AW473&lt;&gt;0,),0)),IF(AY473=0,INDEX($AM$7:$AW$7,MATCH(1,$AM473:$AW473,0)),IF(BF473="Multiple strategies","mixed drivers",IF(BF473="Supply chain","multiple supply","multiple silviculture"))))</f>
        <v>Temperature</v>
      </c>
      <c r="BF473" s="2" t="str" cm="1">
        <f t="array" ref="BF473">IF(COUNTIF(AZ473:BB473,"&lt;&gt;0")=1,INDEX($V$4:$AW$4,MATCH(TRUE,INDEX($V473:$AW473&lt;&gt;0,),0)),IF(COUNTIF(AZ473:BB473,"&lt;&gt;0")=0,INDEX($AM$4:$AW$4,MATCH(1,$AM473:$AW473,0)),"Multiple strategies"))</f>
        <v>Environmental change</v>
      </c>
      <c r="BG473" s="1" t="s">
        <v>321</v>
      </c>
      <c r="BH473" t="s">
        <v>1296</v>
      </c>
      <c r="BJ473" t="s">
        <v>1213</v>
      </c>
      <c r="BK473">
        <v>51.780999999999999</v>
      </c>
      <c r="BL473">
        <v>58.277999999999999</v>
      </c>
      <c r="BM473">
        <f>BL473/BK473</f>
        <v>1.1254707325080628</v>
      </c>
      <c r="BN473">
        <f t="shared" si="524"/>
        <v>6.4969999999999999</v>
      </c>
      <c r="BO473">
        <f t="shared" si="525"/>
        <v>6497000</v>
      </c>
      <c r="BP473" t="s">
        <v>232</v>
      </c>
      <c r="BR473" t="s">
        <v>1229</v>
      </c>
      <c r="BS473">
        <v>56.534999999999997</v>
      </c>
      <c r="BT473">
        <f>BS473*(1-40.37/100)</f>
        <v>33.711820500000002</v>
      </c>
      <c r="BU473" s="144">
        <f t="shared" si="526"/>
        <v>0.59630000000000005</v>
      </c>
      <c r="BV473">
        <f t="shared" si="527"/>
        <v>-22.823179499999995</v>
      </c>
      <c r="BX473">
        <f t="shared" si="528"/>
        <v>-22823179.499999996</v>
      </c>
      <c r="BY473">
        <f t="shared" si="468"/>
        <v>-3.5128797137140211</v>
      </c>
      <c r="BZ473">
        <v>0</v>
      </c>
      <c r="CA473">
        <v>0</v>
      </c>
      <c r="CB473">
        <v>0</v>
      </c>
      <c r="CC473">
        <v>0</v>
      </c>
      <c r="CD473">
        <v>0</v>
      </c>
      <c r="CE473">
        <v>0</v>
      </c>
      <c r="CF473">
        <v>0</v>
      </c>
      <c r="CG473">
        <v>0</v>
      </c>
      <c r="CH473">
        <v>0</v>
      </c>
      <c r="CI473">
        <v>0</v>
      </c>
      <c r="CJ473">
        <v>0</v>
      </c>
      <c r="CK473">
        <v>0</v>
      </c>
      <c r="CL473">
        <v>0</v>
      </c>
      <c r="CM473">
        <v>1</v>
      </c>
      <c r="CN473" t="str">
        <f t="shared" si="529"/>
        <v>refOK</v>
      </c>
      <c r="CO473">
        <f t="shared" si="530"/>
        <v>51.780999999999999</v>
      </c>
      <c r="CP473">
        <f t="shared" si="531"/>
        <v>58.277999999999999</v>
      </c>
      <c r="CQ473">
        <f t="shared" si="532"/>
        <v>6497000</v>
      </c>
      <c r="CR473">
        <f t="shared" si="533"/>
        <v>56.534999999999997</v>
      </c>
      <c r="CS473">
        <f t="shared" si="534"/>
        <v>33.711820500000002</v>
      </c>
      <c r="CT473">
        <f t="shared" si="535"/>
        <v>-22823179.499999996</v>
      </c>
      <c r="CU473">
        <f t="shared" si="536"/>
        <v>-3.5128797137140211</v>
      </c>
      <c r="CV473" s="2">
        <f t="shared" si="537"/>
        <v>-0.40369999999999995</v>
      </c>
      <c r="CW473" s="1" t="s">
        <v>1202</v>
      </c>
      <c r="CX473" s="264" t="str">
        <f t="shared" si="538"/>
        <v>reg</v>
      </c>
      <c r="CY473" t="s">
        <v>729</v>
      </c>
      <c r="CZ473">
        <v>2015</v>
      </c>
      <c r="DA473">
        <v>2100</v>
      </c>
      <c r="DB473">
        <f t="shared" si="539"/>
        <v>85</v>
      </c>
      <c r="DC473" t="str">
        <f t="shared" si="540"/>
        <v>71-100</v>
      </c>
      <c r="DD473">
        <v>0</v>
      </c>
      <c r="DE473">
        <v>1</v>
      </c>
      <c r="DF473">
        <v>1</v>
      </c>
      <c r="DG473">
        <v>1</v>
      </c>
      <c r="DI473">
        <f t="shared" si="541"/>
        <v>3</v>
      </c>
      <c r="DJ473" t="str">
        <f t="shared" si="542"/>
        <v>mixedProduct</v>
      </c>
      <c r="DK473">
        <f t="shared" si="543"/>
        <v>0</v>
      </c>
      <c r="DL473" t="str">
        <f t="shared" si="544"/>
        <v>Energy</v>
      </c>
      <c r="DM473" t="str">
        <f t="shared" si="545"/>
        <v>Pulp/Paper</v>
      </c>
      <c r="DN473" t="str">
        <f t="shared" si="546"/>
        <v>Timber</v>
      </c>
      <c r="DO473">
        <v>0</v>
      </c>
      <c r="DP473">
        <v>0</v>
      </c>
      <c r="DQ473">
        <v>0</v>
      </c>
      <c r="DR473">
        <v>0</v>
      </c>
      <c r="DS473">
        <v>0</v>
      </c>
      <c r="DT473">
        <f t="shared" si="547"/>
        <v>0</v>
      </c>
      <c r="DU473" s="143" t="str">
        <f t="shared" si="548"/>
        <v>explicit C balance</v>
      </c>
      <c r="DV473">
        <v>0</v>
      </c>
      <c r="DW473">
        <v>1</v>
      </c>
      <c r="DX473">
        <v>1</v>
      </c>
      <c r="DY473">
        <v>1</v>
      </c>
      <c r="DZ473">
        <v>0</v>
      </c>
      <c r="EA473">
        <v>0</v>
      </c>
      <c r="EB473">
        <v>0</v>
      </c>
      <c r="EC473">
        <v>0</v>
      </c>
      <c r="ED473">
        <v>0</v>
      </c>
      <c r="EE473">
        <v>0</v>
      </c>
      <c r="EF473">
        <v>1</v>
      </c>
      <c r="EG473">
        <v>0</v>
      </c>
      <c r="EH473">
        <v>1</v>
      </c>
      <c r="EI473" s="2">
        <v>1</v>
      </c>
      <c r="EK473" t="str">
        <f t="shared" si="549"/>
        <v/>
      </c>
      <c r="EL473" t="str">
        <f t="shared" si="550"/>
        <v>Ecosystem approach</v>
      </c>
      <c r="EM473" s="2" t="str">
        <f t="shared" si="469"/>
        <v/>
      </c>
      <c r="EP473" t="str">
        <f>IF(ISNUMBER(BU473),IF(ABS(BU473-[4]QC_indicators!$B$2)&gt;3*[4]QC_indicators!$C$2,"C ratio",IF(ISNUMBER(BY473),IF(ABS(BY473-[4]QC_indicators!$B$1)&gt;3*[4]QC_indicators!$C$1,"DF","no"))),IF(ISNUMBER(BY473),IF(ABS(BY473-[4]QC_indicators!$B$1)&gt;3*[4]QC_indicators!$C$1,"DF","no")))</f>
        <v>no</v>
      </c>
      <c r="ET473" s="264" t="s">
        <v>3406</v>
      </c>
    </row>
    <row r="474" spans="1:150" ht="15" hidden="1" customHeight="1">
      <c r="A474" s="1" t="s">
        <v>1377</v>
      </c>
      <c r="B474" t="s">
        <v>1378</v>
      </c>
      <c r="C474" t="s">
        <v>1379</v>
      </c>
      <c r="D474" t="s">
        <v>1380</v>
      </c>
      <c r="E474" t="s">
        <v>1381</v>
      </c>
      <c r="F474" t="s">
        <v>1382</v>
      </c>
      <c r="G474" t="s">
        <v>1383</v>
      </c>
      <c r="H474" t="s">
        <v>254</v>
      </c>
      <c r="I474">
        <v>2021</v>
      </c>
      <c r="J474">
        <v>0</v>
      </c>
      <c r="K474" t="s">
        <v>1384</v>
      </c>
      <c r="M474" t="str">
        <f t="shared" si="510"/>
        <v>Delacote_2021</v>
      </c>
      <c r="N474" t="s">
        <v>222</v>
      </c>
      <c r="O474" s="145" t="s">
        <v>223</v>
      </c>
      <c r="Q474" s="264" t="s">
        <v>256</v>
      </c>
      <c r="R474" s="269" t="s">
        <v>1153</v>
      </c>
      <c r="S474" s="1" t="s">
        <v>1396</v>
      </c>
      <c r="T474" t="s">
        <v>1390</v>
      </c>
      <c r="U474" t="s">
        <v>1386</v>
      </c>
      <c r="V474">
        <v>0</v>
      </c>
      <c r="W474">
        <v>0</v>
      </c>
      <c r="X474">
        <v>0</v>
      </c>
      <c r="Y474">
        <v>0</v>
      </c>
      <c r="Z474">
        <v>0</v>
      </c>
      <c r="AA474">
        <v>0</v>
      </c>
      <c r="AB474">
        <v>0</v>
      </c>
      <c r="AC474">
        <v>0</v>
      </c>
      <c r="AD474">
        <v>0</v>
      </c>
      <c r="AE474">
        <v>0</v>
      </c>
      <c r="AF474">
        <v>0</v>
      </c>
      <c r="AG474">
        <v>0</v>
      </c>
      <c r="AH474">
        <v>0</v>
      </c>
      <c r="AI474">
        <v>0</v>
      </c>
      <c r="AJ474">
        <v>0</v>
      </c>
      <c r="AK474">
        <v>0</v>
      </c>
      <c r="AL474">
        <v>0</v>
      </c>
      <c r="AM474">
        <v>0</v>
      </c>
      <c r="AN474">
        <v>1</v>
      </c>
      <c r="AO474">
        <v>2</v>
      </c>
      <c r="AP474">
        <v>0</v>
      </c>
      <c r="AQ474">
        <v>0</v>
      </c>
      <c r="AR474">
        <v>0</v>
      </c>
      <c r="AS474">
        <v>0</v>
      </c>
      <c r="AT474">
        <v>0</v>
      </c>
      <c r="AU474">
        <v>0</v>
      </c>
      <c r="AV474">
        <v>0</v>
      </c>
      <c r="AW474">
        <v>0</v>
      </c>
      <c r="AX474" s="141">
        <f t="shared" si="517"/>
        <v>2</v>
      </c>
      <c r="AY474" s="141">
        <f t="shared" si="518"/>
        <v>0</v>
      </c>
      <c r="AZ474">
        <f t="shared" si="519"/>
        <v>0</v>
      </c>
      <c r="BA474">
        <f t="shared" si="520"/>
        <v>0</v>
      </c>
      <c r="BB474">
        <f t="shared" si="521"/>
        <v>0</v>
      </c>
      <c r="BC474">
        <f t="shared" si="522"/>
        <v>0</v>
      </c>
      <c r="BD474">
        <f t="shared" si="523"/>
        <v>2</v>
      </c>
      <c r="BE474" t="str" cm="1">
        <f t="array" ref="BE474">IF(AY474=1,INDEX($V$7:$AL$7,MATCH(TRUE,INDEX($V474:$AW474&lt;&gt;0,),0)),IF(AY474=0,INDEX($AM$7:$AW$7,MATCH(1,$AM474:$AW474,0)),IF(BF474="Multiple strategies","mixed drivers",IF(BF474="Supply chain","multiple supply","multiple silviculture"))))</f>
        <v>Temperature</v>
      </c>
      <c r="BF474" s="2" t="str" cm="1">
        <f t="array" ref="BF474">IF(COUNTIF(AZ474:BB474,"&lt;&gt;0")=1,INDEX($V$4:$AW$4,MATCH(TRUE,INDEX($V474:$AW474&lt;&gt;0,),0)),IF(COUNTIF(AZ474:BB474,"&lt;&gt;0")=0,INDEX($AM$4:$AW$4,MATCH(1,$AM474:$AW474,0)),"Multiple strategies"))</f>
        <v>Environmental change</v>
      </c>
      <c r="BG474" s="1" t="s">
        <v>321</v>
      </c>
      <c r="BH474" t="s">
        <v>1296</v>
      </c>
      <c r="BJ474" t="s">
        <v>1213</v>
      </c>
      <c r="BK474">
        <f>BL474*(1-0.06/100)</f>
        <v>58.243033199999999</v>
      </c>
      <c r="BL474">
        <v>58.277999999999999</v>
      </c>
      <c r="BM474">
        <f>BL474/BK474</f>
        <v>1.0006003602161297</v>
      </c>
      <c r="BN474">
        <f t="shared" si="524"/>
        <v>3.4966799999999409E-2</v>
      </c>
      <c r="BO474">
        <f t="shared" si="525"/>
        <v>34966.799999999406</v>
      </c>
      <c r="BP474" t="s">
        <v>232</v>
      </c>
      <c r="BR474" t="s">
        <v>1229</v>
      </c>
      <c r="BS474">
        <f>BT474*(1+0.15/100)</f>
        <v>56.619802499999999</v>
      </c>
      <c r="BT474">
        <v>56.534999999999997</v>
      </c>
      <c r="BU474" s="144">
        <f t="shared" si="526"/>
        <v>0.99850224663005493</v>
      </c>
      <c r="BV474">
        <f t="shared" si="527"/>
        <v>-8.4802500000002112E-2</v>
      </c>
      <c r="BX474">
        <f t="shared" si="528"/>
        <v>-84802.50000000211</v>
      </c>
      <c r="BY474">
        <f t="shared" si="468"/>
        <v>-2.425229074436424</v>
      </c>
      <c r="BZ474">
        <v>0</v>
      </c>
      <c r="CA474">
        <v>0</v>
      </c>
      <c r="CB474">
        <v>0</v>
      </c>
      <c r="CC474">
        <v>0</v>
      </c>
      <c r="CD474">
        <v>0</v>
      </c>
      <c r="CE474">
        <v>0</v>
      </c>
      <c r="CF474">
        <v>0</v>
      </c>
      <c r="CG474">
        <v>0</v>
      </c>
      <c r="CH474">
        <v>0</v>
      </c>
      <c r="CI474">
        <v>0</v>
      </c>
      <c r="CJ474">
        <v>0</v>
      </c>
      <c r="CK474">
        <v>0</v>
      </c>
      <c r="CL474">
        <v>0</v>
      </c>
      <c r="CM474">
        <v>1</v>
      </c>
      <c r="CN474" t="str">
        <f t="shared" si="529"/>
        <v>refOK</v>
      </c>
      <c r="CO474">
        <f t="shared" si="530"/>
        <v>58.243033199999999</v>
      </c>
      <c r="CP474">
        <f t="shared" si="531"/>
        <v>58.277999999999999</v>
      </c>
      <c r="CQ474">
        <f t="shared" si="532"/>
        <v>34966.799999999406</v>
      </c>
      <c r="CR474">
        <f t="shared" si="533"/>
        <v>56.619802499999999</v>
      </c>
      <c r="CS474">
        <f t="shared" si="534"/>
        <v>56.534999999999997</v>
      </c>
      <c r="CT474">
        <f t="shared" si="535"/>
        <v>-84802.50000000211</v>
      </c>
      <c r="CU474">
        <f t="shared" si="536"/>
        <v>-2.425229074436424</v>
      </c>
      <c r="CV474" s="2">
        <f t="shared" si="537"/>
        <v>-1.4977533699451198E-3</v>
      </c>
      <c r="CW474" s="1" t="s">
        <v>1202</v>
      </c>
      <c r="CX474" s="264" t="str">
        <f t="shared" si="538"/>
        <v>reg</v>
      </c>
      <c r="CY474" t="s">
        <v>729</v>
      </c>
      <c r="CZ474">
        <v>2015</v>
      </c>
      <c r="DA474">
        <v>2100</v>
      </c>
      <c r="DB474">
        <f t="shared" si="539"/>
        <v>85</v>
      </c>
      <c r="DC474" t="str">
        <f t="shared" si="540"/>
        <v>71-100</v>
      </c>
      <c r="DD474">
        <v>0</v>
      </c>
      <c r="DE474">
        <v>1</v>
      </c>
      <c r="DF474">
        <v>1</v>
      </c>
      <c r="DG474">
        <v>1</v>
      </c>
      <c r="DI474">
        <f t="shared" si="541"/>
        <v>3</v>
      </c>
      <c r="DJ474" t="str">
        <f t="shared" si="542"/>
        <v>mixedProduct</v>
      </c>
      <c r="DK474">
        <f t="shared" si="543"/>
        <v>0</v>
      </c>
      <c r="DL474" t="str">
        <f t="shared" si="544"/>
        <v>Energy</v>
      </c>
      <c r="DM474" t="str">
        <f t="shared" si="545"/>
        <v>Pulp/Paper</v>
      </c>
      <c r="DN474" t="str">
        <f t="shared" si="546"/>
        <v>Timber</v>
      </c>
      <c r="DO474">
        <v>0</v>
      </c>
      <c r="DP474">
        <v>0</v>
      </c>
      <c r="DQ474">
        <v>0</v>
      </c>
      <c r="DR474">
        <v>0</v>
      </c>
      <c r="DS474">
        <v>0</v>
      </c>
      <c r="DT474">
        <f t="shared" si="547"/>
        <v>0</v>
      </c>
      <c r="DU474" s="143" t="str">
        <f t="shared" si="548"/>
        <v>explicit C balance</v>
      </c>
      <c r="DV474">
        <v>0</v>
      </c>
      <c r="DW474">
        <v>1</v>
      </c>
      <c r="DX474">
        <v>1</v>
      </c>
      <c r="DY474">
        <v>1</v>
      </c>
      <c r="DZ474">
        <v>0</v>
      </c>
      <c r="EA474">
        <v>0</v>
      </c>
      <c r="EB474">
        <v>0</v>
      </c>
      <c r="EC474">
        <v>0</v>
      </c>
      <c r="ED474">
        <v>0</v>
      </c>
      <c r="EE474">
        <v>0</v>
      </c>
      <c r="EF474">
        <v>1</v>
      </c>
      <c r="EG474">
        <v>0</v>
      </c>
      <c r="EH474">
        <v>1</v>
      </c>
      <c r="EI474" s="2">
        <v>1</v>
      </c>
      <c r="EK474" t="str">
        <f t="shared" si="549"/>
        <v/>
      </c>
      <c r="EL474" t="str">
        <f t="shared" si="550"/>
        <v>Ecosystem approach</v>
      </c>
      <c r="EM474" s="2" t="str">
        <f t="shared" si="469"/>
        <v/>
      </c>
      <c r="EP474" t="str">
        <f>IF(ISNUMBER(BU474),IF(ABS(BU474-[4]QC_indicators!$B$2)&gt;3*[4]QC_indicators!$C$2,"C ratio",IF(ISNUMBER(BY474),IF(ABS(BY474-[4]QC_indicators!$B$1)&gt;3*[4]QC_indicators!$C$1,"DF","no"))),IF(ISNUMBER(BY474),IF(ABS(BY474-[4]QC_indicators!$B$1)&gt;3*[4]QC_indicators!$C$1,"DF","no")))</f>
        <v>no</v>
      </c>
      <c r="ET474" s="264" t="s">
        <v>3406</v>
      </c>
    </row>
    <row r="475" spans="1:150" ht="15" hidden="1" customHeight="1">
      <c r="A475" s="1" t="s">
        <v>1377</v>
      </c>
      <c r="B475" t="s">
        <v>1378</v>
      </c>
      <c r="C475" t="s">
        <v>1379</v>
      </c>
      <c r="D475" t="s">
        <v>1380</v>
      </c>
      <c r="E475" t="s">
        <v>1381</v>
      </c>
      <c r="F475" t="s">
        <v>1382</v>
      </c>
      <c r="G475" t="s">
        <v>1383</v>
      </c>
      <c r="H475" t="s">
        <v>254</v>
      </c>
      <c r="I475">
        <v>2021</v>
      </c>
      <c r="J475">
        <v>0</v>
      </c>
      <c r="K475" t="s">
        <v>1384</v>
      </c>
      <c r="M475" t="str">
        <f t="shared" si="510"/>
        <v>Delacote_2021</v>
      </c>
      <c r="N475" t="s">
        <v>222</v>
      </c>
      <c r="O475" s="145" t="s">
        <v>223</v>
      </c>
      <c r="Q475" s="264" t="s">
        <v>256</v>
      </c>
      <c r="R475" s="269" t="s">
        <v>1153</v>
      </c>
      <c r="S475" s="1" t="s">
        <v>1389</v>
      </c>
      <c r="T475" t="s">
        <v>1390</v>
      </c>
      <c r="U475" t="s">
        <v>1386</v>
      </c>
      <c r="V475">
        <v>0</v>
      </c>
      <c r="W475">
        <v>0</v>
      </c>
      <c r="X475">
        <v>0</v>
      </c>
      <c r="Y475">
        <v>0</v>
      </c>
      <c r="Z475">
        <v>0</v>
      </c>
      <c r="AA475">
        <v>0</v>
      </c>
      <c r="AB475">
        <v>0</v>
      </c>
      <c r="AC475">
        <v>0</v>
      </c>
      <c r="AD475">
        <v>0</v>
      </c>
      <c r="AE475">
        <v>0</v>
      </c>
      <c r="AF475">
        <v>0</v>
      </c>
      <c r="AG475">
        <v>0</v>
      </c>
      <c r="AH475">
        <v>0</v>
      </c>
      <c r="AI475">
        <v>0</v>
      </c>
      <c r="AJ475">
        <v>0</v>
      </c>
      <c r="AK475">
        <v>0</v>
      </c>
      <c r="AL475">
        <v>0</v>
      </c>
      <c r="AM475">
        <v>0</v>
      </c>
      <c r="AN475">
        <v>0</v>
      </c>
      <c r="AO475">
        <v>0</v>
      </c>
      <c r="AP475">
        <v>0</v>
      </c>
      <c r="AQ475">
        <v>0</v>
      </c>
      <c r="AR475">
        <v>0</v>
      </c>
      <c r="AS475">
        <v>0</v>
      </c>
      <c r="AT475">
        <v>1</v>
      </c>
      <c r="AU475">
        <v>0</v>
      </c>
      <c r="AV475">
        <v>0</v>
      </c>
      <c r="AW475">
        <v>0</v>
      </c>
      <c r="AX475" s="141">
        <f t="shared" si="517"/>
        <v>1</v>
      </c>
      <c r="AY475" s="141">
        <f t="shared" si="518"/>
        <v>0</v>
      </c>
      <c r="AZ475">
        <f t="shared" si="519"/>
        <v>0</v>
      </c>
      <c r="BA475">
        <f t="shared" si="520"/>
        <v>0</v>
      </c>
      <c r="BB475">
        <f t="shared" si="521"/>
        <v>0</v>
      </c>
      <c r="BC475">
        <f t="shared" si="522"/>
        <v>1</v>
      </c>
      <c r="BD475">
        <f t="shared" si="523"/>
        <v>0</v>
      </c>
      <c r="BE475" t="str" cm="1">
        <f t="array" ref="BE475">IF(AY475=1,INDEX($V$7:$AL$7,MATCH(TRUE,INDEX($V475:$AW475&lt;&gt;0,),0)),IF(AY475=0,INDEX($AM$7:$AW$7,MATCH(1,$AM475:$AW475,0)),IF(BF475="Multiple strategies","mixed drivers",IF(BF475="Supply chain","multiple supply","multiple silviculture"))))</f>
        <v>gdp, population</v>
      </c>
      <c r="BF475" s="2" t="str" cm="1">
        <f t="array" ref="BF475">IF(COUNTIF(AZ475:BB475,"&lt;&gt;0")=1,INDEX($V$4:$AW$4,MATCH(TRUE,INDEX($V475:$AW475&lt;&gt;0,),0)),IF(COUNTIF(AZ475:BB475,"&lt;&gt;0")=0,INDEX($AM$4:$AW$4,MATCH(1,$AM475:$AW475,0)),"Multiple strategies"))</f>
        <v>Demand</v>
      </c>
      <c r="BG475" s="1" t="s">
        <v>321</v>
      </c>
      <c r="BH475" t="s">
        <v>1296</v>
      </c>
      <c r="BJ475" t="s">
        <v>1213</v>
      </c>
      <c r="BK475">
        <f>BL475*(1-0.06/100)</f>
        <v>58.243033199999999</v>
      </c>
      <c r="BL475">
        <v>58.277999999999999</v>
      </c>
      <c r="BM475">
        <f>BK475/BL475</f>
        <v>0.99939999999999996</v>
      </c>
      <c r="BN475">
        <f t="shared" si="524"/>
        <v>3.4966799999999409E-2</v>
      </c>
      <c r="BO475">
        <f t="shared" si="525"/>
        <v>34966.799999999406</v>
      </c>
      <c r="BP475" t="s">
        <v>232</v>
      </c>
      <c r="BR475" t="s">
        <v>1229</v>
      </c>
      <c r="BS475">
        <f>BT475*(1+0.08/100)</f>
        <v>86.469120000000004</v>
      </c>
      <c r="BT475">
        <v>86.4</v>
      </c>
      <c r="BU475" s="144">
        <f t="shared" si="526"/>
        <v>0.99920063948840931</v>
      </c>
      <c r="BV475">
        <f t="shared" si="527"/>
        <v>-6.9119999999998072E-2</v>
      </c>
      <c r="BX475">
        <f t="shared" si="528"/>
        <v>-69119.999999998079</v>
      </c>
      <c r="BY475">
        <f t="shared" si="468"/>
        <v>-1.9767322145577877</v>
      </c>
      <c r="BZ475">
        <v>0</v>
      </c>
      <c r="CA475">
        <v>0</v>
      </c>
      <c r="CB475">
        <v>0</v>
      </c>
      <c r="CC475">
        <v>0</v>
      </c>
      <c r="CD475">
        <v>0</v>
      </c>
      <c r="CE475">
        <v>0</v>
      </c>
      <c r="CF475">
        <v>0</v>
      </c>
      <c r="CG475">
        <v>0</v>
      </c>
      <c r="CH475">
        <v>0</v>
      </c>
      <c r="CI475">
        <v>0</v>
      </c>
      <c r="CJ475">
        <v>0</v>
      </c>
      <c r="CK475">
        <v>0</v>
      </c>
      <c r="CL475">
        <v>0</v>
      </c>
      <c r="CM475">
        <v>1</v>
      </c>
      <c r="CN475" t="str">
        <f t="shared" si="529"/>
        <v>refOK</v>
      </c>
      <c r="CO475">
        <f t="shared" si="530"/>
        <v>58.243033199999999</v>
      </c>
      <c r="CP475">
        <f t="shared" si="531"/>
        <v>58.277999999999999</v>
      </c>
      <c r="CQ475">
        <f t="shared" si="532"/>
        <v>34966.799999999406</v>
      </c>
      <c r="CR475">
        <f t="shared" si="533"/>
        <v>86.469120000000004</v>
      </c>
      <c r="CS475">
        <f t="shared" si="534"/>
        <v>86.4</v>
      </c>
      <c r="CT475">
        <f t="shared" si="535"/>
        <v>-69119.999999998079</v>
      </c>
      <c r="CU475">
        <f t="shared" si="536"/>
        <v>-1.9767322145577877</v>
      </c>
      <c r="CV475" s="2">
        <f t="shared" si="537"/>
        <v>-7.9936051159070506E-4</v>
      </c>
      <c r="CW475" s="1" t="s">
        <v>1202</v>
      </c>
      <c r="CX475" s="264" t="str">
        <f t="shared" si="538"/>
        <v>reg</v>
      </c>
      <c r="CY475" t="s">
        <v>729</v>
      </c>
      <c r="CZ475">
        <v>2015</v>
      </c>
      <c r="DA475">
        <v>2100</v>
      </c>
      <c r="DB475">
        <f t="shared" si="539"/>
        <v>85</v>
      </c>
      <c r="DC475" t="str">
        <f t="shared" si="540"/>
        <v>71-100</v>
      </c>
      <c r="DD475">
        <v>0</v>
      </c>
      <c r="DE475">
        <v>1</v>
      </c>
      <c r="DF475">
        <v>1</v>
      </c>
      <c r="DG475">
        <v>1</v>
      </c>
      <c r="DI475">
        <f t="shared" si="541"/>
        <v>3</v>
      </c>
      <c r="DJ475" t="str">
        <f t="shared" si="542"/>
        <v>mixedProduct</v>
      </c>
      <c r="DK475">
        <f t="shared" si="543"/>
        <v>0</v>
      </c>
      <c r="DL475" t="str">
        <f t="shared" si="544"/>
        <v>Energy</v>
      </c>
      <c r="DM475" t="str">
        <f t="shared" si="545"/>
        <v>Pulp/Paper</v>
      </c>
      <c r="DN475" t="str">
        <f t="shared" si="546"/>
        <v>Timber</v>
      </c>
      <c r="DO475">
        <v>0</v>
      </c>
      <c r="DP475">
        <v>1</v>
      </c>
      <c r="DQ475" t="s">
        <v>1388</v>
      </c>
      <c r="DR475" t="s">
        <v>1388</v>
      </c>
      <c r="DS475" t="s">
        <v>1388</v>
      </c>
      <c r="DT475">
        <f t="shared" si="547"/>
        <v>1</v>
      </c>
      <c r="DU475" s="143" t="str">
        <f t="shared" si="548"/>
        <v>external DF used</v>
      </c>
      <c r="DV475">
        <v>0</v>
      </c>
      <c r="DW475">
        <v>1</v>
      </c>
      <c r="DX475">
        <v>1</v>
      </c>
      <c r="DY475">
        <v>1</v>
      </c>
      <c r="DZ475">
        <v>0</v>
      </c>
      <c r="EA475">
        <v>1</v>
      </c>
      <c r="EB475">
        <v>1</v>
      </c>
      <c r="EC475">
        <v>1</v>
      </c>
      <c r="ED475">
        <v>0</v>
      </c>
      <c r="EE475">
        <v>0</v>
      </c>
      <c r="EF475">
        <v>1</v>
      </c>
      <c r="EG475">
        <v>0</v>
      </c>
      <c r="EH475">
        <v>1</v>
      </c>
      <c r="EI475" s="2">
        <v>1</v>
      </c>
      <c r="EK475" t="str">
        <f t="shared" si="549"/>
        <v>Whole sector</v>
      </c>
      <c r="EL475" t="str">
        <f t="shared" si="550"/>
        <v/>
      </c>
      <c r="EM475" s="2" t="str">
        <f t="shared" si="469"/>
        <v/>
      </c>
      <c r="EP475" t="str">
        <f>IF(ISNUMBER(BU475),IF(ABS(BU475-[4]QC_indicators!$B$2)&gt;3*[4]QC_indicators!$C$2,"C ratio",IF(ISNUMBER(BY475),IF(ABS(BY475-[4]QC_indicators!$B$1)&gt;3*[4]QC_indicators!$C$1,"DF","no"))),IF(ISNUMBER(BY475),IF(ABS(BY475-[4]QC_indicators!$B$1)&gt;3*[4]QC_indicators!$C$1,"DF","no")))</f>
        <v>no</v>
      </c>
      <c r="ET475" s="264" t="s">
        <v>3406</v>
      </c>
    </row>
    <row r="476" spans="1:150" ht="15" hidden="1" customHeight="1">
      <c r="A476" s="1" t="s">
        <v>1377</v>
      </c>
      <c r="B476" t="s">
        <v>1378</v>
      </c>
      <c r="C476" t="s">
        <v>1379</v>
      </c>
      <c r="D476" t="s">
        <v>1380</v>
      </c>
      <c r="E476" t="s">
        <v>1381</v>
      </c>
      <c r="F476" t="s">
        <v>1382</v>
      </c>
      <c r="G476" t="s">
        <v>1383</v>
      </c>
      <c r="H476" t="s">
        <v>254</v>
      </c>
      <c r="I476">
        <v>2021</v>
      </c>
      <c r="J476">
        <v>0</v>
      </c>
      <c r="K476" t="s">
        <v>1384</v>
      </c>
      <c r="M476" t="str">
        <f t="shared" si="510"/>
        <v>Delacote_2021</v>
      </c>
      <c r="N476" t="s">
        <v>222</v>
      </c>
      <c r="O476" s="145" t="s">
        <v>223</v>
      </c>
      <c r="Q476" s="264" t="s">
        <v>256</v>
      </c>
      <c r="R476" s="269" t="s">
        <v>1153</v>
      </c>
      <c r="S476" s="1" t="s">
        <v>1396</v>
      </c>
      <c r="T476" t="s">
        <v>1394</v>
      </c>
      <c r="U476" s="141" t="s">
        <v>1386</v>
      </c>
      <c r="V476">
        <v>0</v>
      </c>
      <c r="W476">
        <v>0</v>
      </c>
      <c r="X476">
        <v>0</v>
      </c>
      <c r="Y476">
        <v>0</v>
      </c>
      <c r="Z476">
        <v>0</v>
      </c>
      <c r="AA476">
        <v>0</v>
      </c>
      <c r="AB476">
        <v>0</v>
      </c>
      <c r="AC476">
        <v>0</v>
      </c>
      <c r="AD476">
        <v>0</v>
      </c>
      <c r="AE476">
        <v>0</v>
      </c>
      <c r="AF476">
        <v>0</v>
      </c>
      <c r="AG476">
        <v>0</v>
      </c>
      <c r="AH476">
        <v>0</v>
      </c>
      <c r="AI476">
        <v>0</v>
      </c>
      <c r="AJ476">
        <v>0</v>
      </c>
      <c r="AK476">
        <v>0</v>
      </c>
      <c r="AL476">
        <v>0</v>
      </c>
      <c r="AM476">
        <v>0</v>
      </c>
      <c r="AN476">
        <v>1</v>
      </c>
      <c r="AO476">
        <v>2</v>
      </c>
      <c r="AP476">
        <v>0</v>
      </c>
      <c r="AQ476">
        <v>0</v>
      </c>
      <c r="AR476">
        <v>0</v>
      </c>
      <c r="AS476">
        <v>0</v>
      </c>
      <c r="AT476">
        <v>0</v>
      </c>
      <c r="AU476">
        <v>0</v>
      </c>
      <c r="AV476">
        <v>0</v>
      </c>
      <c r="AW476">
        <v>0</v>
      </c>
      <c r="AX476" s="141">
        <f t="shared" si="517"/>
        <v>2</v>
      </c>
      <c r="AY476" s="141">
        <f t="shared" si="518"/>
        <v>0</v>
      </c>
      <c r="AZ476">
        <f t="shared" si="519"/>
        <v>0</v>
      </c>
      <c r="BA476">
        <f t="shared" si="520"/>
        <v>0</v>
      </c>
      <c r="BB476">
        <f t="shared" si="521"/>
        <v>0</v>
      </c>
      <c r="BC476">
        <f t="shared" si="522"/>
        <v>0</v>
      </c>
      <c r="BD476">
        <f t="shared" si="523"/>
        <v>2</v>
      </c>
      <c r="BE476" t="str" cm="1">
        <f t="array" ref="BE476">IF(AY476=1,INDEX($V$7:$AL$7,MATCH(TRUE,INDEX($V476:$AW476&lt;&gt;0,),0)),IF(AY476=0,INDEX($AM$7:$AW$7,MATCH(1,$AM476:$AW476,0)),IF(BF476="Multiple strategies","mixed drivers",IF(BF476="Supply chain","multiple supply","multiple silviculture"))))</f>
        <v>Temperature</v>
      </c>
      <c r="BF476" s="2" t="str" cm="1">
        <f t="array" ref="BF476">IF(COUNTIF(AZ476:BB476,"&lt;&gt;0")=1,INDEX($V$4:$AW$4,MATCH(TRUE,INDEX($V476:$AW476&lt;&gt;0,),0)),IF(COUNTIF(AZ476:BB476,"&lt;&gt;0")=0,INDEX($AM$4:$AW$4,MATCH(1,$AM476:$AW476,0)),"Multiple strategies"))</f>
        <v>Environmental change</v>
      </c>
      <c r="BG476" s="1" t="s">
        <v>321</v>
      </c>
      <c r="BH476" t="s">
        <v>1296</v>
      </c>
      <c r="BJ476" t="s">
        <v>1213</v>
      </c>
      <c r="BK476">
        <f>BL476*(1-0.58/100)</f>
        <v>57.939987599999995</v>
      </c>
      <c r="BL476">
        <v>58.277999999999999</v>
      </c>
      <c r="BM476">
        <f>BL476/BK476</f>
        <v>1.0058338362502515</v>
      </c>
      <c r="BN476">
        <f t="shared" si="524"/>
        <v>0.33801240000000377</v>
      </c>
      <c r="BO476">
        <f t="shared" si="525"/>
        <v>338012.40000000375</v>
      </c>
      <c r="BP476" t="s">
        <v>232</v>
      </c>
      <c r="BR476" t="s">
        <v>1229</v>
      </c>
      <c r="BS476">
        <f>BT476*(1-7.22/100)</f>
        <v>52.453172999999992</v>
      </c>
      <c r="BT476">
        <v>56.534999999999997</v>
      </c>
      <c r="BU476" s="144">
        <f t="shared" si="526"/>
        <v>1.0778184953653807</v>
      </c>
      <c r="BV476">
        <f t="shared" si="527"/>
        <v>4.0818270000000041</v>
      </c>
      <c r="BX476">
        <f t="shared" si="528"/>
        <v>4081827.0000000042</v>
      </c>
      <c r="BY476">
        <f t="shared" si="468"/>
        <v>12.075968218917291</v>
      </c>
      <c r="BZ476">
        <v>0</v>
      </c>
      <c r="CA476">
        <v>0</v>
      </c>
      <c r="CB476">
        <v>0</v>
      </c>
      <c r="CC476">
        <v>0</v>
      </c>
      <c r="CD476">
        <v>0</v>
      </c>
      <c r="CE476">
        <v>0</v>
      </c>
      <c r="CF476">
        <v>0</v>
      </c>
      <c r="CG476">
        <v>0</v>
      </c>
      <c r="CH476">
        <v>0</v>
      </c>
      <c r="CI476">
        <v>0</v>
      </c>
      <c r="CJ476">
        <v>0</v>
      </c>
      <c r="CK476">
        <v>0</v>
      </c>
      <c r="CL476">
        <v>0</v>
      </c>
      <c r="CM476">
        <v>1</v>
      </c>
      <c r="CN476" t="str">
        <f t="shared" si="529"/>
        <v>refOK</v>
      </c>
      <c r="CO476">
        <f t="shared" si="530"/>
        <v>57.939987599999995</v>
      </c>
      <c r="CP476">
        <f t="shared" si="531"/>
        <v>58.277999999999999</v>
      </c>
      <c r="CQ476">
        <f t="shared" si="532"/>
        <v>338012.40000000375</v>
      </c>
      <c r="CR476">
        <f t="shared" si="533"/>
        <v>52.453172999999992</v>
      </c>
      <c r="CS476">
        <f t="shared" si="534"/>
        <v>56.534999999999997</v>
      </c>
      <c r="CT476">
        <f t="shared" si="535"/>
        <v>4081827.0000000042</v>
      </c>
      <c r="CU476">
        <f t="shared" si="536"/>
        <v>12.075968218917291</v>
      </c>
      <c r="CV476" s="2">
        <f t="shared" si="537"/>
        <v>7.7818495365380561E-2</v>
      </c>
      <c r="CW476" s="1" t="s">
        <v>1202</v>
      </c>
      <c r="CX476" s="264" t="str">
        <f t="shared" si="538"/>
        <v>reg</v>
      </c>
      <c r="CY476" t="s">
        <v>729</v>
      </c>
      <c r="CZ476">
        <v>2015</v>
      </c>
      <c r="DA476">
        <v>2100</v>
      </c>
      <c r="DB476">
        <f t="shared" si="539"/>
        <v>85</v>
      </c>
      <c r="DC476" t="str">
        <f t="shared" si="540"/>
        <v>71-100</v>
      </c>
      <c r="DD476">
        <v>0</v>
      </c>
      <c r="DE476">
        <v>1</v>
      </c>
      <c r="DF476">
        <v>1</v>
      </c>
      <c r="DG476">
        <v>1</v>
      </c>
      <c r="DI476">
        <f t="shared" si="541"/>
        <v>3</v>
      </c>
      <c r="DJ476" t="str">
        <f t="shared" si="542"/>
        <v>mixedProduct</v>
      </c>
      <c r="DK476">
        <f t="shared" si="543"/>
        <v>0</v>
      </c>
      <c r="DL476" t="str">
        <f t="shared" si="544"/>
        <v>Energy</v>
      </c>
      <c r="DM476" t="str">
        <f t="shared" si="545"/>
        <v>Pulp/Paper</v>
      </c>
      <c r="DN476" t="str">
        <f t="shared" si="546"/>
        <v>Timber</v>
      </c>
      <c r="DO476">
        <v>0</v>
      </c>
      <c r="DP476">
        <v>0</v>
      </c>
      <c r="DQ476">
        <v>0</v>
      </c>
      <c r="DR476">
        <v>0</v>
      </c>
      <c r="DS476">
        <v>0</v>
      </c>
      <c r="DT476">
        <f t="shared" si="547"/>
        <v>0</v>
      </c>
      <c r="DU476" s="143" t="str">
        <f t="shared" si="548"/>
        <v>explicit C balance</v>
      </c>
      <c r="DV476">
        <v>0</v>
      </c>
      <c r="DW476">
        <v>1</v>
      </c>
      <c r="DX476">
        <v>1</v>
      </c>
      <c r="DY476">
        <v>1</v>
      </c>
      <c r="DZ476">
        <v>0</v>
      </c>
      <c r="EA476">
        <v>0</v>
      </c>
      <c r="EB476">
        <v>0</v>
      </c>
      <c r="EC476">
        <v>0</v>
      </c>
      <c r="ED476">
        <v>0</v>
      </c>
      <c r="EE476">
        <v>0</v>
      </c>
      <c r="EF476">
        <v>1</v>
      </c>
      <c r="EG476">
        <v>0</v>
      </c>
      <c r="EH476">
        <v>1</v>
      </c>
      <c r="EI476" s="2">
        <v>1</v>
      </c>
      <c r="EK476" t="str">
        <f t="shared" si="549"/>
        <v/>
      </c>
      <c r="EL476" t="str">
        <f t="shared" si="550"/>
        <v>Ecosystem approach</v>
      </c>
      <c r="EM476" s="2" t="str">
        <f t="shared" si="469"/>
        <v/>
      </c>
      <c r="EP476" t="str">
        <f>IF(ISNUMBER(BU476),IF(ABS(BU476-[4]QC_indicators!$B$2)&gt;3*[4]QC_indicators!$C$2,"C ratio",IF(ISNUMBER(BY476),IF(ABS(BY476-[4]QC_indicators!$B$1)&gt;3*[4]QC_indicators!$C$1,"DF","no"))),IF(ISNUMBER(BY476),IF(ABS(BY476-[4]QC_indicators!$B$1)&gt;3*[4]QC_indicators!$C$1,"DF","no")))</f>
        <v>DF</v>
      </c>
      <c r="ET476" s="264" t="s">
        <v>3406</v>
      </c>
    </row>
    <row r="477" spans="1:150" ht="15" hidden="1" customHeight="1">
      <c r="A477" s="1" t="s">
        <v>1377</v>
      </c>
      <c r="B477" t="s">
        <v>1378</v>
      </c>
      <c r="C477" t="s">
        <v>1379</v>
      </c>
      <c r="D477" t="s">
        <v>1380</v>
      </c>
      <c r="E477" t="s">
        <v>1381</v>
      </c>
      <c r="F477" t="s">
        <v>1382</v>
      </c>
      <c r="G477" t="s">
        <v>1383</v>
      </c>
      <c r="H477" t="s">
        <v>254</v>
      </c>
      <c r="I477">
        <v>2021</v>
      </c>
      <c r="J477">
        <v>0</v>
      </c>
      <c r="K477" t="s">
        <v>1384</v>
      </c>
      <c r="M477" t="str">
        <f t="shared" si="510"/>
        <v>Delacote_2021</v>
      </c>
      <c r="N477" t="s">
        <v>222</v>
      </c>
      <c r="O477" s="145" t="s">
        <v>223</v>
      </c>
      <c r="Q477" s="264" t="s">
        <v>256</v>
      </c>
      <c r="R477" s="269" t="s">
        <v>1153</v>
      </c>
      <c r="S477" s="1" t="s">
        <v>1393</v>
      </c>
      <c r="T477" t="s">
        <v>1394</v>
      </c>
      <c r="U477" s="141" t="s">
        <v>1386</v>
      </c>
      <c r="V477">
        <v>0</v>
      </c>
      <c r="W477">
        <v>0</v>
      </c>
      <c r="X477">
        <v>0</v>
      </c>
      <c r="Y477">
        <v>0</v>
      </c>
      <c r="Z477">
        <v>1</v>
      </c>
      <c r="AA477">
        <v>0</v>
      </c>
      <c r="AB477">
        <v>0</v>
      </c>
      <c r="AC477">
        <v>0</v>
      </c>
      <c r="AD477">
        <v>0</v>
      </c>
      <c r="AE477">
        <v>0</v>
      </c>
      <c r="AF477">
        <v>0</v>
      </c>
      <c r="AG477">
        <v>0</v>
      </c>
      <c r="AH477">
        <v>0</v>
      </c>
      <c r="AI477">
        <v>0</v>
      </c>
      <c r="AJ477">
        <v>0</v>
      </c>
      <c r="AK477">
        <v>0</v>
      </c>
      <c r="AL477">
        <v>0</v>
      </c>
      <c r="AM477">
        <v>0</v>
      </c>
      <c r="AN477">
        <v>0</v>
      </c>
      <c r="AO477">
        <v>0</v>
      </c>
      <c r="AP477">
        <v>0</v>
      </c>
      <c r="AQ477">
        <v>0</v>
      </c>
      <c r="AR477">
        <v>0</v>
      </c>
      <c r="AS477">
        <v>0</v>
      </c>
      <c r="AT477">
        <v>0</v>
      </c>
      <c r="AU477">
        <v>0</v>
      </c>
      <c r="AV477">
        <v>0</v>
      </c>
      <c r="AW477">
        <v>0</v>
      </c>
      <c r="AX477" s="141">
        <f t="shared" si="517"/>
        <v>1</v>
      </c>
      <c r="AY477" s="141">
        <f t="shared" si="518"/>
        <v>1</v>
      </c>
      <c r="AZ477">
        <f t="shared" si="519"/>
        <v>1</v>
      </c>
      <c r="BA477">
        <f t="shared" si="520"/>
        <v>0</v>
      </c>
      <c r="BB477">
        <f t="shared" si="521"/>
        <v>0</v>
      </c>
      <c r="BC477">
        <f t="shared" si="522"/>
        <v>0</v>
      </c>
      <c r="BD477">
        <f t="shared" si="523"/>
        <v>0</v>
      </c>
      <c r="BE477" t="str" cm="1">
        <f t="array" ref="BE477">IF(AY477=1,INDEX($V$7:$AL$7,MATCH(TRUE,INDEX($V477:$AW477&lt;&gt;0,),0)),IF(AY477=0,INDEX($AM$7:$AW$7,MATCH(1,$AM477:$AW477,0)),IF(BF477="Multiple strategies","mixed drivers",IF(BF477="Supply chain","multiple supply","multiple silviculture"))))</f>
        <v>species</v>
      </c>
      <c r="BF477" s="2" t="str" cm="1">
        <f t="array" ref="BF477">IF(COUNTIF(AZ477:BB477,"&lt;&gt;0")=1,INDEX($V$4:$AW$4,MATCH(TRUE,INDEX($V477:$AW477&lt;&gt;0,),0)),IF(COUNTIF(AZ477:BB477,"&lt;&gt;0")=0,INDEX($AM$4:$AW$4,MATCH(1,$AM477:$AW477,0)),"Multiple strategies"))</f>
        <v>Silviculture for productivity</v>
      </c>
      <c r="BG477" s="1" t="s">
        <v>321</v>
      </c>
      <c r="BH477" t="s">
        <v>1296</v>
      </c>
      <c r="BJ477" t="s">
        <v>1213</v>
      </c>
      <c r="BK477">
        <f>BL477*(1-0.58/100)</f>
        <v>57.939987599999995</v>
      </c>
      <c r="BL477">
        <v>58.277999999999999</v>
      </c>
      <c r="BM477">
        <f>BK477/BL477</f>
        <v>0.99419999999999997</v>
      </c>
      <c r="BN477">
        <f t="shared" si="524"/>
        <v>0.33801240000000377</v>
      </c>
      <c r="BO477">
        <f t="shared" si="525"/>
        <v>338012.40000000375</v>
      </c>
      <c r="BP477" t="s">
        <v>232</v>
      </c>
      <c r="BR477" t="s">
        <v>1229</v>
      </c>
      <c r="BS477">
        <f>BT477*(1-4.94/100)</f>
        <v>82.131840000000011</v>
      </c>
      <c r="BT477">
        <v>86.4</v>
      </c>
      <c r="BU477" s="144">
        <f t="shared" si="526"/>
        <v>1.0519671786240268</v>
      </c>
      <c r="BV477">
        <f t="shared" si="527"/>
        <v>4.2681599999999946</v>
      </c>
      <c r="BX477">
        <f t="shared" si="528"/>
        <v>4268159.9999999944</v>
      </c>
      <c r="BY477">
        <f t="shared" si="468"/>
        <v>12.627229060235504</v>
      </c>
      <c r="BZ477">
        <v>0</v>
      </c>
      <c r="CA477">
        <v>0</v>
      </c>
      <c r="CB477">
        <v>0</v>
      </c>
      <c r="CC477">
        <v>0</v>
      </c>
      <c r="CD477">
        <v>0</v>
      </c>
      <c r="CE477">
        <v>0</v>
      </c>
      <c r="CF477">
        <v>0</v>
      </c>
      <c r="CG477">
        <v>0</v>
      </c>
      <c r="CH477">
        <v>0</v>
      </c>
      <c r="CI477">
        <v>0</v>
      </c>
      <c r="CJ477">
        <v>0</v>
      </c>
      <c r="CK477">
        <v>0</v>
      </c>
      <c r="CL477">
        <v>0</v>
      </c>
      <c r="CM477">
        <v>1</v>
      </c>
      <c r="CN477" t="str">
        <f t="shared" si="529"/>
        <v>refOK</v>
      </c>
      <c r="CO477">
        <f t="shared" si="530"/>
        <v>57.939987599999995</v>
      </c>
      <c r="CP477">
        <f t="shared" si="531"/>
        <v>58.277999999999999</v>
      </c>
      <c r="CQ477">
        <f t="shared" si="532"/>
        <v>338012.40000000375</v>
      </c>
      <c r="CR477">
        <f t="shared" si="533"/>
        <v>82.131840000000011</v>
      </c>
      <c r="CS477">
        <f t="shared" si="534"/>
        <v>86.4</v>
      </c>
      <c r="CT477">
        <f t="shared" si="535"/>
        <v>4268159.9999999944</v>
      </c>
      <c r="CU477">
        <f t="shared" si="536"/>
        <v>12.627229060235504</v>
      </c>
      <c r="CV477" s="2">
        <f t="shared" si="537"/>
        <v>5.1967178624026861E-2</v>
      </c>
      <c r="CW477" s="1" t="s">
        <v>1202</v>
      </c>
      <c r="CX477" s="264" t="str">
        <f t="shared" si="538"/>
        <v>reg</v>
      </c>
      <c r="CY477" t="s">
        <v>729</v>
      </c>
      <c r="CZ477">
        <v>2015</v>
      </c>
      <c r="DA477">
        <v>2100</v>
      </c>
      <c r="DB477">
        <f t="shared" si="539"/>
        <v>85</v>
      </c>
      <c r="DC477" t="str">
        <f t="shared" si="540"/>
        <v>71-100</v>
      </c>
      <c r="DD477">
        <v>0</v>
      </c>
      <c r="DE477">
        <v>1</v>
      </c>
      <c r="DF477">
        <v>1</v>
      </c>
      <c r="DG477">
        <v>1</v>
      </c>
      <c r="DI477">
        <f t="shared" si="541"/>
        <v>3</v>
      </c>
      <c r="DJ477" t="str">
        <f t="shared" si="542"/>
        <v>mixedProduct</v>
      </c>
      <c r="DK477">
        <f t="shared" si="543"/>
        <v>0</v>
      </c>
      <c r="DL477" t="str">
        <f t="shared" si="544"/>
        <v>Energy</v>
      </c>
      <c r="DM477" t="str">
        <f t="shared" si="545"/>
        <v>Pulp/Paper</v>
      </c>
      <c r="DN477" t="str">
        <f t="shared" si="546"/>
        <v>Timber</v>
      </c>
      <c r="DO477">
        <v>0</v>
      </c>
      <c r="DP477">
        <v>1</v>
      </c>
      <c r="DQ477" t="s">
        <v>1388</v>
      </c>
      <c r="DR477" t="s">
        <v>1388</v>
      </c>
      <c r="DS477" t="s">
        <v>1388</v>
      </c>
      <c r="DT477">
        <f t="shared" si="547"/>
        <v>1</v>
      </c>
      <c r="DU477" s="143" t="str">
        <f t="shared" si="548"/>
        <v>external DF used</v>
      </c>
      <c r="DV477">
        <v>0</v>
      </c>
      <c r="DW477">
        <v>1</v>
      </c>
      <c r="DX477">
        <v>1</v>
      </c>
      <c r="DY477">
        <v>1</v>
      </c>
      <c r="DZ477">
        <v>0</v>
      </c>
      <c r="EA477">
        <v>1</v>
      </c>
      <c r="EB477">
        <v>1</v>
      </c>
      <c r="EC477">
        <v>1</v>
      </c>
      <c r="ED477">
        <v>0</v>
      </c>
      <c r="EE477">
        <v>0</v>
      </c>
      <c r="EF477">
        <v>1</v>
      </c>
      <c r="EG477">
        <v>0</v>
      </c>
      <c r="EH477">
        <v>1</v>
      </c>
      <c r="EI477" s="2">
        <v>1</v>
      </c>
      <c r="EK477" t="str">
        <f t="shared" si="549"/>
        <v>Whole sector</v>
      </c>
      <c r="EL477" t="str">
        <f t="shared" si="550"/>
        <v/>
      </c>
      <c r="EM477" s="2" t="str">
        <f t="shared" si="469"/>
        <v/>
      </c>
      <c r="EO477" t="s">
        <v>1395</v>
      </c>
      <c r="EP477" t="str">
        <f>IF(ISNUMBER(BU477),IF(ABS(BU477-[4]QC_indicators!$B$2)&gt;3*[4]QC_indicators!$C$2,"C ratio",IF(ISNUMBER(BY477),IF(ABS(BY477-[4]QC_indicators!$B$1)&gt;3*[4]QC_indicators!$C$1,"DF","no"))),IF(ISNUMBER(BY477),IF(ABS(BY477-[4]QC_indicators!$B$1)&gt;3*[4]QC_indicators!$C$1,"DF","no")))</f>
        <v>DF</v>
      </c>
      <c r="EQ477" t="s">
        <v>286</v>
      </c>
      <c r="ET477" s="264" t="s">
        <v>3406</v>
      </c>
    </row>
    <row r="478" spans="1:150" ht="15" hidden="1" customHeight="1">
      <c r="A478" s="1" t="s">
        <v>1377</v>
      </c>
      <c r="B478" t="s">
        <v>1378</v>
      </c>
      <c r="C478" t="s">
        <v>1379</v>
      </c>
      <c r="D478" t="s">
        <v>1380</v>
      </c>
      <c r="E478" s="264" t="s">
        <v>1381</v>
      </c>
      <c r="F478" t="s">
        <v>1382</v>
      </c>
      <c r="G478" t="s">
        <v>1383</v>
      </c>
      <c r="H478" t="s">
        <v>254</v>
      </c>
      <c r="I478">
        <v>2021</v>
      </c>
      <c r="J478">
        <v>0</v>
      </c>
      <c r="K478" t="s">
        <v>1384</v>
      </c>
      <c r="M478" t="str">
        <f t="shared" si="510"/>
        <v>Delacote_2021</v>
      </c>
      <c r="N478" t="s">
        <v>222</v>
      </c>
      <c r="O478" s="145" t="s">
        <v>223</v>
      </c>
      <c r="Q478" s="264" t="s">
        <v>256</v>
      </c>
      <c r="R478" s="269" t="s">
        <v>1153</v>
      </c>
      <c r="S478" s="1" t="s">
        <v>1385</v>
      </c>
      <c r="T478" t="s">
        <v>1386</v>
      </c>
      <c r="U478" t="s">
        <v>1387</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c r="AP478">
        <v>0</v>
      </c>
      <c r="AQ478">
        <v>0</v>
      </c>
      <c r="AR478">
        <v>0</v>
      </c>
      <c r="AS478">
        <v>0</v>
      </c>
      <c r="AT478">
        <v>0</v>
      </c>
      <c r="AU478">
        <v>0</v>
      </c>
      <c r="AV478">
        <v>0</v>
      </c>
      <c r="AW478">
        <v>1</v>
      </c>
      <c r="AX478" s="141">
        <f t="shared" si="517"/>
        <v>1</v>
      </c>
      <c r="AY478" s="141">
        <f t="shared" si="518"/>
        <v>0</v>
      </c>
      <c r="AZ478">
        <f t="shared" si="519"/>
        <v>0</v>
      </c>
      <c r="BA478">
        <f t="shared" si="520"/>
        <v>0</v>
      </c>
      <c r="BB478">
        <f t="shared" si="521"/>
        <v>0</v>
      </c>
      <c r="BC478">
        <f t="shared" si="522"/>
        <v>1</v>
      </c>
      <c r="BD478">
        <f t="shared" si="523"/>
        <v>0</v>
      </c>
      <c r="BE478" t="str" cm="1">
        <f t="array" ref="BE478">IF(AY478=1,INDEX($V$7:$AL$7,MATCH(TRUE,INDEX($V478:$AW478&lt;&gt;0,),0)),IF(AY478=0,INDEX($AM$7:$AW$7,MATCH(1,$AM478:$AW478,0)),IF(BF478="Multiple strategies","mixed drivers",IF(BF478="Supply chain","multiple supply","multiple silviculture"))))</f>
        <v>exogenous land use change</v>
      </c>
      <c r="BF478" s="2" t="str" cm="1">
        <f t="array" ref="BF478">IF(COUNTIF(AZ478:BB478,"&lt;&gt;0")=1,INDEX($V$4:$AW$4,MATCH(TRUE,INDEX($V478:$AW478&lt;&gt;0,),0)),IF(COUNTIF(AZ478:BB478,"&lt;&gt;0")=0,INDEX($AM$4:$AW$4,MATCH(1,$AM478:$AW478,0)),"Multiple strategies"))</f>
        <v>Demand</v>
      </c>
      <c r="BG478" s="1" t="s">
        <v>321</v>
      </c>
      <c r="BH478" t="s">
        <v>1296</v>
      </c>
      <c r="BJ478" t="s">
        <v>1213</v>
      </c>
      <c r="BK478">
        <v>58.277999999999999</v>
      </c>
      <c r="BL478">
        <f>BK478*(1+1.12/100)</f>
        <v>58.930713600000004</v>
      </c>
      <c r="BM478">
        <f>BL478/BK478</f>
        <v>1.0112000000000001</v>
      </c>
      <c r="BN478">
        <f t="shared" si="524"/>
        <v>0.65271360000000556</v>
      </c>
      <c r="BO478">
        <f t="shared" si="525"/>
        <v>652713.60000000556</v>
      </c>
      <c r="BP478" t="s">
        <v>232</v>
      </c>
      <c r="BR478" t="s">
        <v>1229</v>
      </c>
      <c r="BS478">
        <v>86.4</v>
      </c>
      <c r="BT478">
        <f>BS478*(1+11.98/100)</f>
        <v>96.750720000000001</v>
      </c>
      <c r="BU478" s="144">
        <f t="shared" si="526"/>
        <v>1.1197999999999999</v>
      </c>
      <c r="BV478">
        <f t="shared" si="527"/>
        <v>10.350719999999995</v>
      </c>
      <c r="BX478">
        <f t="shared" si="528"/>
        <v>10350719.999999996</v>
      </c>
      <c r="BY478">
        <f t="shared" si="468"/>
        <v>15.857981203394425</v>
      </c>
      <c r="BZ478">
        <v>0</v>
      </c>
      <c r="CA478">
        <v>0</v>
      </c>
      <c r="CB478">
        <v>0</v>
      </c>
      <c r="CC478">
        <v>0</v>
      </c>
      <c r="CD478">
        <v>0</v>
      </c>
      <c r="CE478">
        <v>0</v>
      </c>
      <c r="CF478">
        <v>0</v>
      </c>
      <c r="CG478">
        <v>0</v>
      </c>
      <c r="CH478">
        <v>0</v>
      </c>
      <c r="CI478">
        <v>0</v>
      </c>
      <c r="CJ478">
        <v>0</v>
      </c>
      <c r="CK478">
        <v>0</v>
      </c>
      <c r="CL478">
        <v>0</v>
      </c>
      <c r="CM478">
        <v>1</v>
      </c>
      <c r="CN478" t="str">
        <f t="shared" si="529"/>
        <v>refOK</v>
      </c>
      <c r="CO478">
        <f t="shared" si="530"/>
        <v>58.277999999999999</v>
      </c>
      <c r="CP478">
        <f t="shared" si="531"/>
        <v>58.930713600000004</v>
      </c>
      <c r="CQ478">
        <f t="shared" si="532"/>
        <v>652713.60000000556</v>
      </c>
      <c r="CR478">
        <f t="shared" si="533"/>
        <v>86.4</v>
      </c>
      <c r="CS478">
        <f t="shared" si="534"/>
        <v>96.750720000000001</v>
      </c>
      <c r="CT478">
        <f t="shared" si="535"/>
        <v>10350719.999999996</v>
      </c>
      <c r="CU478">
        <f t="shared" si="536"/>
        <v>15.857981203394425</v>
      </c>
      <c r="CV478" s="2">
        <f t="shared" si="537"/>
        <v>0.11979999999999993</v>
      </c>
      <c r="CW478" s="1" t="s">
        <v>1202</v>
      </c>
      <c r="CX478" s="264" t="str">
        <f t="shared" si="538"/>
        <v>reg</v>
      </c>
      <c r="CY478" t="s">
        <v>729</v>
      </c>
      <c r="CZ478">
        <v>2015</v>
      </c>
      <c r="DA478">
        <v>2100</v>
      </c>
      <c r="DB478">
        <f t="shared" si="539"/>
        <v>85</v>
      </c>
      <c r="DC478" t="str">
        <f t="shared" si="540"/>
        <v>71-100</v>
      </c>
      <c r="DD478">
        <v>0</v>
      </c>
      <c r="DE478">
        <v>1</v>
      </c>
      <c r="DF478">
        <v>1</v>
      </c>
      <c r="DG478">
        <v>1</v>
      </c>
      <c r="DI478">
        <f t="shared" si="541"/>
        <v>3</v>
      </c>
      <c r="DJ478" t="str">
        <f t="shared" si="542"/>
        <v>mixedProduct</v>
      </c>
      <c r="DK478">
        <f t="shared" si="543"/>
        <v>0</v>
      </c>
      <c r="DL478" t="str">
        <f t="shared" si="544"/>
        <v>Energy</v>
      </c>
      <c r="DM478" t="str">
        <f t="shared" si="545"/>
        <v>Pulp/Paper</v>
      </c>
      <c r="DN478" t="str">
        <f t="shared" si="546"/>
        <v>Timber</v>
      </c>
      <c r="DO478">
        <v>0</v>
      </c>
      <c r="DP478">
        <v>1</v>
      </c>
      <c r="DQ478" t="s">
        <v>1388</v>
      </c>
      <c r="DR478" t="s">
        <v>1388</v>
      </c>
      <c r="DS478" t="s">
        <v>1388</v>
      </c>
      <c r="DT478">
        <f t="shared" si="547"/>
        <v>1</v>
      </c>
      <c r="DU478" s="143" t="str">
        <f t="shared" si="548"/>
        <v>external DF used</v>
      </c>
      <c r="DV478">
        <v>0</v>
      </c>
      <c r="DW478">
        <v>1</v>
      </c>
      <c r="DX478">
        <v>1</v>
      </c>
      <c r="DY478">
        <v>1</v>
      </c>
      <c r="DZ478">
        <v>0</v>
      </c>
      <c r="EA478">
        <v>1</v>
      </c>
      <c r="EB478">
        <v>1</v>
      </c>
      <c r="EC478">
        <v>1</v>
      </c>
      <c r="ED478">
        <v>0</v>
      </c>
      <c r="EE478">
        <v>0</v>
      </c>
      <c r="EF478">
        <v>1</v>
      </c>
      <c r="EG478">
        <v>0</v>
      </c>
      <c r="EH478">
        <v>1</v>
      </c>
      <c r="EI478" s="2">
        <v>1</v>
      </c>
      <c r="EK478" t="str">
        <f t="shared" si="549"/>
        <v>Whole sector</v>
      </c>
      <c r="EL478" t="str">
        <f t="shared" si="550"/>
        <v/>
      </c>
      <c r="EM478" s="2" t="str">
        <f t="shared" si="469"/>
        <v/>
      </c>
      <c r="EP478" t="str">
        <f>IF(ISNUMBER(BU478),IF(ABS(BU478-[4]QC_indicators!$B$2)&gt;3*[4]QC_indicators!$C$2,"C ratio",IF(ISNUMBER(BY478),IF(ABS(BY478-[4]QC_indicators!$B$1)&gt;3*[4]QC_indicators!$C$1,"DF","no"))),IF(ISNUMBER(BY478),IF(ABS(BY478-[4]QC_indicators!$B$1)&gt;3*[4]QC_indicators!$C$1,"DF","no")))</f>
        <v>DF</v>
      </c>
      <c r="EQ478" t="s">
        <v>450</v>
      </c>
      <c r="ET478" s="264" t="s">
        <v>3406</v>
      </c>
    </row>
    <row r="479" spans="1:150" ht="15" hidden="1" customHeight="1">
      <c r="A479" s="1" t="s">
        <v>1377</v>
      </c>
      <c r="B479" t="s">
        <v>1378</v>
      </c>
      <c r="C479" t="s">
        <v>1379</v>
      </c>
      <c r="D479" t="s">
        <v>1380</v>
      </c>
      <c r="E479" t="s">
        <v>1381</v>
      </c>
      <c r="F479" t="s">
        <v>1382</v>
      </c>
      <c r="G479" t="s">
        <v>1383</v>
      </c>
      <c r="H479" t="s">
        <v>254</v>
      </c>
      <c r="I479">
        <v>2021</v>
      </c>
      <c r="J479">
        <v>0</v>
      </c>
      <c r="K479" t="s">
        <v>1384</v>
      </c>
      <c r="M479" t="str">
        <f t="shared" si="510"/>
        <v>Delacote_2021</v>
      </c>
      <c r="N479" t="s">
        <v>222</v>
      </c>
      <c r="O479" s="145" t="s">
        <v>223</v>
      </c>
      <c r="Q479" s="264" t="s">
        <v>256</v>
      </c>
      <c r="R479" s="269" t="s">
        <v>1153</v>
      </c>
      <c r="S479" s="1" t="s">
        <v>1396</v>
      </c>
      <c r="T479" t="s">
        <v>1386</v>
      </c>
      <c r="U479" t="s">
        <v>1387</v>
      </c>
      <c r="V479">
        <v>0</v>
      </c>
      <c r="W479">
        <v>0</v>
      </c>
      <c r="X479">
        <v>0</v>
      </c>
      <c r="Y479">
        <v>0</v>
      </c>
      <c r="Z479">
        <v>0</v>
      </c>
      <c r="AA479">
        <v>0</v>
      </c>
      <c r="AB479">
        <v>0</v>
      </c>
      <c r="AC479">
        <v>0</v>
      </c>
      <c r="AD479">
        <v>0</v>
      </c>
      <c r="AE479">
        <v>0</v>
      </c>
      <c r="AF479">
        <v>0</v>
      </c>
      <c r="AG479">
        <v>0</v>
      </c>
      <c r="AH479">
        <v>0</v>
      </c>
      <c r="AI479">
        <v>0</v>
      </c>
      <c r="AJ479">
        <v>0</v>
      </c>
      <c r="AK479">
        <v>0</v>
      </c>
      <c r="AL479">
        <v>0</v>
      </c>
      <c r="AM479">
        <v>0</v>
      </c>
      <c r="AN479">
        <v>1</v>
      </c>
      <c r="AO479">
        <v>2</v>
      </c>
      <c r="AP479">
        <v>0</v>
      </c>
      <c r="AQ479">
        <v>0</v>
      </c>
      <c r="AR479">
        <v>0</v>
      </c>
      <c r="AS479">
        <v>0</v>
      </c>
      <c r="AT479">
        <v>0</v>
      </c>
      <c r="AU479">
        <v>0</v>
      </c>
      <c r="AV479">
        <v>0</v>
      </c>
      <c r="AW479">
        <v>0</v>
      </c>
      <c r="AX479" s="141">
        <f t="shared" si="517"/>
        <v>2</v>
      </c>
      <c r="AY479" s="141">
        <f t="shared" si="518"/>
        <v>0</v>
      </c>
      <c r="AZ479">
        <f t="shared" si="519"/>
        <v>0</v>
      </c>
      <c r="BA479">
        <f t="shared" si="520"/>
        <v>0</v>
      </c>
      <c r="BB479">
        <f t="shared" si="521"/>
        <v>0</v>
      </c>
      <c r="BC479">
        <f t="shared" si="522"/>
        <v>0</v>
      </c>
      <c r="BD479">
        <f t="shared" si="523"/>
        <v>2</v>
      </c>
      <c r="BE479" t="str" cm="1">
        <f t="array" ref="BE479">IF(AY479=1,INDEX($V$7:$AL$7,MATCH(TRUE,INDEX($V479:$AW479&lt;&gt;0,),0)),IF(AY479=0,INDEX($AM$7:$AW$7,MATCH(1,$AM479:$AW479,0)),IF(BF479="Multiple strategies","mixed drivers",IF(BF479="Supply chain","multiple supply","multiple silviculture"))))</f>
        <v>Temperature</v>
      </c>
      <c r="BF479" s="2" t="str" cm="1">
        <f t="array" ref="BF479">IF(COUNTIF(AZ479:BB479,"&lt;&gt;0")=1,INDEX($V$4:$AW$4,MATCH(TRUE,INDEX($V479:$AW479&lt;&gt;0,),0)),IF(COUNTIF(AZ479:BB479,"&lt;&gt;0")=0,INDEX($AM$4:$AW$4,MATCH(1,$AM479:$AW479,0)),"Multiple strategies"))</f>
        <v>Environmental change</v>
      </c>
      <c r="BG479" s="1" t="s">
        <v>321</v>
      </c>
      <c r="BH479" t="s">
        <v>1296</v>
      </c>
      <c r="BJ479" t="s">
        <v>1213</v>
      </c>
      <c r="BK479">
        <v>51.780999999999999</v>
      </c>
      <c r="BL479">
        <f>BK479*(1+1.12/100)</f>
        <v>52.360947200000005</v>
      </c>
      <c r="BM479">
        <f>BL479/BK479</f>
        <v>1.0112000000000001</v>
      </c>
      <c r="BN479">
        <f t="shared" si="524"/>
        <v>0.57994720000000655</v>
      </c>
      <c r="BO479">
        <f t="shared" si="525"/>
        <v>579947.20000000659</v>
      </c>
      <c r="BP479" t="s">
        <v>232</v>
      </c>
      <c r="BR479" t="s">
        <v>1229</v>
      </c>
      <c r="BS479">
        <v>56.534999999999997</v>
      </c>
      <c r="BT479">
        <f>BS479*(1+17.82/100)</f>
        <v>66.609536999999989</v>
      </c>
      <c r="BU479" s="144">
        <f t="shared" si="526"/>
        <v>1.1781999999999999</v>
      </c>
      <c r="BV479">
        <f t="shared" si="527"/>
        <v>10.074536999999992</v>
      </c>
      <c r="BX479">
        <f t="shared" si="528"/>
        <v>10074536.999999993</v>
      </c>
      <c r="BY479">
        <f t="shared" si="468"/>
        <v>17.371472782349631</v>
      </c>
      <c r="BZ479">
        <v>0</v>
      </c>
      <c r="CA479">
        <v>0</v>
      </c>
      <c r="CB479">
        <v>0</v>
      </c>
      <c r="CC479">
        <v>0</v>
      </c>
      <c r="CD479">
        <v>0</v>
      </c>
      <c r="CE479">
        <v>0</v>
      </c>
      <c r="CF479">
        <v>0</v>
      </c>
      <c r="CG479">
        <v>0</v>
      </c>
      <c r="CH479">
        <v>0</v>
      </c>
      <c r="CI479">
        <v>0</v>
      </c>
      <c r="CJ479">
        <v>0</v>
      </c>
      <c r="CK479">
        <v>0</v>
      </c>
      <c r="CL479">
        <v>0</v>
      </c>
      <c r="CM479">
        <v>1</v>
      </c>
      <c r="CN479" t="str">
        <f t="shared" si="529"/>
        <v>refOK</v>
      </c>
      <c r="CO479">
        <f t="shared" si="530"/>
        <v>51.780999999999999</v>
      </c>
      <c r="CP479">
        <f t="shared" si="531"/>
        <v>52.360947200000005</v>
      </c>
      <c r="CQ479">
        <f t="shared" si="532"/>
        <v>579947.20000000659</v>
      </c>
      <c r="CR479">
        <f t="shared" si="533"/>
        <v>56.534999999999997</v>
      </c>
      <c r="CS479">
        <f t="shared" si="534"/>
        <v>66.609536999999989</v>
      </c>
      <c r="CT479">
        <f t="shared" si="535"/>
        <v>10074536.999999993</v>
      </c>
      <c r="CU479">
        <f t="shared" si="536"/>
        <v>17.371472782349631</v>
      </c>
      <c r="CV479" s="2">
        <f t="shared" si="537"/>
        <v>0.17819999999999989</v>
      </c>
      <c r="CW479" s="1" t="s">
        <v>1202</v>
      </c>
      <c r="CX479" s="264" t="str">
        <f t="shared" si="538"/>
        <v>reg</v>
      </c>
      <c r="CY479" t="s">
        <v>729</v>
      </c>
      <c r="CZ479">
        <v>2015</v>
      </c>
      <c r="DA479">
        <v>2100</v>
      </c>
      <c r="DB479">
        <f t="shared" si="539"/>
        <v>85</v>
      </c>
      <c r="DC479" t="str">
        <f t="shared" si="540"/>
        <v>71-100</v>
      </c>
      <c r="DD479">
        <v>0</v>
      </c>
      <c r="DE479">
        <v>1</v>
      </c>
      <c r="DF479">
        <v>1</v>
      </c>
      <c r="DG479">
        <v>1</v>
      </c>
      <c r="DI479">
        <f t="shared" si="541"/>
        <v>3</v>
      </c>
      <c r="DJ479" t="str">
        <f t="shared" si="542"/>
        <v>mixedProduct</v>
      </c>
      <c r="DK479">
        <f t="shared" si="543"/>
        <v>0</v>
      </c>
      <c r="DL479" t="str">
        <f t="shared" si="544"/>
        <v>Energy</v>
      </c>
      <c r="DM479" t="str">
        <f t="shared" si="545"/>
        <v>Pulp/Paper</v>
      </c>
      <c r="DN479" t="str">
        <f t="shared" si="546"/>
        <v>Timber</v>
      </c>
      <c r="DO479">
        <v>0</v>
      </c>
      <c r="DP479">
        <v>0</v>
      </c>
      <c r="DQ479">
        <v>0</v>
      </c>
      <c r="DR479">
        <v>0</v>
      </c>
      <c r="DS479">
        <v>0</v>
      </c>
      <c r="DT479">
        <f t="shared" si="547"/>
        <v>0</v>
      </c>
      <c r="DU479" s="143" t="str">
        <f t="shared" si="548"/>
        <v>explicit C balance</v>
      </c>
      <c r="DV479">
        <v>0</v>
      </c>
      <c r="DW479">
        <v>1</v>
      </c>
      <c r="DX479">
        <v>1</v>
      </c>
      <c r="DY479">
        <v>1</v>
      </c>
      <c r="DZ479">
        <v>0</v>
      </c>
      <c r="EA479">
        <v>0</v>
      </c>
      <c r="EB479">
        <v>0</v>
      </c>
      <c r="EC479">
        <v>0</v>
      </c>
      <c r="ED479">
        <v>0</v>
      </c>
      <c r="EE479">
        <v>0</v>
      </c>
      <c r="EF479">
        <v>1</v>
      </c>
      <c r="EG479">
        <v>0</v>
      </c>
      <c r="EH479">
        <v>1</v>
      </c>
      <c r="EI479" s="2">
        <v>1</v>
      </c>
      <c r="EK479" t="str">
        <f t="shared" si="549"/>
        <v/>
      </c>
      <c r="EL479" t="str">
        <f t="shared" si="550"/>
        <v>Ecosystem approach</v>
      </c>
      <c r="EM479" s="2" t="str">
        <f t="shared" si="469"/>
        <v/>
      </c>
      <c r="EP479" t="str">
        <f>IF(ISNUMBER(BU479),IF(ABS(BU479-[4]QC_indicators!$B$2)&gt;3*[4]QC_indicators!$C$2,"C ratio",IF(ISNUMBER(BY479),IF(ABS(BY479-[4]QC_indicators!$B$1)&gt;3*[4]QC_indicators!$C$1,"DF","no"))),IF(ISNUMBER(BY479),IF(ABS(BY479-[4]QC_indicators!$B$1)&gt;3*[4]QC_indicators!$C$1,"DF","no")))</f>
        <v>DF</v>
      </c>
      <c r="ET479" s="264" t="s">
        <v>3406</v>
      </c>
    </row>
    <row r="480" spans="1:150" ht="15" hidden="1" customHeight="1">
      <c r="A480" s="1" t="s">
        <v>1377</v>
      </c>
      <c r="B480" t="s">
        <v>1378</v>
      </c>
      <c r="C480" t="s">
        <v>1379</v>
      </c>
      <c r="D480" t="s">
        <v>1380</v>
      </c>
      <c r="E480" t="s">
        <v>1381</v>
      </c>
      <c r="F480" t="s">
        <v>1382</v>
      </c>
      <c r="G480" t="s">
        <v>1383</v>
      </c>
      <c r="H480" t="s">
        <v>254</v>
      </c>
      <c r="I480">
        <v>2021</v>
      </c>
      <c r="J480">
        <v>0</v>
      </c>
      <c r="K480" t="s">
        <v>1384</v>
      </c>
      <c r="M480" t="str">
        <f t="shared" si="510"/>
        <v>Delacote_2021</v>
      </c>
      <c r="N480" t="s">
        <v>222</v>
      </c>
      <c r="O480" s="145" t="s">
        <v>223</v>
      </c>
      <c r="Q480" s="264" t="s">
        <v>256</v>
      </c>
      <c r="R480" s="269" t="s">
        <v>1153</v>
      </c>
      <c r="S480" s="1" t="s">
        <v>1391</v>
      </c>
      <c r="T480" t="s">
        <v>1386</v>
      </c>
      <c r="U480" t="s">
        <v>1392</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c r="AP480">
        <v>0</v>
      </c>
      <c r="AQ480">
        <v>0</v>
      </c>
      <c r="AR480">
        <v>0</v>
      </c>
      <c r="AS480">
        <v>0</v>
      </c>
      <c r="AT480">
        <v>1</v>
      </c>
      <c r="AU480">
        <v>0</v>
      </c>
      <c r="AV480">
        <v>0</v>
      </c>
      <c r="AW480">
        <v>0</v>
      </c>
      <c r="AX480" s="141">
        <f t="shared" si="517"/>
        <v>1</v>
      </c>
      <c r="AY480" s="141">
        <f t="shared" si="518"/>
        <v>0</v>
      </c>
      <c r="AZ480">
        <f t="shared" si="519"/>
        <v>0</v>
      </c>
      <c r="BA480">
        <f t="shared" si="520"/>
        <v>0</v>
      </c>
      <c r="BB480">
        <f t="shared" si="521"/>
        <v>0</v>
      </c>
      <c r="BC480">
        <f t="shared" si="522"/>
        <v>1</v>
      </c>
      <c r="BD480">
        <f t="shared" si="523"/>
        <v>0</v>
      </c>
      <c r="BE480" t="str" cm="1">
        <f t="array" ref="BE480">IF(AY480=1,INDEX($V$7:$AL$7,MATCH(TRUE,INDEX($V480:$AW480&lt;&gt;0,),0)),IF(AY480=0,INDEX($AM$7:$AW$7,MATCH(1,$AM480:$AW480,0)),IF(BF480="Multiple strategies","mixed drivers",IF(BF480="Supply chain","multiple supply","multiple silviculture"))))</f>
        <v>gdp, population</v>
      </c>
      <c r="BF480" s="2" t="str" cm="1">
        <f t="array" ref="BF480">IF(COUNTIF(AZ480:BB480,"&lt;&gt;0")=1,INDEX($V$4:$AW$4,MATCH(TRUE,INDEX($V480:$AW480&lt;&gt;0,),0)),IF(COUNTIF(AZ480:BB480,"&lt;&gt;0")=0,INDEX($AM$4:$AW$4,MATCH(1,$AM480:$AW480,0)),"Multiple strategies"))</f>
        <v>Demand</v>
      </c>
      <c r="BG480" s="1" t="s">
        <v>321</v>
      </c>
      <c r="BH480" t="s">
        <v>1296</v>
      </c>
      <c r="BJ480" t="s">
        <v>1213</v>
      </c>
      <c r="BK480">
        <v>58.277999999999999</v>
      </c>
      <c r="BL480">
        <f>BK480</f>
        <v>58.277999999999999</v>
      </c>
      <c r="BM480">
        <f>BL480/BK480</f>
        <v>1</v>
      </c>
      <c r="BN480">
        <f t="shared" si="524"/>
        <v>0</v>
      </c>
      <c r="BO480">
        <f t="shared" si="525"/>
        <v>0</v>
      </c>
      <c r="BP480" t="s">
        <v>232</v>
      </c>
      <c r="BR480" t="s">
        <v>1229</v>
      </c>
      <c r="BS480">
        <v>86.4</v>
      </c>
      <c r="BT480">
        <f>BS480*(1+0.12/100)</f>
        <v>86.503680000000017</v>
      </c>
      <c r="BU480" s="144">
        <f t="shared" si="526"/>
        <v>1.0012000000000001</v>
      </c>
      <c r="BV480">
        <f t="shared" si="527"/>
        <v>0.10368000000001132</v>
      </c>
      <c r="BX480">
        <f t="shared" si="528"/>
        <v>103680.00000001132</v>
      </c>
      <c r="BY480" t="str">
        <f t="shared" si="468"/>
        <v/>
      </c>
      <c r="BZ480">
        <v>0</v>
      </c>
      <c r="CA480">
        <v>0</v>
      </c>
      <c r="CB480">
        <v>0</v>
      </c>
      <c r="CC480">
        <v>0</v>
      </c>
      <c r="CD480">
        <v>0</v>
      </c>
      <c r="CE480">
        <v>0</v>
      </c>
      <c r="CF480">
        <v>0</v>
      </c>
      <c r="CG480">
        <v>0</v>
      </c>
      <c r="CH480">
        <v>0</v>
      </c>
      <c r="CI480">
        <v>0</v>
      </c>
      <c r="CJ480">
        <v>0</v>
      </c>
      <c r="CK480">
        <v>0</v>
      </c>
      <c r="CL480">
        <v>0</v>
      </c>
      <c r="CM480">
        <v>1</v>
      </c>
      <c r="CN480" t="str">
        <f t="shared" si="529"/>
        <v>refOK</v>
      </c>
      <c r="CO480">
        <f t="shared" si="530"/>
        <v>58.277999999999999</v>
      </c>
      <c r="CP480">
        <f t="shared" si="531"/>
        <v>58.277999999999999</v>
      </c>
      <c r="CQ480">
        <f t="shared" si="532"/>
        <v>0</v>
      </c>
      <c r="CR480">
        <f t="shared" si="533"/>
        <v>86.4</v>
      </c>
      <c r="CS480">
        <f t="shared" si="534"/>
        <v>86.503680000000017</v>
      </c>
      <c r="CT480">
        <f t="shared" si="535"/>
        <v>103680.00000001132</v>
      </c>
      <c r="CU480" t="str">
        <f t="shared" si="536"/>
        <v/>
      </c>
      <c r="CV480" s="2">
        <f t="shared" si="537"/>
        <v>1.2000000000001309E-3</v>
      </c>
      <c r="CW480" s="1" t="s">
        <v>1202</v>
      </c>
      <c r="CX480" s="264" t="str">
        <f t="shared" si="538"/>
        <v>reg</v>
      </c>
      <c r="CY480" t="s">
        <v>729</v>
      </c>
      <c r="CZ480">
        <v>2015</v>
      </c>
      <c r="DA480">
        <v>2100</v>
      </c>
      <c r="DB480">
        <f t="shared" si="539"/>
        <v>85</v>
      </c>
      <c r="DC480" t="str">
        <f t="shared" si="540"/>
        <v>71-100</v>
      </c>
      <c r="DD480">
        <v>0</v>
      </c>
      <c r="DE480">
        <v>1</v>
      </c>
      <c r="DF480">
        <v>1</v>
      </c>
      <c r="DG480">
        <v>1</v>
      </c>
      <c r="DI480">
        <f t="shared" si="541"/>
        <v>3</v>
      </c>
      <c r="DJ480" t="str">
        <f t="shared" si="542"/>
        <v>mixedProduct</v>
      </c>
      <c r="DK480">
        <f t="shared" si="543"/>
        <v>0</v>
      </c>
      <c r="DL480" t="str">
        <f t="shared" si="544"/>
        <v>Energy</v>
      </c>
      <c r="DM480" t="str">
        <f t="shared" si="545"/>
        <v>Pulp/Paper</v>
      </c>
      <c r="DN480" t="str">
        <f t="shared" si="546"/>
        <v>Timber</v>
      </c>
      <c r="DO480">
        <v>0</v>
      </c>
      <c r="DP480">
        <v>1</v>
      </c>
      <c r="DQ480" t="s">
        <v>1388</v>
      </c>
      <c r="DR480" t="s">
        <v>1388</v>
      </c>
      <c r="DS480" t="s">
        <v>1388</v>
      </c>
      <c r="DT480">
        <f t="shared" si="547"/>
        <v>1</v>
      </c>
      <c r="DU480" s="143" t="str">
        <f t="shared" si="548"/>
        <v>external DF used</v>
      </c>
      <c r="DV480">
        <v>0</v>
      </c>
      <c r="DW480">
        <v>1</v>
      </c>
      <c r="DX480">
        <v>1</v>
      </c>
      <c r="DY480">
        <v>1</v>
      </c>
      <c r="DZ480">
        <v>0</v>
      </c>
      <c r="EA480">
        <v>1</v>
      </c>
      <c r="EB480">
        <v>1</v>
      </c>
      <c r="EC480">
        <v>1</v>
      </c>
      <c r="ED480">
        <v>0</v>
      </c>
      <c r="EE480">
        <v>0</v>
      </c>
      <c r="EF480">
        <v>1</v>
      </c>
      <c r="EG480">
        <v>0</v>
      </c>
      <c r="EH480">
        <v>1</v>
      </c>
      <c r="EI480" s="2">
        <v>1</v>
      </c>
      <c r="EK480" t="str">
        <f t="shared" si="549"/>
        <v>Whole sector</v>
      </c>
      <c r="EL480" t="str">
        <f t="shared" si="550"/>
        <v/>
      </c>
      <c r="EM480" s="2" t="str">
        <f t="shared" si="469"/>
        <v/>
      </c>
      <c r="EP480" t="b">
        <f>IF(ISNUMBER(BU480),IF(ABS(BU480-[4]QC_indicators!$B$2)&gt;3*[4]QC_indicators!$C$2,"C ratio",IF(ISNUMBER(BY480),IF(ABS(BY480-[4]QC_indicators!$B$1)&gt;3*[4]QC_indicators!$C$1,"DF","no"))),IF(ISNUMBER(BY480),IF(ABS(BY480-[4]QC_indicators!$B$1)&gt;3*[4]QC_indicators!$C$1,"DF","no")))</f>
        <v>0</v>
      </c>
      <c r="ET480" s="264" t="s">
        <v>3406</v>
      </c>
    </row>
    <row r="481" spans="1:150" ht="15" hidden="1" customHeight="1">
      <c r="A481" s="1" t="s">
        <v>614</v>
      </c>
      <c r="B481" t="s">
        <v>615</v>
      </c>
      <c r="C481" t="s">
        <v>616</v>
      </c>
      <c r="D481" t="s">
        <v>617</v>
      </c>
      <c r="E481" t="s">
        <v>618</v>
      </c>
      <c r="F481" t="s">
        <v>619</v>
      </c>
      <c r="G481" t="s">
        <v>620</v>
      </c>
      <c r="H481" t="s">
        <v>254</v>
      </c>
      <c r="I481">
        <v>2020</v>
      </c>
      <c r="J481">
        <v>3</v>
      </c>
      <c r="K481" t="s">
        <v>621</v>
      </c>
      <c r="M481" t="str">
        <f t="shared" si="510"/>
        <v>Demertzi_2020</v>
      </c>
      <c r="N481" t="s">
        <v>222</v>
      </c>
      <c r="O481" s="145" t="s">
        <v>223</v>
      </c>
      <c r="Q481" t="s">
        <v>256</v>
      </c>
      <c r="R481" s="2" t="s">
        <v>274</v>
      </c>
      <c r="S481" s="1" t="s">
        <v>622</v>
      </c>
      <c r="T481" t="s">
        <v>623</v>
      </c>
      <c r="U481" t="s">
        <v>624</v>
      </c>
      <c r="V481">
        <v>0</v>
      </c>
      <c r="W481">
        <v>0</v>
      </c>
      <c r="X481">
        <v>0</v>
      </c>
      <c r="Y481">
        <v>0</v>
      </c>
      <c r="Z481">
        <v>0</v>
      </c>
      <c r="AA481">
        <v>0</v>
      </c>
      <c r="AB481">
        <v>0</v>
      </c>
      <c r="AC481">
        <v>0</v>
      </c>
      <c r="AD481">
        <v>0</v>
      </c>
      <c r="AE481">
        <v>0</v>
      </c>
      <c r="AF481">
        <v>0</v>
      </c>
      <c r="AG481">
        <v>0</v>
      </c>
      <c r="AH481">
        <v>0</v>
      </c>
      <c r="AI481">
        <v>0</v>
      </c>
      <c r="AJ481">
        <v>0</v>
      </c>
      <c r="AK481">
        <v>1</v>
      </c>
      <c r="AL481">
        <v>0</v>
      </c>
      <c r="AM481">
        <v>0</v>
      </c>
      <c r="AN481">
        <v>0</v>
      </c>
      <c r="AO481">
        <v>0</v>
      </c>
      <c r="AP481">
        <v>0</v>
      </c>
      <c r="AQ481">
        <v>0</v>
      </c>
      <c r="AR481">
        <v>0</v>
      </c>
      <c r="AS481">
        <v>0</v>
      </c>
      <c r="AT481">
        <v>0</v>
      </c>
      <c r="AU481">
        <v>0</v>
      </c>
      <c r="AV481">
        <v>0</v>
      </c>
      <c r="AW481">
        <v>0</v>
      </c>
      <c r="AX481" s="141">
        <f t="shared" si="517"/>
        <v>1</v>
      </c>
      <c r="AY481" s="141">
        <f t="shared" si="518"/>
        <v>1</v>
      </c>
      <c r="AZ481">
        <f t="shared" si="519"/>
        <v>0</v>
      </c>
      <c r="BA481">
        <f t="shared" si="520"/>
        <v>0</v>
      </c>
      <c r="BB481">
        <f t="shared" si="521"/>
        <v>1</v>
      </c>
      <c r="BC481">
        <f t="shared" si="522"/>
        <v>0</v>
      </c>
      <c r="BD481">
        <f t="shared" si="523"/>
        <v>0</v>
      </c>
      <c r="BE481" t="str">
        <f t="array" ref="BE481">IF(AY481=1,INDEX($V$7:$AL$7,MATCH(TRUE,INDEX($V481:$AW481&lt;&gt;0,),0)),IF(AY481=0,INDEX($AM$7:$AW$7,MATCH(1,$AM481:$AW481,0)),IF(BF481="Multiple strategies","mixed drivers",IF(BF481="Supply chain","multiple supply","multiple silviculture"))))</f>
        <v>technologies/design switch</v>
      </c>
      <c r="BF481" s="2" t="str" cm="1">
        <f t="array" ref="BF481">IF(COUNTIF(AZ481:BB481,"&lt;&gt;0")=1,INDEX($V$4:$AW$4,MATCH(TRUE,INDEX($V481:$AW481&lt;&gt;0,),0)),IF(COUNTIF(AZ481:BB481,"&lt;&gt;0")=0,INDEX($AM$4:$AW$4,MATCH(1,$AM481:$AW481,0)),"Multiple strategies"))</f>
        <v>Technology</v>
      </c>
      <c r="BG481" s="1" t="s">
        <v>229</v>
      </c>
      <c r="BH481" t="s">
        <v>625</v>
      </c>
      <c r="BJ481" t="s">
        <v>261</v>
      </c>
      <c r="BK481">
        <v>0</v>
      </c>
      <c r="BL481">
        <v>54</v>
      </c>
      <c r="BN481">
        <f t="shared" si="524"/>
        <v>54</v>
      </c>
      <c r="BO481">
        <f>BN481*kg_to_m3</f>
        <v>0.11020408163265308</v>
      </c>
      <c r="BP481" t="s">
        <v>232</v>
      </c>
      <c r="BR481" t="s">
        <v>397</v>
      </c>
      <c r="BS481">
        <v>-71.7</v>
      </c>
      <c r="BT481">
        <v>-1.36</v>
      </c>
      <c r="BU481" s="144">
        <v>1.8967921896792191E-2</v>
      </c>
      <c r="BV481">
        <v>70.34</v>
      </c>
      <c r="BX481">
        <f t="shared" ref="BX481:BX498" si="551">BV481/1000</f>
        <v>7.034E-2</v>
      </c>
      <c r="BY481">
        <f t="shared" si="468"/>
        <v>0.63827037037037027</v>
      </c>
      <c r="BZ481">
        <v>1</v>
      </c>
      <c r="CA481">
        <v>0</v>
      </c>
      <c r="CB481">
        <v>0</v>
      </c>
      <c r="CC481">
        <v>0</v>
      </c>
      <c r="CD481">
        <v>0</v>
      </c>
      <c r="CE481">
        <v>0</v>
      </c>
      <c r="CF481">
        <v>0</v>
      </c>
      <c r="CG481">
        <v>0</v>
      </c>
      <c r="CH481">
        <v>0</v>
      </c>
      <c r="CI481">
        <v>0</v>
      </c>
      <c r="CJ481">
        <v>0</v>
      </c>
      <c r="CK481">
        <v>0</v>
      </c>
      <c r="CL481">
        <v>0</v>
      </c>
      <c r="CM481">
        <v>0</v>
      </c>
      <c r="CN481" t="str">
        <f t="shared" si="529"/>
        <v>refOK</v>
      </c>
      <c r="CO481">
        <f t="shared" si="530"/>
        <v>0</v>
      </c>
      <c r="CP481">
        <f t="shared" si="531"/>
        <v>54</v>
      </c>
      <c r="CQ481">
        <f t="shared" si="532"/>
        <v>0.11020408163265308</v>
      </c>
      <c r="CR481">
        <f t="shared" si="533"/>
        <v>-71.7</v>
      </c>
      <c r="CS481">
        <f t="shared" si="534"/>
        <v>-1.36</v>
      </c>
      <c r="CT481">
        <f t="shared" si="535"/>
        <v>7.034E-2</v>
      </c>
      <c r="CU481">
        <f t="shared" si="536"/>
        <v>0.63827037037037027</v>
      </c>
      <c r="CV481" s="2">
        <f t="shared" si="537"/>
        <v>0.98103207810320781</v>
      </c>
      <c r="CW481" s="1" t="s">
        <v>263</v>
      </c>
      <c r="CX481" t="str">
        <f t="shared" si="538"/>
        <v>loc</v>
      </c>
      <c r="CY481" t="s">
        <v>626</v>
      </c>
      <c r="DB481">
        <v>0</v>
      </c>
      <c r="DC481" t="str">
        <f t="shared" si="540"/>
        <v>0</v>
      </c>
      <c r="DD481">
        <v>0</v>
      </c>
      <c r="DE481">
        <v>0</v>
      </c>
      <c r="DF481">
        <v>0</v>
      </c>
      <c r="DG481">
        <v>1</v>
      </c>
      <c r="DI481">
        <f t="shared" si="541"/>
        <v>1</v>
      </c>
      <c r="DJ481" t="str">
        <f t="shared" si="542"/>
        <v>TimberInput</v>
      </c>
      <c r="DK481">
        <f t="shared" si="543"/>
        <v>0</v>
      </c>
      <c r="DL481">
        <f t="shared" si="544"/>
        <v>0</v>
      </c>
      <c r="DM481">
        <f t="shared" si="545"/>
        <v>0</v>
      </c>
      <c r="DN481" t="str">
        <f t="shared" si="546"/>
        <v>Timber</v>
      </c>
      <c r="DO481">
        <v>0</v>
      </c>
      <c r="DP481">
        <v>0</v>
      </c>
      <c r="DQ481">
        <v>0</v>
      </c>
      <c r="DR481">
        <v>0</v>
      </c>
      <c r="DS481">
        <v>0</v>
      </c>
      <c r="DT481">
        <f t="shared" si="547"/>
        <v>0</v>
      </c>
      <c r="DU481" s="143" t="str">
        <f t="shared" si="548"/>
        <v>explicit C balance</v>
      </c>
      <c r="DV481">
        <v>0</v>
      </c>
      <c r="DW481">
        <v>0</v>
      </c>
      <c r="DX481">
        <v>0</v>
      </c>
      <c r="DY481">
        <v>0</v>
      </c>
      <c r="DZ481">
        <v>0</v>
      </c>
      <c r="EA481" s="143">
        <v>0</v>
      </c>
      <c r="EB481">
        <v>0</v>
      </c>
      <c r="EC481">
        <v>1</v>
      </c>
      <c r="ED481">
        <v>0</v>
      </c>
      <c r="EE481">
        <v>0</v>
      </c>
      <c r="EF481">
        <v>0</v>
      </c>
      <c r="EG481">
        <v>0</v>
      </c>
      <c r="EH481">
        <v>0</v>
      </c>
      <c r="EI481" s="2">
        <v>0</v>
      </c>
      <c r="EK481" t="str">
        <f t="shared" si="549"/>
        <v/>
      </c>
      <c r="EL481" t="str">
        <f t="shared" si="550"/>
        <v/>
      </c>
      <c r="EM481" s="2" t="str">
        <f t="shared" si="469"/>
        <v/>
      </c>
      <c r="EP481" t="str">
        <f>IF(ISNUMBER(BU481),IF(ABS(BU481-[2]QC_indicators!$B$2)&gt;3*[2]QC_indicators!$C$2,"C ratio",IF(ISNUMBER(BY481),IF(ABS(BY481-[2]QC_indicators!$B$1)&gt;3*[2]QC_indicators!$C$1,"DF","no"))),IF(ISNUMBER(BY481),IF(ABS(BY481-[2]QC_indicators!$B$1)&gt;3*[2]QC_indicators!$C$1,"DF","no")))</f>
        <v>no</v>
      </c>
      <c r="ER481" s="149" t="s">
        <v>349</v>
      </c>
      <c r="ET481" s="264" t="s">
        <v>3150</v>
      </c>
    </row>
    <row r="482" spans="1:150" ht="15" hidden="1" customHeight="1">
      <c r="A482" s="1" t="s">
        <v>614</v>
      </c>
      <c r="B482" t="s">
        <v>615</v>
      </c>
      <c r="C482" t="s">
        <v>616</v>
      </c>
      <c r="D482" t="s">
        <v>617</v>
      </c>
      <c r="E482" t="s">
        <v>618</v>
      </c>
      <c r="F482" t="s">
        <v>619</v>
      </c>
      <c r="G482" t="s">
        <v>620</v>
      </c>
      <c r="H482" t="s">
        <v>254</v>
      </c>
      <c r="I482">
        <v>2020</v>
      </c>
      <c r="J482">
        <v>3</v>
      </c>
      <c r="K482" t="s">
        <v>621</v>
      </c>
      <c r="M482" t="str">
        <f t="shared" si="510"/>
        <v>Demertzi_2020</v>
      </c>
      <c r="N482" t="s">
        <v>222</v>
      </c>
      <c r="O482" s="145" t="s">
        <v>223</v>
      </c>
      <c r="Q482" t="s">
        <v>256</v>
      </c>
      <c r="R482" s="2" t="s">
        <v>274</v>
      </c>
      <c r="S482" s="1" t="s">
        <v>622</v>
      </c>
      <c r="T482" t="s">
        <v>627</v>
      </c>
      <c r="U482" t="s">
        <v>624</v>
      </c>
      <c r="V482">
        <v>0</v>
      </c>
      <c r="W482">
        <v>0</v>
      </c>
      <c r="X482">
        <v>0</v>
      </c>
      <c r="Y482">
        <v>0</v>
      </c>
      <c r="Z482">
        <v>0</v>
      </c>
      <c r="AA482">
        <v>0</v>
      </c>
      <c r="AB482">
        <v>0</v>
      </c>
      <c r="AC482">
        <v>0</v>
      </c>
      <c r="AD482">
        <v>0</v>
      </c>
      <c r="AE482">
        <v>0</v>
      </c>
      <c r="AF482">
        <v>0</v>
      </c>
      <c r="AG482">
        <v>0</v>
      </c>
      <c r="AH482">
        <v>0</v>
      </c>
      <c r="AI482">
        <v>0</v>
      </c>
      <c r="AJ482">
        <v>0</v>
      </c>
      <c r="AK482">
        <v>1</v>
      </c>
      <c r="AL482">
        <v>0</v>
      </c>
      <c r="AM482">
        <v>0</v>
      </c>
      <c r="AN482">
        <v>0</v>
      </c>
      <c r="AO482">
        <v>0</v>
      </c>
      <c r="AP482">
        <v>0</v>
      </c>
      <c r="AQ482">
        <v>0</v>
      </c>
      <c r="AR482">
        <v>0</v>
      </c>
      <c r="AS482">
        <v>0</v>
      </c>
      <c r="AT482">
        <v>0</v>
      </c>
      <c r="AU482">
        <v>0</v>
      </c>
      <c r="AV482">
        <v>0</v>
      </c>
      <c r="AW482">
        <v>0</v>
      </c>
      <c r="AX482" s="141">
        <f t="shared" si="517"/>
        <v>1</v>
      </c>
      <c r="AY482" s="141">
        <f t="shared" si="518"/>
        <v>1</v>
      </c>
      <c r="AZ482">
        <f t="shared" si="519"/>
        <v>0</v>
      </c>
      <c r="BA482">
        <f t="shared" si="520"/>
        <v>0</v>
      </c>
      <c r="BB482">
        <f t="shared" si="521"/>
        <v>1</v>
      </c>
      <c r="BC482">
        <f t="shared" si="522"/>
        <v>0</v>
      </c>
      <c r="BD482">
        <f t="shared" si="523"/>
        <v>0</v>
      </c>
      <c r="BE482" t="str">
        <f t="array" ref="BE482">IF(AY482=1,INDEX($V$7:$AL$7,MATCH(TRUE,INDEX($V482:$AW482&lt;&gt;0,),0)),IF(AY482=0,INDEX($AM$7:$AW$7,MATCH(1,$AM482:$AW482,0)),IF(BF482="Multiple strategies","mixed drivers",IF(BF482="Supply chain","multiple supply","multiple silviculture"))))</f>
        <v>technologies/design switch</v>
      </c>
      <c r="BF482" s="2" t="str" cm="1">
        <f t="array" ref="BF482">IF(COUNTIF(AZ482:BB482,"&lt;&gt;0")=1,INDEX($V$4:$AW$4,MATCH(TRUE,INDEX($V482:$AW482&lt;&gt;0,),0)),IF(COUNTIF(AZ482:BB482,"&lt;&gt;0")=0,INDEX($AM$4:$AW$4,MATCH(1,$AM482:$AW482,0)),"Multiple strategies"))</f>
        <v>Technology</v>
      </c>
      <c r="BG482" s="1" t="s">
        <v>229</v>
      </c>
      <c r="BH482" t="s">
        <v>625</v>
      </c>
      <c r="BJ482" t="s">
        <v>261</v>
      </c>
      <c r="BK482">
        <v>0</v>
      </c>
      <c r="BL482">
        <v>54</v>
      </c>
      <c r="BN482">
        <f t="shared" si="524"/>
        <v>54</v>
      </c>
      <c r="BO482">
        <f>BN482*kg_to_m3</f>
        <v>0.11020408163265308</v>
      </c>
      <c r="BP482" t="s">
        <v>232</v>
      </c>
      <c r="BR482" t="s">
        <v>397</v>
      </c>
      <c r="BS482">
        <v>-190</v>
      </c>
      <c r="BT482">
        <v>-1.36</v>
      </c>
      <c r="BU482" s="144">
        <v>7.1578947368421061E-3</v>
      </c>
      <c r="BV482">
        <v>188.64</v>
      </c>
      <c r="BX482">
        <f t="shared" si="551"/>
        <v>0.18863999999999997</v>
      </c>
      <c r="BY482">
        <f t="shared" si="468"/>
        <v>1.7117333333333329</v>
      </c>
      <c r="BZ482">
        <v>1</v>
      </c>
      <c r="CA482">
        <v>0</v>
      </c>
      <c r="CB482">
        <v>0</v>
      </c>
      <c r="CC482">
        <v>0</v>
      </c>
      <c r="CD482">
        <v>0</v>
      </c>
      <c r="CE482">
        <v>0</v>
      </c>
      <c r="CF482">
        <v>0</v>
      </c>
      <c r="CG482">
        <v>0</v>
      </c>
      <c r="CH482">
        <v>0</v>
      </c>
      <c r="CI482">
        <v>0</v>
      </c>
      <c r="CJ482">
        <v>0</v>
      </c>
      <c r="CK482">
        <v>0</v>
      </c>
      <c r="CL482">
        <v>0</v>
      </c>
      <c r="CM482">
        <v>0</v>
      </c>
      <c r="CN482" t="str">
        <f t="shared" si="529"/>
        <v>refOK</v>
      </c>
      <c r="CO482">
        <f t="shared" si="530"/>
        <v>0</v>
      </c>
      <c r="CP482">
        <f t="shared" si="531"/>
        <v>54</v>
      </c>
      <c r="CQ482">
        <f t="shared" si="532"/>
        <v>0.11020408163265308</v>
      </c>
      <c r="CR482">
        <f t="shared" si="533"/>
        <v>-190</v>
      </c>
      <c r="CS482">
        <f t="shared" si="534"/>
        <v>-1.36</v>
      </c>
      <c r="CT482">
        <f t="shared" si="535"/>
        <v>0.18863999999999997</v>
      </c>
      <c r="CU482">
        <f t="shared" si="536"/>
        <v>1.7117333333333329</v>
      </c>
      <c r="CV482" s="2">
        <f t="shared" si="537"/>
        <v>0.99284210526315786</v>
      </c>
      <c r="CW482" s="1" t="s">
        <v>263</v>
      </c>
      <c r="CX482" t="str">
        <f t="shared" si="538"/>
        <v>loc</v>
      </c>
      <c r="CY482" t="s">
        <v>626</v>
      </c>
      <c r="DB482">
        <v>0</v>
      </c>
      <c r="DC482" t="str">
        <f t="shared" si="540"/>
        <v>0</v>
      </c>
      <c r="DD482">
        <v>0</v>
      </c>
      <c r="DE482">
        <v>0</v>
      </c>
      <c r="DF482">
        <v>0</v>
      </c>
      <c r="DG482">
        <v>1</v>
      </c>
      <c r="DI482">
        <f t="shared" si="541"/>
        <v>1</v>
      </c>
      <c r="DJ482" t="str">
        <f t="shared" si="542"/>
        <v>TimberInput</v>
      </c>
      <c r="DK482">
        <f t="shared" si="543"/>
        <v>0</v>
      </c>
      <c r="DL482">
        <f t="shared" si="544"/>
        <v>0</v>
      </c>
      <c r="DM482">
        <f t="shared" si="545"/>
        <v>0</v>
      </c>
      <c r="DN482" t="str">
        <f t="shared" si="546"/>
        <v>Timber</v>
      </c>
      <c r="DO482">
        <v>0</v>
      </c>
      <c r="DP482">
        <v>0</v>
      </c>
      <c r="DQ482">
        <v>0</v>
      </c>
      <c r="DR482">
        <v>0</v>
      </c>
      <c r="DS482">
        <v>0</v>
      </c>
      <c r="DT482">
        <f t="shared" si="547"/>
        <v>0</v>
      </c>
      <c r="DU482" s="143" t="str">
        <f t="shared" si="548"/>
        <v>explicit C balance</v>
      </c>
      <c r="DV482">
        <v>0</v>
      </c>
      <c r="DW482">
        <v>0</v>
      </c>
      <c r="DX482">
        <v>0</v>
      </c>
      <c r="DY482">
        <v>0</v>
      </c>
      <c r="DZ482">
        <v>0</v>
      </c>
      <c r="EA482" s="143">
        <v>0</v>
      </c>
      <c r="EB482">
        <v>0</v>
      </c>
      <c r="EC482">
        <v>1</v>
      </c>
      <c r="ED482">
        <v>0</v>
      </c>
      <c r="EE482">
        <v>0</v>
      </c>
      <c r="EF482">
        <v>0</v>
      </c>
      <c r="EG482">
        <v>0</v>
      </c>
      <c r="EH482">
        <v>0</v>
      </c>
      <c r="EI482" s="2">
        <v>0</v>
      </c>
      <c r="EK482" t="str">
        <f t="shared" si="549"/>
        <v/>
      </c>
      <c r="EL482" t="str">
        <f t="shared" si="550"/>
        <v/>
      </c>
      <c r="EM482" s="2" t="str">
        <f t="shared" si="469"/>
        <v/>
      </c>
      <c r="EP482" t="str">
        <f>IF(ISNUMBER(BU482),IF(ABS(BU482-[2]QC_indicators!$B$2)&gt;3*[2]QC_indicators!$C$2,"C ratio",IF(ISNUMBER(BY482),IF(ABS(BY482-[2]QC_indicators!$B$1)&gt;3*[2]QC_indicators!$C$1,"DF","no"))),IF(ISNUMBER(BY482),IF(ABS(BY482-[2]QC_indicators!$B$1)&gt;3*[2]QC_indicators!$C$1,"DF","no")))</f>
        <v>no</v>
      </c>
      <c r="ER482" s="149" t="s">
        <v>349</v>
      </c>
      <c r="ET482" s="264" t="s">
        <v>3150</v>
      </c>
    </row>
    <row r="483" spans="1:150" ht="15" hidden="1" customHeight="1">
      <c r="A483" s="1" t="s">
        <v>614</v>
      </c>
      <c r="B483" t="s">
        <v>615</v>
      </c>
      <c r="C483" t="s">
        <v>616</v>
      </c>
      <c r="D483" t="s">
        <v>617</v>
      </c>
      <c r="E483" t="s">
        <v>618</v>
      </c>
      <c r="F483" t="s">
        <v>619</v>
      </c>
      <c r="G483" t="s">
        <v>620</v>
      </c>
      <c r="H483" t="s">
        <v>254</v>
      </c>
      <c r="I483">
        <v>2020</v>
      </c>
      <c r="J483">
        <v>3</v>
      </c>
      <c r="K483" t="s">
        <v>621</v>
      </c>
      <c r="M483" t="str">
        <f t="shared" si="510"/>
        <v>Demertzi_2020</v>
      </c>
      <c r="N483" t="s">
        <v>222</v>
      </c>
      <c r="O483" s="145" t="s">
        <v>223</v>
      </c>
      <c r="Q483" t="s">
        <v>256</v>
      </c>
      <c r="R483" s="2" t="s">
        <v>274</v>
      </c>
      <c r="S483" s="1" t="s">
        <v>622</v>
      </c>
      <c r="T483" t="s">
        <v>628</v>
      </c>
      <c r="U483" t="s">
        <v>624</v>
      </c>
      <c r="V483">
        <v>0</v>
      </c>
      <c r="W483">
        <v>0</v>
      </c>
      <c r="X483">
        <v>0</v>
      </c>
      <c r="Y483">
        <v>0</v>
      </c>
      <c r="Z483">
        <v>0</v>
      </c>
      <c r="AA483">
        <v>0</v>
      </c>
      <c r="AB483">
        <v>0</v>
      </c>
      <c r="AC483">
        <v>0</v>
      </c>
      <c r="AD483">
        <v>0</v>
      </c>
      <c r="AE483">
        <v>0</v>
      </c>
      <c r="AF483">
        <v>0</v>
      </c>
      <c r="AG483">
        <v>0</v>
      </c>
      <c r="AH483">
        <v>0</v>
      </c>
      <c r="AI483">
        <v>0</v>
      </c>
      <c r="AJ483">
        <v>0</v>
      </c>
      <c r="AK483">
        <v>1</v>
      </c>
      <c r="AL483">
        <v>0</v>
      </c>
      <c r="AM483">
        <v>0</v>
      </c>
      <c r="AN483">
        <v>0</v>
      </c>
      <c r="AO483">
        <v>0</v>
      </c>
      <c r="AP483">
        <v>0</v>
      </c>
      <c r="AQ483">
        <v>0</v>
      </c>
      <c r="AR483">
        <v>0</v>
      </c>
      <c r="AS483">
        <v>0</v>
      </c>
      <c r="AT483">
        <v>0</v>
      </c>
      <c r="AU483">
        <v>0</v>
      </c>
      <c r="AV483">
        <v>0</v>
      </c>
      <c r="AW483">
        <v>0</v>
      </c>
      <c r="AX483" s="141">
        <f t="shared" si="517"/>
        <v>1</v>
      </c>
      <c r="AY483" s="141">
        <f t="shared" si="518"/>
        <v>1</v>
      </c>
      <c r="AZ483">
        <f t="shared" si="519"/>
        <v>0</v>
      </c>
      <c r="BA483">
        <f t="shared" si="520"/>
        <v>0</v>
      </c>
      <c r="BB483">
        <f t="shared" si="521"/>
        <v>1</v>
      </c>
      <c r="BC483">
        <f t="shared" si="522"/>
        <v>0</v>
      </c>
      <c r="BD483">
        <f t="shared" si="523"/>
        <v>0</v>
      </c>
      <c r="BE483" t="str">
        <f t="array" ref="BE483">IF(AY483=1,INDEX($V$7:$AL$7,MATCH(TRUE,INDEX($V483:$AW483&lt;&gt;0,),0)),IF(AY483=0,INDEX($AM$7:$AW$7,MATCH(1,$AM483:$AW483,0)),IF(BF483="Multiple strategies","mixed drivers",IF(BF483="Supply chain","multiple supply","multiple silviculture"))))</f>
        <v>technologies/design switch</v>
      </c>
      <c r="BF483" s="2" t="str" cm="1">
        <f t="array" ref="BF483">IF(COUNTIF(AZ483:BB483,"&lt;&gt;0")=1,INDEX($V$4:$AW$4,MATCH(TRUE,INDEX($V483:$AW483&lt;&gt;0,),0)),IF(COUNTIF(AZ483:BB483,"&lt;&gt;0")=0,INDEX($AM$4:$AW$4,MATCH(1,$AM483:$AW483,0)),"Multiple strategies"))</f>
        <v>Technology</v>
      </c>
      <c r="BG483" s="1" t="s">
        <v>229</v>
      </c>
      <c r="BH483" t="s">
        <v>625</v>
      </c>
      <c r="BJ483" t="s">
        <v>261</v>
      </c>
      <c r="BK483">
        <v>0</v>
      </c>
      <c r="BL483">
        <v>54</v>
      </c>
      <c r="BN483">
        <f t="shared" si="524"/>
        <v>54</v>
      </c>
      <c r="BO483">
        <f>BN483*kg_to_m3</f>
        <v>0.11020408163265308</v>
      </c>
      <c r="BP483" t="s">
        <v>232</v>
      </c>
      <c r="BR483" t="s">
        <v>397</v>
      </c>
      <c r="BS483">
        <v>-229</v>
      </c>
      <c r="BT483">
        <v>-1.36</v>
      </c>
      <c r="BU483" s="144">
        <v>5.9388646288209609E-3</v>
      </c>
      <c r="BV483">
        <v>227.64</v>
      </c>
      <c r="BX483">
        <f t="shared" si="551"/>
        <v>0.22763999999999998</v>
      </c>
      <c r="BY483">
        <f t="shared" si="468"/>
        <v>2.0656222222222218</v>
      </c>
      <c r="BZ483">
        <v>1</v>
      </c>
      <c r="CA483">
        <v>0</v>
      </c>
      <c r="CB483">
        <v>0</v>
      </c>
      <c r="CC483">
        <v>0</v>
      </c>
      <c r="CD483">
        <v>0</v>
      </c>
      <c r="CE483">
        <v>0</v>
      </c>
      <c r="CF483">
        <v>0</v>
      </c>
      <c r="CG483">
        <v>0</v>
      </c>
      <c r="CH483">
        <v>0</v>
      </c>
      <c r="CI483">
        <v>0</v>
      </c>
      <c r="CJ483">
        <v>0</v>
      </c>
      <c r="CK483">
        <v>0</v>
      </c>
      <c r="CL483">
        <v>0</v>
      </c>
      <c r="CM483">
        <v>0</v>
      </c>
      <c r="CN483" t="str">
        <f t="shared" si="529"/>
        <v>refOK</v>
      </c>
      <c r="CO483">
        <f t="shared" si="530"/>
        <v>0</v>
      </c>
      <c r="CP483">
        <f t="shared" si="531"/>
        <v>54</v>
      </c>
      <c r="CQ483">
        <f t="shared" si="532"/>
        <v>0.11020408163265308</v>
      </c>
      <c r="CR483">
        <f t="shared" si="533"/>
        <v>-229</v>
      </c>
      <c r="CS483">
        <f t="shared" si="534"/>
        <v>-1.36</v>
      </c>
      <c r="CT483">
        <f t="shared" si="535"/>
        <v>0.22763999999999998</v>
      </c>
      <c r="CU483">
        <f t="shared" si="536"/>
        <v>2.0656222222222218</v>
      </c>
      <c r="CV483" s="2">
        <f t="shared" si="537"/>
        <v>0.99406113537117902</v>
      </c>
      <c r="CW483" s="1" t="s">
        <v>263</v>
      </c>
      <c r="CX483" t="str">
        <f t="shared" si="538"/>
        <v>loc</v>
      </c>
      <c r="CY483" t="s">
        <v>626</v>
      </c>
      <c r="DB483">
        <v>0</v>
      </c>
      <c r="DC483" t="str">
        <f t="shared" si="540"/>
        <v>0</v>
      </c>
      <c r="DD483">
        <v>0</v>
      </c>
      <c r="DE483">
        <v>0</v>
      </c>
      <c r="DF483">
        <v>0</v>
      </c>
      <c r="DG483">
        <v>1</v>
      </c>
      <c r="DI483">
        <f t="shared" si="541"/>
        <v>1</v>
      </c>
      <c r="DJ483" t="str">
        <f t="shared" si="542"/>
        <v>TimberInput</v>
      </c>
      <c r="DK483">
        <f t="shared" si="543"/>
        <v>0</v>
      </c>
      <c r="DL483">
        <f t="shared" si="544"/>
        <v>0</v>
      </c>
      <c r="DM483">
        <f t="shared" si="545"/>
        <v>0</v>
      </c>
      <c r="DN483" t="str">
        <f t="shared" si="546"/>
        <v>Timber</v>
      </c>
      <c r="DO483">
        <v>0</v>
      </c>
      <c r="DP483">
        <v>0</v>
      </c>
      <c r="DQ483">
        <v>0</v>
      </c>
      <c r="DR483">
        <v>0</v>
      </c>
      <c r="DS483">
        <v>0</v>
      </c>
      <c r="DT483">
        <f t="shared" si="547"/>
        <v>0</v>
      </c>
      <c r="DU483" s="143" t="str">
        <f t="shared" si="548"/>
        <v>explicit C balance</v>
      </c>
      <c r="DV483">
        <v>0</v>
      </c>
      <c r="DW483">
        <v>0</v>
      </c>
      <c r="DX483">
        <v>0</v>
      </c>
      <c r="DY483">
        <v>0</v>
      </c>
      <c r="DZ483">
        <v>0</v>
      </c>
      <c r="EA483" s="143">
        <v>0</v>
      </c>
      <c r="EB483">
        <v>0</v>
      </c>
      <c r="EC483">
        <v>1</v>
      </c>
      <c r="ED483">
        <v>0</v>
      </c>
      <c r="EE483">
        <v>0</v>
      </c>
      <c r="EF483">
        <v>0</v>
      </c>
      <c r="EG483">
        <v>0</v>
      </c>
      <c r="EH483">
        <v>0</v>
      </c>
      <c r="EI483" s="2">
        <v>0</v>
      </c>
      <c r="EK483" t="str">
        <f t="shared" si="549"/>
        <v/>
      </c>
      <c r="EL483" t="str">
        <f t="shared" si="550"/>
        <v/>
      </c>
      <c r="EM483" s="2" t="str">
        <f t="shared" si="469"/>
        <v/>
      </c>
      <c r="EP483" t="str">
        <f>IF(ISNUMBER(BU483),IF(ABS(BU483-[2]QC_indicators!$B$2)&gt;3*[2]QC_indicators!$C$2,"C ratio",IF(ISNUMBER(BY483),IF(ABS(BY483-[2]QC_indicators!$B$1)&gt;3*[2]QC_indicators!$C$1,"DF","no"))),IF(ISNUMBER(BY483),IF(ABS(BY483-[2]QC_indicators!$B$1)&gt;3*[2]QC_indicators!$C$1,"DF","no")))</f>
        <v>no</v>
      </c>
      <c r="ER483" s="149" t="s">
        <v>349</v>
      </c>
      <c r="ET483" s="264" t="s">
        <v>3150</v>
      </c>
    </row>
    <row r="484" spans="1:150" ht="15" hidden="1" customHeight="1">
      <c r="A484" s="1" t="s">
        <v>614</v>
      </c>
      <c r="B484" t="s">
        <v>615</v>
      </c>
      <c r="C484" t="s">
        <v>616</v>
      </c>
      <c r="D484" t="s">
        <v>617</v>
      </c>
      <c r="E484" t="s">
        <v>618</v>
      </c>
      <c r="F484" t="s">
        <v>619</v>
      </c>
      <c r="G484" t="s">
        <v>620</v>
      </c>
      <c r="H484" t="s">
        <v>254</v>
      </c>
      <c r="I484">
        <v>2020</v>
      </c>
      <c r="J484">
        <v>3</v>
      </c>
      <c r="K484" t="s">
        <v>621</v>
      </c>
      <c r="M484" t="str">
        <f t="shared" si="510"/>
        <v>Demertzi_2020</v>
      </c>
      <c r="N484" t="s">
        <v>222</v>
      </c>
      <c r="O484" s="145" t="s">
        <v>223</v>
      </c>
      <c r="Q484" t="s">
        <v>256</v>
      </c>
      <c r="R484" s="2" t="s">
        <v>274</v>
      </c>
      <c r="S484" s="1" t="s">
        <v>622</v>
      </c>
      <c r="T484" t="s">
        <v>629</v>
      </c>
      <c r="U484" t="s">
        <v>624</v>
      </c>
      <c r="V484">
        <v>0</v>
      </c>
      <c r="W484">
        <v>0</v>
      </c>
      <c r="X484">
        <v>0</v>
      </c>
      <c r="Y484">
        <v>0</v>
      </c>
      <c r="Z484">
        <v>0</v>
      </c>
      <c r="AA484">
        <v>0</v>
      </c>
      <c r="AB484">
        <v>0</v>
      </c>
      <c r="AC484">
        <v>0</v>
      </c>
      <c r="AD484">
        <v>0</v>
      </c>
      <c r="AE484">
        <v>0</v>
      </c>
      <c r="AF484">
        <v>0</v>
      </c>
      <c r="AG484">
        <v>0</v>
      </c>
      <c r="AH484">
        <v>0</v>
      </c>
      <c r="AI484">
        <v>0</v>
      </c>
      <c r="AJ484">
        <v>0</v>
      </c>
      <c r="AK484">
        <v>1</v>
      </c>
      <c r="AL484">
        <v>0</v>
      </c>
      <c r="AM484">
        <v>0</v>
      </c>
      <c r="AN484">
        <v>0</v>
      </c>
      <c r="AO484">
        <v>0</v>
      </c>
      <c r="AP484">
        <v>0</v>
      </c>
      <c r="AQ484">
        <v>0</v>
      </c>
      <c r="AR484">
        <v>0</v>
      </c>
      <c r="AS484">
        <v>0</v>
      </c>
      <c r="AT484">
        <v>0</v>
      </c>
      <c r="AU484">
        <v>0</v>
      </c>
      <c r="AV484">
        <v>0</v>
      </c>
      <c r="AW484">
        <v>0</v>
      </c>
      <c r="AX484" s="141">
        <f t="shared" si="517"/>
        <v>1</v>
      </c>
      <c r="AY484" s="141">
        <f t="shared" si="518"/>
        <v>1</v>
      </c>
      <c r="AZ484">
        <f t="shared" si="519"/>
        <v>0</v>
      </c>
      <c r="BA484">
        <f t="shared" si="520"/>
        <v>0</v>
      </c>
      <c r="BB484">
        <f t="shared" si="521"/>
        <v>1</v>
      </c>
      <c r="BC484">
        <f t="shared" si="522"/>
        <v>0</v>
      </c>
      <c r="BD484">
        <f t="shared" si="523"/>
        <v>0</v>
      </c>
      <c r="BE484" t="str">
        <f t="array" ref="BE484">IF(AY484=1,INDEX($V$7:$AL$7,MATCH(TRUE,INDEX($V484:$AW484&lt;&gt;0,),0)),IF(AY484=0,INDEX($AM$7:$AW$7,MATCH(1,$AM484:$AW484,0)),IF(BF484="Multiple strategies","mixed drivers",IF(BF484="Supply chain","multiple supply","multiple silviculture"))))</f>
        <v>technologies/design switch</v>
      </c>
      <c r="BF484" s="2" t="str" cm="1">
        <f t="array" ref="BF484">IF(COUNTIF(AZ484:BB484,"&lt;&gt;0")=1,INDEX($V$4:$AW$4,MATCH(TRUE,INDEX($V484:$AW484&lt;&gt;0,),0)),IF(COUNTIF(AZ484:BB484,"&lt;&gt;0")=0,INDEX($AM$4:$AW$4,MATCH(1,$AM484:$AW484,0)),"Multiple strategies"))</f>
        <v>Technology</v>
      </c>
      <c r="BG484" s="1" t="s">
        <v>229</v>
      </c>
      <c r="BH484" t="s">
        <v>625</v>
      </c>
      <c r="BJ484" t="s">
        <v>261</v>
      </c>
      <c r="BK484">
        <v>0</v>
      </c>
      <c r="BL484">
        <v>54</v>
      </c>
      <c r="BN484">
        <f t="shared" si="524"/>
        <v>54</v>
      </c>
      <c r="BO484">
        <f>BN484*kg_to_m3</f>
        <v>0.11020408163265308</v>
      </c>
      <c r="BP484" t="s">
        <v>232</v>
      </c>
      <c r="BR484" t="s">
        <v>397</v>
      </c>
      <c r="BS484">
        <v>-271</v>
      </c>
      <c r="BT484">
        <v>-1.36</v>
      </c>
      <c r="BU484" s="144">
        <v>5.018450184501845E-3</v>
      </c>
      <c r="BV484">
        <v>269.64</v>
      </c>
      <c r="BX484">
        <f t="shared" si="551"/>
        <v>0.26963999999999999</v>
      </c>
      <c r="BY484">
        <f t="shared" si="468"/>
        <v>2.446733333333333</v>
      </c>
      <c r="BZ484">
        <v>1</v>
      </c>
      <c r="CA484">
        <v>0</v>
      </c>
      <c r="CB484">
        <v>0</v>
      </c>
      <c r="CC484">
        <v>0</v>
      </c>
      <c r="CD484">
        <v>0</v>
      </c>
      <c r="CE484">
        <v>0</v>
      </c>
      <c r="CF484">
        <v>0</v>
      </c>
      <c r="CG484">
        <v>0</v>
      </c>
      <c r="CH484">
        <v>0</v>
      </c>
      <c r="CI484">
        <v>0</v>
      </c>
      <c r="CJ484">
        <v>0</v>
      </c>
      <c r="CK484">
        <v>0</v>
      </c>
      <c r="CL484">
        <v>0</v>
      </c>
      <c r="CM484">
        <v>0</v>
      </c>
      <c r="CN484" t="str">
        <f t="shared" si="529"/>
        <v>refOK</v>
      </c>
      <c r="CO484">
        <f t="shared" si="530"/>
        <v>0</v>
      </c>
      <c r="CP484">
        <f t="shared" si="531"/>
        <v>54</v>
      </c>
      <c r="CQ484">
        <f t="shared" si="532"/>
        <v>0.11020408163265308</v>
      </c>
      <c r="CR484">
        <f t="shared" si="533"/>
        <v>-271</v>
      </c>
      <c r="CS484">
        <f t="shared" si="534"/>
        <v>-1.36</v>
      </c>
      <c r="CT484">
        <f t="shared" si="535"/>
        <v>0.26963999999999999</v>
      </c>
      <c r="CU484">
        <f t="shared" si="536"/>
        <v>2.446733333333333</v>
      </c>
      <c r="CV484" s="2">
        <f t="shared" si="537"/>
        <v>0.99498154981549813</v>
      </c>
      <c r="CW484" s="1" t="s">
        <v>263</v>
      </c>
      <c r="CX484" t="str">
        <f t="shared" si="538"/>
        <v>loc</v>
      </c>
      <c r="CY484" t="s">
        <v>626</v>
      </c>
      <c r="DB484">
        <v>0</v>
      </c>
      <c r="DC484" t="str">
        <f t="shared" si="540"/>
        <v>0</v>
      </c>
      <c r="DD484">
        <v>0</v>
      </c>
      <c r="DE484">
        <v>0</v>
      </c>
      <c r="DF484">
        <v>0</v>
      </c>
      <c r="DG484">
        <v>1</v>
      </c>
      <c r="DI484">
        <f t="shared" si="541"/>
        <v>1</v>
      </c>
      <c r="DJ484" t="str">
        <f t="shared" si="542"/>
        <v>TimberInput</v>
      </c>
      <c r="DK484">
        <f t="shared" si="543"/>
        <v>0</v>
      </c>
      <c r="DL484">
        <f t="shared" si="544"/>
        <v>0</v>
      </c>
      <c r="DM484">
        <f t="shared" si="545"/>
        <v>0</v>
      </c>
      <c r="DN484" t="str">
        <f t="shared" si="546"/>
        <v>Timber</v>
      </c>
      <c r="DO484">
        <v>0</v>
      </c>
      <c r="DP484">
        <v>0</v>
      </c>
      <c r="DQ484">
        <v>0</v>
      </c>
      <c r="DR484">
        <v>0</v>
      </c>
      <c r="DS484">
        <v>0</v>
      </c>
      <c r="DT484">
        <f t="shared" si="547"/>
        <v>0</v>
      </c>
      <c r="DU484" s="143" t="str">
        <f t="shared" si="548"/>
        <v>explicit C balance</v>
      </c>
      <c r="DV484">
        <v>0</v>
      </c>
      <c r="DW484">
        <v>0</v>
      </c>
      <c r="DX484">
        <v>0</v>
      </c>
      <c r="DY484">
        <v>0</v>
      </c>
      <c r="DZ484">
        <v>0</v>
      </c>
      <c r="EA484" s="143">
        <v>0</v>
      </c>
      <c r="EB484">
        <v>0</v>
      </c>
      <c r="EC484">
        <v>1</v>
      </c>
      <c r="ED484">
        <v>0</v>
      </c>
      <c r="EE484">
        <v>0</v>
      </c>
      <c r="EF484">
        <v>0</v>
      </c>
      <c r="EG484">
        <v>0</v>
      </c>
      <c r="EH484">
        <v>0</v>
      </c>
      <c r="EI484" s="2">
        <v>0</v>
      </c>
      <c r="EK484" t="str">
        <f t="shared" si="549"/>
        <v/>
      </c>
      <c r="EL484" t="str">
        <f t="shared" si="550"/>
        <v/>
      </c>
      <c r="EM484" s="2" t="str">
        <f t="shared" si="469"/>
        <v/>
      </c>
      <c r="EP484" t="str">
        <f>IF(ISNUMBER(BU484),IF(ABS(BU484-[2]QC_indicators!$B$2)&gt;3*[2]QC_indicators!$C$2,"C ratio",IF(ISNUMBER(BY484),IF(ABS(BY484-[2]QC_indicators!$B$1)&gt;3*[2]QC_indicators!$C$1,"DF","no"))),IF(ISNUMBER(BY484),IF(ABS(BY484-[2]QC_indicators!$B$1)&gt;3*[2]QC_indicators!$C$1,"DF","no")))</f>
        <v>no</v>
      </c>
      <c r="ER484" s="149" t="s">
        <v>349</v>
      </c>
      <c r="ET484" s="264" t="s">
        <v>3150</v>
      </c>
    </row>
    <row r="485" spans="1:150" ht="15" hidden="1" customHeight="1">
      <c r="A485" s="1" t="s">
        <v>614</v>
      </c>
      <c r="B485" t="s">
        <v>630</v>
      </c>
      <c r="C485" t="s">
        <v>631</v>
      </c>
      <c r="D485" t="s">
        <v>632</v>
      </c>
      <c r="E485" s="264" t="s">
        <v>633</v>
      </c>
      <c r="F485" t="s">
        <v>634</v>
      </c>
      <c r="G485" t="s">
        <v>620</v>
      </c>
      <c r="H485" t="s">
        <v>254</v>
      </c>
      <c r="I485">
        <v>2022</v>
      </c>
      <c r="J485">
        <v>1</v>
      </c>
      <c r="K485" t="s">
        <v>635</v>
      </c>
      <c r="M485" t="str">
        <f t="shared" si="510"/>
        <v>Devenes_2022</v>
      </c>
      <c r="N485" t="s">
        <v>222</v>
      </c>
      <c r="O485" s="145" t="s">
        <v>223</v>
      </c>
      <c r="Q485" t="s">
        <v>389</v>
      </c>
      <c r="R485" s="255" t="s">
        <v>225</v>
      </c>
      <c r="S485" s="1" t="s">
        <v>636</v>
      </c>
      <c r="T485" t="s">
        <v>637</v>
      </c>
      <c r="U485" t="s">
        <v>624</v>
      </c>
      <c r="V485">
        <v>0</v>
      </c>
      <c r="W485">
        <v>0</v>
      </c>
      <c r="X485">
        <v>0</v>
      </c>
      <c r="Y485">
        <v>0</v>
      </c>
      <c r="Z485">
        <v>0</v>
      </c>
      <c r="AA485">
        <v>0</v>
      </c>
      <c r="AB485">
        <v>0</v>
      </c>
      <c r="AC485">
        <v>0</v>
      </c>
      <c r="AD485">
        <v>0</v>
      </c>
      <c r="AE485">
        <v>0</v>
      </c>
      <c r="AF485">
        <v>0</v>
      </c>
      <c r="AG485">
        <v>0</v>
      </c>
      <c r="AH485">
        <v>0</v>
      </c>
      <c r="AI485">
        <v>0</v>
      </c>
      <c r="AJ485">
        <v>0</v>
      </c>
      <c r="AK485">
        <v>1</v>
      </c>
      <c r="AL485">
        <v>0</v>
      </c>
      <c r="AM485">
        <v>0</v>
      </c>
      <c r="AN485">
        <v>0</v>
      </c>
      <c r="AO485">
        <v>0</v>
      </c>
      <c r="AP485">
        <v>0</v>
      </c>
      <c r="AQ485">
        <v>0</v>
      </c>
      <c r="AR485">
        <v>0</v>
      </c>
      <c r="AS485">
        <v>0</v>
      </c>
      <c r="AT485">
        <v>0</v>
      </c>
      <c r="AU485">
        <v>0</v>
      </c>
      <c r="AV485">
        <v>0</v>
      </c>
      <c r="AW485">
        <v>0</v>
      </c>
      <c r="AX485" s="141">
        <f t="shared" si="517"/>
        <v>1</v>
      </c>
      <c r="AY485" s="141">
        <f t="shared" si="518"/>
        <v>1</v>
      </c>
      <c r="AZ485">
        <f t="shared" si="519"/>
        <v>0</v>
      </c>
      <c r="BA485">
        <f t="shared" si="520"/>
        <v>0</v>
      </c>
      <c r="BB485">
        <f t="shared" si="521"/>
        <v>1</v>
      </c>
      <c r="BC485">
        <f t="shared" si="522"/>
        <v>0</v>
      </c>
      <c r="BD485">
        <f t="shared" si="523"/>
        <v>0</v>
      </c>
      <c r="BE485" t="str">
        <f t="array" ref="BE485">IF(AY485=1,INDEX($V$7:$AL$7,MATCH(TRUE,INDEX($V485:$AW485&lt;&gt;0,),0)),IF(AY485=0,INDEX($AM$7:$AW$7,MATCH(1,$AM485:$AW485,0)),IF(BF485="Multiple strategies","mixed drivers",IF(BF485="Supply chain","multiple supply","multiple silviculture"))))</f>
        <v>technologies/design switch</v>
      </c>
      <c r="BF485" s="2" t="str" cm="1">
        <f t="array" ref="BF485">IF(COUNTIF(AZ485:BB485,"&lt;&gt;0")=1,INDEX($V$4:$AW$4,MATCH(TRUE,INDEX($V485:$AW485&lt;&gt;0,),0)),IF(COUNTIF(AZ485:BB485,"&lt;&gt;0")=0,INDEX($AM$4:$AW$4,MATCH(1,$AM485:$AW485,0)),"Multiple strategies"))</f>
        <v>Technology</v>
      </c>
      <c r="BG485" s="1" t="s">
        <v>229</v>
      </c>
      <c r="BH485" t="s">
        <v>638</v>
      </c>
      <c r="BI485" s="264" t="s">
        <v>3304</v>
      </c>
      <c r="BJ485" s="264" t="s">
        <v>345</v>
      </c>
      <c r="BK485">
        <f>179+195+12</f>
        <v>386</v>
      </c>
      <c r="BL485">
        <f>268+139+104</f>
        <v>511</v>
      </c>
      <c r="BN485">
        <f t="shared" si="524"/>
        <v>125</v>
      </c>
      <c r="BO485" s="260">
        <f>BN485*t_to_m3/1000</f>
        <v>0.25510204081632654</v>
      </c>
      <c r="BP485" t="s">
        <v>395</v>
      </c>
      <c r="BQ485" s="260" t="s">
        <v>3305</v>
      </c>
      <c r="BR485" t="s">
        <v>397</v>
      </c>
      <c r="BS485">
        <v>301.89999999999998</v>
      </c>
      <c r="BT485">
        <v>275.89999999999998</v>
      </c>
      <c r="BU485" s="144">
        <f>IFERROR(BT485/BS485,"")</f>
        <v>0.91387876780390853</v>
      </c>
      <c r="BV485">
        <f>BT485-BS485</f>
        <v>-26</v>
      </c>
      <c r="BX485">
        <f t="shared" si="551"/>
        <v>-2.5999999999999999E-2</v>
      </c>
      <c r="BY485">
        <f t="shared" si="468"/>
        <v>-0.10192</v>
      </c>
      <c r="BZ485">
        <v>0</v>
      </c>
      <c r="CA485">
        <v>0</v>
      </c>
      <c r="CB485">
        <v>0</v>
      </c>
      <c r="CC485">
        <v>0</v>
      </c>
      <c r="CD485">
        <v>0</v>
      </c>
      <c r="CE485">
        <v>0</v>
      </c>
      <c r="CF485">
        <v>0</v>
      </c>
      <c r="CG485">
        <v>0</v>
      </c>
      <c r="CH485">
        <v>0</v>
      </c>
      <c r="CI485">
        <v>0</v>
      </c>
      <c r="CJ485">
        <v>0</v>
      </c>
      <c r="CK485">
        <v>0</v>
      </c>
      <c r="CL485">
        <v>0</v>
      </c>
      <c r="CM485">
        <v>0</v>
      </c>
      <c r="CN485" t="str">
        <f t="shared" si="529"/>
        <v>refOK</v>
      </c>
      <c r="CO485"/>
      <c r="CP485"/>
      <c r="CQ485">
        <f t="shared" si="532"/>
        <v>0.25510204081632654</v>
      </c>
      <c r="CR485">
        <f t="shared" si="533"/>
        <v>-301.89999999999998</v>
      </c>
      <c r="CS485">
        <f t="shared" si="534"/>
        <v>-275.89999999999998</v>
      </c>
      <c r="CT485">
        <f t="shared" si="535"/>
        <v>2.5999999999999999E-2</v>
      </c>
      <c r="CU485">
        <f t="shared" si="536"/>
        <v>0.10192</v>
      </c>
      <c r="CV485" s="2">
        <f t="shared" si="537"/>
        <v>8.6121232196091427E-2</v>
      </c>
      <c r="CW485" s="1" t="s">
        <v>263</v>
      </c>
      <c r="CX485" t="str">
        <f t="shared" si="538"/>
        <v>loc</v>
      </c>
      <c r="CY485" t="s">
        <v>639</v>
      </c>
      <c r="DB485">
        <v>0</v>
      </c>
      <c r="DC485" t="str">
        <f t="shared" si="540"/>
        <v>0</v>
      </c>
      <c r="DD485">
        <v>0</v>
      </c>
      <c r="DE485">
        <v>0</v>
      </c>
      <c r="DF485">
        <v>0</v>
      </c>
      <c r="DG485">
        <v>1</v>
      </c>
      <c r="DH485">
        <v>0</v>
      </c>
      <c r="DI485">
        <f>SUM(DD485:DH485)</f>
        <v>1</v>
      </c>
      <c r="DJ485" t="str">
        <f t="shared" si="542"/>
        <v>TimberInput</v>
      </c>
      <c r="DK485">
        <f t="shared" si="543"/>
        <v>0</v>
      </c>
      <c r="DL485">
        <f t="shared" si="544"/>
        <v>0</v>
      </c>
      <c r="DM485">
        <f t="shared" si="545"/>
        <v>0</v>
      </c>
      <c r="DN485" t="str">
        <f t="shared" si="546"/>
        <v>Timber</v>
      </c>
      <c r="DO485">
        <v>0</v>
      </c>
      <c r="DP485">
        <v>0</v>
      </c>
      <c r="DQ485">
        <v>0</v>
      </c>
      <c r="DR485">
        <v>0</v>
      </c>
      <c r="DS485">
        <v>0</v>
      </c>
      <c r="DT485">
        <f t="shared" si="547"/>
        <v>0</v>
      </c>
      <c r="DU485" t="str">
        <f t="shared" si="548"/>
        <v>explicit C balance</v>
      </c>
      <c r="DV485">
        <v>0</v>
      </c>
      <c r="DW485">
        <v>0</v>
      </c>
      <c r="DX485">
        <v>0</v>
      </c>
      <c r="DY485">
        <v>0</v>
      </c>
      <c r="DZ485">
        <v>0</v>
      </c>
      <c r="EA485" s="143">
        <v>0</v>
      </c>
      <c r="EB485">
        <v>0</v>
      </c>
      <c r="EC485">
        <v>1</v>
      </c>
      <c r="ED485">
        <v>0</v>
      </c>
      <c r="EE485">
        <v>0</v>
      </c>
      <c r="EF485">
        <v>0</v>
      </c>
      <c r="EG485">
        <v>0</v>
      </c>
      <c r="EH485">
        <v>0</v>
      </c>
      <c r="EI485" s="2">
        <v>0</v>
      </c>
      <c r="EK485" t="str">
        <f t="shared" si="549"/>
        <v/>
      </c>
      <c r="EL485" t="str">
        <f t="shared" si="550"/>
        <v/>
      </c>
      <c r="EM485" s="2" t="str">
        <f t="shared" si="469"/>
        <v/>
      </c>
      <c r="EP485" t="str">
        <f>IF(ISNUMBER(BU485),IF(ABS(BU485-[5]QC_indicators!$B$2)&gt;3*[5]QC_indicators!$C$2,"C ratio",IF(ISNUMBER(BY485),IF(ABS(BY485-[5]QC_indicators!$B$1)&gt;3*[5]QC_indicators!$C$1,"DF","no"))),IF(ISNUMBER(BY485),IF(ABS(BY485-[5]QC_indicators!$B$1)&gt;3*[5]QC_indicators!$C$1,"DF","no")))</f>
        <v>no</v>
      </c>
      <c r="ET485" s="264" t="s">
        <v>3272</v>
      </c>
    </row>
    <row r="486" spans="1:150" ht="15" hidden="1" customHeight="1">
      <c r="A486" s="1" t="s">
        <v>614</v>
      </c>
      <c r="B486" t="s">
        <v>630</v>
      </c>
      <c r="C486" t="s">
        <v>631</v>
      </c>
      <c r="D486" t="s">
        <v>632</v>
      </c>
      <c r="E486" t="s">
        <v>633</v>
      </c>
      <c r="F486" t="s">
        <v>634</v>
      </c>
      <c r="G486" t="s">
        <v>620</v>
      </c>
      <c r="H486" t="s">
        <v>254</v>
      </c>
      <c r="I486">
        <v>2022</v>
      </c>
      <c r="J486">
        <v>1</v>
      </c>
      <c r="K486" t="s">
        <v>635</v>
      </c>
      <c r="M486" t="str">
        <f t="shared" si="510"/>
        <v>Devenes_2022</v>
      </c>
      <c r="N486" t="s">
        <v>222</v>
      </c>
      <c r="O486" s="145" t="s">
        <v>223</v>
      </c>
      <c r="Q486" t="s">
        <v>389</v>
      </c>
      <c r="R486" s="255" t="s">
        <v>225</v>
      </c>
      <c r="S486" s="1" t="s">
        <v>636</v>
      </c>
      <c r="T486" t="s">
        <v>624</v>
      </c>
      <c r="U486" t="s">
        <v>640</v>
      </c>
      <c r="V486">
        <v>0</v>
      </c>
      <c r="W486">
        <v>0</v>
      </c>
      <c r="X486">
        <v>0</v>
      </c>
      <c r="Y486">
        <v>0</v>
      </c>
      <c r="Z486">
        <v>0</v>
      </c>
      <c r="AA486">
        <v>0</v>
      </c>
      <c r="AB486">
        <v>0</v>
      </c>
      <c r="AC486">
        <v>0</v>
      </c>
      <c r="AD486">
        <v>0</v>
      </c>
      <c r="AE486">
        <v>0</v>
      </c>
      <c r="AF486">
        <v>0</v>
      </c>
      <c r="AG486">
        <v>0</v>
      </c>
      <c r="AH486">
        <v>0</v>
      </c>
      <c r="AI486">
        <v>0</v>
      </c>
      <c r="AJ486">
        <v>0</v>
      </c>
      <c r="AK486">
        <v>1</v>
      </c>
      <c r="AL486">
        <v>0</v>
      </c>
      <c r="AM486">
        <v>0</v>
      </c>
      <c r="AN486">
        <v>0</v>
      </c>
      <c r="AO486">
        <v>0</v>
      </c>
      <c r="AP486">
        <v>0</v>
      </c>
      <c r="AQ486">
        <v>0</v>
      </c>
      <c r="AR486">
        <v>0</v>
      </c>
      <c r="AS486">
        <v>0</v>
      </c>
      <c r="AT486">
        <v>0</v>
      </c>
      <c r="AU486">
        <v>0</v>
      </c>
      <c r="AV486">
        <v>0</v>
      </c>
      <c r="AW486">
        <v>0</v>
      </c>
      <c r="AX486" s="141">
        <f t="shared" si="517"/>
        <v>1</v>
      </c>
      <c r="AY486" s="141">
        <f t="shared" si="518"/>
        <v>1</v>
      </c>
      <c r="AZ486">
        <f t="shared" si="519"/>
        <v>0</v>
      </c>
      <c r="BA486">
        <f t="shared" si="520"/>
        <v>0</v>
      </c>
      <c r="BB486">
        <f t="shared" si="521"/>
        <v>1</v>
      </c>
      <c r="BC486">
        <f t="shared" si="522"/>
        <v>0</v>
      </c>
      <c r="BD486">
        <f t="shared" si="523"/>
        <v>0</v>
      </c>
      <c r="BE486" t="str">
        <f t="array" ref="BE486">IF(AY486=1,INDEX($V$7:$AL$7,MATCH(TRUE,INDEX($V486:$AW486&lt;&gt;0,),0)),IF(AY486=0,INDEX($AM$7:$AW$7,MATCH(1,$AM486:$AW486,0)),IF(BF486="Multiple strategies","mixed drivers",IF(BF486="Supply chain","multiple supply","multiple silviculture"))))</f>
        <v>technologies/design switch</v>
      </c>
      <c r="BF486" s="2" t="str" cm="1">
        <f t="array" ref="BF486">IF(COUNTIF(AZ486:BB486,"&lt;&gt;0")=1,INDEX($V$4:$AW$4,MATCH(TRUE,INDEX($V486:$AW486&lt;&gt;0,),0)),IF(COUNTIF(AZ486:BB486,"&lt;&gt;0")=0,INDEX($AM$4:$AW$4,MATCH(1,$AM486:$AW486,0)),"Multiple strategies"))</f>
        <v>Technology</v>
      </c>
      <c r="BG486" s="1" t="s">
        <v>229</v>
      </c>
      <c r="BH486" t="s">
        <v>638</v>
      </c>
      <c r="BI486" s="264" t="s">
        <v>3306</v>
      </c>
      <c r="BJ486" s="264" t="s">
        <v>345</v>
      </c>
      <c r="BK486">
        <f>268+139+104</f>
        <v>511</v>
      </c>
      <c r="BL486">
        <f>179+195+12+360</f>
        <v>746</v>
      </c>
      <c r="BN486">
        <f t="shared" si="524"/>
        <v>235</v>
      </c>
      <c r="BO486" s="260">
        <f>BN486*t_to_m3/1000</f>
        <v>0.47959183673469391</v>
      </c>
      <c r="BP486" t="s">
        <v>395</v>
      </c>
      <c r="BQ486" s="260" t="s">
        <v>3305</v>
      </c>
      <c r="BR486" t="s">
        <v>397</v>
      </c>
      <c r="BS486">
        <v>275.89999999999998</v>
      </c>
      <c r="BT486">
        <v>814.2</v>
      </c>
      <c r="BU486" s="144">
        <f>IFERROR(BT486/BS486,"")</f>
        <v>2.951069227981153</v>
      </c>
      <c r="BV486">
        <f>BT486-BS486</f>
        <v>538.30000000000007</v>
      </c>
      <c r="BX486">
        <f t="shared" si="551"/>
        <v>0.53830000000000011</v>
      </c>
      <c r="BY486">
        <f t="shared" si="468"/>
        <v>1.122412765957447</v>
      </c>
      <c r="BZ486">
        <v>0</v>
      </c>
      <c r="CA486">
        <v>0</v>
      </c>
      <c r="CB486">
        <v>0</v>
      </c>
      <c r="CC486">
        <v>0</v>
      </c>
      <c r="CD486">
        <v>0</v>
      </c>
      <c r="CE486">
        <v>0</v>
      </c>
      <c r="CF486">
        <v>0</v>
      </c>
      <c r="CG486">
        <v>0</v>
      </c>
      <c r="CH486">
        <v>0</v>
      </c>
      <c r="CI486">
        <v>0</v>
      </c>
      <c r="CJ486">
        <v>0</v>
      </c>
      <c r="CK486">
        <v>0</v>
      </c>
      <c r="CL486">
        <v>0</v>
      </c>
      <c r="CM486">
        <v>0</v>
      </c>
      <c r="CN486" t="str">
        <f t="shared" si="529"/>
        <v>refOK</v>
      </c>
      <c r="CO486"/>
      <c r="CP486"/>
      <c r="CQ486">
        <f t="shared" si="532"/>
        <v>0.47959183673469391</v>
      </c>
      <c r="CR486">
        <f t="shared" si="533"/>
        <v>-275.89999999999998</v>
      </c>
      <c r="CS486">
        <f t="shared" si="534"/>
        <v>-814.2</v>
      </c>
      <c r="CT486">
        <f t="shared" si="535"/>
        <v>-0.53830000000000011</v>
      </c>
      <c r="CU486">
        <f t="shared" si="536"/>
        <v>-1.122412765957447</v>
      </c>
      <c r="CV486" s="2">
        <f t="shared" si="537"/>
        <v>-1.951069227981153</v>
      </c>
      <c r="CW486" s="1" t="s">
        <v>263</v>
      </c>
      <c r="CX486" t="str">
        <f t="shared" si="538"/>
        <v>loc</v>
      </c>
      <c r="CY486" t="s">
        <v>639</v>
      </c>
      <c r="DB486">
        <v>0</v>
      </c>
      <c r="DC486" t="str">
        <f t="shared" si="540"/>
        <v>0</v>
      </c>
      <c r="DD486">
        <v>0</v>
      </c>
      <c r="DE486">
        <v>0</v>
      </c>
      <c r="DF486">
        <v>0</v>
      </c>
      <c r="DG486">
        <v>1</v>
      </c>
      <c r="DH486">
        <v>0</v>
      </c>
      <c r="DI486">
        <f>SUM(DD486:DH486)</f>
        <v>1</v>
      </c>
      <c r="DJ486" t="str">
        <f t="shared" si="542"/>
        <v>TimberInput</v>
      </c>
      <c r="DK486">
        <f t="shared" si="543"/>
        <v>0</v>
      </c>
      <c r="DL486">
        <f t="shared" si="544"/>
        <v>0</v>
      </c>
      <c r="DM486">
        <f t="shared" si="545"/>
        <v>0</v>
      </c>
      <c r="DN486" t="str">
        <f t="shared" si="546"/>
        <v>Timber</v>
      </c>
      <c r="DO486">
        <v>0</v>
      </c>
      <c r="DP486">
        <v>0</v>
      </c>
      <c r="DQ486">
        <v>0</v>
      </c>
      <c r="DR486">
        <v>0</v>
      </c>
      <c r="DS486">
        <v>0</v>
      </c>
      <c r="DT486">
        <f t="shared" si="547"/>
        <v>0</v>
      </c>
      <c r="DU486" t="str">
        <f t="shared" si="548"/>
        <v>explicit C balance</v>
      </c>
      <c r="DV486">
        <v>0</v>
      </c>
      <c r="DW486">
        <v>0</v>
      </c>
      <c r="DX486">
        <v>0</v>
      </c>
      <c r="DY486">
        <v>0</v>
      </c>
      <c r="DZ486">
        <v>0</v>
      </c>
      <c r="EA486" s="143">
        <v>0</v>
      </c>
      <c r="EB486">
        <v>0</v>
      </c>
      <c r="EC486">
        <v>1</v>
      </c>
      <c r="ED486">
        <v>0</v>
      </c>
      <c r="EE486">
        <v>0</v>
      </c>
      <c r="EF486">
        <v>0</v>
      </c>
      <c r="EG486">
        <v>0</v>
      </c>
      <c r="EH486">
        <v>0</v>
      </c>
      <c r="EI486" s="2">
        <v>0</v>
      </c>
      <c r="EK486" t="str">
        <f t="shared" si="549"/>
        <v/>
      </c>
      <c r="EL486" t="str">
        <f t="shared" si="550"/>
        <v/>
      </c>
      <c r="EM486" s="2" t="str">
        <f t="shared" si="469"/>
        <v/>
      </c>
      <c r="EP486" t="str">
        <f>IF(ISNUMBER(BU486),IF(ABS(BU486-[5]QC_indicators!$B$2)&gt;3*[5]QC_indicators!$C$2,"C ratio",IF(ISNUMBER(BY486),IF(ABS(BY486-[5]QC_indicators!$B$1)&gt;3*[5]QC_indicators!$C$1,"DF","no"))),IF(ISNUMBER(BY486),IF(ABS(BY486-[5]QC_indicators!$B$1)&gt;3*[5]QC_indicators!$C$1,"DF","no")))</f>
        <v>no</v>
      </c>
      <c r="ET486" s="264" t="s">
        <v>3272</v>
      </c>
    </row>
    <row r="487" spans="1:150" ht="15" hidden="1" customHeight="1">
      <c r="A487" s="1" t="s">
        <v>247</v>
      </c>
      <c r="B487" t="s">
        <v>641</v>
      </c>
      <c r="C487" t="s">
        <v>642</v>
      </c>
      <c r="D487" t="s">
        <v>643</v>
      </c>
      <c r="E487" t="s">
        <v>644</v>
      </c>
      <c r="F487" t="s">
        <v>645</v>
      </c>
      <c r="G487" t="s">
        <v>253</v>
      </c>
      <c r="H487" t="s">
        <v>254</v>
      </c>
      <c r="I487">
        <v>2014</v>
      </c>
      <c r="J487">
        <v>76</v>
      </c>
      <c r="K487" t="s">
        <v>646</v>
      </c>
      <c r="M487" t="str">
        <f t="shared" si="510"/>
        <v>Dodoo_2014</v>
      </c>
      <c r="N487" t="s">
        <v>222</v>
      </c>
      <c r="O487" s="145" t="s">
        <v>223</v>
      </c>
      <c r="Q487" t="s">
        <v>256</v>
      </c>
      <c r="R487" s="255" t="s">
        <v>225</v>
      </c>
      <c r="S487" s="1" t="s">
        <v>647</v>
      </c>
      <c r="T487" t="s">
        <v>648</v>
      </c>
      <c r="U487" t="s">
        <v>649</v>
      </c>
      <c r="V487">
        <v>0</v>
      </c>
      <c r="W487">
        <v>0</v>
      </c>
      <c r="X487">
        <v>0</v>
      </c>
      <c r="Y487">
        <v>0</v>
      </c>
      <c r="Z487">
        <v>0</v>
      </c>
      <c r="AA487">
        <v>0</v>
      </c>
      <c r="AB487">
        <v>0</v>
      </c>
      <c r="AC487">
        <v>0</v>
      </c>
      <c r="AD487">
        <v>0</v>
      </c>
      <c r="AE487">
        <v>0</v>
      </c>
      <c r="AF487">
        <v>0</v>
      </c>
      <c r="AG487">
        <v>0</v>
      </c>
      <c r="AH487">
        <v>0</v>
      </c>
      <c r="AI487">
        <v>0</v>
      </c>
      <c r="AJ487">
        <v>0</v>
      </c>
      <c r="AK487">
        <v>1</v>
      </c>
      <c r="AL487">
        <v>0</v>
      </c>
      <c r="AM487">
        <v>0</v>
      </c>
      <c r="AN487">
        <v>0</v>
      </c>
      <c r="AO487">
        <v>0</v>
      </c>
      <c r="AP487">
        <v>0</v>
      </c>
      <c r="AQ487">
        <v>0</v>
      </c>
      <c r="AR487">
        <v>0</v>
      </c>
      <c r="AS487">
        <v>0</v>
      </c>
      <c r="AT487">
        <v>0</v>
      </c>
      <c r="AU487">
        <v>0</v>
      </c>
      <c r="AV487">
        <v>0</v>
      </c>
      <c r="AW487">
        <v>0</v>
      </c>
      <c r="AX487" s="141">
        <f t="shared" si="517"/>
        <v>1</v>
      </c>
      <c r="AY487" s="141">
        <f t="shared" si="518"/>
        <v>1</v>
      </c>
      <c r="AZ487">
        <f t="shared" si="519"/>
        <v>0</v>
      </c>
      <c r="BA487">
        <f t="shared" si="520"/>
        <v>0</v>
      </c>
      <c r="BB487">
        <f t="shared" si="521"/>
        <v>1</v>
      </c>
      <c r="BC487">
        <f t="shared" si="522"/>
        <v>0</v>
      </c>
      <c r="BD487">
        <f t="shared" si="523"/>
        <v>0</v>
      </c>
      <c r="BE487" t="str">
        <f t="array" ref="BE487">IF(AY487=1,INDEX($V$7:$AL$7,MATCH(TRUE,INDEX($V487:$AW487&lt;&gt;0,),0)),IF(AY487=0,INDEX($AM$7:$AW$7,MATCH(1,$AM487:$AW487,0)),IF(BF487="Multiple strategies","mixed drivers",IF(BF487="Supply chain","multiple supply","multiple silviculture"))))</f>
        <v>technologies/design switch</v>
      </c>
      <c r="BF487" s="2" t="str" cm="1">
        <f t="array" ref="BF487">IF(COUNTIF(AZ487:BB487,"&lt;&gt;0")=1,INDEX($V$4:$AW$4,MATCH(TRUE,INDEX($V487:$AW487&lt;&gt;0,),0)),IF(COUNTIF(AZ487:BB487,"&lt;&gt;0")=0,INDEX($AM$4:$AW$4,MATCH(1,$AM487:$AW487,0)),"Multiple strategies"))</f>
        <v>Technology</v>
      </c>
      <c r="BG487" s="1" t="s">
        <v>229</v>
      </c>
      <c r="BH487" t="s">
        <v>650</v>
      </c>
      <c r="BI487" s="260" t="s">
        <v>3307</v>
      </c>
      <c r="BJ487" t="s">
        <v>651</v>
      </c>
      <c r="BK487" s="260">
        <f t="shared" ref="BK487:BK498" si="552">55+21+10+5+5</f>
        <v>96</v>
      </c>
      <c r="BL487" s="260">
        <v>120</v>
      </c>
      <c r="BN487">
        <f t="shared" si="524"/>
        <v>24</v>
      </c>
      <c r="BO487">
        <f t="shared" ref="BO487:BO498" si="553">BN487*t_to_m3</f>
        <v>48.979591836734699</v>
      </c>
      <c r="BP487" t="s">
        <v>232</v>
      </c>
      <c r="BQ487" s="260" t="s">
        <v>3308</v>
      </c>
      <c r="BR487" t="s">
        <v>262</v>
      </c>
      <c r="BS487">
        <v>-139</v>
      </c>
      <c r="BT487">
        <v>-159</v>
      </c>
      <c r="BU487" s="144">
        <v>1.1438848920863309</v>
      </c>
      <c r="BV487">
        <v>-20</v>
      </c>
      <c r="BX487">
        <f t="shared" si="551"/>
        <v>-0.02</v>
      </c>
      <c r="BY487">
        <f t="shared" si="468"/>
        <v>-4.083333333333333E-4</v>
      </c>
      <c r="BZ487">
        <v>0</v>
      </c>
      <c r="CA487">
        <v>0</v>
      </c>
      <c r="CB487">
        <v>0</v>
      </c>
      <c r="CC487">
        <v>0</v>
      </c>
      <c r="CD487">
        <v>0</v>
      </c>
      <c r="CE487">
        <v>0</v>
      </c>
      <c r="CF487">
        <v>0</v>
      </c>
      <c r="CG487">
        <v>0</v>
      </c>
      <c r="CH487">
        <v>0</v>
      </c>
      <c r="CI487">
        <v>0</v>
      </c>
      <c r="CJ487">
        <v>0</v>
      </c>
      <c r="CK487">
        <v>0</v>
      </c>
      <c r="CL487">
        <v>0</v>
      </c>
      <c r="CM487">
        <v>0</v>
      </c>
      <c r="CN487" t="str">
        <f t="shared" si="529"/>
        <v>refOK</v>
      </c>
      <c r="CO487">
        <f t="shared" ref="CO487:CO498" si="554">IF($CN487="refOK",$BK487,$BL487)</f>
        <v>96</v>
      </c>
      <c r="CP487">
        <f t="shared" ref="CP487:CP498" si="555">IF($CN487="refOK",$BL487,$BK487)</f>
        <v>120</v>
      </c>
      <c r="CQ487">
        <f t="shared" si="532"/>
        <v>48.979591836734699</v>
      </c>
      <c r="CR487">
        <f t="shared" si="533"/>
        <v>-139</v>
      </c>
      <c r="CS487">
        <f t="shared" si="534"/>
        <v>-159</v>
      </c>
      <c r="CT487">
        <f t="shared" si="535"/>
        <v>-0.02</v>
      </c>
      <c r="CU487">
        <f t="shared" si="536"/>
        <v>-4.083333333333333E-4</v>
      </c>
      <c r="CV487" s="2">
        <f t="shared" si="537"/>
        <v>-0.14388489208633093</v>
      </c>
      <c r="CW487" s="1" t="s">
        <v>263</v>
      </c>
      <c r="CX487" t="str">
        <f t="shared" si="538"/>
        <v>loc</v>
      </c>
      <c r="CY487" t="s">
        <v>444</v>
      </c>
      <c r="DB487">
        <v>50</v>
      </c>
      <c r="DC487" t="str">
        <f t="shared" si="540"/>
        <v>31-70</v>
      </c>
      <c r="DD487">
        <v>0</v>
      </c>
      <c r="DE487">
        <v>0</v>
      </c>
      <c r="DF487">
        <v>0</v>
      </c>
      <c r="DG487">
        <v>1</v>
      </c>
      <c r="DI487">
        <f t="shared" ref="DI487:DI498" si="556">SUM(DD487:DG487)</f>
        <v>1</v>
      </c>
      <c r="DJ487" t="str">
        <f t="shared" si="542"/>
        <v>TimberInput</v>
      </c>
      <c r="DK487">
        <f t="shared" si="543"/>
        <v>0</v>
      </c>
      <c r="DL487">
        <f t="shared" si="544"/>
        <v>0</v>
      </c>
      <c r="DM487">
        <f t="shared" si="545"/>
        <v>0</v>
      </c>
      <c r="DN487" t="str">
        <f t="shared" si="546"/>
        <v>Timber</v>
      </c>
      <c r="DO487">
        <v>0</v>
      </c>
      <c r="DP487">
        <v>0</v>
      </c>
      <c r="DQ487">
        <v>0</v>
      </c>
      <c r="DR487">
        <v>0</v>
      </c>
      <c r="DS487">
        <v>0</v>
      </c>
      <c r="DT487">
        <f t="shared" si="547"/>
        <v>0</v>
      </c>
      <c r="DU487" s="143" t="str">
        <f t="shared" si="548"/>
        <v>explicit C balance</v>
      </c>
      <c r="DV487">
        <v>0</v>
      </c>
      <c r="DW487">
        <v>0</v>
      </c>
      <c r="DX487">
        <v>0</v>
      </c>
      <c r="DY487">
        <v>0</v>
      </c>
      <c r="DZ487">
        <v>0</v>
      </c>
      <c r="EA487" s="143">
        <v>0</v>
      </c>
      <c r="EB487">
        <v>0</v>
      </c>
      <c r="EC487">
        <v>1</v>
      </c>
      <c r="ED487">
        <v>0</v>
      </c>
      <c r="EE487">
        <v>0</v>
      </c>
      <c r="EF487">
        <v>0</v>
      </c>
      <c r="EG487">
        <v>0</v>
      </c>
      <c r="EH487">
        <v>0</v>
      </c>
      <c r="EI487" s="2">
        <v>0</v>
      </c>
      <c r="EK487" t="str">
        <f t="shared" si="549"/>
        <v/>
      </c>
      <c r="EL487" t="str">
        <f t="shared" si="550"/>
        <v/>
      </c>
      <c r="EM487" s="2" t="str">
        <f t="shared" si="469"/>
        <v/>
      </c>
      <c r="EP487" t="str">
        <f>IF(ISNUMBER(BU487),IF(ABS(BU487-[5]QC_indicators!$B$2)&gt;3*[5]QC_indicators!$C$2,"C ratio",IF(ISNUMBER(BY487),IF(ABS(BY487-[5]QC_indicators!$B$1)&gt;3*[5]QC_indicators!$C$1,"DF","no"))),IF(ISNUMBER(BY487),IF(ABS(BY487-[5]QC_indicators!$B$1)&gt;3*[5]QC_indicators!$C$1,"DF","no")))</f>
        <v>no</v>
      </c>
      <c r="ER487" s="149" t="s">
        <v>349</v>
      </c>
      <c r="ET487" s="264" t="s">
        <v>3272</v>
      </c>
    </row>
    <row r="488" spans="1:150" ht="15" hidden="1" customHeight="1">
      <c r="A488" s="1" t="s">
        <v>247</v>
      </c>
      <c r="B488" t="s">
        <v>641</v>
      </c>
      <c r="C488" t="s">
        <v>642</v>
      </c>
      <c r="D488" t="s">
        <v>643</v>
      </c>
      <c r="E488" t="s">
        <v>644</v>
      </c>
      <c r="F488" t="s">
        <v>645</v>
      </c>
      <c r="G488" t="s">
        <v>253</v>
      </c>
      <c r="H488" t="s">
        <v>254</v>
      </c>
      <c r="I488">
        <v>2014</v>
      </c>
      <c r="J488">
        <v>76</v>
      </c>
      <c r="K488" t="s">
        <v>646</v>
      </c>
      <c r="M488" t="str">
        <f t="shared" si="510"/>
        <v>Dodoo_2014</v>
      </c>
      <c r="N488" t="s">
        <v>222</v>
      </c>
      <c r="O488" s="145" t="s">
        <v>223</v>
      </c>
      <c r="Q488" t="s">
        <v>256</v>
      </c>
      <c r="R488" s="255" t="s">
        <v>225</v>
      </c>
      <c r="S488" s="1" t="s">
        <v>647</v>
      </c>
      <c r="T488" t="s">
        <v>652</v>
      </c>
      <c r="U488" t="s">
        <v>653</v>
      </c>
      <c r="V488">
        <v>0</v>
      </c>
      <c r="W488">
        <v>0</v>
      </c>
      <c r="X488">
        <v>0</v>
      </c>
      <c r="Y488">
        <v>0</v>
      </c>
      <c r="Z488">
        <v>0</v>
      </c>
      <c r="AA488">
        <v>0</v>
      </c>
      <c r="AB488">
        <v>0</v>
      </c>
      <c r="AC488">
        <v>0</v>
      </c>
      <c r="AD488">
        <v>0</v>
      </c>
      <c r="AE488">
        <v>0</v>
      </c>
      <c r="AF488">
        <v>0</v>
      </c>
      <c r="AG488">
        <v>0</v>
      </c>
      <c r="AH488">
        <v>0</v>
      </c>
      <c r="AI488">
        <v>0</v>
      </c>
      <c r="AJ488">
        <v>0</v>
      </c>
      <c r="AK488">
        <v>1</v>
      </c>
      <c r="AL488">
        <v>0</v>
      </c>
      <c r="AM488">
        <v>0</v>
      </c>
      <c r="AN488">
        <v>0</v>
      </c>
      <c r="AO488">
        <v>0</v>
      </c>
      <c r="AP488">
        <v>0</v>
      </c>
      <c r="AQ488">
        <v>0</v>
      </c>
      <c r="AR488">
        <v>0</v>
      </c>
      <c r="AS488">
        <v>0</v>
      </c>
      <c r="AT488">
        <v>0</v>
      </c>
      <c r="AU488">
        <v>0</v>
      </c>
      <c r="AV488">
        <v>0</v>
      </c>
      <c r="AW488">
        <v>0</v>
      </c>
      <c r="AX488" s="141">
        <f t="shared" si="517"/>
        <v>1</v>
      </c>
      <c r="AY488" s="141">
        <f t="shared" si="518"/>
        <v>1</v>
      </c>
      <c r="AZ488">
        <f t="shared" si="519"/>
        <v>0</v>
      </c>
      <c r="BA488">
        <f t="shared" si="520"/>
        <v>0</v>
      </c>
      <c r="BB488">
        <f t="shared" si="521"/>
        <v>1</v>
      </c>
      <c r="BC488">
        <f t="shared" si="522"/>
        <v>0</v>
      </c>
      <c r="BD488">
        <f t="shared" si="523"/>
        <v>0</v>
      </c>
      <c r="BE488" t="str">
        <f t="array" ref="BE488">IF(AY488=1,INDEX($V$7:$AL$7,MATCH(TRUE,INDEX($V488:$AW488&lt;&gt;0,),0)),IF(AY488=0,INDEX($AM$7:$AW$7,MATCH(1,$AM488:$AW488,0)),IF(BF488="Multiple strategies","mixed drivers",IF(BF488="Supply chain","multiple supply","multiple silviculture"))))</f>
        <v>technologies/design switch</v>
      </c>
      <c r="BF488" s="2" t="str" cm="1">
        <f t="array" ref="BF488">IF(COUNTIF(AZ488:BB488,"&lt;&gt;0")=1,INDEX($V$4:$AW$4,MATCH(TRUE,INDEX($V488:$AW488&lt;&gt;0,),0)),IF(COUNTIF(AZ488:BB488,"&lt;&gt;0")=0,INDEX($AM$4:$AW$4,MATCH(1,$AM488:$AW488,0)),"Multiple strategies"))</f>
        <v>Technology</v>
      </c>
      <c r="BG488" s="1" t="s">
        <v>229</v>
      </c>
      <c r="BH488" t="s">
        <v>650</v>
      </c>
      <c r="BI488" s="260" t="s">
        <v>3307</v>
      </c>
      <c r="BJ488" t="s">
        <v>651</v>
      </c>
      <c r="BK488" s="260">
        <f t="shared" si="552"/>
        <v>96</v>
      </c>
      <c r="BL488" s="260">
        <v>124</v>
      </c>
      <c r="BN488">
        <f t="shared" si="524"/>
        <v>28</v>
      </c>
      <c r="BO488">
        <f t="shared" si="553"/>
        <v>57.142857142857146</v>
      </c>
      <c r="BP488" t="s">
        <v>232</v>
      </c>
      <c r="BQ488" s="260" t="s">
        <v>3308</v>
      </c>
      <c r="BR488" t="s">
        <v>262</v>
      </c>
      <c r="BS488">
        <v>-145</v>
      </c>
      <c r="BT488">
        <v>-165</v>
      </c>
      <c r="BU488" s="144">
        <v>1.1379310344827587</v>
      </c>
      <c r="BV488">
        <v>-20</v>
      </c>
      <c r="BX488">
        <f t="shared" si="551"/>
        <v>-0.02</v>
      </c>
      <c r="BY488">
        <f t="shared" si="468"/>
        <v>-3.5E-4</v>
      </c>
      <c r="BZ488">
        <v>0</v>
      </c>
      <c r="CA488">
        <v>0</v>
      </c>
      <c r="CB488">
        <v>0</v>
      </c>
      <c r="CC488">
        <v>0</v>
      </c>
      <c r="CD488">
        <v>0</v>
      </c>
      <c r="CE488">
        <v>0</v>
      </c>
      <c r="CF488">
        <v>0</v>
      </c>
      <c r="CG488">
        <v>0</v>
      </c>
      <c r="CH488">
        <v>0</v>
      </c>
      <c r="CI488">
        <v>0</v>
      </c>
      <c r="CJ488">
        <v>0</v>
      </c>
      <c r="CK488">
        <v>0</v>
      </c>
      <c r="CL488">
        <v>0</v>
      </c>
      <c r="CM488">
        <v>0</v>
      </c>
      <c r="CN488" t="str">
        <f t="shared" si="529"/>
        <v>refOK</v>
      </c>
      <c r="CO488">
        <f t="shared" si="554"/>
        <v>96</v>
      </c>
      <c r="CP488">
        <f t="shared" si="555"/>
        <v>124</v>
      </c>
      <c r="CQ488">
        <f t="shared" si="532"/>
        <v>57.142857142857146</v>
      </c>
      <c r="CR488">
        <f t="shared" si="533"/>
        <v>-145</v>
      </c>
      <c r="CS488">
        <f t="shared" si="534"/>
        <v>-165</v>
      </c>
      <c r="CT488">
        <f t="shared" si="535"/>
        <v>-0.02</v>
      </c>
      <c r="CU488">
        <f t="shared" si="536"/>
        <v>-3.5E-4</v>
      </c>
      <c r="CV488" s="2">
        <f t="shared" si="537"/>
        <v>-0.13793103448275862</v>
      </c>
      <c r="CW488" s="1" t="s">
        <v>263</v>
      </c>
      <c r="CX488" t="str">
        <f t="shared" si="538"/>
        <v>loc</v>
      </c>
      <c r="CY488" t="s">
        <v>444</v>
      </c>
      <c r="DB488">
        <v>50</v>
      </c>
      <c r="DC488" t="str">
        <f t="shared" si="540"/>
        <v>31-70</v>
      </c>
      <c r="DD488">
        <v>0</v>
      </c>
      <c r="DE488">
        <v>0</v>
      </c>
      <c r="DF488">
        <v>0</v>
      </c>
      <c r="DG488">
        <v>1</v>
      </c>
      <c r="DI488">
        <f t="shared" si="556"/>
        <v>1</v>
      </c>
      <c r="DJ488" t="str">
        <f t="shared" si="542"/>
        <v>TimberInput</v>
      </c>
      <c r="DK488">
        <f t="shared" si="543"/>
        <v>0</v>
      </c>
      <c r="DL488">
        <f t="shared" si="544"/>
        <v>0</v>
      </c>
      <c r="DM488">
        <f t="shared" si="545"/>
        <v>0</v>
      </c>
      <c r="DN488" t="str">
        <f t="shared" si="546"/>
        <v>Timber</v>
      </c>
      <c r="DO488">
        <v>0</v>
      </c>
      <c r="DP488">
        <v>0</v>
      </c>
      <c r="DQ488">
        <v>0</v>
      </c>
      <c r="DR488">
        <v>0</v>
      </c>
      <c r="DS488">
        <v>0</v>
      </c>
      <c r="DT488">
        <f t="shared" si="547"/>
        <v>0</v>
      </c>
      <c r="DU488" s="143" t="str">
        <f t="shared" si="548"/>
        <v>explicit C balance</v>
      </c>
      <c r="DV488">
        <v>0</v>
      </c>
      <c r="DW488">
        <v>0</v>
      </c>
      <c r="DX488">
        <v>0</v>
      </c>
      <c r="DY488">
        <v>0</v>
      </c>
      <c r="DZ488">
        <v>0</v>
      </c>
      <c r="EA488" s="143">
        <v>0</v>
      </c>
      <c r="EB488">
        <v>0</v>
      </c>
      <c r="EC488">
        <v>1</v>
      </c>
      <c r="ED488">
        <v>0</v>
      </c>
      <c r="EE488">
        <v>0</v>
      </c>
      <c r="EF488">
        <v>0</v>
      </c>
      <c r="EG488">
        <v>0</v>
      </c>
      <c r="EH488">
        <v>0</v>
      </c>
      <c r="EI488" s="2">
        <v>0</v>
      </c>
      <c r="EK488" t="str">
        <f t="shared" si="549"/>
        <v/>
      </c>
      <c r="EL488" t="str">
        <f t="shared" si="550"/>
        <v/>
      </c>
      <c r="EM488" s="2" t="str">
        <f t="shared" si="469"/>
        <v/>
      </c>
      <c r="EP488" t="str">
        <f>IF(ISNUMBER(BU488),IF(ABS(BU488-[5]QC_indicators!$B$2)&gt;3*[5]QC_indicators!$C$2,"C ratio",IF(ISNUMBER(BY488),IF(ABS(BY488-[5]QC_indicators!$B$1)&gt;3*[5]QC_indicators!$C$1,"DF","no"))),IF(ISNUMBER(BY488),IF(ABS(BY488-[5]QC_indicators!$B$1)&gt;3*[5]QC_indicators!$C$1,"DF","no")))</f>
        <v>no</v>
      </c>
      <c r="ER488" s="149" t="s">
        <v>349</v>
      </c>
      <c r="ET488" s="264" t="s">
        <v>3272</v>
      </c>
    </row>
    <row r="489" spans="1:150" ht="15" hidden="1" customHeight="1">
      <c r="A489" s="1" t="s">
        <v>247</v>
      </c>
      <c r="B489" t="s">
        <v>641</v>
      </c>
      <c r="C489" t="s">
        <v>642</v>
      </c>
      <c r="D489" t="s">
        <v>643</v>
      </c>
      <c r="E489" t="s">
        <v>644</v>
      </c>
      <c r="F489" t="s">
        <v>645</v>
      </c>
      <c r="G489" t="s">
        <v>253</v>
      </c>
      <c r="H489" t="s">
        <v>254</v>
      </c>
      <c r="I489">
        <v>2014</v>
      </c>
      <c r="J489">
        <v>76</v>
      </c>
      <c r="K489" t="s">
        <v>646</v>
      </c>
      <c r="M489" t="str">
        <f t="shared" si="510"/>
        <v>Dodoo_2014</v>
      </c>
      <c r="N489" t="s">
        <v>222</v>
      </c>
      <c r="O489" s="145" t="s">
        <v>223</v>
      </c>
      <c r="Q489" t="s">
        <v>256</v>
      </c>
      <c r="R489" s="255" t="s">
        <v>225</v>
      </c>
      <c r="S489" s="1" t="s">
        <v>647</v>
      </c>
      <c r="T489" t="s">
        <v>652</v>
      </c>
      <c r="U489" t="s">
        <v>653</v>
      </c>
      <c r="V489">
        <v>0</v>
      </c>
      <c r="W489">
        <v>0</v>
      </c>
      <c r="X489">
        <v>0</v>
      </c>
      <c r="Y489">
        <v>0</v>
      </c>
      <c r="Z489">
        <v>0</v>
      </c>
      <c r="AA489">
        <v>0</v>
      </c>
      <c r="AB489">
        <v>0</v>
      </c>
      <c r="AC489">
        <v>0</v>
      </c>
      <c r="AD489">
        <v>0</v>
      </c>
      <c r="AE489">
        <v>0</v>
      </c>
      <c r="AF489">
        <v>0</v>
      </c>
      <c r="AG489">
        <v>0</v>
      </c>
      <c r="AH489">
        <v>0</v>
      </c>
      <c r="AI489">
        <v>0</v>
      </c>
      <c r="AJ489">
        <v>0</v>
      </c>
      <c r="AK489">
        <v>1</v>
      </c>
      <c r="AL489">
        <v>0</v>
      </c>
      <c r="AM489">
        <v>0</v>
      </c>
      <c r="AN489">
        <v>0</v>
      </c>
      <c r="AO489">
        <v>0</v>
      </c>
      <c r="AP489">
        <v>0</v>
      </c>
      <c r="AQ489">
        <v>0</v>
      </c>
      <c r="AR489">
        <v>0</v>
      </c>
      <c r="AS489">
        <v>0</v>
      </c>
      <c r="AT489">
        <v>0</v>
      </c>
      <c r="AU489">
        <v>0</v>
      </c>
      <c r="AV489">
        <v>0</v>
      </c>
      <c r="AW489">
        <v>0</v>
      </c>
      <c r="AX489" s="141">
        <f t="shared" si="517"/>
        <v>1</v>
      </c>
      <c r="AY489" s="141">
        <f t="shared" si="518"/>
        <v>1</v>
      </c>
      <c r="AZ489">
        <f t="shared" si="519"/>
        <v>0</v>
      </c>
      <c r="BA489">
        <f t="shared" si="520"/>
        <v>0</v>
      </c>
      <c r="BB489">
        <f t="shared" si="521"/>
        <v>1</v>
      </c>
      <c r="BC489">
        <f t="shared" si="522"/>
        <v>0</v>
      </c>
      <c r="BD489">
        <f t="shared" si="523"/>
        <v>0</v>
      </c>
      <c r="BE489" t="str">
        <f t="array" ref="BE489">IF(AY489=1,INDEX($V$7:$AL$7,MATCH(TRUE,INDEX($V489:$AW489&lt;&gt;0,),0)),IF(AY489=0,INDEX($AM$7:$AW$7,MATCH(1,$AM489:$AW489,0)),IF(BF489="Multiple strategies","mixed drivers",IF(BF489="Supply chain","multiple supply","multiple silviculture"))))</f>
        <v>technologies/design switch</v>
      </c>
      <c r="BF489" s="2" t="str" cm="1">
        <f t="array" ref="BF489">IF(COUNTIF(AZ489:BB489,"&lt;&gt;0")=1,INDEX($V$4:$AW$4,MATCH(TRUE,INDEX($V489:$AW489&lt;&gt;0,),0)),IF(COUNTIF(AZ489:BB489,"&lt;&gt;0")=0,INDEX($AM$4:$AW$4,MATCH(1,$AM489:$AW489,0)),"Multiple strategies"))</f>
        <v>Technology</v>
      </c>
      <c r="BG489" s="1" t="s">
        <v>229</v>
      </c>
      <c r="BH489" t="s">
        <v>650</v>
      </c>
      <c r="BI489" s="260" t="s">
        <v>3307</v>
      </c>
      <c r="BJ489" t="s">
        <v>651</v>
      </c>
      <c r="BK489" s="260">
        <f t="shared" si="552"/>
        <v>96</v>
      </c>
      <c r="BL489" s="260">
        <v>124</v>
      </c>
      <c r="BN489">
        <f t="shared" si="524"/>
        <v>28</v>
      </c>
      <c r="BO489">
        <f t="shared" si="553"/>
        <v>57.142857142857146</v>
      </c>
      <c r="BP489" t="s">
        <v>232</v>
      </c>
      <c r="BQ489" s="260" t="s">
        <v>3309</v>
      </c>
      <c r="BR489" t="s">
        <v>262</v>
      </c>
      <c r="BS489">
        <v>33</v>
      </c>
      <c r="BT489">
        <v>39</v>
      </c>
      <c r="BU489" s="144">
        <v>1.1818181818181819</v>
      </c>
      <c r="BV489">
        <v>6</v>
      </c>
      <c r="BX489">
        <f t="shared" si="551"/>
        <v>6.0000000000000001E-3</v>
      </c>
      <c r="BY489">
        <f t="shared" si="468"/>
        <v>1.0499999999999999E-4</v>
      </c>
      <c r="BZ489">
        <v>0</v>
      </c>
      <c r="CA489">
        <v>0</v>
      </c>
      <c r="CB489">
        <v>0</v>
      </c>
      <c r="CC489">
        <v>0</v>
      </c>
      <c r="CD489">
        <v>0</v>
      </c>
      <c r="CE489">
        <v>0</v>
      </c>
      <c r="CF489">
        <v>0</v>
      </c>
      <c r="CG489">
        <v>0</v>
      </c>
      <c r="CH489">
        <v>0</v>
      </c>
      <c r="CI489">
        <v>0</v>
      </c>
      <c r="CJ489">
        <v>0</v>
      </c>
      <c r="CK489">
        <v>0</v>
      </c>
      <c r="CL489">
        <v>0</v>
      </c>
      <c r="CM489">
        <v>0</v>
      </c>
      <c r="CN489" t="str">
        <f t="shared" si="529"/>
        <v>refOK</v>
      </c>
      <c r="CO489">
        <f t="shared" si="554"/>
        <v>96</v>
      </c>
      <c r="CP489">
        <f t="shared" si="555"/>
        <v>124</v>
      </c>
      <c r="CQ489">
        <f t="shared" si="532"/>
        <v>57.142857142857146</v>
      </c>
      <c r="CR489">
        <f t="shared" si="533"/>
        <v>33</v>
      </c>
      <c r="CS489">
        <f t="shared" si="534"/>
        <v>39</v>
      </c>
      <c r="CT489">
        <f t="shared" si="535"/>
        <v>6.0000000000000001E-3</v>
      </c>
      <c r="CU489">
        <f t="shared" si="536"/>
        <v>1.0499999999999999E-4</v>
      </c>
      <c r="CV489" s="2">
        <f t="shared" si="537"/>
        <v>0.18181818181818182</v>
      </c>
      <c r="CW489" s="1" t="s">
        <v>263</v>
      </c>
      <c r="CX489" t="str">
        <f t="shared" si="538"/>
        <v>loc</v>
      </c>
      <c r="CY489" t="s">
        <v>444</v>
      </c>
      <c r="DB489">
        <v>50</v>
      </c>
      <c r="DC489" t="str">
        <f t="shared" si="540"/>
        <v>31-70</v>
      </c>
      <c r="DD489">
        <v>0</v>
      </c>
      <c r="DE489">
        <v>0</v>
      </c>
      <c r="DF489">
        <v>0</v>
      </c>
      <c r="DG489">
        <v>1</v>
      </c>
      <c r="DI489">
        <f t="shared" si="556"/>
        <v>1</v>
      </c>
      <c r="DJ489" t="str">
        <f t="shared" si="542"/>
        <v>TimberInput</v>
      </c>
      <c r="DK489">
        <f t="shared" si="543"/>
        <v>0</v>
      </c>
      <c r="DL489">
        <f t="shared" si="544"/>
        <v>0</v>
      </c>
      <c r="DM489">
        <f t="shared" si="545"/>
        <v>0</v>
      </c>
      <c r="DN489" t="str">
        <f t="shared" si="546"/>
        <v>Timber</v>
      </c>
      <c r="DO489">
        <v>0</v>
      </c>
      <c r="DP489">
        <v>0</v>
      </c>
      <c r="DQ489">
        <v>0</v>
      </c>
      <c r="DR489">
        <v>0</v>
      </c>
      <c r="DS489">
        <v>0</v>
      </c>
      <c r="DT489">
        <f t="shared" si="547"/>
        <v>0</v>
      </c>
      <c r="DU489" s="143" t="str">
        <f t="shared" si="548"/>
        <v>explicit C balance</v>
      </c>
      <c r="DV489">
        <v>0</v>
      </c>
      <c r="DW489">
        <v>0</v>
      </c>
      <c r="DX489">
        <v>0</v>
      </c>
      <c r="DY489">
        <v>1</v>
      </c>
      <c r="DZ489">
        <v>0</v>
      </c>
      <c r="EA489" s="143">
        <v>0</v>
      </c>
      <c r="EB489">
        <v>0</v>
      </c>
      <c r="EC489">
        <v>1</v>
      </c>
      <c r="ED489">
        <v>0</v>
      </c>
      <c r="EE489">
        <v>0</v>
      </c>
      <c r="EF489">
        <v>0</v>
      </c>
      <c r="EG489">
        <v>0</v>
      </c>
      <c r="EH489">
        <v>0</v>
      </c>
      <c r="EI489" s="2">
        <v>0</v>
      </c>
      <c r="EK489" t="str">
        <f t="shared" si="549"/>
        <v/>
      </c>
      <c r="EL489" t="str">
        <f t="shared" si="550"/>
        <v/>
      </c>
      <c r="EM489" s="2" t="str">
        <f t="shared" si="469"/>
        <v/>
      </c>
      <c r="EP489" t="str">
        <f>IF(ISNUMBER(BU489),IF(ABS(BU489-[5]QC_indicators!$B$2)&gt;3*[5]QC_indicators!$C$2,"C ratio",IF(ISNUMBER(BY489),IF(ABS(BY489-[5]QC_indicators!$B$1)&gt;3*[5]QC_indicators!$C$1,"DF","no"))),IF(ISNUMBER(BY489),IF(ABS(BY489-[5]QC_indicators!$B$1)&gt;3*[5]QC_indicators!$C$1,"DF","no")))</f>
        <v>no</v>
      </c>
      <c r="ER489" s="149" t="s">
        <v>349</v>
      </c>
      <c r="ET489" s="264" t="s">
        <v>3272</v>
      </c>
    </row>
    <row r="490" spans="1:150" ht="15" hidden="1" customHeight="1">
      <c r="A490" s="1" t="s">
        <v>247</v>
      </c>
      <c r="B490" t="s">
        <v>641</v>
      </c>
      <c r="C490" t="s">
        <v>642</v>
      </c>
      <c r="D490" t="s">
        <v>643</v>
      </c>
      <c r="E490" t="s">
        <v>644</v>
      </c>
      <c r="F490" t="s">
        <v>645</v>
      </c>
      <c r="G490" t="s">
        <v>253</v>
      </c>
      <c r="H490" t="s">
        <v>254</v>
      </c>
      <c r="I490">
        <v>2014</v>
      </c>
      <c r="J490">
        <v>76</v>
      </c>
      <c r="K490" t="s">
        <v>646</v>
      </c>
      <c r="M490" t="str">
        <f t="shared" si="510"/>
        <v>Dodoo_2014</v>
      </c>
      <c r="N490" t="s">
        <v>222</v>
      </c>
      <c r="O490" s="145" t="s">
        <v>223</v>
      </c>
      <c r="Q490" t="s">
        <v>256</v>
      </c>
      <c r="R490" s="255" t="s">
        <v>225</v>
      </c>
      <c r="S490" s="1" t="s">
        <v>647</v>
      </c>
      <c r="T490" t="s">
        <v>652</v>
      </c>
      <c r="U490" t="s">
        <v>654</v>
      </c>
      <c r="V490">
        <v>0</v>
      </c>
      <c r="W490">
        <v>0</v>
      </c>
      <c r="X490">
        <v>0</v>
      </c>
      <c r="Y490">
        <v>0</v>
      </c>
      <c r="Z490">
        <v>0</v>
      </c>
      <c r="AA490">
        <v>0</v>
      </c>
      <c r="AB490">
        <v>0</v>
      </c>
      <c r="AC490">
        <v>0</v>
      </c>
      <c r="AD490">
        <v>0</v>
      </c>
      <c r="AE490">
        <v>0</v>
      </c>
      <c r="AF490">
        <v>0</v>
      </c>
      <c r="AG490">
        <v>0</v>
      </c>
      <c r="AH490">
        <v>0</v>
      </c>
      <c r="AI490">
        <v>0</v>
      </c>
      <c r="AJ490">
        <v>0</v>
      </c>
      <c r="AK490">
        <v>1</v>
      </c>
      <c r="AL490">
        <v>0</v>
      </c>
      <c r="AM490">
        <v>0</v>
      </c>
      <c r="AN490">
        <v>0</v>
      </c>
      <c r="AO490">
        <v>0</v>
      </c>
      <c r="AP490">
        <v>0</v>
      </c>
      <c r="AQ490">
        <v>0</v>
      </c>
      <c r="AR490">
        <v>0</v>
      </c>
      <c r="AS490">
        <v>0</v>
      </c>
      <c r="AT490">
        <v>0</v>
      </c>
      <c r="AU490">
        <v>0</v>
      </c>
      <c r="AV490">
        <v>0</v>
      </c>
      <c r="AW490">
        <v>0</v>
      </c>
      <c r="AX490" s="141">
        <f t="shared" si="517"/>
        <v>1</v>
      </c>
      <c r="AY490" s="141">
        <f t="shared" si="518"/>
        <v>1</v>
      </c>
      <c r="AZ490">
        <f t="shared" si="519"/>
        <v>0</v>
      </c>
      <c r="BA490">
        <f t="shared" si="520"/>
        <v>0</v>
      </c>
      <c r="BB490">
        <f t="shared" si="521"/>
        <v>1</v>
      </c>
      <c r="BC490">
        <f t="shared" si="522"/>
        <v>0</v>
      </c>
      <c r="BD490">
        <f t="shared" si="523"/>
        <v>0</v>
      </c>
      <c r="BE490" t="str">
        <f t="array" ref="BE490">IF(AY490=1,INDEX($V$7:$AL$7,MATCH(TRUE,INDEX($V490:$AW490&lt;&gt;0,),0)),IF(AY490=0,INDEX($AM$7:$AW$7,MATCH(1,$AM490:$AW490,0)),IF(BF490="Multiple strategies","mixed drivers",IF(BF490="Supply chain","multiple supply","multiple silviculture"))))</f>
        <v>technologies/design switch</v>
      </c>
      <c r="BF490" s="2" t="str" cm="1">
        <f t="array" ref="BF490">IF(COUNTIF(AZ490:BB490,"&lt;&gt;0")=1,INDEX($V$4:$AW$4,MATCH(TRUE,INDEX($V490:$AW490&lt;&gt;0,),0)),IF(COUNTIF(AZ490:BB490,"&lt;&gt;0")=0,INDEX($AM$4:$AW$4,MATCH(1,$AM490:$AW490,0)),"Multiple strategies"))</f>
        <v>Technology</v>
      </c>
      <c r="BG490" s="1" t="s">
        <v>229</v>
      </c>
      <c r="BH490" t="s">
        <v>650</v>
      </c>
      <c r="BI490" s="260" t="s">
        <v>3307</v>
      </c>
      <c r="BJ490" t="s">
        <v>651</v>
      </c>
      <c r="BK490" s="260">
        <f t="shared" si="552"/>
        <v>96</v>
      </c>
      <c r="BL490" s="260">
        <v>141</v>
      </c>
      <c r="BN490">
        <f t="shared" si="524"/>
        <v>45</v>
      </c>
      <c r="BO490">
        <f t="shared" si="553"/>
        <v>91.83673469387756</v>
      </c>
      <c r="BP490" t="s">
        <v>232</v>
      </c>
      <c r="BQ490" s="260" t="s">
        <v>3308</v>
      </c>
      <c r="BR490" t="s">
        <v>262</v>
      </c>
      <c r="BS490">
        <v>-145</v>
      </c>
      <c r="BT490">
        <v>-133</v>
      </c>
      <c r="BU490" s="144">
        <v>0.91724137931034477</v>
      </c>
      <c r="BV490">
        <v>12</v>
      </c>
      <c r="BX490">
        <f t="shared" si="551"/>
        <v>1.2E-2</v>
      </c>
      <c r="BY490">
        <f t="shared" si="468"/>
        <v>1.3066666666666665E-4</v>
      </c>
      <c r="BZ490">
        <v>0</v>
      </c>
      <c r="CA490">
        <v>0</v>
      </c>
      <c r="CB490">
        <v>0</v>
      </c>
      <c r="CC490">
        <v>0</v>
      </c>
      <c r="CD490">
        <v>0</v>
      </c>
      <c r="CE490">
        <v>0</v>
      </c>
      <c r="CF490">
        <v>0</v>
      </c>
      <c r="CG490">
        <v>0</v>
      </c>
      <c r="CH490">
        <v>0</v>
      </c>
      <c r="CI490">
        <v>0</v>
      </c>
      <c r="CJ490">
        <v>0</v>
      </c>
      <c r="CK490">
        <v>0</v>
      </c>
      <c r="CL490">
        <v>0</v>
      </c>
      <c r="CM490">
        <v>0</v>
      </c>
      <c r="CN490" t="str">
        <f t="shared" si="529"/>
        <v>refOK</v>
      </c>
      <c r="CO490">
        <f t="shared" si="554"/>
        <v>96</v>
      </c>
      <c r="CP490">
        <f t="shared" si="555"/>
        <v>141</v>
      </c>
      <c r="CQ490">
        <f t="shared" si="532"/>
        <v>91.83673469387756</v>
      </c>
      <c r="CR490">
        <f t="shared" si="533"/>
        <v>-145</v>
      </c>
      <c r="CS490">
        <f t="shared" si="534"/>
        <v>-133</v>
      </c>
      <c r="CT490">
        <f t="shared" si="535"/>
        <v>1.2E-2</v>
      </c>
      <c r="CU490">
        <f t="shared" si="536"/>
        <v>1.3066666666666665E-4</v>
      </c>
      <c r="CV490" s="2">
        <f t="shared" si="537"/>
        <v>8.2758620689655171E-2</v>
      </c>
      <c r="CW490" s="1" t="s">
        <v>263</v>
      </c>
      <c r="CX490" t="str">
        <f t="shared" si="538"/>
        <v>loc</v>
      </c>
      <c r="CY490" t="s">
        <v>444</v>
      </c>
      <c r="DB490">
        <v>50</v>
      </c>
      <c r="DC490" t="str">
        <f t="shared" si="540"/>
        <v>31-70</v>
      </c>
      <c r="DD490">
        <v>0</v>
      </c>
      <c r="DE490">
        <v>0</v>
      </c>
      <c r="DF490">
        <v>0</v>
      </c>
      <c r="DG490">
        <v>1</v>
      </c>
      <c r="DI490">
        <f t="shared" si="556"/>
        <v>1</v>
      </c>
      <c r="DJ490" t="str">
        <f t="shared" si="542"/>
        <v>TimberInput</v>
      </c>
      <c r="DK490">
        <f t="shared" si="543"/>
        <v>0</v>
      </c>
      <c r="DL490">
        <f t="shared" si="544"/>
        <v>0</v>
      </c>
      <c r="DM490">
        <f t="shared" si="545"/>
        <v>0</v>
      </c>
      <c r="DN490" t="str">
        <f t="shared" si="546"/>
        <v>Timber</v>
      </c>
      <c r="DO490">
        <v>0</v>
      </c>
      <c r="DP490">
        <v>0</v>
      </c>
      <c r="DQ490">
        <v>0</v>
      </c>
      <c r="DR490">
        <v>0</v>
      </c>
      <c r="DS490">
        <v>0</v>
      </c>
      <c r="DT490">
        <f t="shared" si="547"/>
        <v>0</v>
      </c>
      <c r="DU490" s="143" t="str">
        <f t="shared" si="548"/>
        <v>explicit C balance</v>
      </c>
      <c r="DV490">
        <v>0</v>
      </c>
      <c r="DW490">
        <v>0</v>
      </c>
      <c r="DX490">
        <v>0</v>
      </c>
      <c r="DY490">
        <v>0</v>
      </c>
      <c r="DZ490">
        <v>0</v>
      </c>
      <c r="EA490" s="143">
        <v>0</v>
      </c>
      <c r="EB490">
        <v>0</v>
      </c>
      <c r="EC490">
        <v>1</v>
      </c>
      <c r="ED490">
        <v>0</v>
      </c>
      <c r="EE490">
        <v>0</v>
      </c>
      <c r="EF490">
        <v>0</v>
      </c>
      <c r="EG490">
        <v>0</v>
      </c>
      <c r="EH490">
        <v>0</v>
      </c>
      <c r="EI490" s="2">
        <v>0</v>
      </c>
      <c r="EK490" t="str">
        <f t="shared" si="549"/>
        <v/>
      </c>
      <c r="EL490" t="str">
        <f t="shared" si="550"/>
        <v/>
      </c>
      <c r="EM490" s="2" t="str">
        <f t="shared" si="469"/>
        <v/>
      </c>
      <c r="EP490" t="str">
        <f>IF(ISNUMBER(BU490),IF(ABS(BU490-[5]QC_indicators!$B$2)&gt;3*[5]QC_indicators!$C$2,"C ratio",IF(ISNUMBER(BY490),IF(ABS(BY490-[5]QC_indicators!$B$1)&gt;3*[5]QC_indicators!$C$1,"DF","no"))),IF(ISNUMBER(BY490),IF(ABS(BY490-[5]QC_indicators!$B$1)&gt;3*[5]QC_indicators!$C$1,"DF","no")))</f>
        <v>no</v>
      </c>
      <c r="ER490" s="149" t="s">
        <v>349</v>
      </c>
      <c r="ET490" s="264" t="s">
        <v>3272</v>
      </c>
    </row>
    <row r="491" spans="1:150" ht="15" hidden="1" customHeight="1">
      <c r="A491" s="1" t="s">
        <v>247</v>
      </c>
      <c r="B491" t="s">
        <v>641</v>
      </c>
      <c r="C491" t="s">
        <v>642</v>
      </c>
      <c r="D491" t="s">
        <v>643</v>
      </c>
      <c r="E491" t="s">
        <v>644</v>
      </c>
      <c r="F491" t="s">
        <v>645</v>
      </c>
      <c r="G491" t="s">
        <v>253</v>
      </c>
      <c r="H491" t="s">
        <v>254</v>
      </c>
      <c r="I491">
        <v>2014</v>
      </c>
      <c r="J491">
        <v>76</v>
      </c>
      <c r="K491" t="s">
        <v>646</v>
      </c>
      <c r="M491" t="str">
        <f t="shared" si="510"/>
        <v>Dodoo_2014</v>
      </c>
      <c r="N491" t="s">
        <v>222</v>
      </c>
      <c r="O491" s="145" t="s">
        <v>223</v>
      </c>
      <c r="Q491" t="s">
        <v>256</v>
      </c>
      <c r="R491" s="255" t="s">
        <v>225</v>
      </c>
      <c r="S491" s="1" t="s">
        <v>647</v>
      </c>
      <c r="T491" t="s">
        <v>648</v>
      </c>
      <c r="U491" t="s">
        <v>649</v>
      </c>
      <c r="V491">
        <v>0</v>
      </c>
      <c r="W491">
        <v>0</v>
      </c>
      <c r="X491">
        <v>0</v>
      </c>
      <c r="Y491">
        <v>0</v>
      </c>
      <c r="Z491">
        <v>0</v>
      </c>
      <c r="AA491">
        <v>0</v>
      </c>
      <c r="AB491">
        <v>0</v>
      </c>
      <c r="AC491">
        <v>0</v>
      </c>
      <c r="AD491">
        <v>0</v>
      </c>
      <c r="AE491">
        <v>0</v>
      </c>
      <c r="AF491">
        <v>0</v>
      </c>
      <c r="AG491">
        <v>0</v>
      </c>
      <c r="AH491">
        <v>0</v>
      </c>
      <c r="AI491">
        <v>0</v>
      </c>
      <c r="AJ491">
        <v>0</v>
      </c>
      <c r="AK491">
        <v>1</v>
      </c>
      <c r="AL491">
        <v>0</v>
      </c>
      <c r="AM491">
        <v>0</v>
      </c>
      <c r="AN491">
        <v>0</v>
      </c>
      <c r="AO491">
        <v>0</v>
      </c>
      <c r="AP491">
        <v>0</v>
      </c>
      <c r="AQ491">
        <v>0</v>
      </c>
      <c r="AR491">
        <v>0</v>
      </c>
      <c r="AS491">
        <v>0</v>
      </c>
      <c r="AT491">
        <v>0</v>
      </c>
      <c r="AU491">
        <v>0</v>
      </c>
      <c r="AV491">
        <v>0</v>
      </c>
      <c r="AW491">
        <v>0</v>
      </c>
      <c r="AX491" s="141">
        <f t="shared" si="517"/>
        <v>1</v>
      </c>
      <c r="AY491" s="141">
        <f t="shared" si="518"/>
        <v>1</v>
      </c>
      <c r="AZ491">
        <f t="shared" si="519"/>
        <v>0</v>
      </c>
      <c r="BA491">
        <f t="shared" si="520"/>
        <v>0</v>
      </c>
      <c r="BB491">
        <f t="shared" si="521"/>
        <v>1</v>
      </c>
      <c r="BC491">
        <f t="shared" si="522"/>
        <v>0</v>
      </c>
      <c r="BD491">
        <f t="shared" si="523"/>
        <v>0</v>
      </c>
      <c r="BE491" t="str">
        <f t="array" ref="BE491">IF(AY491=1,INDEX($V$7:$AL$7,MATCH(TRUE,INDEX($V491:$AW491&lt;&gt;0,),0)),IF(AY491=0,INDEX($AM$7:$AW$7,MATCH(1,$AM491:$AW491,0)),IF(BF491="Multiple strategies","mixed drivers",IF(BF491="Supply chain","multiple supply","multiple silviculture"))))</f>
        <v>technologies/design switch</v>
      </c>
      <c r="BF491" s="2" t="str" cm="1">
        <f t="array" ref="BF491">IF(COUNTIF(AZ491:BB491,"&lt;&gt;0")=1,INDEX($V$4:$AW$4,MATCH(TRUE,INDEX($V491:$AW491&lt;&gt;0,),0)),IF(COUNTIF(AZ491:BB491,"&lt;&gt;0")=0,INDEX($AM$4:$AW$4,MATCH(1,$AM491:$AW491,0)),"Multiple strategies"))</f>
        <v>Technology</v>
      </c>
      <c r="BG491" s="1" t="s">
        <v>229</v>
      </c>
      <c r="BH491" t="s">
        <v>650</v>
      </c>
      <c r="BI491" s="260" t="s">
        <v>3307</v>
      </c>
      <c r="BJ491" t="s">
        <v>651</v>
      </c>
      <c r="BK491" s="260">
        <f t="shared" si="552"/>
        <v>96</v>
      </c>
      <c r="BL491" s="260">
        <v>120</v>
      </c>
      <c r="BN491">
        <f t="shared" si="524"/>
        <v>24</v>
      </c>
      <c r="BO491">
        <f t="shared" si="553"/>
        <v>48.979591836734699</v>
      </c>
      <c r="BP491" t="s">
        <v>232</v>
      </c>
      <c r="BQ491" s="260" t="s">
        <v>3309</v>
      </c>
      <c r="BR491" t="s">
        <v>262</v>
      </c>
      <c r="BS491">
        <v>27</v>
      </c>
      <c r="BT491">
        <v>38</v>
      </c>
      <c r="BU491" s="144">
        <v>1.4074074074074074</v>
      </c>
      <c r="BV491">
        <v>11</v>
      </c>
      <c r="BX491">
        <f t="shared" si="551"/>
        <v>1.0999999999999999E-2</v>
      </c>
      <c r="BY491">
        <f t="shared" si="468"/>
        <v>2.2458333333333331E-4</v>
      </c>
      <c r="BZ491">
        <v>0</v>
      </c>
      <c r="CA491">
        <v>0</v>
      </c>
      <c r="CB491">
        <v>0</v>
      </c>
      <c r="CC491">
        <v>0</v>
      </c>
      <c r="CD491">
        <v>0</v>
      </c>
      <c r="CE491">
        <v>0</v>
      </c>
      <c r="CF491">
        <v>0</v>
      </c>
      <c r="CG491">
        <v>0</v>
      </c>
      <c r="CH491">
        <v>0</v>
      </c>
      <c r="CI491">
        <v>0</v>
      </c>
      <c r="CJ491">
        <v>0</v>
      </c>
      <c r="CK491">
        <v>0</v>
      </c>
      <c r="CL491">
        <v>0</v>
      </c>
      <c r="CM491">
        <v>0</v>
      </c>
      <c r="CN491" t="str">
        <f t="shared" si="529"/>
        <v>refOK</v>
      </c>
      <c r="CO491">
        <f t="shared" si="554"/>
        <v>96</v>
      </c>
      <c r="CP491">
        <f t="shared" si="555"/>
        <v>120</v>
      </c>
      <c r="CQ491">
        <f t="shared" si="532"/>
        <v>48.979591836734699</v>
      </c>
      <c r="CR491">
        <f t="shared" si="533"/>
        <v>27</v>
      </c>
      <c r="CS491">
        <f t="shared" si="534"/>
        <v>38</v>
      </c>
      <c r="CT491">
        <f t="shared" si="535"/>
        <v>1.0999999999999999E-2</v>
      </c>
      <c r="CU491">
        <f t="shared" si="536"/>
        <v>2.2458333333333331E-4</v>
      </c>
      <c r="CV491" s="2">
        <f t="shared" si="537"/>
        <v>0.40740740740740738</v>
      </c>
      <c r="CW491" s="1" t="s">
        <v>263</v>
      </c>
      <c r="CX491" t="str">
        <f t="shared" si="538"/>
        <v>loc</v>
      </c>
      <c r="CY491" t="s">
        <v>444</v>
      </c>
      <c r="DB491">
        <v>50</v>
      </c>
      <c r="DC491" t="str">
        <f t="shared" si="540"/>
        <v>31-70</v>
      </c>
      <c r="DD491">
        <v>0</v>
      </c>
      <c r="DE491">
        <v>0</v>
      </c>
      <c r="DF491">
        <v>0</v>
      </c>
      <c r="DG491">
        <v>1</v>
      </c>
      <c r="DI491">
        <f t="shared" si="556"/>
        <v>1</v>
      </c>
      <c r="DJ491" t="str">
        <f t="shared" si="542"/>
        <v>TimberInput</v>
      </c>
      <c r="DK491">
        <f t="shared" si="543"/>
        <v>0</v>
      </c>
      <c r="DL491">
        <f t="shared" si="544"/>
        <v>0</v>
      </c>
      <c r="DM491">
        <f t="shared" si="545"/>
        <v>0</v>
      </c>
      <c r="DN491" t="str">
        <f t="shared" si="546"/>
        <v>Timber</v>
      </c>
      <c r="DO491">
        <v>0</v>
      </c>
      <c r="DP491">
        <v>0</v>
      </c>
      <c r="DQ491">
        <v>0</v>
      </c>
      <c r="DR491">
        <v>0</v>
      </c>
      <c r="DS491">
        <v>0</v>
      </c>
      <c r="DT491">
        <f t="shared" si="547"/>
        <v>0</v>
      </c>
      <c r="DU491" s="143" t="str">
        <f t="shared" si="548"/>
        <v>explicit C balance</v>
      </c>
      <c r="DV491">
        <v>0</v>
      </c>
      <c r="DW491">
        <v>0</v>
      </c>
      <c r="DX491">
        <v>0</v>
      </c>
      <c r="DY491">
        <v>1</v>
      </c>
      <c r="DZ491">
        <v>0</v>
      </c>
      <c r="EA491" s="143">
        <v>0</v>
      </c>
      <c r="EB491">
        <v>0</v>
      </c>
      <c r="EC491">
        <v>1</v>
      </c>
      <c r="ED491">
        <v>0</v>
      </c>
      <c r="EE491">
        <v>0</v>
      </c>
      <c r="EF491">
        <v>0</v>
      </c>
      <c r="EG491">
        <v>0</v>
      </c>
      <c r="EH491">
        <v>0</v>
      </c>
      <c r="EI491" s="2">
        <v>0</v>
      </c>
      <c r="EK491" t="str">
        <f t="shared" si="549"/>
        <v/>
      </c>
      <c r="EL491" t="str">
        <f t="shared" si="550"/>
        <v/>
      </c>
      <c r="EM491" s="2" t="str">
        <f t="shared" si="469"/>
        <v/>
      </c>
      <c r="EP491" t="str">
        <f>IF(ISNUMBER(BU491),IF(ABS(BU491-[5]QC_indicators!$B$2)&gt;3*[5]QC_indicators!$C$2,"C ratio",IF(ISNUMBER(BY491),IF(ABS(BY491-[5]QC_indicators!$B$1)&gt;3*[5]QC_indicators!$C$1,"DF","no"))),IF(ISNUMBER(BY491),IF(ABS(BY491-[5]QC_indicators!$B$1)&gt;3*[5]QC_indicators!$C$1,"DF","no")))</f>
        <v>no</v>
      </c>
      <c r="ER491" s="149" t="s">
        <v>349</v>
      </c>
      <c r="ET491" s="264" t="s">
        <v>3272</v>
      </c>
    </row>
    <row r="492" spans="1:150" ht="15" hidden="1" customHeight="1">
      <c r="A492" s="1" t="s">
        <v>247</v>
      </c>
      <c r="B492" t="s">
        <v>641</v>
      </c>
      <c r="C492" t="s">
        <v>642</v>
      </c>
      <c r="D492" t="s">
        <v>643</v>
      </c>
      <c r="E492" t="s">
        <v>644</v>
      </c>
      <c r="F492" t="s">
        <v>645</v>
      </c>
      <c r="G492" t="s">
        <v>253</v>
      </c>
      <c r="H492" t="s">
        <v>254</v>
      </c>
      <c r="I492">
        <v>2014</v>
      </c>
      <c r="J492">
        <v>76</v>
      </c>
      <c r="K492" t="s">
        <v>646</v>
      </c>
      <c r="M492" t="str">
        <f t="shared" si="510"/>
        <v>Dodoo_2014</v>
      </c>
      <c r="N492" t="s">
        <v>222</v>
      </c>
      <c r="O492" s="145" t="s">
        <v>223</v>
      </c>
      <c r="Q492" t="s">
        <v>256</v>
      </c>
      <c r="R492" s="255" t="s">
        <v>225</v>
      </c>
      <c r="S492" s="1" t="s">
        <v>647</v>
      </c>
      <c r="T492" t="s">
        <v>648</v>
      </c>
      <c r="U492" t="s">
        <v>655</v>
      </c>
      <c r="V492">
        <v>0</v>
      </c>
      <c r="W492">
        <v>0</v>
      </c>
      <c r="X492">
        <v>0</v>
      </c>
      <c r="Y492">
        <v>0</v>
      </c>
      <c r="Z492">
        <v>0</v>
      </c>
      <c r="AA492">
        <v>0</v>
      </c>
      <c r="AB492">
        <v>0</v>
      </c>
      <c r="AC492">
        <v>0</v>
      </c>
      <c r="AD492">
        <v>0</v>
      </c>
      <c r="AE492">
        <v>0</v>
      </c>
      <c r="AF492">
        <v>0</v>
      </c>
      <c r="AG492">
        <v>0</v>
      </c>
      <c r="AH492">
        <v>0</v>
      </c>
      <c r="AI492">
        <v>0</v>
      </c>
      <c r="AJ492">
        <v>0</v>
      </c>
      <c r="AK492">
        <v>1</v>
      </c>
      <c r="AL492">
        <v>0</v>
      </c>
      <c r="AM492">
        <v>0</v>
      </c>
      <c r="AN492">
        <v>0</v>
      </c>
      <c r="AO492">
        <v>0</v>
      </c>
      <c r="AP492">
        <v>0</v>
      </c>
      <c r="AQ492">
        <v>0</v>
      </c>
      <c r="AR492">
        <v>0</v>
      </c>
      <c r="AS492">
        <v>0</v>
      </c>
      <c r="AT492">
        <v>0</v>
      </c>
      <c r="AU492">
        <v>0</v>
      </c>
      <c r="AV492">
        <v>0</v>
      </c>
      <c r="AW492">
        <v>0</v>
      </c>
      <c r="AX492" s="141">
        <f t="shared" si="517"/>
        <v>1</v>
      </c>
      <c r="AY492" s="141">
        <f t="shared" si="518"/>
        <v>1</v>
      </c>
      <c r="AZ492">
        <f t="shared" si="519"/>
        <v>0</v>
      </c>
      <c r="BA492">
        <f t="shared" si="520"/>
        <v>0</v>
      </c>
      <c r="BB492">
        <f t="shared" si="521"/>
        <v>1</v>
      </c>
      <c r="BC492">
        <f t="shared" si="522"/>
        <v>0</v>
      </c>
      <c r="BD492">
        <f t="shared" si="523"/>
        <v>0</v>
      </c>
      <c r="BE492" t="str">
        <f t="array" ref="BE492">IF(AY492=1,INDEX($V$7:$AL$7,MATCH(TRUE,INDEX($V492:$AW492&lt;&gt;0,),0)),IF(AY492=0,INDEX($AM$7:$AW$7,MATCH(1,$AM492:$AW492,0)),IF(BF492="Multiple strategies","mixed drivers",IF(BF492="Supply chain","multiple supply","multiple silviculture"))))</f>
        <v>technologies/design switch</v>
      </c>
      <c r="BF492" s="2" t="str" cm="1">
        <f t="array" ref="BF492">IF(COUNTIF(AZ492:BB492,"&lt;&gt;0")=1,INDEX($V$4:$AW$4,MATCH(TRUE,INDEX($V492:$AW492&lt;&gt;0,),0)),IF(COUNTIF(AZ492:BB492,"&lt;&gt;0")=0,INDEX($AM$4:$AW$4,MATCH(1,$AM492:$AW492,0)),"Multiple strategies"))</f>
        <v>Technology</v>
      </c>
      <c r="BG492" s="1" t="s">
        <v>229</v>
      </c>
      <c r="BH492" t="s">
        <v>650</v>
      </c>
      <c r="BI492" s="260" t="s">
        <v>3307</v>
      </c>
      <c r="BJ492" t="s">
        <v>651</v>
      </c>
      <c r="BK492" s="260">
        <f t="shared" si="552"/>
        <v>96</v>
      </c>
      <c r="BL492" s="260">
        <v>129.6</v>
      </c>
      <c r="BN492">
        <f t="shared" si="524"/>
        <v>33.599999999999994</v>
      </c>
      <c r="BO492">
        <f t="shared" si="553"/>
        <v>68.571428571428555</v>
      </c>
      <c r="BP492" t="s">
        <v>232</v>
      </c>
      <c r="BQ492" s="260" t="s">
        <v>3308</v>
      </c>
      <c r="BR492" t="s">
        <v>262</v>
      </c>
      <c r="BS492">
        <v>-139</v>
      </c>
      <c r="BT492">
        <v>-120</v>
      </c>
      <c r="BU492" s="144">
        <v>0.86330935251798557</v>
      </c>
      <c r="BV492">
        <v>19</v>
      </c>
      <c r="BX492">
        <f t="shared" si="551"/>
        <v>1.9E-2</v>
      </c>
      <c r="BY492">
        <f t="shared" ref="BY492:BY555" si="557">IFERROR(BX492/BO492,"")</f>
        <v>2.7708333333333339E-4</v>
      </c>
      <c r="BZ492">
        <v>0</v>
      </c>
      <c r="CA492">
        <v>0</v>
      </c>
      <c r="CB492">
        <v>0</v>
      </c>
      <c r="CC492">
        <v>0</v>
      </c>
      <c r="CD492">
        <v>0</v>
      </c>
      <c r="CE492">
        <v>0</v>
      </c>
      <c r="CF492">
        <v>0</v>
      </c>
      <c r="CG492">
        <v>0</v>
      </c>
      <c r="CH492">
        <v>0</v>
      </c>
      <c r="CI492">
        <v>0</v>
      </c>
      <c r="CJ492">
        <v>0</v>
      </c>
      <c r="CK492">
        <v>0</v>
      </c>
      <c r="CL492">
        <v>0</v>
      </c>
      <c r="CM492">
        <v>0</v>
      </c>
      <c r="CN492" t="str">
        <f t="shared" si="529"/>
        <v>refOK</v>
      </c>
      <c r="CO492">
        <f t="shared" si="554"/>
        <v>96</v>
      </c>
      <c r="CP492">
        <f t="shared" si="555"/>
        <v>129.6</v>
      </c>
      <c r="CQ492">
        <f t="shared" si="532"/>
        <v>68.571428571428555</v>
      </c>
      <c r="CR492">
        <f t="shared" si="533"/>
        <v>-139</v>
      </c>
      <c r="CS492">
        <f t="shared" si="534"/>
        <v>-120</v>
      </c>
      <c r="CT492">
        <f t="shared" si="535"/>
        <v>1.9E-2</v>
      </c>
      <c r="CU492">
        <f t="shared" si="536"/>
        <v>2.7708333333333339E-4</v>
      </c>
      <c r="CV492" s="2">
        <f t="shared" si="537"/>
        <v>0.1366906474820144</v>
      </c>
      <c r="CW492" s="1" t="s">
        <v>263</v>
      </c>
      <c r="CX492" t="str">
        <f t="shared" si="538"/>
        <v>loc</v>
      </c>
      <c r="CY492" t="s">
        <v>444</v>
      </c>
      <c r="DB492">
        <v>50</v>
      </c>
      <c r="DC492" t="str">
        <f t="shared" si="540"/>
        <v>31-70</v>
      </c>
      <c r="DD492">
        <v>0</v>
      </c>
      <c r="DE492">
        <v>0</v>
      </c>
      <c r="DF492">
        <v>0</v>
      </c>
      <c r="DG492">
        <v>1</v>
      </c>
      <c r="DI492">
        <f t="shared" si="556"/>
        <v>1</v>
      </c>
      <c r="DJ492" t="str">
        <f t="shared" si="542"/>
        <v>TimberInput</v>
      </c>
      <c r="DK492">
        <f t="shared" si="543"/>
        <v>0</v>
      </c>
      <c r="DL492">
        <f t="shared" si="544"/>
        <v>0</v>
      </c>
      <c r="DM492">
        <f t="shared" si="545"/>
        <v>0</v>
      </c>
      <c r="DN492" t="str">
        <f t="shared" si="546"/>
        <v>Timber</v>
      </c>
      <c r="DO492">
        <v>0</v>
      </c>
      <c r="DP492">
        <v>0</v>
      </c>
      <c r="DQ492">
        <v>0</v>
      </c>
      <c r="DR492">
        <v>0</v>
      </c>
      <c r="DS492">
        <v>0</v>
      </c>
      <c r="DT492">
        <f t="shared" si="547"/>
        <v>0</v>
      </c>
      <c r="DU492" s="143" t="str">
        <f t="shared" si="548"/>
        <v>explicit C balance</v>
      </c>
      <c r="DV492">
        <v>0</v>
      </c>
      <c r="DW492">
        <v>0</v>
      </c>
      <c r="DX492">
        <v>0</v>
      </c>
      <c r="DY492">
        <v>0</v>
      </c>
      <c r="DZ492">
        <v>0</v>
      </c>
      <c r="EA492" s="143">
        <v>0</v>
      </c>
      <c r="EB492">
        <v>0</v>
      </c>
      <c r="EC492">
        <v>1</v>
      </c>
      <c r="ED492">
        <v>0</v>
      </c>
      <c r="EE492">
        <v>0</v>
      </c>
      <c r="EF492">
        <v>0</v>
      </c>
      <c r="EG492">
        <v>0</v>
      </c>
      <c r="EH492">
        <v>0</v>
      </c>
      <c r="EI492" s="2">
        <v>0</v>
      </c>
      <c r="EK492" t="str">
        <f t="shared" si="549"/>
        <v/>
      </c>
      <c r="EL492" t="str">
        <f t="shared" si="550"/>
        <v/>
      </c>
      <c r="EM492" s="2" t="str">
        <f t="shared" ref="EM492:EM555" si="558">IF(AND(AND(AND($DX492=0,$DW492=0),OR($EC492=1,$EA492=1)),SUM($EB492:$EE492)&gt;=2),"Technology approach","")</f>
        <v/>
      </c>
      <c r="EP492" t="str">
        <f>IF(ISNUMBER(BU492),IF(ABS(BU492-[5]QC_indicators!$B$2)&gt;3*[5]QC_indicators!$C$2,"C ratio",IF(ISNUMBER(BY492),IF(ABS(BY492-[5]QC_indicators!$B$1)&gt;3*[5]QC_indicators!$C$1,"DF","no"))),IF(ISNUMBER(BY492),IF(ABS(BY492-[5]QC_indicators!$B$1)&gt;3*[5]QC_indicators!$C$1,"DF","no")))</f>
        <v>no</v>
      </c>
      <c r="ER492" s="149" t="s">
        <v>349</v>
      </c>
      <c r="ET492" s="264" t="s">
        <v>3272</v>
      </c>
    </row>
    <row r="493" spans="1:150" ht="15" hidden="1" customHeight="1">
      <c r="A493" s="1" t="s">
        <v>247</v>
      </c>
      <c r="B493" t="s">
        <v>641</v>
      </c>
      <c r="C493" t="s">
        <v>642</v>
      </c>
      <c r="D493" t="s">
        <v>643</v>
      </c>
      <c r="E493" t="s">
        <v>644</v>
      </c>
      <c r="F493" t="s">
        <v>645</v>
      </c>
      <c r="G493" t="s">
        <v>253</v>
      </c>
      <c r="H493" t="s">
        <v>254</v>
      </c>
      <c r="I493">
        <v>2014</v>
      </c>
      <c r="J493">
        <v>76</v>
      </c>
      <c r="K493" t="s">
        <v>646</v>
      </c>
      <c r="M493" t="str">
        <f t="shared" si="510"/>
        <v>Dodoo_2014</v>
      </c>
      <c r="N493" t="s">
        <v>222</v>
      </c>
      <c r="O493" s="145" t="s">
        <v>223</v>
      </c>
      <c r="Q493" t="s">
        <v>256</v>
      </c>
      <c r="R493" s="255" t="s">
        <v>225</v>
      </c>
      <c r="S493" s="1" t="s">
        <v>647</v>
      </c>
      <c r="T493" t="s">
        <v>652</v>
      </c>
      <c r="U493" t="s">
        <v>654</v>
      </c>
      <c r="V493">
        <v>0</v>
      </c>
      <c r="W493">
        <v>0</v>
      </c>
      <c r="X493">
        <v>0</v>
      </c>
      <c r="Y493">
        <v>0</v>
      </c>
      <c r="Z493">
        <v>0</v>
      </c>
      <c r="AA493">
        <v>0</v>
      </c>
      <c r="AB493">
        <v>0</v>
      </c>
      <c r="AC493">
        <v>0</v>
      </c>
      <c r="AD493">
        <v>0</v>
      </c>
      <c r="AE493">
        <v>0</v>
      </c>
      <c r="AF493">
        <v>0</v>
      </c>
      <c r="AG493">
        <v>0</v>
      </c>
      <c r="AH493">
        <v>0</v>
      </c>
      <c r="AI493">
        <v>0</v>
      </c>
      <c r="AJ493">
        <v>0</v>
      </c>
      <c r="AK493">
        <v>1</v>
      </c>
      <c r="AL493">
        <v>0</v>
      </c>
      <c r="AM493">
        <v>0</v>
      </c>
      <c r="AN493">
        <v>0</v>
      </c>
      <c r="AO493">
        <v>0</v>
      </c>
      <c r="AP493">
        <v>0</v>
      </c>
      <c r="AQ493">
        <v>0</v>
      </c>
      <c r="AR493">
        <v>0</v>
      </c>
      <c r="AS493">
        <v>0</v>
      </c>
      <c r="AT493">
        <v>0</v>
      </c>
      <c r="AU493">
        <v>0</v>
      </c>
      <c r="AV493">
        <v>0</v>
      </c>
      <c r="AW493">
        <v>0</v>
      </c>
      <c r="AX493" s="141">
        <f t="shared" si="517"/>
        <v>1</v>
      </c>
      <c r="AY493" s="141">
        <f t="shared" si="518"/>
        <v>1</v>
      </c>
      <c r="AZ493">
        <f t="shared" si="519"/>
        <v>0</v>
      </c>
      <c r="BA493">
        <f t="shared" si="520"/>
        <v>0</v>
      </c>
      <c r="BB493">
        <f t="shared" si="521"/>
        <v>1</v>
      </c>
      <c r="BC493">
        <f t="shared" si="522"/>
        <v>0</v>
      </c>
      <c r="BD493">
        <f t="shared" si="523"/>
        <v>0</v>
      </c>
      <c r="BE493" t="str">
        <f t="array" ref="BE493">IF(AY493=1,INDEX($V$7:$AL$7,MATCH(TRUE,INDEX($V493:$AW493&lt;&gt;0,),0)),IF(AY493=0,INDEX($AM$7:$AW$7,MATCH(1,$AM493:$AW493,0)),IF(BF493="Multiple strategies","mixed drivers",IF(BF493="Supply chain","multiple supply","multiple silviculture"))))</f>
        <v>technologies/design switch</v>
      </c>
      <c r="BF493" s="2" t="str" cm="1">
        <f t="array" ref="BF493">IF(COUNTIF(AZ493:BB493,"&lt;&gt;0")=1,INDEX($V$4:$AW$4,MATCH(TRUE,INDEX($V493:$AW493&lt;&gt;0,),0)),IF(COUNTIF(AZ493:BB493,"&lt;&gt;0")=0,INDEX($AM$4:$AW$4,MATCH(1,$AM493:$AW493,0)),"Multiple strategies"))</f>
        <v>Technology</v>
      </c>
      <c r="BG493" s="1" t="s">
        <v>229</v>
      </c>
      <c r="BH493" t="s">
        <v>650</v>
      </c>
      <c r="BI493" s="260" t="s">
        <v>3307</v>
      </c>
      <c r="BJ493" t="s">
        <v>651</v>
      </c>
      <c r="BK493" s="260">
        <f t="shared" si="552"/>
        <v>96</v>
      </c>
      <c r="BL493" s="260">
        <v>141</v>
      </c>
      <c r="BN493">
        <f t="shared" si="524"/>
        <v>45</v>
      </c>
      <c r="BO493">
        <f t="shared" si="553"/>
        <v>91.83673469387756</v>
      </c>
      <c r="BP493" t="s">
        <v>232</v>
      </c>
      <c r="BQ493" s="260" t="s">
        <v>3309</v>
      </c>
      <c r="BR493" t="s">
        <v>262</v>
      </c>
      <c r="BS493">
        <v>33</v>
      </c>
      <c r="BT493">
        <v>98</v>
      </c>
      <c r="BU493" s="144">
        <v>2.9696969696969697</v>
      </c>
      <c r="BV493">
        <v>65</v>
      </c>
      <c r="BX493">
        <f t="shared" si="551"/>
        <v>6.5000000000000002E-2</v>
      </c>
      <c r="BY493">
        <f t="shared" si="557"/>
        <v>7.0777777777777777E-4</v>
      </c>
      <c r="BZ493">
        <v>0</v>
      </c>
      <c r="CA493">
        <v>0</v>
      </c>
      <c r="CB493">
        <v>0</v>
      </c>
      <c r="CC493">
        <v>0</v>
      </c>
      <c r="CD493">
        <v>0</v>
      </c>
      <c r="CE493">
        <v>0</v>
      </c>
      <c r="CF493">
        <v>0</v>
      </c>
      <c r="CG493">
        <v>0</v>
      </c>
      <c r="CH493">
        <v>0</v>
      </c>
      <c r="CI493">
        <v>0</v>
      </c>
      <c r="CJ493">
        <v>0</v>
      </c>
      <c r="CK493">
        <v>0</v>
      </c>
      <c r="CL493">
        <v>0</v>
      </c>
      <c r="CM493">
        <v>0</v>
      </c>
      <c r="CN493" t="str">
        <f t="shared" si="529"/>
        <v>refOK</v>
      </c>
      <c r="CO493">
        <f t="shared" si="554"/>
        <v>96</v>
      </c>
      <c r="CP493">
        <f t="shared" si="555"/>
        <v>141</v>
      </c>
      <c r="CQ493">
        <f t="shared" si="532"/>
        <v>91.83673469387756</v>
      </c>
      <c r="CR493">
        <f t="shared" si="533"/>
        <v>33</v>
      </c>
      <c r="CS493">
        <f t="shared" si="534"/>
        <v>98</v>
      </c>
      <c r="CT493">
        <f t="shared" si="535"/>
        <v>6.5000000000000002E-2</v>
      </c>
      <c r="CU493">
        <f t="shared" si="536"/>
        <v>7.0777777777777777E-4</v>
      </c>
      <c r="CV493" s="2">
        <f t="shared" si="537"/>
        <v>1.9696969696969697</v>
      </c>
      <c r="CW493" s="1" t="s">
        <v>263</v>
      </c>
      <c r="CX493" t="str">
        <f t="shared" si="538"/>
        <v>loc</v>
      </c>
      <c r="CY493" t="s">
        <v>444</v>
      </c>
      <c r="DB493">
        <v>50</v>
      </c>
      <c r="DC493" t="str">
        <f t="shared" si="540"/>
        <v>31-70</v>
      </c>
      <c r="DD493">
        <v>0</v>
      </c>
      <c r="DE493">
        <v>0</v>
      </c>
      <c r="DF493">
        <v>0</v>
      </c>
      <c r="DG493">
        <v>1</v>
      </c>
      <c r="DI493">
        <f t="shared" si="556"/>
        <v>1</v>
      </c>
      <c r="DJ493" t="str">
        <f t="shared" si="542"/>
        <v>TimberInput</v>
      </c>
      <c r="DK493">
        <f t="shared" si="543"/>
        <v>0</v>
      </c>
      <c r="DL493">
        <f t="shared" si="544"/>
        <v>0</v>
      </c>
      <c r="DM493">
        <f t="shared" si="545"/>
        <v>0</v>
      </c>
      <c r="DN493" t="str">
        <f t="shared" si="546"/>
        <v>Timber</v>
      </c>
      <c r="DO493">
        <v>0</v>
      </c>
      <c r="DP493">
        <v>0</v>
      </c>
      <c r="DQ493">
        <v>0</v>
      </c>
      <c r="DR493">
        <v>0</v>
      </c>
      <c r="DS493">
        <v>0</v>
      </c>
      <c r="DT493">
        <f t="shared" si="547"/>
        <v>0</v>
      </c>
      <c r="DU493" s="143" t="str">
        <f t="shared" si="548"/>
        <v>explicit C balance</v>
      </c>
      <c r="DV493">
        <v>0</v>
      </c>
      <c r="DW493">
        <v>0</v>
      </c>
      <c r="DX493">
        <v>0</v>
      </c>
      <c r="DY493">
        <v>1</v>
      </c>
      <c r="DZ493">
        <v>0</v>
      </c>
      <c r="EA493" s="143">
        <v>0</v>
      </c>
      <c r="EB493">
        <v>0</v>
      </c>
      <c r="EC493">
        <v>1</v>
      </c>
      <c r="ED493">
        <v>0</v>
      </c>
      <c r="EE493">
        <v>0</v>
      </c>
      <c r="EF493">
        <v>0</v>
      </c>
      <c r="EG493">
        <v>0</v>
      </c>
      <c r="EH493">
        <v>0</v>
      </c>
      <c r="EI493" s="2">
        <v>0</v>
      </c>
      <c r="EK493" t="str">
        <f t="shared" si="549"/>
        <v/>
      </c>
      <c r="EL493" t="str">
        <f t="shared" si="550"/>
        <v/>
      </c>
      <c r="EM493" s="2" t="str">
        <f t="shared" si="558"/>
        <v/>
      </c>
      <c r="EP493" t="str">
        <f>IF(ISNUMBER(BU493),IF(ABS(BU493-[5]QC_indicators!$B$2)&gt;3*[5]QC_indicators!$C$2,"C ratio",IF(ISNUMBER(BY493),IF(ABS(BY493-[5]QC_indicators!$B$1)&gt;3*[5]QC_indicators!$C$1,"DF","no"))),IF(ISNUMBER(BY493),IF(ABS(BY493-[5]QC_indicators!$B$1)&gt;3*[5]QC_indicators!$C$1,"DF","no")))</f>
        <v>no</v>
      </c>
      <c r="ER493" s="149" t="s">
        <v>349</v>
      </c>
      <c r="ET493" s="264" t="s">
        <v>3272</v>
      </c>
    </row>
    <row r="494" spans="1:150" ht="15" hidden="1" customHeight="1">
      <c r="A494" s="1" t="s">
        <v>247</v>
      </c>
      <c r="B494" t="s">
        <v>641</v>
      </c>
      <c r="C494" t="s">
        <v>642</v>
      </c>
      <c r="D494" t="s">
        <v>643</v>
      </c>
      <c r="E494" t="s">
        <v>644</v>
      </c>
      <c r="F494" t="s">
        <v>645</v>
      </c>
      <c r="G494" t="s">
        <v>253</v>
      </c>
      <c r="H494" t="s">
        <v>254</v>
      </c>
      <c r="I494">
        <v>2014</v>
      </c>
      <c r="J494">
        <v>76</v>
      </c>
      <c r="K494" t="s">
        <v>646</v>
      </c>
      <c r="M494" t="str">
        <f t="shared" si="510"/>
        <v>Dodoo_2014</v>
      </c>
      <c r="N494" t="s">
        <v>222</v>
      </c>
      <c r="O494" s="145" t="s">
        <v>223</v>
      </c>
      <c r="Q494" t="s">
        <v>256</v>
      </c>
      <c r="R494" s="255" t="s">
        <v>225</v>
      </c>
      <c r="S494" s="1" t="s">
        <v>647</v>
      </c>
      <c r="T494" t="s">
        <v>648</v>
      </c>
      <c r="U494" t="s">
        <v>655</v>
      </c>
      <c r="V494">
        <v>0</v>
      </c>
      <c r="W494">
        <v>0</v>
      </c>
      <c r="X494">
        <v>0</v>
      </c>
      <c r="Y494">
        <v>0</v>
      </c>
      <c r="Z494">
        <v>0</v>
      </c>
      <c r="AA494">
        <v>0</v>
      </c>
      <c r="AB494">
        <v>0</v>
      </c>
      <c r="AC494">
        <v>0</v>
      </c>
      <c r="AD494">
        <v>0</v>
      </c>
      <c r="AE494">
        <v>0</v>
      </c>
      <c r="AF494">
        <v>0</v>
      </c>
      <c r="AG494">
        <v>0</v>
      </c>
      <c r="AH494">
        <v>0</v>
      </c>
      <c r="AI494">
        <v>0</v>
      </c>
      <c r="AJ494">
        <v>0</v>
      </c>
      <c r="AK494">
        <v>1</v>
      </c>
      <c r="AL494">
        <v>0</v>
      </c>
      <c r="AM494">
        <v>0</v>
      </c>
      <c r="AN494">
        <v>0</v>
      </c>
      <c r="AO494">
        <v>0</v>
      </c>
      <c r="AP494">
        <v>0</v>
      </c>
      <c r="AQ494">
        <v>0</v>
      </c>
      <c r="AR494">
        <v>0</v>
      </c>
      <c r="AS494">
        <v>0</v>
      </c>
      <c r="AT494">
        <v>0</v>
      </c>
      <c r="AU494">
        <v>0</v>
      </c>
      <c r="AV494">
        <v>0</v>
      </c>
      <c r="AW494">
        <v>0</v>
      </c>
      <c r="AX494" s="141">
        <f t="shared" si="517"/>
        <v>1</v>
      </c>
      <c r="AY494" s="141">
        <f t="shared" si="518"/>
        <v>1</v>
      </c>
      <c r="AZ494">
        <f t="shared" si="519"/>
        <v>0</v>
      </c>
      <c r="BA494">
        <f t="shared" si="520"/>
        <v>0</v>
      </c>
      <c r="BB494">
        <f t="shared" si="521"/>
        <v>1</v>
      </c>
      <c r="BC494">
        <f t="shared" si="522"/>
        <v>0</v>
      </c>
      <c r="BD494">
        <f t="shared" si="523"/>
        <v>0</v>
      </c>
      <c r="BE494" t="str">
        <f t="array" ref="BE494">IF(AY494=1,INDEX($V$7:$AL$7,MATCH(TRUE,INDEX($V494:$AW494&lt;&gt;0,),0)),IF(AY494=0,INDEX($AM$7:$AW$7,MATCH(1,$AM494:$AW494,0)),IF(BF494="Multiple strategies","mixed drivers",IF(BF494="Supply chain","multiple supply","multiple silviculture"))))</f>
        <v>technologies/design switch</v>
      </c>
      <c r="BF494" s="2" t="str" cm="1">
        <f t="array" ref="BF494">IF(COUNTIF(AZ494:BB494,"&lt;&gt;0")=1,INDEX($V$4:$AW$4,MATCH(TRUE,INDEX($V494:$AW494&lt;&gt;0,),0)),IF(COUNTIF(AZ494:BB494,"&lt;&gt;0")=0,INDEX($AM$4:$AW$4,MATCH(1,$AM494:$AW494,0)),"Multiple strategies"))</f>
        <v>Technology</v>
      </c>
      <c r="BG494" s="1" t="s">
        <v>229</v>
      </c>
      <c r="BH494" t="s">
        <v>650</v>
      </c>
      <c r="BI494" s="260" t="s">
        <v>3307</v>
      </c>
      <c r="BJ494" t="s">
        <v>651</v>
      </c>
      <c r="BK494" s="260">
        <f t="shared" si="552"/>
        <v>96</v>
      </c>
      <c r="BL494" s="260">
        <v>129.6</v>
      </c>
      <c r="BN494">
        <f t="shared" si="524"/>
        <v>33.599999999999994</v>
      </c>
      <c r="BO494">
        <f t="shared" si="553"/>
        <v>68.571428571428555</v>
      </c>
      <c r="BP494" t="s">
        <v>232</v>
      </c>
      <c r="BQ494" s="260" t="s">
        <v>3309</v>
      </c>
      <c r="BR494" t="s">
        <v>262</v>
      </c>
      <c r="BS494">
        <v>27</v>
      </c>
      <c r="BT494">
        <v>93</v>
      </c>
      <c r="BU494" s="144">
        <v>3.4444444444444446</v>
      </c>
      <c r="BV494">
        <v>66</v>
      </c>
      <c r="BX494">
        <f t="shared" si="551"/>
        <v>6.6000000000000003E-2</v>
      </c>
      <c r="BY494">
        <f t="shared" si="557"/>
        <v>9.6250000000000025E-4</v>
      </c>
      <c r="BZ494">
        <v>0</v>
      </c>
      <c r="CA494">
        <v>0</v>
      </c>
      <c r="CB494">
        <v>0</v>
      </c>
      <c r="CC494">
        <v>0</v>
      </c>
      <c r="CD494">
        <v>0</v>
      </c>
      <c r="CE494">
        <v>0</v>
      </c>
      <c r="CF494">
        <v>0</v>
      </c>
      <c r="CG494">
        <v>0</v>
      </c>
      <c r="CH494">
        <v>0</v>
      </c>
      <c r="CI494">
        <v>0</v>
      </c>
      <c r="CJ494">
        <v>0</v>
      </c>
      <c r="CK494">
        <v>0</v>
      </c>
      <c r="CL494">
        <v>0</v>
      </c>
      <c r="CM494">
        <v>0</v>
      </c>
      <c r="CN494" t="str">
        <f t="shared" si="529"/>
        <v>refOK</v>
      </c>
      <c r="CO494">
        <f t="shared" si="554"/>
        <v>96</v>
      </c>
      <c r="CP494">
        <f t="shared" si="555"/>
        <v>129.6</v>
      </c>
      <c r="CQ494">
        <f t="shared" si="532"/>
        <v>68.571428571428555</v>
      </c>
      <c r="CR494">
        <f t="shared" si="533"/>
        <v>27</v>
      </c>
      <c r="CS494">
        <f t="shared" si="534"/>
        <v>93</v>
      </c>
      <c r="CT494">
        <f t="shared" si="535"/>
        <v>6.6000000000000003E-2</v>
      </c>
      <c r="CU494">
        <f t="shared" si="536"/>
        <v>9.6250000000000025E-4</v>
      </c>
      <c r="CV494" s="2">
        <f t="shared" si="537"/>
        <v>2.4444444444444446</v>
      </c>
      <c r="CW494" s="1" t="s">
        <v>263</v>
      </c>
      <c r="CX494" t="str">
        <f t="shared" si="538"/>
        <v>loc</v>
      </c>
      <c r="CY494" t="s">
        <v>444</v>
      </c>
      <c r="DB494">
        <v>50</v>
      </c>
      <c r="DC494" t="str">
        <f t="shared" si="540"/>
        <v>31-70</v>
      </c>
      <c r="DD494">
        <v>0</v>
      </c>
      <c r="DE494">
        <v>0</v>
      </c>
      <c r="DF494">
        <v>0</v>
      </c>
      <c r="DG494">
        <v>1</v>
      </c>
      <c r="DI494">
        <f t="shared" si="556"/>
        <v>1</v>
      </c>
      <c r="DJ494" t="str">
        <f t="shared" si="542"/>
        <v>TimberInput</v>
      </c>
      <c r="DK494">
        <f t="shared" si="543"/>
        <v>0</v>
      </c>
      <c r="DL494">
        <f t="shared" si="544"/>
        <v>0</v>
      </c>
      <c r="DM494">
        <f t="shared" si="545"/>
        <v>0</v>
      </c>
      <c r="DN494" t="str">
        <f t="shared" si="546"/>
        <v>Timber</v>
      </c>
      <c r="DO494">
        <v>0</v>
      </c>
      <c r="DP494">
        <v>0</v>
      </c>
      <c r="DQ494">
        <v>0</v>
      </c>
      <c r="DR494">
        <v>0</v>
      </c>
      <c r="DS494">
        <v>0</v>
      </c>
      <c r="DT494">
        <f t="shared" si="547"/>
        <v>0</v>
      </c>
      <c r="DU494" s="143" t="str">
        <f t="shared" si="548"/>
        <v>explicit C balance</v>
      </c>
      <c r="DV494">
        <v>0</v>
      </c>
      <c r="DW494">
        <v>0</v>
      </c>
      <c r="DX494">
        <v>0</v>
      </c>
      <c r="DY494">
        <v>1</v>
      </c>
      <c r="DZ494">
        <v>0</v>
      </c>
      <c r="EA494" s="143">
        <v>0</v>
      </c>
      <c r="EB494">
        <v>0</v>
      </c>
      <c r="EC494">
        <v>1</v>
      </c>
      <c r="ED494">
        <v>0</v>
      </c>
      <c r="EE494">
        <v>0</v>
      </c>
      <c r="EF494">
        <v>0</v>
      </c>
      <c r="EG494">
        <v>0</v>
      </c>
      <c r="EH494">
        <v>0</v>
      </c>
      <c r="EI494" s="2">
        <v>0</v>
      </c>
      <c r="EK494" t="str">
        <f t="shared" si="549"/>
        <v/>
      </c>
      <c r="EL494" t="str">
        <f t="shared" si="550"/>
        <v/>
      </c>
      <c r="EM494" s="2" t="str">
        <f t="shared" si="558"/>
        <v/>
      </c>
      <c r="EP494" t="str">
        <f>IF(ISNUMBER(BU494),IF(ABS(BU494-[5]QC_indicators!$B$2)&gt;3*[5]QC_indicators!$C$2,"C ratio",IF(ISNUMBER(BY494),IF(ABS(BY494-[5]QC_indicators!$B$1)&gt;3*[5]QC_indicators!$C$1,"DF","no"))),IF(ISNUMBER(BY494),IF(ABS(BY494-[5]QC_indicators!$B$1)&gt;3*[5]QC_indicators!$C$1,"DF","no")))</f>
        <v>no</v>
      </c>
      <c r="ER494" s="149" t="s">
        <v>349</v>
      </c>
      <c r="ET494" s="264" t="s">
        <v>3272</v>
      </c>
    </row>
    <row r="495" spans="1:150" ht="15" hidden="1" customHeight="1">
      <c r="A495" s="1" t="s">
        <v>247</v>
      </c>
      <c r="B495" t="s">
        <v>641</v>
      </c>
      <c r="C495" t="s">
        <v>642</v>
      </c>
      <c r="D495" t="s">
        <v>643</v>
      </c>
      <c r="E495" t="s">
        <v>644</v>
      </c>
      <c r="F495" t="s">
        <v>645</v>
      </c>
      <c r="G495" t="s">
        <v>253</v>
      </c>
      <c r="H495" t="s">
        <v>254</v>
      </c>
      <c r="I495">
        <v>2014</v>
      </c>
      <c r="J495">
        <v>76</v>
      </c>
      <c r="K495" t="s">
        <v>646</v>
      </c>
      <c r="M495" t="str">
        <f t="shared" si="510"/>
        <v>Dodoo_2014</v>
      </c>
      <c r="N495" t="s">
        <v>222</v>
      </c>
      <c r="O495" s="145" t="s">
        <v>223</v>
      </c>
      <c r="Q495" t="s">
        <v>256</v>
      </c>
      <c r="R495" s="255" t="s">
        <v>225</v>
      </c>
      <c r="S495" s="1" t="s">
        <v>647</v>
      </c>
      <c r="T495" t="s">
        <v>652</v>
      </c>
      <c r="U495" t="s">
        <v>654</v>
      </c>
      <c r="V495">
        <v>0</v>
      </c>
      <c r="W495">
        <v>0</v>
      </c>
      <c r="X495">
        <v>0</v>
      </c>
      <c r="Y495">
        <v>0</v>
      </c>
      <c r="Z495">
        <v>0</v>
      </c>
      <c r="AA495">
        <v>0</v>
      </c>
      <c r="AB495">
        <v>0</v>
      </c>
      <c r="AC495">
        <v>0</v>
      </c>
      <c r="AD495">
        <v>0</v>
      </c>
      <c r="AE495">
        <v>0</v>
      </c>
      <c r="AF495">
        <v>0</v>
      </c>
      <c r="AG495">
        <v>0</v>
      </c>
      <c r="AH495">
        <v>0</v>
      </c>
      <c r="AI495">
        <v>0</v>
      </c>
      <c r="AJ495">
        <v>0</v>
      </c>
      <c r="AK495">
        <v>1</v>
      </c>
      <c r="AL495">
        <v>0</v>
      </c>
      <c r="AM495">
        <v>0</v>
      </c>
      <c r="AN495">
        <v>0</v>
      </c>
      <c r="AO495">
        <v>0</v>
      </c>
      <c r="AP495">
        <v>0</v>
      </c>
      <c r="AQ495">
        <v>0</v>
      </c>
      <c r="AR495">
        <v>0</v>
      </c>
      <c r="AS495">
        <v>0</v>
      </c>
      <c r="AT495">
        <v>0</v>
      </c>
      <c r="AU495">
        <v>0</v>
      </c>
      <c r="AV495">
        <v>0</v>
      </c>
      <c r="AW495">
        <v>0</v>
      </c>
      <c r="AX495" s="141">
        <f t="shared" si="517"/>
        <v>1</v>
      </c>
      <c r="AY495" s="141">
        <f t="shared" si="518"/>
        <v>1</v>
      </c>
      <c r="AZ495">
        <f t="shared" si="519"/>
        <v>0</v>
      </c>
      <c r="BA495">
        <f t="shared" si="520"/>
        <v>0</v>
      </c>
      <c r="BB495">
        <f t="shared" si="521"/>
        <v>1</v>
      </c>
      <c r="BC495">
        <f t="shared" si="522"/>
        <v>0</v>
      </c>
      <c r="BD495">
        <f t="shared" si="523"/>
        <v>0</v>
      </c>
      <c r="BE495" t="str">
        <f t="array" ref="BE495">IF(AY495=1,INDEX($V$7:$AL$7,MATCH(TRUE,INDEX($V495:$AW495&lt;&gt;0,),0)),IF(AY495=0,INDEX($AM$7:$AW$7,MATCH(1,$AM495:$AW495,0)),IF(BF495="Multiple strategies","mixed drivers",IF(BF495="Supply chain","multiple supply","multiple silviculture"))))</f>
        <v>technologies/design switch</v>
      </c>
      <c r="BF495" s="2" t="str" cm="1">
        <f t="array" ref="BF495">IF(COUNTIF(AZ495:BB495,"&lt;&gt;0")=1,INDEX($V$4:$AW$4,MATCH(TRUE,INDEX($V495:$AW495&lt;&gt;0,),0)),IF(COUNTIF(AZ495:BB495,"&lt;&gt;0")=0,INDEX($AM$4:$AW$4,MATCH(1,$AM495:$AW495,0)),"Multiple strategies"))</f>
        <v>Technology</v>
      </c>
      <c r="BG495" s="1" t="s">
        <v>229</v>
      </c>
      <c r="BH495" t="s">
        <v>650</v>
      </c>
      <c r="BI495" s="260" t="s">
        <v>3307</v>
      </c>
      <c r="BJ495" t="s">
        <v>651</v>
      </c>
      <c r="BK495" s="260">
        <f t="shared" si="552"/>
        <v>96</v>
      </c>
      <c r="BL495" s="260">
        <v>141</v>
      </c>
      <c r="BN495">
        <f t="shared" si="524"/>
        <v>45</v>
      </c>
      <c r="BO495">
        <f t="shared" si="553"/>
        <v>91.83673469387756</v>
      </c>
      <c r="BP495" t="s">
        <v>232</v>
      </c>
      <c r="BQ495" s="260" t="s">
        <v>3310</v>
      </c>
      <c r="BR495" t="s">
        <v>262</v>
      </c>
      <c r="BS495">
        <v>257</v>
      </c>
      <c r="BT495">
        <v>541</v>
      </c>
      <c r="BU495" s="144">
        <v>2.1050583657587549</v>
      </c>
      <c r="BV495">
        <v>284</v>
      </c>
      <c r="BX495">
        <f t="shared" si="551"/>
        <v>0.28399999999999997</v>
      </c>
      <c r="BY495">
        <f t="shared" si="557"/>
        <v>3.0924444444444437E-3</v>
      </c>
      <c r="BZ495">
        <v>0</v>
      </c>
      <c r="CA495">
        <v>0</v>
      </c>
      <c r="CB495">
        <v>0</v>
      </c>
      <c r="CC495">
        <v>0</v>
      </c>
      <c r="CD495">
        <v>0</v>
      </c>
      <c r="CE495">
        <v>0</v>
      </c>
      <c r="CF495">
        <v>0</v>
      </c>
      <c r="CG495">
        <v>0</v>
      </c>
      <c r="CH495">
        <v>0</v>
      </c>
      <c r="CI495">
        <v>0</v>
      </c>
      <c r="CJ495">
        <v>0</v>
      </c>
      <c r="CK495">
        <v>0</v>
      </c>
      <c r="CL495">
        <v>0</v>
      </c>
      <c r="CM495">
        <v>0</v>
      </c>
      <c r="CN495" t="str">
        <f t="shared" si="529"/>
        <v>refOK</v>
      </c>
      <c r="CO495">
        <f t="shared" si="554"/>
        <v>96</v>
      </c>
      <c r="CP495">
        <f t="shared" si="555"/>
        <v>141</v>
      </c>
      <c r="CQ495">
        <f t="shared" si="532"/>
        <v>91.83673469387756</v>
      </c>
      <c r="CR495">
        <f t="shared" si="533"/>
        <v>257</v>
      </c>
      <c r="CS495">
        <f t="shared" si="534"/>
        <v>541</v>
      </c>
      <c r="CT495">
        <f t="shared" si="535"/>
        <v>0.28399999999999997</v>
      </c>
      <c r="CU495">
        <f t="shared" si="536"/>
        <v>3.0924444444444437E-3</v>
      </c>
      <c r="CV495" s="2">
        <f t="shared" si="537"/>
        <v>1.1050583657587549</v>
      </c>
      <c r="CW495" s="1" t="s">
        <v>263</v>
      </c>
      <c r="CX495" t="str">
        <f t="shared" si="538"/>
        <v>loc</v>
      </c>
      <c r="CY495" t="s">
        <v>444</v>
      </c>
      <c r="DB495">
        <v>50</v>
      </c>
      <c r="DC495" t="str">
        <f t="shared" si="540"/>
        <v>31-70</v>
      </c>
      <c r="DD495">
        <v>0</v>
      </c>
      <c r="DE495">
        <v>0</v>
      </c>
      <c r="DF495">
        <v>0</v>
      </c>
      <c r="DG495">
        <v>1</v>
      </c>
      <c r="DI495">
        <f t="shared" si="556"/>
        <v>1</v>
      </c>
      <c r="DJ495" t="str">
        <f t="shared" si="542"/>
        <v>TimberInput</v>
      </c>
      <c r="DK495">
        <f t="shared" si="543"/>
        <v>0</v>
      </c>
      <c r="DL495">
        <f t="shared" si="544"/>
        <v>0</v>
      </c>
      <c r="DM495">
        <f t="shared" si="545"/>
        <v>0</v>
      </c>
      <c r="DN495" t="str">
        <f t="shared" si="546"/>
        <v>Timber</v>
      </c>
      <c r="DO495">
        <v>0</v>
      </c>
      <c r="DP495">
        <v>0</v>
      </c>
      <c r="DQ495">
        <v>0</v>
      </c>
      <c r="DR495">
        <v>0</v>
      </c>
      <c r="DS495">
        <v>0</v>
      </c>
      <c r="DT495">
        <f t="shared" si="547"/>
        <v>0</v>
      </c>
      <c r="DU495" s="143" t="str">
        <f t="shared" si="548"/>
        <v>explicit C balance</v>
      </c>
      <c r="DV495">
        <v>0</v>
      </c>
      <c r="DW495">
        <v>0</v>
      </c>
      <c r="DX495">
        <v>0</v>
      </c>
      <c r="DY495">
        <v>1</v>
      </c>
      <c r="DZ495">
        <v>0</v>
      </c>
      <c r="EA495" s="264">
        <v>1</v>
      </c>
      <c r="EB495">
        <v>0</v>
      </c>
      <c r="EC495">
        <v>1</v>
      </c>
      <c r="ED495">
        <v>0</v>
      </c>
      <c r="EE495">
        <v>0</v>
      </c>
      <c r="EF495">
        <v>0</v>
      </c>
      <c r="EG495">
        <v>0</v>
      </c>
      <c r="EH495">
        <v>0</v>
      </c>
      <c r="EI495" s="2">
        <v>0</v>
      </c>
      <c r="EK495" t="str">
        <f t="shared" si="549"/>
        <v/>
      </c>
      <c r="EL495" t="str">
        <f t="shared" si="550"/>
        <v/>
      </c>
      <c r="EM495" s="2" t="str">
        <f t="shared" si="558"/>
        <v/>
      </c>
      <c r="EP495" t="str">
        <f>IF(ISNUMBER(BU495),IF(ABS(BU495-[5]QC_indicators!$B$2)&gt;3*[5]QC_indicators!$C$2,"C ratio",IF(ISNUMBER(BY495),IF(ABS(BY495-[5]QC_indicators!$B$1)&gt;3*[5]QC_indicators!$C$1,"DF","no"))),IF(ISNUMBER(BY495),IF(ABS(BY495-[5]QC_indicators!$B$1)&gt;3*[5]QC_indicators!$C$1,"DF","no")))</f>
        <v>no</v>
      </c>
      <c r="ER495" s="149" t="s">
        <v>349</v>
      </c>
      <c r="ET495" s="264" t="s">
        <v>3272</v>
      </c>
    </row>
    <row r="496" spans="1:150" ht="15" hidden="1" customHeight="1">
      <c r="A496" s="1" t="s">
        <v>247</v>
      </c>
      <c r="B496" t="s">
        <v>641</v>
      </c>
      <c r="C496" t="s">
        <v>642</v>
      </c>
      <c r="D496" t="s">
        <v>643</v>
      </c>
      <c r="E496" t="s">
        <v>644</v>
      </c>
      <c r="F496" t="s">
        <v>645</v>
      </c>
      <c r="G496" t="s">
        <v>253</v>
      </c>
      <c r="H496" t="s">
        <v>254</v>
      </c>
      <c r="I496">
        <v>2014</v>
      </c>
      <c r="J496">
        <v>76</v>
      </c>
      <c r="K496" t="s">
        <v>646</v>
      </c>
      <c r="M496" t="str">
        <f t="shared" si="510"/>
        <v>Dodoo_2014</v>
      </c>
      <c r="N496" t="s">
        <v>222</v>
      </c>
      <c r="O496" s="145" t="s">
        <v>223</v>
      </c>
      <c r="Q496" t="s">
        <v>256</v>
      </c>
      <c r="R496" s="255" t="s">
        <v>225</v>
      </c>
      <c r="S496" s="1" t="s">
        <v>647</v>
      </c>
      <c r="T496" t="s">
        <v>652</v>
      </c>
      <c r="U496" t="s">
        <v>653</v>
      </c>
      <c r="V496">
        <v>0</v>
      </c>
      <c r="W496">
        <v>0</v>
      </c>
      <c r="X496">
        <v>0</v>
      </c>
      <c r="Y496">
        <v>0</v>
      </c>
      <c r="Z496">
        <v>0</v>
      </c>
      <c r="AA496">
        <v>0</v>
      </c>
      <c r="AB496">
        <v>0</v>
      </c>
      <c r="AC496">
        <v>0</v>
      </c>
      <c r="AD496">
        <v>0</v>
      </c>
      <c r="AE496">
        <v>0</v>
      </c>
      <c r="AF496">
        <v>0</v>
      </c>
      <c r="AG496">
        <v>0</v>
      </c>
      <c r="AH496">
        <v>0</v>
      </c>
      <c r="AI496">
        <v>0</v>
      </c>
      <c r="AJ496">
        <v>0</v>
      </c>
      <c r="AK496">
        <v>1</v>
      </c>
      <c r="AL496">
        <v>0</v>
      </c>
      <c r="AM496">
        <v>0</v>
      </c>
      <c r="AN496">
        <v>0</v>
      </c>
      <c r="AO496">
        <v>0</v>
      </c>
      <c r="AP496">
        <v>0</v>
      </c>
      <c r="AQ496">
        <v>0</v>
      </c>
      <c r="AR496">
        <v>0</v>
      </c>
      <c r="AS496">
        <v>0</v>
      </c>
      <c r="AT496">
        <v>0</v>
      </c>
      <c r="AU496">
        <v>0</v>
      </c>
      <c r="AV496">
        <v>0</v>
      </c>
      <c r="AW496">
        <v>0</v>
      </c>
      <c r="AX496" s="141">
        <f t="shared" si="517"/>
        <v>1</v>
      </c>
      <c r="AY496" s="141">
        <f t="shared" si="518"/>
        <v>1</v>
      </c>
      <c r="AZ496">
        <f t="shared" si="519"/>
        <v>0</v>
      </c>
      <c r="BA496">
        <f t="shared" si="520"/>
        <v>0</v>
      </c>
      <c r="BB496">
        <f t="shared" si="521"/>
        <v>1</v>
      </c>
      <c r="BC496">
        <f t="shared" si="522"/>
        <v>0</v>
      </c>
      <c r="BD496">
        <f t="shared" si="523"/>
        <v>0</v>
      </c>
      <c r="BE496" t="str">
        <f t="array" ref="BE496">IF(AY496=1,INDEX($V$7:$AL$7,MATCH(TRUE,INDEX($V496:$AW496&lt;&gt;0,),0)),IF(AY496=0,INDEX($AM$7:$AW$7,MATCH(1,$AM496:$AW496,0)),IF(BF496="Multiple strategies","mixed drivers",IF(BF496="Supply chain","multiple supply","multiple silviculture"))))</f>
        <v>technologies/design switch</v>
      </c>
      <c r="BF496" s="2" t="str" cm="1">
        <f t="array" ref="BF496">IF(COUNTIF(AZ496:BB496,"&lt;&gt;0")=1,INDEX($V$4:$AW$4,MATCH(TRUE,INDEX($V496:$AW496&lt;&gt;0,),0)),IF(COUNTIF(AZ496:BB496,"&lt;&gt;0")=0,INDEX($AM$4:$AW$4,MATCH(1,$AM496:$AW496,0)),"Multiple strategies"))</f>
        <v>Technology</v>
      </c>
      <c r="BG496" s="1" t="s">
        <v>229</v>
      </c>
      <c r="BH496" t="s">
        <v>650</v>
      </c>
      <c r="BI496" s="260" t="s">
        <v>3307</v>
      </c>
      <c r="BJ496" t="s">
        <v>651</v>
      </c>
      <c r="BK496" s="260">
        <f t="shared" si="552"/>
        <v>96</v>
      </c>
      <c r="BL496" s="260">
        <v>124</v>
      </c>
      <c r="BN496">
        <f t="shared" si="524"/>
        <v>28</v>
      </c>
      <c r="BO496">
        <f t="shared" si="553"/>
        <v>57.142857142857146</v>
      </c>
      <c r="BP496" t="s">
        <v>232</v>
      </c>
      <c r="BQ496" s="260" t="s">
        <v>3310</v>
      </c>
      <c r="BR496" t="s">
        <v>262</v>
      </c>
      <c r="BS496">
        <v>257</v>
      </c>
      <c r="BT496">
        <v>446</v>
      </c>
      <c r="BU496" s="144">
        <v>1.7354085603112841</v>
      </c>
      <c r="BV496">
        <v>189</v>
      </c>
      <c r="BX496">
        <f t="shared" si="551"/>
        <v>0.189</v>
      </c>
      <c r="BY496">
        <f t="shared" si="557"/>
        <v>3.3074999999999997E-3</v>
      </c>
      <c r="BZ496">
        <v>0</v>
      </c>
      <c r="CA496">
        <v>0</v>
      </c>
      <c r="CB496">
        <v>0</v>
      </c>
      <c r="CC496">
        <v>0</v>
      </c>
      <c r="CD496">
        <v>0</v>
      </c>
      <c r="CE496">
        <v>0</v>
      </c>
      <c r="CF496">
        <v>0</v>
      </c>
      <c r="CG496">
        <v>0</v>
      </c>
      <c r="CH496">
        <v>0</v>
      </c>
      <c r="CI496">
        <v>0</v>
      </c>
      <c r="CJ496">
        <v>0</v>
      </c>
      <c r="CK496">
        <v>0</v>
      </c>
      <c r="CL496">
        <v>0</v>
      </c>
      <c r="CM496">
        <v>0</v>
      </c>
      <c r="CN496" t="str">
        <f t="shared" si="529"/>
        <v>refOK</v>
      </c>
      <c r="CO496">
        <f t="shared" si="554"/>
        <v>96</v>
      </c>
      <c r="CP496">
        <f t="shared" si="555"/>
        <v>124</v>
      </c>
      <c r="CQ496">
        <f t="shared" si="532"/>
        <v>57.142857142857146</v>
      </c>
      <c r="CR496">
        <f t="shared" si="533"/>
        <v>257</v>
      </c>
      <c r="CS496">
        <f t="shared" si="534"/>
        <v>446</v>
      </c>
      <c r="CT496">
        <f t="shared" si="535"/>
        <v>0.189</v>
      </c>
      <c r="CU496">
        <f t="shared" si="536"/>
        <v>3.3074999999999997E-3</v>
      </c>
      <c r="CV496" s="2">
        <f t="shared" si="537"/>
        <v>0.7354085603112841</v>
      </c>
      <c r="CW496" s="1" t="s">
        <v>263</v>
      </c>
      <c r="CX496" t="str">
        <f t="shared" si="538"/>
        <v>loc</v>
      </c>
      <c r="CY496" t="s">
        <v>444</v>
      </c>
      <c r="DB496">
        <v>50</v>
      </c>
      <c r="DC496" t="str">
        <f t="shared" si="540"/>
        <v>31-70</v>
      </c>
      <c r="DD496">
        <v>0</v>
      </c>
      <c r="DE496">
        <v>0</v>
      </c>
      <c r="DF496">
        <v>0</v>
      </c>
      <c r="DG496">
        <v>1</v>
      </c>
      <c r="DI496">
        <f t="shared" si="556"/>
        <v>1</v>
      </c>
      <c r="DJ496" t="str">
        <f t="shared" si="542"/>
        <v>TimberInput</v>
      </c>
      <c r="DK496">
        <f t="shared" si="543"/>
        <v>0</v>
      </c>
      <c r="DL496">
        <f t="shared" si="544"/>
        <v>0</v>
      </c>
      <c r="DM496">
        <f t="shared" si="545"/>
        <v>0</v>
      </c>
      <c r="DN496" t="str">
        <f t="shared" si="546"/>
        <v>Timber</v>
      </c>
      <c r="DO496">
        <v>0</v>
      </c>
      <c r="DP496">
        <v>0</v>
      </c>
      <c r="DQ496">
        <v>0</v>
      </c>
      <c r="DR496">
        <v>0</v>
      </c>
      <c r="DS496">
        <v>0</v>
      </c>
      <c r="DT496">
        <f t="shared" si="547"/>
        <v>0</v>
      </c>
      <c r="DU496" s="143" t="str">
        <f t="shared" si="548"/>
        <v>explicit C balance</v>
      </c>
      <c r="DV496">
        <v>0</v>
      </c>
      <c r="DW496">
        <v>0</v>
      </c>
      <c r="DX496">
        <v>0</v>
      </c>
      <c r="DY496">
        <v>1</v>
      </c>
      <c r="DZ496">
        <v>0</v>
      </c>
      <c r="EA496" s="264">
        <v>1</v>
      </c>
      <c r="EB496">
        <v>0</v>
      </c>
      <c r="EC496">
        <v>1</v>
      </c>
      <c r="ED496">
        <v>0</v>
      </c>
      <c r="EE496">
        <v>0</v>
      </c>
      <c r="EF496">
        <v>0</v>
      </c>
      <c r="EG496">
        <v>0</v>
      </c>
      <c r="EH496">
        <v>0</v>
      </c>
      <c r="EI496" s="2">
        <v>0</v>
      </c>
      <c r="EK496" t="str">
        <f t="shared" si="549"/>
        <v/>
      </c>
      <c r="EL496" t="str">
        <f t="shared" si="550"/>
        <v/>
      </c>
      <c r="EM496" s="2" t="str">
        <f t="shared" si="558"/>
        <v/>
      </c>
      <c r="EP496" t="str">
        <f>IF(ISNUMBER(BU496),IF(ABS(BU496-[5]QC_indicators!$B$2)&gt;3*[5]QC_indicators!$C$2,"C ratio",IF(ISNUMBER(BY496),IF(ABS(BY496-[5]QC_indicators!$B$1)&gt;3*[5]QC_indicators!$C$1,"DF","no"))),IF(ISNUMBER(BY496),IF(ABS(BY496-[5]QC_indicators!$B$1)&gt;3*[5]QC_indicators!$C$1,"DF","no")))</f>
        <v>no</v>
      </c>
      <c r="ER496" s="149" t="s">
        <v>349</v>
      </c>
      <c r="ET496" s="264" t="s">
        <v>3272</v>
      </c>
    </row>
    <row r="497" spans="1:150" ht="15" hidden="1" customHeight="1">
      <c r="A497" s="1" t="s">
        <v>247</v>
      </c>
      <c r="B497" t="s">
        <v>641</v>
      </c>
      <c r="C497" t="s">
        <v>642</v>
      </c>
      <c r="D497" t="s">
        <v>643</v>
      </c>
      <c r="E497" t="s">
        <v>644</v>
      </c>
      <c r="F497" t="s">
        <v>645</v>
      </c>
      <c r="G497" t="s">
        <v>253</v>
      </c>
      <c r="H497" t="s">
        <v>254</v>
      </c>
      <c r="I497">
        <v>2014</v>
      </c>
      <c r="J497">
        <v>76</v>
      </c>
      <c r="K497" t="s">
        <v>646</v>
      </c>
      <c r="M497" t="str">
        <f t="shared" si="510"/>
        <v>Dodoo_2014</v>
      </c>
      <c r="N497" t="s">
        <v>222</v>
      </c>
      <c r="O497" s="145" t="s">
        <v>223</v>
      </c>
      <c r="Q497" t="s">
        <v>256</v>
      </c>
      <c r="R497" s="255" t="s">
        <v>225</v>
      </c>
      <c r="S497" s="1" t="s">
        <v>647</v>
      </c>
      <c r="T497" t="s">
        <v>648</v>
      </c>
      <c r="U497" t="s">
        <v>655</v>
      </c>
      <c r="V497">
        <v>0</v>
      </c>
      <c r="W497">
        <v>0</v>
      </c>
      <c r="X497">
        <v>0</v>
      </c>
      <c r="Y497">
        <v>0</v>
      </c>
      <c r="Z497">
        <v>0</v>
      </c>
      <c r="AA497">
        <v>0</v>
      </c>
      <c r="AB497">
        <v>0</v>
      </c>
      <c r="AC497">
        <v>0</v>
      </c>
      <c r="AD497">
        <v>0</v>
      </c>
      <c r="AE497">
        <v>0</v>
      </c>
      <c r="AF497">
        <v>0</v>
      </c>
      <c r="AG497">
        <v>0</v>
      </c>
      <c r="AH497">
        <v>0</v>
      </c>
      <c r="AI497">
        <v>0</v>
      </c>
      <c r="AJ497">
        <v>0</v>
      </c>
      <c r="AK497">
        <v>1</v>
      </c>
      <c r="AL497">
        <v>0</v>
      </c>
      <c r="AM497">
        <v>0</v>
      </c>
      <c r="AN497">
        <v>0</v>
      </c>
      <c r="AO497">
        <v>0</v>
      </c>
      <c r="AP497">
        <v>0</v>
      </c>
      <c r="AQ497">
        <v>0</v>
      </c>
      <c r="AR497">
        <v>0</v>
      </c>
      <c r="AS497">
        <v>0</v>
      </c>
      <c r="AT497">
        <v>0</v>
      </c>
      <c r="AU497">
        <v>0</v>
      </c>
      <c r="AV497">
        <v>0</v>
      </c>
      <c r="AW497">
        <v>0</v>
      </c>
      <c r="AX497" s="141">
        <f t="shared" si="517"/>
        <v>1</v>
      </c>
      <c r="AY497" s="141">
        <f t="shared" si="518"/>
        <v>1</v>
      </c>
      <c r="AZ497">
        <f t="shared" si="519"/>
        <v>0</v>
      </c>
      <c r="BA497">
        <f t="shared" si="520"/>
        <v>0</v>
      </c>
      <c r="BB497">
        <f t="shared" si="521"/>
        <v>1</v>
      </c>
      <c r="BC497">
        <f t="shared" si="522"/>
        <v>0</v>
      </c>
      <c r="BD497">
        <f t="shared" si="523"/>
        <v>0</v>
      </c>
      <c r="BE497" t="str">
        <f t="array" ref="BE497">IF(AY497=1,INDEX($V$7:$AL$7,MATCH(TRUE,INDEX($V497:$AW497&lt;&gt;0,),0)),IF(AY497=0,INDEX($AM$7:$AW$7,MATCH(1,$AM497:$AW497,0)),IF(BF497="Multiple strategies","mixed drivers",IF(BF497="Supply chain","multiple supply","multiple silviculture"))))</f>
        <v>technologies/design switch</v>
      </c>
      <c r="BF497" s="2" t="str" cm="1">
        <f t="array" ref="BF497">IF(COUNTIF(AZ497:BB497,"&lt;&gt;0")=1,INDEX($V$4:$AW$4,MATCH(TRUE,INDEX($V497:$AW497&lt;&gt;0,),0)),IF(COUNTIF(AZ497:BB497,"&lt;&gt;0")=0,INDEX($AM$4:$AW$4,MATCH(1,$AM497:$AW497,0)),"Multiple strategies"))</f>
        <v>Technology</v>
      </c>
      <c r="BG497" s="1" t="s">
        <v>229</v>
      </c>
      <c r="BH497" t="s">
        <v>650</v>
      </c>
      <c r="BI497" s="260" t="s">
        <v>3307</v>
      </c>
      <c r="BJ497" t="s">
        <v>651</v>
      </c>
      <c r="BK497" s="260">
        <f t="shared" si="552"/>
        <v>96</v>
      </c>
      <c r="BL497" s="260">
        <v>129.6</v>
      </c>
      <c r="BN497">
        <f t="shared" si="524"/>
        <v>33.599999999999994</v>
      </c>
      <c r="BO497">
        <f t="shared" si="553"/>
        <v>68.571428571428555</v>
      </c>
      <c r="BP497" t="s">
        <v>232</v>
      </c>
      <c r="BQ497" s="260" t="s">
        <v>3310</v>
      </c>
      <c r="BR497" t="s">
        <v>262</v>
      </c>
      <c r="BS497">
        <v>230</v>
      </c>
      <c r="BT497">
        <v>510</v>
      </c>
      <c r="BU497" s="144">
        <v>2.2173913043478262</v>
      </c>
      <c r="BV497">
        <v>280</v>
      </c>
      <c r="BX497">
        <f t="shared" si="551"/>
        <v>0.28000000000000003</v>
      </c>
      <c r="BY497">
        <f t="shared" si="557"/>
        <v>4.0833333333333346E-3</v>
      </c>
      <c r="BZ497">
        <v>0</v>
      </c>
      <c r="CA497">
        <v>0</v>
      </c>
      <c r="CB497">
        <v>0</v>
      </c>
      <c r="CC497">
        <v>0</v>
      </c>
      <c r="CD497">
        <v>0</v>
      </c>
      <c r="CE497">
        <v>0</v>
      </c>
      <c r="CF497">
        <v>0</v>
      </c>
      <c r="CG497">
        <v>0</v>
      </c>
      <c r="CH497">
        <v>0</v>
      </c>
      <c r="CI497">
        <v>0</v>
      </c>
      <c r="CJ497">
        <v>0</v>
      </c>
      <c r="CK497">
        <v>0</v>
      </c>
      <c r="CL497">
        <v>0</v>
      </c>
      <c r="CM497">
        <v>0</v>
      </c>
      <c r="CN497" t="str">
        <f t="shared" si="529"/>
        <v>refOK</v>
      </c>
      <c r="CO497">
        <f t="shared" si="554"/>
        <v>96</v>
      </c>
      <c r="CP497">
        <f t="shared" si="555"/>
        <v>129.6</v>
      </c>
      <c r="CQ497">
        <f t="shared" si="532"/>
        <v>68.571428571428555</v>
      </c>
      <c r="CR497">
        <f t="shared" si="533"/>
        <v>230</v>
      </c>
      <c r="CS497">
        <f t="shared" si="534"/>
        <v>510</v>
      </c>
      <c r="CT497">
        <f t="shared" si="535"/>
        <v>0.28000000000000003</v>
      </c>
      <c r="CU497">
        <f t="shared" si="536"/>
        <v>4.0833333333333346E-3</v>
      </c>
      <c r="CV497" s="2">
        <f t="shared" si="537"/>
        <v>1.2173913043478262</v>
      </c>
      <c r="CW497" s="1" t="s">
        <v>263</v>
      </c>
      <c r="CX497" t="str">
        <f t="shared" si="538"/>
        <v>loc</v>
      </c>
      <c r="CY497" t="s">
        <v>444</v>
      </c>
      <c r="DB497">
        <v>50</v>
      </c>
      <c r="DC497" t="str">
        <f t="shared" si="540"/>
        <v>31-70</v>
      </c>
      <c r="DD497">
        <v>0</v>
      </c>
      <c r="DE497">
        <v>0</v>
      </c>
      <c r="DF497">
        <v>0</v>
      </c>
      <c r="DG497">
        <v>1</v>
      </c>
      <c r="DI497">
        <f t="shared" si="556"/>
        <v>1</v>
      </c>
      <c r="DJ497" t="str">
        <f t="shared" si="542"/>
        <v>TimberInput</v>
      </c>
      <c r="DK497">
        <f t="shared" si="543"/>
        <v>0</v>
      </c>
      <c r="DL497">
        <f t="shared" si="544"/>
        <v>0</v>
      </c>
      <c r="DM497">
        <f t="shared" si="545"/>
        <v>0</v>
      </c>
      <c r="DN497" t="str">
        <f t="shared" si="546"/>
        <v>Timber</v>
      </c>
      <c r="DO497">
        <v>0</v>
      </c>
      <c r="DP497">
        <v>0</v>
      </c>
      <c r="DQ497">
        <v>0</v>
      </c>
      <c r="DR497">
        <v>0</v>
      </c>
      <c r="DS497">
        <v>0</v>
      </c>
      <c r="DT497">
        <f t="shared" si="547"/>
        <v>0</v>
      </c>
      <c r="DU497" s="143" t="str">
        <f t="shared" si="548"/>
        <v>explicit C balance</v>
      </c>
      <c r="DV497">
        <v>0</v>
      </c>
      <c r="DW497">
        <v>0</v>
      </c>
      <c r="DX497">
        <v>0</v>
      </c>
      <c r="DY497">
        <v>1</v>
      </c>
      <c r="DZ497">
        <v>0</v>
      </c>
      <c r="EA497" s="264">
        <v>1</v>
      </c>
      <c r="EB497">
        <v>0</v>
      </c>
      <c r="EC497">
        <v>1</v>
      </c>
      <c r="ED497">
        <v>0</v>
      </c>
      <c r="EE497">
        <v>0</v>
      </c>
      <c r="EF497">
        <v>0</v>
      </c>
      <c r="EG497">
        <v>0</v>
      </c>
      <c r="EH497">
        <v>0</v>
      </c>
      <c r="EI497" s="2">
        <v>0</v>
      </c>
      <c r="EK497" t="str">
        <f t="shared" si="549"/>
        <v/>
      </c>
      <c r="EL497" t="str">
        <f t="shared" si="550"/>
        <v/>
      </c>
      <c r="EM497" s="2" t="str">
        <f t="shared" si="558"/>
        <v/>
      </c>
      <c r="EP497" t="str">
        <f>IF(ISNUMBER(BU497),IF(ABS(BU497-[5]QC_indicators!$B$2)&gt;3*[5]QC_indicators!$C$2,"C ratio",IF(ISNUMBER(BY497),IF(ABS(BY497-[5]QC_indicators!$B$1)&gt;3*[5]QC_indicators!$C$1,"DF","no"))),IF(ISNUMBER(BY497),IF(ABS(BY497-[5]QC_indicators!$B$1)&gt;3*[5]QC_indicators!$C$1,"DF","no")))</f>
        <v>no</v>
      </c>
      <c r="ER497" s="149" t="s">
        <v>349</v>
      </c>
      <c r="ET497" s="264" t="s">
        <v>3272</v>
      </c>
    </row>
    <row r="498" spans="1:150" ht="15" hidden="1" customHeight="1">
      <c r="A498" s="1" t="s">
        <v>247</v>
      </c>
      <c r="B498" t="s">
        <v>641</v>
      </c>
      <c r="C498" t="s">
        <v>642</v>
      </c>
      <c r="D498" t="s">
        <v>643</v>
      </c>
      <c r="E498" t="s">
        <v>644</v>
      </c>
      <c r="F498" t="s">
        <v>645</v>
      </c>
      <c r="G498" t="s">
        <v>253</v>
      </c>
      <c r="H498" t="s">
        <v>254</v>
      </c>
      <c r="I498">
        <v>2014</v>
      </c>
      <c r="J498">
        <v>76</v>
      </c>
      <c r="K498" t="s">
        <v>646</v>
      </c>
      <c r="M498" t="str">
        <f t="shared" si="510"/>
        <v>Dodoo_2014</v>
      </c>
      <c r="N498" t="s">
        <v>222</v>
      </c>
      <c r="O498" s="145" t="s">
        <v>223</v>
      </c>
      <c r="Q498" t="s">
        <v>256</v>
      </c>
      <c r="R498" s="255" t="s">
        <v>225</v>
      </c>
      <c r="S498" s="1" t="s">
        <v>647</v>
      </c>
      <c r="T498" t="s">
        <v>648</v>
      </c>
      <c r="U498" t="s">
        <v>649</v>
      </c>
      <c r="V498">
        <v>0</v>
      </c>
      <c r="W498">
        <v>0</v>
      </c>
      <c r="X498">
        <v>0</v>
      </c>
      <c r="Y498">
        <v>0</v>
      </c>
      <c r="Z498">
        <v>0</v>
      </c>
      <c r="AA498">
        <v>0</v>
      </c>
      <c r="AB498">
        <v>0</v>
      </c>
      <c r="AC498">
        <v>0</v>
      </c>
      <c r="AD498">
        <v>0</v>
      </c>
      <c r="AE498">
        <v>0</v>
      </c>
      <c r="AF498">
        <v>0</v>
      </c>
      <c r="AG498">
        <v>0</v>
      </c>
      <c r="AH498">
        <v>0</v>
      </c>
      <c r="AI498">
        <v>0</v>
      </c>
      <c r="AJ498">
        <v>0</v>
      </c>
      <c r="AK498">
        <v>1</v>
      </c>
      <c r="AL498">
        <v>0</v>
      </c>
      <c r="AM498">
        <v>0</v>
      </c>
      <c r="AN498">
        <v>0</v>
      </c>
      <c r="AO498">
        <v>0</v>
      </c>
      <c r="AP498">
        <v>0</v>
      </c>
      <c r="AQ498">
        <v>0</v>
      </c>
      <c r="AR498">
        <v>0</v>
      </c>
      <c r="AS498">
        <v>0</v>
      </c>
      <c r="AT498">
        <v>0</v>
      </c>
      <c r="AU498">
        <v>0</v>
      </c>
      <c r="AV498">
        <v>0</v>
      </c>
      <c r="AW498">
        <v>0</v>
      </c>
      <c r="AX498" s="141">
        <f t="shared" si="517"/>
        <v>1</v>
      </c>
      <c r="AY498" s="141">
        <f t="shared" si="518"/>
        <v>1</v>
      </c>
      <c r="AZ498">
        <f t="shared" si="519"/>
        <v>0</v>
      </c>
      <c r="BA498">
        <f t="shared" si="520"/>
        <v>0</v>
      </c>
      <c r="BB498">
        <f t="shared" si="521"/>
        <v>1</v>
      </c>
      <c r="BC498">
        <f t="shared" si="522"/>
        <v>0</v>
      </c>
      <c r="BD498">
        <f t="shared" si="523"/>
        <v>0</v>
      </c>
      <c r="BE498" t="str">
        <f t="array" ref="BE498">IF(AY498=1,INDEX($V$7:$AL$7,MATCH(TRUE,INDEX($V498:$AW498&lt;&gt;0,),0)),IF(AY498=0,INDEX($AM$7:$AW$7,MATCH(1,$AM498:$AW498,0)),IF(BF498="Multiple strategies","mixed drivers",IF(BF498="Supply chain","multiple supply","multiple silviculture"))))</f>
        <v>technologies/design switch</v>
      </c>
      <c r="BF498" s="2" t="str" cm="1">
        <f t="array" ref="BF498">IF(COUNTIF(AZ498:BB498,"&lt;&gt;0")=1,INDEX($V$4:$AW$4,MATCH(TRUE,INDEX($V498:$AW498&lt;&gt;0,),0)),IF(COUNTIF(AZ498:BB498,"&lt;&gt;0")=0,INDEX($AM$4:$AW$4,MATCH(1,$AM498:$AW498,0)),"Multiple strategies"))</f>
        <v>Technology</v>
      </c>
      <c r="BG498" s="1" t="s">
        <v>229</v>
      </c>
      <c r="BH498" t="s">
        <v>650</v>
      </c>
      <c r="BI498" s="260" t="s">
        <v>3307</v>
      </c>
      <c r="BJ498" t="s">
        <v>651</v>
      </c>
      <c r="BK498" s="260">
        <f t="shared" si="552"/>
        <v>96</v>
      </c>
      <c r="BL498" s="260">
        <v>120</v>
      </c>
      <c r="BN498">
        <f t="shared" si="524"/>
        <v>24</v>
      </c>
      <c r="BO498">
        <f t="shared" si="553"/>
        <v>48.979591836734699</v>
      </c>
      <c r="BP498" t="s">
        <v>232</v>
      </c>
      <c r="BQ498" s="260" t="s">
        <v>3310</v>
      </c>
      <c r="BR498" t="s">
        <v>262</v>
      </c>
      <c r="BS498">
        <v>230</v>
      </c>
      <c r="BT498">
        <v>434</v>
      </c>
      <c r="BU498" s="144">
        <v>1.8869565217391304</v>
      </c>
      <c r="BV498">
        <v>204</v>
      </c>
      <c r="BX498">
        <f t="shared" si="551"/>
        <v>0.20399999999999999</v>
      </c>
      <c r="BY498">
        <f t="shared" si="557"/>
        <v>4.1649999999999994E-3</v>
      </c>
      <c r="BZ498">
        <v>0</v>
      </c>
      <c r="CA498">
        <v>0</v>
      </c>
      <c r="CB498">
        <v>0</v>
      </c>
      <c r="CC498">
        <v>0</v>
      </c>
      <c r="CD498">
        <v>0</v>
      </c>
      <c r="CE498">
        <v>0</v>
      </c>
      <c r="CF498">
        <v>0</v>
      </c>
      <c r="CG498">
        <v>0</v>
      </c>
      <c r="CH498">
        <v>0</v>
      </c>
      <c r="CI498">
        <v>0</v>
      </c>
      <c r="CJ498">
        <v>0</v>
      </c>
      <c r="CK498">
        <v>0</v>
      </c>
      <c r="CL498">
        <v>0</v>
      </c>
      <c r="CM498">
        <v>0</v>
      </c>
      <c r="CN498" t="str">
        <f t="shared" si="529"/>
        <v>refOK</v>
      </c>
      <c r="CO498">
        <f t="shared" si="554"/>
        <v>96</v>
      </c>
      <c r="CP498">
        <f t="shared" si="555"/>
        <v>120</v>
      </c>
      <c r="CQ498">
        <f t="shared" si="532"/>
        <v>48.979591836734699</v>
      </c>
      <c r="CR498">
        <f t="shared" si="533"/>
        <v>230</v>
      </c>
      <c r="CS498">
        <f t="shared" si="534"/>
        <v>434</v>
      </c>
      <c r="CT498">
        <f t="shared" si="535"/>
        <v>0.20399999999999999</v>
      </c>
      <c r="CU498">
        <f t="shared" si="536"/>
        <v>4.1649999999999994E-3</v>
      </c>
      <c r="CV498" s="2">
        <f t="shared" si="537"/>
        <v>0.88695652173913042</v>
      </c>
      <c r="CW498" s="1" t="s">
        <v>263</v>
      </c>
      <c r="CX498" t="str">
        <f t="shared" si="538"/>
        <v>loc</v>
      </c>
      <c r="CY498" t="s">
        <v>444</v>
      </c>
      <c r="DB498">
        <v>50</v>
      </c>
      <c r="DC498" t="str">
        <f t="shared" si="540"/>
        <v>31-70</v>
      </c>
      <c r="DD498">
        <v>0</v>
      </c>
      <c r="DE498">
        <v>0</v>
      </c>
      <c r="DF498">
        <v>0</v>
      </c>
      <c r="DG498">
        <v>1</v>
      </c>
      <c r="DI498">
        <f t="shared" si="556"/>
        <v>1</v>
      </c>
      <c r="DJ498" t="str">
        <f t="shared" si="542"/>
        <v>TimberInput</v>
      </c>
      <c r="DK498">
        <f t="shared" si="543"/>
        <v>0</v>
      </c>
      <c r="DL498">
        <f t="shared" si="544"/>
        <v>0</v>
      </c>
      <c r="DM498">
        <f t="shared" si="545"/>
        <v>0</v>
      </c>
      <c r="DN498" t="str">
        <f t="shared" si="546"/>
        <v>Timber</v>
      </c>
      <c r="DO498">
        <v>0</v>
      </c>
      <c r="DP498">
        <v>0</v>
      </c>
      <c r="DQ498">
        <v>0</v>
      </c>
      <c r="DR498">
        <v>0</v>
      </c>
      <c r="DS498">
        <v>0</v>
      </c>
      <c r="DT498">
        <f t="shared" si="547"/>
        <v>0</v>
      </c>
      <c r="DU498" s="143" t="str">
        <f t="shared" si="548"/>
        <v>explicit C balance</v>
      </c>
      <c r="DV498">
        <v>0</v>
      </c>
      <c r="DW498">
        <v>0</v>
      </c>
      <c r="DX498">
        <v>0</v>
      </c>
      <c r="DY498">
        <v>1</v>
      </c>
      <c r="DZ498">
        <v>0</v>
      </c>
      <c r="EA498" s="264">
        <v>1</v>
      </c>
      <c r="EB498">
        <v>0</v>
      </c>
      <c r="EC498">
        <v>1</v>
      </c>
      <c r="ED498">
        <v>0</v>
      </c>
      <c r="EE498">
        <v>0</v>
      </c>
      <c r="EF498">
        <v>0</v>
      </c>
      <c r="EG498">
        <v>0</v>
      </c>
      <c r="EH498">
        <v>0</v>
      </c>
      <c r="EI498" s="2">
        <v>0</v>
      </c>
      <c r="EK498" t="str">
        <f t="shared" si="549"/>
        <v/>
      </c>
      <c r="EL498" t="str">
        <f t="shared" si="550"/>
        <v/>
      </c>
      <c r="EM498" s="2" t="str">
        <f t="shared" si="558"/>
        <v/>
      </c>
      <c r="EP498" t="str">
        <f>IF(ISNUMBER(BU498),IF(ABS(BU498-[5]QC_indicators!$B$2)&gt;3*[5]QC_indicators!$C$2,"C ratio",IF(ISNUMBER(BY498),IF(ABS(BY498-[5]QC_indicators!$B$1)&gt;3*[5]QC_indicators!$C$1,"DF","no"))),IF(ISNUMBER(BY498),IF(ABS(BY498-[5]QC_indicators!$B$1)&gt;3*[5]QC_indicators!$C$1,"DF","no")))</f>
        <v>no</v>
      </c>
      <c r="ER498" s="149" t="s">
        <v>349</v>
      </c>
      <c r="ET498" s="264" t="s">
        <v>3272</v>
      </c>
    </row>
    <row r="499" spans="1:150" ht="15" hidden="1" customHeight="1">
      <c r="A499" s="1" t="s">
        <v>4967</v>
      </c>
      <c r="B499" t="s">
        <v>4968</v>
      </c>
      <c r="C499" t="s">
        <v>4969</v>
      </c>
      <c r="D499" t="s">
        <v>4970</v>
      </c>
      <c r="E499" t="s">
        <v>4971</v>
      </c>
      <c r="F499" t="s">
        <v>4972</v>
      </c>
      <c r="G499" t="s">
        <v>544</v>
      </c>
      <c r="H499" t="s">
        <v>3964</v>
      </c>
      <c r="I499">
        <v>2019</v>
      </c>
      <c r="J499">
        <v>1</v>
      </c>
      <c r="K499" t="s">
        <v>4973</v>
      </c>
      <c r="M499" t="str">
        <f t="shared" si="510"/>
        <v>Dodoo_2019</v>
      </c>
      <c r="N499" t="s">
        <v>2583</v>
      </c>
      <c r="O499" s="145" t="s">
        <v>223</v>
      </c>
      <c r="Q499" s="311" t="s">
        <v>256</v>
      </c>
      <c r="R499" s="312"/>
      <c r="AX499" s="141"/>
      <c r="AY499" s="141"/>
      <c r="BE499"/>
      <c r="BF499" s="2"/>
      <c r="BU499" s="144"/>
      <c r="BY499" t="str">
        <f t="shared" si="557"/>
        <v/>
      </c>
      <c r="CN499"/>
      <c r="CO499"/>
      <c r="CP499"/>
      <c r="CQ499"/>
      <c r="CR499"/>
      <c r="CS499"/>
      <c r="CT499"/>
      <c r="CU499"/>
      <c r="CV499" s="2"/>
      <c r="CX499"/>
      <c r="DC499"/>
      <c r="DI499"/>
      <c r="DJ499"/>
      <c r="DK499"/>
      <c r="DL499"/>
      <c r="DM499"/>
      <c r="DN499"/>
      <c r="DT499"/>
      <c r="DU499" s="143"/>
      <c r="EK499" t="str">
        <f>IF(AND(AND(AND(OR($DX499=1,$DW499=1),OR($EC499=1,$EA499=1)),SUM($DV499:$DZ499,$EF499)&gt;=3),SUM($EA499:$EE499)&gt;=2),"Whole sector","")</f>
        <v/>
      </c>
      <c r="EL499" t="str">
        <f>IF(AND(AND(OR($DX499=1,$DW499=1),AND($EC499=0,$EA499=0)),SUM($DV499:$DZ499,$EF499)&gt;=3),"Ecosystem approach","")</f>
        <v/>
      </c>
      <c r="EM499" s="2" t="str">
        <f t="shared" si="558"/>
        <v/>
      </c>
      <c r="EO499" t="s">
        <v>450</v>
      </c>
      <c r="EP499" t="b">
        <f>IF(ISNUMBER(BU499),IF(ABS(BU499-[1]QC_indicators!$B$2)&gt;3*[1]QC_indicators!$C$2,"C ratio",IF(ISNUMBER(BY499),IF(ABS(BY499-[1]QC_indicators!$B$1)&gt;3*[1]QC_indicators!$C$1,"DF","no"))),IF(ISNUMBER(BY499),IF(ABS(BY499-[1]QC_indicators!$B$1)&gt;3*[1]QC_indicators!$C$1,"DF","no")))</f>
        <v>0</v>
      </c>
    </row>
    <row r="500" spans="1:150" ht="15" hidden="1" customHeight="1">
      <c r="A500" s="1" t="s">
        <v>4967</v>
      </c>
      <c r="B500" t="s">
        <v>4968</v>
      </c>
      <c r="C500" t="s">
        <v>4969</v>
      </c>
      <c r="D500" t="s">
        <v>4970</v>
      </c>
      <c r="E500" t="s">
        <v>4971</v>
      </c>
      <c r="F500" t="s">
        <v>4972</v>
      </c>
      <c r="G500" t="s">
        <v>544</v>
      </c>
      <c r="H500" t="s">
        <v>3964</v>
      </c>
      <c r="I500">
        <v>2019</v>
      </c>
      <c r="J500">
        <v>1</v>
      </c>
      <c r="K500" t="s">
        <v>4973</v>
      </c>
      <c r="M500" t="str">
        <f t="shared" si="510"/>
        <v>Dodoo_2019</v>
      </c>
      <c r="N500" t="s">
        <v>2583</v>
      </c>
      <c r="O500" s="145" t="s">
        <v>223</v>
      </c>
      <c r="Q500" s="311" t="s">
        <v>256</v>
      </c>
      <c r="R500" s="312"/>
      <c r="AX500" s="141"/>
      <c r="AY500" s="141"/>
      <c r="BE500"/>
      <c r="BF500" s="2"/>
      <c r="BY500" t="str">
        <f t="shared" si="557"/>
        <v/>
      </c>
      <c r="CN500"/>
      <c r="CO500"/>
      <c r="CP500"/>
      <c r="CQ500"/>
      <c r="CR500"/>
      <c r="CS500"/>
      <c r="CT500"/>
      <c r="CU500"/>
      <c r="CV500" s="2"/>
      <c r="CX500"/>
      <c r="DC500"/>
      <c r="DI500"/>
      <c r="DJ500"/>
      <c r="DK500"/>
      <c r="DL500"/>
      <c r="DM500"/>
      <c r="DN500"/>
      <c r="DT500"/>
      <c r="DU500" s="143"/>
      <c r="EK500" t="str">
        <f>IF(AND(AND(AND(OR($DX500=1,$DW500=1),OR($EC500=1,$EA500=1)),SUM($DV500:$DZ500,$EF500)&gt;=3),SUM($EA500:$EE500)&gt;=2),"Whole sector","")</f>
        <v/>
      </c>
      <c r="EL500" t="str">
        <f>IF(AND(AND(OR($DX500=1,$DW500=1),AND($EC500=0,$EA500=0)),SUM($DV500:$DZ500,$EF500)&gt;=3),"Ecosystem approach","")</f>
        <v/>
      </c>
      <c r="EM500" s="2" t="str">
        <f t="shared" si="558"/>
        <v/>
      </c>
      <c r="EP500" t="b">
        <f>IF(ISNUMBER(BU500),IF(ABS(BU500-[1]QC_indicators!$B$2)&gt;3*[1]QC_indicators!$C$2,"C ratio",IF(ISNUMBER(BY500),IF(ABS(BY500-[1]QC_indicators!$B$1)&gt;3*[1]QC_indicators!$C$1,"DF","no"))),IF(ISNUMBER(BY500),IF(ABS(BY500-[1]QC_indicators!$B$1)&gt;3*[1]QC_indicators!$C$1,"DF","no")))</f>
        <v>0</v>
      </c>
    </row>
    <row r="501" spans="1:150" ht="15" hidden="1" customHeight="1">
      <c r="A501" s="1" t="s">
        <v>656</v>
      </c>
      <c r="B501" t="s">
        <v>657</v>
      </c>
      <c r="C501" t="s">
        <v>658</v>
      </c>
      <c r="D501" t="s">
        <v>659</v>
      </c>
      <c r="E501" t="s">
        <v>660</v>
      </c>
      <c r="F501" t="s">
        <v>661</v>
      </c>
      <c r="G501" t="s">
        <v>662</v>
      </c>
      <c r="H501" t="s">
        <v>254</v>
      </c>
      <c r="I501">
        <v>2021</v>
      </c>
      <c r="J501">
        <v>1</v>
      </c>
      <c r="K501" t="s">
        <v>663</v>
      </c>
      <c r="M501" t="str">
        <f t="shared" si="510"/>
        <v>Dolezal_2021</v>
      </c>
      <c r="N501" t="s">
        <v>222</v>
      </c>
      <c r="O501" s="145" t="s">
        <v>274</v>
      </c>
      <c r="Q501" t="s">
        <v>256</v>
      </c>
      <c r="R501" s="255" t="s">
        <v>225</v>
      </c>
      <c r="S501" s="1" t="s">
        <v>664</v>
      </c>
      <c r="T501" t="s">
        <v>665</v>
      </c>
      <c r="U501" t="s">
        <v>182</v>
      </c>
      <c r="V501">
        <v>0</v>
      </c>
      <c r="W501">
        <v>0</v>
      </c>
      <c r="X501">
        <v>0</v>
      </c>
      <c r="Y501">
        <v>0</v>
      </c>
      <c r="Z501">
        <v>0</v>
      </c>
      <c r="AA501">
        <v>0</v>
      </c>
      <c r="AB501">
        <v>0</v>
      </c>
      <c r="AC501">
        <v>0</v>
      </c>
      <c r="AD501">
        <v>0</v>
      </c>
      <c r="AE501">
        <v>0</v>
      </c>
      <c r="AF501">
        <v>0</v>
      </c>
      <c r="AG501">
        <v>0</v>
      </c>
      <c r="AH501">
        <v>0</v>
      </c>
      <c r="AI501">
        <v>0</v>
      </c>
      <c r="AJ501">
        <v>0</v>
      </c>
      <c r="AK501">
        <v>1</v>
      </c>
      <c r="AL501">
        <v>0</v>
      </c>
      <c r="AM501">
        <v>0</v>
      </c>
      <c r="AN501">
        <v>0</v>
      </c>
      <c r="AO501">
        <v>0</v>
      </c>
      <c r="AP501">
        <v>0</v>
      </c>
      <c r="AQ501">
        <v>0</v>
      </c>
      <c r="AR501">
        <v>0</v>
      </c>
      <c r="AS501">
        <v>0</v>
      </c>
      <c r="AT501">
        <v>0</v>
      </c>
      <c r="AU501">
        <v>0</v>
      </c>
      <c r="AV501">
        <v>0</v>
      </c>
      <c r="AW501">
        <v>0</v>
      </c>
      <c r="AX501" s="141">
        <f t="shared" ref="AX501:AX509" si="559">COUNTIF(V501:AW501,"&lt;&gt;0")</f>
        <v>1</v>
      </c>
      <c r="AY501" s="141">
        <f t="shared" ref="AY501:AY509" si="560">COUNTIF(V501:AL501,"&lt;&gt;0")</f>
        <v>1</v>
      </c>
      <c r="AZ501">
        <f t="shared" ref="AZ501:AZ509" si="561">COUNTIF(V501:AC501,"&lt;&gt;0")</f>
        <v>0</v>
      </c>
      <c r="BA501">
        <f t="shared" ref="BA501:BA509" si="562">COUNTIF(AD501:AI501,"&lt;&gt;0")</f>
        <v>0</v>
      </c>
      <c r="BB501">
        <f t="shared" ref="BB501:BB509" si="563">COUNTIF(AJ501:AL501,"&lt;&gt;0")</f>
        <v>1</v>
      </c>
      <c r="BC501">
        <f t="shared" ref="BC501:BC509" si="564">COUNTIF(AS501:AW501,"&lt;&gt;0")</f>
        <v>0</v>
      </c>
      <c r="BD501">
        <f t="shared" ref="BD501:BD509" si="565">COUNTIF(AM501:AR501,"&lt;&gt;0")</f>
        <v>0</v>
      </c>
      <c r="BE501" t="str">
        <f t="array" ref="BE501">IF(AY501=1,INDEX($V$7:$AL$7,MATCH(TRUE,INDEX($V501:$AW501&lt;&gt;0,),0)),IF(AY501=0,INDEX($AM$7:$AW$7,MATCH(1,$AM501:$AW501,0)),IF(BF501="Multiple strategies","mixed drivers",IF(BF501="Supply chain","multiple supply","multiple silviculture"))))</f>
        <v>technologies/design switch</v>
      </c>
      <c r="BF501" s="2" t="str" cm="1">
        <f t="array" ref="BF501">IF(COUNTIF(AZ501:BB501,"&lt;&gt;0")=1,INDEX($V$4:$AW$4,MATCH(TRUE,INDEX($V501:$AW501&lt;&gt;0,),0)),IF(COUNTIF(AZ501:BB501,"&lt;&gt;0")=0,INDEX($AM$4:$AW$4,MATCH(1,$AM501:$AW501,0)),"Multiple strategies"))</f>
        <v>Technology</v>
      </c>
      <c r="BG501" s="1" t="s">
        <v>229</v>
      </c>
      <c r="BH501" s="264" t="s">
        <v>259</v>
      </c>
      <c r="BI501" s="264" t="s">
        <v>3311</v>
      </c>
      <c r="BJ501" s="264" t="s">
        <v>651</v>
      </c>
      <c r="BK501" s="260">
        <v>0</v>
      </c>
      <c r="BL501" s="260">
        <v>528</v>
      </c>
      <c r="BM501" s="261"/>
      <c r="BN501" s="260">
        <f t="shared" ref="BN501:BN509" si="566">BL501-BK501</f>
        <v>528</v>
      </c>
      <c r="BO501" s="260">
        <f>BN501*t_to_m3</f>
        <v>1077.5510204081634</v>
      </c>
      <c r="BP501" s="260" t="s">
        <v>395</v>
      </c>
      <c r="BQ501" s="260" t="s">
        <v>3312</v>
      </c>
      <c r="BR501" s="260" t="s">
        <v>3313</v>
      </c>
      <c r="BS501" s="260">
        <f>(57+1942+29)*3528.65</f>
        <v>7156102.2000000002</v>
      </c>
      <c r="BT501" s="260">
        <f>(51+1942+44)*3528.65</f>
        <v>7187860.0499999998</v>
      </c>
      <c r="BU501" s="144">
        <f t="shared" ref="BU501:BU509" si="567">IFERROR(BT501/BS501,"")</f>
        <v>1.0044378698224852</v>
      </c>
      <c r="BV501">
        <f t="shared" ref="BV501:BV509" si="568">BT501-BS501</f>
        <v>31757.849999999627</v>
      </c>
      <c r="BX501">
        <f t="shared" ref="BX501:BX509" si="569">BV501/1000</f>
        <v>31.757849999999628</v>
      </c>
      <c r="BY501">
        <f t="shared" si="557"/>
        <v>2.947224715909056E-2</v>
      </c>
      <c r="BZ501">
        <v>0</v>
      </c>
      <c r="CA501">
        <v>0</v>
      </c>
      <c r="CB501">
        <v>0</v>
      </c>
      <c r="CC501">
        <v>0</v>
      </c>
      <c r="CD501">
        <v>0</v>
      </c>
      <c r="CE501">
        <v>0</v>
      </c>
      <c r="CF501">
        <v>0</v>
      </c>
      <c r="CG501">
        <v>0</v>
      </c>
      <c r="CH501">
        <v>0</v>
      </c>
      <c r="CI501">
        <v>0</v>
      </c>
      <c r="CJ501">
        <v>0</v>
      </c>
      <c r="CK501">
        <v>0</v>
      </c>
      <c r="CL501">
        <v>0</v>
      </c>
      <c r="CM501">
        <v>0</v>
      </c>
      <c r="CN501" t="str">
        <f t="shared" ref="CN501:CN509" si="570">IF($BL501&lt;$BK501,"refNeedCorrection","refOK")</f>
        <v>refOK</v>
      </c>
      <c r="CO501">
        <f>IF($CN501="refNeedCorrection",BL501,BK501)</f>
        <v>0</v>
      </c>
      <c r="CP501">
        <f>IF($CN501="refNeedCorrection",BK501,BL501)</f>
        <v>528</v>
      </c>
      <c r="CQ501">
        <f t="shared" ref="CQ501:CQ509" si="571">IF($CN501="refOK",$BO501,-$BO501)</f>
        <v>1077.5510204081634</v>
      </c>
      <c r="CR501">
        <f>IF($CN501="refOK",$BS501,$BT501)*IF($BP501="Emissions positive",-1,1)</f>
        <v>-7156102.2000000002</v>
      </c>
      <c r="CS501">
        <f>IF($CN501="refOK",$BT501,$BS501)*IF($BP501="Emissions positive",-1,1)</f>
        <v>-7187860.0499999998</v>
      </c>
      <c r="CT501">
        <f t="shared" ref="CT501:CT509" si="572">IF($CN501="refNeedCorrection",-BX501,BX501)*IF($BP501="Emissions positive",-1,1)</f>
        <v>-31.757849999999628</v>
      </c>
      <c r="CU501">
        <f t="shared" ref="CU501:CU509" si="573">IFERROR(CT501/CQ501,"")</f>
        <v>-2.947224715909056E-2</v>
      </c>
      <c r="CV501" s="2">
        <f t="shared" ref="CV501:CV509" si="574">IFERROR((CS501-CR501)/ABS(CR501),"")</f>
        <v>-4.4378698224851552E-3</v>
      </c>
      <c r="CW501" s="1" t="s">
        <v>263</v>
      </c>
      <c r="CX501" t="str">
        <f t="shared" ref="CX501:CX509" si="575">IF(OR($CW501="prd",$CW501="std",$CW501="cit"),"loc",IF(OR($CW501="eur",$CW501="reg",$CW501="coy"),"reg",$CW501))</f>
        <v>loc</v>
      </c>
      <c r="CY501" t="s">
        <v>666</v>
      </c>
      <c r="DB501">
        <v>100</v>
      </c>
      <c r="DC501" t="str">
        <f t="shared" ref="DC501:DC509" si="576">IF(DB501=0,"0",IF(AND(DB501&gt;=1,DB501&lt;=30),"1-30",IF(AND(DB501&gt;30,DB501&lt;=70),"31-70",IF(AND(DB501&gt;70,DB501&lt;=100),"71-100",IF(DB501&gt;100,"+100")))))</f>
        <v>71-100</v>
      </c>
      <c r="DD501">
        <v>0</v>
      </c>
      <c r="DE501">
        <v>0</v>
      </c>
      <c r="DF501">
        <v>0</v>
      </c>
      <c r="DG501">
        <v>1</v>
      </c>
      <c r="DI501">
        <f>SUM(DD501:DG501)</f>
        <v>1</v>
      </c>
      <c r="DJ501" t="str">
        <f t="shared" ref="DJ501:DJ509" si="577">IF(DI501=1,INDEX($DD$7:$DG$7,MATCH(1,$DD501:$DG501,0)),"mixedProduct")</f>
        <v>TimberInput</v>
      </c>
      <c r="DK501">
        <f t="shared" ref="DK501:DK509" si="578">IF(DD501=1,DK$7,0)</f>
        <v>0</v>
      </c>
      <c r="DL501">
        <f t="shared" ref="DL501:DL509" si="579">IF(DE501=1,DL$7,0)</f>
        <v>0</v>
      </c>
      <c r="DM501">
        <f t="shared" ref="DM501:DM509" si="580">IF(DF501=1,DM$7,0)</f>
        <v>0</v>
      </c>
      <c r="DN501" t="str">
        <f t="shared" ref="DN501:DN509" si="581">IF(DG501=1,DN$7,0)</f>
        <v>Timber</v>
      </c>
      <c r="DO501">
        <v>0</v>
      </c>
      <c r="DP501">
        <v>0</v>
      </c>
      <c r="DQ501">
        <v>0</v>
      </c>
      <c r="DR501">
        <v>0</v>
      </c>
      <c r="DS501">
        <v>0</v>
      </c>
      <c r="DT501">
        <f t="shared" ref="DT501:DT509" si="582">SUM(DO501:DP501)</f>
        <v>0</v>
      </c>
      <c r="DU501" s="143" t="str">
        <f t="shared" ref="DU501:DU509" si="583">IF(DO501=1,"self-calculated DF",IF(DP501=1,"external DF used","explicit C balance"))</f>
        <v>explicit C balance</v>
      </c>
      <c r="DV501">
        <v>0</v>
      </c>
      <c r="DW501">
        <v>0</v>
      </c>
      <c r="DX501">
        <v>0</v>
      </c>
      <c r="DY501">
        <v>0</v>
      </c>
      <c r="DZ501">
        <v>0</v>
      </c>
      <c r="EA501">
        <v>1</v>
      </c>
      <c r="EB501">
        <v>0</v>
      </c>
      <c r="EC501">
        <v>1</v>
      </c>
      <c r="ED501">
        <v>0</v>
      </c>
      <c r="EE501">
        <v>1</v>
      </c>
      <c r="EF501" s="260">
        <v>0</v>
      </c>
      <c r="EG501" s="260">
        <v>0</v>
      </c>
      <c r="EH501">
        <v>0</v>
      </c>
      <c r="EI501" s="2">
        <v>0</v>
      </c>
      <c r="EK501" t="str">
        <f t="shared" ref="EK501:EK509" si="584">IF(AND(AND(AND(OR($DX501=1,$DW501=1),OR($EC501=1,$EA501=1)),SUM($DV501:$DZ501,$EF501)&gt;=4),SUM($EA501:$EE501)&gt;=2),"Whole sector","")</f>
        <v/>
      </c>
      <c r="EL501" t="str">
        <f t="shared" ref="EL501:EL509" si="585">IF(AND(AND(OR($DX501=1,$DW501=1),AND($EC501=0,$EA501=0)),SUM($DV501:$DZ501,$EF501)&gt;=4),"Ecosystem approach","")</f>
        <v/>
      </c>
      <c r="EM501" s="2" t="str">
        <f t="shared" si="558"/>
        <v>Technology approach</v>
      </c>
      <c r="EP501" t="str">
        <f>IF(ISNUMBER(BU501),IF(ABS(BU501-[5]QC_indicators!$B$2)&gt;3*[5]QC_indicators!$C$2,"C ratio",IF(ISNUMBER(BY501),IF(ABS(BY501-[5]QC_indicators!$B$1)&gt;3*[5]QC_indicators!$C$1,"DF","no"))),IF(ISNUMBER(BY501),IF(ABS(BY501-[5]QC_indicators!$B$1)&gt;3*[5]QC_indicators!$C$1,"DF","no")))</f>
        <v>no</v>
      </c>
      <c r="ET501" s="264" t="s">
        <v>3272</v>
      </c>
    </row>
    <row r="502" spans="1:150" ht="15" hidden="1" customHeight="1">
      <c r="A502" s="1" t="s">
        <v>656</v>
      </c>
      <c r="B502" t="s">
        <v>657</v>
      </c>
      <c r="C502" t="s">
        <v>658</v>
      </c>
      <c r="D502" t="s">
        <v>659</v>
      </c>
      <c r="E502" t="s">
        <v>660</v>
      </c>
      <c r="F502" t="s">
        <v>661</v>
      </c>
      <c r="G502" t="s">
        <v>662</v>
      </c>
      <c r="H502" t="s">
        <v>254</v>
      </c>
      <c r="I502">
        <v>2021</v>
      </c>
      <c r="J502">
        <v>1</v>
      </c>
      <c r="K502" t="s">
        <v>663</v>
      </c>
      <c r="M502" t="str">
        <f t="shared" si="510"/>
        <v>Dolezal_2021</v>
      </c>
      <c r="N502" t="s">
        <v>222</v>
      </c>
      <c r="O502" s="145" t="s">
        <v>274</v>
      </c>
      <c r="Q502" t="s">
        <v>256</v>
      </c>
      <c r="R502" s="255" t="s">
        <v>225</v>
      </c>
      <c r="S502" s="1" t="s">
        <v>664</v>
      </c>
      <c r="T502" t="s">
        <v>665</v>
      </c>
      <c r="U502" t="s">
        <v>182</v>
      </c>
      <c r="V502">
        <v>0</v>
      </c>
      <c r="W502">
        <v>0</v>
      </c>
      <c r="X502">
        <v>0</v>
      </c>
      <c r="Y502">
        <v>0</v>
      </c>
      <c r="Z502">
        <v>0</v>
      </c>
      <c r="AA502">
        <v>0</v>
      </c>
      <c r="AB502">
        <v>0</v>
      </c>
      <c r="AC502">
        <v>0</v>
      </c>
      <c r="AD502">
        <v>0</v>
      </c>
      <c r="AE502">
        <v>0</v>
      </c>
      <c r="AF502">
        <v>0</v>
      </c>
      <c r="AG502">
        <v>0</v>
      </c>
      <c r="AH502">
        <v>0</v>
      </c>
      <c r="AI502">
        <v>0</v>
      </c>
      <c r="AJ502">
        <v>0</v>
      </c>
      <c r="AK502">
        <v>1</v>
      </c>
      <c r="AL502">
        <v>0</v>
      </c>
      <c r="AM502">
        <v>0</v>
      </c>
      <c r="AN502">
        <v>0</v>
      </c>
      <c r="AO502">
        <v>0</v>
      </c>
      <c r="AP502">
        <v>0</v>
      </c>
      <c r="AQ502">
        <v>0</v>
      </c>
      <c r="AR502">
        <v>0</v>
      </c>
      <c r="AS502">
        <v>0</v>
      </c>
      <c r="AT502">
        <v>0</v>
      </c>
      <c r="AU502">
        <v>0</v>
      </c>
      <c r="AV502">
        <v>0</v>
      </c>
      <c r="AW502">
        <v>0</v>
      </c>
      <c r="AX502" s="141">
        <f t="shared" si="559"/>
        <v>1</v>
      </c>
      <c r="AY502" s="141">
        <f t="shared" si="560"/>
        <v>1</v>
      </c>
      <c r="AZ502">
        <f t="shared" si="561"/>
        <v>0</v>
      </c>
      <c r="BA502">
        <f t="shared" si="562"/>
        <v>0</v>
      </c>
      <c r="BB502">
        <f t="shared" si="563"/>
        <v>1</v>
      </c>
      <c r="BC502">
        <f t="shared" si="564"/>
        <v>0</v>
      </c>
      <c r="BD502">
        <f t="shared" si="565"/>
        <v>0</v>
      </c>
      <c r="BE502" t="str">
        <f t="array" ref="BE502">IF(AY502=1,INDEX($V$7:$AL$7,MATCH(TRUE,INDEX($V502:$AW502&lt;&gt;0,),0)),IF(AY502=0,INDEX($AM$7:$AW$7,MATCH(1,$AM502:$AW502,0)),IF(BF502="Multiple strategies","mixed drivers",IF(BF502="Supply chain","multiple supply","multiple silviculture"))))</f>
        <v>technologies/design switch</v>
      </c>
      <c r="BF502" s="2" t="str" cm="1">
        <f t="array" ref="BF502">IF(COUNTIF(AZ502:BB502,"&lt;&gt;0")=1,INDEX($V$4:$AW$4,MATCH(TRUE,INDEX($V502:$AW502&lt;&gt;0,),0)),IF(COUNTIF(AZ502:BB502,"&lt;&gt;0")=0,INDEX($AM$4:$AW$4,MATCH(1,$AM502:$AW502,0)),"Multiple strategies"))</f>
        <v>Technology</v>
      </c>
      <c r="BG502" s="1" t="s">
        <v>229</v>
      </c>
      <c r="BH502" s="264" t="s">
        <v>259</v>
      </c>
      <c r="BI502" s="264" t="s">
        <v>3314</v>
      </c>
      <c r="BJ502" s="264" t="s">
        <v>651</v>
      </c>
      <c r="BK502" s="260">
        <v>0</v>
      </c>
      <c r="BL502" s="260">
        <v>528</v>
      </c>
      <c r="BM502" s="261"/>
      <c r="BN502" s="260">
        <f t="shared" si="566"/>
        <v>528</v>
      </c>
      <c r="BO502" s="260">
        <f>BN502*t_to_m3</f>
        <v>1077.5510204081634</v>
      </c>
      <c r="BP502" s="260" t="s">
        <v>395</v>
      </c>
      <c r="BQ502" s="260" t="s">
        <v>3316</v>
      </c>
      <c r="BR502" s="260" t="s">
        <v>3313</v>
      </c>
      <c r="BS502" s="260">
        <f xml:space="preserve"> 218*3528.65</f>
        <v>769245.70000000007</v>
      </c>
      <c r="BT502" s="260">
        <f xml:space="preserve"> 266*3528.65</f>
        <v>938620.9</v>
      </c>
      <c r="BU502" s="144">
        <f t="shared" si="567"/>
        <v>1.2201834862385321</v>
      </c>
      <c r="BV502">
        <f t="shared" si="568"/>
        <v>169375.19999999995</v>
      </c>
      <c r="BX502">
        <f t="shared" si="569"/>
        <v>169.37519999999995</v>
      </c>
      <c r="BY502">
        <f t="shared" si="557"/>
        <v>0.15718531818181811</v>
      </c>
      <c r="BZ502">
        <v>0</v>
      </c>
      <c r="CA502">
        <v>0</v>
      </c>
      <c r="CB502">
        <v>0</v>
      </c>
      <c r="CC502">
        <v>0</v>
      </c>
      <c r="CD502">
        <v>0</v>
      </c>
      <c r="CE502">
        <v>0</v>
      </c>
      <c r="CF502">
        <v>0</v>
      </c>
      <c r="CG502">
        <v>0</v>
      </c>
      <c r="CH502">
        <v>0</v>
      </c>
      <c r="CI502">
        <v>0</v>
      </c>
      <c r="CJ502">
        <v>0</v>
      </c>
      <c r="CK502">
        <v>0</v>
      </c>
      <c r="CL502">
        <v>0</v>
      </c>
      <c r="CM502">
        <v>0</v>
      </c>
      <c r="CN502" t="str">
        <f t="shared" si="570"/>
        <v>refOK</v>
      </c>
      <c r="CO502">
        <f>IF($CN502="refNeedCorrection",BL502,BK502)</f>
        <v>0</v>
      </c>
      <c r="CP502">
        <f>IF($CN502="refNeedCorrection",BK502,BL502)</f>
        <v>528</v>
      </c>
      <c r="CQ502">
        <f t="shared" si="571"/>
        <v>1077.5510204081634</v>
      </c>
      <c r="CR502" t="e">
        <f>IF($CN502="refOK",#REF!,#REF!)*IF($BP502="Emissions positive",-1,1)</f>
        <v>#REF!</v>
      </c>
      <c r="CS502" t="e">
        <f>IF($CN502="refOK",#REF!,#REF!)*IF($BP502="Emissions positive",-1,1)</f>
        <v>#REF!</v>
      </c>
      <c r="CT502">
        <f t="shared" si="572"/>
        <v>-169.37519999999995</v>
      </c>
      <c r="CU502">
        <f t="shared" si="573"/>
        <v>-0.15718531818181811</v>
      </c>
      <c r="CV502" s="2" t="str">
        <f t="shared" si="574"/>
        <v/>
      </c>
      <c r="CW502" s="1" t="s">
        <v>263</v>
      </c>
      <c r="CX502" t="str">
        <f t="shared" si="575"/>
        <v>loc</v>
      </c>
      <c r="CY502" t="s">
        <v>666</v>
      </c>
      <c r="DB502">
        <v>100</v>
      </c>
      <c r="DC502" t="str">
        <f t="shared" si="576"/>
        <v>71-100</v>
      </c>
      <c r="DD502">
        <v>0</v>
      </c>
      <c r="DE502">
        <v>0</v>
      </c>
      <c r="DF502">
        <v>0</v>
      </c>
      <c r="DG502">
        <v>1</v>
      </c>
      <c r="DI502">
        <f>SUM(DD502:DG502)</f>
        <v>1</v>
      </c>
      <c r="DJ502" t="str">
        <f t="shared" si="577"/>
        <v>TimberInput</v>
      </c>
      <c r="DK502">
        <f t="shared" si="578"/>
        <v>0</v>
      </c>
      <c r="DL502">
        <f t="shared" si="579"/>
        <v>0</v>
      </c>
      <c r="DM502">
        <f t="shared" si="580"/>
        <v>0</v>
      </c>
      <c r="DN502" t="str">
        <f t="shared" si="581"/>
        <v>Timber</v>
      </c>
      <c r="DO502">
        <v>0</v>
      </c>
      <c r="DP502">
        <v>0</v>
      </c>
      <c r="DQ502">
        <v>0</v>
      </c>
      <c r="DR502">
        <v>0</v>
      </c>
      <c r="DS502">
        <v>0</v>
      </c>
      <c r="DT502">
        <f t="shared" si="582"/>
        <v>0</v>
      </c>
      <c r="DU502" s="143" t="str">
        <f t="shared" si="583"/>
        <v>explicit C balance</v>
      </c>
      <c r="DV502">
        <v>0</v>
      </c>
      <c r="DW502">
        <v>0</v>
      </c>
      <c r="DX502">
        <v>0</v>
      </c>
      <c r="DY502">
        <v>1</v>
      </c>
      <c r="DZ502">
        <v>0</v>
      </c>
      <c r="EA502">
        <v>1</v>
      </c>
      <c r="EB502">
        <v>0</v>
      </c>
      <c r="EC502">
        <v>1</v>
      </c>
      <c r="ED502">
        <v>0</v>
      </c>
      <c r="EE502">
        <v>1</v>
      </c>
      <c r="EF502" s="260">
        <v>0</v>
      </c>
      <c r="EG502" s="260">
        <v>0</v>
      </c>
      <c r="EH502">
        <v>0</v>
      </c>
      <c r="EI502" s="2">
        <v>0</v>
      </c>
      <c r="EK502" t="str">
        <f t="shared" si="584"/>
        <v/>
      </c>
      <c r="EL502" t="str">
        <f t="shared" si="585"/>
        <v/>
      </c>
      <c r="EM502" s="2" t="str">
        <f t="shared" si="558"/>
        <v>Technology approach</v>
      </c>
      <c r="EP502" t="str">
        <f>IF(ISNUMBER(BU502),IF(ABS(BU502-[5]QC_indicators!$B$2)&gt;3*[5]QC_indicators!$C$2,"C ratio",IF(ISNUMBER(BY502),IF(ABS(BY502-[5]QC_indicators!$B$1)&gt;3*[5]QC_indicators!$C$1,"DF","no"))),IF(ISNUMBER(BY502),IF(ABS(BY502-[5]QC_indicators!$B$1)&gt;3*[5]QC_indicators!$C$1,"DF","no")))</f>
        <v>no</v>
      </c>
      <c r="ET502" s="264" t="s">
        <v>3272</v>
      </c>
    </row>
    <row r="503" spans="1:150" ht="15" hidden="1" customHeight="1">
      <c r="A503" s="1" t="s">
        <v>656</v>
      </c>
      <c r="B503" t="s">
        <v>657</v>
      </c>
      <c r="C503" t="s">
        <v>658</v>
      </c>
      <c r="D503" t="s">
        <v>659</v>
      </c>
      <c r="E503" t="s">
        <v>660</v>
      </c>
      <c r="F503" t="s">
        <v>661</v>
      </c>
      <c r="G503" t="s">
        <v>662</v>
      </c>
      <c r="H503" t="s">
        <v>254</v>
      </c>
      <c r="I503">
        <v>2021</v>
      </c>
      <c r="J503">
        <v>1</v>
      </c>
      <c r="K503" t="s">
        <v>663</v>
      </c>
      <c r="M503" t="str">
        <f t="shared" si="510"/>
        <v>Dolezal_2021</v>
      </c>
      <c r="N503" t="s">
        <v>222</v>
      </c>
      <c r="O503" s="145" t="s">
        <v>274</v>
      </c>
      <c r="Q503" t="s">
        <v>256</v>
      </c>
      <c r="R503" s="255" t="s">
        <v>225</v>
      </c>
      <c r="S503" s="1" t="s">
        <v>664</v>
      </c>
      <c r="T503" t="s">
        <v>665</v>
      </c>
      <c r="U503" t="s">
        <v>182</v>
      </c>
      <c r="V503">
        <v>0</v>
      </c>
      <c r="W503">
        <v>0</v>
      </c>
      <c r="X503">
        <v>0</v>
      </c>
      <c r="Y503">
        <v>0</v>
      </c>
      <c r="Z503">
        <v>0</v>
      </c>
      <c r="AA503">
        <v>0</v>
      </c>
      <c r="AB503">
        <v>0</v>
      </c>
      <c r="AC503">
        <v>0</v>
      </c>
      <c r="AD503">
        <v>0</v>
      </c>
      <c r="AE503">
        <v>0</v>
      </c>
      <c r="AF503">
        <v>0</v>
      </c>
      <c r="AG503">
        <v>0</v>
      </c>
      <c r="AH503">
        <v>0</v>
      </c>
      <c r="AI503">
        <v>0</v>
      </c>
      <c r="AJ503">
        <v>0</v>
      </c>
      <c r="AK503">
        <v>1</v>
      </c>
      <c r="AL503">
        <v>0</v>
      </c>
      <c r="AM503">
        <v>0</v>
      </c>
      <c r="AN503">
        <v>0</v>
      </c>
      <c r="AO503">
        <v>0</v>
      </c>
      <c r="AP503">
        <v>0</v>
      </c>
      <c r="AQ503">
        <v>0</v>
      </c>
      <c r="AR503">
        <v>0</v>
      </c>
      <c r="AS503">
        <v>0</v>
      </c>
      <c r="AT503">
        <v>0</v>
      </c>
      <c r="AU503">
        <v>0</v>
      </c>
      <c r="AV503">
        <v>0</v>
      </c>
      <c r="AW503">
        <v>0</v>
      </c>
      <c r="AX503" s="141">
        <f t="shared" si="559"/>
        <v>1</v>
      </c>
      <c r="AY503" s="141">
        <f t="shared" si="560"/>
        <v>1</v>
      </c>
      <c r="AZ503">
        <f t="shared" si="561"/>
        <v>0</v>
      </c>
      <c r="BA503">
        <f t="shared" si="562"/>
        <v>0</v>
      </c>
      <c r="BB503">
        <f t="shared" si="563"/>
        <v>1</v>
      </c>
      <c r="BC503">
        <f t="shared" si="564"/>
        <v>0</v>
      </c>
      <c r="BD503">
        <f t="shared" si="565"/>
        <v>0</v>
      </c>
      <c r="BE503" t="str">
        <f t="array" ref="BE503">IF(AY503=1,INDEX($V$7:$AL$7,MATCH(TRUE,INDEX($V503:$AW503&lt;&gt;0,),0)),IF(AY503=0,INDEX($AM$7:$AW$7,MATCH(1,$AM503:$AW503,0)),IF(BF503="Multiple strategies","mixed drivers",IF(BF503="Supply chain","multiple supply","multiple silviculture"))))</f>
        <v>technologies/design switch</v>
      </c>
      <c r="BF503" s="2" t="str" cm="1">
        <f t="array" ref="BF503">IF(COUNTIF(AZ503:BB503,"&lt;&gt;0")=1,INDEX($V$4:$AW$4,MATCH(TRUE,INDEX($V503:$AW503&lt;&gt;0,),0)),IF(COUNTIF(AZ503:BB503,"&lt;&gt;0")=0,INDEX($AM$4:$AW$4,MATCH(1,$AM503:$AW503,0)),"Multiple strategies"))</f>
        <v>Technology</v>
      </c>
      <c r="BG503" s="1" t="s">
        <v>229</v>
      </c>
      <c r="BH503" s="264" t="s">
        <v>259</v>
      </c>
      <c r="BI503" s="264" t="s">
        <v>3314</v>
      </c>
      <c r="BJ503" s="264" t="s">
        <v>651</v>
      </c>
      <c r="BK503" s="260">
        <v>0</v>
      </c>
      <c r="BL503" s="260">
        <v>528</v>
      </c>
      <c r="BM503" s="261"/>
      <c r="BN503" s="260">
        <f t="shared" si="566"/>
        <v>528</v>
      </c>
      <c r="BO503" s="260">
        <f>BN503*t_to_m3</f>
        <v>1077.5510204081634</v>
      </c>
      <c r="BP503" s="260" t="s">
        <v>395</v>
      </c>
      <c r="BQ503" s="260" t="s">
        <v>3315</v>
      </c>
      <c r="BR503" s="260" t="s">
        <v>3313</v>
      </c>
      <c r="BS503" s="260">
        <f>(186+22+0+57+1942+29-149)*3528.65</f>
        <v>7364292.5499999998</v>
      </c>
      <c r="BT503" s="260">
        <f>(215+22+15+51+1942+44-71)*3528.65</f>
        <v>7826545.7000000002</v>
      </c>
      <c r="BU503" s="144">
        <f t="shared" si="567"/>
        <v>1.0627695256348826</v>
      </c>
      <c r="BV503">
        <f t="shared" si="568"/>
        <v>462253.15000000037</v>
      </c>
      <c r="BX503">
        <f t="shared" si="569"/>
        <v>462.25315000000035</v>
      </c>
      <c r="BY503">
        <f t="shared" si="557"/>
        <v>0.42898493087121242</v>
      </c>
      <c r="BZ503">
        <v>0</v>
      </c>
      <c r="CA503">
        <v>0</v>
      </c>
      <c r="CB503">
        <v>0</v>
      </c>
      <c r="CC503">
        <v>0</v>
      </c>
      <c r="CD503">
        <v>0</v>
      </c>
      <c r="CE503">
        <v>0</v>
      </c>
      <c r="CF503">
        <v>0</v>
      </c>
      <c r="CG503">
        <v>0</v>
      </c>
      <c r="CH503">
        <v>0</v>
      </c>
      <c r="CI503">
        <v>0</v>
      </c>
      <c r="CJ503">
        <v>0</v>
      </c>
      <c r="CK503">
        <v>0</v>
      </c>
      <c r="CL503">
        <v>0</v>
      </c>
      <c r="CM503">
        <v>0</v>
      </c>
      <c r="CN503" t="str">
        <f t="shared" si="570"/>
        <v>refOK</v>
      </c>
      <c r="CO503">
        <f>IF($CN503="refNeedCorrection",BL503,BK503)</f>
        <v>0</v>
      </c>
      <c r="CP503">
        <f>IF($CN503="refNeedCorrection",BK503,BL503)</f>
        <v>528</v>
      </c>
      <c r="CQ503">
        <f t="shared" si="571"/>
        <v>1077.5510204081634</v>
      </c>
      <c r="CR503">
        <f>IF($CN503="refOK",$BS504,$BT504)*IF($BP503="Emissions positive",-1,1)</f>
        <v>-692</v>
      </c>
      <c r="CS503">
        <f>IF($CN503="refOK",$BT504,$BS504)*IF($BP503="Emissions positive",-1,1)</f>
        <v>-770</v>
      </c>
      <c r="CT503">
        <f t="shared" si="572"/>
        <v>-462.25315000000035</v>
      </c>
      <c r="CU503">
        <f t="shared" si="573"/>
        <v>-0.42898493087121242</v>
      </c>
      <c r="CV503" s="2">
        <f t="shared" si="574"/>
        <v>-0.11271676300578035</v>
      </c>
      <c r="CW503" s="1" t="s">
        <v>263</v>
      </c>
      <c r="CX503" t="str">
        <f t="shared" si="575"/>
        <v>loc</v>
      </c>
      <c r="CY503" t="s">
        <v>666</v>
      </c>
      <c r="DB503">
        <v>100</v>
      </c>
      <c r="DC503" t="str">
        <f t="shared" si="576"/>
        <v>71-100</v>
      </c>
      <c r="DD503">
        <v>0</v>
      </c>
      <c r="DE503">
        <v>0</v>
      </c>
      <c r="DF503">
        <v>0</v>
      </c>
      <c r="DG503">
        <v>1</v>
      </c>
      <c r="DI503">
        <f>SUM(DD503:DG503)</f>
        <v>1</v>
      </c>
      <c r="DJ503" t="str">
        <f t="shared" si="577"/>
        <v>TimberInput</v>
      </c>
      <c r="DK503">
        <f t="shared" si="578"/>
        <v>0</v>
      </c>
      <c r="DL503">
        <f t="shared" si="579"/>
        <v>0</v>
      </c>
      <c r="DM503">
        <f t="shared" si="580"/>
        <v>0</v>
      </c>
      <c r="DN503" t="str">
        <f t="shared" si="581"/>
        <v>Timber</v>
      </c>
      <c r="DO503">
        <v>0</v>
      </c>
      <c r="DP503">
        <v>0</v>
      </c>
      <c r="DQ503">
        <v>0</v>
      </c>
      <c r="DR503">
        <v>0</v>
      </c>
      <c r="DS503">
        <v>0</v>
      </c>
      <c r="DT503">
        <f t="shared" si="582"/>
        <v>0</v>
      </c>
      <c r="DU503" s="143" t="str">
        <f t="shared" si="583"/>
        <v>explicit C balance</v>
      </c>
      <c r="DV503">
        <v>0</v>
      </c>
      <c r="DW503">
        <v>0</v>
      </c>
      <c r="DX503">
        <v>0</v>
      </c>
      <c r="DY503">
        <v>1</v>
      </c>
      <c r="DZ503">
        <v>0</v>
      </c>
      <c r="EA503">
        <v>1</v>
      </c>
      <c r="EB503">
        <v>0</v>
      </c>
      <c r="EC503">
        <v>1</v>
      </c>
      <c r="ED503">
        <v>1</v>
      </c>
      <c r="EE503">
        <v>1</v>
      </c>
      <c r="EF503" s="260">
        <v>0</v>
      </c>
      <c r="EG503" s="260">
        <v>0</v>
      </c>
      <c r="EH503">
        <v>0</v>
      </c>
      <c r="EI503" s="2">
        <v>0</v>
      </c>
      <c r="EK503" t="str">
        <f t="shared" si="584"/>
        <v/>
      </c>
      <c r="EL503" t="str">
        <f t="shared" si="585"/>
        <v/>
      </c>
      <c r="EM503" s="2" t="str">
        <f t="shared" si="558"/>
        <v>Technology approach</v>
      </c>
      <c r="EP503" t="str">
        <f>IF(ISNUMBER(BU503),IF(ABS(BU503-[5]QC_indicators!$B$2)&gt;3*[5]QC_indicators!$C$2,"C ratio",IF(ISNUMBER(BY503),IF(ABS(BY503-[5]QC_indicators!$B$1)&gt;3*[5]QC_indicators!$C$1,"DF","no"))),IF(ISNUMBER(BY503),IF(ABS(BY503-[5]QC_indicators!$B$1)&gt;3*[5]QC_indicators!$C$1,"DF","no")))</f>
        <v>no</v>
      </c>
      <c r="ET503" s="264" t="s">
        <v>3272</v>
      </c>
    </row>
    <row r="504" spans="1:150" ht="15" hidden="1" customHeight="1">
      <c r="A504" s="1" t="s">
        <v>667</v>
      </c>
      <c r="B504" t="s">
        <v>668</v>
      </c>
      <c r="C504" t="s">
        <v>669</v>
      </c>
      <c r="D504" t="s">
        <v>670</v>
      </c>
      <c r="E504" t="s">
        <v>671</v>
      </c>
      <c r="F504" t="s">
        <v>672</v>
      </c>
      <c r="G504" t="s">
        <v>673</v>
      </c>
      <c r="H504" t="s">
        <v>254</v>
      </c>
      <c r="I504">
        <v>2015</v>
      </c>
      <c r="J504">
        <v>68</v>
      </c>
      <c r="K504" t="s">
        <v>674</v>
      </c>
      <c r="M504" t="str">
        <f t="shared" si="510"/>
        <v>Dong_2015</v>
      </c>
      <c r="N504" t="s">
        <v>1351</v>
      </c>
      <c r="O504" s="145" t="s">
        <v>274</v>
      </c>
      <c r="Q504" t="s">
        <v>256</v>
      </c>
      <c r="R504" s="262" t="s">
        <v>223</v>
      </c>
      <c r="S504" s="263" t="s">
        <v>3116</v>
      </c>
      <c r="T504" t="s">
        <v>675</v>
      </c>
      <c r="U504" t="s">
        <v>676</v>
      </c>
      <c r="V504">
        <v>0</v>
      </c>
      <c r="W504">
        <v>0</v>
      </c>
      <c r="X504">
        <v>0</v>
      </c>
      <c r="Y504">
        <v>0</v>
      </c>
      <c r="Z504">
        <v>0</v>
      </c>
      <c r="AA504">
        <v>0</v>
      </c>
      <c r="AB504">
        <v>0</v>
      </c>
      <c r="AC504">
        <v>0</v>
      </c>
      <c r="AD504">
        <v>0</v>
      </c>
      <c r="AE504">
        <v>0</v>
      </c>
      <c r="AF504" s="151">
        <v>0</v>
      </c>
      <c r="AG504">
        <v>0</v>
      </c>
      <c r="AH504">
        <v>0</v>
      </c>
      <c r="AI504">
        <v>0</v>
      </c>
      <c r="AJ504">
        <v>0</v>
      </c>
      <c r="AK504">
        <v>1</v>
      </c>
      <c r="AL504">
        <v>0</v>
      </c>
      <c r="AM504">
        <v>0</v>
      </c>
      <c r="AN504">
        <v>0</v>
      </c>
      <c r="AO504">
        <v>0</v>
      </c>
      <c r="AP504">
        <v>0</v>
      </c>
      <c r="AQ504">
        <v>0</v>
      </c>
      <c r="AR504">
        <v>0</v>
      </c>
      <c r="AS504">
        <v>0</v>
      </c>
      <c r="AT504">
        <v>0</v>
      </c>
      <c r="AU504">
        <v>0</v>
      </c>
      <c r="AV504">
        <v>0</v>
      </c>
      <c r="AW504">
        <v>0</v>
      </c>
      <c r="AX504" s="141">
        <f t="shared" si="559"/>
        <v>1</v>
      </c>
      <c r="AY504" s="141">
        <f t="shared" si="560"/>
        <v>1</v>
      </c>
      <c r="AZ504">
        <f t="shared" si="561"/>
        <v>0</v>
      </c>
      <c r="BA504">
        <f t="shared" si="562"/>
        <v>0</v>
      </c>
      <c r="BB504">
        <f t="shared" si="563"/>
        <v>1</v>
      </c>
      <c r="BC504">
        <f t="shared" si="564"/>
        <v>0</v>
      </c>
      <c r="BD504">
        <f t="shared" si="565"/>
        <v>0</v>
      </c>
      <c r="BE504" t="str">
        <f t="array" ref="BE504">IF(AY504=1,INDEX($V$7:$AL$7,MATCH(TRUE,INDEX($V504:$AW504&lt;&gt;0,),0)),IF(AY504=0,INDEX($AM$7:$AW$7,MATCH(1,$AM504:$AW504,0)),IF(BF504="Multiple strategies","mixed drivers",IF(BF504="Supply chain","multiple supply","multiple silviculture"))))</f>
        <v>technologies/design switch</v>
      </c>
      <c r="BF504" s="2" t="str" cm="1">
        <f t="array" ref="BF504">IF(COUNTIF(AZ504:BB504,"&lt;&gt;0")=1,INDEX($V$4:$AW$4,MATCH(TRUE,INDEX($V504:$AW504&lt;&gt;0,),0)),IF(COUNTIF(AZ504:BB504,"&lt;&gt;0")=0,INDEX($AM$4:$AW$4,MATCH(1,$AM504:$AW504,0)),"Multiple strategies"))</f>
        <v>Technology</v>
      </c>
      <c r="BG504" s="1" t="s">
        <v>229</v>
      </c>
      <c r="BH504" t="s">
        <v>677</v>
      </c>
      <c r="BI504" s="264" t="s">
        <v>611</v>
      </c>
      <c r="BJ504" s="264" t="s">
        <v>518</v>
      </c>
      <c r="BK504">
        <v>0</v>
      </c>
      <c r="BL504" s="152">
        <v>45.7</v>
      </c>
      <c r="BN504">
        <f t="shared" si="566"/>
        <v>45.7</v>
      </c>
      <c r="BO504">
        <f>BN504*kg_to_m3</f>
        <v>9.3265306122448988E-2</v>
      </c>
      <c r="BP504" s="143" t="s">
        <v>395</v>
      </c>
      <c r="BQ504" s="143"/>
      <c r="BR504" t="s">
        <v>679</v>
      </c>
      <c r="BS504" s="152">
        <v>692</v>
      </c>
      <c r="BT504" s="152">
        <v>770</v>
      </c>
      <c r="BU504" s="144">
        <f t="shared" si="567"/>
        <v>1.1127167630057804</v>
      </c>
      <c r="BV504" s="152">
        <f t="shared" si="568"/>
        <v>78</v>
      </c>
      <c r="BW504" s="152"/>
      <c r="BX504">
        <f t="shared" si="569"/>
        <v>7.8E-2</v>
      </c>
      <c r="BY504">
        <f t="shared" si="557"/>
        <v>0.83632385120350106</v>
      </c>
      <c r="BZ504">
        <v>0</v>
      </c>
      <c r="CA504">
        <v>0</v>
      </c>
      <c r="CB504">
        <v>0</v>
      </c>
      <c r="CC504">
        <v>0</v>
      </c>
      <c r="CD504">
        <v>0</v>
      </c>
      <c r="CE504">
        <v>0</v>
      </c>
      <c r="CF504">
        <v>0</v>
      </c>
      <c r="CG504">
        <v>0</v>
      </c>
      <c r="CH504">
        <v>0</v>
      </c>
      <c r="CI504">
        <v>0</v>
      </c>
      <c r="CJ504">
        <v>0</v>
      </c>
      <c r="CK504">
        <v>0</v>
      </c>
      <c r="CL504">
        <v>0</v>
      </c>
      <c r="CM504">
        <v>0</v>
      </c>
      <c r="CN504" t="str">
        <f t="shared" si="570"/>
        <v>refOK</v>
      </c>
      <c r="CO504">
        <f>IF($CN504="refOK",$BK504,$BL504)</f>
        <v>0</v>
      </c>
      <c r="CP504">
        <f>IF($CN504="refOK",$BL504,$BK504)</f>
        <v>45.7</v>
      </c>
      <c r="CQ504">
        <f t="shared" si="571"/>
        <v>9.3265306122448988E-2</v>
      </c>
      <c r="CR504">
        <f t="shared" ref="CR504:CR509" si="586">IF($CN504="refOK",$BS504,$BT504)*IF($BP504="Emissions positive",-1,1)</f>
        <v>-692</v>
      </c>
      <c r="CS504">
        <f t="shared" ref="CS504:CS509" si="587">IF($CN504="refOK",$BT504,$BS504)*IF($BP504="Emissions positive",-1,1)</f>
        <v>-770</v>
      </c>
      <c r="CT504">
        <f t="shared" si="572"/>
        <v>-7.8E-2</v>
      </c>
      <c r="CU504">
        <f t="shared" si="573"/>
        <v>-0.83632385120350106</v>
      </c>
      <c r="CV504" s="2">
        <f t="shared" si="574"/>
        <v>-0.11271676300578035</v>
      </c>
      <c r="CW504" s="1" t="s">
        <v>263</v>
      </c>
      <c r="CX504" t="str">
        <f t="shared" si="575"/>
        <v>loc</v>
      </c>
      <c r="CY504" t="s">
        <v>680</v>
      </c>
      <c r="DB504">
        <v>0</v>
      </c>
      <c r="DC504" t="str">
        <f t="shared" si="576"/>
        <v>0</v>
      </c>
      <c r="DD504">
        <v>0</v>
      </c>
      <c r="DE504">
        <v>0</v>
      </c>
      <c r="DF504">
        <v>0</v>
      </c>
      <c r="DG504">
        <v>1</v>
      </c>
      <c r="DI504">
        <f>SUM(DD504:DG504)</f>
        <v>1</v>
      </c>
      <c r="DJ504" t="str">
        <f t="shared" si="577"/>
        <v>TimberInput</v>
      </c>
      <c r="DK504">
        <f t="shared" si="578"/>
        <v>0</v>
      </c>
      <c r="DL504">
        <f t="shared" si="579"/>
        <v>0</v>
      </c>
      <c r="DM504">
        <f t="shared" si="580"/>
        <v>0</v>
      </c>
      <c r="DN504" t="str">
        <f t="shared" si="581"/>
        <v>Timber</v>
      </c>
      <c r="DO504">
        <v>1</v>
      </c>
      <c r="DP504">
        <v>0</v>
      </c>
      <c r="DQ504">
        <v>0</v>
      </c>
      <c r="DR504">
        <v>0</v>
      </c>
      <c r="DS504">
        <v>0</v>
      </c>
      <c r="DT504">
        <f t="shared" si="582"/>
        <v>1</v>
      </c>
      <c r="DU504" s="143" t="str">
        <f t="shared" si="583"/>
        <v>self-calculated DF</v>
      </c>
      <c r="DV504">
        <v>0</v>
      </c>
      <c r="DW504">
        <v>0</v>
      </c>
      <c r="DX504">
        <v>0</v>
      </c>
      <c r="DY504">
        <v>0</v>
      </c>
      <c r="DZ504">
        <v>0</v>
      </c>
      <c r="EA504" s="143">
        <v>1</v>
      </c>
      <c r="EB504">
        <v>0</v>
      </c>
      <c r="EC504">
        <v>1</v>
      </c>
      <c r="ED504">
        <v>0</v>
      </c>
      <c r="EE504">
        <v>0</v>
      </c>
      <c r="EF504">
        <v>0</v>
      </c>
      <c r="EG504">
        <v>0</v>
      </c>
      <c r="EH504">
        <v>0</v>
      </c>
      <c r="EI504" s="2">
        <v>0</v>
      </c>
      <c r="EK504" t="str">
        <f t="shared" si="584"/>
        <v/>
      </c>
      <c r="EL504" t="str">
        <f t="shared" si="585"/>
        <v/>
      </c>
      <c r="EM504" s="2" t="str">
        <f t="shared" si="558"/>
        <v/>
      </c>
      <c r="EO504" s="147"/>
      <c r="EP504" t="str">
        <f>IF(ISNUMBER(BU504),IF(ABS(BU504-[3]QC_indicators!$B$2)&gt;3*[3]QC_indicators!$C$2,"C ratio",IF(ISNUMBER(BY504),IF(ABS(BY504-[3]QC_indicators!$B$1)&gt;3*[3]QC_indicators!$C$1,"DF","no"))),IF(ISNUMBER(BY504),IF(ABS(BY504-[3]QC_indicators!$B$1)&gt;3*[3]QC_indicators!$C$1,"DF","no")))</f>
        <v>no</v>
      </c>
      <c r="ET504" s="264" t="s">
        <v>3117</v>
      </c>
    </row>
    <row r="505" spans="1:150" ht="15" hidden="1" customHeight="1">
      <c r="A505" s="1" t="s">
        <v>667</v>
      </c>
      <c r="B505" t="s">
        <v>668</v>
      </c>
      <c r="C505" t="s">
        <v>669</v>
      </c>
      <c r="D505" t="s">
        <v>670</v>
      </c>
      <c r="E505" t="s">
        <v>671</v>
      </c>
      <c r="F505" t="s">
        <v>672</v>
      </c>
      <c r="G505" t="s">
        <v>673</v>
      </c>
      <c r="H505" t="s">
        <v>254</v>
      </c>
      <c r="I505">
        <v>2015</v>
      </c>
      <c r="J505">
        <v>68</v>
      </c>
      <c r="K505" t="s">
        <v>674</v>
      </c>
      <c r="M505" t="str">
        <f t="shared" si="510"/>
        <v>Dong_2015</v>
      </c>
      <c r="N505" t="s">
        <v>1351</v>
      </c>
      <c r="O505" s="145" t="s">
        <v>274</v>
      </c>
      <c r="Q505" t="s">
        <v>256</v>
      </c>
      <c r="R505" s="262" t="s">
        <v>223</v>
      </c>
      <c r="S505" s="263" t="s">
        <v>3118</v>
      </c>
      <c r="T505" t="s">
        <v>675</v>
      </c>
      <c r="U505" t="s">
        <v>676</v>
      </c>
      <c r="V505">
        <v>0</v>
      </c>
      <c r="W505">
        <v>0</v>
      </c>
      <c r="X505">
        <v>0</v>
      </c>
      <c r="Y505">
        <v>0</v>
      </c>
      <c r="Z505">
        <v>0</v>
      </c>
      <c r="AA505">
        <v>0</v>
      </c>
      <c r="AB505">
        <v>0</v>
      </c>
      <c r="AC505">
        <v>0</v>
      </c>
      <c r="AD505">
        <v>0</v>
      </c>
      <c r="AE505">
        <v>0</v>
      </c>
      <c r="AF505" s="151">
        <v>0</v>
      </c>
      <c r="AG505">
        <v>0</v>
      </c>
      <c r="AH505">
        <v>0</v>
      </c>
      <c r="AI505">
        <v>0</v>
      </c>
      <c r="AJ505">
        <v>0</v>
      </c>
      <c r="AK505">
        <v>1</v>
      </c>
      <c r="AL505">
        <v>0</v>
      </c>
      <c r="AM505">
        <v>0</v>
      </c>
      <c r="AN505">
        <v>0</v>
      </c>
      <c r="AO505">
        <v>0</v>
      </c>
      <c r="AP505">
        <v>0</v>
      </c>
      <c r="AQ505">
        <v>0</v>
      </c>
      <c r="AR505">
        <v>0</v>
      </c>
      <c r="AS505">
        <v>0</v>
      </c>
      <c r="AT505">
        <v>0</v>
      </c>
      <c r="AU505">
        <v>0</v>
      </c>
      <c r="AV505">
        <v>0</v>
      </c>
      <c r="AW505">
        <v>0</v>
      </c>
      <c r="AX505" s="141">
        <f t="shared" si="559"/>
        <v>1</v>
      </c>
      <c r="AY505" s="141">
        <f t="shared" si="560"/>
        <v>1</v>
      </c>
      <c r="AZ505">
        <f t="shared" si="561"/>
        <v>0</v>
      </c>
      <c r="BA505">
        <f t="shared" si="562"/>
        <v>0</v>
      </c>
      <c r="BB505">
        <f t="shared" si="563"/>
        <v>1</v>
      </c>
      <c r="BC505">
        <f t="shared" si="564"/>
        <v>0</v>
      </c>
      <c r="BD505">
        <f t="shared" si="565"/>
        <v>0</v>
      </c>
      <c r="BE505" t="str">
        <f t="array" ref="BE505">IF(AY505=1,INDEX($V$7:$AL$7,MATCH(TRUE,INDEX($V505:$AW505&lt;&gt;0,),0)),IF(AY505=0,INDEX($AM$7:$AW$7,MATCH(1,$AM505:$AW505,0)),IF(BF505="Multiple strategies","mixed drivers",IF(BF505="Supply chain","multiple supply","multiple silviculture"))))</f>
        <v>technologies/design switch</v>
      </c>
      <c r="BF505" s="2" t="str" cm="1">
        <f t="array" ref="BF505">IF(COUNTIF(AZ505:BB505,"&lt;&gt;0")=1,INDEX($V$4:$AW$4,MATCH(TRUE,INDEX($V505:$AW505&lt;&gt;0,),0)),IF(COUNTIF(AZ505:BB505,"&lt;&gt;0")=0,INDEX($AM$4:$AW$4,MATCH(1,$AM505:$AW505,0)),"Multiple strategies"))</f>
        <v>Technology</v>
      </c>
      <c r="BG505" s="1" t="s">
        <v>229</v>
      </c>
      <c r="BH505" t="s">
        <v>677</v>
      </c>
      <c r="BI505" s="264" t="s">
        <v>611</v>
      </c>
      <c r="BJ505" s="264" t="s">
        <v>518</v>
      </c>
      <c r="BK505">
        <v>0</v>
      </c>
      <c r="BL505" s="152">
        <v>45.7</v>
      </c>
      <c r="BN505">
        <f t="shared" si="566"/>
        <v>45.7</v>
      </c>
      <c r="BO505">
        <f>BN505*kg_to_m3</f>
        <v>9.3265306122448988E-2</v>
      </c>
      <c r="BP505" s="143" t="s">
        <v>395</v>
      </c>
      <c r="BQ505" s="143"/>
      <c r="BR505" t="s">
        <v>679</v>
      </c>
      <c r="BS505" s="152">
        <v>10</v>
      </c>
      <c r="BT505" s="152">
        <v>105</v>
      </c>
      <c r="BU505" s="144">
        <f t="shared" si="567"/>
        <v>10.5</v>
      </c>
      <c r="BV505" s="152">
        <f t="shared" si="568"/>
        <v>95</v>
      </c>
      <c r="BW505" s="152"/>
      <c r="BX505">
        <f t="shared" si="569"/>
        <v>9.5000000000000001E-2</v>
      </c>
      <c r="BY505">
        <f t="shared" si="557"/>
        <v>1.0185995623632385</v>
      </c>
      <c r="BZ505">
        <v>0</v>
      </c>
      <c r="CA505">
        <v>0</v>
      </c>
      <c r="CB505">
        <v>0</v>
      </c>
      <c r="CC505">
        <v>0</v>
      </c>
      <c r="CD505">
        <v>0</v>
      </c>
      <c r="CE505">
        <v>0</v>
      </c>
      <c r="CF505">
        <v>0</v>
      </c>
      <c r="CG505">
        <v>0</v>
      </c>
      <c r="CH505">
        <v>0</v>
      </c>
      <c r="CI505">
        <v>0</v>
      </c>
      <c r="CJ505">
        <v>0</v>
      </c>
      <c r="CK505">
        <v>0</v>
      </c>
      <c r="CL505">
        <v>0</v>
      </c>
      <c r="CM505">
        <v>0</v>
      </c>
      <c r="CN505" t="str">
        <f t="shared" si="570"/>
        <v>refOK</v>
      </c>
      <c r="CO505">
        <f>IF($CN505="refOK",$BK505,$BL505)</f>
        <v>0</v>
      </c>
      <c r="CP505">
        <f>IF($CN505="refOK",$BL505,$BK505)</f>
        <v>45.7</v>
      </c>
      <c r="CQ505">
        <f t="shared" si="571"/>
        <v>9.3265306122448988E-2</v>
      </c>
      <c r="CR505">
        <f t="shared" si="586"/>
        <v>-10</v>
      </c>
      <c r="CS505">
        <f t="shared" si="587"/>
        <v>-105</v>
      </c>
      <c r="CT505">
        <f t="shared" si="572"/>
        <v>-9.5000000000000001E-2</v>
      </c>
      <c r="CU505">
        <f t="shared" si="573"/>
        <v>-1.0185995623632385</v>
      </c>
      <c r="CV505" s="2">
        <f t="shared" si="574"/>
        <v>-9.5</v>
      </c>
      <c r="CW505" s="1" t="s">
        <v>263</v>
      </c>
      <c r="CX505" t="str">
        <f t="shared" si="575"/>
        <v>loc</v>
      </c>
      <c r="CY505" t="s">
        <v>680</v>
      </c>
      <c r="DB505">
        <v>0</v>
      </c>
      <c r="DC505" t="str">
        <f t="shared" si="576"/>
        <v>0</v>
      </c>
      <c r="DD505">
        <v>0</v>
      </c>
      <c r="DE505">
        <v>0</v>
      </c>
      <c r="DF505">
        <v>0</v>
      </c>
      <c r="DG505">
        <v>1</v>
      </c>
      <c r="DI505">
        <f>SUM(DD505:DG505)</f>
        <v>1</v>
      </c>
      <c r="DJ505" t="str">
        <f t="shared" si="577"/>
        <v>TimberInput</v>
      </c>
      <c r="DK505">
        <f t="shared" si="578"/>
        <v>0</v>
      </c>
      <c r="DL505">
        <f t="shared" si="579"/>
        <v>0</v>
      </c>
      <c r="DM505">
        <f t="shared" si="580"/>
        <v>0</v>
      </c>
      <c r="DN505" t="str">
        <f t="shared" si="581"/>
        <v>Timber</v>
      </c>
      <c r="DO505">
        <v>1</v>
      </c>
      <c r="DP505">
        <v>0</v>
      </c>
      <c r="DQ505">
        <v>0</v>
      </c>
      <c r="DR505">
        <v>0</v>
      </c>
      <c r="DS505">
        <v>0</v>
      </c>
      <c r="DT505">
        <f t="shared" si="582"/>
        <v>1</v>
      </c>
      <c r="DU505" s="143" t="str">
        <f t="shared" si="583"/>
        <v>self-calculated DF</v>
      </c>
      <c r="DV505">
        <v>0</v>
      </c>
      <c r="DW505">
        <v>0</v>
      </c>
      <c r="DX505">
        <v>0</v>
      </c>
      <c r="DY505">
        <v>0</v>
      </c>
      <c r="DZ505">
        <v>0</v>
      </c>
      <c r="EA505" s="143">
        <v>1</v>
      </c>
      <c r="EB505">
        <v>0</v>
      </c>
      <c r="EC505">
        <v>1</v>
      </c>
      <c r="ED505">
        <v>0</v>
      </c>
      <c r="EE505">
        <v>0</v>
      </c>
      <c r="EF505">
        <v>0</v>
      </c>
      <c r="EG505">
        <v>0</v>
      </c>
      <c r="EH505">
        <v>0</v>
      </c>
      <c r="EI505" s="2">
        <v>0</v>
      </c>
      <c r="EK505" t="str">
        <f t="shared" si="584"/>
        <v/>
      </c>
      <c r="EL505" t="str">
        <f t="shared" si="585"/>
        <v/>
      </c>
      <c r="EM505" s="2" t="str">
        <f t="shared" si="558"/>
        <v/>
      </c>
      <c r="EO505" s="147"/>
      <c r="EP505" t="str">
        <f>IF(ISNUMBER(BU505),IF(ABS(BU505-[3]QC_indicators!$B$2)&gt;3*[3]QC_indicators!$C$2,"C ratio",IF(ISNUMBER(BY505),IF(ABS(BY505-[3]QC_indicators!$B$1)&gt;3*[3]QC_indicators!$C$1,"DF","no"))),IF(ISNUMBER(BY505),IF(ABS(BY505-[3]QC_indicators!$B$1)&gt;3*[3]QC_indicators!$C$1,"DF","no")))</f>
        <v>no</v>
      </c>
      <c r="ET505" s="264" t="s">
        <v>3117</v>
      </c>
    </row>
    <row r="506" spans="1:150" ht="15" hidden="1" customHeight="1">
      <c r="A506" s="1" t="s">
        <v>398</v>
      </c>
      <c r="B506" t="s">
        <v>681</v>
      </c>
      <c r="C506" t="s">
        <v>682</v>
      </c>
      <c r="D506" t="s">
        <v>683</v>
      </c>
      <c r="E506" t="s">
        <v>684</v>
      </c>
      <c r="F506" t="s">
        <v>685</v>
      </c>
      <c r="G506" t="s">
        <v>404</v>
      </c>
      <c r="H506" t="s">
        <v>254</v>
      </c>
      <c r="I506">
        <v>2022</v>
      </c>
      <c r="J506">
        <v>1</v>
      </c>
      <c r="K506" t="s">
        <v>686</v>
      </c>
      <c r="M506" t="str">
        <f t="shared" si="510"/>
        <v>Duan_2022</v>
      </c>
      <c r="N506" t="s">
        <v>222</v>
      </c>
      <c r="O506" s="145" t="s">
        <v>223</v>
      </c>
      <c r="Q506" t="s">
        <v>389</v>
      </c>
      <c r="R506" s="283" t="s">
        <v>225</v>
      </c>
      <c r="S506" s="1" t="s">
        <v>607</v>
      </c>
      <c r="T506" s="151" t="s">
        <v>810</v>
      </c>
      <c r="U506" t="s">
        <v>259</v>
      </c>
      <c r="V506">
        <v>0</v>
      </c>
      <c r="W506">
        <v>0</v>
      </c>
      <c r="X506">
        <v>0</v>
      </c>
      <c r="Y506">
        <v>0</v>
      </c>
      <c r="Z506">
        <v>0</v>
      </c>
      <c r="AA506">
        <v>0</v>
      </c>
      <c r="AB506">
        <v>0</v>
      </c>
      <c r="AC506">
        <v>0</v>
      </c>
      <c r="AD506">
        <v>0</v>
      </c>
      <c r="AE506">
        <v>0</v>
      </c>
      <c r="AF506">
        <v>0</v>
      </c>
      <c r="AG506">
        <v>0</v>
      </c>
      <c r="AH506">
        <v>0</v>
      </c>
      <c r="AI506">
        <v>0</v>
      </c>
      <c r="AJ506">
        <v>0</v>
      </c>
      <c r="AK506">
        <v>1</v>
      </c>
      <c r="AL506">
        <v>0</v>
      </c>
      <c r="AM506">
        <v>0</v>
      </c>
      <c r="AN506">
        <v>0</v>
      </c>
      <c r="AO506">
        <v>0</v>
      </c>
      <c r="AP506">
        <v>0</v>
      </c>
      <c r="AQ506">
        <v>0</v>
      </c>
      <c r="AR506">
        <v>0</v>
      </c>
      <c r="AS506">
        <v>0</v>
      </c>
      <c r="AT506">
        <v>0</v>
      </c>
      <c r="AU506">
        <v>0</v>
      </c>
      <c r="AV506">
        <v>0</v>
      </c>
      <c r="AW506">
        <v>0</v>
      </c>
      <c r="AX506" s="141">
        <f t="shared" si="559"/>
        <v>1</v>
      </c>
      <c r="AY506" s="141">
        <f t="shared" si="560"/>
        <v>1</v>
      </c>
      <c r="AZ506">
        <f t="shared" si="561"/>
        <v>0</v>
      </c>
      <c r="BA506">
        <f t="shared" si="562"/>
        <v>0</v>
      </c>
      <c r="BB506">
        <f t="shared" si="563"/>
        <v>1</v>
      </c>
      <c r="BC506">
        <f t="shared" si="564"/>
        <v>0</v>
      </c>
      <c r="BD506">
        <f t="shared" si="565"/>
        <v>0</v>
      </c>
      <c r="BE506" t="str">
        <f t="array" ref="BE506">IF(AY506=1,INDEX($V$7:$AL$7,MATCH(TRUE,INDEX($V506:$AW506&lt;&gt;0,),0)),IF(AY506=0,INDEX($AM$7:$AW$7,MATCH(1,$AM506:$AW506,0)),IF(BF506="Multiple strategies","mixed drivers",IF(BF506="Supply chain","multiple supply","multiple silviculture"))))</f>
        <v>technologies/design switch</v>
      </c>
      <c r="BF506" s="2" t="str" cm="1">
        <f t="array" ref="BF506">IF(COUNTIF(AZ506:BB506,"&lt;&gt;0")=1,INDEX($V$4:$AW$4,MATCH(TRUE,INDEX($V506:$AW506&lt;&gt;0,),0)),IF(COUNTIF(AZ506:BB506,"&lt;&gt;0")=0,INDEX($AM$4:$AW$4,MATCH(1,$AM506:$AW506,0)),"Multiple strategies"))</f>
        <v>Technology</v>
      </c>
      <c r="BG506" s="1" t="s">
        <v>229</v>
      </c>
      <c r="BH506" t="s">
        <v>687</v>
      </c>
      <c r="BI506" s="141" t="s">
        <v>688</v>
      </c>
      <c r="BJ506" t="s">
        <v>651</v>
      </c>
      <c r="BK506">
        <f>25.35</f>
        <v>25.35</v>
      </c>
      <c r="BL506">
        <f>25.35+3.2+500.73</f>
        <v>529.28</v>
      </c>
      <c r="BN506">
        <f t="shared" si="566"/>
        <v>503.92999999999995</v>
      </c>
      <c r="BO506">
        <f>BN506*t_to_m3</f>
        <v>1028.4285714285713</v>
      </c>
      <c r="BP506" t="s">
        <v>395</v>
      </c>
      <c r="BQ506" t="s">
        <v>3074</v>
      </c>
      <c r="BR506" t="s">
        <v>262</v>
      </c>
      <c r="BS506">
        <f>769.2*2347</f>
        <v>1805312.4000000001</v>
      </c>
      <c r="BT506">
        <f>411.39*2347</f>
        <v>965532.33</v>
      </c>
      <c r="BU506" s="144">
        <f t="shared" si="567"/>
        <v>0.53482839313572539</v>
      </c>
      <c r="BV506">
        <f t="shared" si="568"/>
        <v>-839780.07000000018</v>
      </c>
      <c r="BX506">
        <f t="shared" si="569"/>
        <v>-839.78007000000014</v>
      </c>
      <c r="BY506">
        <f t="shared" si="557"/>
        <v>-0.81656625781358538</v>
      </c>
      <c r="BZ506">
        <v>0</v>
      </c>
      <c r="CA506">
        <v>0</v>
      </c>
      <c r="CB506">
        <v>0</v>
      </c>
      <c r="CC506">
        <v>0</v>
      </c>
      <c r="CD506">
        <v>0</v>
      </c>
      <c r="CE506">
        <v>0</v>
      </c>
      <c r="CF506">
        <v>0</v>
      </c>
      <c r="CG506">
        <v>0</v>
      </c>
      <c r="CH506">
        <v>0</v>
      </c>
      <c r="CI506">
        <v>0</v>
      </c>
      <c r="CJ506">
        <v>0</v>
      </c>
      <c r="CK506">
        <v>0</v>
      </c>
      <c r="CL506">
        <v>0</v>
      </c>
      <c r="CM506">
        <v>0</v>
      </c>
      <c r="CN506" t="str">
        <f t="shared" si="570"/>
        <v>refOK</v>
      </c>
      <c r="CO506"/>
      <c r="CP506"/>
      <c r="CQ506">
        <f t="shared" si="571"/>
        <v>1028.4285714285713</v>
      </c>
      <c r="CR506">
        <f t="shared" si="586"/>
        <v>-1805312.4000000001</v>
      </c>
      <c r="CS506">
        <f t="shared" si="587"/>
        <v>-965532.33</v>
      </c>
      <c r="CT506">
        <f t="shared" si="572"/>
        <v>839.78007000000014</v>
      </c>
      <c r="CU506">
        <f t="shared" si="573"/>
        <v>0.81656625781358538</v>
      </c>
      <c r="CV506" s="2">
        <f t="shared" si="574"/>
        <v>0.46517160686427461</v>
      </c>
      <c r="CW506" s="1" t="s">
        <v>263</v>
      </c>
      <c r="CX506" t="str">
        <f t="shared" si="575"/>
        <v>loc</v>
      </c>
      <c r="CY506" t="s">
        <v>690</v>
      </c>
      <c r="DB506">
        <v>0</v>
      </c>
      <c r="DC506" t="str">
        <f t="shared" si="576"/>
        <v>0</v>
      </c>
      <c r="DD506">
        <v>0</v>
      </c>
      <c r="DE506">
        <v>0</v>
      </c>
      <c r="DF506">
        <v>0</v>
      </c>
      <c r="DG506">
        <v>1</v>
      </c>
      <c r="DH506">
        <v>0</v>
      </c>
      <c r="DI506">
        <f>SUM(DD506:DH506)</f>
        <v>1</v>
      </c>
      <c r="DJ506" t="str">
        <f t="shared" si="577"/>
        <v>TimberInput</v>
      </c>
      <c r="DK506">
        <f t="shared" si="578"/>
        <v>0</v>
      </c>
      <c r="DL506">
        <f t="shared" si="579"/>
        <v>0</v>
      </c>
      <c r="DM506">
        <f t="shared" si="580"/>
        <v>0</v>
      </c>
      <c r="DN506" t="str">
        <f t="shared" si="581"/>
        <v>Timber</v>
      </c>
      <c r="DO506">
        <v>0</v>
      </c>
      <c r="DP506">
        <v>0</v>
      </c>
      <c r="DQ506">
        <v>0</v>
      </c>
      <c r="DR506">
        <v>0</v>
      </c>
      <c r="DS506">
        <v>0</v>
      </c>
      <c r="DT506">
        <f t="shared" si="582"/>
        <v>0</v>
      </c>
      <c r="DU506" t="str">
        <f t="shared" si="583"/>
        <v>explicit C balance</v>
      </c>
      <c r="DV506">
        <v>0</v>
      </c>
      <c r="DW506">
        <v>0</v>
      </c>
      <c r="DX506">
        <v>0</v>
      </c>
      <c r="DY506">
        <v>0</v>
      </c>
      <c r="DZ506">
        <v>0</v>
      </c>
      <c r="EA506" s="143">
        <v>0</v>
      </c>
      <c r="EB506">
        <v>1</v>
      </c>
      <c r="EC506">
        <v>1</v>
      </c>
      <c r="ED506">
        <v>0</v>
      </c>
      <c r="EE506">
        <v>0</v>
      </c>
      <c r="EF506">
        <v>0</v>
      </c>
      <c r="EG506">
        <v>0</v>
      </c>
      <c r="EH506">
        <v>0</v>
      </c>
      <c r="EI506" s="2">
        <v>0</v>
      </c>
      <c r="EK506" t="str">
        <f t="shared" si="584"/>
        <v/>
      </c>
      <c r="EL506" t="str">
        <f t="shared" si="585"/>
        <v/>
      </c>
      <c r="EM506" s="2" t="str">
        <f t="shared" si="558"/>
        <v>Technology approach</v>
      </c>
      <c r="EP506" t="str">
        <f>IF(ISNUMBER(BU506),IF(ABS(BU506-[5]QC_indicators!$B$2)&gt;3*[5]QC_indicators!$C$2,"C ratio",IF(ISNUMBER(BY506),IF(ABS(BY506-[5]QC_indicators!$B$1)&gt;3*[5]QC_indicators!$C$1,"DF","no"))),IF(ISNUMBER(BY506),IF(ABS(BY506-[5]QC_indicators!$B$1)&gt;3*[5]QC_indicators!$C$1,"DF","no")))</f>
        <v>no</v>
      </c>
      <c r="ET506" t="s">
        <v>3272</v>
      </c>
    </row>
    <row r="507" spans="1:150" ht="15" hidden="1" customHeight="1">
      <c r="A507" s="1" t="s">
        <v>398</v>
      </c>
      <c r="B507" t="s">
        <v>681</v>
      </c>
      <c r="C507" t="s">
        <v>682</v>
      </c>
      <c r="D507" t="s">
        <v>683</v>
      </c>
      <c r="E507" t="s">
        <v>684</v>
      </c>
      <c r="F507" t="s">
        <v>685</v>
      </c>
      <c r="G507" t="s">
        <v>404</v>
      </c>
      <c r="H507" t="s">
        <v>254</v>
      </c>
      <c r="I507">
        <v>2022</v>
      </c>
      <c r="J507">
        <v>1</v>
      </c>
      <c r="K507" t="s">
        <v>686</v>
      </c>
      <c r="M507" t="str">
        <f t="shared" si="510"/>
        <v>Duan_2022</v>
      </c>
      <c r="N507" t="s">
        <v>222</v>
      </c>
      <c r="O507" s="145" t="s">
        <v>223</v>
      </c>
      <c r="Q507" t="s">
        <v>389</v>
      </c>
      <c r="R507" s="283" t="s">
        <v>225</v>
      </c>
      <c r="S507" s="1" t="s">
        <v>607</v>
      </c>
      <c r="T507" s="151" t="s">
        <v>810</v>
      </c>
      <c r="U507" t="s">
        <v>259</v>
      </c>
      <c r="V507">
        <v>0</v>
      </c>
      <c r="W507">
        <v>0</v>
      </c>
      <c r="X507">
        <v>0</v>
      </c>
      <c r="Y507">
        <v>0</v>
      </c>
      <c r="Z507">
        <v>0</v>
      </c>
      <c r="AA507">
        <v>0</v>
      </c>
      <c r="AB507">
        <v>0</v>
      </c>
      <c r="AC507">
        <v>0</v>
      </c>
      <c r="AD507">
        <v>0</v>
      </c>
      <c r="AE507">
        <v>0</v>
      </c>
      <c r="AF507">
        <v>0</v>
      </c>
      <c r="AG507">
        <v>0</v>
      </c>
      <c r="AH507">
        <v>0</v>
      </c>
      <c r="AI507">
        <v>0</v>
      </c>
      <c r="AJ507">
        <v>0</v>
      </c>
      <c r="AK507">
        <v>1</v>
      </c>
      <c r="AL507">
        <v>0</v>
      </c>
      <c r="AM507">
        <v>0</v>
      </c>
      <c r="AN507">
        <v>0</v>
      </c>
      <c r="AO507">
        <v>0</v>
      </c>
      <c r="AP507">
        <v>0</v>
      </c>
      <c r="AQ507">
        <v>0</v>
      </c>
      <c r="AR507">
        <v>0</v>
      </c>
      <c r="AS507">
        <v>0</v>
      </c>
      <c r="AT507">
        <v>0</v>
      </c>
      <c r="AU507">
        <v>0</v>
      </c>
      <c r="AV507">
        <v>0</v>
      </c>
      <c r="AW507">
        <v>0</v>
      </c>
      <c r="AX507" s="141">
        <f t="shared" si="559"/>
        <v>1</v>
      </c>
      <c r="AY507" s="141">
        <f t="shared" si="560"/>
        <v>1</v>
      </c>
      <c r="AZ507">
        <f t="shared" si="561"/>
        <v>0</v>
      </c>
      <c r="BA507">
        <f t="shared" si="562"/>
        <v>0</v>
      </c>
      <c r="BB507">
        <f t="shared" si="563"/>
        <v>1</v>
      </c>
      <c r="BC507">
        <f t="shared" si="564"/>
        <v>0</v>
      </c>
      <c r="BD507">
        <f t="shared" si="565"/>
        <v>0</v>
      </c>
      <c r="BE507" t="str">
        <f t="array" ref="BE507">IF(AY507=1,INDEX($V$7:$AL$7,MATCH(TRUE,INDEX($V507:$AW507&lt;&gt;0,),0)),IF(AY507=0,INDEX($AM$7:$AW$7,MATCH(1,$AM507:$AW507,0)),IF(BF507="Multiple strategies","mixed drivers",IF(BF507="Supply chain","multiple supply","multiple silviculture"))))</f>
        <v>technologies/design switch</v>
      </c>
      <c r="BF507" s="2" t="str" cm="1">
        <f t="array" ref="BF507">IF(COUNTIF(AZ507:BB507,"&lt;&gt;0")=1,INDEX($V$4:$AW$4,MATCH(TRUE,INDEX($V507:$AW507&lt;&gt;0,),0)),IF(COUNTIF(AZ507:BB507,"&lt;&gt;0")=0,INDEX($AM$4:$AW$4,MATCH(1,$AM507:$AW507,0)),"Multiple strategies"))</f>
        <v>Technology</v>
      </c>
      <c r="BG507" s="1" t="s">
        <v>229</v>
      </c>
      <c r="BH507" t="s">
        <v>687</v>
      </c>
      <c r="BI507" s="141" t="s">
        <v>688</v>
      </c>
      <c r="BJ507" t="s">
        <v>651</v>
      </c>
      <c r="BK507">
        <f>25.35</f>
        <v>25.35</v>
      </c>
      <c r="BL507">
        <f>25.35+3.2+500.73</f>
        <v>529.28</v>
      </c>
      <c r="BN507">
        <f t="shared" si="566"/>
        <v>503.92999999999995</v>
      </c>
      <c r="BO507">
        <f>BN507*t_to_m3</f>
        <v>1028.4285714285713</v>
      </c>
      <c r="BP507" t="s">
        <v>395</v>
      </c>
      <c r="BQ507" t="s">
        <v>3075</v>
      </c>
      <c r="BR507" t="s">
        <v>262</v>
      </c>
      <c r="BS507">
        <f>(-101.91+769.2+1193.28)*2347</f>
        <v>4366757.79</v>
      </c>
      <c r="BT507">
        <f>(-173.12+411.39+1343.23)*2347</f>
        <v>3711780.5</v>
      </c>
      <c r="BU507" s="144">
        <f t="shared" si="567"/>
        <v>0.85000833078035221</v>
      </c>
      <c r="BV507">
        <f t="shared" si="568"/>
        <v>-654977.29</v>
      </c>
      <c r="BX507">
        <f t="shared" si="569"/>
        <v>-654.97729000000004</v>
      </c>
      <c r="BY507">
        <f t="shared" si="557"/>
        <v>-0.63687193082372562</v>
      </c>
      <c r="BZ507">
        <v>0</v>
      </c>
      <c r="CA507">
        <v>0</v>
      </c>
      <c r="CB507">
        <v>0</v>
      </c>
      <c r="CC507">
        <v>0</v>
      </c>
      <c r="CD507">
        <v>0</v>
      </c>
      <c r="CE507">
        <v>0</v>
      </c>
      <c r="CF507">
        <v>0</v>
      </c>
      <c r="CG507">
        <v>0</v>
      </c>
      <c r="CH507">
        <v>0</v>
      </c>
      <c r="CI507">
        <v>0</v>
      </c>
      <c r="CJ507">
        <v>0</v>
      </c>
      <c r="CK507">
        <v>0</v>
      </c>
      <c r="CL507">
        <v>0</v>
      </c>
      <c r="CM507">
        <v>0</v>
      </c>
      <c r="CN507" t="str">
        <f t="shared" si="570"/>
        <v>refOK</v>
      </c>
      <c r="CO507"/>
      <c r="CP507"/>
      <c r="CQ507">
        <f t="shared" si="571"/>
        <v>1028.4285714285713</v>
      </c>
      <c r="CR507">
        <f t="shared" si="586"/>
        <v>-4366757.79</v>
      </c>
      <c r="CS507">
        <f t="shared" si="587"/>
        <v>-3711780.5</v>
      </c>
      <c r="CT507">
        <f t="shared" si="572"/>
        <v>654.97729000000004</v>
      </c>
      <c r="CU507">
        <f t="shared" si="573"/>
        <v>0.63687193082372562</v>
      </c>
      <c r="CV507" s="2">
        <f t="shared" si="574"/>
        <v>0.14999166921964774</v>
      </c>
      <c r="CW507" s="1" t="s">
        <v>263</v>
      </c>
      <c r="CX507" t="str">
        <f t="shared" si="575"/>
        <v>loc</v>
      </c>
      <c r="CY507" t="s">
        <v>690</v>
      </c>
      <c r="DB507">
        <v>0</v>
      </c>
      <c r="DC507" t="str">
        <f t="shared" si="576"/>
        <v>0</v>
      </c>
      <c r="DD507">
        <v>0</v>
      </c>
      <c r="DE507">
        <v>0</v>
      </c>
      <c r="DF507">
        <v>0</v>
      </c>
      <c r="DG507">
        <v>1</v>
      </c>
      <c r="DH507">
        <v>0</v>
      </c>
      <c r="DI507">
        <f>SUM(DD507:DH507)</f>
        <v>1</v>
      </c>
      <c r="DJ507" t="str">
        <f t="shared" si="577"/>
        <v>TimberInput</v>
      </c>
      <c r="DK507">
        <f t="shared" si="578"/>
        <v>0</v>
      </c>
      <c r="DL507">
        <f t="shared" si="579"/>
        <v>0</v>
      </c>
      <c r="DM507">
        <f t="shared" si="580"/>
        <v>0</v>
      </c>
      <c r="DN507" t="str">
        <f t="shared" si="581"/>
        <v>Timber</v>
      </c>
      <c r="DO507">
        <v>0</v>
      </c>
      <c r="DP507">
        <v>0</v>
      </c>
      <c r="DQ507">
        <v>0</v>
      </c>
      <c r="DR507">
        <v>0</v>
      </c>
      <c r="DS507">
        <v>0</v>
      </c>
      <c r="DT507">
        <f t="shared" si="582"/>
        <v>0</v>
      </c>
      <c r="DU507" t="str">
        <f t="shared" si="583"/>
        <v>explicit C balance</v>
      </c>
      <c r="DV507">
        <v>0</v>
      </c>
      <c r="DW507">
        <v>0</v>
      </c>
      <c r="DX507">
        <v>0</v>
      </c>
      <c r="DY507">
        <v>0</v>
      </c>
      <c r="DZ507">
        <v>0</v>
      </c>
      <c r="EA507" s="143">
        <v>1</v>
      </c>
      <c r="EB507">
        <v>1</v>
      </c>
      <c r="EC507">
        <v>1</v>
      </c>
      <c r="ED507">
        <v>1</v>
      </c>
      <c r="EE507">
        <v>1</v>
      </c>
      <c r="EF507">
        <v>0</v>
      </c>
      <c r="EG507">
        <v>0</v>
      </c>
      <c r="EH507">
        <v>0</v>
      </c>
      <c r="EI507" s="2">
        <v>0</v>
      </c>
      <c r="EK507" t="str">
        <f t="shared" si="584"/>
        <v/>
      </c>
      <c r="EL507" t="str">
        <f t="shared" si="585"/>
        <v/>
      </c>
      <c r="EM507" s="2" t="str">
        <f t="shared" si="558"/>
        <v>Technology approach</v>
      </c>
      <c r="EP507" t="str">
        <f>IF(ISNUMBER(BU507),IF(ABS(BU507-[5]QC_indicators!$B$2)&gt;3*[5]QC_indicators!$C$2,"C ratio",IF(ISNUMBER(BY507),IF(ABS(BY507-[5]QC_indicators!$B$1)&gt;3*[5]QC_indicators!$C$1,"DF","no"))),IF(ISNUMBER(BY507),IF(ABS(BY507-[5]QC_indicators!$B$1)&gt;3*[5]QC_indicators!$C$1,"DF","no")))</f>
        <v>no</v>
      </c>
      <c r="ET507" t="s">
        <v>3272</v>
      </c>
    </row>
    <row r="508" spans="1:150" ht="15" hidden="1" customHeight="1">
      <c r="A508" s="1" t="s">
        <v>398</v>
      </c>
      <c r="B508" t="s">
        <v>681</v>
      </c>
      <c r="C508" t="s">
        <v>682</v>
      </c>
      <c r="D508" t="s">
        <v>683</v>
      </c>
      <c r="E508" t="s">
        <v>684</v>
      </c>
      <c r="F508" t="s">
        <v>685</v>
      </c>
      <c r="G508" t="s">
        <v>404</v>
      </c>
      <c r="H508" t="s">
        <v>254</v>
      </c>
      <c r="I508">
        <v>2022</v>
      </c>
      <c r="J508">
        <v>1</v>
      </c>
      <c r="K508" t="s">
        <v>686</v>
      </c>
      <c r="M508" t="str">
        <f t="shared" si="510"/>
        <v>Duan_2022</v>
      </c>
      <c r="N508" t="s">
        <v>222</v>
      </c>
      <c r="O508" s="145" t="s">
        <v>223</v>
      </c>
      <c r="Q508" t="s">
        <v>389</v>
      </c>
      <c r="R508" s="283" t="s">
        <v>225</v>
      </c>
      <c r="S508" s="1" t="s">
        <v>607</v>
      </c>
      <c r="T508" s="151" t="s">
        <v>810</v>
      </c>
      <c r="U508" t="s">
        <v>259</v>
      </c>
      <c r="V508">
        <v>0</v>
      </c>
      <c r="W508">
        <v>0</v>
      </c>
      <c r="X508">
        <v>0</v>
      </c>
      <c r="Y508">
        <v>0</v>
      </c>
      <c r="Z508">
        <v>0</v>
      </c>
      <c r="AA508">
        <v>0</v>
      </c>
      <c r="AB508">
        <v>0</v>
      </c>
      <c r="AC508">
        <v>0</v>
      </c>
      <c r="AD508">
        <v>0</v>
      </c>
      <c r="AE508">
        <v>0</v>
      </c>
      <c r="AF508">
        <v>0</v>
      </c>
      <c r="AG508">
        <v>0</v>
      </c>
      <c r="AH508">
        <v>0</v>
      </c>
      <c r="AI508">
        <v>0</v>
      </c>
      <c r="AJ508">
        <v>0</v>
      </c>
      <c r="AK508">
        <v>1</v>
      </c>
      <c r="AL508">
        <v>0</v>
      </c>
      <c r="AM508">
        <v>0</v>
      </c>
      <c r="AN508">
        <v>0</v>
      </c>
      <c r="AO508">
        <v>0</v>
      </c>
      <c r="AP508">
        <v>0</v>
      </c>
      <c r="AQ508">
        <v>0</v>
      </c>
      <c r="AR508">
        <v>0</v>
      </c>
      <c r="AS508">
        <v>0</v>
      </c>
      <c r="AT508">
        <v>0</v>
      </c>
      <c r="AU508">
        <v>0</v>
      </c>
      <c r="AV508">
        <v>0</v>
      </c>
      <c r="AW508">
        <v>0</v>
      </c>
      <c r="AX508" s="141">
        <f t="shared" si="559"/>
        <v>1</v>
      </c>
      <c r="AY508" s="141">
        <f t="shared" si="560"/>
        <v>1</v>
      </c>
      <c r="AZ508">
        <f t="shared" si="561"/>
        <v>0</v>
      </c>
      <c r="BA508">
        <f t="shared" si="562"/>
        <v>0</v>
      </c>
      <c r="BB508">
        <f t="shared" si="563"/>
        <v>1</v>
      </c>
      <c r="BC508">
        <f t="shared" si="564"/>
        <v>0</v>
      </c>
      <c r="BD508">
        <f t="shared" si="565"/>
        <v>0</v>
      </c>
      <c r="BE508" t="str">
        <f t="array" ref="BE508">IF(AY508=1,INDEX($V$7:$AL$7,MATCH(TRUE,INDEX($V508:$AW508&lt;&gt;0,),0)),IF(AY508=0,INDEX($AM$7:$AW$7,MATCH(1,$AM508:$AW508,0)),IF(BF508="Multiple strategies","mixed drivers",IF(BF508="Supply chain","multiple supply","multiple silviculture"))))</f>
        <v>technologies/design switch</v>
      </c>
      <c r="BF508" s="2" t="str" cm="1">
        <f t="array" ref="BF508">IF(COUNTIF(AZ508:BB508,"&lt;&gt;0")=1,INDEX($V$4:$AW$4,MATCH(TRUE,INDEX($V508:$AW508&lt;&gt;0,),0)),IF(COUNTIF(AZ508:BB508,"&lt;&gt;0")=0,INDEX($AM$4:$AW$4,MATCH(1,$AM508:$AW508,0)),"Multiple strategies"))</f>
        <v>Technology</v>
      </c>
      <c r="BG508" s="1" t="s">
        <v>229</v>
      </c>
      <c r="BH508" t="s">
        <v>687</v>
      </c>
      <c r="BI508" s="141" t="s">
        <v>688</v>
      </c>
      <c r="BJ508" t="s">
        <v>651</v>
      </c>
      <c r="BK508">
        <f>25.35</f>
        <v>25.35</v>
      </c>
      <c r="BL508">
        <f>25.35+3.2+500.73</f>
        <v>529.28</v>
      </c>
      <c r="BN508">
        <f t="shared" si="566"/>
        <v>503.92999999999995</v>
      </c>
      <c r="BO508">
        <f>BN508*t_to_m3</f>
        <v>1028.4285714285713</v>
      </c>
      <c r="BP508" t="s">
        <v>395</v>
      </c>
      <c r="BQ508" t="s">
        <v>3076</v>
      </c>
      <c r="BR508" t="s">
        <v>262</v>
      </c>
      <c r="BS508">
        <f>-101.91*2347</f>
        <v>-239182.77</v>
      </c>
      <c r="BT508">
        <f>-173.12*2347</f>
        <v>-406312.64</v>
      </c>
      <c r="BU508" s="144">
        <f t="shared" si="567"/>
        <v>1.6987538023746445</v>
      </c>
      <c r="BV508">
        <f t="shared" si="568"/>
        <v>-167129.87000000002</v>
      </c>
      <c r="BX508">
        <f t="shared" si="569"/>
        <v>-167.12987000000001</v>
      </c>
      <c r="BY508">
        <f t="shared" si="557"/>
        <v>-0.16250994443672734</v>
      </c>
      <c r="BZ508">
        <v>0</v>
      </c>
      <c r="CA508">
        <v>0</v>
      </c>
      <c r="CB508">
        <v>0</v>
      </c>
      <c r="CC508">
        <v>0</v>
      </c>
      <c r="CD508">
        <v>0</v>
      </c>
      <c r="CE508">
        <v>0</v>
      </c>
      <c r="CF508">
        <v>0</v>
      </c>
      <c r="CG508">
        <v>0</v>
      </c>
      <c r="CH508">
        <v>0</v>
      </c>
      <c r="CI508">
        <v>0</v>
      </c>
      <c r="CJ508">
        <v>0</v>
      </c>
      <c r="CK508">
        <v>0</v>
      </c>
      <c r="CL508">
        <v>0</v>
      </c>
      <c r="CM508">
        <v>0</v>
      </c>
      <c r="CN508" t="str">
        <f t="shared" si="570"/>
        <v>refOK</v>
      </c>
      <c r="CO508"/>
      <c r="CP508"/>
      <c r="CQ508">
        <f t="shared" si="571"/>
        <v>1028.4285714285713</v>
      </c>
      <c r="CR508">
        <f t="shared" si="586"/>
        <v>239182.77</v>
      </c>
      <c r="CS508">
        <f t="shared" si="587"/>
        <v>406312.64</v>
      </c>
      <c r="CT508">
        <f t="shared" si="572"/>
        <v>167.12987000000001</v>
      </c>
      <c r="CU508">
        <f t="shared" si="573"/>
        <v>0.16250994443672734</v>
      </c>
      <c r="CV508" s="2">
        <f t="shared" si="574"/>
        <v>0.69875380237464446</v>
      </c>
      <c r="CW508" s="1" t="s">
        <v>263</v>
      </c>
      <c r="CX508" t="str">
        <f t="shared" si="575"/>
        <v>loc</v>
      </c>
      <c r="CY508" t="s">
        <v>690</v>
      </c>
      <c r="DB508">
        <v>0</v>
      </c>
      <c r="DC508" t="str">
        <f t="shared" si="576"/>
        <v>0</v>
      </c>
      <c r="DD508">
        <v>0</v>
      </c>
      <c r="DE508">
        <v>0</v>
      </c>
      <c r="DF508">
        <v>0</v>
      </c>
      <c r="DG508">
        <v>1</v>
      </c>
      <c r="DH508">
        <v>0</v>
      </c>
      <c r="DI508">
        <f>SUM(DD508:DH508)</f>
        <v>1</v>
      </c>
      <c r="DJ508" t="str">
        <f t="shared" si="577"/>
        <v>TimberInput</v>
      </c>
      <c r="DK508">
        <f t="shared" si="578"/>
        <v>0</v>
      </c>
      <c r="DL508">
        <f t="shared" si="579"/>
        <v>0</v>
      </c>
      <c r="DM508">
        <f t="shared" si="580"/>
        <v>0</v>
      </c>
      <c r="DN508" t="str">
        <f t="shared" si="581"/>
        <v>Timber</v>
      </c>
      <c r="DO508">
        <v>0</v>
      </c>
      <c r="DP508">
        <v>0</v>
      </c>
      <c r="DQ508">
        <v>0</v>
      </c>
      <c r="DR508">
        <v>0</v>
      </c>
      <c r="DS508">
        <v>0</v>
      </c>
      <c r="DT508">
        <f t="shared" si="582"/>
        <v>0</v>
      </c>
      <c r="DU508" t="str">
        <f t="shared" si="583"/>
        <v>explicit C balance</v>
      </c>
      <c r="DV508">
        <v>0</v>
      </c>
      <c r="DW508">
        <v>0</v>
      </c>
      <c r="DX508">
        <v>0</v>
      </c>
      <c r="DY508">
        <v>0</v>
      </c>
      <c r="DZ508">
        <v>0</v>
      </c>
      <c r="EA508" s="143">
        <v>1</v>
      </c>
      <c r="EB508">
        <v>0</v>
      </c>
      <c r="EC508">
        <v>0</v>
      </c>
      <c r="ED508">
        <v>0</v>
      </c>
      <c r="EE508">
        <v>1</v>
      </c>
      <c r="EF508">
        <v>0</v>
      </c>
      <c r="EG508">
        <v>0</v>
      </c>
      <c r="EH508">
        <v>0</v>
      </c>
      <c r="EI508" s="2">
        <v>0</v>
      </c>
      <c r="EK508" t="str">
        <f t="shared" si="584"/>
        <v/>
      </c>
      <c r="EL508" t="str">
        <f t="shared" si="585"/>
        <v/>
      </c>
      <c r="EM508" s="2" t="str">
        <f t="shared" si="558"/>
        <v/>
      </c>
      <c r="EP508" t="str">
        <f>IF(ISNUMBER(BU508),IF(ABS(BU508-[5]QC_indicators!$B$2)&gt;3*[5]QC_indicators!$C$2,"C ratio",IF(ISNUMBER(BY508),IF(ABS(BY508-[5]QC_indicators!$B$1)&gt;3*[5]QC_indicators!$C$1,"DF","no"))),IF(ISNUMBER(BY508),IF(ABS(BY508-[5]QC_indicators!$B$1)&gt;3*[5]QC_indicators!$C$1,"DF","no")))</f>
        <v>no</v>
      </c>
      <c r="ET508" t="s">
        <v>3272</v>
      </c>
    </row>
    <row r="509" spans="1:150" ht="15" hidden="1" customHeight="1">
      <c r="A509" s="1" t="s">
        <v>398</v>
      </c>
      <c r="B509" t="s">
        <v>681</v>
      </c>
      <c r="C509" t="s">
        <v>682</v>
      </c>
      <c r="D509" t="s">
        <v>683</v>
      </c>
      <c r="E509" t="s">
        <v>684</v>
      </c>
      <c r="F509" t="s">
        <v>685</v>
      </c>
      <c r="G509" t="s">
        <v>404</v>
      </c>
      <c r="H509" t="s">
        <v>254</v>
      </c>
      <c r="I509">
        <v>2022</v>
      </c>
      <c r="J509">
        <v>1</v>
      </c>
      <c r="K509" t="s">
        <v>686</v>
      </c>
      <c r="M509" t="str">
        <f t="shared" si="510"/>
        <v>Duan_2022</v>
      </c>
      <c r="N509" t="s">
        <v>222</v>
      </c>
      <c r="O509" s="145" t="s">
        <v>223</v>
      </c>
      <c r="Q509" t="s">
        <v>389</v>
      </c>
      <c r="R509" s="283" t="s">
        <v>225</v>
      </c>
      <c r="S509" s="1" t="s">
        <v>607</v>
      </c>
      <c r="T509" s="151" t="s">
        <v>810</v>
      </c>
      <c r="U509" t="s">
        <v>259</v>
      </c>
      <c r="V509">
        <v>0</v>
      </c>
      <c r="W509">
        <v>0</v>
      </c>
      <c r="X509">
        <v>0</v>
      </c>
      <c r="Y509">
        <v>0</v>
      </c>
      <c r="Z509">
        <v>0</v>
      </c>
      <c r="AA509">
        <v>0</v>
      </c>
      <c r="AB509">
        <v>0</v>
      </c>
      <c r="AC509">
        <v>0</v>
      </c>
      <c r="AD509">
        <v>0</v>
      </c>
      <c r="AE509">
        <v>0</v>
      </c>
      <c r="AF509">
        <v>0</v>
      </c>
      <c r="AG509">
        <v>0</v>
      </c>
      <c r="AH509">
        <v>0</v>
      </c>
      <c r="AI509">
        <v>0</v>
      </c>
      <c r="AJ509">
        <v>0</v>
      </c>
      <c r="AK509">
        <v>1</v>
      </c>
      <c r="AL509">
        <v>0</v>
      </c>
      <c r="AM509">
        <v>0</v>
      </c>
      <c r="AN509">
        <v>0</v>
      </c>
      <c r="AO509">
        <v>0</v>
      </c>
      <c r="AP509">
        <v>0</v>
      </c>
      <c r="AQ509">
        <v>0</v>
      </c>
      <c r="AR509">
        <v>0</v>
      </c>
      <c r="AS509">
        <v>0</v>
      </c>
      <c r="AT509">
        <v>0</v>
      </c>
      <c r="AU509">
        <v>0</v>
      </c>
      <c r="AV509">
        <v>0</v>
      </c>
      <c r="AW509">
        <v>0</v>
      </c>
      <c r="AX509" s="141">
        <f t="shared" si="559"/>
        <v>1</v>
      </c>
      <c r="AY509" s="141">
        <f t="shared" si="560"/>
        <v>1</v>
      </c>
      <c r="AZ509">
        <f t="shared" si="561"/>
        <v>0</v>
      </c>
      <c r="BA509">
        <f t="shared" si="562"/>
        <v>0</v>
      </c>
      <c r="BB509">
        <f t="shared" si="563"/>
        <v>1</v>
      </c>
      <c r="BC509">
        <f t="shared" si="564"/>
        <v>0</v>
      </c>
      <c r="BD509">
        <f t="shared" si="565"/>
        <v>0</v>
      </c>
      <c r="BE509" t="str">
        <f t="array" ref="BE509">IF(AY509=1,INDEX($V$7:$AL$7,MATCH(TRUE,INDEX($V509:$AW509&lt;&gt;0,),0)),IF(AY509=0,INDEX($AM$7:$AW$7,MATCH(1,$AM509:$AW509,0)),IF(BF509="Multiple strategies","mixed drivers",IF(BF509="Supply chain","multiple supply","multiple silviculture"))))</f>
        <v>technologies/design switch</v>
      </c>
      <c r="BF509" s="2" t="str" cm="1">
        <f t="array" ref="BF509">IF(COUNTIF(AZ509:BB509,"&lt;&gt;0")=1,INDEX($V$4:$AW$4,MATCH(TRUE,INDEX($V509:$AW509&lt;&gt;0,),0)),IF(COUNTIF(AZ509:BB509,"&lt;&gt;0")=0,INDEX($AM$4:$AW$4,MATCH(1,$AM509:$AW509,0)),"Multiple strategies"))</f>
        <v>Technology</v>
      </c>
      <c r="BG509" s="1" t="s">
        <v>229</v>
      </c>
      <c r="BH509" t="s">
        <v>687</v>
      </c>
      <c r="BI509" s="141" t="s">
        <v>688</v>
      </c>
      <c r="BJ509" t="s">
        <v>651</v>
      </c>
      <c r="BK509">
        <f>25.35</f>
        <v>25.35</v>
      </c>
      <c r="BL509">
        <f>25.35+3.2+500.73</f>
        <v>529.28</v>
      </c>
      <c r="BN509">
        <f t="shared" si="566"/>
        <v>503.92999999999995</v>
      </c>
      <c r="BO509">
        <f>BN509*t_to_m3</f>
        <v>1028.4285714285713</v>
      </c>
      <c r="BP509" t="s">
        <v>395</v>
      </c>
      <c r="BQ509" t="s">
        <v>3077</v>
      </c>
      <c r="BR509" t="s">
        <v>262</v>
      </c>
      <c r="BS509">
        <f>1193.28*2347</f>
        <v>2800628.16</v>
      </c>
      <c r="BT509">
        <f>1343.23*2347</f>
        <v>3152560.81</v>
      </c>
      <c r="BU509" s="144">
        <f t="shared" si="567"/>
        <v>1.1256620407615983</v>
      </c>
      <c r="BV509">
        <f t="shared" si="568"/>
        <v>351932.64999999991</v>
      </c>
      <c r="BX509">
        <f t="shared" si="569"/>
        <v>351.93264999999991</v>
      </c>
      <c r="BY509">
        <f t="shared" si="557"/>
        <v>0.34220427142658699</v>
      </c>
      <c r="BZ509">
        <v>0</v>
      </c>
      <c r="CA509">
        <v>0</v>
      </c>
      <c r="CB509">
        <v>0</v>
      </c>
      <c r="CC509">
        <v>0</v>
      </c>
      <c r="CD509">
        <v>0</v>
      </c>
      <c r="CE509">
        <v>0</v>
      </c>
      <c r="CF509">
        <v>0</v>
      </c>
      <c r="CG509">
        <v>0</v>
      </c>
      <c r="CH509">
        <v>0</v>
      </c>
      <c r="CI509">
        <v>0</v>
      </c>
      <c r="CJ509">
        <v>0</v>
      </c>
      <c r="CK509">
        <v>0</v>
      </c>
      <c r="CL509">
        <v>0</v>
      </c>
      <c r="CM509">
        <v>0</v>
      </c>
      <c r="CN509" t="str">
        <f t="shared" si="570"/>
        <v>refOK</v>
      </c>
      <c r="CO509"/>
      <c r="CP509"/>
      <c r="CQ509">
        <f t="shared" si="571"/>
        <v>1028.4285714285713</v>
      </c>
      <c r="CR509">
        <f t="shared" si="586"/>
        <v>-2800628.16</v>
      </c>
      <c r="CS509">
        <f t="shared" si="587"/>
        <v>-3152560.81</v>
      </c>
      <c r="CT509">
        <f t="shared" si="572"/>
        <v>-351.93264999999991</v>
      </c>
      <c r="CU509">
        <f t="shared" si="573"/>
        <v>-0.34220427142658699</v>
      </c>
      <c r="CV509" s="2">
        <f t="shared" si="574"/>
        <v>-0.12566204076159823</v>
      </c>
      <c r="CW509" s="1" t="s">
        <v>263</v>
      </c>
      <c r="CX509" t="str">
        <f t="shared" si="575"/>
        <v>loc</v>
      </c>
      <c r="CY509" t="s">
        <v>690</v>
      </c>
      <c r="DB509">
        <v>0</v>
      </c>
      <c r="DC509" t="str">
        <f t="shared" si="576"/>
        <v>0</v>
      </c>
      <c r="DD509">
        <v>0</v>
      </c>
      <c r="DE509">
        <v>0</v>
      </c>
      <c r="DF509">
        <v>0</v>
      </c>
      <c r="DG509">
        <v>1</v>
      </c>
      <c r="DH509">
        <v>0</v>
      </c>
      <c r="DI509">
        <f>SUM(DD509:DH509)</f>
        <v>1</v>
      </c>
      <c r="DJ509" t="str">
        <f t="shared" si="577"/>
        <v>TimberInput</v>
      </c>
      <c r="DK509">
        <f t="shared" si="578"/>
        <v>0</v>
      </c>
      <c r="DL509">
        <f t="shared" si="579"/>
        <v>0</v>
      </c>
      <c r="DM509">
        <f t="shared" si="580"/>
        <v>0</v>
      </c>
      <c r="DN509" t="str">
        <f t="shared" si="581"/>
        <v>Timber</v>
      </c>
      <c r="DO509">
        <v>0</v>
      </c>
      <c r="DP509">
        <v>0</v>
      </c>
      <c r="DQ509">
        <v>0</v>
      </c>
      <c r="DR509">
        <v>0</v>
      </c>
      <c r="DS509">
        <v>0</v>
      </c>
      <c r="DT509">
        <f t="shared" si="582"/>
        <v>0</v>
      </c>
      <c r="DU509" t="str">
        <f t="shared" si="583"/>
        <v>explicit C balance</v>
      </c>
      <c r="DV509">
        <v>0</v>
      </c>
      <c r="DW509">
        <v>0</v>
      </c>
      <c r="DX509">
        <v>0</v>
      </c>
      <c r="DY509">
        <v>0</v>
      </c>
      <c r="DZ509">
        <v>0</v>
      </c>
      <c r="EA509" s="143">
        <v>0</v>
      </c>
      <c r="EB509">
        <v>0</v>
      </c>
      <c r="EC509">
        <v>0</v>
      </c>
      <c r="ED509">
        <v>1</v>
      </c>
      <c r="EE509">
        <v>0</v>
      </c>
      <c r="EF509">
        <v>0</v>
      </c>
      <c r="EG509">
        <v>0</v>
      </c>
      <c r="EH509">
        <v>0</v>
      </c>
      <c r="EI509" s="2">
        <v>0</v>
      </c>
      <c r="EK509" t="str">
        <f t="shared" si="584"/>
        <v/>
      </c>
      <c r="EL509" t="str">
        <f t="shared" si="585"/>
        <v/>
      </c>
      <c r="EM509" s="2" t="str">
        <f t="shared" si="558"/>
        <v/>
      </c>
      <c r="EP509" t="str">
        <f>IF(ISNUMBER(BU509),IF(ABS(BU509-[5]QC_indicators!$B$2)&gt;3*[5]QC_indicators!$C$2,"C ratio",IF(ISNUMBER(BY509),IF(ABS(BY509-[5]QC_indicators!$B$1)&gt;3*[5]QC_indicators!$C$1,"DF","no"))),IF(ISNUMBER(BY509),IF(ABS(BY509-[5]QC_indicators!$B$1)&gt;3*[5]QC_indicators!$C$1,"DF","no")))</f>
        <v>no</v>
      </c>
      <c r="ET509" t="s">
        <v>3272</v>
      </c>
    </row>
    <row r="510" spans="1:150" ht="15" hidden="1" customHeight="1">
      <c r="A510" s="1" t="s">
        <v>5084</v>
      </c>
      <c r="B510" t="s">
        <v>5085</v>
      </c>
      <c r="C510" t="s">
        <v>5086</v>
      </c>
      <c r="D510" t="s">
        <v>5087</v>
      </c>
      <c r="E510" t="s">
        <v>5088</v>
      </c>
      <c r="F510" t="s">
        <v>5089</v>
      </c>
      <c r="G510" t="s">
        <v>5090</v>
      </c>
      <c r="H510" t="s">
        <v>3790</v>
      </c>
      <c r="I510">
        <v>2017</v>
      </c>
      <c r="J510">
        <v>18</v>
      </c>
      <c r="K510" t="s">
        <v>5091</v>
      </c>
      <c r="M510" t="str">
        <f t="shared" si="510"/>
        <v>Dubeux_2017</v>
      </c>
      <c r="N510" t="s">
        <v>2585</v>
      </c>
      <c r="O510" s="145" t="s">
        <v>274</v>
      </c>
      <c r="Q510" s="311" t="s">
        <v>256</v>
      </c>
      <c r="R510" s="312"/>
      <c r="AX510" s="141"/>
      <c r="AY510" s="141"/>
      <c r="BE510"/>
      <c r="BF510" s="2"/>
      <c r="BU510" s="144"/>
      <c r="BV510" s="152"/>
      <c r="BW510" s="152"/>
      <c r="BY510" t="str">
        <f t="shared" si="557"/>
        <v/>
      </c>
      <c r="CN510"/>
      <c r="CO510"/>
      <c r="CP510"/>
      <c r="CQ510"/>
      <c r="CR510"/>
      <c r="CS510"/>
      <c r="CT510"/>
      <c r="CU510"/>
      <c r="CV510" s="2"/>
      <c r="CX510"/>
      <c r="DC510"/>
      <c r="DI510"/>
      <c r="DJ510"/>
      <c r="DK510"/>
      <c r="DL510"/>
      <c r="DM510"/>
      <c r="DN510"/>
      <c r="DT510"/>
      <c r="DU510" s="143"/>
      <c r="EK510" t="str">
        <f t="shared" ref="EK510:EK515" si="588">IF(AND(AND(AND(OR($DX510=1,$DW510=1),OR($EC510=1,$EA510=1)),SUM($DV510:$DZ510,$EF510)&gt;=3),SUM($EA510:$EE510)&gt;=2),"Whole sector","")</f>
        <v/>
      </c>
      <c r="EL510" t="str">
        <f t="shared" ref="EL510:EL515" si="589">IF(AND(AND(OR($DX510=1,$DW510=1),AND($EC510=0,$EA510=0)),SUM($DV510:$DZ510,$EF510)&gt;=3),"Ecosystem approach","")</f>
        <v/>
      </c>
      <c r="EM510" s="2" t="str">
        <f t="shared" si="558"/>
        <v/>
      </c>
      <c r="EO510" t="s">
        <v>450</v>
      </c>
      <c r="EP510" t="b">
        <f>IF(ISNUMBER(BU510),IF(ABS(BU510-[1]QC_indicators!$B$2)&gt;3*[1]QC_indicators!$C$2,"C ratio",IF(ISNUMBER(BY510),IF(ABS(BY510-[1]QC_indicators!$B$1)&gt;3*[1]QC_indicators!$C$1,"DF","no"))),IF(ISNUMBER(BY510),IF(ABS(BY510-[1]QC_indicators!$B$1)&gt;3*[1]QC_indicators!$C$1,"DF","no")))</f>
        <v>0</v>
      </c>
    </row>
    <row r="511" spans="1:150" ht="15" hidden="1" customHeight="1">
      <c r="D511" t="s">
        <v>3561</v>
      </c>
      <c r="E511" t="s">
        <v>3562</v>
      </c>
      <c r="G511" t="s">
        <v>3563</v>
      </c>
      <c r="I511">
        <v>2018</v>
      </c>
      <c r="K511" s="311" t="s">
        <v>3564</v>
      </c>
      <c r="M511" t="str">
        <f t="shared" si="510"/>
        <v>Dugan_2018</v>
      </c>
      <c r="N511" s="311" t="s">
        <v>4382</v>
      </c>
      <c r="O511" t="s">
        <v>223</v>
      </c>
      <c r="Q511" s="311" t="s">
        <v>256</v>
      </c>
      <c r="R511" s="312"/>
      <c r="S511" s="1" t="s">
        <v>3565</v>
      </c>
      <c r="T511" t="s">
        <v>3567</v>
      </c>
      <c r="U511" s="143" t="s">
        <v>3576</v>
      </c>
      <c r="V511">
        <v>0</v>
      </c>
      <c r="W511">
        <v>0</v>
      </c>
      <c r="X511">
        <v>0</v>
      </c>
      <c r="Y511">
        <v>0</v>
      </c>
      <c r="Z511">
        <v>0</v>
      </c>
      <c r="AA511">
        <v>0</v>
      </c>
      <c r="AB511">
        <v>0</v>
      </c>
      <c r="AC511">
        <v>0</v>
      </c>
      <c r="AD511">
        <v>0</v>
      </c>
      <c r="AE511">
        <v>0</v>
      </c>
      <c r="AF511">
        <v>0</v>
      </c>
      <c r="AG511">
        <v>0</v>
      </c>
      <c r="AH511">
        <v>0</v>
      </c>
      <c r="AI511">
        <v>1</v>
      </c>
      <c r="AJ511">
        <v>0</v>
      </c>
      <c r="AK511">
        <v>0</v>
      </c>
      <c r="AL511">
        <v>0</v>
      </c>
      <c r="AM511">
        <v>0</v>
      </c>
      <c r="AN511">
        <v>0</v>
      </c>
      <c r="AO511">
        <v>0</v>
      </c>
      <c r="AP511">
        <v>0</v>
      </c>
      <c r="AQ511">
        <v>0</v>
      </c>
      <c r="AR511">
        <v>0</v>
      </c>
      <c r="AS511">
        <v>0</v>
      </c>
      <c r="AT511">
        <v>0</v>
      </c>
      <c r="AU511">
        <v>0</v>
      </c>
      <c r="AV511">
        <v>0</v>
      </c>
      <c r="AW511">
        <v>0</v>
      </c>
      <c r="AX511" s="141">
        <f t="shared" ref="AX511:AX539" si="590">COUNTIF(V511:AW511,"&lt;&gt;0")</f>
        <v>1</v>
      </c>
      <c r="AY511" s="141">
        <f t="shared" ref="AY511:AY539" si="591">COUNTIF(V511:AL511,"&lt;&gt;0")</f>
        <v>1</v>
      </c>
      <c r="AZ511">
        <f t="shared" ref="AZ511:AZ539" si="592">COUNTIF(V511:AC511,"&lt;&gt;0")</f>
        <v>0</v>
      </c>
      <c r="BA511">
        <f t="shared" ref="BA511:BA539" si="593">COUNTIF(AD511:AI511,"&lt;&gt;0")</f>
        <v>1</v>
      </c>
      <c r="BB511">
        <f t="shared" ref="BB511:BB539" si="594">COUNTIF(AJ511:AL511,"&lt;&gt;0")</f>
        <v>0</v>
      </c>
      <c r="BC511">
        <f t="shared" ref="BC511:BC539" si="595">COUNTIF(AS511:AW511,"&lt;&gt;0")</f>
        <v>0</v>
      </c>
      <c r="BD511">
        <f t="shared" ref="BD511:BD539" si="596">COUNTIF(AM511:AR511,"&lt;&gt;0")</f>
        <v>0</v>
      </c>
      <c r="BE511" t="str" cm="1">
        <f t="array" ref="BE511">IF(AY511=1,INDEX($V$7:$AL$7,MATCH(TRUE,INDEX($V511:$AW511&lt;&gt;0,),0)),IF(AY511=0,INDEX($AM$7:$AW$7,MATCH(1,$AM511:$AW511,0)),IF(BF511="Multiple strategies","mixed drivers",IF(BF511="Supply chain","multiple supply","multiple silviculture"))))</f>
        <v>products lifespan</v>
      </c>
      <c r="BF511" s="2" t="str" cm="1">
        <f t="array" ref="BF511">IF(COUNTIF(AZ511:BB511,"&lt;&gt;0")=1,INDEX($V$4:$AW$4,MATCH(TRUE,INDEX($V511:$AW511&lt;&gt;0,),0)),IF(COUNTIF(AZ511:BB511,"&lt;&gt;0")=0,INDEX($AM$4:$AW$4,MATCH(1,$AM511:$AW511,0)),"Multiple strategies"))</f>
        <v>Supply chain</v>
      </c>
      <c r="BG511" s="142" t="s">
        <v>229</v>
      </c>
      <c r="BH511" s="311" t="s">
        <v>3568</v>
      </c>
      <c r="BI511" s="311" t="s">
        <v>787</v>
      </c>
      <c r="BJ511" s="143" t="s">
        <v>1139</v>
      </c>
      <c r="BL511" s="143"/>
      <c r="BM511" s="143"/>
      <c r="BN511">
        <v>0</v>
      </c>
      <c r="BO511" s="143">
        <f>BN511/C_to_CO2*10^6*tC_to_m3</f>
        <v>0</v>
      </c>
      <c r="BP511" s="311" t="s">
        <v>395</v>
      </c>
      <c r="BQ511" s="311" t="s">
        <v>396</v>
      </c>
      <c r="BR511" t="s">
        <v>1139</v>
      </c>
      <c r="BS511" s="143"/>
      <c r="BV511">
        <v>-4.62</v>
      </c>
      <c r="BX511">
        <f t="shared" ref="BX511:BX539" si="597">BV511*10^6</f>
        <v>-4620000</v>
      </c>
      <c r="BY511" t="str">
        <f t="shared" si="557"/>
        <v/>
      </c>
      <c r="BZ511" s="143">
        <v>0</v>
      </c>
      <c r="CA511" s="143">
        <v>0</v>
      </c>
      <c r="CB511" s="143">
        <v>0</v>
      </c>
      <c r="CC511" s="143">
        <v>0</v>
      </c>
      <c r="CD511" s="143">
        <v>0</v>
      </c>
      <c r="CE511" s="143">
        <v>0</v>
      </c>
      <c r="CF511" s="143">
        <v>0</v>
      </c>
      <c r="CG511" s="143">
        <v>0</v>
      </c>
      <c r="CH511" s="143">
        <v>0</v>
      </c>
      <c r="CI511" s="143">
        <v>0</v>
      </c>
      <c r="CJ511" s="143">
        <v>0</v>
      </c>
      <c r="CK511" s="143">
        <v>0</v>
      </c>
      <c r="CL511" s="143">
        <v>0</v>
      </c>
      <c r="CM511">
        <v>0</v>
      </c>
      <c r="CN511" t="str">
        <f t="shared" ref="CN511:CN535" si="598">IF(BL511&lt;BK511,"refNeedCorrection","refOK")</f>
        <v>refOK</v>
      </c>
      <c r="CO511"/>
      <c r="CP511"/>
      <c r="CQ511">
        <f t="shared" ref="CQ511:CQ520" si="599">IF($CN511="refNeedCorrection",-BO511,BO511)</f>
        <v>0</v>
      </c>
      <c r="CR511">
        <f t="shared" ref="CR511:CR539" si="600">IF($CN511="refOK",$BS511,$BT511)*IF($BP511="Emissions positive",-1,1)</f>
        <v>0</v>
      </c>
      <c r="CS511">
        <f t="shared" ref="CS511:CS539" si="601">IF($CN511="refOK",$BT511,$BS511)*IF($BP511="Emissions positive",-1,1)</f>
        <v>0</v>
      </c>
      <c r="CT511">
        <f t="shared" ref="CT511:CT539" si="602">IF($CN511="refNeedCorrection",-BX511,BX511)*IF($BP511="Emissions positive",-1,1)</f>
        <v>4620000</v>
      </c>
      <c r="CU511" t="str">
        <f t="shared" ref="CU511:CU539" si="603">IFERROR(CT511/CQ511,"")</f>
        <v/>
      </c>
      <c r="CV511" s="2" t="str">
        <f t="shared" ref="CV511:CV539" si="604">IFERROR((CS511-CR511)/ABS(CR511),"")</f>
        <v/>
      </c>
      <c r="CW511" s="1" t="s">
        <v>1198</v>
      </c>
      <c r="CX511" s="311" t="str">
        <f t="shared" ref="CX511:CX539" si="605">IF(OR($CW511="prd",$CW511="std",$CW511="cit"),"loc",IF(OR($CW511="eur",$CW511="reg",$CW511="coy"),"reg",$CW511))</f>
        <v>reg</v>
      </c>
      <c r="CY511" t="s">
        <v>428</v>
      </c>
      <c r="CZ511">
        <v>2015</v>
      </c>
      <c r="DA511" s="143">
        <v>2050</v>
      </c>
      <c r="DB511" s="143">
        <f>DA511-CZ511</f>
        <v>35</v>
      </c>
      <c r="DC511" t="str">
        <f t="shared" ref="DC511:DC539" si="606">IF(DB511=0,"0",IF(AND(DB511&gt;=1,DB511&lt;=30),"1-30",IF(AND(DB511&gt;30,DB511&lt;=70),"31-70",IF(AND(DB511&gt;70,DB511&lt;=100),"71-100",IF(DB511&gt;100,"+100")))))</f>
        <v>31-70</v>
      </c>
      <c r="DD511">
        <v>0</v>
      </c>
      <c r="DE511">
        <v>1</v>
      </c>
      <c r="DF511">
        <v>1</v>
      </c>
      <c r="DG511">
        <v>1</v>
      </c>
      <c r="DI511">
        <f t="shared" ref="DI511:DI539" si="607">SUM(DD511:DG511)</f>
        <v>3</v>
      </c>
      <c r="DJ511" t="str">
        <f t="shared" ref="DJ511:DJ539" si="608">IF(DI511=1,INDEX($DD$7:$DG$7,MATCH(1,$DD511:$DG511,0)),"mixedProduct")</f>
        <v>mixedProduct</v>
      </c>
      <c r="DK511">
        <f t="shared" ref="DK511:DK539" si="609">IF(DD511=1,DK$7,0)</f>
        <v>0</v>
      </c>
      <c r="DL511" t="str">
        <f t="shared" ref="DL511:DL539" si="610">IF(DE511=1,DL$7,0)</f>
        <v>Energy</v>
      </c>
      <c r="DM511" t="str">
        <f t="shared" ref="DM511:DM539" si="611">IF(DF511=1,DM$7,0)</f>
        <v>Pulp/Paper</v>
      </c>
      <c r="DN511" t="str">
        <f t="shared" ref="DN511:DN539" si="612">IF(DG511=1,DN$7,0)</f>
        <v>Timber</v>
      </c>
      <c r="DO511">
        <v>0</v>
      </c>
      <c r="DP511" s="143">
        <v>1</v>
      </c>
      <c r="DQ511" s="143" t="s">
        <v>3569</v>
      </c>
      <c r="DR511" s="143" t="s">
        <v>3569</v>
      </c>
      <c r="DS511" s="143" t="s">
        <v>3569</v>
      </c>
      <c r="DT511">
        <f t="shared" ref="DT511:DT539" si="613">SUM(DO511:DP511)</f>
        <v>1</v>
      </c>
      <c r="DU511" s="143" t="str">
        <f t="shared" ref="DU511:DU539" si="614">IF(DO511=1,"self-calculated DF",IF(DP511=1,"external DF used","explicit C balance"))</f>
        <v>external DF used</v>
      </c>
      <c r="DV511" s="143">
        <v>1</v>
      </c>
      <c r="DW511" s="143">
        <v>1</v>
      </c>
      <c r="DX511" s="143">
        <v>1</v>
      </c>
      <c r="DY511" s="143">
        <v>1</v>
      </c>
      <c r="DZ511">
        <v>1</v>
      </c>
      <c r="EA511" s="143">
        <v>1</v>
      </c>
      <c r="EB511" s="143">
        <v>0</v>
      </c>
      <c r="EC511" s="143">
        <v>1</v>
      </c>
      <c r="ED511" s="143">
        <v>0</v>
      </c>
      <c r="EE511">
        <v>0</v>
      </c>
      <c r="EF511">
        <v>1</v>
      </c>
      <c r="EG511" s="143">
        <v>0</v>
      </c>
      <c r="EH511" s="143">
        <v>1</v>
      </c>
      <c r="EI511" s="2">
        <v>0</v>
      </c>
      <c r="EK511" t="str">
        <f t="shared" si="588"/>
        <v>Whole sector</v>
      </c>
      <c r="EL511" t="str">
        <f t="shared" si="589"/>
        <v/>
      </c>
      <c r="EM511" s="2" t="str">
        <f t="shared" si="558"/>
        <v/>
      </c>
      <c r="EP511" t="b">
        <f>IF(ISNUMBER(BU511),IF(ABS(BU511-[1]QC_indicators!$B$2)&gt;3*[1]QC_indicators!$C$2,"C ratio",IF(ISNUMBER(BY511),IF(ABS(BY511-[1]QC_indicators!$B$1)&gt;3*[1]QC_indicators!$C$1,"DF","no"))),IF(ISNUMBER(BY511),IF(ABS(BY511-[1]QC_indicators!$B$1)&gt;3*[1]QC_indicators!$C$1,"DF","no")))</f>
        <v>0</v>
      </c>
      <c r="ER511" s="313" t="s">
        <v>3570</v>
      </c>
    </row>
    <row r="512" spans="1:150" ht="15" hidden="1" customHeight="1">
      <c r="D512" t="s">
        <v>3561</v>
      </c>
      <c r="E512" t="s">
        <v>3562</v>
      </c>
      <c r="G512" t="s">
        <v>3563</v>
      </c>
      <c r="I512">
        <v>2018</v>
      </c>
      <c r="K512" s="311" t="s">
        <v>3564</v>
      </c>
      <c r="M512" t="str">
        <f t="shared" si="510"/>
        <v>Dugan_2018</v>
      </c>
      <c r="N512" s="311" t="s">
        <v>4382</v>
      </c>
      <c r="O512" t="s">
        <v>223</v>
      </c>
      <c r="Q512" s="311" t="s">
        <v>256</v>
      </c>
      <c r="R512" s="312"/>
      <c r="S512" s="1" t="s">
        <v>3565</v>
      </c>
      <c r="T512" s="311" t="s">
        <v>1398</v>
      </c>
      <c r="U512" s="143" t="s">
        <v>3567</v>
      </c>
      <c r="V512">
        <v>0</v>
      </c>
      <c r="W512">
        <v>0</v>
      </c>
      <c r="X512">
        <v>0</v>
      </c>
      <c r="Y512">
        <v>0</v>
      </c>
      <c r="Z512">
        <v>0</v>
      </c>
      <c r="AA512">
        <v>0</v>
      </c>
      <c r="AB512">
        <v>0</v>
      </c>
      <c r="AC512">
        <v>0</v>
      </c>
      <c r="AD512">
        <v>0</v>
      </c>
      <c r="AE512">
        <v>0</v>
      </c>
      <c r="AF512">
        <v>0</v>
      </c>
      <c r="AG512">
        <v>0</v>
      </c>
      <c r="AH512">
        <v>0</v>
      </c>
      <c r="AI512">
        <v>1</v>
      </c>
      <c r="AJ512">
        <v>0</v>
      </c>
      <c r="AK512">
        <v>0</v>
      </c>
      <c r="AL512">
        <v>0</v>
      </c>
      <c r="AM512">
        <v>0</v>
      </c>
      <c r="AN512">
        <v>0</v>
      </c>
      <c r="AO512">
        <v>0</v>
      </c>
      <c r="AP512">
        <v>0</v>
      </c>
      <c r="AQ512">
        <v>0</v>
      </c>
      <c r="AR512">
        <v>0</v>
      </c>
      <c r="AS512">
        <v>0</v>
      </c>
      <c r="AT512">
        <v>0</v>
      </c>
      <c r="AU512">
        <v>0</v>
      </c>
      <c r="AV512">
        <v>0</v>
      </c>
      <c r="AW512">
        <v>0</v>
      </c>
      <c r="AX512" s="141">
        <f t="shared" si="590"/>
        <v>1</v>
      </c>
      <c r="AY512" s="141">
        <f t="shared" si="591"/>
        <v>1</v>
      </c>
      <c r="AZ512">
        <f t="shared" si="592"/>
        <v>0</v>
      </c>
      <c r="BA512">
        <f t="shared" si="593"/>
        <v>1</v>
      </c>
      <c r="BB512">
        <f t="shared" si="594"/>
        <v>0</v>
      </c>
      <c r="BC512">
        <f t="shared" si="595"/>
        <v>0</v>
      </c>
      <c r="BD512">
        <f t="shared" si="596"/>
        <v>0</v>
      </c>
      <c r="BE512" t="str" cm="1">
        <f t="array" ref="BE512">IF(AY512=1,INDEX($V$7:$AL$7,MATCH(TRUE,INDEX($V512:$AW512&lt;&gt;0,),0)),IF(AY512=0,INDEX($AM$7:$AW$7,MATCH(1,$AM512:$AW512,0)),IF(BF512="Multiple strategies","mixed drivers",IF(BF512="Supply chain","multiple supply","multiple silviculture"))))</f>
        <v>products lifespan</v>
      </c>
      <c r="BF512" s="2" t="str" cm="1">
        <f t="array" ref="BF512">IF(COUNTIF(AZ512:BB512,"&lt;&gt;0")=1,INDEX($V$4:$AW$4,MATCH(TRUE,INDEX($V512:$AW512&lt;&gt;0,),0)),IF(COUNTIF(AZ512:BB512,"&lt;&gt;0")=0,INDEX($AM$4:$AW$4,MATCH(1,$AM512:$AW512,0)),"Multiple strategies"))</f>
        <v>Supply chain</v>
      </c>
      <c r="BG512" s="142" t="s">
        <v>229</v>
      </c>
      <c r="BH512" s="311" t="s">
        <v>3575</v>
      </c>
      <c r="BI512" s="311" t="s">
        <v>787</v>
      </c>
      <c r="BJ512" s="143" t="s">
        <v>1139</v>
      </c>
      <c r="BL512" s="143"/>
      <c r="BM512" s="143"/>
      <c r="BN512">
        <v>0</v>
      </c>
      <c r="BO512" s="143">
        <f>BN512/C_to_CO2*10^6*tC_to_m3</f>
        <v>0</v>
      </c>
      <c r="BP512" s="311" t="s">
        <v>395</v>
      </c>
      <c r="BQ512" s="311" t="s">
        <v>396</v>
      </c>
      <c r="BR512" t="s">
        <v>1139</v>
      </c>
      <c r="BS512" s="143"/>
      <c r="BV512">
        <v>-8.02</v>
      </c>
      <c r="BX512">
        <f t="shared" si="597"/>
        <v>-8020000</v>
      </c>
      <c r="BY512" t="str">
        <f t="shared" si="557"/>
        <v/>
      </c>
      <c r="BZ512" s="143">
        <v>0</v>
      </c>
      <c r="CA512" s="143">
        <v>0</v>
      </c>
      <c r="CB512" s="143">
        <v>0</v>
      </c>
      <c r="CC512" s="143">
        <v>0</v>
      </c>
      <c r="CD512" s="143">
        <v>0</v>
      </c>
      <c r="CE512" s="143">
        <v>0</v>
      </c>
      <c r="CF512" s="143">
        <v>0</v>
      </c>
      <c r="CG512" s="143">
        <v>0</v>
      </c>
      <c r="CH512" s="143">
        <v>0</v>
      </c>
      <c r="CI512" s="143">
        <v>0</v>
      </c>
      <c r="CJ512" s="143">
        <v>0</v>
      </c>
      <c r="CK512" s="143">
        <v>0</v>
      </c>
      <c r="CL512" s="143">
        <v>0</v>
      </c>
      <c r="CM512">
        <v>0</v>
      </c>
      <c r="CN512" t="str">
        <f t="shared" si="598"/>
        <v>refOK</v>
      </c>
      <c r="CO512"/>
      <c r="CP512"/>
      <c r="CQ512">
        <f t="shared" si="599"/>
        <v>0</v>
      </c>
      <c r="CR512">
        <f t="shared" si="600"/>
        <v>0</v>
      </c>
      <c r="CS512">
        <f t="shared" si="601"/>
        <v>0</v>
      </c>
      <c r="CT512">
        <f t="shared" si="602"/>
        <v>8020000</v>
      </c>
      <c r="CU512" t="str">
        <f t="shared" si="603"/>
        <v/>
      </c>
      <c r="CV512" s="2" t="str">
        <f t="shared" si="604"/>
        <v/>
      </c>
      <c r="CW512" s="1" t="s">
        <v>1198</v>
      </c>
      <c r="CX512" s="311" t="str">
        <f t="shared" si="605"/>
        <v>reg</v>
      </c>
      <c r="CY512" t="s">
        <v>428</v>
      </c>
      <c r="CZ512">
        <v>2015</v>
      </c>
      <c r="DA512" s="143">
        <v>2050</v>
      </c>
      <c r="DB512" s="143">
        <f>DA512-CZ512</f>
        <v>35</v>
      </c>
      <c r="DC512" t="str">
        <f t="shared" si="606"/>
        <v>31-70</v>
      </c>
      <c r="DD512">
        <v>0</v>
      </c>
      <c r="DE512">
        <v>1</v>
      </c>
      <c r="DF512">
        <v>1</v>
      </c>
      <c r="DG512">
        <v>1</v>
      </c>
      <c r="DI512">
        <f t="shared" si="607"/>
        <v>3</v>
      </c>
      <c r="DJ512" t="str">
        <f t="shared" si="608"/>
        <v>mixedProduct</v>
      </c>
      <c r="DK512">
        <f t="shared" si="609"/>
        <v>0</v>
      </c>
      <c r="DL512" t="str">
        <f t="shared" si="610"/>
        <v>Energy</v>
      </c>
      <c r="DM512" t="str">
        <f t="shared" si="611"/>
        <v>Pulp/Paper</v>
      </c>
      <c r="DN512" t="str">
        <f t="shared" si="612"/>
        <v>Timber</v>
      </c>
      <c r="DO512">
        <v>0</v>
      </c>
      <c r="DP512" s="143">
        <v>1</v>
      </c>
      <c r="DQ512" s="143" t="s">
        <v>3569</v>
      </c>
      <c r="DR512" s="143" t="s">
        <v>3569</v>
      </c>
      <c r="DS512" s="143" t="s">
        <v>3569</v>
      </c>
      <c r="DT512">
        <f t="shared" si="613"/>
        <v>1</v>
      </c>
      <c r="DU512" s="143" t="str">
        <f t="shared" si="614"/>
        <v>external DF used</v>
      </c>
      <c r="DV512" s="143">
        <v>1</v>
      </c>
      <c r="DW512" s="143">
        <v>1</v>
      </c>
      <c r="DX512" s="143">
        <v>1</v>
      </c>
      <c r="DY512" s="143">
        <v>1</v>
      </c>
      <c r="DZ512">
        <v>1</v>
      </c>
      <c r="EA512" s="143">
        <v>1</v>
      </c>
      <c r="EB512" s="143">
        <v>0</v>
      </c>
      <c r="EC512" s="143">
        <v>1</v>
      </c>
      <c r="ED512" s="143">
        <v>0</v>
      </c>
      <c r="EE512">
        <v>0</v>
      </c>
      <c r="EF512">
        <v>1</v>
      </c>
      <c r="EG512" s="143">
        <v>0</v>
      </c>
      <c r="EH512" s="143">
        <v>1</v>
      </c>
      <c r="EI512" s="2">
        <v>0</v>
      </c>
      <c r="EK512" t="str">
        <f t="shared" si="588"/>
        <v>Whole sector</v>
      </c>
      <c r="EL512" t="str">
        <f t="shared" si="589"/>
        <v/>
      </c>
      <c r="EM512" s="2" t="str">
        <f t="shared" si="558"/>
        <v/>
      </c>
      <c r="EP512" t="b">
        <f>IF(ISNUMBER(BU512),IF(ABS(BU512-[1]QC_indicators!$B$2)&gt;3*[1]QC_indicators!$C$2,"C ratio",IF(ISNUMBER(BY512),IF(ABS(BY512-[1]QC_indicators!$B$1)&gt;3*[1]QC_indicators!$C$1,"DF","no"))),IF(ISNUMBER(BY512),IF(ABS(BY512-[1]QC_indicators!$B$1)&gt;3*[1]QC_indicators!$C$1,"DF","no")))</f>
        <v>0</v>
      </c>
      <c r="ER512" s="313" t="s">
        <v>3570</v>
      </c>
    </row>
    <row r="513" spans="1:150" ht="15" hidden="1" customHeight="1">
      <c r="D513" t="s">
        <v>3561</v>
      </c>
      <c r="E513" t="s">
        <v>3562</v>
      </c>
      <c r="G513" t="s">
        <v>3563</v>
      </c>
      <c r="I513">
        <v>2018</v>
      </c>
      <c r="K513" s="311" t="s">
        <v>3564</v>
      </c>
      <c r="M513" t="str">
        <f t="shared" ref="M513:M576" si="615">LEFT($D513,FIND(",",$D513)-1)&amp;"_"&amp;I513&amp;L513</f>
        <v>Dugan_2018</v>
      </c>
      <c r="N513" s="311" t="s">
        <v>4382</v>
      </c>
      <c r="O513" t="s">
        <v>223</v>
      </c>
      <c r="Q513" s="311" t="s">
        <v>256</v>
      </c>
      <c r="R513" s="312"/>
      <c r="S513" s="1" t="s">
        <v>3565</v>
      </c>
      <c r="T513" t="s">
        <v>3566</v>
      </c>
      <c r="U513" s="143" t="s">
        <v>3567</v>
      </c>
      <c r="V513">
        <v>0</v>
      </c>
      <c r="W513">
        <v>0</v>
      </c>
      <c r="X513">
        <v>1</v>
      </c>
      <c r="Y513">
        <v>0</v>
      </c>
      <c r="Z513">
        <v>0</v>
      </c>
      <c r="AA513">
        <v>0</v>
      </c>
      <c r="AB513">
        <v>0</v>
      </c>
      <c r="AC513">
        <v>0</v>
      </c>
      <c r="AD513">
        <v>0</v>
      </c>
      <c r="AE513">
        <v>0</v>
      </c>
      <c r="AF513">
        <v>2</v>
      </c>
      <c r="AG513">
        <v>0</v>
      </c>
      <c r="AH513">
        <v>0</v>
      </c>
      <c r="AI513">
        <v>0</v>
      </c>
      <c r="AJ513">
        <v>0</v>
      </c>
      <c r="AK513">
        <v>0</v>
      </c>
      <c r="AL513">
        <v>0</v>
      </c>
      <c r="AM513">
        <v>0</v>
      </c>
      <c r="AN513">
        <v>0</v>
      </c>
      <c r="AO513">
        <v>0</v>
      </c>
      <c r="AP513">
        <v>0</v>
      </c>
      <c r="AQ513">
        <v>0</v>
      </c>
      <c r="AR513">
        <v>0</v>
      </c>
      <c r="AS513">
        <v>0</v>
      </c>
      <c r="AT513">
        <v>0</v>
      </c>
      <c r="AU513">
        <v>0</v>
      </c>
      <c r="AV513">
        <v>0</v>
      </c>
      <c r="AW513">
        <v>0</v>
      </c>
      <c r="AX513" s="141">
        <f t="shared" si="590"/>
        <v>2</v>
      </c>
      <c r="AY513" s="141">
        <f t="shared" si="591"/>
        <v>2</v>
      </c>
      <c r="AZ513">
        <f t="shared" si="592"/>
        <v>1</v>
      </c>
      <c r="BA513">
        <f t="shared" si="593"/>
        <v>1</v>
      </c>
      <c r="BB513">
        <f t="shared" si="594"/>
        <v>0</v>
      </c>
      <c r="BC513">
        <f t="shared" si="595"/>
        <v>0</v>
      </c>
      <c r="BD513">
        <f t="shared" si="596"/>
        <v>0</v>
      </c>
      <c r="BE513" t="str" cm="1">
        <f t="array" ref="BE513">IF(AY513=1,INDEX($V$7:$AL$7,MATCH(TRUE,INDEX($V513:$AW513&lt;&gt;0,),0)),IF(AY513=0,INDEX($AM$7:$AW$7,MATCH(1,$AM513:$AW513,0)),IF(BF513="Multiple strategies","mixed drivers",IF(BF513="Supply chain","multiple supply","multiple silviculture"))))</f>
        <v>mixed drivers</v>
      </c>
      <c r="BF513" s="2" t="str" cm="1">
        <f t="array" ref="BF513">IF(COUNTIF(AZ513:BB513,"&lt;&gt;0")=1,INDEX($V$4:$AW$4,MATCH(TRUE,INDEX($V513:$AW513&lt;&gt;0,),0)),IF(COUNTIF(AZ513:BB513,"&lt;&gt;0")=0,INDEX($AM$4:$AW$4,MATCH(1,$AM513:$AW513,0)),"Multiple strategies"))</f>
        <v>Multiple strategies</v>
      </c>
      <c r="BG513" s="142" t="s">
        <v>229</v>
      </c>
      <c r="BH513" s="311" t="s">
        <v>3568</v>
      </c>
      <c r="BI513" s="311" t="s">
        <v>787</v>
      </c>
      <c r="BJ513" s="143" t="s">
        <v>1139</v>
      </c>
      <c r="BL513" s="143"/>
      <c r="BM513" s="143"/>
      <c r="BO513" s="143"/>
      <c r="BP513" s="311" t="s">
        <v>395</v>
      </c>
      <c r="BQ513" s="311" t="s">
        <v>396</v>
      </c>
      <c r="BR513" t="s">
        <v>1139</v>
      </c>
      <c r="BS513" s="143"/>
      <c r="BV513">
        <v>-17.3</v>
      </c>
      <c r="BX513">
        <f t="shared" si="597"/>
        <v>-17300000</v>
      </c>
      <c r="BY513" t="str">
        <f t="shared" si="557"/>
        <v/>
      </c>
      <c r="BZ513" s="143">
        <v>0</v>
      </c>
      <c r="CA513" s="143">
        <v>0</v>
      </c>
      <c r="CB513" s="143">
        <v>0</v>
      </c>
      <c r="CC513" s="143">
        <v>0</v>
      </c>
      <c r="CD513" s="143">
        <v>0</v>
      </c>
      <c r="CE513" s="143">
        <v>0</v>
      </c>
      <c r="CF513" s="143">
        <v>0</v>
      </c>
      <c r="CG513" s="143">
        <v>0</v>
      </c>
      <c r="CH513" s="143">
        <v>0</v>
      </c>
      <c r="CI513" s="143">
        <v>0</v>
      </c>
      <c r="CJ513" s="143">
        <v>0</v>
      </c>
      <c r="CK513" s="143">
        <v>0</v>
      </c>
      <c r="CL513" s="143">
        <v>0</v>
      </c>
      <c r="CM513">
        <v>0</v>
      </c>
      <c r="CN513" t="str">
        <f t="shared" si="598"/>
        <v>refOK</v>
      </c>
      <c r="CO513"/>
      <c r="CP513"/>
      <c r="CQ513">
        <f t="shared" si="599"/>
        <v>0</v>
      </c>
      <c r="CR513">
        <f t="shared" si="600"/>
        <v>0</v>
      </c>
      <c r="CS513">
        <f t="shared" si="601"/>
        <v>0</v>
      </c>
      <c r="CT513">
        <f t="shared" si="602"/>
        <v>17300000</v>
      </c>
      <c r="CU513" t="str">
        <f t="shared" si="603"/>
        <v/>
      </c>
      <c r="CV513" s="2" t="str">
        <f t="shared" si="604"/>
        <v/>
      </c>
      <c r="CW513" s="1" t="s">
        <v>1198</v>
      </c>
      <c r="CX513" s="311" t="str">
        <f t="shared" si="605"/>
        <v>reg</v>
      </c>
      <c r="CY513" t="s">
        <v>428</v>
      </c>
      <c r="CZ513">
        <v>2015</v>
      </c>
      <c r="DA513" s="143">
        <v>2050</v>
      </c>
      <c r="DB513" s="143">
        <f>DA513-CZ513</f>
        <v>35</v>
      </c>
      <c r="DC513" t="str">
        <f t="shared" si="606"/>
        <v>31-70</v>
      </c>
      <c r="DD513">
        <v>0</v>
      </c>
      <c r="DE513">
        <v>1</v>
      </c>
      <c r="DF513">
        <v>1</v>
      </c>
      <c r="DG513">
        <v>1</v>
      </c>
      <c r="DI513">
        <f t="shared" si="607"/>
        <v>3</v>
      </c>
      <c r="DJ513" t="str">
        <f t="shared" si="608"/>
        <v>mixedProduct</v>
      </c>
      <c r="DK513">
        <f t="shared" si="609"/>
        <v>0</v>
      </c>
      <c r="DL513" t="str">
        <f t="shared" si="610"/>
        <v>Energy</v>
      </c>
      <c r="DM513" t="str">
        <f t="shared" si="611"/>
        <v>Pulp/Paper</v>
      </c>
      <c r="DN513" t="str">
        <f t="shared" si="612"/>
        <v>Timber</v>
      </c>
      <c r="DO513">
        <v>0</v>
      </c>
      <c r="DP513" s="143">
        <v>1</v>
      </c>
      <c r="DQ513" s="143" t="s">
        <v>3569</v>
      </c>
      <c r="DR513" s="143" t="s">
        <v>3569</v>
      </c>
      <c r="DS513" s="143" t="s">
        <v>3569</v>
      </c>
      <c r="DT513">
        <f t="shared" si="613"/>
        <v>1</v>
      </c>
      <c r="DU513" s="143" t="str">
        <f t="shared" si="614"/>
        <v>external DF used</v>
      </c>
      <c r="DV513" s="143">
        <v>1</v>
      </c>
      <c r="DW513" s="143">
        <v>1</v>
      </c>
      <c r="DX513" s="143">
        <v>1</v>
      </c>
      <c r="DY513" s="143">
        <v>1</v>
      </c>
      <c r="DZ513">
        <v>1</v>
      </c>
      <c r="EA513" s="143">
        <v>1</v>
      </c>
      <c r="EB513" s="143">
        <v>0</v>
      </c>
      <c r="EC513" s="143">
        <v>1</v>
      </c>
      <c r="ED513" s="143">
        <v>0</v>
      </c>
      <c r="EE513">
        <v>0</v>
      </c>
      <c r="EF513">
        <v>1</v>
      </c>
      <c r="EG513" s="143">
        <v>0</v>
      </c>
      <c r="EH513" s="143">
        <v>1</v>
      </c>
      <c r="EI513" s="2">
        <v>0</v>
      </c>
      <c r="EK513" t="str">
        <f t="shared" si="588"/>
        <v>Whole sector</v>
      </c>
      <c r="EL513" t="str">
        <f t="shared" si="589"/>
        <v/>
      </c>
      <c r="EM513" s="2" t="str">
        <f t="shared" si="558"/>
        <v/>
      </c>
      <c r="EP513" t="b">
        <f>IF(ISNUMBER(BU513),IF(ABS(BU513-[1]QC_indicators!$B$2)&gt;3*[1]QC_indicators!$C$2,"C ratio",IF(ISNUMBER(BY513),IF(ABS(BY513-[1]QC_indicators!$B$1)&gt;3*[1]QC_indicators!$C$1,"DF","no"))),IF(ISNUMBER(BY513),IF(ABS(BY513-[1]QC_indicators!$B$1)&gt;3*[1]QC_indicators!$C$1,"DF","no")))</f>
        <v>0</v>
      </c>
      <c r="ER513" s="313" t="s">
        <v>3570</v>
      </c>
    </row>
    <row r="514" spans="1:150" ht="15" hidden="1" customHeight="1">
      <c r="D514" t="s">
        <v>3561</v>
      </c>
      <c r="E514" t="s">
        <v>3562</v>
      </c>
      <c r="G514" t="s">
        <v>3563</v>
      </c>
      <c r="I514">
        <v>2018</v>
      </c>
      <c r="K514" s="311" t="s">
        <v>3564</v>
      </c>
      <c r="M514" t="str">
        <f t="shared" si="615"/>
        <v>Dugan_2018</v>
      </c>
      <c r="N514" s="311" t="s">
        <v>4382</v>
      </c>
      <c r="O514" t="s">
        <v>223</v>
      </c>
      <c r="Q514" s="311" t="s">
        <v>256</v>
      </c>
      <c r="R514" s="312"/>
      <c r="S514" s="1" t="s">
        <v>3571</v>
      </c>
      <c r="T514" t="s">
        <v>3567</v>
      </c>
      <c r="U514" s="143" t="s">
        <v>3572</v>
      </c>
      <c r="V514">
        <v>0</v>
      </c>
      <c r="W514">
        <v>0</v>
      </c>
      <c r="X514">
        <v>0</v>
      </c>
      <c r="Y514">
        <v>1</v>
      </c>
      <c r="Z514">
        <v>0</v>
      </c>
      <c r="AA514">
        <v>0</v>
      </c>
      <c r="AB514">
        <v>0</v>
      </c>
      <c r="AC514">
        <v>0</v>
      </c>
      <c r="AD514">
        <v>0</v>
      </c>
      <c r="AE514">
        <v>0</v>
      </c>
      <c r="AF514">
        <v>2</v>
      </c>
      <c r="AG514">
        <v>0</v>
      </c>
      <c r="AH514">
        <v>0</v>
      </c>
      <c r="AI514">
        <v>0</v>
      </c>
      <c r="AJ514">
        <v>0</v>
      </c>
      <c r="AK514">
        <v>0</v>
      </c>
      <c r="AL514">
        <v>0</v>
      </c>
      <c r="AM514">
        <v>0</v>
      </c>
      <c r="AN514">
        <v>0</v>
      </c>
      <c r="AO514">
        <v>0</v>
      </c>
      <c r="AP514">
        <v>0</v>
      </c>
      <c r="AQ514">
        <v>0</v>
      </c>
      <c r="AR514">
        <v>0</v>
      </c>
      <c r="AS514">
        <v>0</v>
      </c>
      <c r="AT514">
        <v>0</v>
      </c>
      <c r="AU514">
        <v>0</v>
      </c>
      <c r="AV514">
        <v>0</v>
      </c>
      <c r="AW514">
        <v>0</v>
      </c>
      <c r="AX514" s="141">
        <f t="shared" si="590"/>
        <v>2</v>
      </c>
      <c r="AY514" s="141">
        <f t="shared" si="591"/>
        <v>2</v>
      </c>
      <c r="AZ514">
        <f t="shared" si="592"/>
        <v>1</v>
      </c>
      <c r="BA514">
        <f t="shared" si="593"/>
        <v>1</v>
      </c>
      <c r="BB514">
        <f t="shared" si="594"/>
        <v>0</v>
      </c>
      <c r="BC514">
        <f t="shared" si="595"/>
        <v>0</v>
      </c>
      <c r="BD514">
        <f t="shared" si="596"/>
        <v>0</v>
      </c>
      <c r="BE514" t="str" cm="1">
        <f t="array" ref="BE514">IF(AY514=1,INDEX($V$7:$AL$7,MATCH(TRUE,INDEX($V514:$AW514&lt;&gt;0,),0)),IF(AY514=0,INDEX($AM$7:$AW$7,MATCH(1,$AM514:$AW514,0)),IF(BF514="Multiple strategies","mixed drivers",IF(BF514="Supply chain","multiple supply","multiple silviculture"))))</f>
        <v>mixed drivers</v>
      </c>
      <c r="BF514" s="2" t="str" cm="1">
        <f t="array" ref="BF514">IF(COUNTIF(AZ514:BB514,"&lt;&gt;0")=1,INDEX($V$4:$AW$4,MATCH(TRUE,INDEX($V514:$AW514&lt;&gt;0,),0)),IF(COUNTIF(AZ514:BB514,"&lt;&gt;0")=0,INDEX($AM$4:$AW$4,MATCH(1,$AM514:$AW514,0)),"Multiple strategies"))</f>
        <v>Multiple strategies</v>
      </c>
      <c r="BG514" s="142" t="s">
        <v>229</v>
      </c>
      <c r="BH514" s="311" t="s">
        <v>3568</v>
      </c>
      <c r="BI514" s="311" t="s">
        <v>787</v>
      </c>
      <c r="BJ514" s="143" t="s">
        <v>1139</v>
      </c>
      <c r="BL514" s="143"/>
      <c r="BM514" s="143"/>
      <c r="BO514" s="143"/>
      <c r="BP514" s="311" t="s">
        <v>395</v>
      </c>
      <c r="BQ514" s="311" t="s">
        <v>396</v>
      </c>
      <c r="BR514" t="s">
        <v>1139</v>
      </c>
      <c r="BS514" s="143"/>
      <c r="BV514">
        <v>2.14</v>
      </c>
      <c r="BX514">
        <f t="shared" si="597"/>
        <v>2140000</v>
      </c>
      <c r="BY514" t="str">
        <f t="shared" si="557"/>
        <v/>
      </c>
      <c r="BZ514" s="143">
        <v>0</v>
      </c>
      <c r="CA514" s="143">
        <v>0</v>
      </c>
      <c r="CB514" s="143">
        <v>0</v>
      </c>
      <c r="CC514" s="143">
        <v>0</v>
      </c>
      <c r="CD514" s="143">
        <v>0</v>
      </c>
      <c r="CE514" s="143">
        <v>0</v>
      </c>
      <c r="CF514" s="143">
        <v>0</v>
      </c>
      <c r="CG514" s="143">
        <v>0</v>
      </c>
      <c r="CH514" s="143">
        <v>0</v>
      </c>
      <c r="CI514" s="143">
        <v>0</v>
      </c>
      <c r="CJ514" s="143">
        <v>0</v>
      </c>
      <c r="CK514" s="143">
        <v>0</v>
      </c>
      <c r="CL514" s="143">
        <v>0</v>
      </c>
      <c r="CM514">
        <v>0</v>
      </c>
      <c r="CN514" t="str">
        <f t="shared" si="598"/>
        <v>refOK</v>
      </c>
      <c r="CO514"/>
      <c r="CP514"/>
      <c r="CQ514">
        <f t="shared" si="599"/>
        <v>0</v>
      </c>
      <c r="CR514">
        <f t="shared" si="600"/>
        <v>0</v>
      </c>
      <c r="CS514">
        <f t="shared" si="601"/>
        <v>0</v>
      </c>
      <c r="CT514">
        <f t="shared" si="602"/>
        <v>-2140000</v>
      </c>
      <c r="CU514" t="str">
        <f t="shared" si="603"/>
        <v/>
      </c>
      <c r="CV514" s="2" t="str">
        <f t="shared" si="604"/>
        <v/>
      </c>
      <c r="CW514" s="1" t="s">
        <v>1198</v>
      </c>
      <c r="CX514" s="311" t="str">
        <f t="shared" si="605"/>
        <v>reg</v>
      </c>
      <c r="CY514" t="s">
        <v>428</v>
      </c>
      <c r="CZ514">
        <v>2015</v>
      </c>
      <c r="DA514" s="143">
        <v>2050</v>
      </c>
      <c r="DB514" s="143">
        <f>DA514-CZ514</f>
        <v>35</v>
      </c>
      <c r="DC514" t="str">
        <f t="shared" si="606"/>
        <v>31-70</v>
      </c>
      <c r="DD514">
        <v>0</v>
      </c>
      <c r="DE514">
        <v>1</v>
      </c>
      <c r="DF514">
        <v>1</v>
      </c>
      <c r="DG514">
        <v>1</v>
      </c>
      <c r="DI514">
        <f t="shared" si="607"/>
        <v>3</v>
      </c>
      <c r="DJ514" t="str">
        <f t="shared" si="608"/>
        <v>mixedProduct</v>
      </c>
      <c r="DK514">
        <f t="shared" si="609"/>
        <v>0</v>
      </c>
      <c r="DL514" t="str">
        <f t="shared" si="610"/>
        <v>Energy</v>
      </c>
      <c r="DM514" t="str">
        <f t="shared" si="611"/>
        <v>Pulp/Paper</v>
      </c>
      <c r="DN514" t="str">
        <f t="shared" si="612"/>
        <v>Timber</v>
      </c>
      <c r="DO514">
        <v>0</v>
      </c>
      <c r="DP514" s="143">
        <v>1</v>
      </c>
      <c r="DQ514" s="143" t="s">
        <v>3569</v>
      </c>
      <c r="DR514" s="143" t="s">
        <v>3569</v>
      </c>
      <c r="DS514" s="143" t="s">
        <v>3569</v>
      </c>
      <c r="DT514">
        <f t="shared" si="613"/>
        <v>1</v>
      </c>
      <c r="DU514" s="143" t="str">
        <f t="shared" si="614"/>
        <v>external DF used</v>
      </c>
      <c r="DV514" s="143">
        <v>1</v>
      </c>
      <c r="DW514" s="143">
        <v>1</v>
      </c>
      <c r="DX514" s="143">
        <v>1</v>
      </c>
      <c r="DY514" s="143">
        <v>1</v>
      </c>
      <c r="DZ514">
        <v>1</v>
      </c>
      <c r="EA514" s="143">
        <v>1</v>
      </c>
      <c r="EB514" s="143">
        <v>0</v>
      </c>
      <c r="EC514" s="143">
        <v>1</v>
      </c>
      <c r="ED514" s="143">
        <v>0</v>
      </c>
      <c r="EE514">
        <v>0</v>
      </c>
      <c r="EF514">
        <v>1</v>
      </c>
      <c r="EG514" s="143">
        <v>0</v>
      </c>
      <c r="EH514" s="143">
        <v>1</v>
      </c>
      <c r="EI514" s="2">
        <v>0</v>
      </c>
      <c r="EK514" t="str">
        <f t="shared" si="588"/>
        <v>Whole sector</v>
      </c>
      <c r="EL514" t="str">
        <f t="shared" si="589"/>
        <v/>
      </c>
      <c r="EM514" s="2" t="str">
        <f t="shared" si="558"/>
        <v/>
      </c>
      <c r="EP514" t="b">
        <f>IF(ISNUMBER(BU514),IF(ABS(BU514-[1]QC_indicators!$B$2)&gt;3*[1]QC_indicators!$C$2,"C ratio",IF(ISNUMBER(BY514),IF(ABS(BY514-[1]QC_indicators!$B$1)&gt;3*[1]QC_indicators!$C$1,"DF","no"))),IF(ISNUMBER(BY514),IF(ABS(BY514-[1]QC_indicators!$B$1)&gt;3*[1]QC_indicators!$C$1,"DF","no")))</f>
        <v>0</v>
      </c>
      <c r="ER514" s="313" t="s">
        <v>3570</v>
      </c>
    </row>
    <row r="515" spans="1:150" ht="15" hidden="1" customHeight="1">
      <c r="D515" t="s">
        <v>3561</v>
      </c>
      <c r="E515" t="s">
        <v>3562</v>
      </c>
      <c r="G515" t="s">
        <v>3563</v>
      </c>
      <c r="I515">
        <v>2018</v>
      </c>
      <c r="K515" s="311" t="s">
        <v>3564</v>
      </c>
      <c r="M515" t="str">
        <f t="shared" si="615"/>
        <v>Dugan_2018</v>
      </c>
      <c r="N515" s="311" t="s">
        <v>4382</v>
      </c>
      <c r="O515" t="s">
        <v>223</v>
      </c>
      <c r="Q515" s="311" t="s">
        <v>256</v>
      </c>
      <c r="R515" s="312"/>
      <c r="S515" s="1" t="s">
        <v>3573</v>
      </c>
      <c r="T515" t="s">
        <v>3567</v>
      </c>
      <c r="U515" s="143" t="s">
        <v>3574</v>
      </c>
      <c r="V515">
        <v>1</v>
      </c>
      <c r="W515">
        <v>0</v>
      </c>
      <c r="X515">
        <v>0</v>
      </c>
      <c r="Y515">
        <v>0</v>
      </c>
      <c r="Z515">
        <v>0</v>
      </c>
      <c r="AA515">
        <v>0</v>
      </c>
      <c r="AB515">
        <v>0</v>
      </c>
      <c r="AC515">
        <v>0</v>
      </c>
      <c r="AD515">
        <v>0</v>
      </c>
      <c r="AE515">
        <v>0</v>
      </c>
      <c r="AF515">
        <v>2</v>
      </c>
      <c r="AG515">
        <v>0</v>
      </c>
      <c r="AH515">
        <v>0</v>
      </c>
      <c r="AI515">
        <v>0</v>
      </c>
      <c r="AJ515">
        <v>0</v>
      </c>
      <c r="AK515">
        <v>0</v>
      </c>
      <c r="AL515">
        <v>0</v>
      </c>
      <c r="AM515">
        <v>0</v>
      </c>
      <c r="AN515">
        <v>0</v>
      </c>
      <c r="AO515">
        <v>0</v>
      </c>
      <c r="AP515">
        <v>0</v>
      </c>
      <c r="AQ515">
        <v>0</v>
      </c>
      <c r="AR515">
        <v>0</v>
      </c>
      <c r="AS515">
        <v>0</v>
      </c>
      <c r="AT515">
        <v>0</v>
      </c>
      <c r="AU515">
        <v>0</v>
      </c>
      <c r="AV515">
        <v>0</v>
      </c>
      <c r="AW515">
        <v>0</v>
      </c>
      <c r="AX515" s="141">
        <f t="shared" si="590"/>
        <v>2</v>
      </c>
      <c r="AY515" s="141">
        <f t="shared" si="591"/>
        <v>2</v>
      </c>
      <c r="AZ515">
        <f t="shared" si="592"/>
        <v>1</v>
      </c>
      <c r="BA515">
        <f t="shared" si="593"/>
        <v>1</v>
      </c>
      <c r="BB515">
        <f t="shared" si="594"/>
        <v>0</v>
      </c>
      <c r="BC515">
        <f t="shared" si="595"/>
        <v>0</v>
      </c>
      <c r="BD515">
        <f t="shared" si="596"/>
        <v>0</v>
      </c>
      <c r="BE515" t="str" cm="1">
        <f t="array" ref="BE515">IF(AY515=1,INDEX($V$7:$AL$7,MATCH(TRUE,INDEX($V515:$AW515&lt;&gt;0,),0)),IF(AY515=0,INDEX($AM$7:$AW$7,MATCH(1,$AM515:$AW515,0)),IF(BF515="Multiple strategies","mixed drivers",IF(BF515="Supply chain","multiple supply","multiple silviculture"))))</f>
        <v>mixed drivers</v>
      </c>
      <c r="BF515" s="2" t="str" cm="1">
        <f t="array" ref="BF515">IF(COUNTIF(AZ515:BB515,"&lt;&gt;0")=1,INDEX($V$4:$AW$4,MATCH(TRUE,INDEX($V515:$AW515&lt;&gt;0,),0)),IF(COUNTIF(AZ515:BB515,"&lt;&gt;0")=0,INDEX($AM$4:$AW$4,MATCH(1,$AM515:$AW515,0)),"Multiple strategies"))</f>
        <v>Multiple strategies</v>
      </c>
      <c r="BG515" s="142" t="s">
        <v>229</v>
      </c>
      <c r="BH515" s="311" t="s">
        <v>3575</v>
      </c>
      <c r="BI515" s="311" t="s">
        <v>787</v>
      </c>
      <c r="BJ515" s="143" t="s">
        <v>1139</v>
      </c>
      <c r="BL515" s="143"/>
      <c r="BM515" s="143"/>
      <c r="BO515" s="143"/>
      <c r="BP515" s="311" t="s">
        <v>395</v>
      </c>
      <c r="BQ515" s="311" t="s">
        <v>396</v>
      </c>
      <c r="BR515" t="s">
        <v>1139</v>
      </c>
      <c r="BS515" s="143"/>
      <c r="BV515">
        <v>-12.1</v>
      </c>
      <c r="BX515">
        <f t="shared" si="597"/>
        <v>-12100000</v>
      </c>
      <c r="BY515" t="str">
        <f t="shared" si="557"/>
        <v/>
      </c>
      <c r="BZ515" s="143">
        <v>0</v>
      </c>
      <c r="CA515" s="143">
        <v>0</v>
      </c>
      <c r="CB515" s="143">
        <v>0</v>
      </c>
      <c r="CC515" s="143">
        <v>0</v>
      </c>
      <c r="CD515" s="143">
        <v>0</v>
      </c>
      <c r="CE515" s="143">
        <v>0</v>
      </c>
      <c r="CF515" s="143">
        <v>0</v>
      </c>
      <c r="CG515" s="143">
        <v>0</v>
      </c>
      <c r="CH515" s="143">
        <v>0</v>
      </c>
      <c r="CI515" s="143">
        <v>0</v>
      </c>
      <c r="CJ515" s="143">
        <v>0</v>
      </c>
      <c r="CK515" s="143">
        <v>0</v>
      </c>
      <c r="CL515" s="143">
        <v>0</v>
      </c>
      <c r="CM515">
        <v>0</v>
      </c>
      <c r="CN515" t="str">
        <f t="shared" si="598"/>
        <v>refOK</v>
      </c>
      <c r="CO515"/>
      <c r="CP515"/>
      <c r="CQ515">
        <f t="shared" si="599"/>
        <v>0</v>
      </c>
      <c r="CR515">
        <f t="shared" si="600"/>
        <v>0</v>
      </c>
      <c r="CS515">
        <f t="shared" si="601"/>
        <v>0</v>
      </c>
      <c r="CT515">
        <f t="shared" si="602"/>
        <v>12100000</v>
      </c>
      <c r="CU515" t="str">
        <f t="shared" si="603"/>
        <v/>
      </c>
      <c r="CV515" s="2" t="str">
        <f t="shared" si="604"/>
        <v/>
      </c>
      <c r="CW515" s="1" t="s">
        <v>1198</v>
      </c>
      <c r="CX515" s="311" t="str">
        <f t="shared" si="605"/>
        <v>reg</v>
      </c>
      <c r="CY515" t="s">
        <v>428</v>
      </c>
      <c r="CZ515">
        <v>2015</v>
      </c>
      <c r="DA515" s="143">
        <v>2050</v>
      </c>
      <c r="DB515" s="143">
        <f>DA515-CZ515</f>
        <v>35</v>
      </c>
      <c r="DC515" t="str">
        <f t="shared" si="606"/>
        <v>31-70</v>
      </c>
      <c r="DD515">
        <v>0</v>
      </c>
      <c r="DE515">
        <v>1</v>
      </c>
      <c r="DF515">
        <v>1</v>
      </c>
      <c r="DG515">
        <v>1</v>
      </c>
      <c r="DI515">
        <f t="shared" si="607"/>
        <v>3</v>
      </c>
      <c r="DJ515" t="str">
        <f t="shared" si="608"/>
        <v>mixedProduct</v>
      </c>
      <c r="DK515">
        <f t="shared" si="609"/>
        <v>0</v>
      </c>
      <c r="DL515" t="str">
        <f t="shared" si="610"/>
        <v>Energy</v>
      </c>
      <c r="DM515" t="str">
        <f t="shared" si="611"/>
        <v>Pulp/Paper</v>
      </c>
      <c r="DN515" t="str">
        <f t="shared" si="612"/>
        <v>Timber</v>
      </c>
      <c r="DO515">
        <v>0</v>
      </c>
      <c r="DP515" s="143">
        <v>1</v>
      </c>
      <c r="DQ515" s="143" t="s">
        <v>3569</v>
      </c>
      <c r="DR515" s="143" t="s">
        <v>3569</v>
      </c>
      <c r="DS515" s="143" t="s">
        <v>3569</v>
      </c>
      <c r="DT515">
        <f t="shared" si="613"/>
        <v>1</v>
      </c>
      <c r="DU515" s="143" t="str">
        <f t="shared" si="614"/>
        <v>external DF used</v>
      </c>
      <c r="DV515" s="143">
        <v>1</v>
      </c>
      <c r="DW515" s="143">
        <v>1</v>
      </c>
      <c r="DX515" s="143">
        <v>1</v>
      </c>
      <c r="DY515" s="143">
        <v>1</v>
      </c>
      <c r="DZ515">
        <v>1</v>
      </c>
      <c r="EA515" s="143">
        <v>1</v>
      </c>
      <c r="EB515" s="143">
        <v>0</v>
      </c>
      <c r="EC515" s="143">
        <v>1</v>
      </c>
      <c r="ED515" s="143">
        <v>0</v>
      </c>
      <c r="EE515">
        <v>0</v>
      </c>
      <c r="EF515">
        <v>1</v>
      </c>
      <c r="EG515" s="143">
        <v>0</v>
      </c>
      <c r="EH515" s="143">
        <v>1</v>
      </c>
      <c r="EI515" s="2">
        <v>0</v>
      </c>
      <c r="EK515" t="str">
        <f t="shared" si="588"/>
        <v>Whole sector</v>
      </c>
      <c r="EL515" t="str">
        <f t="shared" si="589"/>
        <v/>
      </c>
      <c r="EM515" s="2" t="str">
        <f t="shared" si="558"/>
        <v/>
      </c>
      <c r="EP515" t="b">
        <f>IF(ISNUMBER(BU515),IF(ABS(BU515-[1]QC_indicators!$B$2)&gt;3*[1]QC_indicators!$C$2,"C ratio",IF(ISNUMBER(BY515),IF(ABS(BY515-[1]QC_indicators!$B$1)&gt;3*[1]QC_indicators!$C$1,"DF","no"))),IF(ISNUMBER(BY515),IF(ABS(BY515-[1]QC_indicators!$B$1)&gt;3*[1]QC_indicators!$C$1,"DF","no")))</f>
        <v>0</v>
      </c>
      <c r="ER515" s="313" t="s">
        <v>3570</v>
      </c>
    </row>
    <row r="516" spans="1:150" ht="15" hidden="1" customHeight="1">
      <c r="A516" s="1" t="s">
        <v>1399</v>
      </c>
      <c r="B516" t="s">
        <v>1400</v>
      </c>
      <c r="C516" t="s">
        <v>1401</v>
      </c>
      <c r="D516" t="s">
        <v>1402</v>
      </c>
      <c r="E516" t="s">
        <v>1403</v>
      </c>
      <c r="F516" t="s">
        <v>1404</v>
      </c>
      <c r="G516" t="s">
        <v>1405</v>
      </c>
      <c r="H516" t="s">
        <v>254</v>
      </c>
      <c r="I516">
        <v>2021</v>
      </c>
      <c r="J516">
        <v>0</v>
      </c>
      <c r="K516" t="s">
        <v>1406</v>
      </c>
      <c r="M516" t="str">
        <f t="shared" si="615"/>
        <v>Dugan_2021</v>
      </c>
      <c r="N516" t="s">
        <v>222</v>
      </c>
      <c r="O516" s="145" t="s">
        <v>274</v>
      </c>
      <c r="Q516" t="s">
        <v>256</v>
      </c>
      <c r="R516" s="255" t="s">
        <v>225</v>
      </c>
      <c r="S516" s="1" t="s">
        <v>314</v>
      </c>
      <c r="T516" t="s">
        <v>1412</v>
      </c>
      <c r="U516" t="s">
        <v>1110</v>
      </c>
      <c r="V516">
        <v>0</v>
      </c>
      <c r="W516">
        <v>0</v>
      </c>
      <c r="X516">
        <v>1</v>
      </c>
      <c r="Y516">
        <v>0</v>
      </c>
      <c r="Z516">
        <v>0</v>
      </c>
      <c r="AA516">
        <v>0</v>
      </c>
      <c r="AB516">
        <v>0</v>
      </c>
      <c r="AC516">
        <v>0</v>
      </c>
      <c r="AD516">
        <v>0</v>
      </c>
      <c r="AE516">
        <v>0</v>
      </c>
      <c r="AF516">
        <v>0</v>
      </c>
      <c r="AG516">
        <v>0</v>
      </c>
      <c r="AH516">
        <v>0</v>
      </c>
      <c r="AI516">
        <v>0</v>
      </c>
      <c r="AJ516">
        <v>0</v>
      </c>
      <c r="AK516">
        <v>0</v>
      </c>
      <c r="AL516">
        <v>0</v>
      </c>
      <c r="AM516">
        <v>0</v>
      </c>
      <c r="AN516">
        <v>0</v>
      </c>
      <c r="AO516">
        <v>0</v>
      </c>
      <c r="AP516">
        <v>0</v>
      </c>
      <c r="AQ516">
        <v>0</v>
      </c>
      <c r="AR516">
        <v>0</v>
      </c>
      <c r="AS516">
        <v>0</v>
      </c>
      <c r="AT516">
        <v>0</v>
      </c>
      <c r="AU516">
        <v>0</v>
      </c>
      <c r="AV516">
        <v>0</v>
      </c>
      <c r="AW516">
        <v>0</v>
      </c>
      <c r="AX516" s="141">
        <f t="shared" si="590"/>
        <v>1</v>
      </c>
      <c r="AY516" s="141">
        <f t="shared" si="591"/>
        <v>1</v>
      </c>
      <c r="AZ516">
        <f t="shared" si="592"/>
        <v>1</v>
      </c>
      <c r="BA516">
        <f t="shared" si="593"/>
        <v>0</v>
      </c>
      <c r="BB516">
        <f t="shared" si="594"/>
        <v>0</v>
      </c>
      <c r="BC516">
        <f t="shared" si="595"/>
        <v>0</v>
      </c>
      <c r="BD516">
        <f t="shared" si="596"/>
        <v>0</v>
      </c>
      <c r="BE516" t="str">
        <f t="array" ref="BE516">IF(AY516=1,INDEX($V$7:$AL$7,MATCH(TRUE,INDEX($V516:$AW516&lt;&gt;0,),0)),IF(AY516=0,INDEX($AM$7:$AW$7,MATCH(1,$AM516:$AW516,0)),IF(BF516="Multiple strategies","mixed drivers",IF(BF516="Supply chain","multiple supply","multiple silviculture"))))</f>
        <v>rotation length</v>
      </c>
      <c r="BF516" s="2" t="str" cm="1">
        <f t="array" ref="BF516">IF(COUNTIF(AZ516:BB516,"&lt;&gt;0")=1,INDEX($V$4:$AW$4,MATCH(TRUE,INDEX($V516:$AW516&lt;&gt;0,),0)),IF(COUNTIF(AZ516:BB516,"&lt;&gt;0")=0,INDEX($AM$4:$AW$4,MATCH(1,$AM516:$AW516,0)),"Multiple strategies"))</f>
        <v>Silviculture for removals</v>
      </c>
      <c r="BG516" s="1" t="s">
        <v>321</v>
      </c>
      <c r="BH516" t="s">
        <v>1409</v>
      </c>
      <c r="BI516" s="260" t="s">
        <v>3317</v>
      </c>
      <c r="BJ516" t="s">
        <v>1358</v>
      </c>
      <c r="BK516" s="264">
        <f>0.9*BL516</f>
        <v>13.148999999999999</v>
      </c>
      <c r="BL516" s="264">
        <v>14.61</v>
      </c>
      <c r="BN516" s="227">
        <f t="shared" ref="BN516:BN539" si="616">BL516-BK516</f>
        <v>1.4610000000000003</v>
      </c>
      <c r="BO516">
        <f>BN516*10^6*tC_to_m3</f>
        <v>6343899.2618323937</v>
      </c>
      <c r="BP516" t="s">
        <v>232</v>
      </c>
      <c r="BQ516" s="260" t="s">
        <v>3318</v>
      </c>
      <c r="BR516" t="s">
        <v>1299</v>
      </c>
      <c r="BS516" s="152"/>
      <c r="BT516" s="152"/>
      <c r="BU516" s="144"/>
      <c r="BV516" s="284">
        <v>-7.9482690622076007</v>
      </c>
      <c r="BX516">
        <f t="shared" si="597"/>
        <v>-7948269.062207601</v>
      </c>
      <c r="BY516">
        <f t="shared" si="557"/>
        <v>-1.252899633830534</v>
      </c>
      <c r="BZ516">
        <v>0</v>
      </c>
      <c r="CA516">
        <v>0</v>
      </c>
      <c r="CB516">
        <v>0</v>
      </c>
      <c r="CC516">
        <v>0</v>
      </c>
      <c r="CD516">
        <v>0</v>
      </c>
      <c r="CE516">
        <v>0</v>
      </c>
      <c r="CF516">
        <v>0</v>
      </c>
      <c r="CG516">
        <v>0</v>
      </c>
      <c r="CH516">
        <v>0</v>
      </c>
      <c r="CI516">
        <v>0</v>
      </c>
      <c r="CJ516">
        <v>0</v>
      </c>
      <c r="CK516">
        <v>0</v>
      </c>
      <c r="CL516">
        <v>0</v>
      </c>
      <c r="CM516">
        <v>0</v>
      </c>
      <c r="CN516" t="str">
        <f t="shared" si="598"/>
        <v>refOK</v>
      </c>
      <c r="CO516"/>
      <c r="CP516"/>
      <c r="CQ516">
        <f t="shared" si="599"/>
        <v>6343899.2618323937</v>
      </c>
      <c r="CR516">
        <f t="shared" si="600"/>
        <v>0</v>
      </c>
      <c r="CS516">
        <f t="shared" si="601"/>
        <v>0</v>
      </c>
      <c r="CT516">
        <f t="shared" si="602"/>
        <v>-7948269.062207601</v>
      </c>
      <c r="CU516">
        <f t="shared" si="603"/>
        <v>-1.252899633830534</v>
      </c>
      <c r="CV516" s="2" t="str">
        <f t="shared" si="604"/>
        <v/>
      </c>
      <c r="CW516" s="1" t="s">
        <v>1198</v>
      </c>
      <c r="CX516" t="str">
        <f t="shared" si="605"/>
        <v>reg</v>
      </c>
      <c r="CY516" t="s">
        <v>428</v>
      </c>
      <c r="CZ516">
        <v>2020</v>
      </c>
      <c r="DA516">
        <v>2050</v>
      </c>
      <c r="DB516">
        <v>30</v>
      </c>
      <c r="DC516" t="str">
        <f t="shared" si="606"/>
        <v>1-30</v>
      </c>
      <c r="DD516">
        <v>0</v>
      </c>
      <c r="DE516">
        <v>1</v>
      </c>
      <c r="DF516">
        <v>1</v>
      </c>
      <c r="DG516">
        <v>1</v>
      </c>
      <c r="DI516">
        <f t="shared" si="607"/>
        <v>3</v>
      </c>
      <c r="DJ516" t="str">
        <f t="shared" si="608"/>
        <v>mixedProduct</v>
      </c>
      <c r="DK516">
        <f t="shared" si="609"/>
        <v>0</v>
      </c>
      <c r="DL516" t="str">
        <f t="shared" si="610"/>
        <v>Energy</v>
      </c>
      <c r="DM516" t="str">
        <f t="shared" si="611"/>
        <v>Pulp/Paper</v>
      </c>
      <c r="DN516" t="str">
        <f t="shared" si="612"/>
        <v>Timber</v>
      </c>
      <c r="DO516">
        <v>0</v>
      </c>
      <c r="DP516">
        <v>1</v>
      </c>
      <c r="DQ516" t="s">
        <v>1410</v>
      </c>
      <c r="DR516" t="s">
        <v>1411</v>
      </c>
      <c r="DS516">
        <v>0</v>
      </c>
      <c r="DT516">
        <f t="shared" si="613"/>
        <v>1</v>
      </c>
      <c r="DU516" s="143" t="str">
        <f t="shared" si="614"/>
        <v>external DF used</v>
      </c>
      <c r="DV516">
        <v>1</v>
      </c>
      <c r="DW516">
        <v>1</v>
      </c>
      <c r="DX516">
        <v>1</v>
      </c>
      <c r="DY516">
        <v>1</v>
      </c>
      <c r="DZ516">
        <v>0</v>
      </c>
      <c r="EA516" s="143">
        <v>0</v>
      </c>
      <c r="EB516">
        <v>0</v>
      </c>
      <c r="EC516">
        <v>0</v>
      </c>
      <c r="ED516">
        <v>0</v>
      </c>
      <c r="EE516">
        <v>0</v>
      </c>
      <c r="EF516">
        <v>1</v>
      </c>
      <c r="EG516" s="143">
        <v>0</v>
      </c>
      <c r="EH516" s="143">
        <v>0</v>
      </c>
      <c r="EI516" s="2">
        <v>0</v>
      </c>
      <c r="EK516" t="str">
        <f t="shared" ref="EK516:EK539" si="617">IF(AND(AND(AND(OR($DX516=1,$DW516=1),OR($EC516=1,$EA516=1)),SUM($DV516:$DZ516,$EF516)&gt;=4),SUM($EA516:$EE516)&gt;=2),"Whole sector","")</f>
        <v/>
      </c>
      <c r="EL516" t="str">
        <f t="shared" ref="EL516:EL539" si="618">IF(AND(AND(OR($DX516=1,$DW516=1),AND($EC516=0,$EA516=0)),SUM($DV516:$DZ516,$EF516)&gt;=4),"Ecosystem approach","")</f>
        <v>Ecosystem approach</v>
      </c>
      <c r="EM516" s="2" t="str">
        <f t="shared" si="558"/>
        <v/>
      </c>
      <c r="EP516" t="str">
        <f>IF(ISNUMBER(BU516),IF(ABS(BU516-[5]QC_indicators!$B$2)&gt;3*[5]QC_indicators!$C$2,"C ratio",IF(ISNUMBER(BY516),IF(ABS(BY516-[5]QC_indicators!$B$1)&gt;3*[5]QC_indicators!$C$1,"DF","no"))),IF(ISNUMBER(BY516),IF(ABS(BY516-[5]QC_indicators!$B$1)&gt;3*[5]QC_indicators!$C$1,"DF","no")))</f>
        <v>no</v>
      </c>
      <c r="EQ516" t="s">
        <v>286</v>
      </c>
      <c r="ER516" s="149" t="s">
        <v>349</v>
      </c>
      <c r="ET516" s="264" t="s">
        <v>3272</v>
      </c>
    </row>
    <row r="517" spans="1:150" ht="15" hidden="1" customHeight="1">
      <c r="A517" s="1" t="s">
        <v>1399</v>
      </c>
      <c r="B517" t="s">
        <v>1400</v>
      </c>
      <c r="C517" t="s">
        <v>1401</v>
      </c>
      <c r="D517" t="s">
        <v>1402</v>
      </c>
      <c r="E517" t="s">
        <v>1403</v>
      </c>
      <c r="F517" t="s">
        <v>1404</v>
      </c>
      <c r="G517" t="s">
        <v>1405</v>
      </c>
      <c r="H517" t="s">
        <v>254</v>
      </c>
      <c r="I517">
        <v>2021</v>
      </c>
      <c r="J517">
        <v>0</v>
      </c>
      <c r="K517" t="s">
        <v>1406</v>
      </c>
      <c r="M517" t="str">
        <f t="shared" si="615"/>
        <v>Dugan_2021</v>
      </c>
      <c r="N517" t="s">
        <v>222</v>
      </c>
      <c r="O517" s="145" t="s">
        <v>274</v>
      </c>
      <c r="Q517" t="s">
        <v>256</v>
      </c>
      <c r="R517" s="255" t="s">
        <v>225</v>
      </c>
      <c r="S517" s="1" t="s">
        <v>314</v>
      </c>
      <c r="T517" t="s">
        <v>1110</v>
      </c>
      <c r="U517" t="s">
        <v>1413</v>
      </c>
      <c r="V517">
        <v>0</v>
      </c>
      <c r="W517">
        <v>0</v>
      </c>
      <c r="X517">
        <v>1</v>
      </c>
      <c r="Y517">
        <v>0</v>
      </c>
      <c r="Z517">
        <v>0</v>
      </c>
      <c r="AA517">
        <v>0</v>
      </c>
      <c r="AB517">
        <v>0</v>
      </c>
      <c r="AC517">
        <v>0</v>
      </c>
      <c r="AD517">
        <v>0</v>
      </c>
      <c r="AE517">
        <v>0</v>
      </c>
      <c r="AF517">
        <v>0</v>
      </c>
      <c r="AG517">
        <v>0</v>
      </c>
      <c r="AH517">
        <v>0</v>
      </c>
      <c r="AI517">
        <v>0</v>
      </c>
      <c r="AJ517">
        <v>0</v>
      </c>
      <c r="AK517">
        <v>0</v>
      </c>
      <c r="AL517">
        <v>0</v>
      </c>
      <c r="AM517">
        <v>0</v>
      </c>
      <c r="AN517">
        <v>0</v>
      </c>
      <c r="AO517">
        <v>0</v>
      </c>
      <c r="AP517">
        <v>0</v>
      </c>
      <c r="AQ517">
        <v>0</v>
      </c>
      <c r="AR517">
        <v>0</v>
      </c>
      <c r="AS517">
        <v>0</v>
      </c>
      <c r="AT517">
        <v>0</v>
      </c>
      <c r="AU517">
        <v>0</v>
      </c>
      <c r="AV517">
        <v>0</v>
      </c>
      <c r="AW517">
        <v>0</v>
      </c>
      <c r="AX517" s="141">
        <f t="shared" si="590"/>
        <v>1</v>
      </c>
      <c r="AY517" s="141">
        <f t="shared" si="591"/>
        <v>1</v>
      </c>
      <c r="AZ517">
        <f t="shared" si="592"/>
        <v>1</v>
      </c>
      <c r="BA517">
        <f t="shared" si="593"/>
        <v>0</v>
      </c>
      <c r="BB517">
        <f t="shared" si="594"/>
        <v>0</v>
      </c>
      <c r="BC517">
        <f t="shared" si="595"/>
        <v>0</v>
      </c>
      <c r="BD517">
        <f t="shared" si="596"/>
        <v>0</v>
      </c>
      <c r="BE517" t="str">
        <f t="array" ref="BE517">IF(AY517=1,INDEX($V$7:$AL$7,MATCH(TRUE,INDEX($V517:$AW517&lt;&gt;0,),0)),IF(AY517=0,INDEX($AM$7:$AW$7,MATCH(1,$AM517:$AW517,0)),IF(BF517="Multiple strategies","mixed drivers",IF(BF517="Supply chain","multiple supply","multiple silviculture"))))</f>
        <v>rotation length</v>
      </c>
      <c r="BF517" s="2" t="str" cm="1">
        <f t="array" ref="BF517">IF(COUNTIF(AZ517:BB517,"&lt;&gt;0")=1,INDEX($V$4:$AW$4,MATCH(TRUE,INDEX($V517:$AW517&lt;&gt;0,),0)),IF(COUNTIF(AZ517:BB517,"&lt;&gt;0")=0,INDEX($AM$4:$AW$4,MATCH(1,$AM517:$AW517,0)),"Multiple strategies"))</f>
        <v>Silviculture for removals</v>
      </c>
      <c r="BG517" s="1" t="s">
        <v>321</v>
      </c>
      <c r="BH517" t="s">
        <v>1409</v>
      </c>
      <c r="BI517" s="260" t="s">
        <v>3317</v>
      </c>
      <c r="BJ517" t="s">
        <v>1358</v>
      </c>
      <c r="BK517" s="264">
        <v>14.61</v>
      </c>
      <c r="BL517">
        <f>BK517*1.1</f>
        <v>16.071000000000002</v>
      </c>
      <c r="BN517" s="227">
        <f t="shared" si="616"/>
        <v>1.4610000000000021</v>
      </c>
      <c r="BO517">
        <f>BN517*10^6*tC_to_m3</f>
        <v>6343899.2618324021</v>
      </c>
      <c r="BP517" t="s">
        <v>232</v>
      </c>
      <c r="BQ517" s="260" t="s">
        <v>3318</v>
      </c>
      <c r="BR517" t="s">
        <v>1299</v>
      </c>
      <c r="BS517" s="152"/>
      <c r="BT517" s="152"/>
      <c r="BU517" s="144"/>
      <c r="BV517" s="284">
        <v>-6.2240870021567396</v>
      </c>
      <c r="BX517">
        <f t="shared" si="597"/>
        <v>-6224087.0021567401</v>
      </c>
      <c r="BY517">
        <f t="shared" si="557"/>
        <v>-0.98111378274927796</v>
      </c>
      <c r="BZ517">
        <v>0</v>
      </c>
      <c r="CA517">
        <v>0</v>
      </c>
      <c r="CB517">
        <v>0</v>
      </c>
      <c r="CC517">
        <v>0</v>
      </c>
      <c r="CD517">
        <v>0</v>
      </c>
      <c r="CE517">
        <v>0</v>
      </c>
      <c r="CF517">
        <v>0</v>
      </c>
      <c r="CG517">
        <v>0</v>
      </c>
      <c r="CH517">
        <v>0</v>
      </c>
      <c r="CI517">
        <v>0</v>
      </c>
      <c r="CJ517">
        <v>0</v>
      </c>
      <c r="CK517">
        <v>0</v>
      </c>
      <c r="CL517">
        <v>0</v>
      </c>
      <c r="CM517">
        <v>0</v>
      </c>
      <c r="CN517" t="str">
        <f t="shared" si="598"/>
        <v>refOK</v>
      </c>
      <c r="CO517"/>
      <c r="CP517"/>
      <c r="CQ517">
        <f t="shared" si="599"/>
        <v>6343899.2618324021</v>
      </c>
      <c r="CR517">
        <f t="shared" si="600"/>
        <v>0</v>
      </c>
      <c r="CS517">
        <f t="shared" si="601"/>
        <v>0</v>
      </c>
      <c r="CT517">
        <f t="shared" si="602"/>
        <v>-6224087.0021567401</v>
      </c>
      <c r="CU517">
        <f t="shared" si="603"/>
        <v>-0.98111378274927796</v>
      </c>
      <c r="CV517" s="2" t="str">
        <f t="shared" si="604"/>
        <v/>
      </c>
      <c r="CW517" s="1" t="s">
        <v>1198</v>
      </c>
      <c r="CX517" t="str">
        <f t="shared" si="605"/>
        <v>reg</v>
      </c>
      <c r="CY517" t="s">
        <v>428</v>
      </c>
      <c r="CZ517">
        <v>2020</v>
      </c>
      <c r="DA517">
        <v>2050</v>
      </c>
      <c r="DB517">
        <v>30</v>
      </c>
      <c r="DC517" t="str">
        <f t="shared" si="606"/>
        <v>1-30</v>
      </c>
      <c r="DD517">
        <v>0</v>
      </c>
      <c r="DE517">
        <v>1</v>
      </c>
      <c r="DF517">
        <v>1</v>
      </c>
      <c r="DG517">
        <v>1</v>
      </c>
      <c r="DI517">
        <f t="shared" si="607"/>
        <v>3</v>
      </c>
      <c r="DJ517" t="str">
        <f t="shared" si="608"/>
        <v>mixedProduct</v>
      </c>
      <c r="DK517">
        <f t="shared" si="609"/>
        <v>0</v>
      </c>
      <c r="DL517" t="str">
        <f t="shared" si="610"/>
        <v>Energy</v>
      </c>
      <c r="DM517" t="str">
        <f t="shared" si="611"/>
        <v>Pulp/Paper</v>
      </c>
      <c r="DN517" t="str">
        <f t="shared" si="612"/>
        <v>Timber</v>
      </c>
      <c r="DO517">
        <v>0</v>
      </c>
      <c r="DP517">
        <v>1</v>
      </c>
      <c r="DQ517" t="s">
        <v>1410</v>
      </c>
      <c r="DR517" t="s">
        <v>1411</v>
      </c>
      <c r="DS517">
        <v>0</v>
      </c>
      <c r="DT517">
        <f t="shared" si="613"/>
        <v>1</v>
      </c>
      <c r="DU517" s="143" t="str">
        <f t="shared" si="614"/>
        <v>external DF used</v>
      </c>
      <c r="DV517">
        <v>1</v>
      </c>
      <c r="DW517">
        <v>1</v>
      </c>
      <c r="DX517">
        <v>1</v>
      </c>
      <c r="DY517">
        <v>1</v>
      </c>
      <c r="DZ517">
        <v>0</v>
      </c>
      <c r="EA517" s="143">
        <v>0</v>
      </c>
      <c r="EB517">
        <v>0</v>
      </c>
      <c r="EC517">
        <v>0</v>
      </c>
      <c r="ED517">
        <v>0</v>
      </c>
      <c r="EE517">
        <v>0</v>
      </c>
      <c r="EF517">
        <v>1</v>
      </c>
      <c r="EG517" s="143">
        <v>0</v>
      </c>
      <c r="EH517" s="143">
        <v>0</v>
      </c>
      <c r="EI517" s="2">
        <v>0</v>
      </c>
      <c r="EK517" t="str">
        <f t="shared" si="617"/>
        <v/>
      </c>
      <c r="EL517" t="str">
        <f t="shared" si="618"/>
        <v>Ecosystem approach</v>
      </c>
      <c r="EM517" s="2" t="str">
        <f t="shared" si="558"/>
        <v/>
      </c>
      <c r="EP517" t="str">
        <f>IF(ISNUMBER(BU517),IF(ABS(BU517-[5]QC_indicators!$B$2)&gt;3*[5]QC_indicators!$C$2,"C ratio",IF(ISNUMBER(BY517),IF(ABS(BY517-[5]QC_indicators!$B$1)&gt;3*[5]QC_indicators!$C$1,"DF","no"))),IF(ISNUMBER(BY517),IF(ABS(BY517-[5]QC_indicators!$B$1)&gt;3*[5]QC_indicators!$C$1,"DF","no")))</f>
        <v>no</v>
      </c>
      <c r="EQ517" t="s">
        <v>286</v>
      </c>
      <c r="ER517" s="149" t="s">
        <v>349</v>
      </c>
      <c r="ET517" s="264" t="s">
        <v>3272</v>
      </c>
    </row>
    <row r="518" spans="1:150" ht="15" hidden="1" customHeight="1">
      <c r="A518" s="1" t="s">
        <v>1399</v>
      </c>
      <c r="B518" t="s">
        <v>1400</v>
      </c>
      <c r="C518" t="s">
        <v>1401</v>
      </c>
      <c r="D518" t="s">
        <v>1402</v>
      </c>
      <c r="E518" t="s">
        <v>1403</v>
      </c>
      <c r="F518" t="s">
        <v>1404</v>
      </c>
      <c r="G518" t="s">
        <v>1405</v>
      </c>
      <c r="H518" t="s">
        <v>254</v>
      </c>
      <c r="I518">
        <v>2021</v>
      </c>
      <c r="J518">
        <v>0</v>
      </c>
      <c r="K518" t="s">
        <v>1406</v>
      </c>
      <c r="M518" t="str">
        <f t="shared" si="615"/>
        <v>Dugan_2021</v>
      </c>
      <c r="N518" t="s">
        <v>222</v>
      </c>
      <c r="O518" s="145" t="s">
        <v>274</v>
      </c>
      <c r="Q518" t="s">
        <v>256</v>
      </c>
      <c r="R518" s="255" t="s">
        <v>225</v>
      </c>
      <c r="S518" s="1" t="s">
        <v>314</v>
      </c>
      <c r="T518" t="s">
        <v>1412</v>
      </c>
      <c r="U518" t="s">
        <v>1110</v>
      </c>
      <c r="V518">
        <v>0</v>
      </c>
      <c r="W518">
        <v>0</v>
      </c>
      <c r="X518">
        <v>1</v>
      </c>
      <c r="Y518">
        <v>0</v>
      </c>
      <c r="Z518">
        <v>0</v>
      </c>
      <c r="AA518">
        <v>0</v>
      </c>
      <c r="AB518">
        <v>0</v>
      </c>
      <c r="AC518">
        <v>0</v>
      </c>
      <c r="AD518">
        <v>0</v>
      </c>
      <c r="AE518">
        <v>0</v>
      </c>
      <c r="AF518">
        <v>0</v>
      </c>
      <c r="AG518">
        <v>0</v>
      </c>
      <c r="AH518">
        <v>0</v>
      </c>
      <c r="AI518">
        <v>0</v>
      </c>
      <c r="AJ518">
        <v>0</v>
      </c>
      <c r="AK518">
        <v>0</v>
      </c>
      <c r="AL518">
        <v>0</v>
      </c>
      <c r="AM518">
        <v>0</v>
      </c>
      <c r="AN518">
        <v>0</v>
      </c>
      <c r="AO518">
        <v>0</v>
      </c>
      <c r="AP518">
        <v>0</v>
      </c>
      <c r="AQ518">
        <v>0</v>
      </c>
      <c r="AR518">
        <v>0</v>
      </c>
      <c r="AS518">
        <v>0</v>
      </c>
      <c r="AT518">
        <v>0</v>
      </c>
      <c r="AU518">
        <v>0</v>
      </c>
      <c r="AV518">
        <v>0</v>
      </c>
      <c r="AW518">
        <v>0</v>
      </c>
      <c r="AX518" s="141">
        <f t="shared" si="590"/>
        <v>1</v>
      </c>
      <c r="AY518" s="141">
        <f t="shared" si="591"/>
        <v>1</v>
      </c>
      <c r="AZ518">
        <f t="shared" si="592"/>
        <v>1</v>
      </c>
      <c r="BA518">
        <f t="shared" si="593"/>
        <v>0</v>
      </c>
      <c r="BB518">
        <f t="shared" si="594"/>
        <v>0</v>
      </c>
      <c r="BC518">
        <f t="shared" si="595"/>
        <v>0</v>
      </c>
      <c r="BD518">
        <f t="shared" si="596"/>
        <v>0</v>
      </c>
      <c r="BE518" t="str">
        <f t="array" ref="BE518">IF(AY518=1,INDEX($V$7:$AL$7,MATCH(TRUE,INDEX($V518:$AW518&lt;&gt;0,),0)),IF(AY518=0,INDEX($AM$7:$AW$7,MATCH(1,$AM518:$AW518,0)),IF(BF518="Multiple strategies","mixed drivers",IF(BF518="Supply chain","multiple supply","multiple silviculture"))))</f>
        <v>rotation length</v>
      </c>
      <c r="BF518" s="2" t="str" cm="1">
        <f t="array" ref="BF518">IF(COUNTIF(AZ518:BB518,"&lt;&gt;0")=1,INDEX($V$4:$AW$4,MATCH(TRUE,INDEX($V518:$AW518&lt;&gt;0,),0)),IF(COUNTIF(AZ518:BB518,"&lt;&gt;0")=0,INDEX($AM$4:$AW$4,MATCH(1,$AM518:$AW518,0)),"Multiple strategies"))</f>
        <v>Silviculture for removals</v>
      </c>
      <c r="BG518" s="1" t="s">
        <v>321</v>
      </c>
      <c r="BH518" t="s">
        <v>1409</v>
      </c>
      <c r="BI518" s="260" t="s">
        <v>3317</v>
      </c>
      <c r="BJ518" t="s">
        <v>1358</v>
      </c>
      <c r="BK518" s="264">
        <f>0.9*BL518</f>
        <v>13.148999999999999</v>
      </c>
      <c r="BL518" s="264">
        <v>14.61</v>
      </c>
      <c r="BN518" s="227">
        <f t="shared" si="616"/>
        <v>1.4610000000000003</v>
      </c>
      <c r="BO518">
        <f>BN518*10^6*tC_to_m3</f>
        <v>6343899.2618323937</v>
      </c>
      <c r="BP518" t="s">
        <v>232</v>
      </c>
      <c r="BQ518" s="260" t="s">
        <v>3320</v>
      </c>
      <c r="BR518" t="s">
        <v>1299</v>
      </c>
      <c r="BS518" s="152"/>
      <c r="BT518" s="152"/>
      <c r="BU518" s="144"/>
      <c r="BV518" s="141">
        <v>-4.6286109425494901</v>
      </c>
      <c r="BX518">
        <f t="shared" si="597"/>
        <v>-4628610.9425494904</v>
      </c>
      <c r="BY518">
        <f t="shared" si="557"/>
        <v>-0.72961608492070329</v>
      </c>
      <c r="BZ518">
        <v>0</v>
      </c>
      <c r="CA518">
        <v>0</v>
      </c>
      <c r="CB518">
        <v>0</v>
      </c>
      <c r="CC518">
        <v>0</v>
      </c>
      <c r="CD518">
        <v>0</v>
      </c>
      <c r="CE518">
        <v>0</v>
      </c>
      <c r="CF518">
        <v>0</v>
      </c>
      <c r="CG518">
        <v>0</v>
      </c>
      <c r="CH518">
        <v>0</v>
      </c>
      <c r="CI518">
        <v>0</v>
      </c>
      <c r="CJ518">
        <v>0</v>
      </c>
      <c r="CK518">
        <v>0</v>
      </c>
      <c r="CL518">
        <v>0</v>
      </c>
      <c r="CM518">
        <v>0</v>
      </c>
      <c r="CN518" t="str">
        <f t="shared" si="598"/>
        <v>refOK</v>
      </c>
      <c r="CO518"/>
      <c r="CP518"/>
      <c r="CQ518">
        <f t="shared" si="599"/>
        <v>6343899.2618323937</v>
      </c>
      <c r="CR518">
        <f t="shared" si="600"/>
        <v>0</v>
      </c>
      <c r="CS518">
        <f t="shared" si="601"/>
        <v>0</v>
      </c>
      <c r="CT518">
        <f t="shared" si="602"/>
        <v>-4628610.9425494904</v>
      </c>
      <c r="CU518">
        <f t="shared" si="603"/>
        <v>-0.72961608492070329</v>
      </c>
      <c r="CV518" s="2" t="str">
        <f t="shared" si="604"/>
        <v/>
      </c>
      <c r="CW518" s="1" t="s">
        <v>1198</v>
      </c>
      <c r="CX518" t="str">
        <f t="shared" si="605"/>
        <v>reg</v>
      </c>
      <c r="CY518" t="s">
        <v>428</v>
      </c>
      <c r="CZ518">
        <v>2020</v>
      </c>
      <c r="DA518">
        <v>2050</v>
      </c>
      <c r="DB518">
        <v>30</v>
      </c>
      <c r="DC518" t="str">
        <f t="shared" si="606"/>
        <v>1-30</v>
      </c>
      <c r="DD518">
        <v>0</v>
      </c>
      <c r="DE518">
        <v>1</v>
      </c>
      <c r="DF518">
        <v>1</v>
      </c>
      <c r="DG518">
        <v>1</v>
      </c>
      <c r="DI518">
        <f t="shared" si="607"/>
        <v>3</v>
      </c>
      <c r="DJ518" t="str">
        <f t="shared" si="608"/>
        <v>mixedProduct</v>
      </c>
      <c r="DK518">
        <f t="shared" si="609"/>
        <v>0</v>
      </c>
      <c r="DL518" t="str">
        <f t="shared" si="610"/>
        <v>Energy</v>
      </c>
      <c r="DM518" t="str">
        <f t="shared" si="611"/>
        <v>Pulp/Paper</v>
      </c>
      <c r="DN518" t="str">
        <f t="shared" si="612"/>
        <v>Timber</v>
      </c>
      <c r="DO518">
        <v>0</v>
      </c>
      <c r="DP518">
        <v>1</v>
      </c>
      <c r="DQ518" t="s">
        <v>1410</v>
      </c>
      <c r="DR518" t="s">
        <v>1411</v>
      </c>
      <c r="DS518">
        <v>0</v>
      </c>
      <c r="DT518">
        <f t="shared" si="613"/>
        <v>1</v>
      </c>
      <c r="DU518" s="143" t="str">
        <f t="shared" si="614"/>
        <v>external DF used</v>
      </c>
      <c r="DV518">
        <v>1</v>
      </c>
      <c r="DW518">
        <v>1</v>
      </c>
      <c r="DX518">
        <v>1</v>
      </c>
      <c r="DY518">
        <v>0</v>
      </c>
      <c r="DZ518">
        <v>0</v>
      </c>
      <c r="EA518" s="143">
        <v>0</v>
      </c>
      <c r="EB518">
        <v>0</v>
      </c>
      <c r="EC518">
        <v>0</v>
      </c>
      <c r="ED518">
        <v>0</v>
      </c>
      <c r="EE518">
        <v>0</v>
      </c>
      <c r="EF518">
        <v>1</v>
      </c>
      <c r="EG518" s="143">
        <v>0</v>
      </c>
      <c r="EH518" s="143">
        <v>0</v>
      </c>
      <c r="EI518" s="2">
        <v>0</v>
      </c>
      <c r="EK518" t="str">
        <f t="shared" si="617"/>
        <v/>
      </c>
      <c r="EL518" t="str">
        <f t="shared" si="618"/>
        <v>Ecosystem approach</v>
      </c>
      <c r="EM518" s="2" t="str">
        <f t="shared" si="558"/>
        <v/>
      </c>
      <c r="EP518" t="str">
        <f>IF(ISNUMBER(BU518),IF(ABS(BU518-[5]QC_indicators!$B$2)&gt;3*[5]QC_indicators!$C$2,"C ratio",IF(ISNUMBER(BY518),IF(ABS(BY518-[5]QC_indicators!$B$1)&gt;3*[5]QC_indicators!$C$1,"DF","no"))),IF(ISNUMBER(BY518),IF(ABS(BY518-[5]QC_indicators!$B$1)&gt;3*[5]QC_indicators!$C$1,"DF","no")))</f>
        <v>no</v>
      </c>
      <c r="EQ518" t="s">
        <v>286</v>
      </c>
      <c r="ER518" s="149" t="s">
        <v>349</v>
      </c>
      <c r="ET518" s="264" t="s">
        <v>3272</v>
      </c>
    </row>
    <row r="519" spans="1:150" ht="15" hidden="1" customHeight="1">
      <c r="A519" s="1" t="s">
        <v>1399</v>
      </c>
      <c r="B519" t="s">
        <v>1400</v>
      </c>
      <c r="C519" t="s">
        <v>1401</v>
      </c>
      <c r="D519" t="s">
        <v>1402</v>
      </c>
      <c r="E519" t="s">
        <v>1403</v>
      </c>
      <c r="F519" t="s">
        <v>1404</v>
      </c>
      <c r="G519" t="s">
        <v>1405</v>
      </c>
      <c r="H519" t="s">
        <v>254</v>
      </c>
      <c r="I519">
        <v>2021</v>
      </c>
      <c r="J519">
        <v>0</v>
      </c>
      <c r="K519" t="s">
        <v>1406</v>
      </c>
      <c r="M519" t="str">
        <f t="shared" si="615"/>
        <v>Dugan_2021</v>
      </c>
      <c r="N519" t="s">
        <v>222</v>
      </c>
      <c r="O519" s="145" t="s">
        <v>274</v>
      </c>
      <c r="Q519" t="s">
        <v>256</v>
      </c>
      <c r="R519" s="255" t="s">
        <v>225</v>
      </c>
      <c r="S519" s="1" t="s">
        <v>314</v>
      </c>
      <c r="T519" t="s">
        <v>1110</v>
      </c>
      <c r="U519" t="s">
        <v>1413</v>
      </c>
      <c r="V519">
        <v>0</v>
      </c>
      <c r="W519">
        <v>0</v>
      </c>
      <c r="X519">
        <v>1</v>
      </c>
      <c r="Y519">
        <v>0</v>
      </c>
      <c r="Z519">
        <v>0</v>
      </c>
      <c r="AA519">
        <v>0</v>
      </c>
      <c r="AB519">
        <v>0</v>
      </c>
      <c r="AC519">
        <v>0</v>
      </c>
      <c r="AD519">
        <v>0</v>
      </c>
      <c r="AE519">
        <v>0</v>
      </c>
      <c r="AF519">
        <v>0</v>
      </c>
      <c r="AG519">
        <v>0</v>
      </c>
      <c r="AH519">
        <v>0</v>
      </c>
      <c r="AI519">
        <v>0</v>
      </c>
      <c r="AJ519">
        <v>0</v>
      </c>
      <c r="AK519">
        <v>0</v>
      </c>
      <c r="AL519">
        <v>0</v>
      </c>
      <c r="AM519">
        <v>0</v>
      </c>
      <c r="AN519">
        <v>0</v>
      </c>
      <c r="AO519">
        <v>0</v>
      </c>
      <c r="AP519">
        <v>0</v>
      </c>
      <c r="AQ519">
        <v>0</v>
      </c>
      <c r="AR519">
        <v>0</v>
      </c>
      <c r="AS519">
        <v>0</v>
      </c>
      <c r="AT519">
        <v>0</v>
      </c>
      <c r="AU519">
        <v>0</v>
      </c>
      <c r="AV519">
        <v>0</v>
      </c>
      <c r="AW519">
        <v>0</v>
      </c>
      <c r="AX519" s="141">
        <f t="shared" si="590"/>
        <v>1</v>
      </c>
      <c r="AY519" s="141">
        <f t="shared" si="591"/>
        <v>1</v>
      </c>
      <c r="AZ519">
        <f t="shared" si="592"/>
        <v>1</v>
      </c>
      <c r="BA519">
        <f t="shared" si="593"/>
        <v>0</v>
      </c>
      <c r="BB519">
        <f t="shared" si="594"/>
        <v>0</v>
      </c>
      <c r="BC519">
        <f t="shared" si="595"/>
        <v>0</v>
      </c>
      <c r="BD519">
        <f t="shared" si="596"/>
        <v>0</v>
      </c>
      <c r="BE519" t="str">
        <f t="array" ref="BE519">IF(AY519=1,INDEX($V$7:$AL$7,MATCH(TRUE,INDEX($V519:$AW519&lt;&gt;0,),0)),IF(AY519=0,INDEX($AM$7:$AW$7,MATCH(1,$AM519:$AW519,0)),IF(BF519="Multiple strategies","mixed drivers",IF(BF519="Supply chain","multiple supply","multiple silviculture"))))</f>
        <v>rotation length</v>
      </c>
      <c r="BF519" s="2" t="str" cm="1">
        <f t="array" ref="BF519">IF(COUNTIF(AZ519:BB519,"&lt;&gt;0")=1,INDEX($V$4:$AW$4,MATCH(TRUE,INDEX($V519:$AW519&lt;&gt;0,),0)),IF(COUNTIF(AZ519:BB519,"&lt;&gt;0")=0,INDEX($AM$4:$AW$4,MATCH(1,$AM519:$AW519,0)),"Multiple strategies"))</f>
        <v>Silviculture for removals</v>
      </c>
      <c r="BG519" s="1" t="s">
        <v>321</v>
      </c>
      <c r="BH519" t="s">
        <v>1409</v>
      </c>
      <c r="BI519" s="260" t="s">
        <v>3317</v>
      </c>
      <c r="BJ519" t="s">
        <v>1358</v>
      </c>
      <c r="BK519" s="264">
        <v>14.61</v>
      </c>
      <c r="BL519">
        <f>BK519*1.1</f>
        <v>16.071000000000002</v>
      </c>
      <c r="BN519" s="227">
        <f t="shared" si="616"/>
        <v>1.4610000000000021</v>
      </c>
      <c r="BO519">
        <f>BN519*10^6*tC_to_m3</f>
        <v>6343899.2618324021</v>
      </c>
      <c r="BP519" t="s">
        <v>232</v>
      </c>
      <c r="BQ519" s="260" t="s">
        <v>3320</v>
      </c>
      <c r="BR519" t="s">
        <v>1299</v>
      </c>
      <c r="BS519" s="152"/>
      <c r="BT519" s="152"/>
      <c r="BU519" s="144"/>
      <c r="BV519" s="141">
        <v>-2.93861691668666</v>
      </c>
      <c r="BX519">
        <f t="shared" si="597"/>
        <v>-2938616.9166866601</v>
      </c>
      <c r="BY519">
        <f t="shared" si="557"/>
        <v>-0.46321935380762275</v>
      </c>
      <c r="BZ519">
        <v>0</v>
      </c>
      <c r="CA519">
        <v>0</v>
      </c>
      <c r="CB519">
        <v>0</v>
      </c>
      <c r="CC519">
        <v>0</v>
      </c>
      <c r="CD519">
        <v>0</v>
      </c>
      <c r="CE519">
        <v>0</v>
      </c>
      <c r="CF519">
        <v>0</v>
      </c>
      <c r="CG519">
        <v>0</v>
      </c>
      <c r="CH519">
        <v>0</v>
      </c>
      <c r="CI519">
        <v>0</v>
      </c>
      <c r="CJ519">
        <v>0</v>
      </c>
      <c r="CK519">
        <v>0</v>
      </c>
      <c r="CL519">
        <v>0</v>
      </c>
      <c r="CM519">
        <v>0</v>
      </c>
      <c r="CN519" t="str">
        <f t="shared" si="598"/>
        <v>refOK</v>
      </c>
      <c r="CO519"/>
      <c r="CP519"/>
      <c r="CQ519">
        <f t="shared" si="599"/>
        <v>6343899.2618324021</v>
      </c>
      <c r="CR519">
        <f t="shared" si="600"/>
        <v>0</v>
      </c>
      <c r="CS519">
        <f t="shared" si="601"/>
        <v>0</v>
      </c>
      <c r="CT519">
        <f t="shared" si="602"/>
        <v>-2938616.9166866601</v>
      </c>
      <c r="CU519">
        <f t="shared" si="603"/>
        <v>-0.46321935380762275</v>
      </c>
      <c r="CV519" s="2" t="str">
        <f t="shared" si="604"/>
        <v/>
      </c>
      <c r="CW519" s="1" t="s">
        <v>1198</v>
      </c>
      <c r="CX519" t="str">
        <f t="shared" si="605"/>
        <v>reg</v>
      </c>
      <c r="CY519" t="s">
        <v>428</v>
      </c>
      <c r="CZ519">
        <v>2020</v>
      </c>
      <c r="DA519">
        <v>2050</v>
      </c>
      <c r="DB519">
        <v>30</v>
      </c>
      <c r="DC519" t="str">
        <f t="shared" si="606"/>
        <v>1-30</v>
      </c>
      <c r="DD519">
        <v>0</v>
      </c>
      <c r="DE519">
        <v>1</v>
      </c>
      <c r="DF519">
        <v>1</v>
      </c>
      <c r="DG519">
        <v>1</v>
      </c>
      <c r="DI519">
        <f t="shared" si="607"/>
        <v>3</v>
      </c>
      <c r="DJ519" t="str">
        <f t="shared" si="608"/>
        <v>mixedProduct</v>
      </c>
      <c r="DK519">
        <f t="shared" si="609"/>
        <v>0</v>
      </c>
      <c r="DL519" t="str">
        <f t="shared" si="610"/>
        <v>Energy</v>
      </c>
      <c r="DM519" t="str">
        <f t="shared" si="611"/>
        <v>Pulp/Paper</v>
      </c>
      <c r="DN519" t="str">
        <f t="shared" si="612"/>
        <v>Timber</v>
      </c>
      <c r="DO519">
        <v>0</v>
      </c>
      <c r="DP519">
        <v>1</v>
      </c>
      <c r="DQ519" t="s">
        <v>1410</v>
      </c>
      <c r="DR519" t="s">
        <v>1411</v>
      </c>
      <c r="DS519">
        <v>0</v>
      </c>
      <c r="DT519">
        <f t="shared" si="613"/>
        <v>1</v>
      </c>
      <c r="DU519" s="143" t="str">
        <f t="shared" si="614"/>
        <v>external DF used</v>
      </c>
      <c r="DV519">
        <v>1</v>
      </c>
      <c r="DW519">
        <v>1</v>
      </c>
      <c r="DX519">
        <v>1</v>
      </c>
      <c r="DY519">
        <v>0</v>
      </c>
      <c r="DZ519">
        <v>0</v>
      </c>
      <c r="EA519" s="143">
        <v>0</v>
      </c>
      <c r="EB519">
        <v>0</v>
      </c>
      <c r="EC519">
        <v>0</v>
      </c>
      <c r="ED519">
        <v>0</v>
      </c>
      <c r="EE519">
        <v>0</v>
      </c>
      <c r="EF519">
        <v>1</v>
      </c>
      <c r="EG519" s="143">
        <v>0</v>
      </c>
      <c r="EH519" s="143">
        <v>0</v>
      </c>
      <c r="EI519" s="2">
        <v>0</v>
      </c>
      <c r="EK519" t="str">
        <f t="shared" si="617"/>
        <v/>
      </c>
      <c r="EL519" t="str">
        <f t="shared" si="618"/>
        <v>Ecosystem approach</v>
      </c>
      <c r="EM519" s="2" t="str">
        <f t="shared" si="558"/>
        <v/>
      </c>
      <c r="EP519" t="str">
        <f>IF(ISNUMBER(BU519),IF(ABS(BU519-[5]QC_indicators!$B$2)&gt;3*[5]QC_indicators!$C$2,"C ratio",IF(ISNUMBER(BY519),IF(ABS(BY519-[5]QC_indicators!$B$1)&gt;3*[5]QC_indicators!$C$1,"DF","no"))),IF(ISNUMBER(BY519),IF(ABS(BY519-[5]QC_indicators!$B$1)&gt;3*[5]QC_indicators!$C$1,"DF","no")))</f>
        <v>no</v>
      </c>
      <c r="EQ519" t="s">
        <v>286</v>
      </c>
      <c r="ER519" s="149" t="s">
        <v>349</v>
      </c>
      <c r="ET519" s="264" t="s">
        <v>3272</v>
      </c>
    </row>
    <row r="520" spans="1:150" ht="15" hidden="1" customHeight="1">
      <c r="A520" s="1" t="s">
        <v>1399</v>
      </c>
      <c r="B520" t="s">
        <v>1400</v>
      </c>
      <c r="C520" t="s">
        <v>1401</v>
      </c>
      <c r="D520" t="s">
        <v>1402</v>
      </c>
      <c r="E520" t="s">
        <v>1403</v>
      </c>
      <c r="F520" t="s">
        <v>1404</v>
      </c>
      <c r="G520" t="s">
        <v>1405</v>
      </c>
      <c r="H520" t="s">
        <v>254</v>
      </c>
      <c r="I520">
        <v>2021</v>
      </c>
      <c r="J520">
        <v>0</v>
      </c>
      <c r="K520" t="s">
        <v>1406</v>
      </c>
      <c r="M520" t="str">
        <f t="shared" si="615"/>
        <v>Dugan_2021</v>
      </c>
      <c r="N520" t="s">
        <v>222</v>
      </c>
      <c r="O520" s="145" t="s">
        <v>274</v>
      </c>
      <c r="Q520" t="s">
        <v>256</v>
      </c>
      <c r="R520" s="255" t="s">
        <v>225</v>
      </c>
      <c r="S520" s="1" t="s">
        <v>314</v>
      </c>
      <c r="T520" t="s">
        <v>1110</v>
      </c>
      <c r="U520" t="s">
        <v>1413</v>
      </c>
      <c r="V520">
        <v>0</v>
      </c>
      <c r="W520">
        <v>0</v>
      </c>
      <c r="X520">
        <v>1</v>
      </c>
      <c r="Y520">
        <v>0</v>
      </c>
      <c r="Z520">
        <v>0</v>
      </c>
      <c r="AA520">
        <v>0</v>
      </c>
      <c r="AB520">
        <v>0</v>
      </c>
      <c r="AC520">
        <v>0</v>
      </c>
      <c r="AD520">
        <v>0</v>
      </c>
      <c r="AE520">
        <v>0</v>
      </c>
      <c r="AF520">
        <v>0</v>
      </c>
      <c r="AG520">
        <v>0</v>
      </c>
      <c r="AH520">
        <v>0</v>
      </c>
      <c r="AI520">
        <v>0</v>
      </c>
      <c r="AJ520">
        <v>0</v>
      </c>
      <c r="AK520">
        <v>0</v>
      </c>
      <c r="AL520">
        <v>0</v>
      </c>
      <c r="AM520">
        <v>0</v>
      </c>
      <c r="AN520">
        <v>0</v>
      </c>
      <c r="AO520">
        <v>0</v>
      </c>
      <c r="AP520">
        <v>0</v>
      </c>
      <c r="AQ520">
        <v>0</v>
      </c>
      <c r="AR520">
        <v>0</v>
      </c>
      <c r="AS520">
        <v>0</v>
      </c>
      <c r="AT520">
        <v>0</v>
      </c>
      <c r="AU520">
        <v>0</v>
      </c>
      <c r="AV520">
        <v>0</v>
      </c>
      <c r="AW520">
        <v>0</v>
      </c>
      <c r="AX520" s="141">
        <f t="shared" si="590"/>
        <v>1</v>
      </c>
      <c r="AY520" s="141">
        <f t="shared" si="591"/>
        <v>1</v>
      </c>
      <c r="AZ520">
        <f t="shared" si="592"/>
        <v>1</v>
      </c>
      <c r="BA520">
        <f t="shared" si="593"/>
        <v>0</v>
      </c>
      <c r="BB520">
        <f t="shared" si="594"/>
        <v>0</v>
      </c>
      <c r="BC520">
        <f t="shared" si="595"/>
        <v>0</v>
      </c>
      <c r="BD520">
        <f t="shared" si="596"/>
        <v>0</v>
      </c>
      <c r="BE520" t="str">
        <f t="array" ref="BE520">IF(AY520=1,INDEX($V$7:$AL$7,MATCH(TRUE,INDEX($V520:$AW520&lt;&gt;0,),0)),IF(AY520=0,INDEX($AM$7:$AW$7,MATCH(1,$AM520:$AW520,0)),IF(BF520="Multiple strategies","mixed drivers",IF(BF520="Supply chain","multiple supply","multiple silviculture"))))</f>
        <v>rotation length</v>
      </c>
      <c r="BF520" s="2" t="str" cm="1">
        <f t="array" ref="BF520">IF(COUNTIF(AZ520:BB520,"&lt;&gt;0")=1,INDEX($V$4:$AW$4,MATCH(TRUE,INDEX($V520:$AW520&lt;&gt;0,),0)),IF(COUNTIF(AZ520:BB520,"&lt;&gt;0")=0,INDEX($AM$4:$AW$4,MATCH(1,$AM520:$AW520,0)),"Multiple strategies"))</f>
        <v>Silviculture for removals</v>
      </c>
      <c r="BG520" s="1" t="s">
        <v>321</v>
      </c>
      <c r="BH520" t="s">
        <v>1409</v>
      </c>
      <c r="BI520" s="260" t="s">
        <v>3317</v>
      </c>
      <c r="BJ520" t="s">
        <v>1358</v>
      </c>
      <c r="BK520" s="264">
        <v>14.61</v>
      </c>
      <c r="BL520">
        <f>BK520*1.1</f>
        <v>16.071000000000002</v>
      </c>
      <c r="BN520" s="227">
        <f t="shared" si="616"/>
        <v>1.4610000000000021</v>
      </c>
      <c r="BO520">
        <f>BN520*10^6*tC_to_m3</f>
        <v>6343899.2618324021</v>
      </c>
      <c r="BP520" t="s">
        <v>232</v>
      </c>
      <c r="BQ520" s="260" t="s">
        <v>3319</v>
      </c>
      <c r="BR520" t="s">
        <v>1299</v>
      </c>
      <c r="BS520" s="152"/>
      <c r="BT520" s="152"/>
      <c r="BU520" s="144"/>
      <c r="BV520" s="284">
        <v>-1.8383920458338849</v>
      </c>
      <c r="BX520">
        <f t="shared" si="597"/>
        <v>-1838392.045833885</v>
      </c>
      <c r="BY520">
        <f t="shared" si="557"/>
        <v>-0.28978897204349285</v>
      </c>
      <c r="BZ520">
        <v>0</v>
      </c>
      <c r="CA520">
        <v>0</v>
      </c>
      <c r="CB520">
        <v>0</v>
      </c>
      <c r="CC520">
        <v>0</v>
      </c>
      <c r="CD520">
        <v>0</v>
      </c>
      <c r="CE520">
        <v>0</v>
      </c>
      <c r="CF520">
        <v>0</v>
      </c>
      <c r="CG520">
        <v>0</v>
      </c>
      <c r="CH520">
        <v>0</v>
      </c>
      <c r="CI520">
        <v>0</v>
      </c>
      <c r="CJ520">
        <v>0</v>
      </c>
      <c r="CK520">
        <v>0</v>
      </c>
      <c r="CL520">
        <v>0</v>
      </c>
      <c r="CM520">
        <v>0</v>
      </c>
      <c r="CN520" t="str">
        <f t="shared" si="598"/>
        <v>refOK</v>
      </c>
      <c r="CO520"/>
      <c r="CP520"/>
      <c r="CQ520">
        <f t="shared" si="599"/>
        <v>6343899.2618324021</v>
      </c>
      <c r="CR520">
        <f t="shared" si="600"/>
        <v>0</v>
      </c>
      <c r="CS520">
        <f t="shared" si="601"/>
        <v>0</v>
      </c>
      <c r="CT520">
        <f t="shared" si="602"/>
        <v>-1838392.045833885</v>
      </c>
      <c r="CU520">
        <f t="shared" si="603"/>
        <v>-0.28978897204349285</v>
      </c>
      <c r="CV520" s="2" t="str">
        <f t="shared" si="604"/>
        <v/>
      </c>
      <c r="CW520" s="1" t="s">
        <v>1198</v>
      </c>
      <c r="CX520" t="str">
        <f t="shared" si="605"/>
        <v>reg</v>
      </c>
      <c r="CY520" t="s">
        <v>428</v>
      </c>
      <c r="CZ520">
        <v>2020</v>
      </c>
      <c r="DA520">
        <v>2050</v>
      </c>
      <c r="DB520">
        <v>30</v>
      </c>
      <c r="DC520" t="str">
        <f t="shared" si="606"/>
        <v>1-30</v>
      </c>
      <c r="DD520">
        <v>0</v>
      </c>
      <c r="DE520">
        <v>1</v>
      </c>
      <c r="DF520">
        <v>1</v>
      </c>
      <c r="DG520">
        <v>1</v>
      </c>
      <c r="DI520">
        <f t="shared" si="607"/>
        <v>3</v>
      </c>
      <c r="DJ520" t="str">
        <f t="shared" si="608"/>
        <v>mixedProduct</v>
      </c>
      <c r="DK520">
        <f t="shared" si="609"/>
        <v>0</v>
      </c>
      <c r="DL520" t="str">
        <f t="shared" si="610"/>
        <v>Energy</v>
      </c>
      <c r="DM520" t="str">
        <f t="shared" si="611"/>
        <v>Pulp/Paper</v>
      </c>
      <c r="DN520" t="str">
        <f t="shared" si="612"/>
        <v>Timber</v>
      </c>
      <c r="DO520">
        <v>0</v>
      </c>
      <c r="DP520">
        <v>1</v>
      </c>
      <c r="DQ520" t="s">
        <v>1410</v>
      </c>
      <c r="DR520" t="s">
        <v>1411</v>
      </c>
      <c r="DS520">
        <v>0</v>
      </c>
      <c r="DT520">
        <f t="shared" si="613"/>
        <v>1</v>
      </c>
      <c r="DU520" s="143" t="str">
        <f t="shared" si="614"/>
        <v>external DF used</v>
      </c>
      <c r="DV520">
        <v>1</v>
      </c>
      <c r="DW520">
        <v>1</v>
      </c>
      <c r="DX520">
        <v>1</v>
      </c>
      <c r="DY520">
        <v>1</v>
      </c>
      <c r="DZ520">
        <v>0</v>
      </c>
      <c r="EA520" s="143">
        <v>1</v>
      </c>
      <c r="EB520">
        <v>0</v>
      </c>
      <c r="EC520">
        <v>1</v>
      </c>
      <c r="ED520">
        <v>0</v>
      </c>
      <c r="EE520">
        <v>0</v>
      </c>
      <c r="EF520">
        <v>1</v>
      </c>
      <c r="EG520" s="143">
        <v>0</v>
      </c>
      <c r="EH520" s="143">
        <v>0</v>
      </c>
      <c r="EI520" s="2">
        <v>0</v>
      </c>
      <c r="EK520" t="str">
        <f t="shared" si="617"/>
        <v>Whole sector</v>
      </c>
      <c r="EL520" t="str">
        <f t="shared" si="618"/>
        <v/>
      </c>
      <c r="EM520" s="2" t="str">
        <f t="shared" si="558"/>
        <v/>
      </c>
      <c r="EP520" t="str">
        <f>IF(ISNUMBER(BU520),IF(ABS(BU520-[5]QC_indicators!$B$2)&gt;3*[5]QC_indicators!$C$2,"C ratio",IF(ISNUMBER(BY520),IF(ABS(BY520-[5]QC_indicators!$B$1)&gt;3*[5]QC_indicators!$C$1,"DF","no"))),IF(ISNUMBER(BY520),IF(ABS(BY520-[5]QC_indicators!$B$1)&gt;3*[5]QC_indicators!$C$1,"DF","no")))</f>
        <v>no</v>
      </c>
      <c r="EQ520" t="s">
        <v>286</v>
      </c>
      <c r="ER520" s="149" t="s">
        <v>349</v>
      </c>
      <c r="ET520" s="264" t="s">
        <v>3272</v>
      </c>
    </row>
    <row r="521" spans="1:150" ht="15" hidden="1" customHeight="1">
      <c r="A521" s="1" t="s">
        <v>1399</v>
      </c>
      <c r="B521" t="s">
        <v>1400</v>
      </c>
      <c r="C521" t="s">
        <v>1401</v>
      </c>
      <c r="D521" t="s">
        <v>1402</v>
      </c>
      <c r="E521" t="s">
        <v>1403</v>
      </c>
      <c r="F521" t="s">
        <v>1404</v>
      </c>
      <c r="G521" t="s">
        <v>1405</v>
      </c>
      <c r="H521" t="s">
        <v>254</v>
      </c>
      <c r="I521">
        <v>2021</v>
      </c>
      <c r="J521">
        <v>0</v>
      </c>
      <c r="K521" t="s">
        <v>1406</v>
      </c>
      <c r="M521" t="str">
        <f t="shared" si="615"/>
        <v>Dugan_2021</v>
      </c>
      <c r="N521" t="s">
        <v>222</v>
      </c>
      <c r="O521" s="145" t="s">
        <v>274</v>
      </c>
      <c r="Q521" t="s">
        <v>256</v>
      </c>
      <c r="R521" s="255" t="s">
        <v>225</v>
      </c>
      <c r="S521" s="1" t="s">
        <v>1414</v>
      </c>
      <c r="T521" t="s">
        <v>1110</v>
      </c>
      <c r="U521" t="s">
        <v>1415</v>
      </c>
      <c r="V521">
        <v>0</v>
      </c>
      <c r="W521">
        <v>0</v>
      </c>
      <c r="X521">
        <v>0</v>
      </c>
      <c r="Y521">
        <v>0</v>
      </c>
      <c r="Z521">
        <v>1</v>
      </c>
      <c r="AA521">
        <v>0</v>
      </c>
      <c r="AB521">
        <v>0</v>
      </c>
      <c r="AC521">
        <v>0</v>
      </c>
      <c r="AD521">
        <v>0</v>
      </c>
      <c r="AE521">
        <v>0</v>
      </c>
      <c r="AF521">
        <v>0</v>
      </c>
      <c r="AG521">
        <v>0</v>
      </c>
      <c r="AH521">
        <v>0</v>
      </c>
      <c r="AI521">
        <v>0</v>
      </c>
      <c r="AJ521">
        <v>0</v>
      </c>
      <c r="AK521">
        <v>0</v>
      </c>
      <c r="AL521">
        <v>0</v>
      </c>
      <c r="AM521">
        <v>0</v>
      </c>
      <c r="AN521">
        <v>0</v>
      </c>
      <c r="AO521">
        <v>0</v>
      </c>
      <c r="AP521">
        <v>0</v>
      </c>
      <c r="AQ521">
        <v>0</v>
      </c>
      <c r="AR521">
        <v>0</v>
      </c>
      <c r="AS521">
        <v>0</v>
      </c>
      <c r="AT521">
        <v>0</v>
      </c>
      <c r="AU521">
        <v>0</v>
      </c>
      <c r="AV521">
        <v>0</v>
      </c>
      <c r="AW521">
        <v>0</v>
      </c>
      <c r="AX521" s="141">
        <f t="shared" si="590"/>
        <v>1</v>
      </c>
      <c r="AY521" s="141">
        <f t="shared" si="591"/>
        <v>1</v>
      </c>
      <c r="AZ521">
        <f t="shared" si="592"/>
        <v>1</v>
      </c>
      <c r="BA521">
        <f t="shared" si="593"/>
        <v>0</v>
      </c>
      <c r="BB521">
        <f t="shared" si="594"/>
        <v>0</v>
      </c>
      <c r="BC521">
        <f t="shared" si="595"/>
        <v>0</v>
      </c>
      <c r="BD521">
        <f t="shared" si="596"/>
        <v>0</v>
      </c>
      <c r="BE521" t="str">
        <f t="array" ref="BE521">IF(AY521=1,INDEX($V$7:$AL$7,MATCH(TRUE,INDEX($V521:$AW521&lt;&gt;0,),0)),IF(AY521=0,INDEX($AM$7:$AW$7,MATCH(1,$AM521:$AW521,0)),IF(BF521="Multiple strategies","mixed drivers",IF(BF521="Supply chain","multiple supply","multiple silviculture"))))</f>
        <v>species</v>
      </c>
      <c r="BF521" s="2" t="str" cm="1">
        <f t="array" ref="BF521">IF(COUNTIF(AZ521:BB521,"&lt;&gt;0")=1,INDEX($V$4:$AW$4,MATCH(TRUE,INDEX($V521:$AW521&lt;&gt;0,),0)),IF(COUNTIF(AZ521:BB521,"&lt;&gt;0")=0,INDEX($AM$4:$AW$4,MATCH(1,$AM521:$AW521,0)),"Multiple strategies"))</f>
        <v>Silviculture for productivity</v>
      </c>
      <c r="BG521" s="1" t="s">
        <v>321</v>
      </c>
      <c r="BH521" t="s">
        <v>1409</v>
      </c>
      <c r="BI521" s="260" t="s">
        <v>3317</v>
      </c>
      <c r="BJ521" t="s">
        <v>1358</v>
      </c>
      <c r="BK521" s="264">
        <v>14.61</v>
      </c>
      <c r="BL521">
        <f>BK521*1.15</f>
        <v>16.801499999999997</v>
      </c>
      <c r="BN521" s="227">
        <f t="shared" si="616"/>
        <v>2.1914999999999978</v>
      </c>
      <c r="BO521">
        <f>BN521*tC_to_m3*10^6</f>
        <v>9515848.8927485794</v>
      </c>
      <c r="BP521" t="s">
        <v>232</v>
      </c>
      <c r="BQ521" s="260" t="s">
        <v>3319</v>
      </c>
      <c r="BR521" t="s">
        <v>1299</v>
      </c>
      <c r="BS521" s="152"/>
      <c r="BT521" s="152"/>
      <c r="BU521" s="144"/>
      <c r="BV521" s="284">
        <v>1.4453648692510654</v>
      </c>
      <c r="BX521">
        <f t="shared" si="597"/>
        <v>1445364.8692510654</v>
      </c>
      <c r="BY521">
        <f t="shared" si="557"/>
        <v>0.15189027122451321</v>
      </c>
      <c r="BZ521">
        <v>0</v>
      </c>
      <c r="CA521">
        <v>0</v>
      </c>
      <c r="CB521">
        <v>0</v>
      </c>
      <c r="CC521">
        <v>0</v>
      </c>
      <c r="CD521">
        <v>0</v>
      </c>
      <c r="CE521">
        <v>0</v>
      </c>
      <c r="CF521">
        <v>0</v>
      </c>
      <c r="CG521">
        <v>0</v>
      </c>
      <c r="CH521">
        <v>0</v>
      </c>
      <c r="CI521">
        <v>0</v>
      </c>
      <c r="CJ521">
        <v>0</v>
      </c>
      <c r="CK521">
        <v>0</v>
      </c>
      <c r="CL521">
        <v>0</v>
      </c>
      <c r="CM521">
        <v>0</v>
      </c>
      <c r="CN521" t="str">
        <f t="shared" si="598"/>
        <v>refOK</v>
      </c>
      <c r="CO521"/>
      <c r="CP521"/>
      <c r="CQ521">
        <f>IF($CN521="refOK",$BO521,-$BO521)</f>
        <v>9515848.8927485794</v>
      </c>
      <c r="CR521">
        <f t="shared" si="600"/>
        <v>0</v>
      </c>
      <c r="CS521">
        <f t="shared" si="601"/>
        <v>0</v>
      </c>
      <c r="CT521">
        <f t="shared" si="602"/>
        <v>1445364.8692510654</v>
      </c>
      <c r="CU521">
        <f t="shared" si="603"/>
        <v>0.15189027122451321</v>
      </c>
      <c r="CV521" s="2" t="str">
        <f t="shared" si="604"/>
        <v/>
      </c>
      <c r="CW521" s="1" t="s">
        <v>1198</v>
      </c>
      <c r="CX521" t="str">
        <f t="shared" si="605"/>
        <v>reg</v>
      </c>
      <c r="CY521" t="s">
        <v>428</v>
      </c>
      <c r="CZ521">
        <v>2020</v>
      </c>
      <c r="DA521">
        <v>2050</v>
      </c>
      <c r="DB521">
        <v>30</v>
      </c>
      <c r="DC521" t="str">
        <f t="shared" si="606"/>
        <v>1-30</v>
      </c>
      <c r="DD521">
        <v>0</v>
      </c>
      <c r="DE521">
        <v>1</v>
      </c>
      <c r="DF521">
        <v>1</v>
      </c>
      <c r="DG521">
        <v>1</v>
      </c>
      <c r="DI521">
        <f t="shared" si="607"/>
        <v>3</v>
      </c>
      <c r="DJ521" t="str">
        <f t="shared" si="608"/>
        <v>mixedProduct</v>
      </c>
      <c r="DK521">
        <f t="shared" si="609"/>
        <v>0</v>
      </c>
      <c r="DL521" t="str">
        <f t="shared" si="610"/>
        <v>Energy</v>
      </c>
      <c r="DM521" t="str">
        <f t="shared" si="611"/>
        <v>Pulp/Paper</v>
      </c>
      <c r="DN521" t="str">
        <f t="shared" si="612"/>
        <v>Timber</v>
      </c>
      <c r="DO521">
        <v>0</v>
      </c>
      <c r="DP521">
        <v>1</v>
      </c>
      <c r="DQ521" t="s">
        <v>1410</v>
      </c>
      <c r="DR521" t="s">
        <v>1411</v>
      </c>
      <c r="DS521">
        <v>0</v>
      </c>
      <c r="DT521">
        <f t="shared" si="613"/>
        <v>1</v>
      </c>
      <c r="DU521" s="143" t="str">
        <f t="shared" si="614"/>
        <v>external DF used</v>
      </c>
      <c r="DV521">
        <v>1</v>
      </c>
      <c r="DW521">
        <v>1</v>
      </c>
      <c r="DX521">
        <v>1</v>
      </c>
      <c r="DY521">
        <v>1</v>
      </c>
      <c r="DZ521">
        <v>0</v>
      </c>
      <c r="EA521" s="143">
        <v>1</v>
      </c>
      <c r="EB521">
        <v>0</v>
      </c>
      <c r="EC521">
        <v>1</v>
      </c>
      <c r="ED521">
        <v>0</v>
      </c>
      <c r="EE521">
        <v>0</v>
      </c>
      <c r="EF521">
        <v>1</v>
      </c>
      <c r="EG521" s="143">
        <v>0</v>
      </c>
      <c r="EH521" s="143">
        <v>0</v>
      </c>
      <c r="EI521" s="2">
        <v>0</v>
      </c>
      <c r="EK521" t="str">
        <f t="shared" si="617"/>
        <v>Whole sector</v>
      </c>
      <c r="EL521" t="str">
        <f t="shared" si="618"/>
        <v/>
      </c>
      <c r="EM521" s="2" t="str">
        <f t="shared" si="558"/>
        <v/>
      </c>
      <c r="EP521" t="str">
        <f>IF(ISNUMBER(BU521),IF(ABS(BU521-[5]QC_indicators!$B$2)&gt;3*[5]QC_indicators!$C$2,"C ratio",IF(ISNUMBER(BY521),IF(ABS(BY521-[5]QC_indicators!$B$1)&gt;3*[5]QC_indicators!$C$1,"DF","no"))),IF(ISNUMBER(BY521),IF(ABS(BY521-[5]QC_indicators!$B$1)&gt;3*[5]QC_indicators!$C$1,"DF","no")))</f>
        <v>no</v>
      </c>
      <c r="EQ521" t="s">
        <v>286</v>
      </c>
      <c r="ER521" s="149" t="s">
        <v>349</v>
      </c>
      <c r="ET521" s="264" t="s">
        <v>3272</v>
      </c>
    </row>
    <row r="522" spans="1:150" ht="15" hidden="1" customHeight="1">
      <c r="A522" s="1" t="s">
        <v>1399</v>
      </c>
      <c r="B522" t="s">
        <v>1400</v>
      </c>
      <c r="C522" t="s">
        <v>1401</v>
      </c>
      <c r="D522" t="s">
        <v>1402</v>
      </c>
      <c r="E522" t="s">
        <v>1403</v>
      </c>
      <c r="F522" t="s">
        <v>1404</v>
      </c>
      <c r="G522" t="s">
        <v>1405</v>
      </c>
      <c r="H522" t="s">
        <v>254</v>
      </c>
      <c r="I522">
        <v>2021</v>
      </c>
      <c r="J522">
        <v>0</v>
      </c>
      <c r="K522" t="s">
        <v>1406</v>
      </c>
      <c r="M522" t="str">
        <f t="shared" si="615"/>
        <v>Dugan_2021</v>
      </c>
      <c r="N522" t="s">
        <v>222</v>
      </c>
      <c r="O522" s="145" t="s">
        <v>274</v>
      </c>
      <c r="Q522" t="s">
        <v>256</v>
      </c>
      <c r="R522" s="255" t="s">
        <v>225</v>
      </c>
      <c r="S522" s="1" t="s">
        <v>314</v>
      </c>
      <c r="T522" t="s">
        <v>1412</v>
      </c>
      <c r="U522" t="s">
        <v>1110</v>
      </c>
      <c r="V522">
        <v>0</v>
      </c>
      <c r="W522">
        <v>0</v>
      </c>
      <c r="X522">
        <v>1</v>
      </c>
      <c r="Y522">
        <v>0</v>
      </c>
      <c r="Z522">
        <v>0</v>
      </c>
      <c r="AA522">
        <v>0</v>
      </c>
      <c r="AB522">
        <v>0</v>
      </c>
      <c r="AC522">
        <v>0</v>
      </c>
      <c r="AD522">
        <v>0</v>
      </c>
      <c r="AE522">
        <v>0</v>
      </c>
      <c r="AF522">
        <v>0</v>
      </c>
      <c r="AG522">
        <v>0</v>
      </c>
      <c r="AH522">
        <v>0</v>
      </c>
      <c r="AI522">
        <v>0</v>
      </c>
      <c r="AJ522">
        <v>0</v>
      </c>
      <c r="AK522">
        <v>0</v>
      </c>
      <c r="AL522">
        <v>0</v>
      </c>
      <c r="AM522">
        <v>0</v>
      </c>
      <c r="AN522">
        <v>0</v>
      </c>
      <c r="AO522">
        <v>0</v>
      </c>
      <c r="AP522">
        <v>0</v>
      </c>
      <c r="AQ522">
        <v>0</v>
      </c>
      <c r="AR522">
        <v>0</v>
      </c>
      <c r="AS522">
        <v>0</v>
      </c>
      <c r="AT522">
        <v>0</v>
      </c>
      <c r="AU522">
        <v>0</v>
      </c>
      <c r="AV522">
        <v>0</v>
      </c>
      <c r="AW522">
        <v>0</v>
      </c>
      <c r="AX522" s="141">
        <f t="shared" si="590"/>
        <v>1</v>
      </c>
      <c r="AY522" s="141">
        <f t="shared" si="591"/>
        <v>1</v>
      </c>
      <c r="AZ522">
        <f t="shared" si="592"/>
        <v>1</v>
      </c>
      <c r="BA522">
        <f t="shared" si="593"/>
        <v>0</v>
      </c>
      <c r="BB522">
        <f t="shared" si="594"/>
        <v>0</v>
      </c>
      <c r="BC522">
        <f t="shared" si="595"/>
        <v>0</v>
      </c>
      <c r="BD522">
        <f t="shared" si="596"/>
        <v>0</v>
      </c>
      <c r="BE522" t="str">
        <f t="array" ref="BE522">IF(AY522=1,INDEX($V$7:$AL$7,MATCH(TRUE,INDEX($V522:$AW522&lt;&gt;0,),0)),IF(AY522=0,INDEX($AM$7:$AW$7,MATCH(1,$AM522:$AW522,0)),IF(BF522="Multiple strategies","mixed drivers",IF(BF522="Supply chain","multiple supply","multiple silviculture"))))</f>
        <v>rotation length</v>
      </c>
      <c r="BF522" s="2" t="str" cm="1">
        <f t="array" ref="BF522">IF(COUNTIF(AZ522:BB522,"&lt;&gt;0")=1,INDEX($V$4:$AW$4,MATCH(TRUE,INDEX($V522:$AW522&lt;&gt;0,),0)),IF(COUNTIF(AZ522:BB522,"&lt;&gt;0")=0,INDEX($AM$4:$AW$4,MATCH(1,$AM522:$AW522,0)),"Multiple strategies"))</f>
        <v>Silviculture for removals</v>
      </c>
      <c r="BG522" s="1" t="s">
        <v>321</v>
      </c>
      <c r="BH522" t="s">
        <v>1409</v>
      </c>
      <c r="BI522" s="260" t="s">
        <v>3317</v>
      </c>
      <c r="BJ522" t="s">
        <v>1358</v>
      </c>
      <c r="BK522" s="264">
        <f>0.9*BL522</f>
        <v>13.148999999999999</v>
      </c>
      <c r="BL522" s="264">
        <v>14.61</v>
      </c>
      <c r="BN522" s="227">
        <f t="shared" si="616"/>
        <v>1.4610000000000003</v>
      </c>
      <c r="BO522">
        <f>BN522*10^6*tC_to_m3</f>
        <v>6343899.2618323937</v>
      </c>
      <c r="BP522" t="s">
        <v>232</v>
      </c>
      <c r="BQ522" s="260" t="s">
        <v>3319</v>
      </c>
      <c r="BR522" t="s">
        <v>1299</v>
      </c>
      <c r="BS522" s="152"/>
      <c r="BT522" s="152"/>
      <c r="BU522" s="144"/>
      <c r="BV522" s="284">
        <v>3.5012647539369794</v>
      </c>
      <c r="BX522">
        <f t="shared" si="597"/>
        <v>3501264.7539369795</v>
      </c>
      <c r="BY522">
        <f t="shared" si="557"/>
        <v>0.55191052212983316</v>
      </c>
      <c r="BZ522">
        <v>0</v>
      </c>
      <c r="CA522">
        <v>0</v>
      </c>
      <c r="CB522">
        <v>0</v>
      </c>
      <c r="CC522">
        <v>0</v>
      </c>
      <c r="CD522">
        <v>0</v>
      </c>
      <c r="CE522">
        <v>0</v>
      </c>
      <c r="CF522">
        <v>0</v>
      </c>
      <c r="CG522">
        <v>0</v>
      </c>
      <c r="CH522">
        <v>0</v>
      </c>
      <c r="CI522">
        <v>0</v>
      </c>
      <c r="CJ522">
        <v>0</v>
      </c>
      <c r="CK522">
        <v>0</v>
      </c>
      <c r="CL522">
        <v>0</v>
      </c>
      <c r="CM522">
        <v>0</v>
      </c>
      <c r="CN522" t="str">
        <f t="shared" si="598"/>
        <v>refOK</v>
      </c>
      <c r="CO522"/>
      <c r="CP522"/>
      <c r="CQ522">
        <f>IF($CN522="refNeedCorrection",-BO522,BO522)</f>
        <v>6343899.2618323937</v>
      </c>
      <c r="CR522">
        <f t="shared" si="600"/>
        <v>0</v>
      </c>
      <c r="CS522">
        <f t="shared" si="601"/>
        <v>0</v>
      </c>
      <c r="CT522">
        <f t="shared" si="602"/>
        <v>3501264.7539369795</v>
      </c>
      <c r="CU522">
        <f t="shared" si="603"/>
        <v>0.55191052212983316</v>
      </c>
      <c r="CV522" s="2" t="str">
        <f t="shared" si="604"/>
        <v/>
      </c>
      <c r="CW522" s="1" t="s">
        <v>1198</v>
      </c>
      <c r="CX522" t="str">
        <f t="shared" si="605"/>
        <v>reg</v>
      </c>
      <c r="CY522" t="s">
        <v>428</v>
      </c>
      <c r="CZ522">
        <v>2020</v>
      </c>
      <c r="DA522">
        <v>2050</v>
      </c>
      <c r="DB522">
        <v>30</v>
      </c>
      <c r="DC522" t="str">
        <f t="shared" si="606"/>
        <v>1-30</v>
      </c>
      <c r="DD522">
        <v>0</v>
      </c>
      <c r="DE522">
        <v>1</v>
      </c>
      <c r="DF522">
        <v>1</v>
      </c>
      <c r="DG522">
        <v>1</v>
      </c>
      <c r="DI522">
        <f t="shared" si="607"/>
        <v>3</v>
      </c>
      <c r="DJ522" t="str">
        <f t="shared" si="608"/>
        <v>mixedProduct</v>
      </c>
      <c r="DK522">
        <f t="shared" si="609"/>
        <v>0</v>
      </c>
      <c r="DL522" t="str">
        <f t="shared" si="610"/>
        <v>Energy</v>
      </c>
      <c r="DM522" t="str">
        <f t="shared" si="611"/>
        <v>Pulp/Paper</v>
      </c>
      <c r="DN522" t="str">
        <f t="shared" si="612"/>
        <v>Timber</v>
      </c>
      <c r="DO522">
        <v>0</v>
      </c>
      <c r="DP522">
        <v>1</v>
      </c>
      <c r="DQ522" t="s">
        <v>1410</v>
      </c>
      <c r="DR522" t="s">
        <v>1411</v>
      </c>
      <c r="DS522">
        <v>0</v>
      </c>
      <c r="DT522">
        <f t="shared" si="613"/>
        <v>1</v>
      </c>
      <c r="DU522" s="143" t="str">
        <f t="shared" si="614"/>
        <v>external DF used</v>
      </c>
      <c r="DV522">
        <v>1</v>
      </c>
      <c r="DW522">
        <v>1</v>
      </c>
      <c r="DX522">
        <v>1</v>
      </c>
      <c r="DY522">
        <v>1</v>
      </c>
      <c r="DZ522">
        <v>0</v>
      </c>
      <c r="EA522" s="143">
        <v>1</v>
      </c>
      <c r="EB522">
        <v>0</v>
      </c>
      <c r="EC522">
        <v>1</v>
      </c>
      <c r="ED522">
        <v>0</v>
      </c>
      <c r="EE522">
        <v>0</v>
      </c>
      <c r="EF522">
        <v>1</v>
      </c>
      <c r="EG522" s="143">
        <v>0</v>
      </c>
      <c r="EH522" s="143">
        <v>0</v>
      </c>
      <c r="EI522" s="2">
        <v>0</v>
      </c>
      <c r="EK522" t="str">
        <f t="shared" si="617"/>
        <v>Whole sector</v>
      </c>
      <c r="EL522" t="str">
        <f t="shared" si="618"/>
        <v/>
      </c>
      <c r="EM522" s="2" t="str">
        <f t="shared" si="558"/>
        <v/>
      </c>
      <c r="EP522" t="str">
        <f>IF(ISNUMBER(BU522),IF(ABS(BU522-[5]QC_indicators!$B$2)&gt;3*[5]QC_indicators!$C$2,"C ratio",IF(ISNUMBER(BY522),IF(ABS(BY522-[5]QC_indicators!$B$1)&gt;3*[5]QC_indicators!$C$1,"DF","no"))),IF(ISNUMBER(BY522),IF(ABS(BY522-[5]QC_indicators!$B$1)&gt;3*[5]QC_indicators!$C$1,"DF","no")))</f>
        <v>no</v>
      </c>
      <c r="EQ522" t="s">
        <v>286</v>
      </c>
      <c r="ER522" s="149" t="s">
        <v>349</v>
      </c>
      <c r="ET522" s="264" t="s">
        <v>3272</v>
      </c>
    </row>
    <row r="523" spans="1:150" ht="15" hidden="1" customHeight="1">
      <c r="A523" s="1" t="s">
        <v>1399</v>
      </c>
      <c r="B523" t="s">
        <v>1400</v>
      </c>
      <c r="C523" t="s">
        <v>1401</v>
      </c>
      <c r="D523" t="s">
        <v>1402</v>
      </c>
      <c r="E523" t="s">
        <v>1403</v>
      </c>
      <c r="F523" t="s">
        <v>1404</v>
      </c>
      <c r="G523" t="s">
        <v>1405</v>
      </c>
      <c r="H523" t="s">
        <v>254</v>
      </c>
      <c r="I523">
        <v>2021</v>
      </c>
      <c r="J523">
        <v>0</v>
      </c>
      <c r="K523" t="s">
        <v>1406</v>
      </c>
      <c r="M523" t="str">
        <f t="shared" si="615"/>
        <v>Dugan_2021</v>
      </c>
      <c r="N523" t="s">
        <v>222</v>
      </c>
      <c r="O523" s="145" t="s">
        <v>274</v>
      </c>
      <c r="Q523" t="s">
        <v>256</v>
      </c>
      <c r="R523" s="255" t="s">
        <v>225</v>
      </c>
      <c r="S523" s="1" t="s">
        <v>1407</v>
      </c>
      <c r="T523" t="s">
        <v>1110</v>
      </c>
      <c r="U523" t="s">
        <v>1408</v>
      </c>
      <c r="V523">
        <v>0</v>
      </c>
      <c r="W523">
        <v>0</v>
      </c>
      <c r="X523">
        <v>2</v>
      </c>
      <c r="Y523">
        <v>1</v>
      </c>
      <c r="Z523">
        <v>2</v>
      </c>
      <c r="AA523">
        <v>0</v>
      </c>
      <c r="AB523">
        <v>0</v>
      </c>
      <c r="AC523">
        <v>0</v>
      </c>
      <c r="AD523">
        <v>0</v>
      </c>
      <c r="AE523">
        <v>0</v>
      </c>
      <c r="AF523">
        <v>0</v>
      </c>
      <c r="AG523">
        <v>0</v>
      </c>
      <c r="AH523">
        <v>0</v>
      </c>
      <c r="AI523">
        <v>0</v>
      </c>
      <c r="AJ523">
        <v>0</v>
      </c>
      <c r="AK523">
        <v>0</v>
      </c>
      <c r="AL523">
        <v>0</v>
      </c>
      <c r="AM523">
        <v>0</v>
      </c>
      <c r="AN523">
        <v>0</v>
      </c>
      <c r="AO523">
        <v>0</v>
      </c>
      <c r="AP523">
        <v>0</v>
      </c>
      <c r="AQ523">
        <v>0</v>
      </c>
      <c r="AR523">
        <v>0</v>
      </c>
      <c r="AS523">
        <v>0</v>
      </c>
      <c r="AT523">
        <v>0</v>
      </c>
      <c r="AU523">
        <v>0</v>
      </c>
      <c r="AV523">
        <v>0</v>
      </c>
      <c r="AW523">
        <v>0</v>
      </c>
      <c r="AX523" s="141">
        <f t="shared" si="590"/>
        <v>3</v>
      </c>
      <c r="AY523" s="141">
        <f t="shared" si="591"/>
        <v>3</v>
      </c>
      <c r="AZ523">
        <f t="shared" si="592"/>
        <v>3</v>
      </c>
      <c r="BA523">
        <f t="shared" si="593"/>
        <v>0</v>
      </c>
      <c r="BB523">
        <f t="shared" si="594"/>
        <v>0</v>
      </c>
      <c r="BC523">
        <f t="shared" si="595"/>
        <v>0</v>
      </c>
      <c r="BD523">
        <f t="shared" si="596"/>
        <v>0</v>
      </c>
      <c r="BE523" t="str">
        <f t="array" ref="BE523">IF(AY523=1,INDEX($V$7:$AL$7,MATCH(TRUE,INDEX($V523:$AW523&lt;&gt;0,),0)),IF(AY523=0,INDEX($AM$7:$AW$7,MATCH(1,$AM523:$AW523,0)),IF(BF523="Multiple strategies","mixed drivers",IF(BF523="Supply chain","multiple supply","multiple silviculture"))))</f>
        <v>multiple silviculture</v>
      </c>
      <c r="BF523" s="2" t="str" cm="1">
        <f t="array" ref="BF523">IF(COUNTIF(AZ523:BB523,"&lt;&gt;0")=1,INDEX($V$4:$AW$4,MATCH(TRUE,INDEX($V523:$AW523&lt;&gt;0,),0)),IF(COUNTIF(AZ523:BB523,"&lt;&gt;0")=0,INDEX($AM$4:$AW$4,MATCH(1,$AM523:$AW523,0)),"Multiple strategies"))</f>
        <v>Silviculture for removals</v>
      </c>
      <c r="BG523" s="1" t="s">
        <v>321</v>
      </c>
      <c r="BH523" t="s">
        <v>1409</v>
      </c>
      <c r="BI523" s="260" t="s">
        <v>3317</v>
      </c>
      <c r="BJ523" t="s">
        <v>1358</v>
      </c>
      <c r="BK523" s="264">
        <v>14.61</v>
      </c>
      <c r="BL523">
        <f>BK523*1.1</f>
        <v>16.071000000000002</v>
      </c>
      <c r="BN523" s="227">
        <f t="shared" si="616"/>
        <v>1.4610000000000021</v>
      </c>
      <c r="BO523">
        <f>BN523*10^6*tC_to_m3</f>
        <v>6343899.2618324021</v>
      </c>
      <c r="BP523" t="s">
        <v>232</v>
      </c>
      <c r="BQ523" s="260" t="s">
        <v>3318</v>
      </c>
      <c r="BR523" t="s">
        <v>1299</v>
      </c>
      <c r="BS523" s="152"/>
      <c r="BT523" s="152"/>
      <c r="BU523" s="144"/>
      <c r="BV523" s="284">
        <v>7.0674188796483897</v>
      </c>
      <c r="BX523">
        <f t="shared" si="597"/>
        <v>7067418.8796483893</v>
      </c>
      <c r="BY523">
        <f t="shared" si="557"/>
        <v>1.114049670077359</v>
      </c>
      <c r="BZ523">
        <v>0</v>
      </c>
      <c r="CA523">
        <v>0</v>
      </c>
      <c r="CB523">
        <v>0</v>
      </c>
      <c r="CC523">
        <v>0</v>
      </c>
      <c r="CD523">
        <v>0</v>
      </c>
      <c r="CE523">
        <v>0</v>
      </c>
      <c r="CF523">
        <v>0</v>
      </c>
      <c r="CG523">
        <v>0</v>
      </c>
      <c r="CH523">
        <v>0</v>
      </c>
      <c r="CI523">
        <v>0</v>
      </c>
      <c r="CJ523">
        <v>0</v>
      </c>
      <c r="CK523">
        <v>0</v>
      </c>
      <c r="CL523">
        <v>0</v>
      </c>
      <c r="CM523">
        <v>0</v>
      </c>
      <c r="CN523" t="str">
        <f t="shared" si="598"/>
        <v>refOK</v>
      </c>
      <c r="CO523"/>
      <c r="CP523"/>
      <c r="CQ523">
        <f>IF($CN523="refNeedCorrection",-BO523,BO523)</f>
        <v>6343899.2618324021</v>
      </c>
      <c r="CR523">
        <f t="shared" si="600"/>
        <v>0</v>
      </c>
      <c r="CS523">
        <f t="shared" si="601"/>
        <v>0</v>
      </c>
      <c r="CT523">
        <f t="shared" si="602"/>
        <v>7067418.8796483893</v>
      </c>
      <c r="CU523">
        <f t="shared" si="603"/>
        <v>1.114049670077359</v>
      </c>
      <c r="CV523" s="2" t="str">
        <f t="shared" si="604"/>
        <v/>
      </c>
      <c r="CW523" s="1" t="s">
        <v>1198</v>
      </c>
      <c r="CX523" t="str">
        <f t="shared" si="605"/>
        <v>reg</v>
      </c>
      <c r="CY523" t="s">
        <v>428</v>
      </c>
      <c r="CZ523">
        <v>2020</v>
      </c>
      <c r="DA523">
        <v>2050</v>
      </c>
      <c r="DB523">
        <v>30</v>
      </c>
      <c r="DC523" t="str">
        <f t="shared" si="606"/>
        <v>1-30</v>
      </c>
      <c r="DD523">
        <v>0</v>
      </c>
      <c r="DE523">
        <v>1</v>
      </c>
      <c r="DF523">
        <v>1</v>
      </c>
      <c r="DG523">
        <v>1</v>
      </c>
      <c r="DI523">
        <f t="shared" si="607"/>
        <v>3</v>
      </c>
      <c r="DJ523" t="str">
        <f t="shared" si="608"/>
        <v>mixedProduct</v>
      </c>
      <c r="DK523">
        <f t="shared" si="609"/>
        <v>0</v>
      </c>
      <c r="DL523" t="str">
        <f t="shared" si="610"/>
        <v>Energy</v>
      </c>
      <c r="DM523" t="str">
        <f t="shared" si="611"/>
        <v>Pulp/Paper</v>
      </c>
      <c r="DN523" t="str">
        <f t="shared" si="612"/>
        <v>Timber</v>
      </c>
      <c r="DO523">
        <v>0</v>
      </c>
      <c r="DP523">
        <v>1</v>
      </c>
      <c r="DQ523" t="s">
        <v>1410</v>
      </c>
      <c r="DR523" t="s">
        <v>1411</v>
      </c>
      <c r="DS523">
        <v>0</v>
      </c>
      <c r="DT523">
        <f t="shared" si="613"/>
        <v>1</v>
      </c>
      <c r="DU523" s="143" t="str">
        <f t="shared" si="614"/>
        <v>external DF used</v>
      </c>
      <c r="DV523">
        <v>1</v>
      </c>
      <c r="DW523">
        <v>1</v>
      </c>
      <c r="DX523">
        <v>1</v>
      </c>
      <c r="DY523">
        <v>1</v>
      </c>
      <c r="DZ523">
        <v>0</v>
      </c>
      <c r="EA523" s="143">
        <v>0</v>
      </c>
      <c r="EB523">
        <v>0</v>
      </c>
      <c r="EC523">
        <v>0</v>
      </c>
      <c r="ED523">
        <v>0</v>
      </c>
      <c r="EE523">
        <v>0</v>
      </c>
      <c r="EF523">
        <v>1</v>
      </c>
      <c r="EG523" s="143">
        <v>0</v>
      </c>
      <c r="EH523" s="143">
        <v>0</v>
      </c>
      <c r="EI523" s="2">
        <v>0</v>
      </c>
      <c r="EK523" t="str">
        <f t="shared" si="617"/>
        <v/>
      </c>
      <c r="EL523" t="str">
        <f t="shared" si="618"/>
        <v>Ecosystem approach</v>
      </c>
      <c r="EM523" s="2" t="str">
        <f t="shared" si="558"/>
        <v/>
      </c>
      <c r="EP523" t="str">
        <f>IF(ISNUMBER(BU523),IF(ABS(BU523-[5]QC_indicators!$B$2)&gt;3*[5]QC_indicators!$C$2,"C ratio",IF(ISNUMBER(BY523),IF(ABS(BY523-[5]QC_indicators!$B$1)&gt;3*[5]QC_indicators!$C$1,"DF","no"))),IF(ISNUMBER(BY523),IF(ABS(BY523-[5]QC_indicators!$B$1)&gt;3*[5]QC_indicators!$C$1,"DF","no")))</f>
        <v>no</v>
      </c>
      <c r="EQ523" t="s">
        <v>286</v>
      </c>
      <c r="ER523" s="149" t="s">
        <v>349</v>
      </c>
      <c r="ET523" s="264" t="s">
        <v>3272</v>
      </c>
    </row>
    <row r="524" spans="1:150" ht="15" hidden="1" customHeight="1">
      <c r="A524" s="1" t="s">
        <v>1399</v>
      </c>
      <c r="B524" t="s">
        <v>1400</v>
      </c>
      <c r="C524" t="s">
        <v>1401</v>
      </c>
      <c r="D524" t="s">
        <v>1402</v>
      </c>
      <c r="E524" t="s">
        <v>1403</v>
      </c>
      <c r="F524" t="s">
        <v>1404</v>
      </c>
      <c r="G524" t="s">
        <v>1405</v>
      </c>
      <c r="H524" t="s">
        <v>254</v>
      </c>
      <c r="I524">
        <v>2021</v>
      </c>
      <c r="J524">
        <v>0</v>
      </c>
      <c r="K524" t="s">
        <v>1406</v>
      </c>
      <c r="M524" t="str">
        <f t="shared" si="615"/>
        <v>Dugan_2021</v>
      </c>
      <c r="N524" t="s">
        <v>222</v>
      </c>
      <c r="O524" s="145" t="s">
        <v>274</v>
      </c>
      <c r="Q524" t="s">
        <v>256</v>
      </c>
      <c r="R524" s="255" t="s">
        <v>225</v>
      </c>
      <c r="S524" s="1" t="s">
        <v>1407</v>
      </c>
      <c r="T524" t="s">
        <v>1110</v>
      </c>
      <c r="U524" t="s">
        <v>1408</v>
      </c>
      <c r="V524">
        <v>0</v>
      </c>
      <c r="W524">
        <v>0</v>
      </c>
      <c r="X524">
        <v>2</v>
      </c>
      <c r="Y524">
        <v>1</v>
      </c>
      <c r="Z524">
        <v>2</v>
      </c>
      <c r="AA524">
        <v>0</v>
      </c>
      <c r="AB524">
        <v>0</v>
      </c>
      <c r="AC524">
        <v>0</v>
      </c>
      <c r="AD524">
        <v>0</v>
      </c>
      <c r="AE524">
        <v>0</v>
      </c>
      <c r="AF524">
        <v>0</v>
      </c>
      <c r="AG524">
        <v>0</v>
      </c>
      <c r="AH524">
        <v>0</v>
      </c>
      <c r="AI524">
        <v>0</v>
      </c>
      <c r="AJ524">
        <v>0</v>
      </c>
      <c r="AK524">
        <v>0</v>
      </c>
      <c r="AL524">
        <v>0</v>
      </c>
      <c r="AM524">
        <v>0</v>
      </c>
      <c r="AN524">
        <v>0</v>
      </c>
      <c r="AO524">
        <v>0</v>
      </c>
      <c r="AP524">
        <v>0</v>
      </c>
      <c r="AQ524">
        <v>0</v>
      </c>
      <c r="AR524">
        <v>0</v>
      </c>
      <c r="AS524">
        <v>0</v>
      </c>
      <c r="AT524">
        <v>0</v>
      </c>
      <c r="AU524">
        <v>0</v>
      </c>
      <c r="AV524">
        <v>0</v>
      </c>
      <c r="AW524">
        <v>0</v>
      </c>
      <c r="AX524" s="141">
        <f t="shared" si="590"/>
        <v>3</v>
      </c>
      <c r="AY524" s="141">
        <f t="shared" si="591"/>
        <v>3</v>
      </c>
      <c r="AZ524">
        <f t="shared" si="592"/>
        <v>3</v>
      </c>
      <c r="BA524">
        <f t="shared" si="593"/>
        <v>0</v>
      </c>
      <c r="BB524">
        <f t="shared" si="594"/>
        <v>0</v>
      </c>
      <c r="BC524">
        <f t="shared" si="595"/>
        <v>0</v>
      </c>
      <c r="BD524">
        <f t="shared" si="596"/>
        <v>0</v>
      </c>
      <c r="BE524" t="str">
        <f t="array" ref="BE524">IF(AY524=1,INDEX($V$7:$AL$7,MATCH(TRUE,INDEX($V524:$AW524&lt;&gt;0,),0)),IF(AY524=0,INDEX($AM$7:$AW$7,MATCH(1,$AM524:$AW524,0)),IF(BF524="Multiple strategies","mixed drivers",IF(BF524="Supply chain","multiple supply","multiple silviculture"))))</f>
        <v>multiple silviculture</v>
      </c>
      <c r="BF524" s="2" t="str" cm="1">
        <f t="array" ref="BF524">IF(COUNTIF(AZ524:BB524,"&lt;&gt;0")=1,INDEX($V$4:$AW$4,MATCH(TRUE,INDEX($V524:$AW524&lt;&gt;0,),0)),IF(COUNTIF(AZ524:BB524,"&lt;&gt;0")=0,INDEX($AM$4:$AW$4,MATCH(1,$AM524:$AW524,0)),"Multiple strategies"))</f>
        <v>Silviculture for removals</v>
      </c>
      <c r="BG524" s="1" t="s">
        <v>321</v>
      </c>
      <c r="BH524" t="s">
        <v>1409</v>
      </c>
      <c r="BI524" s="260" t="s">
        <v>3317</v>
      </c>
      <c r="BJ524" t="s">
        <v>1358</v>
      </c>
      <c r="BK524" s="264">
        <v>14.61</v>
      </c>
      <c r="BL524">
        <f>BK524*1.1</f>
        <v>16.071000000000002</v>
      </c>
      <c r="BN524" s="227">
        <f t="shared" si="616"/>
        <v>1.4610000000000021</v>
      </c>
      <c r="BO524">
        <f>BN524*10^6*tC_to_m3</f>
        <v>6343899.2618324021</v>
      </c>
      <c r="BP524" t="s">
        <v>232</v>
      </c>
      <c r="BQ524" s="260" t="s">
        <v>3319</v>
      </c>
      <c r="BR524" t="s">
        <v>1299</v>
      </c>
      <c r="BS524" s="152"/>
      <c r="BT524" s="152"/>
      <c r="BU524" s="144"/>
      <c r="BV524" s="284">
        <v>8.3661190387317106</v>
      </c>
      <c r="BX524">
        <f t="shared" si="597"/>
        <v>8366119.038731711</v>
      </c>
      <c r="BY524">
        <f t="shared" si="557"/>
        <v>1.3187660606570226</v>
      </c>
      <c r="BZ524">
        <v>0</v>
      </c>
      <c r="CA524">
        <v>0</v>
      </c>
      <c r="CB524">
        <v>0</v>
      </c>
      <c r="CC524">
        <v>0</v>
      </c>
      <c r="CD524">
        <v>0</v>
      </c>
      <c r="CE524">
        <v>0</v>
      </c>
      <c r="CF524">
        <v>0</v>
      </c>
      <c r="CG524">
        <v>0</v>
      </c>
      <c r="CH524">
        <v>0</v>
      </c>
      <c r="CI524">
        <v>0</v>
      </c>
      <c r="CJ524">
        <v>0</v>
      </c>
      <c r="CK524">
        <v>0</v>
      </c>
      <c r="CL524">
        <v>0</v>
      </c>
      <c r="CM524">
        <v>0</v>
      </c>
      <c r="CN524" t="str">
        <f t="shared" si="598"/>
        <v>refOK</v>
      </c>
      <c r="CO524"/>
      <c r="CP524"/>
      <c r="CQ524">
        <f>IF($CN524="refNeedCorrection",-BO524,BO524)</f>
        <v>6343899.2618324021</v>
      </c>
      <c r="CR524">
        <f t="shared" si="600"/>
        <v>0</v>
      </c>
      <c r="CS524">
        <f t="shared" si="601"/>
        <v>0</v>
      </c>
      <c r="CT524">
        <f t="shared" si="602"/>
        <v>8366119.038731711</v>
      </c>
      <c r="CU524">
        <f t="shared" si="603"/>
        <v>1.3187660606570226</v>
      </c>
      <c r="CV524" s="2" t="str">
        <f t="shared" si="604"/>
        <v/>
      </c>
      <c r="CW524" s="1" t="s">
        <v>1198</v>
      </c>
      <c r="CX524" t="str">
        <f t="shared" si="605"/>
        <v>reg</v>
      </c>
      <c r="CY524" t="s">
        <v>428</v>
      </c>
      <c r="CZ524">
        <v>2020</v>
      </c>
      <c r="DA524">
        <v>2050</v>
      </c>
      <c r="DB524">
        <v>30</v>
      </c>
      <c r="DC524" t="str">
        <f t="shared" si="606"/>
        <v>1-30</v>
      </c>
      <c r="DD524">
        <v>0</v>
      </c>
      <c r="DE524">
        <v>1</v>
      </c>
      <c r="DF524">
        <v>1</v>
      </c>
      <c r="DG524">
        <v>1</v>
      </c>
      <c r="DI524">
        <f t="shared" si="607"/>
        <v>3</v>
      </c>
      <c r="DJ524" t="str">
        <f t="shared" si="608"/>
        <v>mixedProduct</v>
      </c>
      <c r="DK524">
        <f t="shared" si="609"/>
        <v>0</v>
      </c>
      <c r="DL524" t="str">
        <f t="shared" si="610"/>
        <v>Energy</v>
      </c>
      <c r="DM524" t="str">
        <f t="shared" si="611"/>
        <v>Pulp/Paper</v>
      </c>
      <c r="DN524" t="str">
        <f t="shared" si="612"/>
        <v>Timber</v>
      </c>
      <c r="DO524">
        <v>0</v>
      </c>
      <c r="DP524">
        <v>1</v>
      </c>
      <c r="DQ524" t="s">
        <v>1410</v>
      </c>
      <c r="DR524" t="s">
        <v>1411</v>
      </c>
      <c r="DS524">
        <v>0</v>
      </c>
      <c r="DT524">
        <f t="shared" si="613"/>
        <v>1</v>
      </c>
      <c r="DU524" s="143" t="str">
        <f t="shared" si="614"/>
        <v>external DF used</v>
      </c>
      <c r="DV524">
        <v>1</v>
      </c>
      <c r="DW524">
        <v>1</v>
      </c>
      <c r="DX524">
        <v>1</v>
      </c>
      <c r="DY524">
        <v>1</v>
      </c>
      <c r="DZ524">
        <v>0</v>
      </c>
      <c r="EA524" s="143">
        <v>1</v>
      </c>
      <c r="EB524">
        <v>0</v>
      </c>
      <c r="EC524">
        <v>1</v>
      </c>
      <c r="ED524">
        <v>0</v>
      </c>
      <c r="EE524">
        <v>0</v>
      </c>
      <c r="EF524">
        <v>1</v>
      </c>
      <c r="EG524" s="143">
        <v>0</v>
      </c>
      <c r="EH524" s="143">
        <v>0</v>
      </c>
      <c r="EI524" s="2">
        <v>0</v>
      </c>
      <c r="EK524" t="str">
        <f t="shared" si="617"/>
        <v>Whole sector</v>
      </c>
      <c r="EL524" t="str">
        <f t="shared" si="618"/>
        <v/>
      </c>
      <c r="EM524" s="2" t="str">
        <f t="shared" si="558"/>
        <v/>
      </c>
      <c r="EP524" t="str">
        <f>IF(ISNUMBER(BU524),IF(ABS(BU524-[5]QC_indicators!$B$2)&gt;3*[5]QC_indicators!$C$2,"C ratio",IF(ISNUMBER(BY524),IF(ABS(BY524-[5]QC_indicators!$B$1)&gt;3*[5]QC_indicators!$C$1,"DF","no"))),IF(ISNUMBER(BY524),IF(ABS(BY524-[5]QC_indicators!$B$1)&gt;3*[5]QC_indicators!$C$1,"DF","no")))</f>
        <v>no</v>
      </c>
      <c r="EQ524" t="s">
        <v>286</v>
      </c>
      <c r="ER524" s="149" t="s">
        <v>349</v>
      </c>
      <c r="ET524" s="264" t="s">
        <v>3272</v>
      </c>
    </row>
    <row r="525" spans="1:150" ht="15" hidden="1" customHeight="1">
      <c r="A525" s="1" t="s">
        <v>1399</v>
      </c>
      <c r="B525" t="s">
        <v>1400</v>
      </c>
      <c r="C525" t="s">
        <v>1401</v>
      </c>
      <c r="D525" t="s">
        <v>1402</v>
      </c>
      <c r="E525" t="s">
        <v>1403</v>
      </c>
      <c r="F525" t="s">
        <v>1404</v>
      </c>
      <c r="G525" t="s">
        <v>1405</v>
      </c>
      <c r="H525" t="s">
        <v>254</v>
      </c>
      <c r="I525">
        <v>2021</v>
      </c>
      <c r="J525">
        <v>0</v>
      </c>
      <c r="K525" t="s">
        <v>1406</v>
      </c>
      <c r="M525" t="str">
        <f t="shared" si="615"/>
        <v>Dugan_2021</v>
      </c>
      <c r="N525" t="s">
        <v>222</v>
      </c>
      <c r="O525" s="145" t="s">
        <v>274</v>
      </c>
      <c r="Q525" t="s">
        <v>256</v>
      </c>
      <c r="R525" s="255" t="s">
        <v>225</v>
      </c>
      <c r="S525" s="1" t="s">
        <v>1407</v>
      </c>
      <c r="T525" t="s">
        <v>1110</v>
      </c>
      <c r="U525" t="s">
        <v>1408</v>
      </c>
      <c r="V525">
        <v>0</v>
      </c>
      <c r="W525">
        <v>0</v>
      </c>
      <c r="X525">
        <v>2</v>
      </c>
      <c r="Y525">
        <v>1</v>
      </c>
      <c r="Z525">
        <v>2</v>
      </c>
      <c r="AA525">
        <v>0</v>
      </c>
      <c r="AB525">
        <v>0</v>
      </c>
      <c r="AC525">
        <v>0</v>
      </c>
      <c r="AD525">
        <v>0</v>
      </c>
      <c r="AE525">
        <v>0</v>
      </c>
      <c r="AF525">
        <v>0</v>
      </c>
      <c r="AG525">
        <v>0</v>
      </c>
      <c r="AH525">
        <v>0</v>
      </c>
      <c r="AI525">
        <v>0</v>
      </c>
      <c r="AJ525">
        <v>0</v>
      </c>
      <c r="AK525">
        <v>0</v>
      </c>
      <c r="AL525">
        <v>0</v>
      </c>
      <c r="AM525">
        <v>0</v>
      </c>
      <c r="AN525">
        <v>0</v>
      </c>
      <c r="AO525">
        <v>0</v>
      </c>
      <c r="AP525">
        <v>0</v>
      </c>
      <c r="AQ525">
        <v>0</v>
      </c>
      <c r="AR525">
        <v>0</v>
      </c>
      <c r="AS525">
        <v>0</v>
      </c>
      <c r="AT525">
        <v>0</v>
      </c>
      <c r="AU525">
        <v>0</v>
      </c>
      <c r="AV525">
        <v>0</v>
      </c>
      <c r="AW525">
        <v>0</v>
      </c>
      <c r="AX525" s="141">
        <f t="shared" si="590"/>
        <v>3</v>
      </c>
      <c r="AY525" s="141">
        <f t="shared" si="591"/>
        <v>3</v>
      </c>
      <c r="AZ525">
        <f t="shared" si="592"/>
        <v>3</v>
      </c>
      <c r="BA525">
        <f t="shared" si="593"/>
        <v>0</v>
      </c>
      <c r="BB525">
        <f t="shared" si="594"/>
        <v>0</v>
      </c>
      <c r="BC525">
        <f t="shared" si="595"/>
        <v>0</v>
      </c>
      <c r="BD525">
        <f t="shared" si="596"/>
        <v>0</v>
      </c>
      <c r="BE525" t="str">
        <f t="array" ref="BE525">IF(AY525=1,INDEX($V$7:$AL$7,MATCH(TRUE,INDEX($V525:$AW525&lt;&gt;0,),0)),IF(AY525=0,INDEX($AM$7:$AW$7,MATCH(1,$AM525:$AW525,0)),IF(BF525="Multiple strategies","mixed drivers",IF(BF525="Supply chain","multiple supply","multiple silviculture"))))</f>
        <v>multiple silviculture</v>
      </c>
      <c r="BF525" s="2" t="str" cm="1">
        <f t="array" ref="BF525">IF(COUNTIF(AZ525:BB525,"&lt;&gt;0")=1,INDEX($V$4:$AW$4,MATCH(TRUE,INDEX($V525:$AW525&lt;&gt;0,),0)),IF(COUNTIF(AZ525:BB525,"&lt;&gt;0")=0,INDEX($AM$4:$AW$4,MATCH(1,$AM525:$AW525,0)),"Multiple strategies"))</f>
        <v>Silviculture for removals</v>
      </c>
      <c r="BG525" s="1" t="s">
        <v>321</v>
      </c>
      <c r="BH525" t="s">
        <v>1409</v>
      </c>
      <c r="BI525" s="260" t="s">
        <v>3317</v>
      </c>
      <c r="BJ525" t="s">
        <v>1358</v>
      </c>
      <c r="BK525" s="264">
        <v>14.61</v>
      </c>
      <c r="BL525">
        <f>BK525*1.1</f>
        <v>16.071000000000002</v>
      </c>
      <c r="BN525" s="227">
        <f t="shared" si="616"/>
        <v>1.4610000000000021</v>
      </c>
      <c r="BO525">
        <f>BN525*10^6*tC_to_m3</f>
        <v>6343899.2618324021</v>
      </c>
      <c r="BP525" t="s">
        <v>232</v>
      </c>
      <c r="BQ525" s="260" t="s">
        <v>3320</v>
      </c>
      <c r="BR525" t="s">
        <v>1299</v>
      </c>
      <c r="BS525" s="152"/>
      <c r="BT525" s="152"/>
      <c r="BU525" s="144"/>
      <c r="BV525" s="285">
        <v>10.1853675975971</v>
      </c>
      <c r="BX525">
        <f t="shared" si="597"/>
        <v>10185367.5975971</v>
      </c>
      <c r="BY525">
        <f t="shared" si="557"/>
        <v>1.6055374111749545</v>
      </c>
      <c r="BZ525">
        <v>0</v>
      </c>
      <c r="CA525">
        <v>0</v>
      </c>
      <c r="CB525">
        <v>0</v>
      </c>
      <c r="CC525">
        <v>0</v>
      </c>
      <c r="CD525">
        <v>0</v>
      </c>
      <c r="CE525">
        <v>0</v>
      </c>
      <c r="CF525">
        <v>0</v>
      </c>
      <c r="CG525">
        <v>0</v>
      </c>
      <c r="CH525">
        <v>0</v>
      </c>
      <c r="CI525">
        <v>0</v>
      </c>
      <c r="CJ525">
        <v>0</v>
      </c>
      <c r="CK525">
        <v>0</v>
      </c>
      <c r="CL525">
        <v>0</v>
      </c>
      <c r="CM525">
        <v>0</v>
      </c>
      <c r="CN525" t="str">
        <f t="shared" si="598"/>
        <v>refOK</v>
      </c>
      <c r="CO525"/>
      <c r="CP525"/>
      <c r="CQ525">
        <f>IF($CN525="refNeedCorrection",-BO525,BO525)</f>
        <v>6343899.2618324021</v>
      </c>
      <c r="CR525">
        <f t="shared" si="600"/>
        <v>0</v>
      </c>
      <c r="CS525">
        <f t="shared" si="601"/>
        <v>0</v>
      </c>
      <c r="CT525">
        <f t="shared" si="602"/>
        <v>10185367.5975971</v>
      </c>
      <c r="CU525">
        <f t="shared" si="603"/>
        <v>1.6055374111749545</v>
      </c>
      <c r="CV525" s="2" t="str">
        <f t="shared" si="604"/>
        <v/>
      </c>
      <c r="CW525" s="1" t="s">
        <v>1198</v>
      </c>
      <c r="CX525" t="str">
        <f t="shared" si="605"/>
        <v>reg</v>
      </c>
      <c r="CY525" t="s">
        <v>428</v>
      </c>
      <c r="CZ525">
        <v>2020</v>
      </c>
      <c r="DA525">
        <v>2050</v>
      </c>
      <c r="DB525">
        <v>30</v>
      </c>
      <c r="DC525" t="str">
        <f t="shared" si="606"/>
        <v>1-30</v>
      </c>
      <c r="DD525">
        <v>0</v>
      </c>
      <c r="DE525">
        <v>1</v>
      </c>
      <c r="DF525">
        <v>1</v>
      </c>
      <c r="DG525">
        <v>1</v>
      </c>
      <c r="DI525">
        <f t="shared" si="607"/>
        <v>3</v>
      </c>
      <c r="DJ525" t="str">
        <f t="shared" si="608"/>
        <v>mixedProduct</v>
      </c>
      <c r="DK525">
        <f t="shared" si="609"/>
        <v>0</v>
      </c>
      <c r="DL525" t="str">
        <f t="shared" si="610"/>
        <v>Energy</v>
      </c>
      <c r="DM525" t="str">
        <f t="shared" si="611"/>
        <v>Pulp/Paper</v>
      </c>
      <c r="DN525" t="str">
        <f t="shared" si="612"/>
        <v>Timber</v>
      </c>
      <c r="DO525">
        <v>0</v>
      </c>
      <c r="DP525">
        <v>1</v>
      </c>
      <c r="DQ525" t="s">
        <v>1410</v>
      </c>
      <c r="DR525" t="s">
        <v>1411</v>
      </c>
      <c r="DS525">
        <v>0</v>
      </c>
      <c r="DT525">
        <f t="shared" si="613"/>
        <v>1</v>
      </c>
      <c r="DU525" s="143" t="str">
        <f t="shared" si="614"/>
        <v>external DF used</v>
      </c>
      <c r="DV525">
        <v>1</v>
      </c>
      <c r="DW525">
        <v>1</v>
      </c>
      <c r="DX525">
        <v>1</v>
      </c>
      <c r="DY525">
        <v>0</v>
      </c>
      <c r="DZ525">
        <v>0</v>
      </c>
      <c r="EA525" s="143">
        <v>0</v>
      </c>
      <c r="EB525">
        <v>0</v>
      </c>
      <c r="EC525">
        <v>0</v>
      </c>
      <c r="ED525">
        <v>0</v>
      </c>
      <c r="EE525">
        <v>0</v>
      </c>
      <c r="EF525">
        <v>1</v>
      </c>
      <c r="EG525" s="143">
        <v>0</v>
      </c>
      <c r="EH525" s="143">
        <v>0</v>
      </c>
      <c r="EI525" s="2">
        <v>0</v>
      </c>
      <c r="EK525" t="str">
        <f t="shared" si="617"/>
        <v/>
      </c>
      <c r="EL525" t="str">
        <f t="shared" si="618"/>
        <v>Ecosystem approach</v>
      </c>
      <c r="EM525" s="2" t="str">
        <f t="shared" si="558"/>
        <v/>
      </c>
      <c r="EP525" t="str">
        <f>IF(ISNUMBER(BU525),IF(ABS(BU525-[5]QC_indicators!$B$2)&gt;3*[5]QC_indicators!$C$2,"C ratio",IF(ISNUMBER(BY525),IF(ABS(BY525-[5]QC_indicators!$B$1)&gt;3*[5]QC_indicators!$C$1,"DF","no"))),IF(ISNUMBER(BY525),IF(ABS(BY525-[5]QC_indicators!$B$1)&gt;3*[5]QC_indicators!$C$1,"DF","no")))</f>
        <v>no</v>
      </c>
      <c r="EQ525" t="s">
        <v>286</v>
      </c>
      <c r="ER525" s="149" t="s">
        <v>349</v>
      </c>
      <c r="ET525" s="264" t="s">
        <v>3272</v>
      </c>
    </row>
    <row r="526" spans="1:150" ht="15" hidden="1" customHeight="1">
      <c r="A526" s="1" t="s">
        <v>1399</v>
      </c>
      <c r="B526" t="s">
        <v>1400</v>
      </c>
      <c r="C526" t="s">
        <v>1401</v>
      </c>
      <c r="D526" t="s">
        <v>1402</v>
      </c>
      <c r="E526" t="s">
        <v>1403</v>
      </c>
      <c r="F526" t="s">
        <v>1404</v>
      </c>
      <c r="G526" t="s">
        <v>1405</v>
      </c>
      <c r="H526" t="s">
        <v>254</v>
      </c>
      <c r="I526">
        <v>2021</v>
      </c>
      <c r="J526">
        <v>0</v>
      </c>
      <c r="K526" t="s">
        <v>1406</v>
      </c>
      <c r="M526" t="str">
        <f t="shared" si="615"/>
        <v>Dugan_2021</v>
      </c>
      <c r="N526" t="s">
        <v>222</v>
      </c>
      <c r="O526" s="145" t="s">
        <v>274</v>
      </c>
      <c r="Q526" t="s">
        <v>256</v>
      </c>
      <c r="R526" s="255" t="s">
        <v>225</v>
      </c>
      <c r="S526" s="1" t="s">
        <v>1414</v>
      </c>
      <c r="T526" t="s">
        <v>1110</v>
      </c>
      <c r="U526" t="s">
        <v>1415</v>
      </c>
      <c r="V526">
        <v>0</v>
      </c>
      <c r="W526">
        <v>0</v>
      </c>
      <c r="X526">
        <v>0</v>
      </c>
      <c r="Y526">
        <v>0</v>
      </c>
      <c r="Z526">
        <v>1</v>
      </c>
      <c r="AA526">
        <v>0</v>
      </c>
      <c r="AB526">
        <v>0</v>
      </c>
      <c r="AC526">
        <v>0</v>
      </c>
      <c r="AD526">
        <v>0</v>
      </c>
      <c r="AE526">
        <v>0</v>
      </c>
      <c r="AF526">
        <v>0</v>
      </c>
      <c r="AG526">
        <v>0</v>
      </c>
      <c r="AH526">
        <v>0</v>
      </c>
      <c r="AI526">
        <v>0</v>
      </c>
      <c r="AJ526">
        <v>0</v>
      </c>
      <c r="AK526">
        <v>0</v>
      </c>
      <c r="AL526">
        <v>0</v>
      </c>
      <c r="AM526">
        <v>0</v>
      </c>
      <c r="AN526">
        <v>0</v>
      </c>
      <c r="AO526">
        <v>0</v>
      </c>
      <c r="AP526">
        <v>0</v>
      </c>
      <c r="AQ526">
        <v>0</v>
      </c>
      <c r="AR526">
        <v>0</v>
      </c>
      <c r="AS526">
        <v>0</v>
      </c>
      <c r="AT526">
        <v>0</v>
      </c>
      <c r="AU526">
        <v>0</v>
      </c>
      <c r="AV526">
        <v>0</v>
      </c>
      <c r="AW526">
        <v>0</v>
      </c>
      <c r="AX526" s="141">
        <f t="shared" si="590"/>
        <v>1</v>
      </c>
      <c r="AY526" s="141">
        <f t="shared" si="591"/>
        <v>1</v>
      </c>
      <c r="AZ526">
        <f t="shared" si="592"/>
        <v>1</v>
      </c>
      <c r="BA526">
        <f t="shared" si="593"/>
        <v>0</v>
      </c>
      <c r="BB526">
        <f t="shared" si="594"/>
        <v>0</v>
      </c>
      <c r="BC526">
        <f t="shared" si="595"/>
        <v>0</v>
      </c>
      <c r="BD526">
        <f t="shared" si="596"/>
        <v>0</v>
      </c>
      <c r="BE526" t="str">
        <f t="array" ref="BE526">IF(AY526=1,INDEX($V$7:$AL$7,MATCH(TRUE,INDEX($V526:$AW526&lt;&gt;0,),0)),IF(AY526=0,INDEX($AM$7:$AW$7,MATCH(1,$AM526:$AW526,0)),IF(BF526="Multiple strategies","mixed drivers",IF(BF526="Supply chain","multiple supply","multiple silviculture"))))</f>
        <v>species</v>
      </c>
      <c r="BF526" s="2" t="str" cm="1">
        <f t="array" ref="BF526">IF(COUNTIF(AZ526:BB526,"&lt;&gt;0")=1,INDEX($V$4:$AW$4,MATCH(TRUE,INDEX($V526:$AW526&lt;&gt;0,),0)),IF(COUNTIF(AZ526:BB526,"&lt;&gt;0")=0,INDEX($AM$4:$AW$4,MATCH(1,$AM526:$AW526,0)),"Multiple strategies"))</f>
        <v>Silviculture for productivity</v>
      </c>
      <c r="BG526" s="1" t="s">
        <v>321</v>
      </c>
      <c r="BH526" t="s">
        <v>1409</v>
      </c>
      <c r="BI526" s="260" t="s">
        <v>3317</v>
      </c>
      <c r="BJ526" t="s">
        <v>1358</v>
      </c>
      <c r="BK526" s="264">
        <v>14.61</v>
      </c>
      <c r="BL526">
        <f>BK526*1.15</f>
        <v>16.801499999999997</v>
      </c>
      <c r="BN526" s="227">
        <f t="shared" si="616"/>
        <v>2.1914999999999978</v>
      </c>
      <c r="BO526">
        <f>BN526*tC_to_m3*10^6</f>
        <v>9515848.8927485794</v>
      </c>
      <c r="BP526" t="s">
        <v>232</v>
      </c>
      <c r="BQ526" s="260" t="s">
        <v>3318</v>
      </c>
      <c r="BR526" t="s">
        <v>1299</v>
      </c>
      <c r="BS526" s="152"/>
      <c r="BT526" s="152"/>
      <c r="BU526" s="144"/>
      <c r="BV526" s="284">
        <v>1.4453648692510599</v>
      </c>
      <c r="BX526">
        <f t="shared" si="597"/>
        <v>1445364.8692510598</v>
      </c>
      <c r="BY526">
        <f t="shared" si="557"/>
        <v>0.15189027122451262</v>
      </c>
      <c r="BZ526">
        <v>0</v>
      </c>
      <c r="CA526">
        <v>0</v>
      </c>
      <c r="CB526">
        <v>0</v>
      </c>
      <c r="CC526">
        <v>0</v>
      </c>
      <c r="CD526">
        <v>0</v>
      </c>
      <c r="CE526">
        <v>0</v>
      </c>
      <c r="CF526">
        <v>0</v>
      </c>
      <c r="CG526">
        <v>0</v>
      </c>
      <c r="CH526">
        <v>0</v>
      </c>
      <c r="CI526">
        <v>0</v>
      </c>
      <c r="CJ526">
        <v>0</v>
      </c>
      <c r="CK526">
        <v>0</v>
      </c>
      <c r="CL526">
        <v>0</v>
      </c>
      <c r="CM526">
        <v>0</v>
      </c>
      <c r="CN526" t="str">
        <f t="shared" si="598"/>
        <v>refOK</v>
      </c>
      <c r="CO526"/>
      <c r="CP526"/>
      <c r="CQ526"/>
      <c r="CR526">
        <f t="shared" si="600"/>
        <v>0</v>
      </c>
      <c r="CS526">
        <f t="shared" si="601"/>
        <v>0</v>
      </c>
      <c r="CT526">
        <f t="shared" si="602"/>
        <v>1445364.8692510598</v>
      </c>
      <c r="CU526" t="str">
        <f t="shared" si="603"/>
        <v/>
      </c>
      <c r="CV526" s="2" t="str">
        <f t="shared" si="604"/>
        <v/>
      </c>
      <c r="CW526" s="1" t="s">
        <v>1198</v>
      </c>
      <c r="CX526" t="str">
        <f t="shared" si="605"/>
        <v>reg</v>
      </c>
      <c r="CY526" t="s">
        <v>428</v>
      </c>
      <c r="CZ526">
        <v>2020</v>
      </c>
      <c r="DA526">
        <v>2050</v>
      </c>
      <c r="DB526">
        <v>30</v>
      </c>
      <c r="DC526" t="str">
        <f t="shared" si="606"/>
        <v>1-30</v>
      </c>
      <c r="DD526">
        <v>0</v>
      </c>
      <c r="DE526">
        <v>1</v>
      </c>
      <c r="DF526">
        <v>1</v>
      </c>
      <c r="DG526">
        <v>1</v>
      </c>
      <c r="DI526">
        <f t="shared" si="607"/>
        <v>3</v>
      </c>
      <c r="DJ526" t="str">
        <f t="shared" si="608"/>
        <v>mixedProduct</v>
      </c>
      <c r="DK526">
        <f t="shared" si="609"/>
        <v>0</v>
      </c>
      <c r="DL526" t="str">
        <f t="shared" si="610"/>
        <v>Energy</v>
      </c>
      <c r="DM526" t="str">
        <f t="shared" si="611"/>
        <v>Pulp/Paper</v>
      </c>
      <c r="DN526" t="str">
        <f t="shared" si="612"/>
        <v>Timber</v>
      </c>
      <c r="DO526">
        <v>0</v>
      </c>
      <c r="DP526">
        <v>1</v>
      </c>
      <c r="DQ526" t="s">
        <v>1410</v>
      </c>
      <c r="DR526" t="s">
        <v>1411</v>
      </c>
      <c r="DS526">
        <v>0</v>
      </c>
      <c r="DT526">
        <f t="shared" si="613"/>
        <v>1</v>
      </c>
      <c r="DU526" s="143" t="str">
        <f t="shared" si="614"/>
        <v>external DF used</v>
      </c>
      <c r="DV526">
        <v>1</v>
      </c>
      <c r="DW526">
        <v>1</v>
      </c>
      <c r="DX526">
        <v>1</v>
      </c>
      <c r="DY526">
        <v>1</v>
      </c>
      <c r="DZ526">
        <v>0</v>
      </c>
      <c r="EA526" s="143">
        <v>0</v>
      </c>
      <c r="EB526">
        <v>0</v>
      </c>
      <c r="EC526">
        <v>0</v>
      </c>
      <c r="ED526">
        <v>0</v>
      </c>
      <c r="EE526">
        <v>0</v>
      </c>
      <c r="EF526">
        <v>1</v>
      </c>
      <c r="EG526" s="143">
        <v>0</v>
      </c>
      <c r="EH526" s="143">
        <v>0</v>
      </c>
      <c r="EI526" s="2">
        <v>0</v>
      </c>
      <c r="EK526" t="str">
        <f t="shared" si="617"/>
        <v/>
      </c>
      <c r="EL526" t="str">
        <f t="shared" si="618"/>
        <v>Ecosystem approach</v>
      </c>
      <c r="EM526" s="2" t="str">
        <f t="shared" si="558"/>
        <v/>
      </c>
      <c r="EP526" t="str">
        <f>IF(ISNUMBER(BU526),IF(ABS(BU526-[5]QC_indicators!$B$2)&gt;3*[5]QC_indicators!$C$2,"C ratio",IF(ISNUMBER(BY526),IF(ABS(BY526-[5]QC_indicators!$B$1)&gt;3*[5]QC_indicators!$C$1,"DF","no"))),IF(ISNUMBER(BY526),IF(ABS(BY526-[5]QC_indicators!$B$1)&gt;3*[5]QC_indicators!$C$1,"DF","no")))</f>
        <v>no</v>
      </c>
      <c r="EQ526" t="s">
        <v>286</v>
      </c>
      <c r="ER526" s="149" t="s">
        <v>349</v>
      </c>
      <c r="ET526" s="264" t="s">
        <v>3272</v>
      </c>
    </row>
    <row r="527" spans="1:150" ht="15" hidden="1" customHeight="1">
      <c r="A527" s="1" t="s">
        <v>1399</v>
      </c>
      <c r="B527" t="s">
        <v>1400</v>
      </c>
      <c r="C527" t="s">
        <v>1401</v>
      </c>
      <c r="D527" t="s">
        <v>1402</v>
      </c>
      <c r="E527" t="s">
        <v>1403</v>
      </c>
      <c r="F527" t="s">
        <v>1404</v>
      </c>
      <c r="G527" t="s">
        <v>1405</v>
      </c>
      <c r="H527" t="s">
        <v>254</v>
      </c>
      <c r="I527">
        <v>2021</v>
      </c>
      <c r="J527">
        <v>0</v>
      </c>
      <c r="K527" t="s">
        <v>1406</v>
      </c>
      <c r="M527" t="str">
        <f t="shared" si="615"/>
        <v>Dugan_2021</v>
      </c>
      <c r="N527" t="s">
        <v>222</v>
      </c>
      <c r="O527" s="145" t="s">
        <v>274</v>
      </c>
      <c r="Q527" t="s">
        <v>256</v>
      </c>
      <c r="R527" s="255" t="s">
        <v>225</v>
      </c>
      <c r="S527" s="1" t="s">
        <v>1414</v>
      </c>
      <c r="T527" t="s">
        <v>1110</v>
      </c>
      <c r="U527" t="s">
        <v>1415</v>
      </c>
      <c r="V527">
        <v>0</v>
      </c>
      <c r="W527">
        <v>0</v>
      </c>
      <c r="X527">
        <v>0</v>
      </c>
      <c r="Y527">
        <v>0</v>
      </c>
      <c r="Z527">
        <v>1</v>
      </c>
      <c r="AA527">
        <v>0</v>
      </c>
      <c r="AB527">
        <v>0</v>
      </c>
      <c r="AC527">
        <v>0</v>
      </c>
      <c r="AD527">
        <v>0</v>
      </c>
      <c r="AE527">
        <v>0</v>
      </c>
      <c r="AF527">
        <v>0</v>
      </c>
      <c r="AG527">
        <v>0</v>
      </c>
      <c r="AH527">
        <v>0</v>
      </c>
      <c r="AI527">
        <v>0</v>
      </c>
      <c r="AJ527">
        <v>0</v>
      </c>
      <c r="AK527">
        <v>0</v>
      </c>
      <c r="AL527">
        <v>0</v>
      </c>
      <c r="AM527">
        <v>0</v>
      </c>
      <c r="AN527">
        <v>0</v>
      </c>
      <c r="AO527">
        <v>0</v>
      </c>
      <c r="AP527">
        <v>0</v>
      </c>
      <c r="AQ527">
        <v>0</v>
      </c>
      <c r="AR527">
        <v>0</v>
      </c>
      <c r="AS527">
        <v>0</v>
      </c>
      <c r="AT527">
        <v>0</v>
      </c>
      <c r="AU527">
        <v>0</v>
      </c>
      <c r="AV527">
        <v>0</v>
      </c>
      <c r="AW527">
        <v>0</v>
      </c>
      <c r="AX527" s="141">
        <f t="shared" si="590"/>
        <v>1</v>
      </c>
      <c r="AY527" s="141">
        <f t="shared" si="591"/>
        <v>1</v>
      </c>
      <c r="AZ527">
        <f t="shared" si="592"/>
        <v>1</v>
      </c>
      <c r="BA527">
        <f t="shared" si="593"/>
        <v>0</v>
      </c>
      <c r="BB527">
        <f t="shared" si="594"/>
        <v>0</v>
      </c>
      <c r="BC527">
        <f t="shared" si="595"/>
        <v>0</v>
      </c>
      <c r="BD527">
        <f t="shared" si="596"/>
        <v>0</v>
      </c>
      <c r="BE527" t="str">
        <f t="array" ref="BE527">IF(AY527=1,INDEX($V$7:$AL$7,MATCH(TRUE,INDEX($V527:$AW527&lt;&gt;0,),0)),IF(AY527=0,INDEX($AM$7:$AW$7,MATCH(1,$AM527:$AW527,0)),IF(BF527="Multiple strategies","mixed drivers",IF(BF527="Supply chain","multiple supply","multiple silviculture"))))</f>
        <v>species</v>
      </c>
      <c r="BF527" s="2" t="str" cm="1">
        <f t="array" ref="BF527">IF(COUNTIF(AZ527:BB527,"&lt;&gt;0")=1,INDEX($V$4:$AW$4,MATCH(TRUE,INDEX($V527:$AW527&lt;&gt;0,),0)),IF(COUNTIF(AZ527:BB527,"&lt;&gt;0")=0,INDEX($AM$4:$AW$4,MATCH(1,$AM527:$AW527,0)),"Multiple strategies"))</f>
        <v>Silviculture for productivity</v>
      </c>
      <c r="BG527" s="1" t="s">
        <v>321</v>
      </c>
      <c r="BH527" t="s">
        <v>1409</v>
      </c>
      <c r="BI527" s="260" t="s">
        <v>3317</v>
      </c>
      <c r="BJ527" t="s">
        <v>1358</v>
      </c>
      <c r="BK527" s="264">
        <v>14.61</v>
      </c>
      <c r="BL527">
        <f>BK527*1.15</f>
        <v>16.801499999999997</v>
      </c>
      <c r="BN527" s="227">
        <f t="shared" si="616"/>
        <v>2.1914999999999978</v>
      </c>
      <c r="BO527">
        <f>BN527*tC_to_m3*10^6</f>
        <v>9515848.8927485794</v>
      </c>
      <c r="BP527" t="s">
        <v>232</v>
      </c>
      <c r="BQ527" s="260" t="s">
        <v>3318</v>
      </c>
      <c r="BR527" t="s">
        <v>1299</v>
      </c>
      <c r="BS527" s="152"/>
      <c r="BT527" s="152"/>
      <c r="BU527" s="144"/>
      <c r="BV527" s="141">
        <v>1.4453648692510599</v>
      </c>
      <c r="BX527">
        <f t="shared" si="597"/>
        <v>1445364.8692510598</v>
      </c>
      <c r="BY527">
        <f t="shared" si="557"/>
        <v>0.15189027122451262</v>
      </c>
      <c r="BZ527">
        <v>0</v>
      </c>
      <c r="CA527">
        <v>0</v>
      </c>
      <c r="CB527">
        <v>0</v>
      </c>
      <c r="CC527">
        <v>0</v>
      </c>
      <c r="CD527">
        <v>0</v>
      </c>
      <c r="CE527">
        <v>0</v>
      </c>
      <c r="CF527">
        <v>0</v>
      </c>
      <c r="CG527">
        <v>0</v>
      </c>
      <c r="CH527">
        <v>0</v>
      </c>
      <c r="CI527">
        <v>0</v>
      </c>
      <c r="CJ527">
        <v>0</v>
      </c>
      <c r="CK527">
        <v>0</v>
      </c>
      <c r="CL527">
        <v>0</v>
      </c>
      <c r="CM527">
        <v>0</v>
      </c>
      <c r="CN527" t="str">
        <f t="shared" si="598"/>
        <v>refOK</v>
      </c>
      <c r="CO527"/>
      <c r="CP527"/>
      <c r="CQ527"/>
      <c r="CR527">
        <f t="shared" si="600"/>
        <v>0</v>
      </c>
      <c r="CS527">
        <f t="shared" si="601"/>
        <v>0</v>
      </c>
      <c r="CT527">
        <f t="shared" si="602"/>
        <v>1445364.8692510598</v>
      </c>
      <c r="CU527" t="str">
        <f t="shared" si="603"/>
        <v/>
      </c>
      <c r="CV527" s="2" t="str">
        <f t="shared" si="604"/>
        <v/>
      </c>
      <c r="CW527" s="1" t="s">
        <v>1198</v>
      </c>
      <c r="CX527" t="str">
        <f t="shared" si="605"/>
        <v>reg</v>
      </c>
      <c r="CY527" t="s">
        <v>428</v>
      </c>
      <c r="CZ527">
        <v>2020</v>
      </c>
      <c r="DA527">
        <v>2050</v>
      </c>
      <c r="DB527">
        <v>30</v>
      </c>
      <c r="DC527" t="str">
        <f t="shared" si="606"/>
        <v>1-30</v>
      </c>
      <c r="DD527">
        <v>0</v>
      </c>
      <c r="DE527">
        <v>1</v>
      </c>
      <c r="DF527">
        <v>1</v>
      </c>
      <c r="DG527">
        <v>1</v>
      </c>
      <c r="DI527">
        <f t="shared" si="607"/>
        <v>3</v>
      </c>
      <c r="DJ527" t="str">
        <f t="shared" si="608"/>
        <v>mixedProduct</v>
      </c>
      <c r="DK527">
        <f t="shared" si="609"/>
        <v>0</v>
      </c>
      <c r="DL527" t="str">
        <f t="shared" si="610"/>
        <v>Energy</v>
      </c>
      <c r="DM527" t="str">
        <f t="shared" si="611"/>
        <v>Pulp/Paper</v>
      </c>
      <c r="DN527" t="str">
        <f t="shared" si="612"/>
        <v>Timber</v>
      </c>
      <c r="DO527">
        <v>0</v>
      </c>
      <c r="DP527">
        <v>1</v>
      </c>
      <c r="DQ527" t="s">
        <v>1410</v>
      </c>
      <c r="DR527" t="s">
        <v>1411</v>
      </c>
      <c r="DS527">
        <v>0</v>
      </c>
      <c r="DT527">
        <f t="shared" si="613"/>
        <v>1</v>
      </c>
      <c r="DU527" s="143" t="str">
        <f t="shared" si="614"/>
        <v>external DF used</v>
      </c>
      <c r="DV527">
        <v>1</v>
      </c>
      <c r="DW527">
        <v>1</v>
      </c>
      <c r="DX527">
        <v>1</v>
      </c>
      <c r="DY527">
        <v>0</v>
      </c>
      <c r="DZ527">
        <v>0</v>
      </c>
      <c r="EA527" s="143">
        <v>0</v>
      </c>
      <c r="EB527">
        <v>0</v>
      </c>
      <c r="EC527">
        <v>0</v>
      </c>
      <c r="ED527">
        <v>0</v>
      </c>
      <c r="EE527">
        <v>0</v>
      </c>
      <c r="EF527">
        <v>1</v>
      </c>
      <c r="EG527" s="143">
        <v>0</v>
      </c>
      <c r="EH527" s="143">
        <v>0</v>
      </c>
      <c r="EI527" s="2">
        <v>0</v>
      </c>
      <c r="EK527" t="str">
        <f t="shared" si="617"/>
        <v/>
      </c>
      <c r="EL527" t="str">
        <f t="shared" si="618"/>
        <v>Ecosystem approach</v>
      </c>
      <c r="EM527" s="2" t="str">
        <f t="shared" si="558"/>
        <v/>
      </c>
      <c r="EP527" t="str">
        <f>IF(ISNUMBER(BU527),IF(ABS(BU527-[5]QC_indicators!$B$2)&gt;3*[5]QC_indicators!$C$2,"C ratio",IF(ISNUMBER(BY527),IF(ABS(BY527-[5]QC_indicators!$B$1)&gt;3*[5]QC_indicators!$C$1,"DF","no"))),IF(ISNUMBER(BY527),IF(ABS(BY527-[5]QC_indicators!$B$1)&gt;3*[5]QC_indicators!$C$1,"DF","no")))</f>
        <v>no</v>
      </c>
      <c r="EQ527" t="s">
        <v>286</v>
      </c>
      <c r="ER527" s="149" t="s">
        <v>349</v>
      </c>
      <c r="ET527" s="264" t="s">
        <v>3272</v>
      </c>
    </row>
    <row r="528" spans="1:150" ht="15" hidden="1" customHeight="1">
      <c r="A528" s="1" t="s">
        <v>1399</v>
      </c>
      <c r="B528" t="s">
        <v>1400</v>
      </c>
      <c r="C528" t="s">
        <v>1401</v>
      </c>
      <c r="D528" t="s">
        <v>1402</v>
      </c>
      <c r="E528" t="s">
        <v>1403</v>
      </c>
      <c r="F528" t="s">
        <v>1404</v>
      </c>
      <c r="G528" t="s">
        <v>1405</v>
      </c>
      <c r="H528" t="s">
        <v>254</v>
      </c>
      <c r="I528">
        <v>2021</v>
      </c>
      <c r="J528">
        <v>0</v>
      </c>
      <c r="K528" t="s">
        <v>1406</v>
      </c>
      <c r="M528" t="str">
        <f t="shared" si="615"/>
        <v>Dugan_2021</v>
      </c>
      <c r="N528" t="s">
        <v>222</v>
      </c>
      <c r="O528" s="145" t="s">
        <v>274</v>
      </c>
      <c r="Q528" t="s">
        <v>256</v>
      </c>
      <c r="R528" s="255" t="s">
        <v>225</v>
      </c>
      <c r="S528" s="1" t="s">
        <v>1418</v>
      </c>
      <c r="T528" t="s">
        <v>1110</v>
      </c>
      <c r="U528" t="s">
        <v>1419</v>
      </c>
      <c r="V528">
        <v>0</v>
      </c>
      <c r="W528">
        <v>0</v>
      </c>
      <c r="X528">
        <v>0</v>
      </c>
      <c r="Y528">
        <v>1</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s="141">
        <f t="shared" si="590"/>
        <v>1</v>
      </c>
      <c r="AY528" s="141">
        <f t="shared" si="591"/>
        <v>1</v>
      </c>
      <c r="AZ528">
        <f t="shared" si="592"/>
        <v>1</v>
      </c>
      <c r="BA528">
        <f t="shared" si="593"/>
        <v>0</v>
      </c>
      <c r="BB528">
        <f t="shared" si="594"/>
        <v>0</v>
      </c>
      <c r="BC528">
        <f t="shared" si="595"/>
        <v>0</v>
      </c>
      <c r="BD528">
        <f t="shared" si="596"/>
        <v>0</v>
      </c>
      <c r="BE528" t="str">
        <f t="array" ref="BE528">IF(AY528=1,INDEX($V$7:$AL$7,MATCH(TRUE,INDEX($V528:$AW528&lt;&gt;0,),0)),IF(AY528=0,INDEX($AM$7:$AW$7,MATCH(1,$AM528:$AW528,0)),IF(BF528="Multiple strategies","mixed drivers",IF(BF528="Supply chain","multiple supply","multiple silviculture"))))</f>
        <v xml:space="preserve">cutting intensity </v>
      </c>
      <c r="BF528" s="2" t="str" cm="1">
        <f t="array" ref="BF528">IF(COUNTIF(AZ528:BB528,"&lt;&gt;0")=1,INDEX($V$4:$AW$4,MATCH(TRUE,INDEX($V528:$AW528&lt;&gt;0,),0)),IF(COUNTIF(AZ528:BB528,"&lt;&gt;0")=0,INDEX($AM$4:$AW$4,MATCH(1,$AM528:$AW528,0)),"Multiple strategies"))</f>
        <v>Silviculture for removals</v>
      </c>
      <c r="BG528" s="1" t="s">
        <v>321</v>
      </c>
      <c r="BH528" t="s">
        <v>1409</v>
      </c>
      <c r="BI528" s="260" t="s">
        <v>3317</v>
      </c>
      <c r="BJ528" t="s">
        <v>1358</v>
      </c>
      <c r="BK528" s="264">
        <v>14.61</v>
      </c>
      <c r="BL528" s="264">
        <v>14.61</v>
      </c>
      <c r="BN528" s="227">
        <f t="shared" si="616"/>
        <v>0</v>
      </c>
      <c r="BO528">
        <f t="shared" ref="BO528:BO539" si="619">BN528*10^6*tC_to_m3</f>
        <v>0</v>
      </c>
      <c r="BP528" t="s">
        <v>232</v>
      </c>
      <c r="BQ528" s="260" t="s">
        <v>3319</v>
      </c>
      <c r="BR528" t="s">
        <v>1299</v>
      </c>
      <c r="BS528" s="152"/>
      <c r="BT528" s="152"/>
      <c r="BU528" s="144"/>
      <c r="BV528" s="284">
        <v>3.9411937334774052</v>
      </c>
      <c r="BX528">
        <f t="shared" si="597"/>
        <v>3941193.7334774053</v>
      </c>
      <c r="BY528" t="str">
        <f t="shared" si="557"/>
        <v/>
      </c>
      <c r="BZ528">
        <v>0</v>
      </c>
      <c r="CA528">
        <v>0</v>
      </c>
      <c r="CB528">
        <v>0</v>
      </c>
      <c r="CC528">
        <v>0</v>
      </c>
      <c r="CD528">
        <v>0</v>
      </c>
      <c r="CE528">
        <v>0</v>
      </c>
      <c r="CF528">
        <v>0</v>
      </c>
      <c r="CG528">
        <v>0</v>
      </c>
      <c r="CH528">
        <v>0</v>
      </c>
      <c r="CI528">
        <v>0</v>
      </c>
      <c r="CJ528">
        <v>0</v>
      </c>
      <c r="CK528">
        <v>0</v>
      </c>
      <c r="CL528">
        <v>0</v>
      </c>
      <c r="CM528">
        <v>0</v>
      </c>
      <c r="CN528" t="str">
        <f t="shared" si="598"/>
        <v>refOK</v>
      </c>
      <c r="CO528"/>
      <c r="CP528"/>
      <c r="CQ528">
        <f t="shared" ref="CQ528:CQ539" si="620">IF($CN528="refNeedCorrection",-BO528,BO528)</f>
        <v>0</v>
      </c>
      <c r="CR528">
        <f t="shared" si="600"/>
        <v>0</v>
      </c>
      <c r="CS528">
        <f t="shared" si="601"/>
        <v>0</v>
      </c>
      <c r="CT528">
        <f t="shared" si="602"/>
        <v>3941193.7334774053</v>
      </c>
      <c r="CU528" t="str">
        <f t="shared" si="603"/>
        <v/>
      </c>
      <c r="CV528" s="2" t="str">
        <f t="shared" si="604"/>
        <v/>
      </c>
      <c r="CW528" s="1" t="s">
        <v>1198</v>
      </c>
      <c r="CX528" t="str">
        <f t="shared" si="605"/>
        <v>reg</v>
      </c>
      <c r="CY528" t="s">
        <v>428</v>
      </c>
      <c r="CZ528">
        <v>2020</v>
      </c>
      <c r="DA528">
        <v>2050</v>
      </c>
      <c r="DB528">
        <v>30</v>
      </c>
      <c r="DC528" t="str">
        <f t="shared" si="606"/>
        <v>1-30</v>
      </c>
      <c r="DD528">
        <v>0</v>
      </c>
      <c r="DE528">
        <v>1</v>
      </c>
      <c r="DF528">
        <v>0</v>
      </c>
      <c r="DG528">
        <v>0</v>
      </c>
      <c r="DI528">
        <f t="shared" si="607"/>
        <v>1</v>
      </c>
      <c r="DJ528" t="str">
        <f t="shared" si="608"/>
        <v>EnergyInput</v>
      </c>
      <c r="DK528">
        <f t="shared" si="609"/>
        <v>0</v>
      </c>
      <c r="DL528" t="str">
        <f t="shared" si="610"/>
        <v>Energy</v>
      </c>
      <c r="DM528">
        <f t="shared" si="611"/>
        <v>0</v>
      </c>
      <c r="DN528">
        <f t="shared" si="612"/>
        <v>0</v>
      </c>
      <c r="DO528">
        <v>0</v>
      </c>
      <c r="DP528">
        <v>1</v>
      </c>
      <c r="DQ528" t="s">
        <v>1410</v>
      </c>
      <c r="DR528" t="s">
        <v>1411</v>
      </c>
      <c r="DS528">
        <v>0</v>
      </c>
      <c r="DT528">
        <f t="shared" si="613"/>
        <v>1</v>
      </c>
      <c r="DU528" s="143" t="str">
        <f t="shared" si="614"/>
        <v>external DF used</v>
      </c>
      <c r="DV528">
        <v>1</v>
      </c>
      <c r="DW528">
        <v>1</v>
      </c>
      <c r="DX528">
        <v>1</v>
      </c>
      <c r="DY528">
        <v>1</v>
      </c>
      <c r="DZ528">
        <v>0</v>
      </c>
      <c r="EA528" s="143">
        <v>1</v>
      </c>
      <c r="EB528">
        <v>0</v>
      </c>
      <c r="EC528">
        <v>1</v>
      </c>
      <c r="ED528">
        <v>0</v>
      </c>
      <c r="EE528">
        <v>0</v>
      </c>
      <c r="EF528">
        <v>1</v>
      </c>
      <c r="EG528" s="143">
        <v>0</v>
      </c>
      <c r="EH528" s="143">
        <v>0</v>
      </c>
      <c r="EI528" s="2">
        <v>0</v>
      </c>
      <c r="EK528" t="str">
        <f t="shared" si="617"/>
        <v>Whole sector</v>
      </c>
      <c r="EL528" t="str">
        <f t="shared" si="618"/>
        <v/>
      </c>
      <c r="EM528" s="2" t="str">
        <f t="shared" si="558"/>
        <v/>
      </c>
      <c r="EP528" t="b">
        <f>IF(ISNUMBER(BU528),IF(ABS(BU528-[5]QC_indicators!$B$2)&gt;3*[5]QC_indicators!$C$2,"C ratio",IF(ISNUMBER(BY528),IF(ABS(BY528-[5]QC_indicators!$B$1)&gt;3*[5]QC_indicators!$C$1,"DF","no"))),IF(ISNUMBER(BY528),IF(ABS(BY528-[5]QC_indicators!$B$1)&gt;3*[5]QC_indicators!$C$1,"DF","no")))</f>
        <v>0</v>
      </c>
      <c r="EQ528" t="s">
        <v>286</v>
      </c>
      <c r="ER528" s="149" t="s">
        <v>349</v>
      </c>
      <c r="ET528" s="264" t="s">
        <v>3272</v>
      </c>
    </row>
    <row r="529" spans="1:150" ht="15" hidden="1" customHeight="1">
      <c r="A529" s="1" t="s">
        <v>1399</v>
      </c>
      <c r="B529" t="s">
        <v>1400</v>
      </c>
      <c r="C529" t="s">
        <v>1401</v>
      </c>
      <c r="D529" t="s">
        <v>1402</v>
      </c>
      <c r="E529" t="s">
        <v>1403</v>
      </c>
      <c r="F529" t="s">
        <v>1404</v>
      </c>
      <c r="G529" t="s">
        <v>1405</v>
      </c>
      <c r="H529" t="s">
        <v>254</v>
      </c>
      <c r="I529">
        <v>2021</v>
      </c>
      <c r="J529">
        <v>0</v>
      </c>
      <c r="K529" t="s">
        <v>1406</v>
      </c>
      <c r="M529" t="str">
        <f t="shared" si="615"/>
        <v>Dugan_2021</v>
      </c>
      <c r="N529" t="s">
        <v>222</v>
      </c>
      <c r="O529" s="145" t="s">
        <v>274</v>
      </c>
      <c r="Q529" t="s">
        <v>256</v>
      </c>
      <c r="R529" s="255" t="s">
        <v>225</v>
      </c>
      <c r="S529" s="1" t="s">
        <v>1418</v>
      </c>
      <c r="T529" t="s">
        <v>1110</v>
      </c>
      <c r="U529" t="s">
        <v>1419</v>
      </c>
      <c r="V529">
        <v>0</v>
      </c>
      <c r="W529">
        <v>0</v>
      </c>
      <c r="X529">
        <v>0</v>
      </c>
      <c r="Y529">
        <v>1</v>
      </c>
      <c r="Z529">
        <v>0</v>
      </c>
      <c r="AA529">
        <v>0</v>
      </c>
      <c r="AB529">
        <v>0</v>
      </c>
      <c r="AC529">
        <v>0</v>
      </c>
      <c r="AD529">
        <v>0</v>
      </c>
      <c r="AE529">
        <v>0</v>
      </c>
      <c r="AF529">
        <v>0</v>
      </c>
      <c r="AG529">
        <v>0</v>
      </c>
      <c r="AH529">
        <v>0</v>
      </c>
      <c r="AI529">
        <v>0</v>
      </c>
      <c r="AJ529">
        <v>0</v>
      </c>
      <c r="AK529">
        <v>0</v>
      </c>
      <c r="AL529">
        <v>0</v>
      </c>
      <c r="AM529">
        <v>0</v>
      </c>
      <c r="AN529">
        <v>0</v>
      </c>
      <c r="AO529">
        <v>0</v>
      </c>
      <c r="AP529">
        <v>0</v>
      </c>
      <c r="AQ529">
        <v>0</v>
      </c>
      <c r="AR529">
        <v>0</v>
      </c>
      <c r="AS529">
        <v>0</v>
      </c>
      <c r="AT529">
        <v>0</v>
      </c>
      <c r="AU529">
        <v>0</v>
      </c>
      <c r="AV529">
        <v>0</v>
      </c>
      <c r="AW529">
        <v>0</v>
      </c>
      <c r="AX529" s="141">
        <f t="shared" si="590"/>
        <v>1</v>
      </c>
      <c r="AY529" s="141">
        <f t="shared" si="591"/>
        <v>1</v>
      </c>
      <c r="AZ529">
        <f t="shared" si="592"/>
        <v>1</v>
      </c>
      <c r="BA529">
        <f t="shared" si="593"/>
        <v>0</v>
      </c>
      <c r="BB529">
        <f t="shared" si="594"/>
        <v>0</v>
      </c>
      <c r="BC529">
        <f t="shared" si="595"/>
        <v>0</v>
      </c>
      <c r="BD529">
        <f t="shared" si="596"/>
        <v>0</v>
      </c>
      <c r="BE529" t="str">
        <f t="array" ref="BE529">IF(AY529=1,INDEX($V$7:$AL$7,MATCH(TRUE,INDEX($V529:$AW529&lt;&gt;0,),0)),IF(AY529=0,INDEX($AM$7:$AW$7,MATCH(1,$AM529:$AW529,0)),IF(BF529="Multiple strategies","mixed drivers",IF(BF529="Supply chain","multiple supply","multiple silviculture"))))</f>
        <v xml:space="preserve">cutting intensity </v>
      </c>
      <c r="BF529" s="2" t="str" cm="1">
        <f t="array" ref="BF529">IF(COUNTIF(AZ529:BB529,"&lt;&gt;0")=1,INDEX($V$4:$AW$4,MATCH(TRUE,INDEX($V529:$AW529&lt;&gt;0,),0)),IF(COUNTIF(AZ529:BB529,"&lt;&gt;0")=0,INDEX($AM$4:$AW$4,MATCH(1,$AM529:$AW529,0)),"Multiple strategies"))</f>
        <v>Silviculture for removals</v>
      </c>
      <c r="BG529" s="1" t="s">
        <v>321</v>
      </c>
      <c r="BH529" t="s">
        <v>1409</v>
      </c>
      <c r="BI529" s="260" t="s">
        <v>3317</v>
      </c>
      <c r="BJ529" t="s">
        <v>1358</v>
      </c>
      <c r="BK529" s="264">
        <v>14.61</v>
      </c>
      <c r="BL529" s="264">
        <v>14.61</v>
      </c>
      <c r="BN529" s="227">
        <f t="shared" si="616"/>
        <v>0</v>
      </c>
      <c r="BO529">
        <f t="shared" si="619"/>
        <v>0</v>
      </c>
      <c r="BP529" t="s">
        <v>232</v>
      </c>
      <c r="BQ529" s="260" t="s">
        <v>3318</v>
      </c>
      <c r="BR529" t="s">
        <v>1299</v>
      </c>
      <c r="BS529" s="152"/>
      <c r="BT529" s="152"/>
      <c r="BU529" s="144"/>
      <c r="BV529" s="284">
        <v>-2.56567911875627</v>
      </c>
      <c r="BX529">
        <f t="shared" si="597"/>
        <v>-2565679.11875627</v>
      </c>
      <c r="BY529" t="str">
        <f t="shared" si="557"/>
        <v/>
      </c>
      <c r="BZ529">
        <v>0</v>
      </c>
      <c r="CA529">
        <v>0</v>
      </c>
      <c r="CB529">
        <v>0</v>
      </c>
      <c r="CC529">
        <v>0</v>
      </c>
      <c r="CD529">
        <v>0</v>
      </c>
      <c r="CE529">
        <v>0</v>
      </c>
      <c r="CF529">
        <v>0</v>
      </c>
      <c r="CG529">
        <v>0</v>
      </c>
      <c r="CH529">
        <v>0</v>
      </c>
      <c r="CI529">
        <v>0</v>
      </c>
      <c r="CJ529">
        <v>0</v>
      </c>
      <c r="CK529">
        <v>0</v>
      </c>
      <c r="CL529">
        <v>0</v>
      </c>
      <c r="CM529">
        <v>0</v>
      </c>
      <c r="CN529" t="str">
        <f t="shared" si="598"/>
        <v>refOK</v>
      </c>
      <c r="CO529"/>
      <c r="CP529"/>
      <c r="CQ529">
        <f t="shared" si="620"/>
        <v>0</v>
      </c>
      <c r="CR529">
        <f t="shared" si="600"/>
        <v>0</v>
      </c>
      <c r="CS529">
        <f t="shared" si="601"/>
        <v>0</v>
      </c>
      <c r="CT529">
        <f t="shared" si="602"/>
        <v>-2565679.11875627</v>
      </c>
      <c r="CU529" t="str">
        <f t="shared" si="603"/>
        <v/>
      </c>
      <c r="CV529" s="2" t="str">
        <f t="shared" si="604"/>
        <v/>
      </c>
      <c r="CW529" s="1" t="s">
        <v>1198</v>
      </c>
      <c r="CX529" t="str">
        <f t="shared" si="605"/>
        <v>reg</v>
      </c>
      <c r="CY529" t="s">
        <v>428</v>
      </c>
      <c r="CZ529">
        <v>2020</v>
      </c>
      <c r="DA529">
        <v>2050</v>
      </c>
      <c r="DB529">
        <v>30</v>
      </c>
      <c r="DC529" t="str">
        <f t="shared" si="606"/>
        <v>1-30</v>
      </c>
      <c r="DD529">
        <v>0</v>
      </c>
      <c r="DE529">
        <v>1</v>
      </c>
      <c r="DF529">
        <v>0</v>
      </c>
      <c r="DG529">
        <v>0</v>
      </c>
      <c r="DI529">
        <f t="shared" si="607"/>
        <v>1</v>
      </c>
      <c r="DJ529" t="str">
        <f t="shared" si="608"/>
        <v>EnergyInput</v>
      </c>
      <c r="DK529">
        <f t="shared" si="609"/>
        <v>0</v>
      </c>
      <c r="DL529" t="str">
        <f t="shared" si="610"/>
        <v>Energy</v>
      </c>
      <c r="DM529">
        <f t="shared" si="611"/>
        <v>0</v>
      </c>
      <c r="DN529">
        <f t="shared" si="612"/>
        <v>0</v>
      </c>
      <c r="DO529">
        <v>0</v>
      </c>
      <c r="DP529">
        <v>1</v>
      </c>
      <c r="DQ529" t="s">
        <v>1410</v>
      </c>
      <c r="DR529" t="s">
        <v>1411</v>
      </c>
      <c r="DS529">
        <v>0</v>
      </c>
      <c r="DT529">
        <f t="shared" si="613"/>
        <v>1</v>
      </c>
      <c r="DU529" s="143" t="str">
        <f t="shared" si="614"/>
        <v>external DF used</v>
      </c>
      <c r="DV529">
        <v>1</v>
      </c>
      <c r="DW529">
        <v>1</v>
      </c>
      <c r="DX529">
        <v>1</v>
      </c>
      <c r="DY529">
        <v>1</v>
      </c>
      <c r="DZ529">
        <v>0</v>
      </c>
      <c r="EA529" s="143">
        <v>0</v>
      </c>
      <c r="EB529">
        <v>0</v>
      </c>
      <c r="EC529">
        <v>0</v>
      </c>
      <c r="ED529">
        <v>0</v>
      </c>
      <c r="EE529">
        <v>0</v>
      </c>
      <c r="EF529">
        <v>1</v>
      </c>
      <c r="EG529" s="143">
        <v>0</v>
      </c>
      <c r="EH529" s="143">
        <v>0</v>
      </c>
      <c r="EI529" s="2">
        <v>0</v>
      </c>
      <c r="EK529" t="str">
        <f t="shared" si="617"/>
        <v/>
      </c>
      <c r="EL529" t="str">
        <f t="shared" si="618"/>
        <v>Ecosystem approach</v>
      </c>
      <c r="EM529" s="2" t="str">
        <f t="shared" si="558"/>
        <v/>
      </c>
      <c r="EP529" t="b">
        <f>IF(ISNUMBER(BU529),IF(ABS(BU529-[5]QC_indicators!$B$2)&gt;3*[5]QC_indicators!$C$2,"C ratio",IF(ISNUMBER(BY529),IF(ABS(BY529-[5]QC_indicators!$B$1)&gt;3*[5]QC_indicators!$C$1,"DF","no"))),IF(ISNUMBER(BY529),IF(ABS(BY529-[5]QC_indicators!$B$1)&gt;3*[5]QC_indicators!$C$1,"DF","no")))</f>
        <v>0</v>
      </c>
      <c r="EQ529" t="s">
        <v>286</v>
      </c>
      <c r="ER529" s="149" t="s">
        <v>349</v>
      </c>
      <c r="ET529" s="264" t="s">
        <v>3272</v>
      </c>
    </row>
    <row r="530" spans="1:150" ht="15" hidden="1" customHeight="1">
      <c r="A530" s="1" t="s">
        <v>1399</v>
      </c>
      <c r="B530" t="s">
        <v>1400</v>
      </c>
      <c r="C530" t="s">
        <v>1401</v>
      </c>
      <c r="D530" t="s">
        <v>1402</v>
      </c>
      <c r="E530" t="s">
        <v>1403</v>
      </c>
      <c r="F530" t="s">
        <v>1404</v>
      </c>
      <c r="G530" t="s">
        <v>1405</v>
      </c>
      <c r="H530" t="s">
        <v>254</v>
      </c>
      <c r="I530">
        <v>2021</v>
      </c>
      <c r="J530">
        <v>0</v>
      </c>
      <c r="K530" t="s">
        <v>1406</v>
      </c>
      <c r="M530" t="str">
        <f t="shared" si="615"/>
        <v>Dugan_2021</v>
      </c>
      <c r="N530" t="s">
        <v>222</v>
      </c>
      <c r="O530" s="145" t="s">
        <v>274</v>
      </c>
      <c r="Q530" t="s">
        <v>256</v>
      </c>
      <c r="R530" s="255" t="s">
        <v>225</v>
      </c>
      <c r="S530" s="1" t="s">
        <v>1418</v>
      </c>
      <c r="T530" t="s">
        <v>1110</v>
      </c>
      <c r="U530" t="s">
        <v>1419</v>
      </c>
      <c r="V530">
        <v>0</v>
      </c>
      <c r="W530">
        <v>0</v>
      </c>
      <c r="X530">
        <v>0</v>
      </c>
      <c r="Y530">
        <v>1</v>
      </c>
      <c r="Z530">
        <v>0</v>
      </c>
      <c r="AA530">
        <v>0</v>
      </c>
      <c r="AB530">
        <v>0</v>
      </c>
      <c r="AC530">
        <v>0</v>
      </c>
      <c r="AD530">
        <v>0</v>
      </c>
      <c r="AE530">
        <v>0</v>
      </c>
      <c r="AF530">
        <v>0</v>
      </c>
      <c r="AG530">
        <v>0</v>
      </c>
      <c r="AH530">
        <v>0</v>
      </c>
      <c r="AI530">
        <v>0</v>
      </c>
      <c r="AJ530">
        <v>0</v>
      </c>
      <c r="AK530">
        <v>0</v>
      </c>
      <c r="AL530">
        <v>0</v>
      </c>
      <c r="AM530">
        <v>0</v>
      </c>
      <c r="AN530">
        <v>0</v>
      </c>
      <c r="AO530">
        <v>0</v>
      </c>
      <c r="AP530">
        <v>0</v>
      </c>
      <c r="AQ530">
        <v>0</v>
      </c>
      <c r="AR530">
        <v>0</v>
      </c>
      <c r="AS530">
        <v>0</v>
      </c>
      <c r="AT530">
        <v>0</v>
      </c>
      <c r="AU530">
        <v>0</v>
      </c>
      <c r="AV530">
        <v>0</v>
      </c>
      <c r="AW530">
        <v>0</v>
      </c>
      <c r="AX530" s="141">
        <f t="shared" si="590"/>
        <v>1</v>
      </c>
      <c r="AY530" s="141">
        <f t="shared" si="591"/>
        <v>1</v>
      </c>
      <c r="AZ530">
        <f t="shared" si="592"/>
        <v>1</v>
      </c>
      <c r="BA530">
        <f t="shared" si="593"/>
        <v>0</v>
      </c>
      <c r="BB530">
        <f t="shared" si="594"/>
        <v>0</v>
      </c>
      <c r="BC530">
        <f t="shared" si="595"/>
        <v>0</v>
      </c>
      <c r="BD530">
        <f t="shared" si="596"/>
        <v>0</v>
      </c>
      <c r="BE530" t="str">
        <f t="array" ref="BE530">IF(AY530=1,INDEX($V$7:$AL$7,MATCH(TRUE,INDEX($V530:$AW530&lt;&gt;0,),0)),IF(AY530=0,INDEX($AM$7:$AW$7,MATCH(1,$AM530:$AW530,0)),IF(BF530="Multiple strategies","mixed drivers",IF(BF530="Supply chain","multiple supply","multiple silviculture"))))</f>
        <v xml:space="preserve">cutting intensity </v>
      </c>
      <c r="BF530" s="2" t="str" cm="1">
        <f t="array" ref="BF530">IF(COUNTIF(AZ530:BB530,"&lt;&gt;0")=1,INDEX($V$4:$AW$4,MATCH(TRUE,INDEX($V530:$AW530&lt;&gt;0,),0)),IF(COUNTIF(AZ530:BB530,"&lt;&gt;0")=0,INDEX($AM$4:$AW$4,MATCH(1,$AM530:$AW530,0)),"Multiple strategies"))</f>
        <v>Silviculture for removals</v>
      </c>
      <c r="BG530" s="1" t="s">
        <v>321</v>
      </c>
      <c r="BH530" t="s">
        <v>1409</v>
      </c>
      <c r="BI530" s="260" t="s">
        <v>3317</v>
      </c>
      <c r="BJ530" t="s">
        <v>1358</v>
      </c>
      <c r="BK530" s="264">
        <v>14.61</v>
      </c>
      <c r="BL530" s="264">
        <v>14.61</v>
      </c>
      <c r="BN530" s="227">
        <f t="shared" si="616"/>
        <v>0</v>
      </c>
      <c r="BO530">
        <f t="shared" si="619"/>
        <v>0</v>
      </c>
      <c r="BP530" t="s">
        <v>232</v>
      </c>
      <c r="BQ530" s="260" t="s">
        <v>3320</v>
      </c>
      <c r="BR530" t="s">
        <v>1299</v>
      </c>
      <c r="BS530" s="152"/>
      <c r="BT530" s="152"/>
      <c r="BU530" s="144"/>
      <c r="BV530" s="141">
        <v>4.7403037872266296</v>
      </c>
      <c r="BX530">
        <f t="shared" si="597"/>
        <v>4740303.7872266294</v>
      </c>
      <c r="BY530" t="str">
        <f t="shared" si="557"/>
        <v/>
      </c>
      <c r="BZ530">
        <v>0</v>
      </c>
      <c r="CA530">
        <v>0</v>
      </c>
      <c r="CB530">
        <v>0</v>
      </c>
      <c r="CC530">
        <v>0</v>
      </c>
      <c r="CD530">
        <v>0</v>
      </c>
      <c r="CE530">
        <v>0</v>
      </c>
      <c r="CF530">
        <v>0</v>
      </c>
      <c r="CG530">
        <v>0</v>
      </c>
      <c r="CH530">
        <v>0</v>
      </c>
      <c r="CI530">
        <v>0</v>
      </c>
      <c r="CJ530">
        <v>0</v>
      </c>
      <c r="CK530">
        <v>0</v>
      </c>
      <c r="CL530">
        <v>0</v>
      </c>
      <c r="CM530">
        <v>0</v>
      </c>
      <c r="CN530" t="str">
        <f t="shared" si="598"/>
        <v>refOK</v>
      </c>
      <c r="CO530"/>
      <c r="CP530"/>
      <c r="CQ530">
        <f t="shared" si="620"/>
        <v>0</v>
      </c>
      <c r="CR530">
        <f t="shared" si="600"/>
        <v>0</v>
      </c>
      <c r="CS530">
        <f t="shared" si="601"/>
        <v>0</v>
      </c>
      <c r="CT530">
        <f t="shared" si="602"/>
        <v>4740303.7872266294</v>
      </c>
      <c r="CU530" t="str">
        <f t="shared" si="603"/>
        <v/>
      </c>
      <c r="CV530" s="2" t="str">
        <f t="shared" si="604"/>
        <v/>
      </c>
      <c r="CW530" s="1" t="s">
        <v>1198</v>
      </c>
      <c r="CX530" t="str">
        <f t="shared" si="605"/>
        <v>reg</v>
      </c>
      <c r="CY530" t="s">
        <v>428</v>
      </c>
      <c r="CZ530">
        <v>2020</v>
      </c>
      <c r="DA530">
        <v>2050</v>
      </c>
      <c r="DB530">
        <v>30</v>
      </c>
      <c r="DC530" t="str">
        <f t="shared" si="606"/>
        <v>1-30</v>
      </c>
      <c r="DD530">
        <v>0</v>
      </c>
      <c r="DE530">
        <v>1</v>
      </c>
      <c r="DF530">
        <v>0</v>
      </c>
      <c r="DG530">
        <v>0</v>
      </c>
      <c r="DI530">
        <f t="shared" si="607"/>
        <v>1</v>
      </c>
      <c r="DJ530" t="str">
        <f t="shared" si="608"/>
        <v>EnergyInput</v>
      </c>
      <c r="DK530">
        <f t="shared" si="609"/>
        <v>0</v>
      </c>
      <c r="DL530" t="str">
        <f t="shared" si="610"/>
        <v>Energy</v>
      </c>
      <c r="DM530">
        <f t="shared" si="611"/>
        <v>0</v>
      </c>
      <c r="DN530">
        <f t="shared" si="612"/>
        <v>0</v>
      </c>
      <c r="DO530">
        <v>0</v>
      </c>
      <c r="DP530">
        <v>1</v>
      </c>
      <c r="DQ530" t="s">
        <v>1410</v>
      </c>
      <c r="DR530" t="s">
        <v>1411</v>
      </c>
      <c r="DS530">
        <v>0</v>
      </c>
      <c r="DT530">
        <f t="shared" si="613"/>
        <v>1</v>
      </c>
      <c r="DU530" s="143" t="str">
        <f t="shared" si="614"/>
        <v>external DF used</v>
      </c>
      <c r="DV530">
        <v>1</v>
      </c>
      <c r="DW530">
        <v>1</v>
      </c>
      <c r="DX530">
        <v>1</v>
      </c>
      <c r="DY530">
        <v>0</v>
      </c>
      <c r="DZ530">
        <v>0</v>
      </c>
      <c r="EA530" s="143">
        <v>0</v>
      </c>
      <c r="EB530">
        <v>0</v>
      </c>
      <c r="EC530">
        <v>0</v>
      </c>
      <c r="ED530">
        <v>0</v>
      </c>
      <c r="EE530">
        <v>0</v>
      </c>
      <c r="EF530">
        <v>1</v>
      </c>
      <c r="EG530" s="143">
        <v>0</v>
      </c>
      <c r="EH530" s="143">
        <v>0</v>
      </c>
      <c r="EI530" s="2">
        <v>0</v>
      </c>
      <c r="EK530" t="str">
        <f t="shared" si="617"/>
        <v/>
      </c>
      <c r="EL530" t="str">
        <f t="shared" si="618"/>
        <v>Ecosystem approach</v>
      </c>
      <c r="EM530" s="2" t="str">
        <f t="shared" si="558"/>
        <v/>
      </c>
      <c r="EP530" t="b">
        <f>IF(ISNUMBER(BU530),IF(ABS(BU530-[5]QC_indicators!$B$2)&gt;3*[5]QC_indicators!$C$2,"C ratio",IF(ISNUMBER(BY530),IF(ABS(BY530-[5]QC_indicators!$B$1)&gt;3*[5]QC_indicators!$C$1,"DF","no"))),IF(ISNUMBER(BY530),IF(ABS(BY530-[5]QC_indicators!$B$1)&gt;3*[5]QC_indicators!$C$1,"DF","no")))</f>
        <v>0</v>
      </c>
      <c r="EQ530" t="s">
        <v>286</v>
      </c>
      <c r="ER530" s="149" t="s">
        <v>349</v>
      </c>
      <c r="ET530" s="264" t="s">
        <v>3272</v>
      </c>
    </row>
    <row r="531" spans="1:150" ht="15" hidden="1" customHeight="1">
      <c r="A531" s="1" t="s">
        <v>1399</v>
      </c>
      <c r="B531" t="s">
        <v>1400</v>
      </c>
      <c r="C531" t="s">
        <v>1401</v>
      </c>
      <c r="D531" t="s">
        <v>1402</v>
      </c>
      <c r="E531" t="s">
        <v>1403</v>
      </c>
      <c r="F531" t="s">
        <v>1404</v>
      </c>
      <c r="G531" t="s">
        <v>1405</v>
      </c>
      <c r="H531" t="s">
        <v>254</v>
      </c>
      <c r="I531">
        <v>2021</v>
      </c>
      <c r="J531">
        <v>0</v>
      </c>
      <c r="K531" t="s">
        <v>1406</v>
      </c>
      <c r="M531" t="str">
        <f t="shared" si="615"/>
        <v>Dugan_2021</v>
      </c>
      <c r="N531" t="s">
        <v>222</v>
      </c>
      <c r="O531" s="145" t="s">
        <v>274</v>
      </c>
      <c r="Q531" t="s">
        <v>256</v>
      </c>
      <c r="R531" s="255" t="s">
        <v>225</v>
      </c>
      <c r="S531" s="1" t="s">
        <v>1416</v>
      </c>
      <c r="T531" t="s">
        <v>1417</v>
      </c>
      <c r="U531" t="s">
        <v>1110</v>
      </c>
      <c r="V531">
        <v>0</v>
      </c>
      <c r="W531">
        <v>0</v>
      </c>
      <c r="X531">
        <v>0</v>
      </c>
      <c r="Y531">
        <v>0</v>
      </c>
      <c r="Z531">
        <v>0</v>
      </c>
      <c r="AA531">
        <v>0</v>
      </c>
      <c r="AB531">
        <v>0</v>
      </c>
      <c r="AC531">
        <v>0</v>
      </c>
      <c r="AD531">
        <v>0</v>
      </c>
      <c r="AE531">
        <v>0</v>
      </c>
      <c r="AF531">
        <v>1</v>
      </c>
      <c r="AG531">
        <v>0</v>
      </c>
      <c r="AH531">
        <v>0</v>
      </c>
      <c r="AI531">
        <v>0</v>
      </c>
      <c r="AJ531">
        <v>0</v>
      </c>
      <c r="AK531">
        <v>0</v>
      </c>
      <c r="AL531">
        <v>0</v>
      </c>
      <c r="AM531">
        <v>0</v>
      </c>
      <c r="AN531">
        <v>0</v>
      </c>
      <c r="AO531">
        <v>0</v>
      </c>
      <c r="AP531">
        <v>0</v>
      </c>
      <c r="AQ531">
        <v>0</v>
      </c>
      <c r="AR531">
        <v>0</v>
      </c>
      <c r="AS531">
        <v>0</v>
      </c>
      <c r="AT531">
        <v>0</v>
      </c>
      <c r="AU531">
        <v>0</v>
      </c>
      <c r="AV531">
        <v>0</v>
      </c>
      <c r="AW531">
        <v>0</v>
      </c>
      <c r="AX531" s="141">
        <f t="shared" si="590"/>
        <v>1</v>
      </c>
      <c r="AY531" s="141">
        <f t="shared" si="591"/>
        <v>1</v>
      </c>
      <c r="AZ531">
        <f t="shared" si="592"/>
        <v>0</v>
      </c>
      <c r="BA531">
        <f t="shared" si="593"/>
        <v>1</v>
      </c>
      <c r="BB531">
        <f t="shared" si="594"/>
        <v>0</v>
      </c>
      <c r="BC531">
        <f t="shared" si="595"/>
        <v>0</v>
      </c>
      <c r="BD531">
        <f t="shared" si="596"/>
        <v>0</v>
      </c>
      <c r="BE531" t="str">
        <f t="array" ref="BE531">IF(AY531=1,INDEX($V$7:$AL$7,MATCH(TRUE,INDEX($V531:$AW531&lt;&gt;0,),0)),IF(AY531=0,INDEX($AM$7:$AW$7,MATCH(1,$AM531:$AW531,0)),IF(BF531="Multiple strategies","mixed drivers",IF(BF531="Supply chain","multiple supply","multiple silviculture"))))</f>
        <v>supply chain organization</v>
      </c>
      <c r="BF531" s="2" t="str" cm="1">
        <f t="array" ref="BF531">IF(COUNTIF(AZ531:BB531,"&lt;&gt;0")=1,INDEX($V$4:$AW$4,MATCH(TRUE,INDEX($V531:$AW531&lt;&gt;0,),0)),IF(COUNTIF(AZ531:BB531,"&lt;&gt;0")=0,INDEX($AM$4:$AW$4,MATCH(1,$AM531:$AW531,0)),"Multiple strategies"))</f>
        <v>Supply chain</v>
      </c>
      <c r="BG531" s="1" t="s">
        <v>321</v>
      </c>
      <c r="BH531" t="s">
        <v>1409</v>
      </c>
      <c r="BI531" s="260" t="s">
        <v>3317</v>
      </c>
      <c r="BJ531" t="s">
        <v>1358</v>
      </c>
      <c r="BK531" s="264">
        <v>14.61</v>
      </c>
      <c r="BL531" s="264">
        <v>14.61</v>
      </c>
      <c r="BN531" s="227">
        <f t="shared" si="616"/>
        <v>0</v>
      </c>
      <c r="BO531">
        <f t="shared" si="619"/>
        <v>0</v>
      </c>
      <c r="BP531" t="s">
        <v>232</v>
      </c>
      <c r="BQ531" s="260" t="s">
        <v>3318</v>
      </c>
      <c r="BR531" t="s">
        <v>1299</v>
      </c>
      <c r="BS531" s="152"/>
      <c r="BT531" s="152"/>
      <c r="BU531" s="144"/>
      <c r="BV531" s="284">
        <v>0.70085470085469903</v>
      </c>
      <c r="BX531">
        <f t="shared" si="597"/>
        <v>700854.70085469901</v>
      </c>
      <c r="BY531" t="str">
        <f t="shared" si="557"/>
        <v/>
      </c>
      <c r="BZ531">
        <v>0</v>
      </c>
      <c r="CA531">
        <v>0</v>
      </c>
      <c r="CB531">
        <v>0</v>
      </c>
      <c r="CC531">
        <v>0</v>
      </c>
      <c r="CD531">
        <v>0</v>
      </c>
      <c r="CE531">
        <v>0</v>
      </c>
      <c r="CF531">
        <v>0</v>
      </c>
      <c r="CG531">
        <v>0</v>
      </c>
      <c r="CH531">
        <v>0</v>
      </c>
      <c r="CI531">
        <v>0</v>
      </c>
      <c r="CJ531">
        <v>0</v>
      </c>
      <c r="CK531">
        <v>0</v>
      </c>
      <c r="CL531">
        <v>0</v>
      </c>
      <c r="CM531">
        <v>0</v>
      </c>
      <c r="CN531" t="str">
        <f t="shared" si="598"/>
        <v>refOK</v>
      </c>
      <c r="CO531"/>
      <c r="CP531"/>
      <c r="CQ531">
        <f t="shared" si="620"/>
        <v>0</v>
      </c>
      <c r="CR531">
        <f t="shared" si="600"/>
        <v>0</v>
      </c>
      <c r="CS531">
        <f t="shared" si="601"/>
        <v>0</v>
      </c>
      <c r="CT531">
        <f t="shared" si="602"/>
        <v>700854.70085469901</v>
      </c>
      <c r="CU531" t="str">
        <f t="shared" si="603"/>
        <v/>
      </c>
      <c r="CV531" s="2" t="str">
        <f t="shared" si="604"/>
        <v/>
      </c>
      <c r="CW531" s="1" t="s">
        <v>1198</v>
      </c>
      <c r="CX531" t="str">
        <f t="shared" si="605"/>
        <v>reg</v>
      </c>
      <c r="CY531" t="s">
        <v>428</v>
      </c>
      <c r="CZ531">
        <v>2020</v>
      </c>
      <c r="DA531">
        <v>2050</v>
      </c>
      <c r="DB531">
        <v>30</v>
      </c>
      <c r="DC531" t="str">
        <f t="shared" si="606"/>
        <v>1-30</v>
      </c>
      <c r="DD531">
        <v>0</v>
      </c>
      <c r="DE531">
        <v>1</v>
      </c>
      <c r="DF531">
        <v>1</v>
      </c>
      <c r="DG531">
        <v>0</v>
      </c>
      <c r="DI531">
        <f t="shared" si="607"/>
        <v>2</v>
      </c>
      <c r="DJ531" t="str">
        <f t="shared" si="608"/>
        <v>mixedProduct</v>
      </c>
      <c r="DK531">
        <f t="shared" si="609"/>
        <v>0</v>
      </c>
      <c r="DL531" t="str">
        <f t="shared" si="610"/>
        <v>Energy</v>
      </c>
      <c r="DM531" t="str">
        <f t="shared" si="611"/>
        <v>Pulp/Paper</v>
      </c>
      <c r="DN531">
        <f t="shared" si="612"/>
        <v>0</v>
      </c>
      <c r="DO531">
        <v>0</v>
      </c>
      <c r="DP531">
        <v>1</v>
      </c>
      <c r="DQ531" t="s">
        <v>1410</v>
      </c>
      <c r="DR531" t="s">
        <v>1411</v>
      </c>
      <c r="DS531">
        <v>0</v>
      </c>
      <c r="DT531">
        <f t="shared" si="613"/>
        <v>1</v>
      </c>
      <c r="DU531" s="143" t="str">
        <f t="shared" si="614"/>
        <v>external DF used</v>
      </c>
      <c r="DV531">
        <v>1</v>
      </c>
      <c r="DW531">
        <v>1</v>
      </c>
      <c r="DX531">
        <v>1</v>
      </c>
      <c r="DY531">
        <v>1</v>
      </c>
      <c r="DZ531">
        <v>0</v>
      </c>
      <c r="EA531" s="143">
        <v>0</v>
      </c>
      <c r="EB531">
        <v>0</v>
      </c>
      <c r="EC531">
        <v>0</v>
      </c>
      <c r="ED531">
        <v>0</v>
      </c>
      <c r="EE531">
        <v>0</v>
      </c>
      <c r="EF531">
        <v>1</v>
      </c>
      <c r="EG531" s="143">
        <v>0</v>
      </c>
      <c r="EH531" s="143">
        <v>0</v>
      </c>
      <c r="EI531" s="2">
        <v>0</v>
      </c>
      <c r="EK531" t="str">
        <f t="shared" si="617"/>
        <v/>
      </c>
      <c r="EL531" t="str">
        <f t="shared" si="618"/>
        <v>Ecosystem approach</v>
      </c>
      <c r="EM531" s="2" t="str">
        <f t="shared" si="558"/>
        <v/>
      </c>
      <c r="EP531" t="b">
        <f>IF(ISNUMBER(BU531),IF(ABS(BU531-[5]QC_indicators!$B$2)&gt;3*[5]QC_indicators!$C$2,"C ratio",IF(ISNUMBER(BY531),IF(ABS(BY531-[5]QC_indicators!$B$1)&gt;3*[5]QC_indicators!$C$1,"DF","no"))),IF(ISNUMBER(BY531),IF(ABS(BY531-[5]QC_indicators!$B$1)&gt;3*[5]QC_indicators!$C$1,"DF","no")))</f>
        <v>0</v>
      </c>
      <c r="EQ531" t="s">
        <v>286</v>
      </c>
      <c r="ER531" s="149" t="s">
        <v>349</v>
      </c>
      <c r="ET531" s="264" t="s">
        <v>3272</v>
      </c>
    </row>
    <row r="532" spans="1:150" ht="15" hidden="1" customHeight="1">
      <c r="A532" s="1" t="s">
        <v>1399</v>
      </c>
      <c r="B532" t="s">
        <v>1400</v>
      </c>
      <c r="C532" t="s">
        <v>1401</v>
      </c>
      <c r="D532" t="s">
        <v>1402</v>
      </c>
      <c r="E532" t="s">
        <v>1403</v>
      </c>
      <c r="F532" t="s">
        <v>1404</v>
      </c>
      <c r="G532" t="s">
        <v>1405</v>
      </c>
      <c r="H532" t="s">
        <v>254</v>
      </c>
      <c r="I532">
        <v>2021</v>
      </c>
      <c r="J532">
        <v>0</v>
      </c>
      <c r="K532" t="s">
        <v>1406</v>
      </c>
      <c r="M532" t="str">
        <f t="shared" si="615"/>
        <v>Dugan_2021</v>
      </c>
      <c r="N532" t="s">
        <v>222</v>
      </c>
      <c r="O532" s="145" t="s">
        <v>274</v>
      </c>
      <c r="Q532" t="s">
        <v>256</v>
      </c>
      <c r="R532" s="255" t="s">
        <v>225</v>
      </c>
      <c r="S532" s="1" t="s">
        <v>1416</v>
      </c>
      <c r="T532" t="s">
        <v>1417</v>
      </c>
      <c r="U532" t="s">
        <v>1110</v>
      </c>
      <c r="V532">
        <v>0</v>
      </c>
      <c r="W532">
        <v>0</v>
      </c>
      <c r="X532">
        <v>0</v>
      </c>
      <c r="Y532">
        <v>0</v>
      </c>
      <c r="Z532">
        <v>0</v>
      </c>
      <c r="AA532">
        <v>0</v>
      </c>
      <c r="AB532">
        <v>0</v>
      </c>
      <c r="AC532">
        <v>0</v>
      </c>
      <c r="AD532">
        <v>0</v>
      </c>
      <c r="AE532">
        <v>0</v>
      </c>
      <c r="AF532">
        <v>1</v>
      </c>
      <c r="AG532">
        <v>0</v>
      </c>
      <c r="AH532">
        <v>0</v>
      </c>
      <c r="AI532">
        <v>0</v>
      </c>
      <c r="AJ532">
        <v>0</v>
      </c>
      <c r="AK532">
        <v>0</v>
      </c>
      <c r="AL532">
        <v>0</v>
      </c>
      <c r="AM532">
        <v>0</v>
      </c>
      <c r="AN532">
        <v>0</v>
      </c>
      <c r="AO532">
        <v>0</v>
      </c>
      <c r="AP532">
        <v>0</v>
      </c>
      <c r="AQ532">
        <v>0</v>
      </c>
      <c r="AR532">
        <v>0</v>
      </c>
      <c r="AS532">
        <v>0</v>
      </c>
      <c r="AT532">
        <v>0</v>
      </c>
      <c r="AU532">
        <v>0</v>
      </c>
      <c r="AV532">
        <v>0</v>
      </c>
      <c r="AW532">
        <v>0</v>
      </c>
      <c r="AX532" s="141">
        <f t="shared" si="590"/>
        <v>1</v>
      </c>
      <c r="AY532" s="141">
        <f t="shared" si="591"/>
        <v>1</v>
      </c>
      <c r="AZ532">
        <f t="shared" si="592"/>
        <v>0</v>
      </c>
      <c r="BA532">
        <f t="shared" si="593"/>
        <v>1</v>
      </c>
      <c r="BB532">
        <f t="shared" si="594"/>
        <v>0</v>
      </c>
      <c r="BC532">
        <f t="shared" si="595"/>
        <v>0</v>
      </c>
      <c r="BD532">
        <f t="shared" si="596"/>
        <v>0</v>
      </c>
      <c r="BE532" t="str">
        <f t="array" ref="BE532">IF(AY532=1,INDEX($V$7:$AL$7,MATCH(TRUE,INDEX($V532:$AW532&lt;&gt;0,),0)),IF(AY532=0,INDEX($AM$7:$AW$7,MATCH(1,$AM532:$AW532,0)),IF(BF532="Multiple strategies","mixed drivers",IF(BF532="Supply chain","multiple supply","multiple silviculture"))))</f>
        <v>supply chain organization</v>
      </c>
      <c r="BF532" s="2" t="str" cm="1">
        <f t="array" ref="BF532">IF(COUNTIF(AZ532:BB532,"&lt;&gt;0")=1,INDEX($V$4:$AW$4,MATCH(TRUE,INDEX($V532:$AW532&lt;&gt;0,),0)),IF(COUNTIF(AZ532:BB532,"&lt;&gt;0")=0,INDEX($AM$4:$AW$4,MATCH(1,$AM532:$AW532,0)),"Multiple strategies"))</f>
        <v>Supply chain</v>
      </c>
      <c r="BG532" s="1" t="s">
        <v>321</v>
      </c>
      <c r="BH532" t="s">
        <v>1409</v>
      </c>
      <c r="BI532" s="260" t="s">
        <v>3317</v>
      </c>
      <c r="BJ532" t="s">
        <v>1358</v>
      </c>
      <c r="BK532" s="264">
        <v>14.61</v>
      </c>
      <c r="BL532" s="264">
        <v>14.61</v>
      </c>
      <c r="BN532" s="227">
        <f t="shared" si="616"/>
        <v>0</v>
      </c>
      <c r="BO532">
        <f t="shared" si="619"/>
        <v>0</v>
      </c>
      <c r="BP532" t="s">
        <v>232</v>
      </c>
      <c r="BQ532" s="260" t="s">
        <v>3320</v>
      </c>
      <c r="BR532" t="s">
        <v>1299</v>
      </c>
      <c r="BS532" s="152"/>
      <c r="BT532" s="152"/>
      <c r="BU532" s="144"/>
      <c r="BV532" s="285">
        <v>0</v>
      </c>
      <c r="BX532">
        <f t="shared" si="597"/>
        <v>0</v>
      </c>
      <c r="BY532" t="str">
        <f t="shared" si="557"/>
        <v/>
      </c>
      <c r="BZ532">
        <v>0</v>
      </c>
      <c r="CA532">
        <v>0</v>
      </c>
      <c r="CB532">
        <v>0</v>
      </c>
      <c r="CC532">
        <v>0</v>
      </c>
      <c r="CD532">
        <v>0</v>
      </c>
      <c r="CE532">
        <v>0</v>
      </c>
      <c r="CF532">
        <v>0</v>
      </c>
      <c r="CG532">
        <v>0</v>
      </c>
      <c r="CH532">
        <v>0</v>
      </c>
      <c r="CI532">
        <v>0</v>
      </c>
      <c r="CJ532">
        <v>0</v>
      </c>
      <c r="CK532">
        <v>0</v>
      </c>
      <c r="CL532">
        <v>0</v>
      </c>
      <c r="CM532">
        <v>0</v>
      </c>
      <c r="CN532" t="str">
        <f t="shared" si="598"/>
        <v>refOK</v>
      </c>
      <c r="CO532"/>
      <c r="CP532"/>
      <c r="CQ532">
        <f t="shared" si="620"/>
        <v>0</v>
      </c>
      <c r="CR532">
        <f t="shared" si="600"/>
        <v>0</v>
      </c>
      <c r="CS532">
        <f t="shared" si="601"/>
        <v>0</v>
      </c>
      <c r="CT532">
        <f t="shared" si="602"/>
        <v>0</v>
      </c>
      <c r="CU532" t="str">
        <f t="shared" si="603"/>
        <v/>
      </c>
      <c r="CV532" s="2" t="str">
        <f t="shared" si="604"/>
        <v/>
      </c>
      <c r="CW532" s="1" t="s">
        <v>1198</v>
      </c>
      <c r="CX532" t="str">
        <f t="shared" si="605"/>
        <v>reg</v>
      </c>
      <c r="CY532" t="s">
        <v>428</v>
      </c>
      <c r="CZ532">
        <v>2020</v>
      </c>
      <c r="DA532">
        <v>2050</v>
      </c>
      <c r="DB532">
        <v>30</v>
      </c>
      <c r="DC532" t="str">
        <f t="shared" si="606"/>
        <v>1-30</v>
      </c>
      <c r="DD532">
        <v>0</v>
      </c>
      <c r="DE532">
        <v>1</v>
      </c>
      <c r="DF532">
        <v>1</v>
      </c>
      <c r="DG532">
        <v>0</v>
      </c>
      <c r="DI532">
        <f t="shared" si="607"/>
        <v>2</v>
      </c>
      <c r="DJ532" t="str">
        <f t="shared" si="608"/>
        <v>mixedProduct</v>
      </c>
      <c r="DK532">
        <f t="shared" si="609"/>
        <v>0</v>
      </c>
      <c r="DL532" t="str">
        <f t="shared" si="610"/>
        <v>Energy</v>
      </c>
      <c r="DM532" t="str">
        <f t="shared" si="611"/>
        <v>Pulp/Paper</v>
      </c>
      <c r="DN532">
        <f t="shared" si="612"/>
        <v>0</v>
      </c>
      <c r="DO532">
        <v>0</v>
      </c>
      <c r="DP532">
        <v>1</v>
      </c>
      <c r="DQ532" t="s">
        <v>1410</v>
      </c>
      <c r="DR532" t="s">
        <v>1411</v>
      </c>
      <c r="DS532">
        <v>0</v>
      </c>
      <c r="DT532">
        <f t="shared" si="613"/>
        <v>1</v>
      </c>
      <c r="DU532" s="143" t="str">
        <f t="shared" si="614"/>
        <v>external DF used</v>
      </c>
      <c r="DV532">
        <v>1</v>
      </c>
      <c r="DW532">
        <v>1</v>
      </c>
      <c r="DX532">
        <v>1</v>
      </c>
      <c r="DY532">
        <v>0</v>
      </c>
      <c r="DZ532">
        <v>0</v>
      </c>
      <c r="EA532" s="143">
        <v>0</v>
      </c>
      <c r="EB532">
        <v>0</v>
      </c>
      <c r="EC532">
        <v>0</v>
      </c>
      <c r="ED532">
        <v>0</v>
      </c>
      <c r="EE532">
        <v>0</v>
      </c>
      <c r="EF532">
        <v>1</v>
      </c>
      <c r="EG532" s="143">
        <v>0</v>
      </c>
      <c r="EH532" s="143">
        <v>0</v>
      </c>
      <c r="EI532" s="2">
        <v>0</v>
      </c>
      <c r="EK532" t="str">
        <f t="shared" si="617"/>
        <v/>
      </c>
      <c r="EL532" t="str">
        <f t="shared" si="618"/>
        <v>Ecosystem approach</v>
      </c>
      <c r="EM532" s="2" t="str">
        <f t="shared" si="558"/>
        <v/>
      </c>
      <c r="EP532" t="b">
        <f>IF(ISNUMBER(BU532),IF(ABS(BU532-[5]QC_indicators!$B$2)&gt;3*[5]QC_indicators!$C$2,"C ratio",IF(ISNUMBER(BY532),IF(ABS(BY532-[5]QC_indicators!$B$1)&gt;3*[5]QC_indicators!$C$1,"DF","no"))),IF(ISNUMBER(BY532),IF(ABS(BY532-[5]QC_indicators!$B$1)&gt;3*[5]QC_indicators!$C$1,"DF","no")))</f>
        <v>0</v>
      </c>
      <c r="EQ532" t="s">
        <v>286</v>
      </c>
      <c r="ER532" s="149" t="s">
        <v>349</v>
      </c>
      <c r="ET532" s="264" t="s">
        <v>3272</v>
      </c>
    </row>
    <row r="533" spans="1:150" ht="15" hidden="1" customHeight="1">
      <c r="A533" s="1" t="s">
        <v>1399</v>
      </c>
      <c r="B533" t="s">
        <v>1400</v>
      </c>
      <c r="C533" t="s">
        <v>1401</v>
      </c>
      <c r="D533" t="s">
        <v>1402</v>
      </c>
      <c r="E533" t="s">
        <v>1403</v>
      </c>
      <c r="F533" t="s">
        <v>1404</v>
      </c>
      <c r="G533" t="s">
        <v>1405</v>
      </c>
      <c r="H533" t="s">
        <v>254</v>
      </c>
      <c r="I533">
        <v>2021</v>
      </c>
      <c r="J533">
        <v>0</v>
      </c>
      <c r="K533" t="s">
        <v>1406</v>
      </c>
      <c r="M533" t="str">
        <f t="shared" si="615"/>
        <v>Dugan_2021</v>
      </c>
      <c r="N533" t="s">
        <v>222</v>
      </c>
      <c r="O533" s="145" t="s">
        <v>274</v>
      </c>
      <c r="Q533" t="s">
        <v>256</v>
      </c>
      <c r="R533" s="255" t="s">
        <v>225</v>
      </c>
      <c r="S533" s="1" t="s">
        <v>1416</v>
      </c>
      <c r="T533" t="s">
        <v>1110</v>
      </c>
      <c r="U533" t="s">
        <v>1398</v>
      </c>
      <c r="V533">
        <v>0</v>
      </c>
      <c r="W533">
        <v>0</v>
      </c>
      <c r="X533">
        <v>0</v>
      </c>
      <c r="Y533">
        <v>0</v>
      </c>
      <c r="Z533">
        <v>0</v>
      </c>
      <c r="AA533">
        <v>0</v>
      </c>
      <c r="AB533">
        <v>0</v>
      </c>
      <c r="AC533">
        <v>0</v>
      </c>
      <c r="AD533">
        <v>0</v>
      </c>
      <c r="AE533">
        <v>0</v>
      </c>
      <c r="AF533">
        <v>1</v>
      </c>
      <c r="AG533">
        <v>0</v>
      </c>
      <c r="AH533">
        <v>0</v>
      </c>
      <c r="AI533">
        <v>0</v>
      </c>
      <c r="AJ533">
        <v>0</v>
      </c>
      <c r="AK533">
        <v>0</v>
      </c>
      <c r="AL533">
        <v>0</v>
      </c>
      <c r="AM533">
        <v>0</v>
      </c>
      <c r="AN533">
        <v>0</v>
      </c>
      <c r="AO533">
        <v>0</v>
      </c>
      <c r="AP533">
        <v>0</v>
      </c>
      <c r="AQ533">
        <v>0</v>
      </c>
      <c r="AR533">
        <v>0</v>
      </c>
      <c r="AS533">
        <v>0</v>
      </c>
      <c r="AT533">
        <v>0</v>
      </c>
      <c r="AU533">
        <v>0</v>
      </c>
      <c r="AV533">
        <v>0</v>
      </c>
      <c r="AW533">
        <v>0</v>
      </c>
      <c r="AX533" s="141">
        <f t="shared" si="590"/>
        <v>1</v>
      </c>
      <c r="AY533" s="141">
        <f t="shared" si="591"/>
        <v>1</v>
      </c>
      <c r="AZ533">
        <f t="shared" si="592"/>
        <v>0</v>
      </c>
      <c r="BA533">
        <f t="shared" si="593"/>
        <v>1</v>
      </c>
      <c r="BB533">
        <f t="shared" si="594"/>
        <v>0</v>
      </c>
      <c r="BC533">
        <f t="shared" si="595"/>
        <v>0</v>
      </c>
      <c r="BD533">
        <f t="shared" si="596"/>
        <v>0</v>
      </c>
      <c r="BE533" t="str">
        <f t="array" ref="BE533">IF(AY533=1,INDEX($V$7:$AL$7,MATCH(TRUE,INDEX($V533:$AW533&lt;&gt;0,),0)),IF(AY533=0,INDEX($AM$7:$AW$7,MATCH(1,$AM533:$AW533,0)),IF(BF533="Multiple strategies","mixed drivers",IF(BF533="Supply chain","multiple supply","multiple silviculture"))))</f>
        <v>supply chain organization</v>
      </c>
      <c r="BF533" s="2" t="str" cm="1">
        <f t="array" ref="BF533">IF(COUNTIF(AZ533:BB533,"&lt;&gt;0")=1,INDEX($V$4:$AW$4,MATCH(TRUE,INDEX($V533:$AW533&lt;&gt;0,),0)),IF(COUNTIF(AZ533:BB533,"&lt;&gt;0")=0,INDEX($AM$4:$AW$4,MATCH(1,$AM533:$AW533,0)),"Multiple strategies"))</f>
        <v>Supply chain</v>
      </c>
      <c r="BG533" s="1" t="s">
        <v>321</v>
      </c>
      <c r="BH533" t="s">
        <v>1409</v>
      </c>
      <c r="BI533" s="260" t="s">
        <v>3317</v>
      </c>
      <c r="BJ533" t="s">
        <v>1358</v>
      </c>
      <c r="BK533" s="264">
        <v>14.61</v>
      </c>
      <c r="BL533" s="264">
        <v>14.61</v>
      </c>
      <c r="BN533" s="227">
        <f t="shared" si="616"/>
        <v>0</v>
      </c>
      <c r="BO533">
        <f t="shared" si="619"/>
        <v>0</v>
      </c>
      <c r="BP533" t="s">
        <v>232</v>
      </c>
      <c r="BQ533" s="260" t="s">
        <v>3320</v>
      </c>
      <c r="BR533" t="s">
        <v>1299</v>
      </c>
      <c r="BS533" s="152"/>
      <c r="BT533" s="152"/>
      <c r="BU533" s="144"/>
      <c r="BV533" s="285">
        <v>0</v>
      </c>
      <c r="BX533">
        <f t="shared" si="597"/>
        <v>0</v>
      </c>
      <c r="BY533" t="str">
        <f t="shared" si="557"/>
        <v/>
      </c>
      <c r="BZ533">
        <v>0</v>
      </c>
      <c r="CA533">
        <v>0</v>
      </c>
      <c r="CB533">
        <v>0</v>
      </c>
      <c r="CC533">
        <v>0</v>
      </c>
      <c r="CD533">
        <v>0</v>
      </c>
      <c r="CE533">
        <v>0</v>
      </c>
      <c r="CF533">
        <v>0</v>
      </c>
      <c r="CG533">
        <v>0</v>
      </c>
      <c r="CH533">
        <v>0</v>
      </c>
      <c r="CI533">
        <v>0</v>
      </c>
      <c r="CJ533">
        <v>0</v>
      </c>
      <c r="CK533">
        <v>0</v>
      </c>
      <c r="CL533">
        <v>0</v>
      </c>
      <c r="CM533">
        <v>0</v>
      </c>
      <c r="CN533" t="str">
        <f t="shared" si="598"/>
        <v>refOK</v>
      </c>
      <c r="CO533"/>
      <c r="CP533"/>
      <c r="CQ533">
        <f t="shared" si="620"/>
        <v>0</v>
      </c>
      <c r="CR533">
        <f t="shared" si="600"/>
        <v>0</v>
      </c>
      <c r="CS533">
        <f t="shared" si="601"/>
        <v>0</v>
      </c>
      <c r="CT533">
        <f t="shared" si="602"/>
        <v>0</v>
      </c>
      <c r="CU533" t="str">
        <f t="shared" si="603"/>
        <v/>
      </c>
      <c r="CV533" s="2" t="str">
        <f t="shared" si="604"/>
        <v/>
      </c>
      <c r="CW533" s="1" t="s">
        <v>1198</v>
      </c>
      <c r="CX533" t="str">
        <f t="shared" si="605"/>
        <v>reg</v>
      </c>
      <c r="CY533" t="s">
        <v>428</v>
      </c>
      <c r="CZ533">
        <v>2020</v>
      </c>
      <c r="DA533">
        <v>2050</v>
      </c>
      <c r="DB533">
        <v>30</v>
      </c>
      <c r="DC533" t="str">
        <f t="shared" si="606"/>
        <v>1-30</v>
      </c>
      <c r="DD533">
        <v>0</v>
      </c>
      <c r="DE533">
        <v>0</v>
      </c>
      <c r="DF533">
        <v>1</v>
      </c>
      <c r="DG533">
        <v>1</v>
      </c>
      <c r="DI533">
        <f t="shared" si="607"/>
        <v>2</v>
      </c>
      <c r="DJ533" t="str">
        <f t="shared" si="608"/>
        <v>mixedProduct</v>
      </c>
      <c r="DK533">
        <f t="shared" si="609"/>
        <v>0</v>
      </c>
      <c r="DL533">
        <f t="shared" si="610"/>
        <v>0</v>
      </c>
      <c r="DM533" t="str">
        <f t="shared" si="611"/>
        <v>Pulp/Paper</v>
      </c>
      <c r="DN533" t="str">
        <f t="shared" si="612"/>
        <v>Timber</v>
      </c>
      <c r="DO533">
        <v>0</v>
      </c>
      <c r="DP533">
        <v>1</v>
      </c>
      <c r="DQ533" t="s">
        <v>1410</v>
      </c>
      <c r="DR533" t="s">
        <v>1411</v>
      </c>
      <c r="DS533">
        <v>0</v>
      </c>
      <c r="DT533">
        <f t="shared" si="613"/>
        <v>1</v>
      </c>
      <c r="DU533" s="143" t="str">
        <f t="shared" si="614"/>
        <v>external DF used</v>
      </c>
      <c r="DV533">
        <v>1</v>
      </c>
      <c r="DW533">
        <v>1</v>
      </c>
      <c r="DX533">
        <v>1</v>
      </c>
      <c r="DY533">
        <v>0</v>
      </c>
      <c r="DZ533">
        <v>0</v>
      </c>
      <c r="EA533" s="143">
        <v>0</v>
      </c>
      <c r="EB533">
        <v>0</v>
      </c>
      <c r="EC533">
        <v>0</v>
      </c>
      <c r="ED533">
        <v>0</v>
      </c>
      <c r="EE533">
        <v>0</v>
      </c>
      <c r="EF533">
        <v>1</v>
      </c>
      <c r="EG533" s="143">
        <v>0</v>
      </c>
      <c r="EH533" s="143">
        <v>0</v>
      </c>
      <c r="EI533" s="2">
        <v>0</v>
      </c>
      <c r="EK533" t="str">
        <f t="shared" si="617"/>
        <v/>
      </c>
      <c r="EL533" t="str">
        <f t="shared" si="618"/>
        <v>Ecosystem approach</v>
      </c>
      <c r="EM533" s="2" t="str">
        <f t="shared" si="558"/>
        <v/>
      </c>
      <c r="EP533" t="b">
        <f>IF(ISNUMBER(BU533),IF(ABS(BU533-[5]QC_indicators!$B$2)&gt;3*[5]QC_indicators!$C$2,"C ratio",IF(ISNUMBER(BY533),IF(ABS(BY533-[5]QC_indicators!$B$1)&gt;3*[5]QC_indicators!$C$1,"DF","no"))),IF(ISNUMBER(BY533),IF(ABS(BY533-[5]QC_indicators!$B$1)&gt;3*[5]QC_indicators!$C$1,"DF","no")))</f>
        <v>0</v>
      </c>
      <c r="EQ533" t="s">
        <v>286</v>
      </c>
      <c r="ER533" s="149" t="s">
        <v>349</v>
      </c>
      <c r="ET533" s="264" t="s">
        <v>3272</v>
      </c>
    </row>
    <row r="534" spans="1:150" ht="15" hidden="1" customHeight="1">
      <c r="A534" s="1" t="s">
        <v>1399</v>
      </c>
      <c r="B534" t="s">
        <v>1400</v>
      </c>
      <c r="C534" t="s">
        <v>1401</v>
      </c>
      <c r="D534" t="s">
        <v>1402</v>
      </c>
      <c r="E534" t="s">
        <v>1403</v>
      </c>
      <c r="F534" t="s">
        <v>1404</v>
      </c>
      <c r="G534" t="s">
        <v>1405</v>
      </c>
      <c r="H534" t="s">
        <v>254</v>
      </c>
      <c r="I534">
        <v>2021</v>
      </c>
      <c r="J534">
        <v>0</v>
      </c>
      <c r="K534" t="s">
        <v>1406</v>
      </c>
      <c r="M534" t="str">
        <f t="shared" si="615"/>
        <v>Dugan_2021</v>
      </c>
      <c r="N534" t="s">
        <v>222</v>
      </c>
      <c r="O534" s="145" t="s">
        <v>274</v>
      </c>
      <c r="Q534" t="s">
        <v>256</v>
      </c>
      <c r="R534" s="255" t="s">
        <v>225</v>
      </c>
      <c r="S534" s="1" t="s">
        <v>1416</v>
      </c>
      <c r="T534" t="s">
        <v>1110</v>
      </c>
      <c r="U534" t="s">
        <v>1398</v>
      </c>
      <c r="V534">
        <v>0</v>
      </c>
      <c r="W534">
        <v>0</v>
      </c>
      <c r="X534">
        <v>0</v>
      </c>
      <c r="Y534">
        <v>0</v>
      </c>
      <c r="Z534">
        <v>0</v>
      </c>
      <c r="AA534">
        <v>0</v>
      </c>
      <c r="AB534">
        <v>0</v>
      </c>
      <c r="AC534">
        <v>0</v>
      </c>
      <c r="AD534">
        <v>0</v>
      </c>
      <c r="AE534">
        <v>0</v>
      </c>
      <c r="AF534">
        <v>1</v>
      </c>
      <c r="AG534">
        <v>0</v>
      </c>
      <c r="AH534">
        <v>0</v>
      </c>
      <c r="AI534">
        <v>0</v>
      </c>
      <c r="AJ534">
        <v>0</v>
      </c>
      <c r="AK534">
        <v>0</v>
      </c>
      <c r="AL534">
        <v>0</v>
      </c>
      <c r="AM534">
        <v>0</v>
      </c>
      <c r="AN534">
        <v>0</v>
      </c>
      <c r="AO534">
        <v>0</v>
      </c>
      <c r="AP534">
        <v>0</v>
      </c>
      <c r="AQ534">
        <v>0</v>
      </c>
      <c r="AR534">
        <v>0</v>
      </c>
      <c r="AS534">
        <v>0</v>
      </c>
      <c r="AT534">
        <v>0</v>
      </c>
      <c r="AU534">
        <v>0</v>
      </c>
      <c r="AV534">
        <v>0</v>
      </c>
      <c r="AW534">
        <v>0</v>
      </c>
      <c r="AX534" s="141">
        <f t="shared" si="590"/>
        <v>1</v>
      </c>
      <c r="AY534" s="141">
        <f t="shared" si="591"/>
        <v>1</v>
      </c>
      <c r="AZ534">
        <f t="shared" si="592"/>
        <v>0</v>
      </c>
      <c r="BA534">
        <f t="shared" si="593"/>
        <v>1</v>
      </c>
      <c r="BB534">
        <f t="shared" si="594"/>
        <v>0</v>
      </c>
      <c r="BC534">
        <f t="shared" si="595"/>
        <v>0</v>
      </c>
      <c r="BD534">
        <f t="shared" si="596"/>
        <v>0</v>
      </c>
      <c r="BE534" t="str">
        <f t="array" ref="BE534">IF(AY534=1,INDEX($V$7:$AL$7,MATCH(TRUE,INDEX($V534:$AW534&lt;&gt;0,),0)),IF(AY534=0,INDEX($AM$7:$AW$7,MATCH(1,$AM534:$AW534,0)),IF(BF534="Multiple strategies","mixed drivers",IF(BF534="Supply chain","multiple supply","multiple silviculture"))))</f>
        <v>supply chain organization</v>
      </c>
      <c r="BF534" s="2" t="str" cm="1">
        <f t="array" ref="BF534">IF(COUNTIF(AZ534:BB534,"&lt;&gt;0")=1,INDEX($V$4:$AW$4,MATCH(TRUE,INDEX($V534:$AW534&lt;&gt;0,),0)),IF(COUNTIF(AZ534:BB534,"&lt;&gt;0")=0,INDEX($AM$4:$AW$4,MATCH(1,$AM534:$AW534,0)),"Multiple strategies"))</f>
        <v>Supply chain</v>
      </c>
      <c r="BG534" s="1" t="s">
        <v>321</v>
      </c>
      <c r="BH534" t="s">
        <v>1409</v>
      </c>
      <c r="BI534" s="260" t="s">
        <v>3317</v>
      </c>
      <c r="BJ534" t="s">
        <v>1358</v>
      </c>
      <c r="BK534" s="264">
        <v>14.61</v>
      </c>
      <c r="BL534" s="264">
        <v>14.61</v>
      </c>
      <c r="BN534" s="227">
        <f t="shared" si="616"/>
        <v>0</v>
      </c>
      <c r="BO534">
        <f t="shared" si="619"/>
        <v>0</v>
      </c>
      <c r="BP534" t="s">
        <v>232</v>
      </c>
      <c r="BQ534" s="260" t="s">
        <v>3318</v>
      </c>
      <c r="BR534" t="s">
        <v>1299</v>
      </c>
      <c r="BS534" s="152"/>
      <c r="BT534" s="152"/>
      <c r="BU534" s="144"/>
      <c r="BV534" s="284">
        <v>4.3247863247863201</v>
      </c>
      <c r="BX534">
        <f t="shared" si="597"/>
        <v>4324786.3247863203</v>
      </c>
      <c r="BY534" t="str">
        <f t="shared" si="557"/>
        <v/>
      </c>
      <c r="BZ534">
        <v>0</v>
      </c>
      <c r="CA534">
        <v>0</v>
      </c>
      <c r="CB534">
        <v>0</v>
      </c>
      <c r="CC534">
        <v>0</v>
      </c>
      <c r="CD534">
        <v>0</v>
      </c>
      <c r="CE534">
        <v>0</v>
      </c>
      <c r="CF534">
        <v>0</v>
      </c>
      <c r="CG534">
        <v>0</v>
      </c>
      <c r="CH534">
        <v>0</v>
      </c>
      <c r="CI534">
        <v>0</v>
      </c>
      <c r="CJ534">
        <v>0</v>
      </c>
      <c r="CK534">
        <v>0</v>
      </c>
      <c r="CL534">
        <v>0</v>
      </c>
      <c r="CM534">
        <v>0</v>
      </c>
      <c r="CN534" t="str">
        <f t="shared" si="598"/>
        <v>refOK</v>
      </c>
      <c r="CO534"/>
      <c r="CP534"/>
      <c r="CQ534">
        <f t="shared" si="620"/>
        <v>0</v>
      </c>
      <c r="CR534">
        <f t="shared" si="600"/>
        <v>0</v>
      </c>
      <c r="CS534">
        <f t="shared" si="601"/>
        <v>0</v>
      </c>
      <c r="CT534">
        <f t="shared" si="602"/>
        <v>4324786.3247863203</v>
      </c>
      <c r="CU534" t="str">
        <f t="shared" si="603"/>
        <v/>
      </c>
      <c r="CV534" s="2" t="str">
        <f t="shared" si="604"/>
        <v/>
      </c>
      <c r="CW534" s="1" t="s">
        <v>1198</v>
      </c>
      <c r="CX534" t="str">
        <f t="shared" si="605"/>
        <v>reg</v>
      </c>
      <c r="CY534" t="s">
        <v>428</v>
      </c>
      <c r="CZ534">
        <v>2020</v>
      </c>
      <c r="DA534">
        <v>2050</v>
      </c>
      <c r="DB534">
        <v>30</v>
      </c>
      <c r="DC534" t="str">
        <f t="shared" si="606"/>
        <v>1-30</v>
      </c>
      <c r="DD534">
        <v>0</v>
      </c>
      <c r="DE534">
        <v>0</v>
      </c>
      <c r="DF534">
        <v>1</v>
      </c>
      <c r="DG534">
        <v>1</v>
      </c>
      <c r="DI534">
        <f t="shared" si="607"/>
        <v>2</v>
      </c>
      <c r="DJ534" t="str">
        <f t="shared" si="608"/>
        <v>mixedProduct</v>
      </c>
      <c r="DK534">
        <f t="shared" si="609"/>
        <v>0</v>
      </c>
      <c r="DL534">
        <f t="shared" si="610"/>
        <v>0</v>
      </c>
      <c r="DM534" t="str">
        <f t="shared" si="611"/>
        <v>Pulp/Paper</v>
      </c>
      <c r="DN534" t="str">
        <f t="shared" si="612"/>
        <v>Timber</v>
      </c>
      <c r="DO534">
        <v>0</v>
      </c>
      <c r="DP534">
        <v>1</v>
      </c>
      <c r="DQ534" t="s">
        <v>1410</v>
      </c>
      <c r="DR534" t="s">
        <v>1411</v>
      </c>
      <c r="DS534">
        <v>0</v>
      </c>
      <c r="DT534">
        <f t="shared" si="613"/>
        <v>1</v>
      </c>
      <c r="DU534" s="143" t="str">
        <f t="shared" si="614"/>
        <v>external DF used</v>
      </c>
      <c r="DV534">
        <v>1</v>
      </c>
      <c r="DW534">
        <v>1</v>
      </c>
      <c r="DX534">
        <v>1</v>
      </c>
      <c r="DY534">
        <v>1</v>
      </c>
      <c r="DZ534">
        <v>0</v>
      </c>
      <c r="EA534" s="143">
        <v>0</v>
      </c>
      <c r="EB534">
        <v>0</v>
      </c>
      <c r="EC534">
        <v>0</v>
      </c>
      <c r="ED534">
        <v>0</v>
      </c>
      <c r="EE534">
        <v>0</v>
      </c>
      <c r="EF534">
        <v>1</v>
      </c>
      <c r="EG534" s="143">
        <v>0</v>
      </c>
      <c r="EH534" s="143">
        <v>0</v>
      </c>
      <c r="EI534" s="2">
        <v>0</v>
      </c>
      <c r="EK534" t="str">
        <f t="shared" si="617"/>
        <v/>
      </c>
      <c r="EL534" t="str">
        <f t="shared" si="618"/>
        <v>Ecosystem approach</v>
      </c>
      <c r="EM534" s="2" t="str">
        <f t="shared" si="558"/>
        <v/>
      </c>
      <c r="EP534" t="b">
        <f>IF(ISNUMBER(BU534),IF(ABS(BU534-[5]QC_indicators!$B$2)&gt;3*[5]QC_indicators!$C$2,"C ratio",IF(ISNUMBER(BY534),IF(ABS(BY534-[5]QC_indicators!$B$1)&gt;3*[5]QC_indicators!$C$1,"DF","no"))),IF(ISNUMBER(BY534),IF(ABS(BY534-[5]QC_indicators!$B$1)&gt;3*[5]QC_indicators!$C$1,"DF","no")))</f>
        <v>0</v>
      </c>
      <c r="EQ534" t="s">
        <v>286</v>
      </c>
      <c r="ER534" s="149" t="s">
        <v>349</v>
      </c>
      <c r="ET534" s="264" t="s">
        <v>3272</v>
      </c>
    </row>
    <row r="535" spans="1:150" ht="15" hidden="1" customHeight="1">
      <c r="A535" s="1" t="s">
        <v>1399</v>
      </c>
      <c r="B535" t="s">
        <v>1400</v>
      </c>
      <c r="C535" t="s">
        <v>1401</v>
      </c>
      <c r="D535" t="s">
        <v>1402</v>
      </c>
      <c r="E535" t="s">
        <v>1403</v>
      </c>
      <c r="F535" t="s">
        <v>1404</v>
      </c>
      <c r="G535" t="s">
        <v>1405</v>
      </c>
      <c r="H535" t="s">
        <v>254</v>
      </c>
      <c r="I535">
        <v>2021</v>
      </c>
      <c r="J535">
        <v>0</v>
      </c>
      <c r="K535" t="s">
        <v>1406</v>
      </c>
      <c r="M535" t="str">
        <f t="shared" si="615"/>
        <v>Dugan_2021</v>
      </c>
      <c r="N535" t="s">
        <v>222</v>
      </c>
      <c r="O535" s="145" t="s">
        <v>274</v>
      </c>
      <c r="Q535" t="s">
        <v>256</v>
      </c>
      <c r="R535" s="255" t="s">
        <v>225</v>
      </c>
      <c r="S535" s="1" t="s">
        <v>1420</v>
      </c>
      <c r="T535" t="s">
        <v>1421</v>
      </c>
      <c r="U535" t="s">
        <v>1413</v>
      </c>
      <c r="V535">
        <v>0</v>
      </c>
      <c r="W535">
        <v>0</v>
      </c>
      <c r="X535">
        <v>0</v>
      </c>
      <c r="Y535">
        <v>0</v>
      </c>
      <c r="Z535">
        <v>0</v>
      </c>
      <c r="AA535">
        <v>0</v>
      </c>
      <c r="AB535">
        <v>0</v>
      </c>
      <c r="AC535">
        <v>0</v>
      </c>
      <c r="AD535">
        <v>0</v>
      </c>
      <c r="AE535">
        <v>0</v>
      </c>
      <c r="AF535">
        <v>1</v>
      </c>
      <c r="AG535">
        <v>0</v>
      </c>
      <c r="AH535">
        <v>0</v>
      </c>
      <c r="AI535">
        <v>0</v>
      </c>
      <c r="AJ535">
        <v>0</v>
      </c>
      <c r="AK535">
        <v>0</v>
      </c>
      <c r="AL535">
        <v>0</v>
      </c>
      <c r="AM535">
        <v>0</v>
      </c>
      <c r="AN535">
        <v>0</v>
      </c>
      <c r="AO535">
        <v>0</v>
      </c>
      <c r="AP535">
        <v>0</v>
      </c>
      <c r="AQ535">
        <v>0</v>
      </c>
      <c r="AR535">
        <v>0</v>
      </c>
      <c r="AS535">
        <v>0</v>
      </c>
      <c r="AT535">
        <v>0</v>
      </c>
      <c r="AU535">
        <v>0</v>
      </c>
      <c r="AV535">
        <v>0</v>
      </c>
      <c r="AW535">
        <v>0</v>
      </c>
      <c r="AX535" s="141">
        <f t="shared" si="590"/>
        <v>1</v>
      </c>
      <c r="AY535" s="141">
        <f t="shared" si="591"/>
        <v>1</v>
      </c>
      <c r="AZ535">
        <f t="shared" si="592"/>
        <v>0</v>
      </c>
      <c r="BA535">
        <f t="shared" si="593"/>
        <v>1</v>
      </c>
      <c r="BB535">
        <f t="shared" si="594"/>
        <v>0</v>
      </c>
      <c r="BC535">
        <f t="shared" si="595"/>
        <v>0</v>
      </c>
      <c r="BD535">
        <f t="shared" si="596"/>
        <v>0</v>
      </c>
      <c r="BE535" t="str">
        <f t="array" ref="BE535">IF(AY535=1,INDEX($V$7:$AL$7,MATCH(TRUE,INDEX($V535:$AW535&lt;&gt;0,),0)),IF(AY535=0,INDEX($AM$7:$AW$7,MATCH(1,$AM535:$AW535,0)),IF(BF535="Multiple strategies","mixed drivers",IF(BF535="Supply chain","multiple supply","multiple silviculture"))))</f>
        <v>supply chain organization</v>
      </c>
      <c r="BF535" s="2" t="str" cm="1">
        <f t="array" ref="BF535">IF(COUNTIF(AZ535:BB535,"&lt;&gt;0")=1,INDEX($V$4:$AW$4,MATCH(TRUE,INDEX($V535:$AW535&lt;&gt;0,),0)),IF(COUNTIF(AZ535:BB535,"&lt;&gt;0")=0,INDEX($AM$4:$AW$4,MATCH(1,$AM535:$AW535,0)),"Multiple strategies"))</f>
        <v>Supply chain</v>
      </c>
      <c r="BG535" s="1" t="s">
        <v>321</v>
      </c>
      <c r="BH535" t="s">
        <v>1409</v>
      </c>
      <c r="BI535" s="260" t="s">
        <v>3317</v>
      </c>
      <c r="BJ535" t="s">
        <v>1358</v>
      </c>
      <c r="BK535" s="264">
        <f>14.61*1.1</f>
        <v>16.071000000000002</v>
      </c>
      <c r="BL535" s="264">
        <f>14.61*1.1</f>
        <v>16.071000000000002</v>
      </c>
      <c r="BN535" s="227">
        <f t="shared" si="616"/>
        <v>0</v>
      </c>
      <c r="BO535">
        <f t="shared" si="619"/>
        <v>0</v>
      </c>
      <c r="BP535" t="s">
        <v>232</v>
      </c>
      <c r="BQ535" s="260" t="s">
        <v>3318</v>
      </c>
      <c r="BR535" t="s">
        <v>1299</v>
      </c>
      <c r="BS535" s="152"/>
      <c r="BT535" s="152"/>
      <c r="BU535" s="144"/>
      <c r="BV535" s="284">
        <v>3.54188034188034</v>
      </c>
      <c r="BX535">
        <f t="shared" si="597"/>
        <v>3541880.3418803401</v>
      </c>
      <c r="BY535" t="str">
        <f t="shared" si="557"/>
        <v/>
      </c>
      <c r="BZ535">
        <v>0</v>
      </c>
      <c r="CA535">
        <v>0</v>
      </c>
      <c r="CB535">
        <v>0</v>
      </c>
      <c r="CC535">
        <v>0</v>
      </c>
      <c r="CD535">
        <v>0</v>
      </c>
      <c r="CE535">
        <v>0</v>
      </c>
      <c r="CF535">
        <v>0</v>
      </c>
      <c r="CG535">
        <v>0</v>
      </c>
      <c r="CH535">
        <v>0</v>
      </c>
      <c r="CI535">
        <v>0</v>
      </c>
      <c r="CJ535">
        <v>0</v>
      </c>
      <c r="CK535">
        <v>0</v>
      </c>
      <c r="CL535">
        <v>0</v>
      </c>
      <c r="CM535">
        <v>0</v>
      </c>
      <c r="CN535" t="str">
        <f t="shared" si="598"/>
        <v>refOK</v>
      </c>
      <c r="CO535"/>
      <c r="CP535"/>
      <c r="CQ535">
        <f t="shared" si="620"/>
        <v>0</v>
      </c>
      <c r="CR535">
        <f t="shared" si="600"/>
        <v>0</v>
      </c>
      <c r="CS535">
        <f t="shared" si="601"/>
        <v>0</v>
      </c>
      <c r="CT535">
        <f t="shared" si="602"/>
        <v>3541880.3418803401</v>
      </c>
      <c r="CU535" t="str">
        <f t="shared" si="603"/>
        <v/>
      </c>
      <c r="CV535" s="2" t="str">
        <f t="shared" si="604"/>
        <v/>
      </c>
      <c r="CW535" s="1" t="s">
        <v>1198</v>
      </c>
      <c r="CX535" t="str">
        <f t="shared" si="605"/>
        <v>reg</v>
      </c>
      <c r="CY535" t="s">
        <v>428</v>
      </c>
      <c r="CZ535">
        <v>2020</v>
      </c>
      <c r="DA535">
        <v>2050</v>
      </c>
      <c r="DB535">
        <v>30</v>
      </c>
      <c r="DC535" t="str">
        <f t="shared" si="606"/>
        <v>1-30</v>
      </c>
      <c r="DD535">
        <v>0</v>
      </c>
      <c r="DE535">
        <v>1</v>
      </c>
      <c r="DF535">
        <v>0</v>
      </c>
      <c r="DG535">
        <v>0</v>
      </c>
      <c r="DI535">
        <f t="shared" si="607"/>
        <v>1</v>
      </c>
      <c r="DJ535" t="str">
        <f t="shared" si="608"/>
        <v>EnergyInput</v>
      </c>
      <c r="DK535">
        <f t="shared" si="609"/>
        <v>0</v>
      </c>
      <c r="DL535" t="str">
        <f t="shared" si="610"/>
        <v>Energy</v>
      </c>
      <c r="DM535">
        <f t="shared" si="611"/>
        <v>0</v>
      </c>
      <c r="DN535">
        <f t="shared" si="612"/>
        <v>0</v>
      </c>
      <c r="DO535">
        <v>0</v>
      </c>
      <c r="DP535">
        <v>1</v>
      </c>
      <c r="DQ535" t="s">
        <v>1410</v>
      </c>
      <c r="DR535" t="s">
        <v>1411</v>
      </c>
      <c r="DS535">
        <v>0</v>
      </c>
      <c r="DT535">
        <f t="shared" si="613"/>
        <v>1</v>
      </c>
      <c r="DU535" s="143" t="str">
        <f t="shared" si="614"/>
        <v>external DF used</v>
      </c>
      <c r="DV535">
        <v>1</v>
      </c>
      <c r="DW535">
        <v>1</v>
      </c>
      <c r="DX535">
        <v>1</v>
      </c>
      <c r="DY535">
        <v>1</v>
      </c>
      <c r="DZ535">
        <v>0</v>
      </c>
      <c r="EA535" s="143">
        <v>0</v>
      </c>
      <c r="EB535">
        <v>0</v>
      </c>
      <c r="EC535">
        <v>0</v>
      </c>
      <c r="ED535">
        <v>0</v>
      </c>
      <c r="EE535">
        <v>0</v>
      </c>
      <c r="EF535">
        <v>1</v>
      </c>
      <c r="EG535" s="143">
        <v>0</v>
      </c>
      <c r="EH535" s="143">
        <v>0</v>
      </c>
      <c r="EI535" s="2">
        <v>0</v>
      </c>
      <c r="EK535" t="str">
        <f t="shared" si="617"/>
        <v/>
      </c>
      <c r="EL535" t="str">
        <f t="shared" si="618"/>
        <v>Ecosystem approach</v>
      </c>
      <c r="EM535" s="2" t="str">
        <f t="shared" si="558"/>
        <v/>
      </c>
      <c r="EP535" t="b">
        <f>IF(ISNUMBER(BU535),IF(ABS(BU535-[5]QC_indicators!$B$2)&gt;3*[5]QC_indicators!$C$2,"C ratio",IF(ISNUMBER(BY535),IF(ABS(BY535-[5]QC_indicators!$B$1)&gt;3*[5]QC_indicators!$C$1,"DF","no"))),IF(ISNUMBER(BY535),IF(ABS(BY535-[5]QC_indicators!$B$1)&gt;3*[5]QC_indicators!$C$1,"DF","no")))</f>
        <v>0</v>
      </c>
      <c r="EQ535" t="s">
        <v>286</v>
      </c>
      <c r="ER535" s="149" t="s">
        <v>349</v>
      </c>
      <c r="ET535" s="264" t="s">
        <v>3272</v>
      </c>
    </row>
    <row r="536" spans="1:150" ht="15" hidden="1" customHeight="1">
      <c r="A536" s="1" t="s">
        <v>1399</v>
      </c>
      <c r="B536" t="s">
        <v>1400</v>
      </c>
      <c r="C536" t="s">
        <v>1401</v>
      </c>
      <c r="D536" t="s">
        <v>1402</v>
      </c>
      <c r="E536" t="s">
        <v>1403</v>
      </c>
      <c r="F536" t="s">
        <v>1404</v>
      </c>
      <c r="G536" t="s">
        <v>1405</v>
      </c>
      <c r="H536" t="s">
        <v>254</v>
      </c>
      <c r="I536">
        <v>2021</v>
      </c>
      <c r="J536">
        <v>0</v>
      </c>
      <c r="K536" t="s">
        <v>1406</v>
      </c>
      <c r="M536" t="str">
        <f t="shared" si="615"/>
        <v>Dugan_2021</v>
      </c>
      <c r="N536" t="s">
        <v>222</v>
      </c>
      <c r="O536" s="145" t="s">
        <v>274</v>
      </c>
      <c r="Q536" t="s">
        <v>256</v>
      </c>
      <c r="R536" s="255" t="s">
        <v>225</v>
      </c>
      <c r="S536" s="1" t="s">
        <v>1416</v>
      </c>
      <c r="T536" t="s">
        <v>1417</v>
      </c>
      <c r="U536" t="s">
        <v>1110</v>
      </c>
      <c r="V536">
        <v>0</v>
      </c>
      <c r="W536">
        <v>0</v>
      </c>
      <c r="X536">
        <v>0</v>
      </c>
      <c r="Y536">
        <v>0</v>
      </c>
      <c r="Z536">
        <v>0</v>
      </c>
      <c r="AA536">
        <v>0</v>
      </c>
      <c r="AB536">
        <v>0</v>
      </c>
      <c r="AC536">
        <v>0</v>
      </c>
      <c r="AD536">
        <v>0</v>
      </c>
      <c r="AE536">
        <v>0</v>
      </c>
      <c r="AF536">
        <v>1</v>
      </c>
      <c r="AG536">
        <v>0</v>
      </c>
      <c r="AH536">
        <v>0</v>
      </c>
      <c r="AI536">
        <v>0</v>
      </c>
      <c r="AJ536">
        <v>0</v>
      </c>
      <c r="AK536">
        <v>0</v>
      </c>
      <c r="AL536">
        <v>0</v>
      </c>
      <c r="AM536">
        <v>0</v>
      </c>
      <c r="AN536">
        <v>0</v>
      </c>
      <c r="AO536">
        <v>0</v>
      </c>
      <c r="AP536">
        <v>0</v>
      </c>
      <c r="AQ536">
        <v>0</v>
      </c>
      <c r="AR536">
        <v>0</v>
      </c>
      <c r="AS536">
        <v>0</v>
      </c>
      <c r="AT536">
        <v>0</v>
      </c>
      <c r="AU536">
        <v>0</v>
      </c>
      <c r="AV536">
        <v>0</v>
      </c>
      <c r="AW536">
        <v>0</v>
      </c>
      <c r="AX536" s="141">
        <f t="shared" si="590"/>
        <v>1</v>
      </c>
      <c r="AY536" s="141">
        <f t="shared" si="591"/>
        <v>1</v>
      </c>
      <c r="AZ536">
        <f t="shared" si="592"/>
        <v>0</v>
      </c>
      <c r="BA536">
        <f t="shared" si="593"/>
        <v>1</v>
      </c>
      <c r="BB536">
        <f t="shared" si="594"/>
        <v>0</v>
      </c>
      <c r="BC536">
        <f t="shared" si="595"/>
        <v>0</v>
      </c>
      <c r="BD536">
        <f t="shared" si="596"/>
        <v>0</v>
      </c>
      <c r="BE536" t="str">
        <f t="array" ref="BE536">IF(AY536=1,INDEX($V$7:$AL$7,MATCH(TRUE,INDEX($V536:$AW536&lt;&gt;0,),0)),IF(AY536=0,INDEX($AM$7:$AW$7,MATCH(1,$AM536:$AW536,0)),IF(BF536="Multiple strategies","mixed drivers",IF(BF536="Supply chain","multiple supply","multiple silviculture"))))</f>
        <v>supply chain organization</v>
      </c>
      <c r="BF536" s="2" t="str" cm="1">
        <f t="array" ref="BF536">IF(COUNTIF(AZ536:BB536,"&lt;&gt;0")=1,INDEX($V$4:$AW$4,MATCH(TRUE,INDEX($V536:$AW536&lt;&gt;0,),0)),IF(COUNTIF(AZ536:BB536,"&lt;&gt;0")=0,INDEX($AM$4:$AW$4,MATCH(1,$AM536:$AW536,0)),"Multiple strategies"))</f>
        <v>Supply chain</v>
      </c>
      <c r="BG536" s="1" t="s">
        <v>321</v>
      </c>
      <c r="BH536" t="s">
        <v>1409</v>
      </c>
      <c r="BI536" s="260" t="s">
        <v>3317</v>
      </c>
      <c r="BJ536" t="s">
        <v>1358</v>
      </c>
      <c r="BK536" s="264">
        <v>14.61</v>
      </c>
      <c r="BL536" s="264">
        <v>14.61</v>
      </c>
      <c r="BN536" s="227">
        <f t="shared" si="616"/>
        <v>0</v>
      </c>
      <c r="BO536">
        <f t="shared" si="619"/>
        <v>0</v>
      </c>
      <c r="BP536" t="s">
        <v>232</v>
      </c>
      <c r="BQ536" s="260" t="s">
        <v>3319</v>
      </c>
      <c r="BR536" t="s">
        <v>1299</v>
      </c>
      <c r="BS536" s="152"/>
      <c r="BT536" s="152"/>
      <c r="BU536" s="144"/>
      <c r="BV536" s="284">
        <v>4.8799013128910005</v>
      </c>
      <c r="BX536">
        <f t="shared" si="597"/>
        <v>4879901.3128910009</v>
      </c>
      <c r="BY536" t="str">
        <f t="shared" si="557"/>
        <v/>
      </c>
      <c r="BZ536">
        <v>0</v>
      </c>
      <c r="CA536">
        <v>0</v>
      </c>
      <c r="CB536">
        <v>0</v>
      </c>
      <c r="CC536">
        <v>0</v>
      </c>
      <c r="CD536">
        <v>0</v>
      </c>
      <c r="CE536">
        <v>0</v>
      </c>
      <c r="CF536">
        <v>0</v>
      </c>
      <c r="CG536">
        <v>0</v>
      </c>
      <c r="CH536">
        <v>0</v>
      </c>
      <c r="CI536">
        <v>0</v>
      </c>
      <c r="CJ536">
        <v>0</v>
      </c>
      <c r="CK536">
        <v>0</v>
      </c>
      <c r="CL536">
        <v>0</v>
      </c>
      <c r="CM536">
        <v>0</v>
      </c>
      <c r="CN536" t="str">
        <f>IF($BL536&lt;$BK536,"refNeedCorrection","refOK")</f>
        <v>refOK</v>
      </c>
      <c r="CO536"/>
      <c r="CP536"/>
      <c r="CQ536">
        <f t="shared" si="620"/>
        <v>0</v>
      </c>
      <c r="CR536">
        <f t="shared" si="600"/>
        <v>0</v>
      </c>
      <c r="CS536">
        <f t="shared" si="601"/>
        <v>0</v>
      </c>
      <c r="CT536">
        <f t="shared" si="602"/>
        <v>4879901.3128910009</v>
      </c>
      <c r="CU536" t="str">
        <f t="shared" si="603"/>
        <v/>
      </c>
      <c r="CV536" s="2" t="str">
        <f t="shared" si="604"/>
        <v/>
      </c>
      <c r="CW536" s="1" t="s">
        <v>1198</v>
      </c>
      <c r="CX536" t="str">
        <f t="shared" si="605"/>
        <v>reg</v>
      </c>
      <c r="CY536" t="s">
        <v>428</v>
      </c>
      <c r="CZ536">
        <v>2020</v>
      </c>
      <c r="DA536">
        <v>2050</v>
      </c>
      <c r="DB536">
        <v>30</v>
      </c>
      <c r="DC536" t="str">
        <f t="shared" si="606"/>
        <v>1-30</v>
      </c>
      <c r="DD536">
        <v>0</v>
      </c>
      <c r="DE536">
        <v>1</v>
      </c>
      <c r="DF536">
        <v>1</v>
      </c>
      <c r="DG536">
        <v>0</v>
      </c>
      <c r="DI536">
        <f t="shared" si="607"/>
        <v>2</v>
      </c>
      <c r="DJ536" t="str">
        <f t="shared" si="608"/>
        <v>mixedProduct</v>
      </c>
      <c r="DK536">
        <f t="shared" si="609"/>
        <v>0</v>
      </c>
      <c r="DL536" t="str">
        <f t="shared" si="610"/>
        <v>Energy</v>
      </c>
      <c r="DM536" t="str">
        <f t="shared" si="611"/>
        <v>Pulp/Paper</v>
      </c>
      <c r="DN536">
        <f t="shared" si="612"/>
        <v>0</v>
      </c>
      <c r="DO536">
        <v>0</v>
      </c>
      <c r="DP536">
        <v>1</v>
      </c>
      <c r="DQ536" t="s">
        <v>1410</v>
      </c>
      <c r="DR536" t="s">
        <v>1411</v>
      </c>
      <c r="DS536">
        <v>0</v>
      </c>
      <c r="DT536">
        <f t="shared" si="613"/>
        <v>1</v>
      </c>
      <c r="DU536" s="143" t="str">
        <f t="shared" si="614"/>
        <v>external DF used</v>
      </c>
      <c r="DV536">
        <v>1</v>
      </c>
      <c r="DW536">
        <v>1</v>
      </c>
      <c r="DX536">
        <v>1</v>
      </c>
      <c r="DY536">
        <v>1</v>
      </c>
      <c r="DZ536">
        <v>0</v>
      </c>
      <c r="EA536" s="143">
        <v>1</v>
      </c>
      <c r="EB536">
        <v>0</v>
      </c>
      <c r="EC536">
        <v>1</v>
      </c>
      <c r="ED536">
        <v>0</v>
      </c>
      <c r="EE536">
        <v>0</v>
      </c>
      <c r="EF536">
        <v>1</v>
      </c>
      <c r="EG536" s="143">
        <v>0</v>
      </c>
      <c r="EH536" s="143">
        <v>0</v>
      </c>
      <c r="EI536" s="2">
        <v>0</v>
      </c>
      <c r="EK536" t="str">
        <f t="shared" si="617"/>
        <v>Whole sector</v>
      </c>
      <c r="EL536" t="str">
        <f t="shared" si="618"/>
        <v/>
      </c>
      <c r="EM536" s="2" t="str">
        <f t="shared" si="558"/>
        <v/>
      </c>
      <c r="EP536" t="b">
        <f>IF(ISNUMBER(BU536),IF(ABS(BU536-[5]QC_indicators!$B$2)&gt;3*[5]QC_indicators!$C$2,"C ratio",IF(ISNUMBER(BY536),IF(ABS(BY536-[5]QC_indicators!$B$1)&gt;3*[5]QC_indicators!$C$1,"DF","no"))),IF(ISNUMBER(BY536),IF(ABS(BY536-[5]QC_indicators!$B$1)&gt;3*[5]QC_indicators!$C$1,"DF","no")))</f>
        <v>0</v>
      </c>
      <c r="EQ536" t="s">
        <v>286</v>
      </c>
      <c r="ER536" s="149" t="s">
        <v>349</v>
      </c>
      <c r="ET536" s="264" t="s">
        <v>3272</v>
      </c>
    </row>
    <row r="537" spans="1:150" ht="15" hidden="1" customHeight="1">
      <c r="A537" s="1" t="s">
        <v>1399</v>
      </c>
      <c r="B537" t="s">
        <v>1400</v>
      </c>
      <c r="C537" t="s">
        <v>1401</v>
      </c>
      <c r="D537" t="s">
        <v>1402</v>
      </c>
      <c r="E537" t="s">
        <v>1403</v>
      </c>
      <c r="F537" t="s">
        <v>1404</v>
      </c>
      <c r="G537" t="s">
        <v>1405</v>
      </c>
      <c r="H537" t="s">
        <v>254</v>
      </c>
      <c r="I537">
        <v>2021</v>
      </c>
      <c r="J537">
        <v>0</v>
      </c>
      <c r="K537" t="s">
        <v>1406</v>
      </c>
      <c r="M537" t="str">
        <f t="shared" si="615"/>
        <v>Dugan_2021</v>
      </c>
      <c r="N537" t="s">
        <v>222</v>
      </c>
      <c r="O537" s="145" t="s">
        <v>274</v>
      </c>
      <c r="Q537" t="s">
        <v>256</v>
      </c>
      <c r="R537" s="255" t="s">
        <v>225</v>
      </c>
      <c r="S537" s="1" t="s">
        <v>1420</v>
      </c>
      <c r="T537" t="s">
        <v>1421</v>
      </c>
      <c r="U537" t="s">
        <v>1413</v>
      </c>
      <c r="V537">
        <v>0</v>
      </c>
      <c r="W537">
        <v>0</v>
      </c>
      <c r="X537">
        <v>0</v>
      </c>
      <c r="Y537">
        <v>0</v>
      </c>
      <c r="Z537">
        <v>0</v>
      </c>
      <c r="AA537">
        <v>0</v>
      </c>
      <c r="AB537">
        <v>0</v>
      </c>
      <c r="AC537">
        <v>0</v>
      </c>
      <c r="AD537">
        <v>0</v>
      </c>
      <c r="AE537">
        <v>0</v>
      </c>
      <c r="AF537">
        <v>1</v>
      </c>
      <c r="AG537">
        <v>0</v>
      </c>
      <c r="AH537">
        <v>0</v>
      </c>
      <c r="AI537">
        <v>0</v>
      </c>
      <c r="AJ537">
        <v>0</v>
      </c>
      <c r="AK537">
        <v>0</v>
      </c>
      <c r="AL537">
        <v>0</v>
      </c>
      <c r="AM537">
        <v>0</v>
      </c>
      <c r="AN537">
        <v>0</v>
      </c>
      <c r="AO537">
        <v>0</v>
      </c>
      <c r="AP537">
        <v>0</v>
      </c>
      <c r="AQ537">
        <v>0</v>
      </c>
      <c r="AR537">
        <v>0</v>
      </c>
      <c r="AS537">
        <v>0</v>
      </c>
      <c r="AT537">
        <v>0</v>
      </c>
      <c r="AU537">
        <v>0</v>
      </c>
      <c r="AV537">
        <v>0</v>
      </c>
      <c r="AW537">
        <v>0</v>
      </c>
      <c r="AX537" s="141">
        <f t="shared" si="590"/>
        <v>1</v>
      </c>
      <c r="AY537" s="141">
        <f t="shared" si="591"/>
        <v>1</v>
      </c>
      <c r="AZ537">
        <f t="shared" si="592"/>
        <v>0</v>
      </c>
      <c r="BA537">
        <f t="shared" si="593"/>
        <v>1</v>
      </c>
      <c r="BB537">
        <f t="shared" si="594"/>
        <v>0</v>
      </c>
      <c r="BC537">
        <f t="shared" si="595"/>
        <v>0</v>
      </c>
      <c r="BD537">
        <f t="shared" si="596"/>
        <v>0</v>
      </c>
      <c r="BE537" t="str">
        <f t="array" ref="BE537">IF(AY537=1,INDEX($V$7:$AL$7,MATCH(TRUE,INDEX($V537:$AW537&lt;&gt;0,),0)),IF(AY537=0,INDEX($AM$7:$AW$7,MATCH(1,$AM537:$AW537,0)),IF(BF537="Multiple strategies","mixed drivers",IF(BF537="Supply chain","multiple supply","multiple silviculture"))))</f>
        <v>supply chain organization</v>
      </c>
      <c r="BF537" s="2" t="str" cm="1">
        <f t="array" ref="BF537">IF(COUNTIF(AZ537:BB537,"&lt;&gt;0")=1,INDEX($V$4:$AW$4,MATCH(TRUE,INDEX($V537:$AW537&lt;&gt;0,),0)),IF(COUNTIF(AZ537:BB537,"&lt;&gt;0")=0,INDEX($AM$4:$AW$4,MATCH(1,$AM537:$AW537,0)),"Multiple strategies"))</f>
        <v>Supply chain</v>
      </c>
      <c r="BG537" s="1" t="s">
        <v>321</v>
      </c>
      <c r="BH537" t="s">
        <v>1409</v>
      </c>
      <c r="BI537" s="260" t="s">
        <v>3317</v>
      </c>
      <c r="BJ537" t="s">
        <v>1358</v>
      </c>
      <c r="BK537" s="264">
        <f>14.61*1.1</f>
        <v>16.071000000000002</v>
      </c>
      <c r="BL537" s="264">
        <f>14.61*1.1</f>
        <v>16.071000000000002</v>
      </c>
      <c r="BN537" s="227">
        <f t="shared" si="616"/>
        <v>0</v>
      </c>
      <c r="BO537">
        <f t="shared" si="619"/>
        <v>0</v>
      </c>
      <c r="BP537" t="s">
        <v>232</v>
      </c>
      <c r="BQ537" s="260" t="s">
        <v>3320</v>
      </c>
      <c r="BR537" t="s">
        <v>1299</v>
      </c>
      <c r="BS537" s="152"/>
      <c r="BT537" s="152"/>
      <c r="BU537" s="144"/>
      <c r="BV537" s="285">
        <v>0</v>
      </c>
      <c r="BX537">
        <f t="shared" si="597"/>
        <v>0</v>
      </c>
      <c r="BY537" t="str">
        <f t="shared" si="557"/>
        <v/>
      </c>
      <c r="BZ537">
        <v>0</v>
      </c>
      <c r="CA537">
        <v>0</v>
      </c>
      <c r="CB537">
        <v>0</v>
      </c>
      <c r="CC537">
        <v>0</v>
      </c>
      <c r="CD537">
        <v>0</v>
      </c>
      <c r="CE537">
        <v>0</v>
      </c>
      <c r="CF537">
        <v>0</v>
      </c>
      <c r="CG537">
        <v>0</v>
      </c>
      <c r="CH537">
        <v>0</v>
      </c>
      <c r="CI537">
        <v>0</v>
      </c>
      <c r="CJ537">
        <v>0</v>
      </c>
      <c r="CK537">
        <v>0</v>
      </c>
      <c r="CL537">
        <v>0</v>
      </c>
      <c r="CM537">
        <v>0</v>
      </c>
      <c r="CN537" t="str">
        <f>IF(BL537&lt;BK537,"refNeedCorrection","refOK")</f>
        <v>refOK</v>
      </c>
      <c r="CO537"/>
      <c r="CP537"/>
      <c r="CQ537">
        <f t="shared" si="620"/>
        <v>0</v>
      </c>
      <c r="CR537">
        <f t="shared" si="600"/>
        <v>0</v>
      </c>
      <c r="CS537">
        <f t="shared" si="601"/>
        <v>0</v>
      </c>
      <c r="CT537">
        <f t="shared" si="602"/>
        <v>0</v>
      </c>
      <c r="CU537" t="str">
        <f t="shared" si="603"/>
        <v/>
      </c>
      <c r="CV537" s="2" t="str">
        <f t="shared" si="604"/>
        <v/>
      </c>
      <c r="CW537" s="1" t="s">
        <v>1198</v>
      </c>
      <c r="CX537" t="str">
        <f t="shared" si="605"/>
        <v>reg</v>
      </c>
      <c r="CY537" t="s">
        <v>428</v>
      </c>
      <c r="CZ537">
        <v>2020</v>
      </c>
      <c r="DA537">
        <v>2050</v>
      </c>
      <c r="DB537">
        <v>30</v>
      </c>
      <c r="DC537" t="str">
        <f t="shared" si="606"/>
        <v>1-30</v>
      </c>
      <c r="DD537">
        <v>0</v>
      </c>
      <c r="DE537">
        <v>1</v>
      </c>
      <c r="DF537">
        <v>0</v>
      </c>
      <c r="DG537">
        <v>0</v>
      </c>
      <c r="DI537">
        <f t="shared" si="607"/>
        <v>1</v>
      </c>
      <c r="DJ537" t="str">
        <f t="shared" si="608"/>
        <v>EnergyInput</v>
      </c>
      <c r="DK537">
        <f t="shared" si="609"/>
        <v>0</v>
      </c>
      <c r="DL537" t="str">
        <f t="shared" si="610"/>
        <v>Energy</v>
      </c>
      <c r="DM537">
        <f t="shared" si="611"/>
        <v>0</v>
      </c>
      <c r="DN537">
        <f t="shared" si="612"/>
        <v>0</v>
      </c>
      <c r="DO537">
        <v>0</v>
      </c>
      <c r="DP537">
        <v>1</v>
      </c>
      <c r="DQ537" t="s">
        <v>1410</v>
      </c>
      <c r="DR537" t="s">
        <v>1411</v>
      </c>
      <c r="DS537">
        <v>0</v>
      </c>
      <c r="DT537">
        <f t="shared" si="613"/>
        <v>1</v>
      </c>
      <c r="DU537" s="143" t="str">
        <f t="shared" si="614"/>
        <v>external DF used</v>
      </c>
      <c r="DV537">
        <v>1</v>
      </c>
      <c r="DW537">
        <v>1</v>
      </c>
      <c r="DX537">
        <v>1</v>
      </c>
      <c r="DY537">
        <v>0</v>
      </c>
      <c r="DZ537">
        <v>0</v>
      </c>
      <c r="EA537" s="143">
        <v>0</v>
      </c>
      <c r="EB537">
        <v>0</v>
      </c>
      <c r="EC537">
        <v>0</v>
      </c>
      <c r="ED537">
        <v>0</v>
      </c>
      <c r="EE537">
        <v>0</v>
      </c>
      <c r="EF537">
        <v>1</v>
      </c>
      <c r="EG537" s="143">
        <v>0</v>
      </c>
      <c r="EH537" s="143">
        <v>0</v>
      </c>
      <c r="EI537" s="2">
        <v>0</v>
      </c>
      <c r="EK537" t="str">
        <f t="shared" si="617"/>
        <v/>
      </c>
      <c r="EL537" t="str">
        <f t="shared" si="618"/>
        <v>Ecosystem approach</v>
      </c>
      <c r="EM537" s="2" t="str">
        <f t="shared" si="558"/>
        <v/>
      </c>
      <c r="EP537" t="b">
        <f>IF(ISNUMBER(BU537),IF(ABS(BU537-[5]QC_indicators!$B$2)&gt;3*[5]QC_indicators!$C$2,"C ratio",IF(ISNUMBER(BY537),IF(ABS(BY537-[5]QC_indicators!$B$1)&gt;3*[5]QC_indicators!$C$1,"DF","no"))),IF(ISNUMBER(BY537),IF(ABS(BY537-[5]QC_indicators!$B$1)&gt;3*[5]QC_indicators!$C$1,"DF","no")))</f>
        <v>0</v>
      </c>
      <c r="EQ537" t="s">
        <v>286</v>
      </c>
      <c r="ER537" s="149" t="s">
        <v>349</v>
      </c>
      <c r="ET537" s="264" t="s">
        <v>3272</v>
      </c>
    </row>
    <row r="538" spans="1:150" ht="15" hidden="1" customHeight="1">
      <c r="A538" s="1" t="s">
        <v>1399</v>
      </c>
      <c r="B538" t="s">
        <v>1400</v>
      </c>
      <c r="C538" t="s">
        <v>1401</v>
      </c>
      <c r="D538" t="s">
        <v>1402</v>
      </c>
      <c r="E538" t="s">
        <v>1403</v>
      </c>
      <c r="F538" t="s">
        <v>1404</v>
      </c>
      <c r="G538" t="s">
        <v>1405</v>
      </c>
      <c r="H538" t="s">
        <v>254</v>
      </c>
      <c r="I538">
        <v>2021</v>
      </c>
      <c r="J538">
        <v>0</v>
      </c>
      <c r="K538" t="s">
        <v>1406</v>
      </c>
      <c r="M538" t="str">
        <f t="shared" si="615"/>
        <v>Dugan_2021</v>
      </c>
      <c r="N538" t="s">
        <v>222</v>
      </c>
      <c r="O538" s="145" t="s">
        <v>274</v>
      </c>
      <c r="Q538" t="s">
        <v>256</v>
      </c>
      <c r="R538" s="255" t="s">
        <v>225</v>
      </c>
      <c r="S538" s="1" t="s">
        <v>1416</v>
      </c>
      <c r="T538" t="s">
        <v>1110</v>
      </c>
      <c r="U538" t="s">
        <v>1398</v>
      </c>
      <c r="V538">
        <v>0</v>
      </c>
      <c r="W538">
        <v>0</v>
      </c>
      <c r="X538">
        <v>0</v>
      </c>
      <c r="Y538">
        <v>0</v>
      </c>
      <c r="Z538">
        <v>0</v>
      </c>
      <c r="AA538">
        <v>0</v>
      </c>
      <c r="AB538">
        <v>0</v>
      </c>
      <c r="AC538">
        <v>0</v>
      </c>
      <c r="AD538">
        <v>0</v>
      </c>
      <c r="AE538">
        <v>0</v>
      </c>
      <c r="AF538">
        <v>1</v>
      </c>
      <c r="AG538">
        <v>0</v>
      </c>
      <c r="AH538">
        <v>0</v>
      </c>
      <c r="AI538">
        <v>0</v>
      </c>
      <c r="AJ538">
        <v>0</v>
      </c>
      <c r="AK538">
        <v>0</v>
      </c>
      <c r="AL538">
        <v>0</v>
      </c>
      <c r="AM538">
        <v>0</v>
      </c>
      <c r="AN538">
        <v>0</v>
      </c>
      <c r="AO538">
        <v>0</v>
      </c>
      <c r="AP538">
        <v>0</v>
      </c>
      <c r="AQ538">
        <v>0</v>
      </c>
      <c r="AR538">
        <v>0</v>
      </c>
      <c r="AS538">
        <v>0</v>
      </c>
      <c r="AT538">
        <v>0</v>
      </c>
      <c r="AU538">
        <v>0</v>
      </c>
      <c r="AV538">
        <v>0</v>
      </c>
      <c r="AW538">
        <v>0</v>
      </c>
      <c r="AX538" s="141">
        <f t="shared" si="590"/>
        <v>1</v>
      </c>
      <c r="AY538" s="141">
        <f t="shared" si="591"/>
        <v>1</v>
      </c>
      <c r="AZ538">
        <f t="shared" si="592"/>
        <v>0</v>
      </c>
      <c r="BA538">
        <f t="shared" si="593"/>
        <v>1</v>
      </c>
      <c r="BB538">
        <f t="shared" si="594"/>
        <v>0</v>
      </c>
      <c r="BC538">
        <f t="shared" si="595"/>
        <v>0</v>
      </c>
      <c r="BD538">
        <f t="shared" si="596"/>
        <v>0</v>
      </c>
      <c r="BE538" t="str">
        <f t="array" ref="BE538">IF(AY538=1,INDEX($V$7:$AL$7,MATCH(TRUE,INDEX($V538:$AW538&lt;&gt;0,),0)),IF(AY538=0,INDEX($AM$7:$AW$7,MATCH(1,$AM538:$AW538,0)),IF(BF538="Multiple strategies","mixed drivers",IF(BF538="Supply chain","multiple supply","multiple silviculture"))))</f>
        <v>supply chain organization</v>
      </c>
      <c r="BF538" s="2" t="str" cm="1">
        <f t="array" ref="BF538">IF(COUNTIF(AZ538:BB538,"&lt;&gt;0")=1,INDEX($V$4:$AW$4,MATCH(TRUE,INDEX($V538:$AW538&lt;&gt;0,),0)),IF(COUNTIF(AZ538:BB538,"&lt;&gt;0")=0,INDEX($AM$4:$AW$4,MATCH(1,$AM538:$AW538,0)),"Multiple strategies"))</f>
        <v>Supply chain</v>
      </c>
      <c r="BG538" s="1" t="s">
        <v>321</v>
      </c>
      <c r="BH538" t="s">
        <v>1409</v>
      </c>
      <c r="BI538" s="260" t="s">
        <v>3317</v>
      </c>
      <c r="BJ538" t="s">
        <v>1358</v>
      </c>
      <c r="BK538" s="264">
        <v>14.61</v>
      </c>
      <c r="BL538" s="264">
        <v>14.61</v>
      </c>
      <c r="BN538" s="227">
        <f t="shared" si="616"/>
        <v>0</v>
      </c>
      <c r="BO538">
        <f t="shared" si="619"/>
        <v>0</v>
      </c>
      <c r="BP538" t="s">
        <v>232</v>
      </c>
      <c r="BQ538" s="260" t="s">
        <v>3319</v>
      </c>
      <c r="BR538" t="s">
        <v>1299</v>
      </c>
      <c r="BS538" s="152"/>
      <c r="BT538" s="152"/>
      <c r="BU538" s="144"/>
      <c r="BV538" s="284">
        <v>9.3033695208324332</v>
      </c>
      <c r="BX538">
        <f t="shared" si="597"/>
        <v>9303369.5208324324</v>
      </c>
      <c r="BY538" t="str">
        <f t="shared" si="557"/>
        <v/>
      </c>
      <c r="BZ538">
        <v>0</v>
      </c>
      <c r="CA538">
        <v>0</v>
      </c>
      <c r="CB538">
        <v>0</v>
      </c>
      <c r="CC538">
        <v>0</v>
      </c>
      <c r="CD538">
        <v>0</v>
      </c>
      <c r="CE538">
        <v>0</v>
      </c>
      <c r="CF538">
        <v>0</v>
      </c>
      <c r="CG538">
        <v>0</v>
      </c>
      <c r="CH538">
        <v>0</v>
      </c>
      <c r="CI538">
        <v>0</v>
      </c>
      <c r="CJ538">
        <v>0</v>
      </c>
      <c r="CK538">
        <v>0</v>
      </c>
      <c r="CL538">
        <v>0</v>
      </c>
      <c r="CM538">
        <v>0</v>
      </c>
      <c r="CN538" t="str">
        <f>IF(BL538&lt;BK538,"refNeedCorrection","refOK")</f>
        <v>refOK</v>
      </c>
      <c r="CO538"/>
      <c r="CP538"/>
      <c r="CQ538">
        <f t="shared" si="620"/>
        <v>0</v>
      </c>
      <c r="CR538">
        <f t="shared" si="600"/>
        <v>0</v>
      </c>
      <c r="CS538">
        <f t="shared" si="601"/>
        <v>0</v>
      </c>
      <c r="CT538">
        <f t="shared" si="602"/>
        <v>9303369.5208324324</v>
      </c>
      <c r="CU538" t="str">
        <f t="shared" si="603"/>
        <v/>
      </c>
      <c r="CV538" s="2" t="str">
        <f t="shared" si="604"/>
        <v/>
      </c>
      <c r="CW538" s="1" t="s">
        <v>1198</v>
      </c>
      <c r="CX538" t="str">
        <f t="shared" si="605"/>
        <v>reg</v>
      </c>
      <c r="CY538" t="s">
        <v>428</v>
      </c>
      <c r="CZ538">
        <v>2020</v>
      </c>
      <c r="DA538">
        <v>2050</v>
      </c>
      <c r="DB538">
        <v>30</v>
      </c>
      <c r="DC538" t="str">
        <f t="shared" si="606"/>
        <v>1-30</v>
      </c>
      <c r="DD538">
        <v>0</v>
      </c>
      <c r="DE538">
        <v>0</v>
      </c>
      <c r="DF538">
        <v>1</v>
      </c>
      <c r="DG538">
        <v>1</v>
      </c>
      <c r="DI538">
        <f t="shared" si="607"/>
        <v>2</v>
      </c>
      <c r="DJ538" t="str">
        <f t="shared" si="608"/>
        <v>mixedProduct</v>
      </c>
      <c r="DK538">
        <f t="shared" si="609"/>
        <v>0</v>
      </c>
      <c r="DL538">
        <f t="shared" si="610"/>
        <v>0</v>
      </c>
      <c r="DM538" t="str">
        <f t="shared" si="611"/>
        <v>Pulp/Paper</v>
      </c>
      <c r="DN538" t="str">
        <f t="shared" si="612"/>
        <v>Timber</v>
      </c>
      <c r="DO538">
        <v>0</v>
      </c>
      <c r="DP538">
        <v>1</v>
      </c>
      <c r="DQ538" t="s">
        <v>1410</v>
      </c>
      <c r="DR538" t="s">
        <v>1411</v>
      </c>
      <c r="DS538">
        <v>0</v>
      </c>
      <c r="DT538">
        <f t="shared" si="613"/>
        <v>1</v>
      </c>
      <c r="DU538" s="143" t="str">
        <f t="shared" si="614"/>
        <v>external DF used</v>
      </c>
      <c r="DV538">
        <v>1</v>
      </c>
      <c r="DW538">
        <v>1</v>
      </c>
      <c r="DX538">
        <v>1</v>
      </c>
      <c r="DY538">
        <v>1</v>
      </c>
      <c r="DZ538">
        <v>0</v>
      </c>
      <c r="EA538" s="143">
        <v>1</v>
      </c>
      <c r="EB538">
        <v>0</v>
      </c>
      <c r="EC538">
        <v>1</v>
      </c>
      <c r="ED538">
        <v>0</v>
      </c>
      <c r="EE538">
        <v>0</v>
      </c>
      <c r="EF538">
        <v>1</v>
      </c>
      <c r="EG538" s="143">
        <v>0</v>
      </c>
      <c r="EH538" s="143">
        <v>0</v>
      </c>
      <c r="EI538" s="2">
        <v>0</v>
      </c>
      <c r="EK538" t="str">
        <f t="shared" si="617"/>
        <v>Whole sector</v>
      </c>
      <c r="EL538" t="str">
        <f t="shared" si="618"/>
        <v/>
      </c>
      <c r="EM538" s="2" t="str">
        <f t="shared" si="558"/>
        <v/>
      </c>
      <c r="EP538" t="b">
        <f>IF(ISNUMBER(BU538),IF(ABS(BU538-[5]QC_indicators!$B$2)&gt;3*[5]QC_indicators!$C$2,"C ratio",IF(ISNUMBER(BY538),IF(ABS(BY538-[5]QC_indicators!$B$1)&gt;3*[5]QC_indicators!$C$1,"DF","no"))),IF(ISNUMBER(BY538),IF(ABS(BY538-[5]QC_indicators!$B$1)&gt;3*[5]QC_indicators!$C$1,"DF","no")))</f>
        <v>0</v>
      </c>
      <c r="EQ538" t="s">
        <v>286</v>
      </c>
      <c r="ER538" s="149" t="s">
        <v>349</v>
      </c>
      <c r="ET538" s="264" t="s">
        <v>3272</v>
      </c>
    </row>
    <row r="539" spans="1:150" ht="15" hidden="1" customHeight="1">
      <c r="A539" s="1" t="s">
        <v>1399</v>
      </c>
      <c r="B539" t="s">
        <v>1400</v>
      </c>
      <c r="C539" t="s">
        <v>1401</v>
      </c>
      <c r="D539" t="s">
        <v>1402</v>
      </c>
      <c r="E539" t="s">
        <v>1403</v>
      </c>
      <c r="F539" t="s">
        <v>1404</v>
      </c>
      <c r="G539" t="s">
        <v>1405</v>
      </c>
      <c r="H539" t="s">
        <v>254</v>
      </c>
      <c r="I539">
        <v>2021</v>
      </c>
      <c r="J539">
        <v>0</v>
      </c>
      <c r="K539" t="s">
        <v>1406</v>
      </c>
      <c r="M539" t="str">
        <f t="shared" si="615"/>
        <v>Dugan_2021</v>
      </c>
      <c r="N539" t="s">
        <v>222</v>
      </c>
      <c r="O539" s="145" t="s">
        <v>274</v>
      </c>
      <c r="Q539" t="s">
        <v>256</v>
      </c>
      <c r="R539" s="255" t="s">
        <v>225</v>
      </c>
      <c r="S539" s="1" t="s">
        <v>1420</v>
      </c>
      <c r="T539" t="s">
        <v>1421</v>
      </c>
      <c r="U539" t="s">
        <v>1413</v>
      </c>
      <c r="V539">
        <v>0</v>
      </c>
      <c r="W539">
        <v>0</v>
      </c>
      <c r="X539">
        <v>0</v>
      </c>
      <c r="Y539">
        <v>0</v>
      </c>
      <c r="Z539">
        <v>0</v>
      </c>
      <c r="AA539">
        <v>0</v>
      </c>
      <c r="AB539">
        <v>0</v>
      </c>
      <c r="AC539">
        <v>0</v>
      </c>
      <c r="AD539">
        <v>0</v>
      </c>
      <c r="AE539">
        <v>0</v>
      </c>
      <c r="AF539">
        <v>1</v>
      </c>
      <c r="AG539">
        <v>0</v>
      </c>
      <c r="AH539">
        <v>0</v>
      </c>
      <c r="AI539">
        <v>0</v>
      </c>
      <c r="AJ539">
        <v>0</v>
      </c>
      <c r="AK539">
        <v>0</v>
      </c>
      <c r="AL539">
        <v>0</v>
      </c>
      <c r="AM539">
        <v>0</v>
      </c>
      <c r="AN539">
        <v>0</v>
      </c>
      <c r="AO539">
        <v>0</v>
      </c>
      <c r="AP539">
        <v>0</v>
      </c>
      <c r="AQ539">
        <v>0</v>
      </c>
      <c r="AR539">
        <v>0</v>
      </c>
      <c r="AS539">
        <v>0</v>
      </c>
      <c r="AT539">
        <v>0</v>
      </c>
      <c r="AU539">
        <v>0</v>
      </c>
      <c r="AV539">
        <v>0</v>
      </c>
      <c r="AW539">
        <v>0</v>
      </c>
      <c r="AX539" s="141">
        <f t="shared" si="590"/>
        <v>1</v>
      </c>
      <c r="AY539" s="141">
        <f t="shared" si="591"/>
        <v>1</v>
      </c>
      <c r="AZ539">
        <f t="shared" si="592"/>
        <v>0</v>
      </c>
      <c r="BA539">
        <f t="shared" si="593"/>
        <v>1</v>
      </c>
      <c r="BB539">
        <f t="shared" si="594"/>
        <v>0</v>
      </c>
      <c r="BC539">
        <f t="shared" si="595"/>
        <v>0</v>
      </c>
      <c r="BD539">
        <f t="shared" si="596"/>
        <v>0</v>
      </c>
      <c r="BE539" t="str">
        <f t="array" ref="BE539">IF(AY539=1,INDEX($V$7:$AL$7,MATCH(TRUE,INDEX($V539:$AW539&lt;&gt;0,),0)),IF(AY539=0,INDEX($AM$7:$AW$7,MATCH(1,$AM539:$AW539,0)),IF(BF539="Multiple strategies","mixed drivers",IF(BF539="Supply chain","multiple supply","multiple silviculture"))))</f>
        <v>supply chain organization</v>
      </c>
      <c r="BF539" s="2" t="str" cm="1">
        <f t="array" ref="BF539">IF(COUNTIF(AZ539:BB539,"&lt;&gt;0")=1,INDEX($V$4:$AW$4,MATCH(TRUE,INDEX($V539:$AW539&lt;&gt;0,),0)),IF(COUNTIF(AZ539:BB539,"&lt;&gt;0")=0,INDEX($AM$4:$AW$4,MATCH(1,$AM539:$AW539,0)),"Multiple strategies"))</f>
        <v>Supply chain</v>
      </c>
      <c r="BG539" s="1" t="s">
        <v>321</v>
      </c>
      <c r="BH539" t="s">
        <v>1409</v>
      </c>
      <c r="BI539" s="260" t="s">
        <v>3317</v>
      </c>
      <c r="BJ539" t="s">
        <v>1358</v>
      </c>
      <c r="BK539" s="264">
        <f>14.61*1.1</f>
        <v>16.071000000000002</v>
      </c>
      <c r="BL539" s="264">
        <f>14.61*1.1</f>
        <v>16.071000000000002</v>
      </c>
      <c r="BN539" s="227">
        <f t="shared" si="616"/>
        <v>0</v>
      </c>
      <c r="BO539">
        <f t="shared" si="619"/>
        <v>0</v>
      </c>
      <c r="BP539" t="s">
        <v>232</v>
      </c>
      <c r="BQ539" s="260" t="s">
        <v>3319</v>
      </c>
      <c r="BR539" t="s">
        <v>1299</v>
      </c>
      <c r="BS539" s="152"/>
      <c r="BT539" s="152"/>
      <c r="BU539" s="144"/>
      <c r="BV539" s="284">
        <v>1.8554103497495831</v>
      </c>
      <c r="BX539">
        <f t="shared" si="597"/>
        <v>1855410.3497495831</v>
      </c>
      <c r="BY539" t="str">
        <f t="shared" si="557"/>
        <v/>
      </c>
      <c r="BZ539">
        <v>0</v>
      </c>
      <c r="CA539">
        <v>0</v>
      </c>
      <c r="CB539">
        <v>0</v>
      </c>
      <c r="CC539">
        <v>0</v>
      </c>
      <c r="CD539">
        <v>0</v>
      </c>
      <c r="CE539">
        <v>0</v>
      </c>
      <c r="CF539">
        <v>0</v>
      </c>
      <c r="CG539">
        <v>0</v>
      </c>
      <c r="CH539">
        <v>0</v>
      </c>
      <c r="CI539">
        <v>0</v>
      </c>
      <c r="CJ539">
        <v>0</v>
      </c>
      <c r="CK539">
        <v>0</v>
      </c>
      <c r="CL539">
        <v>0</v>
      </c>
      <c r="CM539">
        <v>0</v>
      </c>
      <c r="CN539" t="str">
        <f>IF($BL539&lt;$BK539,"refNeedCorrection","refOK")</f>
        <v>refOK</v>
      </c>
      <c r="CO539"/>
      <c r="CP539"/>
      <c r="CQ539">
        <f t="shared" si="620"/>
        <v>0</v>
      </c>
      <c r="CR539">
        <f t="shared" si="600"/>
        <v>0</v>
      </c>
      <c r="CS539">
        <f t="shared" si="601"/>
        <v>0</v>
      </c>
      <c r="CT539">
        <f t="shared" si="602"/>
        <v>1855410.3497495831</v>
      </c>
      <c r="CU539" t="str">
        <f t="shared" si="603"/>
        <v/>
      </c>
      <c r="CV539" s="2" t="str">
        <f t="shared" si="604"/>
        <v/>
      </c>
      <c r="CW539" s="1" t="s">
        <v>1198</v>
      </c>
      <c r="CX539" t="str">
        <f t="shared" si="605"/>
        <v>reg</v>
      </c>
      <c r="CY539" t="s">
        <v>428</v>
      </c>
      <c r="CZ539">
        <v>2020</v>
      </c>
      <c r="DA539">
        <v>2050</v>
      </c>
      <c r="DB539">
        <v>30</v>
      </c>
      <c r="DC539" t="str">
        <f t="shared" si="606"/>
        <v>1-30</v>
      </c>
      <c r="DD539">
        <v>0</v>
      </c>
      <c r="DE539">
        <v>1</v>
      </c>
      <c r="DF539">
        <v>0</v>
      </c>
      <c r="DG539">
        <v>0</v>
      </c>
      <c r="DI539">
        <f t="shared" si="607"/>
        <v>1</v>
      </c>
      <c r="DJ539" t="str">
        <f t="shared" si="608"/>
        <v>EnergyInput</v>
      </c>
      <c r="DK539">
        <f t="shared" si="609"/>
        <v>0</v>
      </c>
      <c r="DL539" t="str">
        <f t="shared" si="610"/>
        <v>Energy</v>
      </c>
      <c r="DM539">
        <f t="shared" si="611"/>
        <v>0</v>
      </c>
      <c r="DN539">
        <f t="shared" si="612"/>
        <v>0</v>
      </c>
      <c r="DO539">
        <v>0</v>
      </c>
      <c r="DP539">
        <v>1</v>
      </c>
      <c r="DQ539" t="s">
        <v>1410</v>
      </c>
      <c r="DR539" t="s">
        <v>1411</v>
      </c>
      <c r="DS539">
        <v>0</v>
      </c>
      <c r="DT539">
        <f t="shared" si="613"/>
        <v>1</v>
      </c>
      <c r="DU539" s="143" t="str">
        <f t="shared" si="614"/>
        <v>external DF used</v>
      </c>
      <c r="DV539">
        <v>1</v>
      </c>
      <c r="DW539">
        <v>1</v>
      </c>
      <c r="DX539">
        <v>1</v>
      </c>
      <c r="DY539">
        <v>1</v>
      </c>
      <c r="DZ539">
        <v>0</v>
      </c>
      <c r="EA539" s="143">
        <v>1</v>
      </c>
      <c r="EB539">
        <v>0</v>
      </c>
      <c r="EC539">
        <v>1</v>
      </c>
      <c r="ED539">
        <v>0</v>
      </c>
      <c r="EE539">
        <v>0</v>
      </c>
      <c r="EF539">
        <v>1</v>
      </c>
      <c r="EG539" s="143">
        <v>0</v>
      </c>
      <c r="EH539" s="143">
        <v>0</v>
      </c>
      <c r="EI539" s="2">
        <v>0</v>
      </c>
      <c r="EK539" t="str">
        <f t="shared" si="617"/>
        <v>Whole sector</v>
      </c>
      <c r="EL539" t="str">
        <f t="shared" si="618"/>
        <v/>
      </c>
      <c r="EM539" s="2" t="str">
        <f t="shared" si="558"/>
        <v/>
      </c>
      <c r="EP539" t="b">
        <f>IF(ISNUMBER(BU539),IF(ABS(BU539-[5]QC_indicators!$B$2)&gt;3*[5]QC_indicators!$C$2,"C ratio",IF(ISNUMBER(BY539),IF(ABS(BY539-[5]QC_indicators!$B$1)&gt;3*[5]QC_indicators!$C$1,"DF","no"))),IF(ISNUMBER(BY539),IF(ABS(BY539-[5]QC_indicators!$B$1)&gt;3*[5]QC_indicators!$C$1,"DF","no")))</f>
        <v>0</v>
      </c>
      <c r="EQ539" t="s">
        <v>286</v>
      </c>
      <c r="ER539" s="149" t="s">
        <v>349</v>
      </c>
      <c r="ET539" s="264" t="s">
        <v>3272</v>
      </c>
    </row>
    <row r="540" spans="1:150" ht="15" hidden="1" customHeight="1">
      <c r="A540" s="1" t="s">
        <v>4126</v>
      </c>
      <c r="B540" t="s">
        <v>4488</v>
      </c>
      <c r="C540" t="s">
        <v>4489</v>
      </c>
      <c r="D540" t="s">
        <v>4490</v>
      </c>
      <c r="E540" t="s">
        <v>4491</v>
      </c>
      <c r="F540" t="s">
        <v>4492</v>
      </c>
      <c r="G540" t="s">
        <v>4132</v>
      </c>
      <c r="H540" t="s">
        <v>254</v>
      </c>
      <c r="I540">
        <v>2012</v>
      </c>
      <c r="J540">
        <v>14</v>
      </c>
      <c r="K540" t="s">
        <v>4493</v>
      </c>
      <c r="M540" t="str">
        <f t="shared" si="615"/>
        <v>Dwivedi_2012</v>
      </c>
      <c r="N540" t="s">
        <v>2582</v>
      </c>
      <c r="O540" s="145" t="s">
        <v>274</v>
      </c>
      <c r="Q540" s="311" t="s">
        <v>256</v>
      </c>
      <c r="R540" s="312"/>
      <c r="AX540" s="141"/>
      <c r="AY540" s="141"/>
      <c r="BE540"/>
      <c r="BF540" s="2"/>
      <c r="BU540" s="144"/>
      <c r="BY540" t="str">
        <f t="shared" si="557"/>
        <v/>
      </c>
      <c r="CN540"/>
      <c r="CO540"/>
      <c r="CP540"/>
      <c r="CQ540"/>
      <c r="CR540"/>
      <c r="CS540"/>
      <c r="CT540"/>
      <c r="CU540"/>
      <c r="CV540" s="2"/>
      <c r="CX540"/>
      <c r="DC540"/>
      <c r="DI540"/>
      <c r="DJ540"/>
      <c r="DK540"/>
      <c r="DL540"/>
      <c r="DM540"/>
      <c r="DN540"/>
      <c r="DT540"/>
      <c r="DU540" s="143"/>
      <c r="EJ540"/>
      <c r="EK540" t="str">
        <f>IF(AND(AND(AND(OR($DX540=1,$DW540=1),OR($EC540=1,$EA540=1)),SUM($DV540:$DZ540,$EF540)&gt;=3),SUM($EA540:$EE540)&gt;=2),"Whole sector","")</f>
        <v/>
      </c>
      <c r="EL540" t="str">
        <f>IF(AND(AND(OR($DX540=1,$DW540=1),AND($EC540=0,$EA540=0)),SUM($DV540:$DZ540,$EF540)&gt;=3),"Ecosystem approach","")</f>
        <v/>
      </c>
      <c r="EM540" s="2" t="str">
        <f t="shared" si="558"/>
        <v/>
      </c>
      <c r="EO540" t="s">
        <v>450</v>
      </c>
      <c r="EP540" t="b">
        <f>IF(ISNUMBER(BU540),IF(ABS(BU540-[1]QC_indicators!$B$2)&gt;3*[1]QC_indicators!$C$2,"C ratio",IF(ISNUMBER(BY540),IF(ABS(BY540-[1]QC_indicators!$B$1)&gt;3*[1]QC_indicators!$C$1,"DF","no"))),IF(ISNUMBER(BY540),IF(ABS(BY540-[1]QC_indicators!$B$1)&gt;3*[1]QC_indicators!$C$1,"DF","no")))</f>
        <v>0</v>
      </c>
    </row>
    <row r="541" spans="1:150" ht="15" hidden="1" customHeight="1">
      <c r="A541" s="1" t="s">
        <v>1422</v>
      </c>
      <c r="B541" t="s">
        <v>1423</v>
      </c>
      <c r="C541" t="s">
        <v>1424</v>
      </c>
      <c r="D541" t="s">
        <v>1425</v>
      </c>
      <c r="E541" t="s">
        <v>1426</v>
      </c>
      <c r="F541" t="s">
        <v>1427</v>
      </c>
      <c r="G541" t="s">
        <v>1428</v>
      </c>
      <c r="H541" t="s">
        <v>254</v>
      </c>
      <c r="I541">
        <v>2020</v>
      </c>
      <c r="J541">
        <v>1</v>
      </c>
      <c r="K541" t="s">
        <v>1429</v>
      </c>
      <c r="M541" t="str">
        <f t="shared" si="615"/>
        <v>Dymond_2020</v>
      </c>
      <c r="N541" t="s">
        <v>222</v>
      </c>
      <c r="O541" s="145" t="s">
        <v>274</v>
      </c>
      <c r="Q541" t="s">
        <v>256</v>
      </c>
      <c r="R541" s="286" t="s">
        <v>225</v>
      </c>
      <c r="S541" s="1" t="s">
        <v>1430</v>
      </c>
      <c r="T541" t="s">
        <v>1431</v>
      </c>
      <c r="U541" t="s">
        <v>1432</v>
      </c>
      <c r="V541">
        <v>0</v>
      </c>
      <c r="W541">
        <v>0</v>
      </c>
      <c r="X541">
        <v>0</v>
      </c>
      <c r="Y541">
        <v>0</v>
      </c>
      <c r="Z541">
        <v>1</v>
      </c>
      <c r="AA541">
        <v>0</v>
      </c>
      <c r="AB541">
        <v>0</v>
      </c>
      <c r="AC541">
        <v>0</v>
      </c>
      <c r="AD541">
        <v>0</v>
      </c>
      <c r="AE541">
        <v>0</v>
      </c>
      <c r="AF541">
        <v>0</v>
      </c>
      <c r="AG541">
        <v>0</v>
      </c>
      <c r="AH541">
        <v>0</v>
      </c>
      <c r="AI541">
        <v>0</v>
      </c>
      <c r="AJ541">
        <v>0</v>
      </c>
      <c r="AK541">
        <v>0</v>
      </c>
      <c r="AL541">
        <v>0</v>
      </c>
      <c r="AM541">
        <v>0</v>
      </c>
      <c r="AN541">
        <v>0</v>
      </c>
      <c r="AO541">
        <v>0</v>
      </c>
      <c r="AP541">
        <v>0</v>
      </c>
      <c r="AQ541">
        <v>0</v>
      </c>
      <c r="AR541">
        <v>0</v>
      </c>
      <c r="AS541">
        <v>0</v>
      </c>
      <c r="AT541">
        <v>0</v>
      </c>
      <c r="AU541">
        <v>0</v>
      </c>
      <c r="AV541">
        <v>0</v>
      </c>
      <c r="AW541">
        <v>0</v>
      </c>
      <c r="AX541" s="141">
        <f t="shared" ref="AX541:AX572" si="621">COUNTIF(V541:AW541,"&lt;&gt;0")</f>
        <v>1</v>
      </c>
      <c r="AY541" s="141">
        <f t="shared" ref="AY541:AY572" si="622">COUNTIF(V541:AL541,"&lt;&gt;0")</f>
        <v>1</v>
      </c>
      <c r="AZ541">
        <f t="shared" ref="AZ541:AZ572" si="623">COUNTIF(V541:AC541,"&lt;&gt;0")</f>
        <v>1</v>
      </c>
      <c r="BA541">
        <f t="shared" ref="BA541:BA572" si="624">COUNTIF(AD541:AI541,"&lt;&gt;0")</f>
        <v>0</v>
      </c>
      <c r="BB541">
        <f t="shared" ref="BB541:BB572" si="625">COUNTIF(AJ541:AL541,"&lt;&gt;0")</f>
        <v>0</v>
      </c>
      <c r="BC541">
        <f t="shared" ref="BC541:BC572" si="626">COUNTIF(AS541:AW541,"&lt;&gt;0")</f>
        <v>0</v>
      </c>
      <c r="BD541">
        <f t="shared" ref="BD541:BD572" si="627">COUNTIF(AM541:AR541,"&lt;&gt;0")</f>
        <v>0</v>
      </c>
      <c r="BE541" t="str">
        <f t="array" ref="BE541">IF(AY541=1,INDEX($V$7:$AL$7,MATCH(TRUE,INDEX($V541:$AW541&lt;&gt;0,),0)),IF(AY541=0,INDEX($AM$7:$AW$7,MATCH(1,$AM541:$AW541,0)),IF(BF541="Multiple strategies","mixed drivers",IF(BF541="Supply chain","multiple supply","multiple silviculture"))))</f>
        <v>species</v>
      </c>
      <c r="BF541" s="2" t="str" cm="1">
        <f t="array" ref="BF541">IF(COUNTIF(AZ541:BB541,"&lt;&gt;0")=1,INDEX($V$4:$AW$4,MATCH(TRUE,INDEX($V541:$AW541&lt;&gt;0,),0)),IF(COUNTIF(AZ541:BB541,"&lt;&gt;0")=0,INDEX($AM$4:$AW$4,MATCH(1,$AM541:$AW541,0)),"Multiple strategies"))</f>
        <v>Silviculture for productivity</v>
      </c>
      <c r="BG541" s="1" t="s">
        <v>321</v>
      </c>
      <c r="BH541" t="s">
        <v>1433</v>
      </c>
      <c r="BI541" s="260" t="s">
        <v>3321</v>
      </c>
      <c r="BJ541" t="s">
        <v>498</v>
      </c>
      <c r="BK541">
        <f>6450.3412361686*1000</f>
        <v>6450341.2361685997</v>
      </c>
      <c r="BL541">
        <f>7333.995155*1000</f>
        <v>7333995.1549999993</v>
      </c>
      <c r="BM541">
        <f>BL541/BK541</f>
        <v>1.136993359960019</v>
      </c>
      <c r="BN541">
        <f t="shared" ref="BN541:BN572" si="628">BL541-BK541</f>
        <v>883653.91883139964</v>
      </c>
      <c r="BO541">
        <f>BN541</f>
        <v>883653.91883139964</v>
      </c>
      <c r="BP541" t="s">
        <v>232</v>
      </c>
      <c r="BQ541" s="260" t="s">
        <v>3322</v>
      </c>
      <c r="BR541" t="s">
        <v>825</v>
      </c>
      <c r="BS541">
        <f>17.4145393233552*1000000</f>
        <v>17414539.323355202</v>
      </c>
      <c r="BT541">
        <f>18.8541692956031*1000000</f>
        <v>18854169.2956031</v>
      </c>
      <c r="BU541" s="144">
        <f>IFERROR(BT541/BS541,"")</f>
        <v>1.0826682776682564</v>
      </c>
      <c r="BV541" s="152">
        <f t="shared" ref="BV541:BV572" si="629">BT541-BS541</f>
        <v>1439629.9722478986</v>
      </c>
      <c r="BW541" s="152"/>
      <c r="BX541" s="152">
        <f>BV541</f>
        <v>1439629.9722478986</v>
      </c>
      <c r="BY541">
        <f t="shared" si="557"/>
        <v>1.6291785070695517</v>
      </c>
      <c r="BZ541">
        <v>0</v>
      </c>
      <c r="CA541">
        <v>0</v>
      </c>
      <c r="CB541">
        <v>0</v>
      </c>
      <c r="CC541">
        <v>0</v>
      </c>
      <c r="CD541">
        <v>0</v>
      </c>
      <c r="CE541">
        <v>0</v>
      </c>
      <c r="CF541">
        <v>0</v>
      </c>
      <c r="CG541">
        <v>0</v>
      </c>
      <c r="CH541">
        <v>0</v>
      </c>
      <c r="CI541">
        <v>0</v>
      </c>
      <c r="CJ541">
        <v>0</v>
      </c>
      <c r="CK541">
        <v>0</v>
      </c>
      <c r="CL541">
        <v>0</v>
      </c>
      <c r="CM541">
        <v>1</v>
      </c>
      <c r="CN541" t="str">
        <f t="shared" ref="CN541:CN572" si="630">IF($BL541&lt;$BK541,"refNeedCorrection","refOK")</f>
        <v>refOK</v>
      </c>
      <c r="CO541">
        <f>IF($CN541="refNeedCorrection",BL541,BK541)</f>
        <v>6450341.2361685997</v>
      </c>
      <c r="CP541">
        <f>IF($CN541="refNeedCorrection",BK541,BL541)</f>
        <v>7333995.1549999993</v>
      </c>
      <c r="CQ541">
        <f t="shared" ref="CQ541:CQ572" si="631">IF($CN541="refOK",$BO541,-$BO541)</f>
        <v>883653.91883139964</v>
      </c>
      <c r="CR541">
        <f t="shared" ref="CR541:CR572" si="632">IF($CN541="refOK",$BS541,$BT541)*IF($BP541="Emissions positive",-1,1)</f>
        <v>17414539.323355202</v>
      </c>
      <c r="CS541">
        <f t="shared" ref="CS541:CS572" si="633">IF($CN541="refOK",$BT541,$BS541)*IF($BP541="Emissions positive",-1,1)</f>
        <v>18854169.2956031</v>
      </c>
      <c r="CT541">
        <f t="shared" ref="CT541:CT572" si="634">IF($CN541="refNeedCorrection",-BX541,BX541)*IF($BP541="Emissions positive",-1,1)</f>
        <v>1439629.9722478986</v>
      </c>
      <c r="CU541">
        <f t="shared" ref="CU541:CU572" si="635">IFERROR(CT541/CQ541,"")</f>
        <v>1.6291785070695517</v>
      </c>
      <c r="CV541" s="2">
        <f t="shared" ref="CV541:CV572" si="636">IFERROR((CS541-CR541)/ABS(CR541),"")</f>
        <v>8.2668277668256449E-2</v>
      </c>
      <c r="CW541" s="1" t="s">
        <v>1198</v>
      </c>
      <c r="CX541" t="str">
        <f t="shared" ref="CX541:CX572" si="637">IF(OR($CW541="prd",$CW541="std",$CW541="cit"),"loc",IF(OR($CW541="eur",$CW541="reg",$CW541="coy"),"reg",$CW541))</f>
        <v>reg</v>
      </c>
      <c r="CY541" t="s">
        <v>540</v>
      </c>
      <c r="DB541">
        <v>100</v>
      </c>
      <c r="DC541" t="str">
        <f t="shared" ref="DC541:DC572" si="638">IF(DB541=0,"0",IF(AND(DB541&gt;=1,DB541&lt;=30),"1-30",IF(AND(DB541&gt;30,DB541&lt;=70),"31-70",IF(AND(DB541&gt;70,DB541&lt;=100),"71-100",IF(DB541&gt;100,"+100")))))</f>
        <v>71-100</v>
      </c>
      <c r="DD541">
        <v>1</v>
      </c>
      <c r="DE541">
        <v>0</v>
      </c>
      <c r="DF541">
        <v>0</v>
      </c>
      <c r="DG541">
        <v>0</v>
      </c>
      <c r="DI541">
        <f>SUM(DD541:DG541)</f>
        <v>1</v>
      </c>
      <c r="DJ541" t="str">
        <f t="shared" ref="DJ541:DJ572" si="639">IF(DI541=1,INDEX($DD$7:$DG$7,MATCH(1,$DD541:$DG541,0)),"mixedProduct")</f>
        <v>UpstreamInput</v>
      </c>
      <c r="DK541" t="str">
        <f t="shared" ref="DK541:DK572" si="640">IF(DD541=1,DK$7,0)</f>
        <v>Upstream</v>
      </c>
      <c r="DL541">
        <f t="shared" ref="DL541:DL572" si="641">IF(DE541=1,DL$7,0)</f>
        <v>0</v>
      </c>
      <c r="DM541">
        <f t="shared" ref="DM541:DM572" si="642">IF(DF541=1,DM$7,0)</f>
        <v>0</v>
      </c>
      <c r="DN541">
        <f t="shared" ref="DN541:DN572" si="643">IF(DG541=1,DN$7,0)</f>
        <v>0</v>
      </c>
      <c r="DO541">
        <v>0</v>
      </c>
      <c r="DP541">
        <v>0</v>
      </c>
      <c r="DQ541">
        <v>0</v>
      </c>
      <c r="DR541">
        <v>0</v>
      </c>
      <c r="DS541">
        <v>0</v>
      </c>
      <c r="DT541">
        <f t="shared" ref="DT541:DT572" si="644">SUM(DO541:DP541)</f>
        <v>0</v>
      </c>
      <c r="DU541" s="143" t="str">
        <f t="shared" ref="DU541:DU572" si="645">IF(DO541=1,"self-calculated DF",IF(DP541=1,"external DF used","explicit C balance"))</f>
        <v>explicit C balance</v>
      </c>
      <c r="DV541">
        <v>1</v>
      </c>
      <c r="DW541">
        <v>0</v>
      </c>
      <c r="DX541">
        <v>1</v>
      </c>
      <c r="DY541">
        <v>0</v>
      </c>
      <c r="DZ541">
        <v>0</v>
      </c>
      <c r="EA541" s="143">
        <v>0</v>
      </c>
      <c r="EB541">
        <v>0</v>
      </c>
      <c r="EC541">
        <v>0</v>
      </c>
      <c r="ED541">
        <v>0</v>
      </c>
      <c r="EE541">
        <v>0</v>
      </c>
      <c r="EF541">
        <v>1</v>
      </c>
      <c r="EG541">
        <v>0</v>
      </c>
      <c r="EH541">
        <v>0</v>
      </c>
      <c r="EI541" s="2">
        <v>0</v>
      </c>
      <c r="EJ541"/>
      <c r="EK541" t="str">
        <f t="shared" ref="EK541:EK572" si="646">IF(AND(AND(AND(OR($DX541=1,$DW541=1),OR($EC541=1,$EA541=1)),SUM($DV541:$DZ541,$EF541)&gt;=4),SUM($EA541:$EE541)&gt;=2),"Whole sector","")</f>
        <v/>
      </c>
      <c r="EL541" t="str">
        <f t="shared" ref="EL541:EL572" si="647">IF(AND(AND(OR($DX541=1,$DW541=1),AND($EC541=0,$EA541=0)),SUM($DV541:$DZ541,$EF541)&gt;=4),"Ecosystem approach","")</f>
        <v/>
      </c>
      <c r="EM541" s="2" t="str">
        <f t="shared" si="558"/>
        <v/>
      </c>
      <c r="EP541" t="str">
        <f>IF(ISNUMBER(BU541),IF(ABS(BU541-[5]QC_indicators!$B$2)&gt;3*[5]QC_indicators!$C$2,"C ratio",IF(ISNUMBER(BY541),IF(ABS(BY541-[5]QC_indicators!$B$1)&gt;3*[5]QC_indicators!$C$1,"DF","no"))),IF(ISNUMBER(BY541),IF(ABS(BY541-[5]QC_indicators!$B$1)&gt;3*[5]QC_indicators!$C$1,"DF","no")))</f>
        <v>no</v>
      </c>
      <c r="ET541" s="264" t="s">
        <v>3272</v>
      </c>
    </row>
    <row r="542" spans="1:150" ht="15" hidden="1" customHeight="1">
      <c r="A542" s="1" t="s">
        <v>1422</v>
      </c>
      <c r="B542" t="s">
        <v>1423</v>
      </c>
      <c r="C542" t="s">
        <v>1424</v>
      </c>
      <c r="D542" t="s">
        <v>1425</v>
      </c>
      <c r="E542" t="s">
        <v>1426</v>
      </c>
      <c r="F542" t="s">
        <v>1427</v>
      </c>
      <c r="G542" t="s">
        <v>1428</v>
      </c>
      <c r="H542" t="s">
        <v>254</v>
      </c>
      <c r="I542">
        <v>2020</v>
      </c>
      <c r="J542">
        <v>1</v>
      </c>
      <c r="K542" t="s">
        <v>1429</v>
      </c>
      <c r="M542" t="str">
        <f t="shared" si="615"/>
        <v>Dymond_2020</v>
      </c>
      <c r="N542" t="s">
        <v>222</v>
      </c>
      <c r="O542" s="145" t="s">
        <v>274</v>
      </c>
      <c r="Q542" t="s">
        <v>256</v>
      </c>
      <c r="R542" s="286" t="s">
        <v>225</v>
      </c>
      <c r="S542" s="1" t="s">
        <v>1430</v>
      </c>
      <c r="T542" t="s">
        <v>1431</v>
      </c>
      <c r="U542" t="s">
        <v>1434</v>
      </c>
      <c r="V542">
        <v>0</v>
      </c>
      <c r="W542">
        <v>0</v>
      </c>
      <c r="X542">
        <v>0</v>
      </c>
      <c r="Y542">
        <v>0</v>
      </c>
      <c r="Z542">
        <v>1</v>
      </c>
      <c r="AA542">
        <v>0</v>
      </c>
      <c r="AB542">
        <v>0</v>
      </c>
      <c r="AC542">
        <v>0</v>
      </c>
      <c r="AD542">
        <v>0</v>
      </c>
      <c r="AE542">
        <v>0</v>
      </c>
      <c r="AF542">
        <v>0</v>
      </c>
      <c r="AG542">
        <v>0</v>
      </c>
      <c r="AH542">
        <v>0</v>
      </c>
      <c r="AI542">
        <v>0</v>
      </c>
      <c r="AJ542">
        <v>0</v>
      </c>
      <c r="AK542">
        <v>0</v>
      </c>
      <c r="AL542">
        <v>0</v>
      </c>
      <c r="AM542">
        <v>0</v>
      </c>
      <c r="AN542">
        <v>0</v>
      </c>
      <c r="AO542">
        <v>0</v>
      </c>
      <c r="AP542">
        <v>0</v>
      </c>
      <c r="AQ542">
        <v>0</v>
      </c>
      <c r="AR542">
        <v>0</v>
      </c>
      <c r="AS542">
        <v>0</v>
      </c>
      <c r="AT542">
        <v>0</v>
      </c>
      <c r="AU542">
        <v>0</v>
      </c>
      <c r="AV542">
        <v>0</v>
      </c>
      <c r="AW542">
        <v>0</v>
      </c>
      <c r="AX542" s="141">
        <f t="shared" si="621"/>
        <v>1</v>
      </c>
      <c r="AY542" s="141">
        <f t="shared" si="622"/>
        <v>1</v>
      </c>
      <c r="AZ542">
        <f t="shared" si="623"/>
        <v>1</v>
      </c>
      <c r="BA542">
        <f t="shared" si="624"/>
        <v>0</v>
      </c>
      <c r="BB542">
        <f t="shared" si="625"/>
        <v>0</v>
      </c>
      <c r="BC542">
        <f t="shared" si="626"/>
        <v>0</v>
      </c>
      <c r="BD542">
        <f t="shared" si="627"/>
        <v>0</v>
      </c>
      <c r="BE542" t="str">
        <f t="array" ref="BE542">IF(AY542=1,INDEX($V$7:$AL$7,MATCH(TRUE,INDEX($V542:$AW542&lt;&gt;0,),0)),IF(AY542=0,INDEX($AM$7:$AW$7,MATCH(1,$AM542:$AW542,0)),IF(BF542="Multiple strategies","mixed drivers",IF(BF542="Supply chain","multiple supply","multiple silviculture"))))</f>
        <v>species</v>
      </c>
      <c r="BF542" s="2" t="str" cm="1">
        <f t="array" ref="BF542">IF(COUNTIF(AZ542:BB542,"&lt;&gt;0")=1,INDEX($V$4:$AW$4,MATCH(TRUE,INDEX($V542:$AW542&lt;&gt;0,),0)),IF(COUNTIF(AZ542:BB542,"&lt;&gt;0")=0,INDEX($AM$4:$AW$4,MATCH(1,$AM542:$AW542,0)),"Multiple strategies"))</f>
        <v>Silviculture for productivity</v>
      </c>
      <c r="BG542" s="1" t="s">
        <v>321</v>
      </c>
      <c r="BH542" t="s">
        <v>1433</v>
      </c>
      <c r="BI542" s="260" t="s">
        <v>3321</v>
      </c>
      <c r="BJ542" t="s">
        <v>498</v>
      </c>
      <c r="BK542">
        <f>6450.3412361686*1000</f>
        <v>6450341.2361685997</v>
      </c>
      <c r="BL542">
        <f>8418.4977676294*1000</f>
        <v>8418497.7676293999</v>
      </c>
      <c r="BM542">
        <f>BL542/BK542</f>
        <v>1.305124404957815</v>
      </c>
      <c r="BN542">
        <f t="shared" si="628"/>
        <v>1968156.5314608002</v>
      </c>
      <c r="BO542">
        <f>BN542</f>
        <v>1968156.5314608002</v>
      </c>
      <c r="BP542" t="s">
        <v>232</v>
      </c>
      <c r="BQ542" s="260" t="s">
        <v>3322</v>
      </c>
      <c r="BR542" t="s">
        <v>825</v>
      </c>
      <c r="BS542">
        <f>17.4145393233552*1000000</f>
        <v>17414539.323355202</v>
      </c>
      <c r="BT542">
        <f>20.7797101449275*1000000</f>
        <v>20779710.144927498</v>
      </c>
      <c r="BU542" s="144">
        <f>IFERROR(BT542/BS542,"")</f>
        <v>1.193239152588961</v>
      </c>
      <c r="BV542" s="152">
        <f t="shared" si="629"/>
        <v>3365170.8215722963</v>
      </c>
      <c r="BW542" s="152"/>
      <c r="BX542" s="152">
        <f>BV542</f>
        <v>3365170.8215722963</v>
      </c>
      <c r="BY542">
        <f t="shared" si="557"/>
        <v>1.7098085278179616</v>
      </c>
      <c r="BZ542">
        <v>0</v>
      </c>
      <c r="CA542">
        <v>0</v>
      </c>
      <c r="CB542">
        <v>0</v>
      </c>
      <c r="CC542">
        <v>0</v>
      </c>
      <c r="CD542">
        <v>0</v>
      </c>
      <c r="CE542">
        <v>0</v>
      </c>
      <c r="CF542">
        <v>0</v>
      </c>
      <c r="CG542">
        <v>0</v>
      </c>
      <c r="CH542">
        <v>0</v>
      </c>
      <c r="CI542">
        <v>0</v>
      </c>
      <c r="CJ542">
        <v>0</v>
      </c>
      <c r="CK542">
        <v>0</v>
      </c>
      <c r="CL542">
        <v>0</v>
      </c>
      <c r="CM542">
        <v>1</v>
      </c>
      <c r="CN542" t="str">
        <f t="shared" si="630"/>
        <v>refOK</v>
      </c>
      <c r="CO542">
        <f>IF($CN542="refNeedCorrection",BL542,BK542)</f>
        <v>6450341.2361685997</v>
      </c>
      <c r="CP542">
        <f>IF($CN542="refNeedCorrection",BK542,BL542)</f>
        <v>8418497.7676293999</v>
      </c>
      <c r="CQ542">
        <f t="shared" si="631"/>
        <v>1968156.5314608002</v>
      </c>
      <c r="CR542">
        <f t="shared" si="632"/>
        <v>17414539.323355202</v>
      </c>
      <c r="CS542">
        <f t="shared" si="633"/>
        <v>20779710.144927498</v>
      </c>
      <c r="CT542">
        <f t="shared" si="634"/>
        <v>3365170.8215722963</v>
      </c>
      <c r="CU542">
        <f t="shared" si="635"/>
        <v>1.7098085278179616</v>
      </c>
      <c r="CV542" s="2">
        <f t="shared" si="636"/>
        <v>0.19323915258896093</v>
      </c>
      <c r="CW542" s="1" t="s">
        <v>1198</v>
      </c>
      <c r="CX542" t="str">
        <f t="shared" si="637"/>
        <v>reg</v>
      </c>
      <c r="CY542" t="s">
        <v>540</v>
      </c>
      <c r="DB542">
        <v>100</v>
      </c>
      <c r="DC542" t="str">
        <f t="shared" si="638"/>
        <v>71-100</v>
      </c>
      <c r="DD542">
        <v>1</v>
      </c>
      <c r="DE542">
        <v>0</v>
      </c>
      <c r="DF542">
        <v>0</v>
      </c>
      <c r="DG542">
        <v>0</v>
      </c>
      <c r="DI542">
        <f>SUM(DD542:DG542)</f>
        <v>1</v>
      </c>
      <c r="DJ542" t="str">
        <f t="shared" si="639"/>
        <v>UpstreamInput</v>
      </c>
      <c r="DK542" t="str">
        <f t="shared" si="640"/>
        <v>Upstream</v>
      </c>
      <c r="DL542">
        <f t="shared" si="641"/>
        <v>0</v>
      </c>
      <c r="DM542">
        <f t="shared" si="642"/>
        <v>0</v>
      </c>
      <c r="DN542">
        <f t="shared" si="643"/>
        <v>0</v>
      </c>
      <c r="DO542">
        <v>0</v>
      </c>
      <c r="DP542">
        <v>0</v>
      </c>
      <c r="DQ542">
        <v>0</v>
      </c>
      <c r="DR542">
        <v>0</v>
      </c>
      <c r="DS542">
        <v>0</v>
      </c>
      <c r="DT542">
        <f t="shared" si="644"/>
        <v>0</v>
      </c>
      <c r="DU542" s="143" t="str">
        <f t="shared" si="645"/>
        <v>explicit C balance</v>
      </c>
      <c r="DV542">
        <v>1</v>
      </c>
      <c r="DW542">
        <v>0</v>
      </c>
      <c r="DX542">
        <v>1</v>
      </c>
      <c r="DY542">
        <v>0</v>
      </c>
      <c r="DZ542">
        <v>0</v>
      </c>
      <c r="EA542" s="143">
        <v>0</v>
      </c>
      <c r="EB542">
        <v>0</v>
      </c>
      <c r="EC542">
        <v>0</v>
      </c>
      <c r="ED542">
        <v>0</v>
      </c>
      <c r="EE542">
        <v>0</v>
      </c>
      <c r="EF542">
        <v>1</v>
      </c>
      <c r="EG542">
        <v>0</v>
      </c>
      <c r="EH542">
        <v>0</v>
      </c>
      <c r="EI542" s="2">
        <v>0</v>
      </c>
      <c r="EJ542"/>
      <c r="EK542" t="str">
        <f t="shared" si="646"/>
        <v/>
      </c>
      <c r="EL542" t="str">
        <f t="shared" si="647"/>
        <v/>
      </c>
      <c r="EM542" s="2" t="str">
        <f t="shared" si="558"/>
        <v/>
      </c>
      <c r="EP542" t="str">
        <f>IF(ISNUMBER(BU542),IF(ABS(BU542-[5]QC_indicators!$B$2)&gt;3*[5]QC_indicators!$C$2,"C ratio",IF(ISNUMBER(BY542),IF(ABS(BY542-[5]QC_indicators!$B$1)&gt;3*[5]QC_indicators!$C$1,"DF","no"))),IF(ISNUMBER(BY542),IF(ABS(BY542-[5]QC_indicators!$B$1)&gt;3*[5]QC_indicators!$C$1,"DF","no")))</f>
        <v>no</v>
      </c>
      <c r="ET542" s="264" t="s">
        <v>3272</v>
      </c>
    </row>
    <row r="543" spans="1:150" ht="15" hidden="1" customHeight="1">
      <c r="A543" s="1" t="s">
        <v>1356</v>
      </c>
      <c r="B543" t="s">
        <v>1435</v>
      </c>
      <c r="C543" t="s">
        <v>1436</v>
      </c>
      <c r="D543" t="s">
        <v>1437</v>
      </c>
      <c r="E543" t="s">
        <v>1438</v>
      </c>
      <c r="F543" t="s">
        <v>1439</v>
      </c>
      <c r="G543" t="s">
        <v>1357</v>
      </c>
      <c r="H543" t="s">
        <v>254</v>
      </c>
      <c r="I543">
        <v>2011</v>
      </c>
      <c r="J543">
        <v>0</v>
      </c>
      <c r="K543" t="s">
        <v>1440</v>
      </c>
      <c r="M543" t="str">
        <f t="shared" si="615"/>
        <v>Elgie_2011</v>
      </c>
      <c r="N543" t="s">
        <v>222</v>
      </c>
      <c r="O543" s="145" t="s">
        <v>274</v>
      </c>
      <c r="Q543" s="264" t="s">
        <v>256</v>
      </c>
      <c r="R543" s="269" t="s">
        <v>1153</v>
      </c>
      <c r="S543" s="1" t="s">
        <v>1441</v>
      </c>
      <c r="T543" t="s">
        <v>1442</v>
      </c>
      <c r="U543" t="s">
        <v>1443</v>
      </c>
      <c r="V543">
        <v>2</v>
      </c>
      <c r="W543">
        <v>0</v>
      </c>
      <c r="X543">
        <v>2</v>
      </c>
      <c r="Y543">
        <v>2</v>
      </c>
      <c r="Z543">
        <v>0</v>
      </c>
      <c r="AA543">
        <v>0</v>
      </c>
      <c r="AB543">
        <v>0</v>
      </c>
      <c r="AC543">
        <v>0</v>
      </c>
      <c r="AD543">
        <v>0</v>
      </c>
      <c r="AE543">
        <v>0</v>
      </c>
      <c r="AF543">
        <v>0</v>
      </c>
      <c r="AG543">
        <v>0</v>
      </c>
      <c r="AH543">
        <v>0</v>
      </c>
      <c r="AI543">
        <v>0</v>
      </c>
      <c r="AJ543">
        <v>0</v>
      </c>
      <c r="AK543">
        <v>0</v>
      </c>
      <c r="AL543">
        <v>0</v>
      </c>
      <c r="AM543">
        <v>0</v>
      </c>
      <c r="AN543">
        <v>0</v>
      </c>
      <c r="AO543">
        <v>0</v>
      </c>
      <c r="AP543">
        <v>0</v>
      </c>
      <c r="AQ543">
        <v>0</v>
      </c>
      <c r="AR543">
        <v>0</v>
      </c>
      <c r="AS543">
        <v>0</v>
      </c>
      <c r="AT543">
        <v>0</v>
      </c>
      <c r="AU543">
        <v>0</v>
      </c>
      <c r="AV543">
        <v>1</v>
      </c>
      <c r="AW543">
        <v>0</v>
      </c>
      <c r="AX543" s="141">
        <f t="shared" si="621"/>
        <v>4</v>
      </c>
      <c r="AY543" s="141">
        <f t="shared" si="622"/>
        <v>3</v>
      </c>
      <c r="AZ543">
        <f t="shared" si="623"/>
        <v>3</v>
      </c>
      <c r="BA543">
        <f t="shared" si="624"/>
        <v>0</v>
      </c>
      <c r="BB543">
        <f t="shared" si="625"/>
        <v>0</v>
      </c>
      <c r="BC543">
        <f t="shared" si="626"/>
        <v>1</v>
      </c>
      <c r="BD543">
        <f t="shared" si="627"/>
        <v>0</v>
      </c>
      <c r="BE543" t="str" cm="1">
        <f t="array" ref="BE543">IF(AY543=1,INDEX($V$7:$AL$7,MATCH(TRUE,INDEX($V543:$AW543&lt;&gt;0,),0)),IF(AY543=0,INDEX($AM$7:$AW$7,MATCH(1,$AM543:$AW543,0)),IF(BF543="Multiple strategies","mixed drivers",IF(BF543="Supply chain","multiple supply","multiple silviculture"))))</f>
        <v>multiple silviculture</v>
      </c>
      <c r="BF543" s="2" t="str" cm="1">
        <f t="array" ref="BF543">IF(COUNTIF(AZ543:BB543,"&lt;&gt;0")=1,INDEX($V$4:$AW$4,MATCH(TRUE,INDEX($V543:$AW543&lt;&gt;0,),0)),IF(COUNTIF(AZ543:BB543,"&lt;&gt;0")=0,INDEX($AM$4:$AW$4,MATCH(1,$AM543:$AW543,0)),"Multiple strategies"))</f>
        <v>Silviculture for removals</v>
      </c>
      <c r="BG543" s="1" t="s">
        <v>321</v>
      </c>
      <c r="BH543" t="s">
        <v>1444</v>
      </c>
      <c r="BJ543" t="s">
        <v>1322</v>
      </c>
      <c r="BK543">
        <v>0</v>
      </c>
      <c r="BL543">
        <v>286.60902583574921</v>
      </c>
      <c r="BN543">
        <f t="shared" si="628"/>
        <v>286.60902583574921</v>
      </c>
      <c r="BO543">
        <f>BN543*10^6</f>
        <v>286609025.83574921</v>
      </c>
      <c r="BP543" t="s">
        <v>232</v>
      </c>
      <c r="BR543" t="s">
        <v>1358</v>
      </c>
      <c r="BS543">
        <v>269.14893617021198</v>
      </c>
      <c r="BT543">
        <v>217.87234042553101</v>
      </c>
      <c r="BU543" s="144">
        <f>IFERROR(BT543/BS543,"")</f>
        <v>0.80948616600790413</v>
      </c>
      <c r="BV543">
        <f t="shared" si="629"/>
        <v>-51.276595744680975</v>
      </c>
      <c r="BX543">
        <f>BV543*10^6*C_to_CO2</f>
        <v>-188185106.38297918</v>
      </c>
      <c r="BY543">
        <f t="shared" si="557"/>
        <v>-0.65659169607179391</v>
      </c>
      <c r="BZ543">
        <v>0</v>
      </c>
      <c r="CA543">
        <v>0</v>
      </c>
      <c r="CB543">
        <v>0</v>
      </c>
      <c r="CC543">
        <v>0</v>
      </c>
      <c r="CD543">
        <v>0</v>
      </c>
      <c r="CE543">
        <v>0</v>
      </c>
      <c r="CF543">
        <v>0</v>
      </c>
      <c r="CG543">
        <v>0</v>
      </c>
      <c r="CH543">
        <v>0</v>
      </c>
      <c r="CI543">
        <v>0</v>
      </c>
      <c r="CJ543">
        <v>0</v>
      </c>
      <c r="CK543">
        <v>0</v>
      </c>
      <c r="CL543">
        <v>0</v>
      </c>
      <c r="CM543">
        <v>1</v>
      </c>
      <c r="CN543" t="str">
        <f t="shared" si="630"/>
        <v>refOK</v>
      </c>
      <c r="CO543">
        <f t="shared" ref="CO543:CO574" si="648">IF($CN543="refOK",$BK543,$BL543)</f>
        <v>0</v>
      </c>
      <c r="CP543">
        <f t="shared" ref="CP543:CP574" si="649">IF($CN543="refOK",$BL543,$BK543)</f>
        <v>286.60902583574921</v>
      </c>
      <c r="CQ543">
        <f t="shared" si="631"/>
        <v>286609025.83574921</v>
      </c>
      <c r="CR543">
        <f t="shared" si="632"/>
        <v>269.14893617021198</v>
      </c>
      <c r="CS543">
        <f t="shared" si="633"/>
        <v>217.87234042553101</v>
      </c>
      <c r="CT543">
        <f t="shared" si="634"/>
        <v>-188185106.38297918</v>
      </c>
      <c r="CU543">
        <f t="shared" si="635"/>
        <v>-0.65659169607179391</v>
      </c>
      <c r="CV543" s="2">
        <f t="shared" si="636"/>
        <v>-0.19051383399209587</v>
      </c>
      <c r="CW543" s="1" t="s">
        <v>1198</v>
      </c>
      <c r="CX543" s="264" t="str">
        <f t="shared" si="637"/>
        <v>reg</v>
      </c>
      <c r="CY543" t="s">
        <v>540</v>
      </c>
      <c r="DB543">
        <v>200</v>
      </c>
      <c r="DC543" t="str">
        <f t="shared" si="638"/>
        <v>+100</v>
      </c>
      <c r="DD543">
        <v>1</v>
      </c>
      <c r="DE543">
        <v>0</v>
      </c>
      <c r="DF543">
        <v>0</v>
      </c>
      <c r="DG543">
        <v>0</v>
      </c>
      <c r="DI543">
        <f>SUM(DD543:DG543)</f>
        <v>1</v>
      </c>
      <c r="DJ543" t="str">
        <f t="shared" si="639"/>
        <v>UpstreamInput</v>
      </c>
      <c r="DK543" t="str">
        <f t="shared" si="640"/>
        <v>Upstream</v>
      </c>
      <c r="DL543">
        <f t="shared" si="641"/>
        <v>0</v>
      </c>
      <c r="DM543">
        <f t="shared" si="642"/>
        <v>0</v>
      </c>
      <c r="DN543">
        <f t="shared" si="643"/>
        <v>0</v>
      </c>
      <c r="DO543">
        <v>0</v>
      </c>
      <c r="DP543">
        <v>0</v>
      </c>
      <c r="DQ543">
        <v>0</v>
      </c>
      <c r="DR543">
        <v>0</v>
      </c>
      <c r="DS543">
        <v>0</v>
      </c>
      <c r="DT543">
        <f t="shared" si="644"/>
        <v>0</v>
      </c>
      <c r="DU543" s="143" t="str">
        <f t="shared" si="645"/>
        <v>explicit C balance</v>
      </c>
      <c r="DV543">
        <v>1</v>
      </c>
      <c r="DW543">
        <v>0</v>
      </c>
      <c r="DX543">
        <v>1</v>
      </c>
      <c r="DY543">
        <v>0</v>
      </c>
      <c r="DZ543">
        <v>0</v>
      </c>
      <c r="EA543" s="143">
        <v>0</v>
      </c>
      <c r="EB543">
        <v>0</v>
      </c>
      <c r="EC543">
        <v>0</v>
      </c>
      <c r="ED543">
        <v>0</v>
      </c>
      <c r="EE543">
        <v>0</v>
      </c>
      <c r="EF543">
        <v>1</v>
      </c>
      <c r="EG543">
        <v>0</v>
      </c>
      <c r="EH543">
        <v>0</v>
      </c>
      <c r="EI543" s="2">
        <v>1</v>
      </c>
      <c r="EJ543"/>
      <c r="EK543" t="str">
        <f t="shared" si="646"/>
        <v/>
      </c>
      <c r="EL543" t="str">
        <f t="shared" si="647"/>
        <v/>
      </c>
      <c r="EM543" s="2" t="str">
        <f t="shared" si="558"/>
        <v/>
      </c>
      <c r="EP543" t="str">
        <f>IF(ISNUMBER(BU543),IF(ABS(BU543-[4]QC_indicators!$B$2)&gt;3*[4]QC_indicators!$C$2,"C ratio",IF(ISNUMBER(BY543),IF(ABS(BY543-[4]QC_indicators!$B$1)&gt;3*[4]QC_indicators!$C$1,"DF","no"))),IF(ISNUMBER(BY543),IF(ABS(BY543-[4]QC_indicators!$B$1)&gt;3*[4]QC_indicators!$C$1,"DF","no")))</f>
        <v>no</v>
      </c>
      <c r="EQ543" t="s">
        <v>286</v>
      </c>
      <c r="ET543" s="264" t="s">
        <v>3406</v>
      </c>
    </row>
    <row r="544" spans="1:150" ht="15" hidden="1" customHeight="1">
      <c r="A544" s="1" t="s">
        <v>1356</v>
      </c>
      <c r="B544" t="s">
        <v>1435</v>
      </c>
      <c r="C544" t="s">
        <v>1436</v>
      </c>
      <c r="D544" t="s">
        <v>1437</v>
      </c>
      <c r="E544" t="s">
        <v>1438</v>
      </c>
      <c r="F544" t="s">
        <v>1439</v>
      </c>
      <c r="G544" t="s">
        <v>1357</v>
      </c>
      <c r="H544" t="s">
        <v>254</v>
      </c>
      <c r="I544">
        <v>2011</v>
      </c>
      <c r="J544">
        <v>0</v>
      </c>
      <c r="K544" t="s">
        <v>1440</v>
      </c>
      <c r="M544" t="str">
        <f t="shared" si="615"/>
        <v>Elgie_2011</v>
      </c>
      <c r="N544" t="s">
        <v>222</v>
      </c>
      <c r="O544" s="145" t="s">
        <v>274</v>
      </c>
      <c r="Q544" s="264" t="s">
        <v>256</v>
      </c>
      <c r="R544" s="269" t="s">
        <v>1153</v>
      </c>
      <c r="S544" s="1" t="s">
        <v>1441</v>
      </c>
      <c r="T544" t="s">
        <v>1442</v>
      </c>
      <c r="U544" t="s">
        <v>1445</v>
      </c>
      <c r="V544">
        <v>2</v>
      </c>
      <c r="W544">
        <v>0</v>
      </c>
      <c r="X544">
        <v>2</v>
      </c>
      <c r="Y544">
        <v>2</v>
      </c>
      <c r="Z544">
        <v>0</v>
      </c>
      <c r="AA544">
        <v>0</v>
      </c>
      <c r="AB544">
        <v>0</v>
      </c>
      <c r="AC544">
        <v>0</v>
      </c>
      <c r="AD544">
        <v>0</v>
      </c>
      <c r="AE544">
        <v>0</v>
      </c>
      <c r="AF544">
        <v>0</v>
      </c>
      <c r="AG544">
        <v>0</v>
      </c>
      <c r="AH544">
        <v>0</v>
      </c>
      <c r="AI544">
        <v>0</v>
      </c>
      <c r="AJ544">
        <v>0</v>
      </c>
      <c r="AK544">
        <v>0</v>
      </c>
      <c r="AL544">
        <v>0</v>
      </c>
      <c r="AM544">
        <v>0</v>
      </c>
      <c r="AN544">
        <v>0</v>
      </c>
      <c r="AO544">
        <v>0</v>
      </c>
      <c r="AP544">
        <v>0</v>
      </c>
      <c r="AQ544">
        <v>0</v>
      </c>
      <c r="AR544">
        <v>0</v>
      </c>
      <c r="AS544">
        <v>0</v>
      </c>
      <c r="AT544">
        <v>0</v>
      </c>
      <c r="AU544">
        <v>0</v>
      </c>
      <c r="AV544">
        <v>1</v>
      </c>
      <c r="AW544">
        <v>0</v>
      </c>
      <c r="AX544" s="141">
        <f t="shared" si="621"/>
        <v>4</v>
      </c>
      <c r="AY544" s="141">
        <f t="shared" si="622"/>
        <v>3</v>
      </c>
      <c r="AZ544">
        <f t="shared" si="623"/>
        <v>3</v>
      </c>
      <c r="BA544">
        <f t="shared" si="624"/>
        <v>0</v>
      </c>
      <c r="BB544">
        <f t="shared" si="625"/>
        <v>0</v>
      </c>
      <c r="BC544">
        <f t="shared" si="626"/>
        <v>1</v>
      </c>
      <c r="BD544">
        <f t="shared" si="627"/>
        <v>0</v>
      </c>
      <c r="BE544" t="str" cm="1">
        <f t="array" ref="BE544">IF(AY544=1,INDEX($V$7:$AL$7,MATCH(TRUE,INDEX($V544:$AW544&lt;&gt;0,),0)),IF(AY544=0,INDEX($AM$7:$AW$7,MATCH(1,$AM544:$AW544,0)),IF(BF544="Multiple strategies","mixed drivers",IF(BF544="Supply chain","multiple supply","multiple silviculture"))))</f>
        <v>multiple silviculture</v>
      </c>
      <c r="BF544" s="2" t="str" cm="1">
        <f t="array" ref="BF544">IF(COUNTIF(AZ544:BB544,"&lt;&gt;0")=1,INDEX($V$4:$AW$4,MATCH(TRUE,INDEX($V544:$AW544&lt;&gt;0,),0)),IF(COUNTIF(AZ544:BB544,"&lt;&gt;0")=0,INDEX($AM$4:$AW$4,MATCH(1,$AM544:$AW544,0)),"Multiple strategies"))</f>
        <v>Silviculture for removals</v>
      </c>
      <c r="BG544" s="1" t="s">
        <v>321</v>
      </c>
      <c r="BH544" t="s">
        <v>1444</v>
      </c>
      <c r="BJ544" t="s">
        <v>1322</v>
      </c>
      <c r="BK544">
        <v>0</v>
      </c>
      <c r="BL544">
        <v>279.58580701439303</v>
      </c>
      <c r="BN544">
        <f t="shared" si="628"/>
        <v>279.58580701439303</v>
      </c>
      <c r="BO544">
        <f>BN544*10^6</f>
        <v>279585807.01439303</v>
      </c>
      <c r="BP544" t="s">
        <v>232</v>
      </c>
      <c r="BR544" t="s">
        <v>1358</v>
      </c>
      <c r="BS544">
        <v>269.14893617021198</v>
      </c>
      <c r="BT544">
        <v>221.063829787234</v>
      </c>
      <c r="BU544" s="144">
        <f>IFERROR(BT544/BS544,"")</f>
        <v>0.82134387351778881</v>
      </c>
      <c r="BV544">
        <f t="shared" si="629"/>
        <v>-48.085106382977983</v>
      </c>
      <c r="BX544">
        <f>BV544*10^6*C_to_CO2</f>
        <v>-176472340.42552921</v>
      </c>
      <c r="BY544">
        <f t="shared" si="557"/>
        <v>-0.63119205624212693</v>
      </c>
      <c r="BZ544">
        <v>0</v>
      </c>
      <c r="CA544">
        <v>0</v>
      </c>
      <c r="CB544">
        <v>0</v>
      </c>
      <c r="CC544">
        <v>0</v>
      </c>
      <c r="CD544">
        <v>0</v>
      </c>
      <c r="CE544">
        <v>0</v>
      </c>
      <c r="CF544">
        <v>0</v>
      </c>
      <c r="CG544">
        <v>0</v>
      </c>
      <c r="CH544">
        <v>0</v>
      </c>
      <c r="CI544">
        <v>0</v>
      </c>
      <c r="CJ544">
        <v>0</v>
      </c>
      <c r="CK544">
        <v>0</v>
      </c>
      <c r="CL544">
        <v>0</v>
      </c>
      <c r="CM544">
        <v>1</v>
      </c>
      <c r="CN544" t="str">
        <f t="shared" si="630"/>
        <v>refOK</v>
      </c>
      <c r="CO544">
        <f t="shared" si="648"/>
        <v>0</v>
      </c>
      <c r="CP544">
        <f t="shared" si="649"/>
        <v>279.58580701439303</v>
      </c>
      <c r="CQ544">
        <f t="shared" si="631"/>
        <v>279585807.01439303</v>
      </c>
      <c r="CR544">
        <f t="shared" si="632"/>
        <v>269.14893617021198</v>
      </c>
      <c r="CS544">
        <f t="shared" si="633"/>
        <v>221.063829787234</v>
      </c>
      <c r="CT544">
        <f t="shared" si="634"/>
        <v>-176472340.42552921</v>
      </c>
      <c r="CU544">
        <f t="shared" si="635"/>
        <v>-0.63119205624212693</v>
      </c>
      <c r="CV544" s="2">
        <f t="shared" si="636"/>
        <v>-0.17865612648221121</v>
      </c>
      <c r="CW544" s="1" t="s">
        <v>1198</v>
      </c>
      <c r="CX544" s="264" t="str">
        <f t="shared" si="637"/>
        <v>reg</v>
      </c>
      <c r="CY544" t="s">
        <v>540</v>
      </c>
      <c r="DB544">
        <v>200</v>
      </c>
      <c r="DC544" t="str">
        <f t="shared" si="638"/>
        <v>+100</v>
      </c>
      <c r="DD544">
        <v>1</v>
      </c>
      <c r="DE544">
        <v>0</v>
      </c>
      <c r="DF544">
        <v>0</v>
      </c>
      <c r="DG544">
        <v>0</v>
      </c>
      <c r="DI544">
        <f>SUM(DD544:DG544)</f>
        <v>1</v>
      </c>
      <c r="DJ544" t="str">
        <f t="shared" si="639"/>
        <v>UpstreamInput</v>
      </c>
      <c r="DK544" t="str">
        <f t="shared" si="640"/>
        <v>Upstream</v>
      </c>
      <c r="DL544">
        <f t="shared" si="641"/>
        <v>0</v>
      </c>
      <c r="DM544">
        <f t="shared" si="642"/>
        <v>0</v>
      </c>
      <c r="DN544">
        <f t="shared" si="643"/>
        <v>0</v>
      </c>
      <c r="DO544">
        <v>0</v>
      </c>
      <c r="DP544">
        <v>0</v>
      </c>
      <c r="DQ544">
        <v>0</v>
      </c>
      <c r="DR544">
        <v>0</v>
      </c>
      <c r="DS544">
        <v>0</v>
      </c>
      <c r="DT544">
        <f t="shared" si="644"/>
        <v>0</v>
      </c>
      <c r="DU544" s="143" t="str">
        <f t="shared" si="645"/>
        <v>explicit C balance</v>
      </c>
      <c r="DV544">
        <v>1</v>
      </c>
      <c r="DW544">
        <v>0</v>
      </c>
      <c r="DX544">
        <v>1</v>
      </c>
      <c r="DY544">
        <v>0</v>
      </c>
      <c r="DZ544">
        <v>0</v>
      </c>
      <c r="EA544" s="143">
        <v>0</v>
      </c>
      <c r="EB544">
        <v>0</v>
      </c>
      <c r="EC544">
        <v>0</v>
      </c>
      <c r="ED544">
        <v>0</v>
      </c>
      <c r="EE544">
        <v>0</v>
      </c>
      <c r="EF544">
        <v>1</v>
      </c>
      <c r="EG544">
        <v>0</v>
      </c>
      <c r="EH544">
        <v>0</v>
      </c>
      <c r="EI544" s="2">
        <v>1</v>
      </c>
      <c r="EJ544"/>
      <c r="EK544" t="str">
        <f t="shared" si="646"/>
        <v/>
      </c>
      <c r="EL544" t="str">
        <f t="shared" si="647"/>
        <v/>
      </c>
      <c r="EM544" s="2" t="str">
        <f t="shared" si="558"/>
        <v/>
      </c>
      <c r="EP544" t="str">
        <f>IF(ISNUMBER(BU544),IF(ABS(BU544-[4]QC_indicators!$B$2)&gt;3*[4]QC_indicators!$C$2,"C ratio",IF(ISNUMBER(BY544),IF(ABS(BY544-[4]QC_indicators!$B$1)&gt;3*[4]QC_indicators!$C$1,"DF","no"))),IF(ISNUMBER(BY544),IF(ABS(BY544-[4]QC_indicators!$B$1)&gt;3*[4]QC_indicators!$C$1,"DF","no")))</f>
        <v>no</v>
      </c>
      <c r="EQ544" t="s">
        <v>286</v>
      </c>
      <c r="ET544" s="264" t="s">
        <v>3406</v>
      </c>
    </row>
    <row r="545" spans="1:150" ht="15" hidden="1" customHeight="1">
      <c r="A545" s="1" t="s">
        <v>1356</v>
      </c>
      <c r="B545" t="s">
        <v>1435</v>
      </c>
      <c r="C545" t="s">
        <v>1436</v>
      </c>
      <c r="D545" t="s">
        <v>1437</v>
      </c>
      <c r="E545" t="s">
        <v>1438</v>
      </c>
      <c r="F545" t="s">
        <v>1439</v>
      </c>
      <c r="G545" t="s">
        <v>1357</v>
      </c>
      <c r="H545" t="s">
        <v>254</v>
      </c>
      <c r="I545">
        <v>2011</v>
      </c>
      <c r="J545">
        <v>0</v>
      </c>
      <c r="K545" t="s">
        <v>1440</v>
      </c>
      <c r="M545" t="str">
        <f t="shared" si="615"/>
        <v>Elgie_2011</v>
      </c>
      <c r="N545" t="s">
        <v>222</v>
      </c>
      <c r="O545" s="145" t="s">
        <v>274</v>
      </c>
      <c r="Q545" s="264" t="s">
        <v>256</v>
      </c>
      <c r="R545" s="269" t="s">
        <v>1153</v>
      </c>
      <c r="S545" s="1" t="s">
        <v>1441</v>
      </c>
      <c r="T545" t="s">
        <v>1442</v>
      </c>
      <c r="U545" t="s">
        <v>1446</v>
      </c>
      <c r="V545">
        <v>2</v>
      </c>
      <c r="W545">
        <v>0</v>
      </c>
      <c r="X545">
        <v>2</v>
      </c>
      <c r="Y545">
        <v>2</v>
      </c>
      <c r="Z545">
        <v>0</v>
      </c>
      <c r="AA545">
        <v>0</v>
      </c>
      <c r="AB545">
        <v>0</v>
      </c>
      <c r="AC545">
        <v>0</v>
      </c>
      <c r="AD545">
        <v>0</v>
      </c>
      <c r="AE545">
        <v>0</v>
      </c>
      <c r="AF545">
        <v>0</v>
      </c>
      <c r="AG545">
        <v>0</v>
      </c>
      <c r="AH545">
        <v>0</v>
      </c>
      <c r="AI545">
        <v>0</v>
      </c>
      <c r="AJ545">
        <v>0</v>
      </c>
      <c r="AK545">
        <v>0</v>
      </c>
      <c r="AL545">
        <v>0</v>
      </c>
      <c r="AM545">
        <v>0</v>
      </c>
      <c r="AN545">
        <v>0</v>
      </c>
      <c r="AO545">
        <v>0</v>
      </c>
      <c r="AP545">
        <v>0</v>
      </c>
      <c r="AQ545">
        <v>0</v>
      </c>
      <c r="AR545">
        <v>0</v>
      </c>
      <c r="AS545">
        <v>0</v>
      </c>
      <c r="AT545">
        <v>0</v>
      </c>
      <c r="AU545">
        <v>0</v>
      </c>
      <c r="AV545">
        <v>1</v>
      </c>
      <c r="AW545">
        <v>0</v>
      </c>
      <c r="AX545" s="141">
        <f t="shared" si="621"/>
        <v>4</v>
      </c>
      <c r="AY545" s="141">
        <f t="shared" si="622"/>
        <v>3</v>
      </c>
      <c r="AZ545">
        <f t="shared" si="623"/>
        <v>3</v>
      </c>
      <c r="BA545">
        <f t="shared" si="624"/>
        <v>0</v>
      </c>
      <c r="BB545">
        <f t="shared" si="625"/>
        <v>0</v>
      </c>
      <c r="BC545">
        <f t="shared" si="626"/>
        <v>1</v>
      </c>
      <c r="BD545">
        <f t="shared" si="627"/>
        <v>0</v>
      </c>
      <c r="BE545" t="str" cm="1">
        <f t="array" ref="BE545">IF(AY545=1,INDEX($V$7:$AL$7,MATCH(TRUE,INDEX($V545:$AW545&lt;&gt;0,),0)),IF(AY545=0,INDEX($AM$7:$AW$7,MATCH(1,$AM545:$AW545,0)),IF(BF545="Multiple strategies","mixed drivers",IF(BF545="Supply chain","multiple supply","multiple silviculture"))))</f>
        <v>multiple silviculture</v>
      </c>
      <c r="BF545" s="2" t="str" cm="1">
        <f t="array" ref="BF545">IF(COUNTIF(AZ545:BB545,"&lt;&gt;0")=1,INDEX($V$4:$AW$4,MATCH(TRUE,INDEX($V545:$AW545&lt;&gt;0,),0)),IF(COUNTIF(AZ545:BB545,"&lt;&gt;0")=0,INDEX($AM$4:$AW$4,MATCH(1,$AM545:$AW545,0)),"Multiple strategies"))</f>
        <v>Silviculture for removals</v>
      </c>
      <c r="BG545" s="1" t="s">
        <v>321</v>
      </c>
      <c r="BH545" t="s">
        <v>1444</v>
      </c>
      <c r="BJ545" t="s">
        <v>1322</v>
      </c>
      <c r="BK545">
        <v>0</v>
      </c>
      <c r="BL545">
        <v>161.3345306206223</v>
      </c>
      <c r="BN545">
        <f t="shared" si="628"/>
        <v>161.3345306206223</v>
      </c>
      <c r="BO545">
        <f>BN545*10^6</f>
        <v>161334530.62062231</v>
      </c>
      <c r="BP545" t="s">
        <v>232</v>
      </c>
      <c r="BR545" t="s">
        <v>1358</v>
      </c>
      <c r="BS545">
        <v>269.14893617021198</v>
      </c>
      <c r="BT545">
        <v>261.063829787234</v>
      </c>
      <c r="BU545" s="144">
        <f>IFERROR(BT545/BS545,"")</f>
        <v>0.96996047430830301</v>
      </c>
      <c r="BV545">
        <f t="shared" si="629"/>
        <v>-8.0851063829779832</v>
      </c>
      <c r="BX545">
        <f>BV545*10^6*C_to_CO2</f>
        <v>-29672340.425529197</v>
      </c>
      <c r="BY545">
        <f t="shared" si="557"/>
        <v>-0.18391810055408175</v>
      </c>
      <c r="BZ545">
        <v>0</v>
      </c>
      <c r="CA545">
        <v>0</v>
      </c>
      <c r="CB545">
        <v>0</v>
      </c>
      <c r="CC545">
        <v>0</v>
      </c>
      <c r="CD545">
        <v>0</v>
      </c>
      <c r="CE545">
        <v>0</v>
      </c>
      <c r="CF545">
        <v>0</v>
      </c>
      <c r="CG545">
        <v>0</v>
      </c>
      <c r="CH545">
        <v>0</v>
      </c>
      <c r="CI545">
        <v>0</v>
      </c>
      <c r="CJ545">
        <v>0</v>
      </c>
      <c r="CK545">
        <v>0</v>
      </c>
      <c r="CL545">
        <v>0</v>
      </c>
      <c r="CM545">
        <v>1</v>
      </c>
      <c r="CN545" t="str">
        <f t="shared" si="630"/>
        <v>refOK</v>
      </c>
      <c r="CO545">
        <f t="shared" si="648"/>
        <v>0</v>
      </c>
      <c r="CP545">
        <f t="shared" si="649"/>
        <v>161.3345306206223</v>
      </c>
      <c r="CQ545">
        <f t="shared" si="631"/>
        <v>161334530.62062231</v>
      </c>
      <c r="CR545">
        <f t="shared" si="632"/>
        <v>269.14893617021198</v>
      </c>
      <c r="CS545">
        <f t="shared" si="633"/>
        <v>261.063829787234</v>
      </c>
      <c r="CT545">
        <f t="shared" si="634"/>
        <v>-29672340.425529197</v>
      </c>
      <c r="CU545">
        <f t="shared" si="635"/>
        <v>-0.18391810055408175</v>
      </c>
      <c r="CV545" s="2">
        <f t="shared" si="636"/>
        <v>-3.0039525691696944E-2</v>
      </c>
      <c r="CW545" s="1" t="s">
        <v>1198</v>
      </c>
      <c r="CX545" s="264" t="str">
        <f t="shared" si="637"/>
        <v>reg</v>
      </c>
      <c r="CY545" t="s">
        <v>540</v>
      </c>
      <c r="DB545">
        <v>200</v>
      </c>
      <c r="DC545" t="str">
        <f t="shared" si="638"/>
        <v>+100</v>
      </c>
      <c r="DD545">
        <v>1</v>
      </c>
      <c r="DE545">
        <v>0</v>
      </c>
      <c r="DF545">
        <v>0</v>
      </c>
      <c r="DG545">
        <v>0</v>
      </c>
      <c r="DI545">
        <f>SUM(DD545:DG545)</f>
        <v>1</v>
      </c>
      <c r="DJ545" t="str">
        <f t="shared" si="639"/>
        <v>UpstreamInput</v>
      </c>
      <c r="DK545" t="str">
        <f t="shared" si="640"/>
        <v>Upstream</v>
      </c>
      <c r="DL545">
        <f t="shared" si="641"/>
        <v>0</v>
      </c>
      <c r="DM545">
        <f t="shared" si="642"/>
        <v>0</v>
      </c>
      <c r="DN545">
        <f t="shared" si="643"/>
        <v>0</v>
      </c>
      <c r="DO545">
        <v>0</v>
      </c>
      <c r="DP545">
        <v>0</v>
      </c>
      <c r="DQ545">
        <v>0</v>
      </c>
      <c r="DR545">
        <v>0</v>
      </c>
      <c r="DS545">
        <v>0</v>
      </c>
      <c r="DT545">
        <f t="shared" si="644"/>
        <v>0</v>
      </c>
      <c r="DU545" s="143" t="str">
        <f t="shared" si="645"/>
        <v>explicit C balance</v>
      </c>
      <c r="DV545">
        <v>1</v>
      </c>
      <c r="DW545">
        <v>0</v>
      </c>
      <c r="DX545">
        <v>1</v>
      </c>
      <c r="DY545">
        <v>0</v>
      </c>
      <c r="DZ545">
        <v>0</v>
      </c>
      <c r="EA545" s="143">
        <v>0</v>
      </c>
      <c r="EB545">
        <v>0</v>
      </c>
      <c r="EC545">
        <v>0</v>
      </c>
      <c r="ED545">
        <v>0</v>
      </c>
      <c r="EE545">
        <v>0</v>
      </c>
      <c r="EF545">
        <v>1</v>
      </c>
      <c r="EG545">
        <v>0</v>
      </c>
      <c r="EH545">
        <v>0</v>
      </c>
      <c r="EI545" s="2">
        <v>1</v>
      </c>
      <c r="EJ545"/>
      <c r="EK545" t="str">
        <f t="shared" si="646"/>
        <v/>
      </c>
      <c r="EL545" t="str">
        <f t="shared" si="647"/>
        <v/>
      </c>
      <c r="EM545" s="2" t="str">
        <f t="shared" si="558"/>
        <v/>
      </c>
      <c r="EP545" t="str">
        <f>IF(ISNUMBER(BU545),IF(ABS(BU545-[4]QC_indicators!$B$2)&gt;3*[4]QC_indicators!$C$2,"C ratio",IF(ISNUMBER(BY545),IF(ABS(BY545-[4]QC_indicators!$B$1)&gt;3*[4]QC_indicators!$C$1,"DF","no"))),IF(ISNUMBER(BY545),IF(ABS(BY545-[4]QC_indicators!$B$1)&gt;3*[4]QC_indicators!$C$1,"DF","no")))</f>
        <v>no</v>
      </c>
      <c r="EQ545" t="s">
        <v>286</v>
      </c>
      <c r="ET545" s="264" t="s">
        <v>3406</v>
      </c>
    </row>
    <row r="546" spans="1:150" ht="15" hidden="1" customHeight="1">
      <c r="A546" s="1" t="s">
        <v>587</v>
      </c>
      <c r="B546" t="s">
        <v>1447</v>
      </c>
      <c r="C546" t="s">
        <v>1448</v>
      </c>
      <c r="D546" t="s">
        <v>1449</v>
      </c>
      <c r="E546" t="s">
        <v>1450</v>
      </c>
      <c r="F546" t="s">
        <v>1451</v>
      </c>
      <c r="G546" t="s">
        <v>593</v>
      </c>
      <c r="H546" t="s">
        <v>254</v>
      </c>
      <c r="I546">
        <v>2020</v>
      </c>
      <c r="J546">
        <v>12</v>
      </c>
      <c r="K546" t="s">
        <v>1452</v>
      </c>
      <c r="M546" t="str">
        <f t="shared" si="615"/>
        <v>Elisa_2020</v>
      </c>
      <c r="N546" s="264" t="s">
        <v>222</v>
      </c>
      <c r="O546" s="171" t="s">
        <v>274</v>
      </c>
      <c r="P546" t="s">
        <v>223</v>
      </c>
      <c r="Q546" s="264" t="s">
        <v>389</v>
      </c>
      <c r="R546" s="269" t="s">
        <v>1153</v>
      </c>
      <c r="S546" s="154" t="s">
        <v>1453</v>
      </c>
      <c r="T546" s="294" t="s">
        <v>1454</v>
      </c>
      <c r="U546" s="143" t="s">
        <v>1455</v>
      </c>
      <c r="V546">
        <v>0</v>
      </c>
      <c r="W546">
        <v>0</v>
      </c>
      <c r="X546">
        <v>0</v>
      </c>
      <c r="Y546">
        <v>0</v>
      </c>
      <c r="Z546">
        <v>0</v>
      </c>
      <c r="AA546">
        <v>0</v>
      </c>
      <c r="AB546">
        <v>0</v>
      </c>
      <c r="AC546">
        <v>0</v>
      </c>
      <c r="AD546">
        <v>0</v>
      </c>
      <c r="AE546">
        <v>1</v>
      </c>
      <c r="AF546">
        <v>0</v>
      </c>
      <c r="AG546">
        <v>0</v>
      </c>
      <c r="AH546">
        <v>0</v>
      </c>
      <c r="AI546">
        <v>0</v>
      </c>
      <c r="AJ546">
        <v>0</v>
      </c>
      <c r="AK546">
        <v>0</v>
      </c>
      <c r="AL546">
        <v>0</v>
      </c>
      <c r="AM546">
        <v>0</v>
      </c>
      <c r="AN546">
        <v>0</v>
      </c>
      <c r="AO546">
        <v>0</v>
      </c>
      <c r="AP546">
        <v>0</v>
      </c>
      <c r="AQ546">
        <v>0</v>
      </c>
      <c r="AR546">
        <v>0</v>
      </c>
      <c r="AS546">
        <v>0</v>
      </c>
      <c r="AT546">
        <v>0</v>
      </c>
      <c r="AU546">
        <v>0</v>
      </c>
      <c r="AV546">
        <v>0</v>
      </c>
      <c r="AW546">
        <v>0</v>
      </c>
      <c r="AX546" s="141">
        <f t="shared" si="621"/>
        <v>1</v>
      </c>
      <c r="AY546" s="141">
        <f t="shared" si="622"/>
        <v>1</v>
      </c>
      <c r="AZ546">
        <f t="shared" si="623"/>
        <v>0</v>
      </c>
      <c r="BA546">
        <f t="shared" si="624"/>
        <v>1</v>
      </c>
      <c r="BB546">
        <f t="shared" si="625"/>
        <v>0</v>
      </c>
      <c r="BC546">
        <f t="shared" si="626"/>
        <v>0</v>
      </c>
      <c r="BD546">
        <f t="shared" si="627"/>
        <v>0</v>
      </c>
      <c r="BE546" t="str" cm="1">
        <f t="array" ref="BE546">IF(AY546=1,INDEX($V$7:$AL$7,MATCH(TRUE,INDEX($V546:$AW546&lt;&gt;0,),0)),IF(AY546=0,INDEX($AM$7:$AW$7,MATCH(1,$AM546:$AW546,0)),IF(BF546="Multiple strategies","mixed drivers",IF(BF546="Supply chain","multiple supply","multiple silviculture"))))</f>
        <v>location of industry</v>
      </c>
      <c r="BF546" s="2" t="str" cm="1">
        <f t="array" ref="BF546">IF(COUNTIF(AZ546:BB546,"&lt;&gt;0")=1,INDEX($V$4:$AW$4,MATCH(TRUE,INDEX($V546:$AW546&lt;&gt;0,),0)),IF(COUNTIF(AZ546:BB546,"&lt;&gt;0")=0,INDEX($AM$4:$AW$4,MATCH(1,$AM546:$AW546,0)),"Multiple strategies"))</f>
        <v>Supply chain</v>
      </c>
      <c r="BG546" s="142" t="s">
        <v>321</v>
      </c>
      <c r="BH546" s="160" t="s">
        <v>1456</v>
      </c>
      <c r="BI546" s="160" t="s">
        <v>1457</v>
      </c>
      <c r="BJ546" s="143" t="s">
        <v>498</v>
      </c>
      <c r="BK546" s="143">
        <v>944</v>
      </c>
      <c r="BL546" s="143">
        <v>1600</v>
      </c>
      <c r="BM546">
        <f>IFERROR(BL546/BK546,"")</f>
        <v>1.6949152542372881</v>
      </c>
      <c r="BN546">
        <f t="shared" si="628"/>
        <v>656</v>
      </c>
      <c r="BO546" s="159">
        <f t="shared" ref="BO546:BO577" si="650">BN546</f>
        <v>656</v>
      </c>
      <c r="BP546" s="155" t="s">
        <v>232</v>
      </c>
      <c r="BQ546" s="155" t="s">
        <v>1458</v>
      </c>
      <c r="BR546" s="155" t="s">
        <v>825</v>
      </c>
      <c r="BS546" s="143" t="s">
        <v>1459</v>
      </c>
      <c r="BT546" t="s">
        <v>1460</v>
      </c>
      <c r="BU546" s="144">
        <f t="shared" ref="BU546:BU577" si="651">BT546/BS546</f>
        <v>2.9358300142452731</v>
      </c>
      <c r="BV546">
        <f t="shared" si="629"/>
        <v>-13.5858825</v>
      </c>
      <c r="BX546">
        <f t="shared" ref="BX546:BX577" si="652">BV546</f>
        <v>-13.5858825</v>
      </c>
      <c r="BY546">
        <f t="shared" si="557"/>
        <v>-2.0710186737804878E-2</v>
      </c>
      <c r="BZ546">
        <v>0</v>
      </c>
      <c r="CA546">
        <v>0</v>
      </c>
      <c r="CB546">
        <v>0</v>
      </c>
      <c r="CC546">
        <v>0</v>
      </c>
      <c r="CD546">
        <v>0</v>
      </c>
      <c r="CE546">
        <v>0</v>
      </c>
      <c r="CF546">
        <v>0</v>
      </c>
      <c r="CG546">
        <v>0</v>
      </c>
      <c r="CH546">
        <v>0</v>
      </c>
      <c r="CI546">
        <v>0</v>
      </c>
      <c r="CJ546">
        <v>0</v>
      </c>
      <c r="CK546">
        <v>0</v>
      </c>
      <c r="CL546">
        <v>0</v>
      </c>
      <c r="CM546">
        <v>0</v>
      </c>
      <c r="CN546" t="str">
        <f t="shared" si="630"/>
        <v>refOK</v>
      </c>
      <c r="CO546">
        <f t="shared" si="648"/>
        <v>944</v>
      </c>
      <c r="CP546">
        <f t="shared" si="649"/>
        <v>1600</v>
      </c>
      <c r="CQ546">
        <f t="shared" si="631"/>
        <v>656</v>
      </c>
      <c r="CR546">
        <f t="shared" si="632"/>
        <v>-7.0181174999999998</v>
      </c>
      <c r="CS546">
        <f t="shared" si="633"/>
        <v>-20.603999999999999</v>
      </c>
      <c r="CT546">
        <f t="shared" si="634"/>
        <v>-13.5858825</v>
      </c>
      <c r="CU546">
        <f t="shared" si="635"/>
        <v>-2.0710186737804878E-2</v>
      </c>
      <c r="CV546" s="2">
        <f t="shared" si="636"/>
        <v>-1.9358300142452731</v>
      </c>
      <c r="CW546" s="263" t="s">
        <v>1461</v>
      </c>
      <c r="CX546" s="264" t="str">
        <f t="shared" si="637"/>
        <v>reg</v>
      </c>
      <c r="CY546" s="270" t="s">
        <v>743</v>
      </c>
      <c r="DA546" s="143"/>
      <c r="DB546" s="143">
        <v>0</v>
      </c>
      <c r="DC546" t="str">
        <f t="shared" si="638"/>
        <v>0</v>
      </c>
      <c r="DD546">
        <v>0</v>
      </c>
      <c r="DE546">
        <v>1</v>
      </c>
      <c r="DF546">
        <v>0</v>
      </c>
      <c r="DG546">
        <v>0</v>
      </c>
      <c r="DH546">
        <v>0</v>
      </c>
      <c r="DI546">
        <f t="shared" ref="DI546:DI577" si="653">SUM(DD546:DH546)</f>
        <v>1</v>
      </c>
      <c r="DJ546" t="str">
        <f t="shared" si="639"/>
        <v>EnergyInput</v>
      </c>
      <c r="DK546">
        <f t="shared" si="640"/>
        <v>0</v>
      </c>
      <c r="DL546" t="str">
        <f t="shared" si="641"/>
        <v>Energy</v>
      </c>
      <c r="DM546">
        <f t="shared" si="642"/>
        <v>0</v>
      </c>
      <c r="DN546">
        <f t="shared" si="643"/>
        <v>0</v>
      </c>
      <c r="DO546">
        <v>0</v>
      </c>
      <c r="DP546" s="143">
        <v>0</v>
      </c>
      <c r="DQ546" s="143">
        <v>0</v>
      </c>
      <c r="DR546">
        <v>0</v>
      </c>
      <c r="DS546" s="143">
        <v>0</v>
      </c>
      <c r="DT546">
        <f t="shared" si="644"/>
        <v>0</v>
      </c>
      <c r="DU546" s="143" t="str">
        <f t="shared" si="645"/>
        <v>explicit C balance</v>
      </c>
      <c r="DV546" s="143">
        <v>0</v>
      </c>
      <c r="DW546" s="143">
        <v>0</v>
      </c>
      <c r="DX546" s="143">
        <v>0</v>
      </c>
      <c r="DY546" s="143">
        <v>0</v>
      </c>
      <c r="DZ546">
        <v>0</v>
      </c>
      <c r="EA546" s="143">
        <v>0</v>
      </c>
      <c r="EB546" s="143">
        <v>1</v>
      </c>
      <c r="EC546" s="143">
        <v>1</v>
      </c>
      <c r="ED546" s="143">
        <v>0</v>
      </c>
      <c r="EE546">
        <v>1</v>
      </c>
      <c r="EF546">
        <v>0</v>
      </c>
      <c r="EG546" s="143">
        <v>0</v>
      </c>
      <c r="EH546" s="143">
        <v>0</v>
      </c>
      <c r="EI546" s="2">
        <v>0</v>
      </c>
      <c r="EJ546"/>
      <c r="EK546" t="str">
        <f t="shared" si="646"/>
        <v/>
      </c>
      <c r="EL546" t="str">
        <f t="shared" si="647"/>
        <v/>
      </c>
      <c r="EM546" s="2" t="str">
        <f t="shared" si="558"/>
        <v>Technology approach</v>
      </c>
      <c r="EP546" t="str">
        <f>IF(ISNUMBER(BU546),IF(ABS(BU546-[4]QC_indicators!$B$2)&gt;3*[4]QC_indicators!$C$2,"C ratio",IF(ISNUMBER(BY546),IF(ABS(BY546-[4]QC_indicators!$B$1)&gt;3*[4]QC_indicators!$C$1,"DF","no"))),IF(ISNUMBER(BY546),IF(ABS(BY546-[4]QC_indicators!$B$1)&gt;3*[4]QC_indicators!$C$1,"DF","no")))</f>
        <v>no</v>
      </c>
      <c r="ER546" s="149"/>
      <c r="ET546" s="264" t="s">
        <v>3406</v>
      </c>
    </row>
    <row r="547" spans="1:150" ht="15" hidden="1" customHeight="1">
      <c r="A547" s="1" t="s">
        <v>587</v>
      </c>
      <c r="B547" t="s">
        <v>1447</v>
      </c>
      <c r="C547" t="s">
        <v>1448</v>
      </c>
      <c r="D547" t="s">
        <v>1449</v>
      </c>
      <c r="E547" t="s">
        <v>1450</v>
      </c>
      <c r="F547" t="s">
        <v>1451</v>
      </c>
      <c r="G547" t="s">
        <v>593</v>
      </c>
      <c r="H547" t="s">
        <v>254</v>
      </c>
      <c r="I547">
        <v>2020</v>
      </c>
      <c r="J547">
        <v>12</v>
      </c>
      <c r="K547" t="s">
        <v>1452</v>
      </c>
      <c r="M547" t="str">
        <f t="shared" si="615"/>
        <v>Elisa_2020</v>
      </c>
      <c r="N547" s="264" t="s">
        <v>222</v>
      </c>
      <c r="O547" s="171" t="s">
        <v>274</v>
      </c>
      <c r="P547" t="s">
        <v>223</v>
      </c>
      <c r="Q547" s="264" t="s">
        <v>389</v>
      </c>
      <c r="R547" s="269" t="s">
        <v>1153</v>
      </c>
      <c r="S547" s="154" t="s">
        <v>1453</v>
      </c>
      <c r="T547" s="294" t="s">
        <v>1454</v>
      </c>
      <c r="U547" s="143" t="s">
        <v>1455</v>
      </c>
      <c r="V547">
        <v>0</v>
      </c>
      <c r="W547">
        <v>0</v>
      </c>
      <c r="X547">
        <v>0</v>
      </c>
      <c r="Y547">
        <v>0</v>
      </c>
      <c r="Z547">
        <v>0</v>
      </c>
      <c r="AA547">
        <v>0</v>
      </c>
      <c r="AB547">
        <v>0</v>
      </c>
      <c r="AC547">
        <v>0</v>
      </c>
      <c r="AD547">
        <v>0</v>
      </c>
      <c r="AE547">
        <v>1</v>
      </c>
      <c r="AF547">
        <v>0</v>
      </c>
      <c r="AG547">
        <v>0</v>
      </c>
      <c r="AH547">
        <v>0</v>
      </c>
      <c r="AI547">
        <v>0</v>
      </c>
      <c r="AJ547">
        <v>0</v>
      </c>
      <c r="AK547">
        <v>0</v>
      </c>
      <c r="AL547">
        <v>0</v>
      </c>
      <c r="AM547">
        <v>0</v>
      </c>
      <c r="AN547">
        <v>0</v>
      </c>
      <c r="AO547">
        <v>0</v>
      </c>
      <c r="AP547">
        <v>0</v>
      </c>
      <c r="AQ547">
        <v>0</v>
      </c>
      <c r="AR547">
        <v>0</v>
      </c>
      <c r="AS547">
        <v>0</v>
      </c>
      <c r="AT547">
        <v>0</v>
      </c>
      <c r="AU547">
        <v>0</v>
      </c>
      <c r="AV547">
        <v>0</v>
      </c>
      <c r="AW547">
        <v>0</v>
      </c>
      <c r="AX547" s="141">
        <f t="shared" si="621"/>
        <v>1</v>
      </c>
      <c r="AY547" s="141">
        <f t="shared" si="622"/>
        <v>1</v>
      </c>
      <c r="AZ547">
        <f t="shared" si="623"/>
        <v>0</v>
      </c>
      <c r="BA547">
        <f t="shared" si="624"/>
        <v>1</v>
      </c>
      <c r="BB547">
        <f t="shared" si="625"/>
        <v>0</v>
      </c>
      <c r="BC547">
        <f t="shared" si="626"/>
        <v>0</v>
      </c>
      <c r="BD547">
        <f t="shared" si="627"/>
        <v>0</v>
      </c>
      <c r="BE547" t="str" cm="1">
        <f t="array" ref="BE547">IF(AY547=1,INDEX($V$7:$AL$7,MATCH(TRUE,INDEX($V547:$AW547&lt;&gt;0,),0)),IF(AY547=0,INDEX($AM$7:$AW$7,MATCH(1,$AM547:$AW547,0)),IF(BF547="Multiple strategies","mixed drivers",IF(BF547="Supply chain","multiple supply","multiple silviculture"))))</f>
        <v>location of industry</v>
      </c>
      <c r="BF547" s="2" t="str" cm="1">
        <f t="array" ref="BF547">IF(COUNTIF(AZ547:BB547,"&lt;&gt;0")=1,INDEX($V$4:$AW$4,MATCH(TRUE,INDEX($V547:$AW547&lt;&gt;0,),0)),IF(COUNTIF(AZ547:BB547,"&lt;&gt;0")=0,INDEX($AM$4:$AW$4,MATCH(1,$AM547:$AW547,0)),"Multiple strategies"))</f>
        <v>Supply chain</v>
      </c>
      <c r="BG547" s="142" t="s">
        <v>321</v>
      </c>
      <c r="BH547" s="160" t="s">
        <v>1456</v>
      </c>
      <c r="BI547" s="160" t="s">
        <v>1457</v>
      </c>
      <c r="BJ547" s="143" t="s">
        <v>498</v>
      </c>
      <c r="BK547" s="143">
        <v>944</v>
      </c>
      <c r="BL547" s="143">
        <v>1600</v>
      </c>
      <c r="BM547">
        <f>IFERROR(BL549/BK547,"")</f>
        <v>1.6154661016949152</v>
      </c>
      <c r="BN547">
        <f t="shared" si="628"/>
        <v>656</v>
      </c>
      <c r="BO547" s="159">
        <f t="shared" si="650"/>
        <v>656</v>
      </c>
      <c r="BP547" s="155" t="s">
        <v>232</v>
      </c>
      <c r="BQ547" s="155" t="s">
        <v>1458</v>
      </c>
      <c r="BR547" s="155" t="s">
        <v>825</v>
      </c>
      <c r="BS547" s="143" t="s">
        <v>1462</v>
      </c>
      <c r="BT547" t="s">
        <v>1463</v>
      </c>
      <c r="BU547" s="144">
        <f t="shared" si="651"/>
        <v>2.9552486135213476</v>
      </c>
      <c r="BV547">
        <f t="shared" si="629"/>
        <v>-13.5120241666667</v>
      </c>
      <c r="BX547">
        <f t="shared" si="652"/>
        <v>-13.5120241666667</v>
      </c>
      <c r="BY547">
        <f t="shared" si="557"/>
        <v>-2.05975978150407E-2</v>
      </c>
      <c r="BZ547">
        <v>0</v>
      </c>
      <c r="CA547">
        <v>0</v>
      </c>
      <c r="CB547">
        <v>0</v>
      </c>
      <c r="CC547">
        <v>0</v>
      </c>
      <c r="CD547">
        <v>0</v>
      </c>
      <c r="CE547">
        <v>0</v>
      </c>
      <c r="CF547">
        <v>0</v>
      </c>
      <c r="CG547">
        <v>0</v>
      </c>
      <c r="CH547">
        <v>0</v>
      </c>
      <c r="CI547">
        <v>0</v>
      </c>
      <c r="CJ547">
        <v>0</v>
      </c>
      <c r="CK547">
        <v>0</v>
      </c>
      <c r="CL547">
        <v>0</v>
      </c>
      <c r="CM547">
        <v>0</v>
      </c>
      <c r="CN547" t="str">
        <f t="shared" si="630"/>
        <v>refOK</v>
      </c>
      <c r="CO547">
        <f t="shared" si="648"/>
        <v>944</v>
      </c>
      <c r="CP547">
        <f t="shared" si="649"/>
        <v>1600</v>
      </c>
      <c r="CQ547">
        <f t="shared" si="631"/>
        <v>656</v>
      </c>
      <c r="CR547">
        <f t="shared" si="632"/>
        <v>-6.9106424999999998</v>
      </c>
      <c r="CS547">
        <f t="shared" si="633"/>
        <v>-20.4226666666667</v>
      </c>
      <c r="CT547">
        <f t="shared" si="634"/>
        <v>-13.5120241666667</v>
      </c>
      <c r="CU547">
        <f t="shared" si="635"/>
        <v>-2.05975978150407E-2</v>
      </c>
      <c r="CV547" s="2">
        <f t="shared" si="636"/>
        <v>-1.9552486135213478</v>
      </c>
      <c r="CW547" s="263" t="s">
        <v>1461</v>
      </c>
      <c r="CX547" s="264" t="str">
        <f t="shared" si="637"/>
        <v>reg</v>
      </c>
      <c r="CY547" s="270" t="s">
        <v>743</v>
      </c>
      <c r="DA547" s="143"/>
      <c r="DB547" s="143">
        <v>0</v>
      </c>
      <c r="DC547" t="str">
        <f t="shared" si="638"/>
        <v>0</v>
      </c>
      <c r="DD547">
        <v>0</v>
      </c>
      <c r="DE547">
        <v>1</v>
      </c>
      <c r="DF547">
        <v>0</v>
      </c>
      <c r="DG547">
        <v>0</v>
      </c>
      <c r="DH547">
        <v>0</v>
      </c>
      <c r="DI547">
        <f t="shared" si="653"/>
        <v>1</v>
      </c>
      <c r="DJ547" t="str">
        <f t="shared" si="639"/>
        <v>EnergyInput</v>
      </c>
      <c r="DK547">
        <f t="shared" si="640"/>
        <v>0</v>
      </c>
      <c r="DL547" t="str">
        <f t="shared" si="641"/>
        <v>Energy</v>
      </c>
      <c r="DM547">
        <f t="shared" si="642"/>
        <v>0</v>
      </c>
      <c r="DN547">
        <f t="shared" si="643"/>
        <v>0</v>
      </c>
      <c r="DO547">
        <v>0</v>
      </c>
      <c r="DP547" s="143">
        <v>0</v>
      </c>
      <c r="DQ547" s="143">
        <v>0</v>
      </c>
      <c r="DR547">
        <v>0</v>
      </c>
      <c r="DS547" s="143">
        <v>0</v>
      </c>
      <c r="DT547">
        <f t="shared" si="644"/>
        <v>0</v>
      </c>
      <c r="DU547" s="143" t="str">
        <f t="shared" si="645"/>
        <v>explicit C balance</v>
      </c>
      <c r="DV547" s="143">
        <v>0</v>
      </c>
      <c r="DW547" s="143">
        <v>0</v>
      </c>
      <c r="DX547" s="143">
        <v>0</v>
      </c>
      <c r="DY547" s="143">
        <v>0</v>
      </c>
      <c r="DZ547">
        <v>0</v>
      </c>
      <c r="EA547" s="143">
        <v>0</v>
      </c>
      <c r="EB547" s="143">
        <v>0</v>
      </c>
      <c r="EC547" s="143">
        <v>1</v>
      </c>
      <c r="ED547" s="143">
        <v>0</v>
      </c>
      <c r="EE547">
        <v>1</v>
      </c>
      <c r="EF547">
        <v>0</v>
      </c>
      <c r="EG547" s="143">
        <v>0</v>
      </c>
      <c r="EH547" s="143">
        <v>0</v>
      </c>
      <c r="EI547" s="2">
        <v>0</v>
      </c>
      <c r="EJ547"/>
      <c r="EK547" t="str">
        <f t="shared" si="646"/>
        <v/>
      </c>
      <c r="EL547" t="str">
        <f t="shared" si="647"/>
        <v/>
      </c>
      <c r="EM547" s="2" t="str">
        <f t="shared" si="558"/>
        <v>Technology approach</v>
      </c>
      <c r="EP547" t="str">
        <f>IF(ISNUMBER(BU547),IF(ABS(BU547-[4]QC_indicators!$B$2)&gt;3*[4]QC_indicators!$C$2,"C ratio",IF(ISNUMBER(BY547),IF(ABS(BY547-[4]QC_indicators!$B$1)&gt;3*[4]QC_indicators!$C$1,"DF","no"))),IF(ISNUMBER(BY547),IF(ABS(BY547-[4]QC_indicators!$B$1)&gt;3*[4]QC_indicators!$C$1,"DF","no")))</f>
        <v>no</v>
      </c>
      <c r="ER547" s="149"/>
      <c r="ET547" s="264" t="s">
        <v>3406</v>
      </c>
    </row>
    <row r="548" spans="1:150" ht="15" hidden="1" customHeight="1">
      <c r="A548" s="1" t="s">
        <v>587</v>
      </c>
      <c r="B548" t="s">
        <v>1447</v>
      </c>
      <c r="C548" t="s">
        <v>1448</v>
      </c>
      <c r="D548" t="s">
        <v>1449</v>
      </c>
      <c r="E548" t="s">
        <v>1450</v>
      </c>
      <c r="F548" t="s">
        <v>1451</v>
      </c>
      <c r="G548" t="s">
        <v>593</v>
      </c>
      <c r="H548" t="s">
        <v>254</v>
      </c>
      <c r="I548">
        <v>2020</v>
      </c>
      <c r="J548">
        <v>12</v>
      </c>
      <c r="K548" t="s">
        <v>1452</v>
      </c>
      <c r="M548" t="str">
        <f t="shared" si="615"/>
        <v>Elisa_2020</v>
      </c>
      <c r="N548" s="264" t="s">
        <v>222</v>
      </c>
      <c r="O548" s="171" t="s">
        <v>274</v>
      </c>
      <c r="P548" t="s">
        <v>223</v>
      </c>
      <c r="Q548" s="264" t="s">
        <v>389</v>
      </c>
      <c r="R548" s="269" t="s">
        <v>1153</v>
      </c>
      <c r="S548" s="154" t="s">
        <v>1453</v>
      </c>
      <c r="T548" s="294" t="s">
        <v>1454</v>
      </c>
      <c r="U548" s="143" t="s">
        <v>1464</v>
      </c>
      <c r="V548">
        <v>0</v>
      </c>
      <c r="W548">
        <v>0</v>
      </c>
      <c r="X548">
        <v>0</v>
      </c>
      <c r="Y548">
        <v>0</v>
      </c>
      <c r="Z548">
        <v>0</v>
      </c>
      <c r="AA548">
        <v>0</v>
      </c>
      <c r="AB548">
        <v>0</v>
      </c>
      <c r="AC548">
        <v>0</v>
      </c>
      <c r="AD548">
        <v>0</v>
      </c>
      <c r="AE548">
        <v>1</v>
      </c>
      <c r="AF548">
        <v>0</v>
      </c>
      <c r="AG548">
        <v>0</v>
      </c>
      <c r="AH548">
        <v>0</v>
      </c>
      <c r="AI548">
        <v>0</v>
      </c>
      <c r="AJ548">
        <v>0</v>
      </c>
      <c r="AK548">
        <v>0</v>
      </c>
      <c r="AL548">
        <v>0</v>
      </c>
      <c r="AM548">
        <v>0</v>
      </c>
      <c r="AN548">
        <v>0</v>
      </c>
      <c r="AO548">
        <v>0</v>
      </c>
      <c r="AP548">
        <v>0</v>
      </c>
      <c r="AQ548">
        <v>0</v>
      </c>
      <c r="AR548">
        <v>0</v>
      </c>
      <c r="AS548">
        <v>0</v>
      </c>
      <c r="AT548">
        <v>0</v>
      </c>
      <c r="AU548">
        <v>0</v>
      </c>
      <c r="AV548">
        <v>0</v>
      </c>
      <c r="AW548">
        <v>0</v>
      </c>
      <c r="AX548" s="141">
        <f t="shared" si="621"/>
        <v>1</v>
      </c>
      <c r="AY548" s="141">
        <f t="shared" si="622"/>
        <v>1</v>
      </c>
      <c r="AZ548">
        <f t="shared" si="623"/>
        <v>0</v>
      </c>
      <c r="BA548">
        <f t="shared" si="624"/>
        <v>1</v>
      </c>
      <c r="BB548">
        <f t="shared" si="625"/>
        <v>0</v>
      </c>
      <c r="BC548">
        <f t="shared" si="626"/>
        <v>0</v>
      </c>
      <c r="BD548">
        <f t="shared" si="627"/>
        <v>0</v>
      </c>
      <c r="BE548" t="str" cm="1">
        <f t="array" ref="BE548">IF(AY548=1,INDEX($V$7:$AL$7,MATCH(TRUE,INDEX($V548:$AW548&lt;&gt;0,),0)),IF(AY548=0,INDEX($AM$7:$AW$7,MATCH(1,$AM548:$AW548,0)),IF(BF548="Multiple strategies","mixed drivers",IF(BF548="Supply chain","multiple supply","multiple silviculture"))))</f>
        <v>location of industry</v>
      </c>
      <c r="BF548" s="2" t="str" cm="1">
        <f t="array" ref="BF548">IF(COUNTIF(AZ548:BB548,"&lt;&gt;0")=1,INDEX($V$4:$AW$4,MATCH(TRUE,INDEX($V548:$AW548&lt;&gt;0,),0)),IF(COUNTIF(AZ548:BB548,"&lt;&gt;0")=0,INDEX($AM$4:$AW$4,MATCH(1,$AM548:$AW548,0)),"Multiple strategies"))</f>
        <v>Supply chain</v>
      </c>
      <c r="BG548" s="142" t="s">
        <v>321</v>
      </c>
      <c r="BH548" s="160" t="s">
        <v>1456</v>
      </c>
      <c r="BI548" s="160" t="s">
        <v>1457</v>
      </c>
      <c r="BJ548" s="143" t="s">
        <v>498</v>
      </c>
      <c r="BK548" s="143">
        <v>944</v>
      </c>
      <c r="BL548" s="143">
        <v>1525</v>
      </c>
      <c r="BM548">
        <f>IFERROR(BL548/BK548,"")</f>
        <v>1.6154661016949152</v>
      </c>
      <c r="BN548">
        <f t="shared" si="628"/>
        <v>581</v>
      </c>
      <c r="BO548" s="159">
        <f t="shared" si="650"/>
        <v>581</v>
      </c>
      <c r="BP548" s="155" t="s">
        <v>232</v>
      </c>
      <c r="BQ548" s="155" t="s">
        <v>1458</v>
      </c>
      <c r="BR548" s="155" t="s">
        <v>825</v>
      </c>
      <c r="BS548" s="143" t="s">
        <v>1459</v>
      </c>
      <c r="BT548" t="s">
        <v>1465</v>
      </c>
      <c r="BU548" s="144">
        <f t="shared" si="651"/>
        <v>2.6578374234021163</v>
      </c>
      <c r="BV548">
        <f t="shared" si="629"/>
        <v>-11.634897833333302</v>
      </c>
      <c r="BX548">
        <f t="shared" si="652"/>
        <v>-11.634897833333302</v>
      </c>
      <c r="BY548">
        <f t="shared" si="557"/>
        <v>-2.0025641709695872E-2</v>
      </c>
      <c r="BZ548">
        <v>1</v>
      </c>
      <c r="CA548">
        <v>0</v>
      </c>
      <c r="CB548">
        <v>0</v>
      </c>
      <c r="CC548">
        <v>0</v>
      </c>
      <c r="CD548">
        <v>1</v>
      </c>
      <c r="CE548">
        <v>1</v>
      </c>
      <c r="CF548">
        <v>0</v>
      </c>
      <c r="CG548">
        <v>0</v>
      </c>
      <c r="CH548">
        <v>0</v>
      </c>
      <c r="CI548">
        <v>0</v>
      </c>
      <c r="CJ548">
        <v>1</v>
      </c>
      <c r="CK548">
        <v>0</v>
      </c>
      <c r="CL548">
        <v>0</v>
      </c>
      <c r="CM548">
        <v>0</v>
      </c>
      <c r="CN548" t="str">
        <f t="shared" si="630"/>
        <v>refOK</v>
      </c>
      <c r="CO548">
        <f t="shared" si="648"/>
        <v>944</v>
      </c>
      <c r="CP548">
        <f t="shared" si="649"/>
        <v>1525</v>
      </c>
      <c r="CQ548">
        <f t="shared" si="631"/>
        <v>581</v>
      </c>
      <c r="CR548">
        <f t="shared" si="632"/>
        <v>-7.0181174999999998</v>
      </c>
      <c r="CS548">
        <f t="shared" si="633"/>
        <v>-18.6530153333333</v>
      </c>
      <c r="CT548">
        <f t="shared" si="634"/>
        <v>-11.634897833333302</v>
      </c>
      <c r="CU548">
        <f t="shared" si="635"/>
        <v>-2.0025641709695872E-2</v>
      </c>
      <c r="CV548" s="2">
        <f t="shared" si="636"/>
        <v>-1.6578374234021163</v>
      </c>
      <c r="CW548" s="263" t="s">
        <v>1461</v>
      </c>
      <c r="CX548" s="264" t="str">
        <f t="shared" si="637"/>
        <v>reg</v>
      </c>
      <c r="CY548" s="270" t="s">
        <v>743</v>
      </c>
      <c r="DA548" s="143"/>
      <c r="DB548" s="143">
        <v>0</v>
      </c>
      <c r="DC548" t="str">
        <f t="shared" si="638"/>
        <v>0</v>
      </c>
      <c r="DD548">
        <v>0</v>
      </c>
      <c r="DE548">
        <v>1</v>
      </c>
      <c r="DF548">
        <v>0</v>
      </c>
      <c r="DG548">
        <v>0</v>
      </c>
      <c r="DH548">
        <v>0</v>
      </c>
      <c r="DI548">
        <f t="shared" si="653"/>
        <v>1</v>
      </c>
      <c r="DJ548" t="str">
        <f t="shared" si="639"/>
        <v>EnergyInput</v>
      </c>
      <c r="DK548">
        <f t="shared" si="640"/>
        <v>0</v>
      </c>
      <c r="DL548" t="str">
        <f t="shared" si="641"/>
        <v>Energy</v>
      </c>
      <c r="DM548">
        <f t="shared" si="642"/>
        <v>0</v>
      </c>
      <c r="DN548">
        <f t="shared" si="643"/>
        <v>0</v>
      </c>
      <c r="DO548">
        <v>0</v>
      </c>
      <c r="DP548" s="143">
        <v>0</v>
      </c>
      <c r="DQ548" s="143">
        <v>0</v>
      </c>
      <c r="DR548">
        <v>0</v>
      </c>
      <c r="DS548" s="143">
        <v>0</v>
      </c>
      <c r="DT548">
        <f t="shared" si="644"/>
        <v>0</v>
      </c>
      <c r="DU548" s="143" t="str">
        <f t="shared" si="645"/>
        <v>explicit C balance</v>
      </c>
      <c r="DV548" s="143">
        <v>0</v>
      </c>
      <c r="DW548" s="143">
        <v>0</v>
      </c>
      <c r="DX548" s="143">
        <v>0</v>
      </c>
      <c r="DY548" s="143">
        <v>0</v>
      </c>
      <c r="DZ548">
        <v>0</v>
      </c>
      <c r="EA548" s="143">
        <v>0</v>
      </c>
      <c r="EB548" s="143">
        <v>1</v>
      </c>
      <c r="EC548" s="143">
        <v>1</v>
      </c>
      <c r="ED548" s="143">
        <v>0</v>
      </c>
      <c r="EE548">
        <v>1</v>
      </c>
      <c r="EF548">
        <v>0</v>
      </c>
      <c r="EG548" s="143">
        <v>0</v>
      </c>
      <c r="EH548" s="143">
        <v>0</v>
      </c>
      <c r="EI548" s="2">
        <v>0</v>
      </c>
      <c r="EJ548"/>
      <c r="EK548" t="str">
        <f t="shared" si="646"/>
        <v/>
      </c>
      <c r="EL548" t="str">
        <f t="shared" si="647"/>
        <v/>
      </c>
      <c r="EM548" s="2" t="str">
        <f t="shared" si="558"/>
        <v>Technology approach</v>
      </c>
      <c r="EP548" t="str">
        <f>IF(ISNUMBER(BU548),IF(ABS(BU548-[4]QC_indicators!$B$2)&gt;3*[4]QC_indicators!$C$2,"C ratio",IF(ISNUMBER(BY548),IF(ABS(BY548-[4]QC_indicators!$B$1)&gt;3*[4]QC_indicators!$C$1,"DF","no"))),IF(ISNUMBER(BY548),IF(ABS(BY548-[4]QC_indicators!$B$1)&gt;3*[4]QC_indicators!$C$1,"DF","no")))</f>
        <v>no</v>
      </c>
      <c r="ER548" s="149"/>
      <c r="ET548" s="264" t="s">
        <v>3406</v>
      </c>
    </row>
    <row r="549" spans="1:150" ht="15" hidden="1" customHeight="1">
      <c r="A549" s="1" t="s">
        <v>587</v>
      </c>
      <c r="B549" t="s">
        <v>1447</v>
      </c>
      <c r="C549" t="s">
        <v>1448</v>
      </c>
      <c r="D549" t="s">
        <v>1449</v>
      </c>
      <c r="E549" t="s">
        <v>1450</v>
      </c>
      <c r="F549" t="s">
        <v>1451</v>
      </c>
      <c r="G549" t="s">
        <v>593</v>
      </c>
      <c r="H549" t="s">
        <v>254</v>
      </c>
      <c r="I549">
        <v>2020</v>
      </c>
      <c r="J549">
        <v>12</v>
      </c>
      <c r="K549" t="s">
        <v>1452</v>
      </c>
      <c r="M549" t="str">
        <f t="shared" si="615"/>
        <v>Elisa_2020</v>
      </c>
      <c r="N549" s="264" t="s">
        <v>222</v>
      </c>
      <c r="O549" s="171" t="s">
        <v>274</v>
      </c>
      <c r="P549" t="s">
        <v>223</v>
      </c>
      <c r="Q549" s="264" t="s">
        <v>389</v>
      </c>
      <c r="R549" s="269" t="s">
        <v>1153</v>
      </c>
      <c r="S549" s="154" t="s">
        <v>1453</v>
      </c>
      <c r="T549" s="294" t="s">
        <v>1454</v>
      </c>
      <c r="U549" s="143" t="s">
        <v>1464</v>
      </c>
      <c r="V549">
        <v>0</v>
      </c>
      <c r="W549">
        <v>0</v>
      </c>
      <c r="X549">
        <v>0</v>
      </c>
      <c r="Y549">
        <v>0</v>
      </c>
      <c r="Z549">
        <v>0</v>
      </c>
      <c r="AA549">
        <v>0</v>
      </c>
      <c r="AB549">
        <v>0</v>
      </c>
      <c r="AC549">
        <v>0</v>
      </c>
      <c r="AD549">
        <v>0</v>
      </c>
      <c r="AE549">
        <v>1</v>
      </c>
      <c r="AF549">
        <v>0</v>
      </c>
      <c r="AG549">
        <v>0</v>
      </c>
      <c r="AH549">
        <v>0</v>
      </c>
      <c r="AI549">
        <v>0</v>
      </c>
      <c r="AJ549">
        <v>0</v>
      </c>
      <c r="AK549">
        <v>0</v>
      </c>
      <c r="AL549">
        <v>0</v>
      </c>
      <c r="AM549">
        <v>0</v>
      </c>
      <c r="AN549">
        <v>0</v>
      </c>
      <c r="AO549">
        <v>0</v>
      </c>
      <c r="AP549">
        <v>0</v>
      </c>
      <c r="AQ549">
        <v>0</v>
      </c>
      <c r="AR549">
        <v>0</v>
      </c>
      <c r="AS549">
        <v>0</v>
      </c>
      <c r="AT549">
        <v>0</v>
      </c>
      <c r="AU549">
        <v>0</v>
      </c>
      <c r="AV549">
        <v>0</v>
      </c>
      <c r="AW549">
        <v>0</v>
      </c>
      <c r="AX549" s="141">
        <f t="shared" si="621"/>
        <v>1</v>
      </c>
      <c r="AY549" s="141">
        <f t="shared" si="622"/>
        <v>1</v>
      </c>
      <c r="AZ549">
        <f t="shared" si="623"/>
        <v>0</v>
      </c>
      <c r="BA549">
        <f t="shared" si="624"/>
        <v>1</v>
      </c>
      <c r="BB549">
        <f t="shared" si="625"/>
        <v>0</v>
      </c>
      <c r="BC549">
        <f t="shared" si="626"/>
        <v>0</v>
      </c>
      <c r="BD549">
        <f t="shared" si="627"/>
        <v>0</v>
      </c>
      <c r="BE549" t="str" cm="1">
        <f t="array" ref="BE549">IF(AY549=1,INDEX($V$7:$AL$7,MATCH(TRUE,INDEX($V549:$AW549&lt;&gt;0,),0)),IF(AY549=0,INDEX($AM$7:$AW$7,MATCH(1,$AM549:$AW549,0)),IF(BF549="Multiple strategies","mixed drivers",IF(BF549="Supply chain","multiple supply","multiple silviculture"))))</f>
        <v>location of industry</v>
      </c>
      <c r="BF549" s="2" t="str" cm="1">
        <f t="array" ref="BF549">IF(COUNTIF(AZ549:BB549,"&lt;&gt;0")=1,INDEX($V$4:$AW$4,MATCH(TRUE,INDEX($V549:$AW549&lt;&gt;0,),0)),IF(COUNTIF(AZ549:BB549,"&lt;&gt;0")=0,INDEX($AM$4:$AW$4,MATCH(1,$AM549:$AW549,0)),"Multiple strategies"))</f>
        <v>Supply chain</v>
      </c>
      <c r="BG549" s="142" t="s">
        <v>321</v>
      </c>
      <c r="BH549" s="160" t="s">
        <v>1456</v>
      </c>
      <c r="BI549" s="160" t="s">
        <v>1457</v>
      </c>
      <c r="BJ549" s="143" t="s">
        <v>498</v>
      </c>
      <c r="BK549" s="143">
        <v>944</v>
      </c>
      <c r="BL549" s="143">
        <v>1525</v>
      </c>
      <c r="BM549">
        <f>IFERROR(BL551/BK549,"")</f>
        <v>12.471398305084746</v>
      </c>
      <c r="BN549">
        <f t="shared" si="628"/>
        <v>581</v>
      </c>
      <c r="BO549" s="159">
        <f t="shared" si="650"/>
        <v>581</v>
      </c>
      <c r="BP549" s="155" t="s">
        <v>232</v>
      </c>
      <c r="BQ549" s="155" t="s">
        <v>1458</v>
      </c>
      <c r="BR549" s="155" t="s">
        <v>825</v>
      </c>
      <c r="BS549" s="143" t="s">
        <v>1462</v>
      </c>
      <c r="BT549" t="s">
        <v>1466</v>
      </c>
      <c r="BU549" s="144">
        <f t="shared" si="651"/>
        <v>2.6740052671577788</v>
      </c>
      <c r="BV549">
        <f t="shared" si="629"/>
        <v>-11.5684519444444</v>
      </c>
      <c r="BX549">
        <f t="shared" si="652"/>
        <v>-11.5684519444444</v>
      </c>
      <c r="BY549">
        <f t="shared" si="557"/>
        <v>-1.9911277012813079E-2</v>
      </c>
      <c r="BZ549">
        <v>0</v>
      </c>
      <c r="CA549">
        <v>0</v>
      </c>
      <c r="CB549">
        <v>0</v>
      </c>
      <c r="CC549">
        <v>0</v>
      </c>
      <c r="CD549">
        <v>0</v>
      </c>
      <c r="CE549">
        <v>0</v>
      </c>
      <c r="CF549">
        <v>0</v>
      </c>
      <c r="CG549">
        <v>0</v>
      </c>
      <c r="CH549">
        <v>0</v>
      </c>
      <c r="CI549">
        <v>0</v>
      </c>
      <c r="CJ549">
        <v>0</v>
      </c>
      <c r="CK549">
        <v>0</v>
      </c>
      <c r="CL549">
        <v>0</v>
      </c>
      <c r="CM549">
        <v>0</v>
      </c>
      <c r="CN549" t="str">
        <f t="shared" si="630"/>
        <v>refOK</v>
      </c>
      <c r="CO549">
        <f t="shared" si="648"/>
        <v>944</v>
      </c>
      <c r="CP549">
        <f t="shared" si="649"/>
        <v>1525</v>
      </c>
      <c r="CQ549">
        <f t="shared" si="631"/>
        <v>581</v>
      </c>
      <c r="CR549">
        <f t="shared" si="632"/>
        <v>-6.9106424999999998</v>
      </c>
      <c r="CS549">
        <f t="shared" si="633"/>
        <v>-18.479094444444399</v>
      </c>
      <c r="CT549">
        <f t="shared" si="634"/>
        <v>-11.5684519444444</v>
      </c>
      <c r="CU549">
        <f t="shared" si="635"/>
        <v>-1.9911277012813079E-2</v>
      </c>
      <c r="CV549" s="2">
        <f t="shared" si="636"/>
        <v>-1.6740052671577788</v>
      </c>
      <c r="CW549" s="263" t="s">
        <v>1461</v>
      </c>
      <c r="CX549" s="264" t="str">
        <f t="shared" si="637"/>
        <v>reg</v>
      </c>
      <c r="CY549" s="270" t="s">
        <v>743</v>
      </c>
      <c r="DA549" s="143"/>
      <c r="DB549" s="143">
        <v>0</v>
      </c>
      <c r="DC549" t="str">
        <f t="shared" si="638"/>
        <v>0</v>
      </c>
      <c r="DD549">
        <v>0</v>
      </c>
      <c r="DE549">
        <v>1</v>
      </c>
      <c r="DF549">
        <v>0</v>
      </c>
      <c r="DG549">
        <v>0</v>
      </c>
      <c r="DH549">
        <v>0</v>
      </c>
      <c r="DI549">
        <f t="shared" si="653"/>
        <v>1</v>
      </c>
      <c r="DJ549" t="str">
        <f t="shared" si="639"/>
        <v>EnergyInput</v>
      </c>
      <c r="DK549">
        <f t="shared" si="640"/>
        <v>0</v>
      </c>
      <c r="DL549" t="str">
        <f t="shared" si="641"/>
        <v>Energy</v>
      </c>
      <c r="DM549">
        <f t="shared" si="642"/>
        <v>0</v>
      </c>
      <c r="DN549">
        <f t="shared" si="643"/>
        <v>0</v>
      </c>
      <c r="DO549">
        <v>0</v>
      </c>
      <c r="DP549" s="143">
        <v>0</v>
      </c>
      <c r="DQ549" s="143">
        <v>0</v>
      </c>
      <c r="DR549">
        <v>0</v>
      </c>
      <c r="DS549" s="143">
        <v>0</v>
      </c>
      <c r="DT549">
        <f t="shared" si="644"/>
        <v>0</v>
      </c>
      <c r="DU549" s="143" t="str">
        <f t="shared" si="645"/>
        <v>explicit C balance</v>
      </c>
      <c r="DV549" s="143">
        <v>0</v>
      </c>
      <c r="DW549" s="143">
        <v>0</v>
      </c>
      <c r="DX549" s="143">
        <v>0</v>
      </c>
      <c r="DY549" s="143">
        <v>0</v>
      </c>
      <c r="DZ549">
        <v>0</v>
      </c>
      <c r="EA549" s="143">
        <v>0</v>
      </c>
      <c r="EB549" s="143">
        <v>0</v>
      </c>
      <c r="EC549" s="143">
        <v>1</v>
      </c>
      <c r="ED549" s="143">
        <v>0</v>
      </c>
      <c r="EE549">
        <v>1</v>
      </c>
      <c r="EF549">
        <v>0</v>
      </c>
      <c r="EG549" s="143">
        <v>0</v>
      </c>
      <c r="EH549" s="143">
        <v>0</v>
      </c>
      <c r="EI549" s="2">
        <v>0</v>
      </c>
      <c r="EJ549"/>
      <c r="EK549" t="str">
        <f t="shared" si="646"/>
        <v/>
      </c>
      <c r="EL549" t="str">
        <f t="shared" si="647"/>
        <v/>
      </c>
      <c r="EM549" s="2" t="str">
        <f t="shared" si="558"/>
        <v>Technology approach</v>
      </c>
      <c r="EP549" t="str">
        <f>IF(ISNUMBER(BU549),IF(ABS(BU549-[4]QC_indicators!$B$2)&gt;3*[4]QC_indicators!$C$2,"C ratio",IF(ISNUMBER(BY549),IF(ABS(BY549-[4]QC_indicators!$B$1)&gt;3*[4]QC_indicators!$C$1,"DF","no"))),IF(ISNUMBER(BY549),IF(ABS(BY549-[4]QC_indicators!$B$1)&gt;3*[4]QC_indicators!$C$1,"DF","no")))</f>
        <v>no</v>
      </c>
      <c r="ER549" s="149"/>
      <c r="ET549" s="264" t="s">
        <v>3406</v>
      </c>
    </row>
    <row r="550" spans="1:150" ht="15" hidden="1" customHeight="1">
      <c r="A550" s="1" t="s">
        <v>587</v>
      </c>
      <c r="B550" t="s">
        <v>1447</v>
      </c>
      <c r="C550" t="s">
        <v>1448</v>
      </c>
      <c r="D550" t="s">
        <v>1449</v>
      </c>
      <c r="E550" t="s">
        <v>1450</v>
      </c>
      <c r="F550" t="s">
        <v>1451</v>
      </c>
      <c r="G550" t="s">
        <v>593</v>
      </c>
      <c r="H550" t="s">
        <v>254</v>
      </c>
      <c r="I550">
        <v>2020</v>
      </c>
      <c r="J550">
        <v>12</v>
      </c>
      <c r="K550" t="s">
        <v>1452</v>
      </c>
      <c r="M550" t="str">
        <f t="shared" si="615"/>
        <v>Elisa_2020</v>
      </c>
      <c r="N550" s="264" t="s">
        <v>222</v>
      </c>
      <c r="O550" s="171" t="s">
        <v>274</v>
      </c>
      <c r="P550" t="s">
        <v>223</v>
      </c>
      <c r="Q550" s="264" t="s">
        <v>389</v>
      </c>
      <c r="R550" s="269" t="s">
        <v>1153</v>
      </c>
      <c r="S550" s="154" t="s">
        <v>1453</v>
      </c>
      <c r="T550" s="294" t="s">
        <v>1454</v>
      </c>
      <c r="U550" s="143" t="s">
        <v>1482</v>
      </c>
      <c r="V550">
        <v>0</v>
      </c>
      <c r="W550">
        <v>0</v>
      </c>
      <c r="X550">
        <v>0</v>
      </c>
      <c r="Y550">
        <v>0</v>
      </c>
      <c r="Z550">
        <v>0</v>
      </c>
      <c r="AA550">
        <v>0</v>
      </c>
      <c r="AB550">
        <v>0</v>
      </c>
      <c r="AC550">
        <v>0</v>
      </c>
      <c r="AD550">
        <v>0</v>
      </c>
      <c r="AE550">
        <v>1</v>
      </c>
      <c r="AF550">
        <v>0</v>
      </c>
      <c r="AG550">
        <v>0</v>
      </c>
      <c r="AH550">
        <v>0</v>
      </c>
      <c r="AI550">
        <v>0</v>
      </c>
      <c r="AJ550">
        <v>0</v>
      </c>
      <c r="AK550">
        <v>1</v>
      </c>
      <c r="AL550">
        <v>0</v>
      </c>
      <c r="AM550">
        <v>0</v>
      </c>
      <c r="AN550">
        <v>0</v>
      </c>
      <c r="AO550">
        <v>0</v>
      </c>
      <c r="AP550">
        <v>0</v>
      </c>
      <c r="AQ550">
        <v>0</v>
      </c>
      <c r="AR550">
        <v>0</v>
      </c>
      <c r="AS550">
        <v>0</v>
      </c>
      <c r="AT550">
        <v>0</v>
      </c>
      <c r="AU550">
        <v>0</v>
      </c>
      <c r="AV550">
        <v>0</v>
      </c>
      <c r="AW550">
        <v>0</v>
      </c>
      <c r="AX550" s="141">
        <f t="shared" si="621"/>
        <v>2</v>
      </c>
      <c r="AY550" s="141">
        <f t="shared" si="622"/>
        <v>2</v>
      </c>
      <c r="AZ550">
        <f t="shared" si="623"/>
        <v>0</v>
      </c>
      <c r="BA550">
        <f t="shared" si="624"/>
        <v>1</v>
      </c>
      <c r="BB550">
        <f t="shared" si="625"/>
        <v>1</v>
      </c>
      <c r="BC550">
        <f t="shared" si="626"/>
        <v>0</v>
      </c>
      <c r="BD550">
        <f t="shared" si="627"/>
        <v>0</v>
      </c>
      <c r="BE550" t="str" cm="1">
        <f t="array" ref="BE550">IF(AY550=1,INDEX($V$7:$AL$7,MATCH(TRUE,INDEX($V550:$AW550&lt;&gt;0,),0)),IF(AY550=0,INDEX($AM$7:$AW$7,MATCH(1,$AM550:$AW550,0)),IF(BF550="Multiple strategies","mixed drivers",IF(BF550="Supply chain","multiple supply","multiple silviculture"))))</f>
        <v>mixed drivers</v>
      </c>
      <c r="BF550" s="2" t="str" cm="1">
        <f t="array" ref="BF550">IF(COUNTIF(AZ550:BB550,"&lt;&gt;0")=1,INDEX($V$4:$AW$4,MATCH(TRUE,INDEX($V550:$AW550&lt;&gt;0,),0)),IF(COUNTIF(AZ550:BB550,"&lt;&gt;0")=0,INDEX($AM$4:$AW$4,MATCH(1,$AM550:$AW550,0)),"Multiple strategies"))</f>
        <v>Multiple strategies</v>
      </c>
      <c r="BG550" s="142" t="s">
        <v>321</v>
      </c>
      <c r="BH550" s="160" t="s">
        <v>1456</v>
      </c>
      <c r="BI550" s="160" t="s">
        <v>1457</v>
      </c>
      <c r="BJ550" s="143" t="s">
        <v>498</v>
      </c>
      <c r="BK550" s="143">
        <v>944</v>
      </c>
      <c r="BL550" s="143">
        <v>11773</v>
      </c>
      <c r="BM550">
        <f>IFERROR(BL550/BK550,"")</f>
        <v>12.471398305084746</v>
      </c>
      <c r="BN550">
        <f t="shared" si="628"/>
        <v>10829</v>
      </c>
      <c r="BO550" s="159">
        <f t="shared" si="650"/>
        <v>10829</v>
      </c>
      <c r="BP550" s="155" t="s">
        <v>232</v>
      </c>
      <c r="BQ550" s="155" t="s">
        <v>1458</v>
      </c>
      <c r="BR550" s="155" t="s">
        <v>825</v>
      </c>
      <c r="BS550" s="143" t="s">
        <v>1459</v>
      </c>
      <c r="BT550" t="s">
        <v>1483</v>
      </c>
      <c r="BU550" s="144">
        <f t="shared" si="651"/>
        <v>15.863389767032684</v>
      </c>
      <c r="BV550">
        <f t="shared" si="629"/>
        <v>-104.313015833333</v>
      </c>
      <c r="BX550">
        <f t="shared" si="652"/>
        <v>-104.313015833333</v>
      </c>
      <c r="BY550">
        <f t="shared" si="557"/>
        <v>-9.6327468679779302E-3</v>
      </c>
      <c r="BZ550">
        <v>0</v>
      </c>
      <c r="CA550">
        <v>0</v>
      </c>
      <c r="CB550">
        <v>0</v>
      </c>
      <c r="CC550">
        <v>0</v>
      </c>
      <c r="CD550">
        <v>0</v>
      </c>
      <c r="CE550">
        <v>0</v>
      </c>
      <c r="CF550">
        <v>0</v>
      </c>
      <c r="CG550">
        <v>0</v>
      </c>
      <c r="CH550">
        <v>0</v>
      </c>
      <c r="CI550">
        <v>0</v>
      </c>
      <c r="CJ550">
        <v>0</v>
      </c>
      <c r="CK550">
        <v>0</v>
      </c>
      <c r="CL550">
        <v>0</v>
      </c>
      <c r="CM550">
        <v>0</v>
      </c>
      <c r="CN550" t="str">
        <f t="shared" si="630"/>
        <v>refOK</v>
      </c>
      <c r="CO550">
        <f t="shared" si="648"/>
        <v>944</v>
      </c>
      <c r="CP550">
        <f t="shared" si="649"/>
        <v>11773</v>
      </c>
      <c r="CQ550">
        <f t="shared" si="631"/>
        <v>10829</v>
      </c>
      <c r="CR550">
        <f t="shared" si="632"/>
        <v>-7.0181174999999998</v>
      </c>
      <c r="CS550">
        <f t="shared" si="633"/>
        <v>-111.331133333333</v>
      </c>
      <c r="CT550">
        <f t="shared" si="634"/>
        <v>-104.313015833333</v>
      </c>
      <c r="CU550">
        <f t="shared" si="635"/>
        <v>-9.6327468679779302E-3</v>
      </c>
      <c r="CV550" s="2">
        <f t="shared" si="636"/>
        <v>-14.863389767032684</v>
      </c>
      <c r="CW550" s="263" t="s">
        <v>1461</v>
      </c>
      <c r="CX550" s="264" t="str">
        <f t="shared" si="637"/>
        <v>reg</v>
      </c>
      <c r="CY550" s="270" t="s">
        <v>743</v>
      </c>
      <c r="DA550" s="143"/>
      <c r="DB550" s="143">
        <v>0</v>
      </c>
      <c r="DC550" t="str">
        <f t="shared" si="638"/>
        <v>0</v>
      </c>
      <c r="DD550">
        <v>0</v>
      </c>
      <c r="DE550">
        <v>1</v>
      </c>
      <c r="DF550">
        <v>0</v>
      </c>
      <c r="DG550">
        <v>0</v>
      </c>
      <c r="DH550">
        <v>0</v>
      </c>
      <c r="DI550">
        <f t="shared" si="653"/>
        <v>1</v>
      </c>
      <c r="DJ550" t="str">
        <f t="shared" si="639"/>
        <v>EnergyInput</v>
      </c>
      <c r="DK550">
        <f t="shared" si="640"/>
        <v>0</v>
      </c>
      <c r="DL550" t="str">
        <f t="shared" si="641"/>
        <v>Energy</v>
      </c>
      <c r="DM550">
        <f t="shared" si="642"/>
        <v>0</v>
      </c>
      <c r="DN550">
        <f t="shared" si="643"/>
        <v>0</v>
      </c>
      <c r="DO550">
        <v>0</v>
      </c>
      <c r="DP550" s="143">
        <v>0</v>
      </c>
      <c r="DQ550" s="143">
        <v>0</v>
      </c>
      <c r="DR550">
        <v>0</v>
      </c>
      <c r="DS550" s="143">
        <v>0</v>
      </c>
      <c r="DT550">
        <f t="shared" si="644"/>
        <v>0</v>
      </c>
      <c r="DU550" s="143" t="str">
        <f t="shared" si="645"/>
        <v>explicit C balance</v>
      </c>
      <c r="DV550" s="143">
        <v>0</v>
      </c>
      <c r="DW550" s="143">
        <v>0</v>
      </c>
      <c r="DX550" s="143">
        <v>0</v>
      </c>
      <c r="DY550" s="143">
        <v>0</v>
      </c>
      <c r="DZ550">
        <v>0</v>
      </c>
      <c r="EA550" s="143">
        <v>0</v>
      </c>
      <c r="EB550" s="143">
        <v>1</v>
      </c>
      <c r="EC550" s="143">
        <v>1</v>
      </c>
      <c r="ED550" s="143">
        <v>0</v>
      </c>
      <c r="EE550">
        <v>1</v>
      </c>
      <c r="EF550">
        <v>0</v>
      </c>
      <c r="EG550" s="143">
        <v>0</v>
      </c>
      <c r="EH550" s="143">
        <v>0</v>
      </c>
      <c r="EI550" s="2">
        <v>0</v>
      </c>
      <c r="EJ550"/>
      <c r="EK550" t="str">
        <f t="shared" si="646"/>
        <v/>
      </c>
      <c r="EL550" t="str">
        <f t="shared" si="647"/>
        <v/>
      </c>
      <c r="EM550" s="2" t="str">
        <f t="shared" si="558"/>
        <v>Technology approach</v>
      </c>
      <c r="EP550" t="str">
        <f>IF(ISNUMBER(BU550),IF(ABS(BU550-[4]QC_indicators!$B$2)&gt;3*[4]QC_indicators!$C$2,"C ratio",IF(ISNUMBER(BY550),IF(ABS(BY550-[4]QC_indicators!$B$1)&gt;3*[4]QC_indicators!$C$1,"DF","no"))),IF(ISNUMBER(BY550),IF(ABS(BY550-[4]QC_indicators!$B$1)&gt;3*[4]QC_indicators!$C$1,"DF","no")))</f>
        <v>no</v>
      </c>
      <c r="ER550" s="149"/>
      <c r="ET550" s="264" t="s">
        <v>3406</v>
      </c>
    </row>
    <row r="551" spans="1:150" ht="18" hidden="1" customHeight="1">
      <c r="A551" s="1" t="s">
        <v>587</v>
      </c>
      <c r="B551" t="s">
        <v>1447</v>
      </c>
      <c r="C551" t="s">
        <v>1448</v>
      </c>
      <c r="D551" t="s">
        <v>1449</v>
      </c>
      <c r="E551" t="s">
        <v>1450</v>
      </c>
      <c r="F551" t="s">
        <v>1451</v>
      </c>
      <c r="G551" t="s">
        <v>593</v>
      </c>
      <c r="H551" t="s">
        <v>254</v>
      </c>
      <c r="I551">
        <v>2020</v>
      </c>
      <c r="J551">
        <v>12</v>
      </c>
      <c r="K551" t="s">
        <v>1452</v>
      </c>
      <c r="M551" t="str">
        <f t="shared" si="615"/>
        <v>Elisa_2020</v>
      </c>
      <c r="N551" s="264" t="s">
        <v>222</v>
      </c>
      <c r="O551" s="171" t="s">
        <v>274</v>
      </c>
      <c r="P551" t="s">
        <v>223</v>
      </c>
      <c r="Q551" s="264" t="s">
        <v>389</v>
      </c>
      <c r="R551" s="269" t="s">
        <v>1153</v>
      </c>
      <c r="S551" s="154" t="s">
        <v>1453</v>
      </c>
      <c r="T551" s="294" t="s">
        <v>1454</v>
      </c>
      <c r="U551" s="143" t="s">
        <v>1482</v>
      </c>
      <c r="V551">
        <v>0</v>
      </c>
      <c r="W551">
        <v>0</v>
      </c>
      <c r="X551">
        <v>0</v>
      </c>
      <c r="Y551">
        <v>0</v>
      </c>
      <c r="Z551">
        <v>0</v>
      </c>
      <c r="AA551">
        <v>0</v>
      </c>
      <c r="AB551">
        <v>0</v>
      </c>
      <c r="AC551">
        <v>0</v>
      </c>
      <c r="AD551">
        <v>0</v>
      </c>
      <c r="AE551">
        <v>1</v>
      </c>
      <c r="AF551">
        <v>0</v>
      </c>
      <c r="AG551">
        <v>0</v>
      </c>
      <c r="AH551">
        <v>0</v>
      </c>
      <c r="AI551">
        <v>0</v>
      </c>
      <c r="AJ551">
        <v>0</v>
      </c>
      <c r="AK551">
        <v>1</v>
      </c>
      <c r="AL551">
        <v>0</v>
      </c>
      <c r="AM551">
        <v>0</v>
      </c>
      <c r="AN551">
        <v>0</v>
      </c>
      <c r="AO551">
        <v>0</v>
      </c>
      <c r="AP551">
        <v>0</v>
      </c>
      <c r="AQ551">
        <v>0</v>
      </c>
      <c r="AR551">
        <v>0</v>
      </c>
      <c r="AS551">
        <v>0</v>
      </c>
      <c r="AT551">
        <v>0</v>
      </c>
      <c r="AU551">
        <v>0</v>
      </c>
      <c r="AV551">
        <v>0</v>
      </c>
      <c r="AW551">
        <v>0</v>
      </c>
      <c r="AX551" s="141">
        <f t="shared" si="621"/>
        <v>2</v>
      </c>
      <c r="AY551" s="141">
        <f t="shared" si="622"/>
        <v>2</v>
      </c>
      <c r="AZ551">
        <f t="shared" si="623"/>
        <v>0</v>
      </c>
      <c r="BA551">
        <f t="shared" si="624"/>
        <v>1</v>
      </c>
      <c r="BB551">
        <f t="shared" si="625"/>
        <v>1</v>
      </c>
      <c r="BC551">
        <f t="shared" si="626"/>
        <v>0</v>
      </c>
      <c r="BD551">
        <f t="shared" si="627"/>
        <v>0</v>
      </c>
      <c r="BE551" t="str" cm="1">
        <f t="array" ref="BE551">IF(AY551=1,INDEX($V$7:$AL$7,MATCH(TRUE,INDEX($V551:$AW551&lt;&gt;0,),0)),IF(AY551=0,INDEX($AM$7:$AW$7,MATCH(1,$AM551:$AW551,0)),IF(BF551="Multiple strategies","mixed drivers",IF(BF551="Supply chain","multiple supply","multiple silviculture"))))</f>
        <v>mixed drivers</v>
      </c>
      <c r="BF551" s="2" t="str" cm="1">
        <f t="array" ref="BF551">IF(COUNTIF(AZ551:BB551,"&lt;&gt;0")=1,INDEX($V$4:$AW$4,MATCH(TRUE,INDEX($V551:$AW551&lt;&gt;0,),0)),IF(COUNTIF(AZ551:BB551,"&lt;&gt;0")=0,INDEX($AM$4:$AW$4,MATCH(1,$AM551:$AW551,0)),"Multiple strategies"))</f>
        <v>Multiple strategies</v>
      </c>
      <c r="BG551" s="142" t="s">
        <v>321</v>
      </c>
      <c r="BH551" s="160" t="s">
        <v>1456</v>
      </c>
      <c r="BI551" s="160" t="s">
        <v>1457</v>
      </c>
      <c r="BJ551" s="143" t="s">
        <v>498</v>
      </c>
      <c r="BK551" s="143">
        <v>944</v>
      </c>
      <c r="BL551" s="143">
        <v>11773</v>
      </c>
      <c r="BM551">
        <f>IFERROR(BL553/BK551,"")</f>
        <v>21.1864406779661</v>
      </c>
      <c r="BN551">
        <f t="shared" si="628"/>
        <v>10829</v>
      </c>
      <c r="BO551" s="159">
        <f t="shared" si="650"/>
        <v>10829</v>
      </c>
      <c r="BP551" s="155" t="s">
        <v>232</v>
      </c>
      <c r="BQ551" s="155" t="s">
        <v>1458</v>
      </c>
      <c r="BR551" s="155" t="s">
        <v>825</v>
      </c>
      <c r="BS551" s="143" t="s">
        <v>1462</v>
      </c>
      <c r="BT551" t="s">
        <v>1484</v>
      </c>
      <c r="BU551" s="144">
        <f t="shared" si="651"/>
        <v>15.816594959634072</v>
      </c>
      <c r="BV551">
        <f t="shared" si="629"/>
        <v>-102.392190833333</v>
      </c>
      <c r="BX551">
        <f t="shared" si="652"/>
        <v>-102.392190833333</v>
      </c>
      <c r="BY551">
        <f t="shared" si="557"/>
        <v>-9.4553689937513161E-3</v>
      </c>
      <c r="BZ551">
        <v>0</v>
      </c>
      <c r="CA551">
        <v>0</v>
      </c>
      <c r="CB551">
        <v>0</v>
      </c>
      <c r="CC551">
        <v>0</v>
      </c>
      <c r="CD551">
        <v>0</v>
      </c>
      <c r="CE551">
        <v>0</v>
      </c>
      <c r="CF551">
        <v>0</v>
      </c>
      <c r="CG551">
        <v>0</v>
      </c>
      <c r="CH551">
        <v>0</v>
      </c>
      <c r="CI551">
        <v>0</v>
      </c>
      <c r="CJ551">
        <v>0</v>
      </c>
      <c r="CK551">
        <v>0</v>
      </c>
      <c r="CL551">
        <v>0</v>
      </c>
      <c r="CM551">
        <v>0</v>
      </c>
      <c r="CN551" t="str">
        <f t="shared" si="630"/>
        <v>refOK</v>
      </c>
      <c r="CO551">
        <f t="shared" si="648"/>
        <v>944</v>
      </c>
      <c r="CP551">
        <f t="shared" si="649"/>
        <v>11773</v>
      </c>
      <c r="CQ551">
        <f t="shared" si="631"/>
        <v>10829</v>
      </c>
      <c r="CR551">
        <f t="shared" si="632"/>
        <v>-6.9106424999999998</v>
      </c>
      <c r="CS551">
        <f t="shared" si="633"/>
        <v>-109.302833333333</v>
      </c>
      <c r="CT551">
        <f t="shared" si="634"/>
        <v>-102.392190833333</v>
      </c>
      <c r="CU551">
        <f t="shared" si="635"/>
        <v>-9.4553689937513161E-3</v>
      </c>
      <c r="CV551" s="2">
        <f t="shared" si="636"/>
        <v>-14.816594959634072</v>
      </c>
      <c r="CW551" s="263" t="s">
        <v>1461</v>
      </c>
      <c r="CX551" s="264" t="str">
        <f t="shared" si="637"/>
        <v>reg</v>
      </c>
      <c r="CY551" s="270" t="s">
        <v>743</v>
      </c>
      <c r="DA551" s="143"/>
      <c r="DB551" s="143">
        <v>0</v>
      </c>
      <c r="DC551" t="str">
        <f t="shared" si="638"/>
        <v>0</v>
      </c>
      <c r="DD551">
        <v>0</v>
      </c>
      <c r="DE551">
        <v>1</v>
      </c>
      <c r="DF551">
        <v>0</v>
      </c>
      <c r="DG551">
        <v>0</v>
      </c>
      <c r="DH551">
        <v>0</v>
      </c>
      <c r="DI551">
        <f t="shared" si="653"/>
        <v>1</v>
      </c>
      <c r="DJ551" t="str">
        <f t="shared" si="639"/>
        <v>EnergyInput</v>
      </c>
      <c r="DK551">
        <f t="shared" si="640"/>
        <v>0</v>
      </c>
      <c r="DL551" t="str">
        <f t="shared" si="641"/>
        <v>Energy</v>
      </c>
      <c r="DM551">
        <f t="shared" si="642"/>
        <v>0</v>
      </c>
      <c r="DN551">
        <f t="shared" si="643"/>
        <v>0</v>
      </c>
      <c r="DO551">
        <v>0</v>
      </c>
      <c r="DP551" s="143">
        <v>0</v>
      </c>
      <c r="DQ551" s="143">
        <v>0</v>
      </c>
      <c r="DR551">
        <v>0</v>
      </c>
      <c r="DS551" s="143">
        <v>0</v>
      </c>
      <c r="DT551">
        <f t="shared" si="644"/>
        <v>0</v>
      </c>
      <c r="DU551" s="143" t="str">
        <f t="shared" si="645"/>
        <v>explicit C balance</v>
      </c>
      <c r="DV551" s="143">
        <v>0</v>
      </c>
      <c r="DW551" s="143">
        <v>0</v>
      </c>
      <c r="DX551" s="143">
        <v>0</v>
      </c>
      <c r="DY551" s="143">
        <v>0</v>
      </c>
      <c r="DZ551">
        <v>0</v>
      </c>
      <c r="EA551" s="143">
        <v>0</v>
      </c>
      <c r="EB551" s="143">
        <v>0</v>
      </c>
      <c r="EC551" s="143">
        <v>1</v>
      </c>
      <c r="ED551" s="143">
        <v>0</v>
      </c>
      <c r="EE551">
        <v>1</v>
      </c>
      <c r="EF551">
        <v>0</v>
      </c>
      <c r="EG551" s="143">
        <v>0</v>
      </c>
      <c r="EH551" s="143">
        <v>0</v>
      </c>
      <c r="EI551" s="2">
        <v>0</v>
      </c>
      <c r="EJ551"/>
      <c r="EK551" t="str">
        <f t="shared" si="646"/>
        <v/>
      </c>
      <c r="EL551" t="str">
        <f t="shared" si="647"/>
        <v/>
      </c>
      <c r="EM551" s="2" t="str">
        <f t="shared" si="558"/>
        <v>Technology approach</v>
      </c>
      <c r="EP551" t="str">
        <f>IF(ISNUMBER(BU551),IF(ABS(BU551-[4]QC_indicators!$B$2)&gt;3*[4]QC_indicators!$C$2,"C ratio",IF(ISNUMBER(BY551),IF(ABS(BY551-[4]QC_indicators!$B$1)&gt;3*[4]QC_indicators!$C$1,"DF","no"))),IF(ISNUMBER(BY551),IF(ABS(BY551-[4]QC_indicators!$B$1)&gt;3*[4]QC_indicators!$C$1,"DF","no")))</f>
        <v>no</v>
      </c>
      <c r="ER551" s="149"/>
      <c r="ET551" s="264" t="s">
        <v>3406</v>
      </c>
    </row>
    <row r="552" spans="1:150" ht="15" hidden="1" customHeight="1">
      <c r="A552" s="1" t="s">
        <v>587</v>
      </c>
      <c r="B552" t="s">
        <v>1447</v>
      </c>
      <c r="C552" t="s">
        <v>1448</v>
      </c>
      <c r="D552" t="s">
        <v>1449</v>
      </c>
      <c r="E552" t="s">
        <v>1450</v>
      </c>
      <c r="F552" t="s">
        <v>1451</v>
      </c>
      <c r="G552" t="s">
        <v>593</v>
      </c>
      <c r="H552" t="s">
        <v>254</v>
      </c>
      <c r="I552">
        <v>2020</v>
      </c>
      <c r="J552">
        <v>12</v>
      </c>
      <c r="K552" t="s">
        <v>1452</v>
      </c>
      <c r="M552" t="str">
        <f t="shared" si="615"/>
        <v>Elisa_2020</v>
      </c>
      <c r="N552" s="264" t="s">
        <v>222</v>
      </c>
      <c r="O552" s="171" t="s">
        <v>274</v>
      </c>
      <c r="P552" t="s">
        <v>223</v>
      </c>
      <c r="Q552" s="264" t="s">
        <v>389</v>
      </c>
      <c r="R552" s="269" t="s">
        <v>1153</v>
      </c>
      <c r="S552" s="154" t="s">
        <v>1453</v>
      </c>
      <c r="T552" s="294" t="s">
        <v>1454</v>
      </c>
      <c r="U552" s="143" t="s">
        <v>1467</v>
      </c>
      <c r="V552">
        <v>0</v>
      </c>
      <c r="W552">
        <v>0</v>
      </c>
      <c r="X552">
        <v>0</v>
      </c>
      <c r="Y552">
        <v>0</v>
      </c>
      <c r="Z552">
        <v>0</v>
      </c>
      <c r="AA552">
        <v>0</v>
      </c>
      <c r="AB552">
        <v>0</v>
      </c>
      <c r="AC552">
        <v>0</v>
      </c>
      <c r="AD552">
        <v>0</v>
      </c>
      <c r="AE552">
        <v>1</v>
      </c>
      <c r="AF552">
        <v>0</v>
      </c>
      <c r="AG552">
        <v>0</v>
      </c>
      <c r="AH552">
        <v>0</v>
      </c>
      <c r="AI552">
        <v>0</v>
      </c>
      <c r="AJ552">
        <v>0</v>
      </c>
      <c r="AK552">
        <v>0</v>
      </c>
      <c r="AL552">
        <v>0</v>
      </c>
      <c r="AM552">
        <v>0</v>
      </c>
      <c r="AN552">
        <v>0</v>
      </c>
      <c r="AO552">
        <v>0</v>
      </c>
      <c r="AP552">
        <v>0</v>
      </c>
      <c r="AQ552">
        <v>0</v>
      </c>
      <c r="AR552">
        <v>0</v>
      </c>
      <c r="AS552">
        <v>0</v>
      </c>
      <c r="AT552">
        <v>0</v>
      </c>
      <c r="AU552">
        <v>0</v>
      </c>
      <c r="AV552">
        <v>0</v>
      </c>
      <c r="AW552">
        <v>0</v>
      </c>
      <c r="AX552" s="141">
        <f t="shared" si="621"/>
        <v>1</v>
      </c>
      <c r="AY552" s="141">
        <f t="shared" si="622"/>
        <v>1</v>
      </c>
      <c r="AZ552">
        <f t="shared" si="623"/>
        <v>0</v>
      </c>
      <c r="BA552">
        <f t="shared" si="624"/>
        <v>1</v>
      </c>
      <c r="BB552">
        <f t="shared" si="625"/>
        <v>0</v>
      </c>
      <c r="BC552">
        <f t="shared" si="626"/>
        <v>0</v>
      </c>
      <c r="BD552">
        <f t="shared" si="627"/>
        <v>0</v>
      </c>
      <c r="BE552" t="str" cm="1">
        <f t="array" ref="BE552">IF(AY552=1,INDEX($V$7:$AL$7,MATCH(TRUE,INDEX($V552:$AW552&lt;&gt;0,),0)),IF(AY552=0,INDEX($AM$7:$AW$7,MATCH(1,$AM552:$AW552,0)),IF(BF552="Multiple strategies","mixed drivers",IF(BF552="Supply chain","multiple supply","multiple silviculture"))))</f>
        <v>location of industry</v>
      </c>
      <c r="BF552" s="2" t="str" cm="1">
        <f t="array" ref="BF552">IF(COUNTIF(AZ552:BB552,"&lt;&gt;0")=1,INDEX($V$4:$AW$4,MATCH(TRUE,INDEX($V552:$AW552&lt;&gt;0,),0)),IF(COUNTIF(AZ552:BB552,"&lt;&gt;0")=0,INDEX($AM$4:$AW$4,MATCH(1,$AM552:$AW552,0)),"Multiple strategies"))</f>
        <v>Supply chain</v>
      </c>
      <c r="BG552" s="142" t="s">
        <v>321</v>
      </c>
      <c r="BH552" s="160" t="s">
        <v>1456</v>
      </c>
      <c r="BI552" s="160" t="s">
        <v>1457</v>
      </c>
      <c r="BJ552" s="143" t="s">
        <v>498</v>
      </c>
      <c r="BK552" s="143">
        <v>944</v>
      </c>
      <c r="BL552" s="143">
        <v>20000</v>
      </c>
      <c r="BM552">
        <f>IFERROR(BL552/BK552,"")</f>
        <v>21.1864406779661</v>
      </c>
      <c r="BN552">
        <f t="shared" si="628"/>
        <v>19056</v>
      </c>
      <c r="BO552" s="159">
        <f t="shared" si="650"/>
        <v>19056</v>
      </c>
      <c r="BP552" s="155" t="s">
        <v>232</v>
      </c>
      <c r="BQ552" s="155" t="s">
        <v>1458</v>
      </c>
      <c r="BR552" s="155" t="s">
        <v>825</v>
      </c>
      <c r="BS552" s="143" t="s">
        <v>1459</v>
      </c>
      <c r="BT552" t="s">
        <v>1468</v>
      </c>
      <c r="BU552" s="144">
        <f t="shared" si="651"/>
        <v>23.5996333774691</v>
      </c>
      <c r="BV552">
        <f t="shared" si="629"/>
        <v>-158.60688250000001</v>
      </c>
      <c r="BX552">
        <f t="shared" si="652"/>
        <v>-158.60688250000001</v>
      </c>
      <c r="BY552">
        <f t="shared" si="557"/>
        <v>-8.3231991236356016E-3</v>
      </c>
      <c r="BZ552">
        <v>0</v>
      </c>
      <c r="CA552">
        <v>0</v>
      </c>
      <c r="CB552">
        <v>0</v>
      </c>
      <c r="CC552">
        <v>0</v>
      </c>
      <c r="CD552">
        <v>0</v>
      </c>
      <c r="CE552">
        <v>0</v>
      </c>
      <c r="CF552">
        <v>0</v>
      </c>
      <c r="CG552">
        <v>0</v>
      </c>
      <c r="CH552">
        <v>0</v>
      </c>
      <c r="CI552">
        <v>0</v>
      </c>
      <c r="CJ552">
        <v>0</v>
      </c>
      <c r="CK552">
        <v>0</v>
      </c>
      <c r="CL552">
        <v>0</v>
      </c>
      <c r="CM552">
        <v>0</v>
      </c>
      <c r="CN552" t="str">
        <f t="shared" si="630"/>
        <v>refOK</v>
      </c>
      <c r="CO552">
        <f t="shared" si="648"/>
        <v>944</v>
      </c>
      <c r="CP552">
        <f t="shared" si="649"/>
        <v>20000</v>
      </c>
      <c r="CQ552">
        <f t="shared" si="631"/>
        <v>19056</v>
      </c>
      <c r="CR552">
        <f t="shared" si="632"/>
        <v>-7.0181174999999998</v>
      </c>
      <c r="CS552">
        <f t="shared" si="633"/>
        <v>-165.625</v>
      </c>
      <c r="CT552">
        <f t="shared" si="634"/>
        <v>-158.60688250000001</v>
      </c>
      <c r="CU552">
        <f t="shared" si="635"/>
        <v>-8.3231991236356016E-3</v>
      </c>
      <c r="CV552" s="2">
        <f t="shared" si="636"/>
        <v>-22.599633377469104</v>
      </c>
      <c r="CW552" s="263" t="s">
        <v>1461</v>
      </c>
      <c r="CX552" s="264" t="str">
        <f t="shared" si="637"/>
        <v>reg</v>
      </c>
      <c r="CY552" s="270" t="s">
        <v>743</v>
      </c>
      <c r="DA552" s="143"/>
      <c r="DB552" s="143">
        <v>0</v>
      </c>
      <c r="DC552" t="str">
        <f t="shared" si="638"/>
        <v>0</v>
      </c>
      <c r="DD552">
        <v>0</v>
      </c>
      <c r="DE552">
        <v>1</v>
      </c>
      <c r="DF552">
        <v>0</v>
      </c>
      <c r="DG552">
        <v>0</v>
      </c>
      <c r="DH552">
        <v>0</v>
      </c>
      <c r="DI552">
        <f t="shared" si="653"/>
        <v>1</v>
      </c>
      <c r="DJ552" t="str">
        <f t="shared" si="639"/>
        <v>EnergyInput</v>
      </c>
      <c r="DK552">
        <f t="shared" si="640"/>
        <v>0</v>
      </c>
      <c r="DL552" t="str">
        <f t="shared" si="641"/>
        <v>Energy</v>
      </c>
      <c r="DM552">
        <f t="shared" si="642"/>
        <v>0</v>
      </c>
      <c r="DN552">
        <f t="shared" si="643"/>
        <v>0</v>
      </c>
      <c r="DO552">
        <v>0</v>
      </c>
      <c r="DP552" s="143">
        <v>0</v>
      </c>
      <c r="DQ552" s="143">
        <v>0</v>
      </c>
      <c r="DR552">
        <v>0</v>
      </c>
      <c r="DS552" s="143">
        <v>0</v>
      </c>
      <c r="DT552">
        <f t="shared" si="644"/>
        <v>0</v>
      </c>
      <c r="DU552" s="143" t="str">
        <f t="shared" si="645"/>
        <v>explicit C balance</v>
      </c>
      <c r="DV552" s="143">
        <v>0</v>
      </c>
      <c r="DW552" s="143">
        <v>0</v>
      </c>
      <c r="DX552" s="143">
        <v>0</v>
      </c>
      <c r="DY552" s="143">
        <v>0</v>
      </c>
      <c r="DZ552">
        <v>0</v>
      </c>
      <c r="EA552" s="143">
        <v>0</v>
      </c>
      <c r="EB552" s="143">
        <v>1</v>
      </c>
      <c r="EC552" s="143">
        <v>1</v>
      </c>
      <c r="ED552" s="143">
        <v>0</v>
      </c>
      <c r="EE552">
        <v>1</v>
      </c>
      <c r="EF552">
        <v>0</v>
      </c>
      <c r="EG552" s="143">
        <v>0</v>
      </c>
      <c r="EH552" s="143">
        <v>0</v>
      </c>
      <c r="EI552" s="2">
        <v>0</v>
      </c>
      <c r="EJ552"/>
      <c r="EK552" t="str">
        <f t="shared" si="646"/>
        <v/>
      </c>
      <c r="EL552" t="str">
        <f t="shared" si="647"/>
        <v/>
      </c>
      <c r="EM552" s="2" t="str">
        <f t="shared" si="558"/>
        <v>Technology approach</v>
      </c>
      <c r="EP552" t="str">
        <f>IF(ISNUMBER(BU552),IF(ABS(BU552-[4]QC_indicators!$B$2)&gt;3*[4]QC_indicators!$C$2,"C ratio",IF(ISNUMBER(BY552),IF(ABS(BY552-[4]QC_indicators!$B$1)&gt;3*[4]QC_indicators!$C$1,"DF","no"))),IF(ISNUMBER(BY552),IF(ABS(BY552-[4]QC_indicators!$B$1)&gt;3*[4]QC_indicators!$C$1,"DF","no")))</f>
        <v>no</v>
      </c>
      <c r="ER552" s="149"/>
      <c r="ET552" s="264" t="s">
        <v>3406</v>
      </c>
    </row>
    <row r="553" spans="1:150" ht="15" hidden="1" customHeight="1">
      <c r="A553" s="1" t="s">
        <v>587</v>
      </c>
      <c r="B553" t="s">
        <v>1447</v>
      </c>
      <c r="C553" t="s">
        <v>1448</v>
      </c>
      <c r="D553" t="s">
        <v>1449</v>
      </c>
      <c r="E553" t="s">
        <v>1450</v>
      </c>
      <c r="F553" t="s">
        <v>1451</v>
      </c>
      <c r="G553" t="s">
        <v>593</v>
      </c>
      <c r="H553" t="s">
        <v>254</v>
      </c>
      <c r="I553">
        <v>2020</v>
      </c>
      <c r="J553">
        <v>12</v>
      </c>
      <c r="K553" t="s">
        <v>1452</v>
      </c>
      <c r="M553" t="str">
        <f t="shared" si="615"/>
        <v>Elisa_2020</v>
      </c>
      <c r="N553" s="264" t="s">
        <v>222</v>
      </c>
      <c r="O553" s="171" t="s">
        <v>274</v>
      </c>
      <c r="P553" t="s">
        <v>223</v>
      </c>
      <c r="Q553" s="264" t="s">
        <v>389</v>
      </c>
      <c r="R553" s="269" t="s">
        <v>1153</v>
      </c>
      <c r="S553" s="154" t="s">
        <v>1453</v>
      </c>
      <c r="T553" s="294" t="s">
        <v>1454</v>
      </c>
      <c r="U553" s="143" t="s">
        <v>1467</v>
      </c>
      <c r="V553">
        <v>0</v>
      </c>
      <c r="W553">
        <v>0</v>
      </c>
      <c r="X553">
        <v>0</v>
      </c>
      <c r="Y553">
        <v>0</v>
      </c>
      <c r="Z553">
        <v>0</v>
      </c>
      <c r="AA553">
        <v>0</v>
      </c>
      <c r="AB553">
        <v>0</v>
      </c>
      <c r="AC553">
        <v>0</v>
      </c>
      <c r="AD553">
        <v>0</v>
      </c>
      <c r="AE553">
        <v>1</v>
      </c>
      <c r="AF553">
        <v>0</v>
      </c>
      <c r="AG553">
        <v>0</v>
      </c>
      <c r="AH553">
        <v>0</v>
      </c>
      <c r="AI553">
        <v>0</v>
      </c>
      <c r="AJ553">
        <v>0</v>
      </c>
      <c r="AK553">
        <v>0</v>
      </c>
      <c r="AL553">
        <v>0</v>
      </c>
      <c r="AM553">
        <v>0</v>
      </c>
      <c r="AN553">
        <v>0</v>
      </c>
      <c r="AO553">
        <v>0</v>
      </c>
      <c r="AP553">
        <v>0</v>
      </c>
      <c r="AQ553">
        <v>0</v>
      </c>
      <c r="AR553">
        <v>0</v>
      </c>
      <c r="AS553">
        <v>0</v>
      </c>
      <c r="AT553">
        <v>0</v>
      </c>
      <c r="AU553">
        <v>0</v>
      </c>
      <c r="AV553">
        <v>0</v>
      </c>
      <c r="AW553">
        <v>0</v>
      </c>
      <c r="AX553" s="141">
        <f t="shared" si="621"/>
        <v>1</v>
      </c>
      <c r="AY553" s="141">
        <f t="shared" si="622"/>
        <v>1</v>
      </c>
      <c r="AZ553">
        <f t="shared" si="623"/>
        <v>0</v>
      </c>
      <c r="BA553">
        <f t="shared" si="624"/>
        <v>1</v>
      </c>
      <c r="BB553">
        <f t="shared" si="625"/>
        <v>0</v>
      </c>
      <c r="BC553">
        <f t="shared" si="626"/>
        <v>0</v>
      </c>
      <c r="BD553">
        <f t="shared" si="627"/>
        <v>0</v>
      </c>
      <c r="BE553" t="str" cm="1">
        <f t="array" ref="BE553">IF(AY553=1,INDEX($V$7:$AL$7,MATCH(TRUE,INDEX($V553:$AW553&lt;&gt;0,),0)),IF(AY553=0,INDEX($AM$7:$AW$7,MATCH(1,$AM553:$AW553,0)),IF(BF553="Multiple strategies","mixed drivers",IF(BF553="Supply chain","multiple supply","multiple silviculture"))))</f>
        <v>location of industry</v>
      </c>
      <c r="BF553" s="2" t="str" cm="1">
        <f t="array" ref="BF553">IF(COUNTIF(AZ553:BB553,"&lt;&gt;0")=1,INDEX($V$4:$AW$4,MATCH(TRUE,INDEX($V553:$AW553&lt;&gt;0,),0)),IF(COUNTIF(AZ553:BB553,"&lt;&gt;0")=0,INDEX($AM$4:$AW$4,MATCH(1,$AM553:$AW553,0)),"Multiple strategies"))</f>
        <v>Supply chain</v>
      </c>
      <c r="BG553" s="142" t="s">
        <v>321</v>
      </c>
      <c r="BH553" s="160" t="s">
        <v>1456</v>
      </c>
      <c r="BI553" s="160" t="s">
        <v>1457</v>
      </c>
      <c r="BJ553" s="143" t="s">
        <v>498</v>
      </c>
      <c r="BK553" s="143">
        <v>944</v>
      </c>
      <c r="BL553" s="143">
        <v>20000</v>
      </c>
      <c r="BM553">
        <f>IFERROR(BL555/BK553,"")</f>
        <v>7.4078389830508478</v>
      </c>
      <c r="BN553">
        <f t="shared" si="628"/>
        <v>19056</v>
      </c>
      <c r="BO553" s="159">
        <f t="shared" si="650"/>
        <v>19056</v>
      </c>
      <c r="BP553" s="155" t="s">
        <v>232</v>
      </c>
      <c r="BQ553" s="155" t="s">
        <v>1458</v>
      </c>
      <c r="BR553" s="155" t="s">
        <v>825</v>
      </c>
      <c r="BS553" s="143" t="s">
        <v>1462</v>
      </c>
      <c r="BT553" t="s">
        <v>1469</v>
      </c>
      <c r="BU553" s="144">
        <f t="shared" si="651"/>
        <v>23.665189838233854</v>
      </c>
      <c r="BV553">
        <f t="shared" si="629"/>
        <v>-156.631024166667</v>
      </c>
      <c r="BX553">
        <f t="shared" si="652"/>
        <v>-156.631024166667</v>
      </c>
      <c r="BY553">
        <f t="shared" si="557"/>
        <v>-8.2195121833893263E-3</v>
      </c>
      <c r="BZ553">
        <v>0</v>
      </c>
      <c r="CA553">
        <v>0</v>
      </c>
      <c r="CB553">
        <v>0</v>
      </c>
      <c r="CC553">
        <v>0</v>
      </c>
      <c r="CD553">
        <v>0</v>
      </c>
      <c r="CE553">
        <v>0</v>
      </c>
      <c r="CF553">
        <v>0</v>
      </c>
      <c r="CG553">
        <v>0</v>
      </c>
      <c r="CH553">
        <v>0</v>
      </c>
      <c r="CI553">
        <v>0</v>
      </c>
      <c r="CJ553">
        <v>0</v>
      </c>
      <c r="CK553">
        <v>0</v>
      </c>
      <c r="CL553">
        <v>0</v>
      </c>
      <c r="CM553">
        <v>0</v>
      </c>
      <c r="CN553" t="str">
        <f t="shared" si="630"/>
        <v>refOK</v>
      </c>
      <c r="CO553">
        <f t="shared" si="648"/>
        <v>944</v>
      </c>
      <c r="CP553">
        <f t="shared" si="649"/>
        <v>20000</v>
      </c>
      <c r="CQ553">
        <f t="shared" si="631"/>
        <v>19056</v>
      </c>
      <c r="CR553">
        <f t="shared" si="632"/>
        <v>-6.9106424999999998</v>
      </c>
      <c r="CS553">
        <f t="shared" si="633"/>
        <v>-163.541666666667</v>
      </c>
      <c r="CT553">
        <f t="shared" si="634"/>
        <v>-156.631024166667</v>
      </c>
      <c r="CU553">
        <f t="shared" si="635"/>
        <v>-8.2195121833893263E-3</v>
      </c>
      <c r="CV553" s="2">
        <f t="shared" si="636"/>
        <v>-22.665189838233857</v>
      </c>
      <c r="CW553" s="263" t="s">
        <v>1461</v>
      </c>
      <c r="CX553" s="264" t="str">
        <f t="shared" si="637"/>
        <v>reg</v>
      </c>
      <c r="CY553" s="270" t="s">
        <v>743</v>
      </c>
      <c r="DA553" s="143"/>
      <c r="DB553" s="143">
        <v>0</v>
      </c>
      <c r="DC553" t="str">
        <f t="shared" si="638"/>
        <v>0</v>
      </c>
      <c r="DD553">
        <v>0</v>
      </c>
      <c r="DE553">
        <v>1</v>
      </c>
      <c r="DF553">
        <v>0</v>
      </c>
      <c r="DG553">
        <v>0</v>
      </c>
      <c r="DH553">
        <v>0</v>
      </c>
      <c r="DI553">
        <f t="shared" si="653"/>
        <v>1</v>
      </c>
      <c r="DJ553" t="str">
        <f t="shared" si="639"/>
        <v>EnergyInput</v>
      </c>
      <c r="DK553">
        <f t="shared" si="640"/>
        <v>0</v>
      </c>
      <c r="DL553" t="str">
        <f t="shared" si="641"/>
        <v>Energy</v>
      </c>
      <c r="DM553">
        <f t="shared" si="642"/>
        <v>0</v>
      </c>
      <c r="DN553">
        <f t="shared" si="643"/>
        <v>0</v>
      </c>
      <c r="DO553">
        <v>0</v>
      </c>
      <c r="DP553" s="143">
        <v>0</v>
      </c>
      <c r="DQ553" s="143">
        <v>0</v>
      </c>
      <c r="DR553">
        <v>0</v>
      </c>
      <c r="DS553" s="143">
        <v>0</v>
      </c>
      <c r="DT553">
        <f t="shared" si="644"/>
        <v>0</v>
      </c>
      <c r="DU553" s="143" t="str">
        <f t="shared" si="645"/>
        <v>explicit C balance</v>
      </c>
      <c r="DV553" s="143">
        <v>0</v>
      </c>
      <c r="DW553" s="143">
        <v>0</v>
      </c>
      <c r="DX553" s="143">
        <v>0</v>
      </c>
      <c r="DY553" s="143">
        <v>0</v>
      </c>
      <c r="DZ553">
        <v>0</v>
      </c>
      <c r="EA553" s="143">
        <v>0</v>
      </c>
      <c r="EB553" s="143">
        <v>0</v>
      </c>
      <c r="EC553" s="143">
        <v>1</v>
      </c>
      <c r="ED553" s="143">
        <v>0</v>
      </c>
      <c r="EE553">
        <v>1</v>
      </c>
      <c r="EF553">
        <v>0</v>
      </c>
      <c r="EG553" s="143">
        <v>0</v>
      </c>
      <c r="EH553" s="143">
        <v>0</v>
      </c>
      <c r="EI553" s="2">
        <v>0</v>
      </c>
      <c r="EJ553"/>
      <c r="EK553" t="str">
        <f t="shared" si="646"/>
        <v/>
      </c>
      <c r="EL553" t="str">
        <f t="shared" si="647"/>
        <v/>
      </c>
      <c r="EM553" s="2" t="str">
        <f t="shared" si="558"/>
        <v>Technology approach</v>
      </c>
      <c r="EP553" t="str">
        <f>IF(ISNUMBER(BU553),IF(ABS(BU553-[4]QC_indicators!$B$2)&gt;3*[4]QC_indicators!$C$2,"C ratio",IF(ISNUMBER(BY553),IF(ABS(BY553-[4]QC_indicators!$B$1)&gt;3*[4]QC_indicators!$C$1,"DF","no"))),IF(ISNUMBER(BY553),IF(ABS(BY553-[4]QC_indicators!$B$1)&gt;3*[4]QC_indicators!$C$1,"DF","no")))</f>
        <v>no</v>
      </c>
      <c r="ER553" s="149"/>
      <c r="ET553" s="264" t="s">
        <v>3406</v>
      </c>
    </row>
    <row r="554" spans="1:150" ht="15" hidden="1" customHeight="1">
      <c r="A554" s="1" t="s">
        <v>587</v>
      </c>
      <c r="B554" t="s">
        <v>1447</v>
      </c>
      <c r="C554" t="s">
        <v>1448</v>
      </c>
      <c r="D554" t="s">
        <v>1449</v>
      </c>
      <c r="E554" t="s">
        <v>1450</v>
      </c>
      <c r="F554" t="s">
        <v>1451</v>
      </c>
      <c r="G554" t="s">
        <v>593</v>
      </c>
      <c r="H554" t="s">
        <v>254</v>
      </c>
      <c r="I554">
        <v>2020</v>
      </c>
      <c r="J554">
        <v>12</v>
      </c>
      <c r="K554" t="s">
        <v>1452</v>
      </c>
      <c r="M554" t="str">
        <f t="shared" si="615"/>
        <v>Elisa_2020</v>
      </c>
      <c r="N554" s="264" t="s">
        <v>222</v>
      </c>
      <c r="O554" s="171" t="s">
        <v>274</v>
      </c>
      <c r="P554" t="s">
        <v>223</v>
      </c>
      <c r="Q554" s="264" t="s">
        <v>389</v>
      </c>
      <c r="R554" s="269" t="s">
        <v>1153</v>
      </c>
      <c r="S554" s="154" t="s">
        <v>1453</v>
      </c>
      <c r="T554" s="294" t="s">
        <v>1454</v>
      </c>
      <c r="U554" s="143" t="s">
        <v>1470</v>
      </c>
      <c r="V554">
        <v>0</v>
      </c>
      <c r="W554">
        <v>0</v>
      </c>
      <c r="X554">
        <v>0</v>
      </c>
      <c r="Y554">
        <v>0</v>
      </c>
      <c r="Z554">
        <v>0</v>
      </c>
      <c r="AA554">
        <v>0</v>
      </c>
      <c r="AB554">
        <v>0</v>
      </c>
      <c r="AC554">
        <v>0</v>
      </c>
      <c r="AD554">
        <v>0</v>
      </c>
      <c r="AE554">
        <v>1</v>
      </c>
      <c r="AF554">
        <v>0</v>
      </c>
      <c r="AG554">
        <v>0</v>
      </c>
      <c r="AH554">
        <v>0</v>
      </c>
      <c r="AI554">
        <v>0</v>
      </c>
      <c r="AJ554">
        <v>0</v>
      </c>
      <c r="AK554">
        <v>0</v>
      </c>
      <c r="AL554">
        <v>0</v>
      </c>
      <c r="AM554">
        <v>0</v>
      </c>
      <c r="AN554">
        <v>0</v>
      </c>
      <c r="AO554">
        <v>0</v>
      </c>
      <c r="AP554">
        <v>0</v>
      </c>
      <c r="AQ554">
        <v>0</v>
      </c>
      <c r="AR554">
        <v>0</v>
      </c>
      <c r="AS554">
        <v>0</v>
      </c>
      <c r="AT554">
        <v>0</v>
      </c>
      <c r="AU554">
        <v>0</v>
      </c>
      <c r="AV554">
        <v>0</v>
      </c>
      <c r="AW554">
        <v>0</v>
      </c>
      <c r="AX554" s="141">
        <f t="shared" si="621"/>
        <v>1</v>
      </c>
      <c r="AY554" s="141">
        <f t="shared" si="622"/>
        <v>1</v>
      </c>
      <c r="AZ554">
        <f t="shared" si="623"/>
        <v>0</v>
      </c>
      <c r="BA554">
        <f t="shared" si="624"/>
        <v>1</v>
      </c>
      <c r="BB554">
        <f t="shared" si="625"/>
        <v>0</v>
      </c>
      <c r="BC554">
        <f t="shared" si="626"/>
        <v>0</v>
      </c>
      <c r="BD554">
        <f t="shared" si="627"/>
        <v>0</v>
      </c>
      <c r="BE554" t="str" cm="1">
        <f t="array" ref="BE554">IF(AY554=1,INDEX($V$7:$AL$7,MATCH(TRUE,INDEX($V554:$AW554&lt;&gt;0,),0)),IF(AY554=0,INDEX($AM$7:$AW$7,MATCH(1,$AM554:$AW554,0)),IF(BF554="Multiple strategies","mixed drivers",IF(BF554="Supply chain","multiple supply","multiple silviculture"))))</f>
        <v>location of industry</v>
      </c>
      <c r="BF554" s="2" t="str" cm="1">
        <f t="array" ref="BF554">IF(COUNTIF(AZ554:BB554,"&lt;&gt;0")=1,INDEX($V$4:$AW$4,MATCH(TRUE,INDEX($V554:$AW554&lt;&gt;0,),0)),IF(COUNTIF(AZ554:BB554,"&lt;&gt;0")=0,INDEX($AM$4:$AW$4,MATCH(1,$AM554:$AW554,0)),"Multiple strategies"))</f>
        <v>Supply chain</v>
      </c>
      <c r="BG554" s="142" t="s">
        <v>321</v>
      </c>
      <c r="BH554" s="160" t="s">
        <v>1456</v>
      </c>
      <c r="BI554" s="160" t="s">
        <v>1457</v>
      </c>
      <c r="BJ554" s="143" t="s">
        <v>498</v>
      </c>
      <c r="BK554" s="143">
        <v>944</v>
      </c>
      <c r="BL554" s="143">
        <v>6993</v>
      </c>
      <c r="BM554">
        <f>IFERROR(BL554/BK554,"")</f>
        <v>7.4078389830508478</v>
      </c>
      <c r="BN554">
        <f t="shared" si="628"/>
        <v>6049</v>
      </c>
      <c r="BO554" s="159">
        <f t="shared" si="650"/>
        <v>6049</v>
      </c>
      <c r="BP554" s="155" t="s">
        <v>232</v>
      </c>
      <c r="BQ554" s="155" t="s">
        <v>1458</v>
      </c>
      <c r="BR554" s="155" t="s">
        <v>825</v>
      </c>
      <c r="BS554" s="143" t="s">
        <v>1459</v>
      </c>
      <c r="BT554" t="s">
        <v>1471</v>
      </c>
      <c r="BU554" s="144">
        <f t="shared" si="651"/>
        <v>6.6613304778667501</v>
      </c>
      <c r="BV554">
        <f t="shared" si="629"/>
        <v>-39.731882499999998</v>
      </c>
      <c r="BX554">
        <f t="shared" si="652"/>
        <v>-39.731882499999998</v>
      </c>
      <c r="BY554">
        <f t="shared" si="557"/>
        <v>-6.5683389816498594E-3</v>
      </c>
      <c r="BZ554">
        <v>0</v>
      </c>
      <c r="CA554">
        <v>0</v>
      </c>
      <c r="CB554">
        <v>0</v>
      </c>
      <c r="CC554">
        <v>0</v>
      </c>
      <c r="CD554">
        <v>0</v>
      </c>
      <c r="CE554">
        <v>0</v>
      </c>
      <c r="CF554">
        <v>0</v>
      </c>
      <c r="CG554">
        <v>0</v>
      </c>
      <c r="CH554">
        <v>0</v>
      </c>
      <c r="CI554">
        <v>0</v>
      </c>
      <c r="CJ554">
        <v>0</v>
      </c>
      <c r="CK554">
        <v>0</v>
      </c>
      <c r="CL554">
        <v>0</v>
      </c>
      <c r="CM554">
        <v>0</v>
      </c>
      <c r="CN554" t="str">
        <f t="shared" si="630"/>
        <v>refOK</v>
      </c>
      <c r="CO554">
        <f t="shared" si="648"/>
        <v>944</v>
      </c>
      <c r="CP554">
        <f t="shared" si="649"/>
        <v>6993</v>
      </c>
      <c r="CQ554">
        <f t="shared" si="631"/>
        <v>6049</v>
      </c>
      <c r="CR554">
        <f t="shared" si="632"/>
        <v>-7.0181174999999998</v>
      </c>
      <c r="CS554">
        <f t="shared" si="633"/>
        <v>-46.75</v>
      </c>
      <c r="CT554">
        <f t="shared" si="634"/>
        <v>-39.731882499999998</v>
      </c>
      <c r="CU554">
        <f t="shared" si="635"/>
        <v>-6.5683389816498594E-3</v>
      </c>
      <c r="CV554" s="2">
        <f t="shared" si="636"/>
        <v>-5.6613304778667501</v>
      </c>
      <c r="CW554" s="263" t="s">
        <v>1461</v>
      </c>
      <c r="CX554" s="264" t="str">
        <f t="shared" si="637"/>
        <v>reg</v>
      </c>
      <c r="CY554" s="270" t="s">
        <v>743</v>
      </c>
      <c r="DA554" s="143"/>
      <c r="DB554" s="143">
        <v>0</v>
      </c>
      <c r="DC554" t="str">
        <f t="shared" si="638"/>
        <v>0</v>
      </c>
      <c r="DD554">
        <v>0</v>
      </c>
      <c r="DE554">
        <v>1</v>
      </c>
      <c r="DF554">
        <v>0</v>
      </c>
      <c r="DG554">
        <v>0</v>
      </c>
      <c r="DH554">
        <v>0</v>
      </c>
      <c r="DI554">
        <f t="shared" si="653"/>
        <v>1</v>
      </c>
      <c r="DJ554" t="str">
        <f t="shared" si="639"/>
        <v>EnergyInput</v>
      </c>
      <c r="DK554">
        <f t="shared" si="640"/>
        <v>0</v>
      </c>
      <c r="DL554" t="str">
        <f t="shared" si="641"/>
        <v>Energy</v>
      </c>
      <c r="DM554">
        <f t="shared" si="642"/>
        <v>0</v>
      </c>
      <c r="DN554">
        <f t="shared" si="643"/>
        <v>0</v>
      </c>
      <c r="DO554">
        <v>0</v>
      </c>
      <c r="DP554" s="143">
        <v>0</v>
      </c>
      <c r="DQ554" s="143">
        <v>0</v>
      </c>
      <c r="DR554">
        <v>0</v>
      </c>
      <c r="DS554" s="143">
        <v>0</v>
      </c>
      <c r="DT554">
        <f t="shared" si="644"/>
        <v>0</v>
      </c>
      <c r="DU554" s="143" t="str">
        <f t="shared" si="645"/>
        <v>explicit C balance</v>
      </c>
      <c r="DV554" s="143">
        <v>0</v>
      </c>
      <c r="DW554" s="143">
        <v>0</v>
      </c>
      <c r="DX554" s="143">
        <v>0</v>
      </c>
      <c r="DY554" s="143">
        <v>0</v>
      </c>
      <c r="DZ554">
        <v>0</v>
      </c>
      <c r="EA554" s="143">
        <v>0</v>
      </c>
      <c r="EB554" s="143">
        <v>1</v>
      </c>
      <c r="EC554" s="143">
        <v>1</v>
      </c>
      <c r="ED554" s="143">
        <v>0</v>
      </c>
      <c r="EE554">
        <v>1</v>
      </c>
      <c r="EF554">
        <v>0</v>
      </c>
      <c r="EG554" s="143">
        <v>0</v>
      </c>
      <c r="EH554" s="143">
        <v>0</v>
      </c>
      <c r="EI554" s="2">
        <v>0</v>
      </c>
      <c r="EJ554"/>
      <c r="EK554" t="str">
        <f t="shared" si="646"/>
        <v/>
      </c>
      <c r="EL554" t="str">
        <f t="shared" si="647"/>
        <v/>
      </c>
      <c r="EM554" s="2" t="str">
        <f t="shared" si="558"/>
        <v>Technology approach</v>
      </c>
      <c r="EP554" t="str">
        <f>IF(ISNUMBER(BU554),IF(ABS(BU554-[4]QC_indicators!$B$2)&gt;3*[4]QC_indicators!$C$2,"C ratio",IF(ISNUMBER(BY554),IF(ABS(BY554-[4]QC_indicators!$B$1)&gt;3*[4]QC_indicators!$C$1,"DF","no"))),IF(ISNUMBER(BY554),IF(ABS(BY554-[4]QC_indicators!$B$1)&gt;3*[4]QC_indicators!$C$1,"DF","no")))</f>
        <v>no</v>
      </c>
      <c r="ER554" s="149"/>
      <c r="ET554" s="264" t="s">
        <v>3406</v>
      </c>
    </row>
    <row r="555" spans="1:150" ht="15" hidden="1" customHeight="1">
      <c r="A555" s="1" t="s">
        <v>587</v>
      </c>
      <c r="B555" t="s">
        <v>1447</v>
      </c>
      <c r="C555" t="s">
        <v>1448</v>
      </c>
      <c r="D555" t="s">
        <v>1449</v>
      </c>
      <c r="E555" t="s">
        <v>1450</v>
      </c>
      <c r="F555" t="s">
        <v>1451</v>
      </c>
      <c r="G555" t="s">
        <v>593</v>
      </c>
      <c r="H555" t="s">
        <v>254</v>
      </c>
      <c r="I555">
        <v>2020</v>
      </c>
      <c r="J555">
        <v>12</v>
      </c>
      <c r="K555" t="s">
        <v>1452</v>
      </c>
      <c r="M555" t="str">
        <f t="shared" si="615"/>
        <v>Elisa_2020</v>
      </c>
      <c r="N555" s="264" t="s">
        <v>222</v>
      </c>
      <c r="O555" s="171" t="s">
        <v>274</v>
      </c>
      <c r="P555" t="s">
        <v>223</v>
      </c>
      <c r="Q555" s="264" t="s">
        <v>389</v>
      </c>
      <c r="R555" s="269" t="s">
        <v>1153</v>
      </c>
      <c r="S555" s="154" t="s">
        <v>1453</v>
      </c>
      <c r="T555" s="294" t="s">
        <v>1454</v>
      </c>
      <c r="U555" s="143" t="s">
        <v>1470</v>
      </c>
      <c r="V555">
        <v>0</v>
      </c>
      <c r="W555">
        <v>0</v>
      </c>
      <c r="X555">
        <v>0</v>
      </c>
      <c r="Y555">
        <v>0</v>
      </c>
      <c r="Z555">
        <v>0</v>
      </c>
      <c r="AA555">
        <v>0</v>
      </c>
      <c r="AB555">
        <v>0</v>
      </c>
      <c r="AC555">
        <v>0</v>
      </c>
      <c r="AD555">
        <v>0</v>
      </c>
      <c r="AE555">
        <v>1</v>
      </c>
      <c r="AF555">
        <v>0</v>
      </c>
      <c r="AG555">
        <v>0</v>
      </c>
      <c r="AH555">
        <v>0</v>
      </c>
      <c r="AI555">
        <v>0</v>
      </c>
      <c r="AJ555">
        <v>0</v>
      </c>
      <c r="AK555">
        <v>0</v>
      </c>
      <c r="AL555">
        <v>0</v>
      </c>
      <c r="AM555">
        <v>0</v>
      </c>
      <c r="AN555">
        <v>0</v>
      </c>
      <c r="AO555">
        <v>0</v>
      </c>
      <c r="AP555">
        <v>0</v>
      </c>
      <c r="AQ555">
        <v>0</v>
      </c>
      <c r="AR555">
        <v>0</v>
      </c>
      <c r="AS555">
        <v>0</v>
      </c>
      <c r="AT555">
        <v>0</v>
      </c>
      <c r="AU555">
        <v>0</v>
      </c>
      <c r="AV555">
        <v>0</v>
      </c>
      <c r="AW555">
        <v>0</v>
      </c>
      <c r="AX555" s="141">
        <f t="shared" si="621"/>
        <v>1</v>
      </c>
      <c r="AY555" s="141">
        <f t="shared" si="622"/>
        <v>1</v>
      </c>
      <c r="AZ555">
        <f t="shared" si="623"/>
        <v>0</v>
      </c>
      <c r="BA555">
        <f t="shared" si="624"/>
        <v>1</v>
      </c>
      <c r="BB555">
        <f t="shared" si="625"/>
        <v>0</v>
      </c>
      <c r="BC555">
        <f t="shared" si="626"/>
        <v>0</v>
      </c>
      <c r="BD555">
        <f t="shared" si="627"/>
        <v>0</v>
      </c>
      <c r="BE555" t="str" cm="1">
        <f t="array" ref="BE555">IF(AY555=1,INDEX($V$7:$AL$7,MATCH(TRUE,INDEX($V555:$AW555&lt;&gt;0,),0)),IF(AY555=0,INDEX($AM$7:$AW$7,MATCH(1,$AM555:$AW555,0)),IF(BF555="Multiple strategies","mixed drivers",IF(BF555="Supply chain","multiple supply","multiple silviculture"))))</f>
        <v>location of industry</v>
      </c>
      <c r="BF555" s="2" t="str" cm="1">
        <f t="array" ref="BF555">IF(COUNTIF(AZ555:BB555,"&lt;&gt;0")=1,INDEX($V$4:$AW$4,MATCH(TRUE,INDEX($V555:$AW555&lt;&gt;0,),0)),IF(COUNTIF(AZ555:BB555,"&lt;&gt;0")=0,INDEX($AM$4:$AW$4,MATCH(1,$AM555:$AW555,0)),"Multiple strategies"))</f>
        <v>Supply chain</v>
      </c>
      <c r="BG555" s="142" t="s">
        <v>321</v>
      </c>
      <c r="BH555" s="160" t="s">
        <v>1456</v>
      </c>
      <c r="BI555" s="160" t="s">
        <v>1457</v>
      </c>
      <c r="BJ555" s="143" t="s">
        <v>498</v>
      </c>
      <c r="BK555" s="143">
        <v>944</v>
      </c>
      <c r="BL555" s="143">
        <v>6993</v>
      </c>
      <c r="BM555">
        <f>IFERROR(BL557/BK555,"")</f>
        <v>1.6949152542372881</v>
      </c>
      <c r="BN555">
        <f t="shared" si="628"/>
        <v>6049</v>
      </c>
      <c r="BO555" s="159">
        <f t="shared" si="650"/>
        <v>6049</v>
      </c>
      <c r="BP555" s="155" t="s">
        <v>232</v>
      </c>
      <c r="BQ555" s="155" t="s">
        <v>1458</v>
      </c>
      <c r="BR555" s="155" t="s">
        <v>825</v>
      </c>
      <c r="BS555" s="143" t="s">
        <v>1462</v>
      </c>
      <c r="BT555" t="s">
        <v>1472</v>
      </c>
      <c r="BU555" s="144">
        <f t="shared" si="651"/>
        <v>6.6543901107764007</v>
      </c>
      <c r="BV555">
        <f t="shared" si="629"/>
        <v>-39.075468611111098</v>
      </c>
      <c r="BX555">
        <f t="shared" si="652"/>
        <v>-39.075468611111098</v>
      </c>
      <c r="BY555">
        <f t="shared" si="557"/>
        <v>-6.459822881651694E-3</v>
      </c>
      <c r="BZ555">
        <v>0</v>
      </c>
      <c r="CA555">
        <v>0</v>
      </c>
      <c r="CB555">
        <v>0</v>
      </c>
      <c r="CC555">
        <v>0</v>
      </c>
      <c r="CD555">
        <v>0</v>
      </c>
      <c r="CE555">
        <v>0</v>
      </c>
      <c r="CF555">
        <v>0</v>
      </c>
      <c r="CG555">
        <v>0</v>
      </c>
      <c r="CH555">
        <v>0</v>
      </c>
      <c r="CI555">
        <v>0</v>
      </c>
      <c r="CJ555">
        <v>0</v>
      </c>
      <c r="CK555">
        <v>0</v>
      </c>
      <c r="CL555">
        <v>0</v>
      </c>
      <c r="CM555">
        <v>0</v>
      </c>
      <c r="CN555" t="str">
        <f t="shared" si="630"/>
        <v>refOK</v>
      </c>
      <c r="CO555">
        <f t="shared" si="648"/>
        <v>944</v>
      </c>
      <c r="CP555">
        <f t="shared" si="649"/>
        <v>6993</v>
      </c>
      <c r="CQ555">
        <f t="shared" si="631"/>
        <v>6049</v>
      </c>
      <c r="CR555">
        <f t="shared" si="632"/>
        <v>-6.9106424999999998</v>
      </c>
      <c r="CS555">
        <f t="shared" si="633"/>
        <v>-45.9861111111111</v>
      </c>
      <c r="CT555">
        <f t="shared" si="634"/>
        <v>-39.075468611111098</v>
      </c>
      <c r="CU555">
        <f t="shared" si="635"/>
        <v>-6.459822881651694E-3</v>
      </c>
      <c r="CV555" s="2">
        <f t="shared" si="636"/>
        <v>-5.6543901107763999</v>
      </c>
      <c r="CW555" s="263" t="s">
        <v>1461</v>
      </c>
      <c r="CX555" s="264" t="str">
        <f t="shared" si="637"/>
        <v>reg</v>
      </c>
      <c r="CY555" s="270" t="s">
        <v>743</v>
      </c>
      <c r="DA555" s="143"/>
      <c r="DB555" s="143">
        <v>0</v>
      </c>
      <c r="DC555" t="str">
        <f t="shared" si="638"/>
        <v>0</v>
      </c>
      <c r="DD555">
        <v>0</v>
      </c>
      <c r="DE555">
        <v>1</v>
      </c>
      <c r="DF555">
        <v>0</v>
      </c>
      <c r="DG555">
        <v>0</v>
      </c>
      <c r="DH555">
        <v>0</v>
      </c>
      <c r="DI555">
        <f t="shared" si="653"/>
        <v>1</v>
      </c>
      <c r="DJ555" t="str">
        <f t="shared" si="639"/>
        <v>EnergyInput</v>
      </c>
      <c r="DK555">
        <f t="shared" si="640"/>
        <v>0</v>
      </c>
      <c r="DL555" t="str">
        <f t="shared" si="641"/>
        <v>Energy</v>
      </c>
      <c r="DM555">
        <f t="shared" si="642"/>
        <v>0</v>
      </c>
      <c r="DN555">
        <f t="shared" si="643"/>
        <v>0</v>
      </c>
      <c r="DO555">
        <v>0</v>
      </c>
      <c r="DP555" s="143">
        <v>0</v>
      </c>
      <c r="DQ555" s="143">
        <v>0</v>
      </c>
      <c r="DR555">
        <v>0</v>
      </c>
      <c r="DS555" s="143">
        <v>0</v>
      </c>
      <c r="DT555">
        <f t="shared" si="644"/>
        <v>0</v>
      </c>
      <c r="DU555" s="143" t="str">
        <f t="shared" si="645"/>
        <v>explicit C balance</v>
      </c>
      <c r="DV555" s="143">
        <v>0</v>
      </c>
      <c r="DW555" s="143">
        <v>0</v>
      </c>
      <c r="DX555" s="143">
        <v>0</v>
      </c>
      <c r="DY555" s="143">
        <v>0</v>
      </c>
      <c r="DZ555">
        <v>0</v>
      </c>
      <c r="EA555" s="143">
        <v>0</v>
      </c>
      <c r="EB555" s="143">
        <v>0</v>
      </c>
      <c r="EC555" s="143">
        <v>1</v>
      </c>
      <c r="ED555" s="143">
        <v>0</v>
      </c>
      <c r="EE555">
        <v>1</v>
      </c>
      <c r="EF555">
        <v>0</v>
      </c>
      <c r="EG555" s="143">
        <v>0</v>
      </c>
      <c r="EH555" s="143">
        <v>0</v>
      </c>
      <c r="EI555" s="2">
        <v>0</v>
      </c>
      <c r="EK555" t="str">
        <f t="shared" si="646"/>
        <v/>
      </c>
      <c r="EL555" t="str">
        <f t="shared" si="647"/>
        <v/>
      </c>
      <c r="EM555" s="2" t="str">
        <f t="shared" si="558"/>
        <v>Technology approach</v>
      </c>
      <c r="EP555" t="str">
        <f>IF(ISNUMBER(BU555),IF(ABS(BU555-[4]QC_indicators!$B$2)&gt;3*[4]QC_indicators!$C$2,"C ratio",IF(ISNUMBER(BY555),IF(ABS(BY555-[4]QC_indicators!$B$1)&gt;3*[4]QC_indicators!$C$1,"DF","no"))),IF(ISNUMBER(BY555),IF(ABS(BY555-[4]QC_indicators!$B$1)&gt;3*[4]QC_indicators!$C$1,"DF","no")))</f>
        <v>no</v>
      </c>
      <c r="ER555" s="149"/>
      <c r="ET555" s="264" t="s">
        <v>3406</v>
      </c>
    </row>
    <row r="556" spans="1:150" ht="15" hidden="1" customHeight="1">
      <c r="A556" s="1" t="s">
        <v>587</v>
      </c>
      <c r="B556" t="s">
        <v>1447</v>
      </c>
      <c r="C556" t="s">
        <v>1448</v>
      </c>
      <c r="D556" t="s">
        <v>1449</v>
      </c>
      <c r="E556" t="s">
        <v>1450</v>
      </c>
      <c r="F556" t="s">
        <v>1451</v>
      </c>
      <c r="G556" t="s">
        <v>593</v>
      </c>
      <c r="H556" t="s">
        <v>254</v>
      </c>
      <c r="I556">
        <v>2020</v>
      </c>
      <c r="J556">
        <v>12</v>
      </c>
      <c r="K556" t="s">
        <v>1452</v>
      </c>
      <c r="M556" t="str">
        <f t="shared" si="615"/>
        <v>Elisa_2020</v>
      </c>
      <c r="N556" s="264" t="s">
        <v>222</v>
      </c>
      <c r="O556" s="171" t="s">
        <v>274</v>
      </c>
      <c r="P556" t="s">
        <v>223</v>
      </c>
      <c r="Q556" s="264" t="s">
        <v>389</v>
      </c>
      <c r="R556" s="269" t="s">
        <v>1153</v>
      </c>
      <c r="S556" s="154" t="s">
        <v>1453</v>
      </c>
      <c r="T556" s="294" t="s">
        <v>1454</v>
      </c>
      <c r="U556" s="143" t="s">
        <v>1473</v>
      </c>
      <c r="V556">
        <v>0</v>
      </c>
      <c r="W556">
        <v>0</v>
      </c>
      <c r="X556">
        <v>0</v>
      </c>
      <c r="Y556">
        <v>0</v>
      </c>
      <c r="Z556">
        <v>0</v>
      </c>
      <c r="AA556">
        <v>0</v>
      </c>
      <c r="AB556">
        <v>0</v>
      </c>
      <c r="AC556">
        <v>0</v>
      </c>
      <c r="AD556">
        <v>0</v>
      </c>
      <c r="AE556">
        <v>1</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s="141">
        <f t="shared" si="621"/>
        <v>1</v>
      </c>
      <c r="AY556" s="141">
        <f t="shared" si="622"/>
        <v>1</v>
      </c>
      <c r="AZ556">
        <f t="shared" si="623"/>
        <v>0</v>
      </c>
      <c r="BA556">
        <f t="shared" si="624"/>
        <v>1</v>
      </c>
      <c r="BB556">
        <f t="shared" si="625"/>
        <v>0</v>
      </c>
      <c r="BC556">
        <f t="shared" si="626"/>
        <v>0</v>
      </c>
      <c r="BD556">
        <f t="shared" si="627"/>
        <v>0</v>
      </c>
      <c r="BE556" t="str" cm="1">
        <f t="array" ref="BE556">IF(AY556=1,INDEX($V$7:$AL$7,MATCH(TRUE,INDEX($V556:$AW556&lt;&gt;0,),0)),IF(AY556=0,INDEX($AM$7:$AW$7,MATCH(1,$AM556:$AW556,0)),IF(BF556="Multiple strategies","mixed drivers",IF(BF556="Supply chain","multiple supply","multiple silviculture"))))</f>
        <v>location of industry</v>
      </c>
      <c r="BF556" s="2" t="str" cm="1">
        <f t="array" ref="BF556">IF(COUNTIF(AZ556:BB556,"&lt;&gt;0")=1,INDEX($V$4:$AW$4,MATCH(TRUE,INDEX($V556:$AW556&lt;&gt;0,),0)),IF(COUNTIF(AZ556:BB556,"&lt;&gt;0")=0,INDEX($AM$4:$AW$4,MATCH(1,$AM556:$AW556,0)),"Multiple strategies"))</f>
        <v>Supply chain</v>
      </c>
      <c r="BG556" s="142" t="s">
        <v>321</v>
      </c>
      <c r="BH556" s="160" t="s">
        <v>1456</v>
      </c>
      <c r="BI556" s="160" t="s">
        <v>1457</v>
      </c>
      <c r="BJ556" s="143" t="s">
        <v>498</v>
      </c>
      <c r="BK556" s="143">
        <v>944</v>
      </c>
      <c r="BL556" s="143">
        <v>1600</v>
      </c>
      <c r="BM556">
        <f>IFERROR(BL556/BK556,"")</f>
        <v>1.6949152542372881</v>
      </c>
      <c r="BN556">
        <f t="shared" si="628"/>
        <v>656</v>
      </c>
      <c r="BO556" s="159">
        <f t="shared" si="650"/>
        <v>656</v>
      </c>
      <c r="BP556" s="155" t="s">
        <v>232</v>
      </c>
      <c r="BQ556" s="155" t="s">
        <v>1458</v>
      </c>
      <c r="BR556" s="155" t="s">
        <v>825</v>
      </c>
      <c r="BS556" s="143" t="s">
        <v>1459</v>
      </c>
      <c r="BT556" t="s">
        <v>1474</v>
      </c>
      <c r="BU556" s="144">
        <f t="shared" si="651"/>
        <v>1.5980464530235923</v>
      </c>
      <c r="BV556">
        <f t="shared" si="629"/>
        <v>-4.1971602777778001</v>
      </c>
      <c r="BX556">
        <f t="shared" si="652"/>
        <v>-4.1971602777778001</v>
      </c>
      <c r="BY556">
        <f t="shared" ref="BY556:BY619" si="654">IFERROR(BX556/BO556,"")</f>
        <v>-6.3981101795393298E-3</v>
      </c>
      <c r="BZ556">
        <v>0</v>
      </c>
      <c r="CA556">
        <v>0</v>
      </c>
      <c r="CB556">
        <v>0</v>
      </c>
      <c r="CC556">
        <v>0</v>
      </c>
      <c r="CD556">
        <v>0</v>
      </c>
      <c r="CE556">
        <v>0</v>
      </c>
      <c r="CF556">
        <v>0</v>
      </c>
      <c r="CG556">
        <v>0</v>
      </c>
      <c r="CH556">
        <v>0</v>
      </c>
      <c r="CI556">
        <v>0</v>
      </c>
      <c r="CJ556">
        <v>0</v>
      </c>
      <c r="CK556">
        <v>0</v>
      </c>
      <c r="CL556">
        <v>0</v>
      </c>
      <c r="CM556">
        <v>0</v>
      </c>
      <c r="CN556" t="str">
        <f t="shared" si="630"/>
        <v>refOK</v>
      </c>
      <c r="CO556">
        <f t="shared" si="648"/>
        <v>944</v>
      </c>
      <c r="CP556">
        <f t="shared" si="649"/>
        <v>1600</v>
      </c>
      <c r="CQ556">
        <f t="shared" si="631"/>
        <v>656</v>
      </c>
      <c r="CR556">
        <f t="shared" si="632"/>
        <v>-7.0181174999999998</v>
      </c>
      <c r="CS556">
        <f t="shared" si="633"/>
        <v>-11.2152777777778</v>
      </c>
      <c r="CT556">
        <f t="shared" si="634"/>
        <v>-4.1971602777778001</v>
      </c>
      <c r="CU556">
        <f t="shared" si="635"/>
        <v>-6.3981101795393298E-3</v>
      </c>
      <c r="CV556" s="2">
        <f t="shared" si="636"/>
        <v>-0.59804645302359216</v>
      </c>
      <c r="CW556" s="263" t="s">
        <v>1461</v>
      </c>
      <c r="CX556" s="264" t="str">
        <f t="shared" si="637"/>
        <v>reg</v>
      </c>
      <c r="CY556" s="270" t="s">
        <v>743</v>
      </c>
      <c r="DA556" s="143"/>
      <c r="DB556" s="143">
        <v>0</v>
      </c>
      <c r="DC556" t="str">
        <f t="shared" si="638"/>
        <v>0</v>
      </c>
      <c r="DD556">
        <v>0</v>
      </c>
      <c r="DE556">
        <v>1</v>
      </c>
      <c r="DF556">
        <v>0</v>
      </c>
      <c r="DG556">
        <v>0</v>
      </c>
      <c r="DH556">
        <v>0</v>
      </c>
      <c r="DI556">
        <f t="shared" si="653"/>
        <v>1</v>
      </c>
      <c r="DJ556" t="str">
        <f t="shared" si="639"/>
        <v>EnergyInput</v>
      </c>
      <c r="DK556">
        <f t="shared" si="640"/>
        <v>0</v>
      </c>
      <c r="DL556" t="str">
        <f t="shared" si="641"/>
        <v>Energy</v>
      </c>
      <c r="DM556">
        <f t="shared" si="642"/>
        <v>0</v>
      </c>
      <c r="DN556">
        <f t="shared" si="643"/>
        <v>0</v>
      </c>
      <c r="DO556">
        <v>0</v>
      </c>
      <c r="DP556" s="143">
        <v>0</v>
      </c>
      <c r="DQ556" s="143">
        <v>0</v>
      </c>
      <c r="DR556">
        <v>0</v>
      </c>
      <c r="DS556" s="143">
        <v>0</v>
      </c>
      <c r="DT556">
        <f t="shared" si="644"/>
        <v>0</v>
      </c>
      <c r="DU556" s="143" t="str">
        <f t="shared" si="645"/>
        <v>explicit C balance</v>
      </c>
      <c r="DV556" s="143">
        <v>0</v>
      </c>
      <c r="DW556" s="143">
        <v>0</v>
      </c>
      <c r="DX556" s="143">
        <v>0</v>
      </c>
      <c r="DY556" s="143">
        <v>0</v>
      </c>
      <c r="DZ556">
        <v>0</v>
      </c>
      <c r="EA556" s="143">
        <v>0</v>
      </c>
      <c r="EB556" s="143">
        <v>1</v>
      </c>
      <c r="EC556" s="143">
        <v>1</v>
      </c>
      <c r="ED556" s="143">
        <v>0</v>
      </c>
      <c r="EE556">
        <v>1</v>
      </c>
      <c r="EF556">
        <v>0</v>
      </c>
      <c r="EG556" s="143">
        <v>0</v>
      </c>
      <c r="EH556" s="143">
        <v>0</v>
      </c>
      <c r="EI556" s="2">
        <v>0</v>
      </c>
      <c r="EK556" t="str">
        <f t="shared" si="646"/>
        <v/>
      </c>
      <c r="EL556" t="str">
        <f t="shared" si="647"/>
        <v/>
      </c>
      <c r="EM556" s="2" t="str">
        <f t="shared" ref="EM556:EM619" si="655">IF(AND(AND(AND($DX556=0,$DW556=0),OR($EC556=1,$EA556=1)),SUM($EB556:$EE556)&gt;=2),"Technology approach","")</f>
        <v>Technology approach</v>
      </c>
      <c r="EP556" t="str">
        <f>IF(ISNUMBER(BU556),IF(ABS(BU556-[4]QC_indicators!$B$2)&gt;3*[4]QC_indicators!$C$2,"C ratio",IF(ISNUMBER(BY556),IF(ABS(BY556-[4]QC_indicators!$B$1)&gt;3*[4]QC_indicators!$C$1,"DF","no"))),IF(ISNUMBER(BY556),IF(ABS(BY556-[4]QC_indicators!$B$1)&gt;3*[4]QC_indicators!$C$1,"DF","no")))</f>
        <v>no</v>
      </c>
      <c r="ER556" s="149"/>
      <c r="ET556" s="264" t="s">
        <v>3406</v>
      </c>
    </row>
    <row r="557" spans="1:150" ht="15" hidden="1" customHeight="1">
      <c r="A557" s="1" t="s">
        <v>587</v>
      </c>
      <c r="B557" t="s">
        <v>1447</v>
      </c>
      <c r="C557" t="s">
        <v>1448</v>
      </c>
      <c r="D557" t="s">
        <v>1449</v>
      </c>
      <c r="E557" t="s">
        <v>1450</v>
      </c>
      <c r="F557" t="s">
        <v>1451</v>
      </c>
      <c r="G557" t="s">
        <v>593</v>
      </c>
      <c r="H557" t="s">
        <v>254</v>
      </c>
      <c r="I557">
        <v>2020</v>
      </c>
      <c r="J557">
        <v>12</v>
      </c>
      <c r="K557" t="s">
        <v>1452</v>
      </c>
      <c r="M557" t="str">
        <f t="shared" si="615"/>
        <v>Elisa_2020</v>
      </c>
      <c r="N557" s="264" t="s">
        <v>222</v>
      </c>
      <c r="O557" s="171" t="s">
        <v>274</v>
      </c>
      <c r="P557" t="s">
        <v>223</v>
      </c>
      <c r="Q557" s="264" t="s">
        <v>389</v>
      </c>
      <c r="R557" s="269" t="s">
        <v>1153</v>
      </c>
      <c r="S557" s="154" t="s">
        <v>1453</v>
      </c>
      <c r="T557" s="294" t="s">
        <v>1454</v>
      </c>
      <c r="U557" s="143" t="s">
        <v>1473</v>
      </c>
      <c r="V557">
        <v>0</v>
      </c>
      <c r="W557">
        <v>0</v>
      </c>
      <c r="X557">
        <v>0</v>
      </c>
      <c r="Y557">
        <v>0</v>
      </c>
      <c r="Z557">
        <v>0</v>
      </c>
      <c r="AA557">
        <v>0</v>
      </c>
      <c r="AB557">
        <v>0</v>
      </c>
      <c r="AC557">
        <v>0</v>
      </c>
      <c r="AD557">
        <v>0</v>
      </c>
      <c r="AE557">
        <v>1</v>
      </c>
      <c r="AF557">
        <v>0</v>
      </c>
      <c r="AG557">
        <v>0</v>
      </c>
      <c r="AH557">
        <v>0</v>
      </c>
      <c r="AI557">
        <v>0</v>
      </c>
      <c r="AJ557">
        <v>0</v>
      </c>
      <c r="AK557">
        <v>0</v>
      </c>
      <c r="AL557">
        <v>0</v>
      </c>
      <c r="AM557">
        <v>0</v>
      </c>
      <c r="AN557">
        <v>0</v>
      </c>
      <c r="AO557">
        <v>0</v>
      </c>
      <c r="AP557">
        <v>0</v>
      </c>
      <c r="AQ557">
        <v>0</v>
      </c>
      <c r="AR557">
        <v>0</v>
      </c>
      <c r="AS557">
        <v>0</v>
      </c>
      <c r="AT557">
        <v>0</v>
      </c>
      <c r="AU557">
        <v>0</v>
      </c>
      <c r="AV557">
        <v>0</v>
      </c>
      <c r="AW557">
        <v>0</v>
      </c>
      <c r="AX557" s="141">
        <f t="shared" si="621"/>
        <v>1</v>
      </c>
      <c r="AY557" s="141">
        <f t="shared" si="622"/>
        <v>1</v>
      </c>
      <c r="AZ557">
        <f t="shared" si="623"/>
        <v>0</v>
      </c>
      <c r="BA557">
        <f t="shared" si="624"/>
        <v>1</v>
      </c>
      <c r="BB557">
        <f t="shared" si="625"/>
        <v>0</v>
      </c>
      <c r="BC557">
        <f t="shared" si="626"/>
        <v>0</v>
      </c>
      <c r="BD557">
        <f t="shared" si="627"/>
        <v>0</v>
      </c>
      <c r="BE557" t="str" cm="1">
        <f t="array" ref="BE557">IF(AY557=1,INDEX($V$7:$AL$7,MATCH(TRUE,INDEX($V557:$AW557&lt;&gt;0,),0)),IF(AY557=0,INDEX($AM$7:$AW$7,MATCH(1,$AM557:$AW557,0)),IF(BF557="Multiple strategies","mixed drivers",IF(BF557="Supply chain","multiple supply","multiple silviculture"))))</f>
        <v>location of industry</v>
      </c>
      <c r="BF557" s="2" t="str" cm="1">
        <f t="array" ref="BF557">IF(COUNTIF(AZ557:BB557,"&lt;&gt;0")=1,INDEX($V$4:$AW$4,MATCH(TRUE,INDEX($V557:$AW557&lt;&gt;0,),0)),IF(COUNTIF(AZ557:BB557,"&lt;&gt;0")=0,INDEX($AM$4:$AW$4,MATCH(1,$AM557:$AW557,0)),"Multiple strategies"))</f>
        <v>Supply chain</v>
      </c>
      <c r="BG557" s="142" t="s">
        <v>321</v>
      </c>
      <c r="BH557" s="160" t="s">
        <v>1456</v>
      </c>
      <c r="BI557" s="160" t="s">
        <v>1457</v>
      </c>
      <c r="BJ557" s="143" t="s">
        <v>498</v>
      </c>
      <c r="BK557" s="143">
        <v>944</v>
      </c>
      <c r="BL557" s="143">
        <v>1600</v>
      </c>
      <c r="BM557">
        <f>IFERROR(BL559/BK557,"")</f>
        <v>14.03072033898305</v>
      </c>
      <c r="BN557">
        <f t="shared" si="628"/>
        <v>656</v>
      </c>
      <c r="BO557" s="159">
        <f t="shared" si="650"/>
        <v>656</v>
      </c>
      <c r="BP557" s="155" t="s">
        <v>232</v>
      </c>
      <c r="BQ557" s="155" t="s">
        <v>1458</v>
      </c>
      <c r="BR557" s="155" t="s">
        <v>825</v>
      </c>
      <c r="BS557" s="143" t="s">
        <v>1462</v>
      </c>
      <c r="BT557" t="s">
        <v>1475</v>
      </c>
      <c r="BU557" s="144">
        <f t="shared" si="651"/>
        <v>1.588532148461999</v>
      </c>
      <c r="BV557">
        <f t="shared" si="629"/>
        <v>-4.0671352777777994</v>
      </c>
      <c r="BX557">
        <f t="shared" si="652"/>
        <v>-4.0671352777777994</v>
      </c>
      <c r="BY557">
        <f t="shared" si="654"/>
        <v>-6.1999013380759135E-3</v>
      </c>
      <c r="BZ557">
        <v>0</v>
      </c>
      <c r="CA557">
        <v>0</v>
      </c>
      <c r="CB557">
        <v>0</v>
      </c>
      <c r="CC557">
        <v>0</v>
      </c>
      <c r="CD557">
        <v>0</v>
      </c>
      <c r="CE557">
        <v>0</v>
      </c>
      <c r="CF557">
        <v>0</v>
      </c>
      <c r="CG557">
        <v>0</v>
      </c>
      <c r="CH557">
        <v>0</v>
      </c>
      <c r="CI557">
        <v>0</v>
      </c>
      <c r="CJ557">
        <v>0</v>
      </c>
      <c r="CK557">
        <v>0</v>
      </c>
      <c r="CL557">
        <v>0</v>
      </c>
      <c r="CM557">
        <v>0</v>
      </c>
      <c r="CN557" t="str">
        <f t="shared" si="630"/>
        <v>refOK</v>
      </c>
      <c r="CO557">
        <f t="shared" si="648"/>
        <v>944</v>
      </c>
      <c r="CP557">
        <f t="shared" si="649"/>
        <v>1600</v>
      </c>
      <c r="CQ557">
        <f t="shared" si="631"/>
        <v>656</v>
      </c>
      <c r="CR557">
        <f t="shared" si="632"/>
        <v>-6.9106424999999998</v>
      </c>
      <c r="CS557">
        <f t="shared" si="633"/>
        <v>-10.977777777777799</v>
      </c>
      <c r="CT557">
        <f t="shared" si="634"/>
        <v>-4.0671352777777994</v>
      </c>
      <c r="CU557">
        <f t="shared" si="635"/>
        <v>-6.1999013380759135E-3</v>
      </c>
      <c r="CV557" s="2">
        <f t="shared" si="636"/>
        <v>-0.58853214846199897</v>
      </c>
      <c r="CW557" s="263" t="s">
        <v>1461</v>
      </c>
      <c r="CX557" s="264" t="str">
        <f t="shared" si="637"/>
        <v>reg</v>
      </c>
      <c r="CY557" s="270" t="s">
        <v>743</v>
      </c>
      <c r="DA557" s="143"/>
      <c r="DB557" s="143">
        <v>0</v>
      </c>
      <c r="DC557" t="str">
        <f t="shared" si="638"/>
        <v>0</v>
      </c>
      <c r="DD557">
        <v>0</v>
      </c>
      <c r="DE557">
        <v>1</v>
      </c>
      <c r="DF557">
        <v>0</v>
      </c>
      <c r="DG557">
        <v>0</v>
      </c>
      <c r="DH557">
        <v>0</v>
      </c>
      <c r="DI557">
        <f t="shared" si="653"/>
        <v>1</v>
      </c>
      <c r="DJ557" t="str">
        <f t="shared" si="639"/>
        <v>EnergyInput</v>
      </c>
      <c r="DK557">
        <f t="shared" si="640"/>
        <v>0</v>
      </c>
      <c r="DL557" t="str">
        <f t="shared" si="641"/>
        <v>Energy</v>
      </c>
      <c r="DM557">
        <f t="shared" si="642"/>
        <v>0</v>
      </c>
      <c r="DN557">
        <f t="shared" si="643"/>
        <v>0</v>
      </c>
      <c r="DO557">
        <v>0</v>
      </c>
      <c r="DP557" s="143">
        <v>0</v>
      </c>
      <c r="DQ557" s="143">
        <v>0</v>
      </c>
      <c r="DR557">
        <v>0</v>
      </c>
      <c r="DS557" s="143">
        <v>0</v>
      </c>
      <c r="DT557">
        <f t="shared" si="644"/>
        <v>0</v>
      </c>
      <c r="DU557" s="143" t="str">
        <f t="shared" si="645"/>
        <v>explicit C balance</v>
      </c>
      <c r="DV557" s="143">
        <v>0</v>
      </c>
      <c r="DW557" s="143">
        <v>0</v>
      </c>
      <c r="DX557" s="143">
        <v>0</v>
      </c>
      <c r="DY557" s="143">
        <v>0</v>
      </c>
      <c r="DZ557">
        <v>0</v>
      </c>
      <c r="EA557" s="143">
        <v>0</v>
      </c>
      <c r="EB557" s="143">
        <v>0</v>
      </c>
      <c r="EC557" s="143">
        <v>1</v>
      </c>
      <c r="ED557" s="143">
        <v>0</v>
      </c>
      <c r="EE557">
        <v>1</v>
      </c>
      <c r="EF557">
        <v>0</v>
      </c>
      <c r="EG557" s="143">
        <v>0</v>
      </c>
      <c r="EH557" s="143">
        <v>0</v>
      </c>
      <c r="EI557" s="2">
        <v>0</v>
      </c>
      <c r="EK557" t="str">
        <f t="shared" si="646"/>
        <v/>
      </c>
      <c r="EL557" t="str">
        <f t="shared" si="647"/>
        <v/>
      </c>
      <c r="EM557" s="2" t="str">
        <f t="shared" si="655"/>
        <v>Technology approach</v>
      </c>
      <c r="EP557" t="str">
        <f>IF(ISNUMBER(BU557),IF(ABS(BU557-[4]QC_indicators!$B$2)&gt;3*[4]QC_indicators!$C$2,"C ratio",IF(ISNUMBER(BY557),IF(ABS(BY557-[4]QC_indicators!$B$1)&gt;3*[4]QC_indicators!$C$1,"DF","no"))),IF(ISNUMBER(BY557),IF(ABS(BY557-[4]QC_indicators!$B$1)&gt;3*[4]QC_indicators!$C$1,"DF","no")))</f>
        <v>no</v>
      </c>
      <c r="ER557" s="149"/>
      <c r="ET557" s="264" t="s">
        <v>3406</v>
      </c>
    </row>
    <row r="558" spans="1:150" ht="15" hidden="1" customHeight="1">
      <c r="A558" s="1" t="s">
        <v>587</v>
      </c>
      <c r="B558" t="s">
        <v>1447</v>
      </c>
      <c r="C558" t="s">
        <v>1448</v>
      </c>
      <c r="D558" t="s">
        <v>1449</v>
      </c>
      <c r="E558" t="s">
        <v>1450</v>
      </c>
      <c r="F558" t="s">
        <v>1451</v>
      </c>
      <c r="G558" t="s">
        <v>593</v>
      </c>
      <c r="H558" t="s">
        <v>254</v>
      </c>
      <c r="I558">
        <v>2020</v>
      </c>
      <c r="J558">
        <v>12</v>
      </c>
      <c r="K558" t="s">
        <v>1452</v>
      </c>
      <c r="M558" t="str">
        <f t="shared" si="615"/>
        <v>Elisa_2020</v>
      </c>
      <c r="N558" s="264" t="s">
        <v>222</v>
      </c>
      <c r="O558" s="171" t="s">
        <v>274</v>
      </c>
      <c r="P558" t="s">
        <v>223</v>
      </c>
      <c r="Q558" s="264" t="s">
        <v>389</v>
      </c>
      <c r="R558" s="269" t="s">
        <v>1153</v>
      </c>
      <c r="S558" s="154" t="s">
        <v>1453</v>
      </c>
      <c r="T558" s="294" t="s">
        <v>1454</v>
      </c>
      <c r="U558" s="143" t="s">
        <v>1042</v>
      </c>
      <c r="V558">
        <v>0</v>
      </c>
      <c r="W558">
        <v>0</v>
      </c>
      <c r="X558">
        <v>0</v>
      </c>
      <c r="Y558">
        <v>0</v>
      </c>
      <c r="Z558">
        <v>0</v>
      </c>
      <c r="AA558">
        <v>0</v>
      </c>
      <c r="AB558">
        <v>0</v>
      </c>
      <c r="AC558">
        <v>0</v>
      </c>
      <c r="AD558">
        <v>0</v>
      </c>
      <c r="AE558">
        <v>1</v>
      </c>
      <c r="AF558">
        <v>0</v>
      </c>
      <c r="AG558">
        <v>0</v>
      </c>
      <c r="AH558">
        <v>0</v>
      </c>
      <c r="AI558">
        <v>0</v>
      </c>
      <c r="AJ558">
        <v>0</v>
      </c>
      <c r="AK558">
        <v>1</v>
      </c>
      <c r="AL558">
        <v>0</v>
      </c>
      <c r="AM558">
        <v>0</v>
      </c>
      <c r="AN558">
        <v>0</v>
      </c>
      <c r="AO558">
        <v>0</v>
      </c>
      <c r="AP558">
        <v>0</v>
      </c>
      <c r="AQ558">
        <v>0</v>
      </c>
      <c r="AR558">
        <v>0</v>
      </c>
      <c r="AS558">
        <v>0</v>
      </c>
      <c r="AT558">
        <v>0</v>
      </c>
      <c r="AU558">
        <v>0</v>
      </c>
      <c r="AV558">
        <v>0</v>
      </c>
      <c r="AW558">
        <v>0</v>
      </c>
      <c r="AX558" s="141">
        <f t="shared" si="621"/>
        <v>2</v>
      </c>
      <c r="AY558" s="141">
        <f t="shared" si="622"/>
        <v>2</v>
      </c>
      <c r="AZ558">
        <f t="shared" si="623"/>
        <v>0</v>
      </c>
      <c r="BA558">
        <f t="shared" si="624"/>
        <v>1</v>
      </c>
      <c r="BB558">
        <f t="shared" si="625"/>
        <v>1</v>
      </c>
      <c r="BC558">
        <f t="shared" si="626"/>
        <v>0</v>
      </c>
      <c r="BD558">
        <f t="shared" si="627"/>
        <v>0</v>
      </c>
      <c r="BE558" t="str" cm="1">
        <f t="array" ref="BE558">IF(AY558=1,INDEX($V$7:$AL$7,MATCH(TRUE,INDEX($V558:$AW558&lt;&gt;0,),0)),IF(AY558=0,INDEX($AM$7:$AW$7,MATCH(1,$AM558:$AW558,0)),IF(BF558="Multiple strategies","mixed drivers",IF(BF558="Supply chain","multiple supply","multiple silviculture"))))</f>
        <v>mixed drivers</v>
      </c>
      <c r="BF558" s="2" t="str" cm="1">
        <f t="array" ref="BF558">IF(COUNTIF(AZ558:BB558,"&lt;&gt;0")=1,INDEX($V$4:$AW$4,MATCH(TRUE,INDEX($V558:$AW558&lt;&gt;0,),0)),IF(COUNTIF(AZ558:BB558,"&lt;&gt;0")=0,INDEX($AM$4:$AW$4,MATCH(1,$AM558:$AW558,0)),"Multiple strategies"))</f>
        <v>Multiple strategies</v>
      </c>
      <c r="BG558" s="142" t="s">
        <v>321</v>
      </c>
      <c r="BH558" s="160" t="s">
        <v>1456</v>
      </c>
      <c r="BI558" s="160" t="s">
        <v>1457</v>
      </c>
      <c r="BJ558" s="143" t="s">
        <v>498</v>
      </c>
      <c r="BK558" s="143">
        <v>944</v>
      </c>
      <c r="BL558" s="143">
        <v>13245</v>
      </c>
      <c r="BM558">
        <f>IFERROR(BL558/BK558,"")</f>
        <v>14.03072033898305</v>
      </c>
      <c r="BN558">
        <f t="shared" si="628"/>
        <v>12301</v>
      </c>
      <c r="BO558" s="159">
        <f t="shared" si="650"/>
        <v>12301</v>
      </c>
      <c r="BP558" s="155" t="s">
        <v>232</v>
      </c>
      <c r="BQ558" s="155" t="s">
        <v>1458</v>
      </c>
      <c r="BR558" s="155" t="s">
        <v>825</v>
      </c>
      <c r="BS558" s="143" t="s">
        <v>1459</v>
      </c>
      <c r="BT558" t="s">
        <v>1485</v>
      </c>
      <c r="BU558" s="144">
        <f t="shared" si="651"/>
        <v>11.732134721312375</v>
      </c>
      <c r="BV558">
        <f t="shared" si="629"/>
        <v>-75.319382500000003</v>
      </c>
      <c r="BX558">
        <f t="shared" si="652"/>
        <v>-75.319382500000003</v>
      </c>
      <c r="BY558">
        <f t="shared" si="654"/>
        <v>-6.1230292252662391E-3</v>
      </c>
      <c r="BZ558">
        <v>0</v>
      </c>
      <c r="CA558">
        <v>0</v>
      </c>
      <c r="CB558">
        <v>0</v>
      </c>
      <c r="CC558">
        <v>0</v>
      </c>
      <c r="CD558">
        <v>0</v>
      </c>
      <c r="CE558">
        <v>0</v>
      </c>
      <c r="CF558">
        <v>0</v>
      </c>
      <c r="CG558">
        <v>0</v>
      </c>
      <c r="CH558">
        <v>0</v>
      </c>
      <c r="CI558">
        <v>0</v>
      </c>
      <c r="CJ558">
        <v>0</v>
      </c>
      <c r="CK558">
        <v>0</v>
      </c>
      <c r="CL558">
        <v>0</v>
      </c>
      <c r="CM558">
        <v>0</v>
      </c>
      <c r="CN558" t="str">
        <f t="shared" si="630"/>
        <v>refOK</v>
      </c>
      <c r="CO558">
        <f t="shared" si="648"/>
        <v>944</v>
      </c>
      <c r="CP558">
        <f t="shared" si="649"/>
        <v>13245</v>
      </c>
      <c r="CQ558">
        <f t="shared" si="631"/>
        <v>12301</v>
      </c>
      <c r="CR558">
        <f t="shared" si="632"/>
        <v>-7.0181174999999998</v>
      </c>
      <c r="CS558">
        <f t="shared" si="633"/>
        <v>-82.337500000000006</v>
      </c>
      <c r="CT558">
        <f t="shared" si="634"/>
        <v>-75.319382500000003</v>
      </c>
      <c r="CU558">
        <f t="shared" si="635"/>
        <v>-6.1230292252662391E-3</v>
      </c>
      <c r="CV558" s="2">
        <f t="shared" si="636"/>
        <v>-10.732134721312375</v>
      </c>
      <c r="CW558" s="263" t="s">
        <v>1461</v>
      </c>
      <c r="CX558" s="264" t="str">
        <f t="shared" si="637"/>
        <v>reg</v>
      </c>
      <c r="CY558" s="270" t="s">
        <v>743</v>
      </c>
      <c r="DA558" s="143"/>
      <c r="DB558" s="143">
        <v>0</v>
      </c>
      <c r="DC558" t="str">
        <f t="shared" si="638"/>
        <v>0</v>
      </c>
      <c r="DD558">
        <v>0</v>
      </c>
      <c r="DE558">
        <v>1</v>
      </c>
      <c r="DF558">
        <v>0</v>
      </c>
      <c r="DG558">
        <v>0</v>
      </c>
      <c r="DH558">
        <v>0</v>
      </c>
      <c r="DI558">
        <f t="shared" si="653"/>
        <v>1</v>
      </c>
      <c r="DJ558" t="str">
        <f t="shared" si="639"/>
        <v>EnergyInput</v>
      </c>
      <c r="DK558">
        <f t="shared" si="640"/>
        <v>0</v>
      </c>
      <c r="DL558" t="str">
        <f t="shared" si="641"/>
        <v>Energy</v>
      </c>
      <c r="DM558">
        <f t="shared" si="642"/>
        <v>0</v>
      </c>
      <c r="DN558">
        <f t="shared" si="643"/>
        <v>0</v>
      </c>
      <c r="DO558">
        <v>0</v>
      </c>
      <c r="DP558" s="143">
        <v>0</v>
      </c>
      <c r="DQ558" s="143">
        <v>0</v>
      </c>
      <c r="DR558">
        <v>0</v>
      </c>
      <c r="DS558" s="143">
        <v>0</v>
      </c>
      <c r="DT558">
        <f t="shared" si="644"/>
        <v>0</v>
      </c>
      <c r="DU558" s="143" t="str">
        <f t="shared" si="645"/>
        <v>explicit C balance</v>
      </c>
      <c r="DV558" s="143">
        <v>0</v>
      </c>
      <c r="DW558" s="143">
        <v>0</v>
      </c>
      <c r="DX558" s="143">
        <v>0</v>
      </c>
      <c r="DY558" s="143">
        <v>0</v>
      </c>
      <c r="DZ558">
        <v>0</v>
      </c>
      <c r="EA558" s="143">
        <v>0</v>
      </c>
      <c r="EB558" s="143">
        <v>1</v>
      </c>
      <c r="EC558" s="143">
        <v>1</v>
      </c>
      <c r="ED558" s="143">
        <v>0</v>
      </c>
      <c r="EE558">
        <v>1</v>
      </c>
      <c r="EF558">
        <v>0</v>
      </c>
      <c r="EG558" s="143">
        <v>0</v>
      </c>
      <c r="EH558" s="143">
        <v>0</v>
      </c>
      <c r="EI558" s="2">
        <v>0</v>
      </c>
      <c r="EK558" t="str">
        <f t="shared" si="646"/>
        <v/>
      </c>
      <c r="EL558" t="str">
        <f t="shared" si="647"/>
        <v/>
      </c>
      <c r="EM558" s="2" t="str">
        <f t="shared" si="655"/>
        <v>Technology approach</v>
      </c>
      <c r="EP558" t="str">
        <f>IF(ISNUMBER(BU558),IF(ABS(BU558-[4]QC_indicators!$B$2)&gt;3*[4]QC_indicators!$C$2,"C ratio",IF(ISNUMBER(BY558),IF(ABS(BY558-[4]QC_indicators!$B$1)&gt;3*[4]QC_indicators!$C$1,"DF","no"))),IF(ISNUMBER(BY558),IF(ABS(BY558-[4]QC_indicators!$B$1)&gt;3*[4]QC_indicators!$C$1,"DF","no")))</f>
        <v>no</v>
      </c>
      <c r="ER558" s="149"/>
      <c r="ET558" s="264" t="s">
        <v>3406</v>
      </c>
    </row>
    <row r="559" spans="1:150" ht="15" hidden="1" customHeight="1">
      <c r="A559" s="1" t="s">
        <v>587</v>
      </c>
      <c r="B559" t="s">
        <v>1447</v>
      </c>
      <c r="C559" t="s">
        <v>1448</v>
      </c>
      <c r="D559" t="s">
        <v>1449</v>
      </c>
      <c r="E559" t="s">
        <v>1450</v>
      </c>
      <c r="F559" t="s">
        <v>1451</v>
      </c>
      <c r="G559" t="s">
        <v>593</v>
      </c>
      <c r="H559" t="s">
        <v>254</v>
      </c>
      <c r="I559">
        <v>2020</v>
      </c>
      <c r="J559">
        <v>12</v>
      </c>
      <c r="K559" t="s">
        <v>1452</v>
      </c>
      <c r="M559" t="str">
        <f t="shared" si="615"/>
        <v>Elisa_2020</v>
      </c>
      <c r="N559" s="264" t="s">
        <v>222</v>
      </c>
      <c r="O559" s="171" t="s">
        <v>274</v>
      </c>
      <c r="P559" t="s">
        <v>223</v>
      </c>
      <c r="Q559" s="264" t="s">
        <v>389</v>
      </c>
      <c r="R559" s="269" t="s">
        <v>1153</v>
      </c>
      <c r="S559" s="154" t="s">
        <v>1453</v>
      </c>
      <c r="T559" s="294" t="s">
        <v>1454</v>
      </c>
      <c r="U559" s="143" t="s">
        <v>1042</v>
      </c>
      <c r="V559">
        <v>0</v>
      </c>
      <c r="W559">
        <v>0</v>
      </c>
      <c r="X559">
        <v>0</v>
      </c>
      <c r="Y559">
        <v>0</v>
      </c>
      <c r="Z559">
        <v>0</v>
      </c>
      <c r="AA559">
        <v>0</v>
      </c>
      <c r="AB559">
        <v>0</v>
      </c>
      <c r="AC559">
        <v>0</v>
      </c>
      <c r="AD559">
        <v>0</v>
      </c>
      <c r="AE559">
        <v>1</v>
      </c>
      <c r="AF559">
        <v>0</v>
      </c>
      <c r="AG559">
        <v>0</v>
      </c>
      <c r="AH559">
        <v>0</v>
      </c>
      <c r="AI559">
        <v>0</v>
      </c>
      <c r="AJ559">
        <v>0</v>
      </c>
      <c r="AK559">
        <v>1</v>
      </c>
      <c r="AL559">
        <v>0</v>
      </c>
      <c r="AM559">
        <v>0</v>
      </c>
      <c r="AN559">
        <v>0</v>
      </c>
      <c r="AO559">
        <v>0</v>
      </c>
      <c r="AP559">
        <v>0</v>
      </c>
      <c r="AQ559">
        <v>0</v>
      </c>
      <c r="AR559">
        <v>0</v>
      </c>
      <c r="AS559">
        <v>0</v>
      </c>
      <c r="AT559">
        <v>0</v>
      </c>
      <c r="AU559">
        <v>0</v>
      </c>
      <c r="AV559">
        <v>0</v>
      </c>
      <c r="AW559">
        <v>0</v>
      </c>
      <c r="AX559" s="141">
        <f t="shared" si="621"/>
        <v>2</v>
      </c>
      <c r="AY559" s="141">
        <f t="shared" si="622"/>
        <v>2</v>
      </c>
      <c r="AZ559">
        <f t="shared" si="623"/>
        <v>0</v>
      </c>
      <c r="BA559">
        <f t="shared" si="624"/>
        <v>1</v>
      </c>
      <c r="BB559">
        <f t="shared" si="625"/>
        <v>1</v>
      </c>
      <c r="BC559">
        <f t="shared" si="626"/>
        <v>0</v>
      </c>
      <c r="BD559">
        <f t="shared" si="627"/>
        <v>0</v>
      </c>
      <c r="BE559" t="str" cm="1">
        <f t="array" ref="BE559">IF(AY559=1,INDEX($V$7:$AL$7,MATCH(TRUE,INDEX($V559:$AW559&lt;&gt;0,),0)),IF(AY559=0,INDEX($AM$7:$AW$7,MATCH(1,$AM559:$AW559,0)),IF(BF559="Multiple strategies","mixed drivers",IF(BF559="Supply chain","multiple supply","multiple silviculture"))))</f>
        <v>mixed drivers</v>
      </c>
      <c r="BF559" s="2" t="str" cm="1">
        <f t="array" ref="BF559">IF(COUNTIF(AZ559:BB559,"&lt;&gt;0")=1,INDEX($V$4:$AW$4,MATCH(TRUE,INDEX($V559:$AW559&lt;&gt;0,),0)),IF(COUNTIF(AZ559:BB559,"&lt;&gt;0")=0,INDEX($AM$4:$AW$4,MATCH(1,$AM559:$AW559,0)),"Multiple strategies"))</f>
        <v>Multiple strategies</v>
      </c>
      <c r="BG559" s="142" t="s">
        <v>321</v>
      </c>
      <c r="BH559" s="160" t="s">
        <v>1456</v>
      </c>
      <c r="BI559" s="160" t="s">
        <v>1457</v>
      </c>
      <c r="BJ559" s="143" t="s">
        <v>498</v>
      </c>
      <c r="BK559" s="143">
        <v>944</v>
      </c>
      <c r="BL559" s="143">
        <v>13245</v>
      </c>
      <c r="BM559">
        <f>IFERROR(BL561/BK559,"")</f>
        <v>4.7669491525423728</v>
      </c>
      <c r="BN559">
        <f t="shared" si="628"/>
        <v>12301</v>
      </c>
      <c r="BO559" s="159">
        <f t="shared" si="650"/>
        <v>12301</v>
      </c>
      <c r="BP559" s="155" t="s">
        <v>232</v>
      </c>
      <c r="BQ559" s="155" t="s">
        <v>1458</v>
      </c>
      <c r="BR559" s="155" t="s">
        <v>825</v>
      </c>
      <c r="BS559" s="143" t="s">
        <v>1462</v>
      </c>
      <c r="BT559" t="s">
        <v>1486</v>
      </c>
      <c r="BU559" s="144">
        <f t="shared" si="651"/>
        <v>11.69090524747398</v>
      </c>
      <c r="BV559">
        <f t="shared" si="629"/>
        <v>-73.881024166666705</v>
      </c>
      <c r="BX559">
        <f t="shared" si="652"/>
        <v>-73.881024166666705</v>
      </c>
      <c r="BY559">
        <f t="shared" si="654"/>
        <v>-6.0060990298891719E-3</v>
      </c>
      <c r="BZ559">
        <v>0</v>
      </c>
      <c r="CA559">
        <v>0</v>
      </c>
      <c r="CB559">
        <v>0</v>
      </c>
      <c r="CC559">
        <v>0</v>
      </c>
      <c r="CD559">
        <v>0</v>
      </c>
      <c r="CE559">
        <v>0</v>
      </c>
      <c r="CF559">
        <v>0</v>
      </c>
      <c r="CG559">
        <v>0</v>
      </c>
      <c r="CH559">
        <v>0</v>
      </c>
      <c r="CI559">
        <v>0</v>
      </c>
      <c r="CJ559">
        <v>0</v>
      </c>
      <c r="CK559">
        <v>0</v>
      </c>
      <c r="CL559">
        <v>0</v>
      </c>
      <c r="CM559">
        <v>0</v>
      </c>
      <c r="CN559" t="str">
        <f t="shared" si="630"/>
        <v>refOK</v>
      </c>
      <c r="CO559">
        <f t="shared" si="648"/>
        <v>944</v>
      </c>
      <c r="CP559">
        <f t="shared" si="649"/>
        <v>13245</v>
      </c>
      <c r="CQ559">
        <f t="shared" si="631"/>
        <v>12301</v>
      </c>
      <c r="CR559">
        <f t="shared" si="632"/>
        <v>-6.9106424999999998</v>
      </c>
      <c r="CS559">
        <f t="shared" si="633"/>
        <v>-80.7916666666667</v>
      </c>
      <c r="CT559">
        <f t="shared" si="634"/>
        <v>-73.881024166666705</v>
      </c>
      <c r="CU559">
        <f t="shared" si="635"/>
        <v>-6.0060990298891719E-3</v>
      </c>
      <c r="CV559" s="2">
        <f t="shared" si="636"/>
        <v>-10.69090524747398</v>
      </c>
      <c r="CW559" s="263" t="s">
        <v>1461</v>
      </c>
      <c r="CX559" s="264" t="str">
        <f t="shared" si="637"/>
        <v>reg</v>
      </c>
      <c r="CY559" s="270" t="s">
        <v>743</v>
      </c>
      <c r="DA559" s="143"/>
      <c r="DB559" s="143">
        <v>0</v>
      </c>
      <c r="DC559" t="str">
        <f t="shared" si="638"/>
        <v>0</v>
      </c>
      <c r="DD559">
        <v>0</v>
      </c>
      <c r="DE559">
        <v>1</v>
      </c>
      <c r="DF559">
        <v>0</v>
      </c>
      <c r="DG559">
        <v>0</v>
      </c>
      <c r="DH559">
        <v>0</v>
      </c>
      <c r="DI559">
        <f t="shared" si="653"/>
        <v>1</v>
      </c>
      <c r="DJ559" t="str">
        <f t="shared" si="639"/>
        <v>EnergyInput</v>
      </c>
      <c r="DK559">
        <f t="shared" si="640"/>
        <v>0</v>
      </c>
      <c r="DL559" t="str">
        <f t="shared" si="641"/>
        <v>Energy</v>
      </c>
      <c r="DM559">
        <f t="shared" si="642"/>
        <v>0</v>
      </c>
      <c r="DN559">
        <f t="shared" si="643"/>
        <v>0</v>
      </c>
      <c r="DO559">
        <v>0</v>
      </c>
      <c r="DP559" s="143">
        <v>0</v>
      </c>
      <c r="DQ559" s="143">
        <v>0</v>
      </c>
      <c r="DR559">
        <v>0</v>
      </c>
      <c r="DS559" s="143">
        <v>0</v>
      </c>
      <c r="DT559">
        <f t="shared" si="644"/>
        <v>0</v>
      </c>
      <c r="DU559" s="143" t="str">
        <f t="shared" si="645"/>
        <v>explicit C balance</v>
      </c>
      <c r="DV559" s="143">
        <v>0</v>
      </c>
      <c r="DW559" s="143">
        <v>0</v>
      </c>
      <c r="DX559" s="143">
        <v>0</v>
      </c>
      <c r="DY559" s="143">
        <v>0</v>
      </c>
      <c r="DZ559">
        <v>0</v>
      </c>
      <c r="EA559" s="143">
        <v>0</v>
      </c>
      <c r="EB559" s="143">
        <v>0</v>
      </c>
      <c r="EC559" s="143">
        <v>1</v>
      </c>
      <c r="ED559" s="143">
        <v>0</v>
      </c>
      <c r="EE559">
        <v>1</v>
      </c>
      <c r="EF559">
        <v>0</v>
      </c>
      <c r="EG559" s="143">
        <v>0</v>
      </c>
      <c r="EH559" s="143">
        <v>0</v>
      </c>
      <c r="EI559" s="2">
        <v>0</v>
      </c>
      <c r="EK559" t="str">
        <f t="shared" si="646"/>
        <v/>
      </c>
      <c r="EL559" t="str">
        <f t="shared" si="647"/>
        <v/>
      </c>
      <c r="EM559" s="2" t="str">
        <f t="shared" si="655"/>
        <v>Technology approach</v>
      </c>
      <c r="EP559" t="str">
        <f>IF(ISNUMBER(BU559),IF(ABS(BU559-[4]QC_indicators!$B$2)&gt;3*[4]QC_indicators!$C$2,"C ratio",IF(ISNUMBER(BY559),IF(ABS(BY559-[4]QC_indicators!$B$1)&gt;3*[4]QC_indicators!$C$1,"DF","no"))),IF(ISNUMBER(BY559),IF(ABS(BY559-[4]QC_indicators!$B$1)&gt;3*[4]QC_indicators!$C$1,"DF","no")))</f>
        <v>no</v>
      </c>
      <c r="ER559" s="149"/>
      <c r="ET559" s="264" t="s">
        <v>3406</v>
      </c>
    </row>
    <row r="560" spans="1:150" ht="15" hidden="1" customHeight="1">
      <c r="A560" s="1" t="s">
        <v>587</v>
      </c>
      <c r="B560" t="s">
        <v>1447</v>
      </c>
      <c r="C560" t="s">
        <v>1448</v>
      </c>
      <c r="D560" t="s">
        <v>1449</v>
      </c>
      <c r="E560" t="s">
        <v>1450</v>
      </c>
      <c r="F560" t="s">
        <v>1451</v>
      </c>
      <c r="G560" t="s">
        <v>593</v>
      </c>
      <c r="H560" t="s">
        <v>254</v>
      </c>
      <c r="I560">
        <v>2020</v>
      </c>
      <c r="J560">
        <v>12</v>
      </c>
      <c r="K560" t="s">
        <v>1452</v>
      </c>
      <c r="M560" t="str">
        <f t="shared" si="615"/>
        <v>Elisa_2020</v>
      </c>
      <c r="N560" s="264" t="s">
        <v>222</v>
      </c>
      <c r="O560" s="171" t="s">
        <v>274</v>
      </c>
      <c r="P560" t="s">
        <v>223</v>
      </c>
      <c r="Q560" s="264" t="s">
        <v>389</v>
      </c>
      <c r="R560" s="269" t="s">
        <v>1153</v>
      </c>
      <c r="S560" s="154" t="s">
        <v>1453</v>
      </c>
      <c r="T560" s="294" t="s">
        <v>1454</v>
      </c>
      <c r="U560" s="143" t="s">
        <v>1487</v>
      </c>
      <c r="V560">
        <v>0</v>
      </c>
      <c r="W560">
        <v>0</v>
      </c>
      <c r="X560">
        <v>0</v>
      </c>
      <c r="Y560">
        <v>0</v>
      </c>
      <c r="Z560">
        <v>0</v>
      </c>
      <c r="AA560">
        <v>0</v>
      </c>
      <c r="AB560">
        <v>0</v>
      </c>
      <c r="AC560">
        <v>0</v>
      </c>
      <c r="AD560">
        <v>0</v>
      </c>
      <c r="AE560">
        <v>1</v>
      </c>
      <c r="AF560">
        <v>0</v>
      </c>
      <c r="AG560">
        <v>0</v>
      </c>
      <c r="AH560">
        <v>0</v>
      </c>
      <c r="AI560">
        <v>0</v>
      </c>
      <c r="AJ560">
        <v>0</v>
      </c>
      <c r="AK560">
        <v>1</v>
      </c>
      <c r="AL560">
        <v>0</v>
      </c>
      <c r="AM560">
        <v>0</v>
      </c>
      <c r="AN560">
        <v>0</v>
      </c>
      <c r="AO560">
        <v>0</v>
      </c>
      <c r="AP560">
        <v>0</v>
      </c>
      <c r="AQ560">
        <v>0</v>
      </c>
      <c r="AR560">
        <v>0</v>
      </c>
      <c r="AS560">
        <v>0</v>
      </c>
      <c r="AT560">
        <v>0</v>
      </c>
      <c r="AU560">
        <v>0</v>
      </c>
      <c r="AV560">
        <v>0</v>
      </c>
      <c r="AW560">
        <v>0</v>
      </c>
      <c r="AX560" s="141">
        <f t="shared" si="621"/>
        <v>2</v>
      </c>
      <c r="AY560" s="141">
        <f t="shared" si="622"/>
        <v>2</v>
      </c>
      <c r="AZ560">
        <f t="shared" si="623"/>
        <v>0</v>
      </c>
      <c r="BA560">
        <f t="shared" si="624"/>
        <v>1</v>
      </c>
      <c r="BB560">
        <f t="shared" si="625"/>
        <v>1</v>
      </c>
      <c r="BC560">
        <f t="shared" si="626"/>
        <v>0</v>
      </c>
      <c r="BD560">
        <f t="shared" si="627"/>
        <v>0</v>
      </c>
      <c r="BE560" t="str" cm="1">
        <f t="array" ref="BE560">IF(AY560=1,INDEX($V$7:$AL$7,MATCH(TRUE,INDEX($V560:$AW560&lt;&gt;0,),0)),IF(AY560=0,INDEX($AM$7:$AW$7,MATCH(1,$AM560:$AW560,0)),IF(BF560="Multiple strategies","mixed drivers",IF(BF560="Supply chain","multiple supply","multiple silviculture"))))</f>
        <v>mixed drivers</v>
      </c>
      <c r="BF560" s="2" t="str" cm="1">
        <f t="array" ref="BF560">IF(COUNTIF(AZ560:BB560,"&lt;&gt;0")=1,INDEX($V$4:$AW$4,MATCH(TRUE,INDEX($V560:$AW560&lt;&gt;0,),0)),IF(COUNTIF(AZ560:BB560,"&lt;&gt;0")=0,INDEX($AM$4:$AW$4,MATCH(1,$AM560:$AW560,0)),"Multiple strategies"))</f>
        <v>Multiple strategies</v>
      </c>
      <c r="BG560" s="142" t="s">
        <v>321</v>
      </c>
      <c r="BH560" s="160" t="s">
        <v>1456</v>
      </c>
      <c r="BI560" s="160" t="s">
        <v>1457</v>
      </c>
      <c r="BJ560" s="143" t="s">
        <v>498</v>
      </c>
      <c r="BK560" s="143">
        <v>944</v>
      </c>
      <c r="BL560" s="143">
        <v>4000</v>
      </c>
      <c r="BM560">
        <f>IFERROR(BL560/BK560,"")</f>
        <v>4.2372881355932206</v>
      </c>
      <c r="BN560">
        <f t="shared" si="628"/>
        <v>3056</v>
      </c>
      <c r="BO560" s="159">
        <f t="shared" si="650"/>
        <v>3056</v>
      </c>
      <c r="BP560" s="155" t="s">
        <v>232</v>
      </c>
      <c r="BQ560" s="155" t="s">
        <v>1458</v>
      </c>
      <c r="BR560" s="155" t="s">
        <v>825</v>
      </c>
      <c r="BS560" s="143" t="s">
        <v>1459</v>
      </c>
      <c r="BT560" t="s">
        <v>1488</v>
      </c>
      <c r="BU560" s="144">
        <f t="shared" si="651"/>
        <v>3.3022538570112716</v>
      </c>
      <c r="BV560">
        <f t="shared" si="629"/>
        <v>-16.157488083333302</v>
      </c>
      <c r="BX560">
        <f t="shared" si="652"/>
        <v>-16.157488083333302</v>
      </c>
      <c r="BY560">
        <f t="shared" si="654"/>
        <v>-5.2871361529232006E-3</v>
      </c>
      <c r="BZ560">
        <v>0</v>
      </c>
      <c r="CA560">
        <v>0</v>
      </c>
      <c r="CB560">
        <v>0</v>
      </c>
      <c r="CC560">
        <v>0</v>
      </c>
      <c r="CD560">
        <v>0</v>
      </c>
      <c r="CE560">
        <v>0</v>
      </c>
      <c r="CF560">
        <v>0</v>
      </c>
      <c r="CG560">
        <v>0</v>
      </c>
      <c r="CH560">
        <v>0</v>
      </c>
      <c r="CI560">
        <v>0</v>
      </c>
      <c r="CJ560">
        <v>0</v>
      </c>
      <c r="CK560">
        <v>0</v>
      </c>
      <c r="CL560">
        <v>0</v>
      </c>
      <c r="CM560">
        <v>0</v>
      </c>
      <c r="CN560" t="str">
        <f t="shared" si="630"/>
        <v>refOK</v>
      </c>
      <c r="CO560">
        <f t="shared" si="648"/>
        <v>944</v>
      </c>
      <c r="CP560">
        <f t="shared" si="649"/>
        <v>4000</v>
      </c>
      <c r="CQ560">
        <f t="shared" si="631"/>
        <v>3056</v>
      </c>
      <c r="CR560">
        <f t="shared" si="632"/>
        <v>-7.0181174999999998</v>
      </c>
      <c r="CS560">
        <f t="shared" si="633"/>
        <v>-23.175605583333301</v>
      </c>
      <c r="CT560">
        <f t="shared" si="634"/>
        <v>-16.157488083333302</v>
      </c>
      <c r="CU560">
        <f t="shared" si="635"/>
        <v>-5.2871361529232006E-3</v>
      </c>
      <c r="CV560" s="2">
        <f t="shared" si="636"/>
        <v>-2.3022538570112716</v>
      </c>
      <c r="CW560" s="263" t="s">
        <v>1461</v>
      </c>
      <c r="CX560" s="264" t="str">
        <f t="shared" si="637"/>
        <v>reg</v>
      </c>
      <c r="CY560" s="270" t="s">
        <v>743</v>
      </c>
      <c r="DA560" s="143"/>
      <c r="DB560" s="143">
        <v>0</v>
      </c>
      <c r="DC560" t="str">
        <f t="shared" si="638"/>
        <v>0</v>
      </c>
      <c r="DD560">
        <v>0</v>
      </c>
      <c r="DE560">
        <v>1</v>
      </c>
      <c r="DF560">
        <v>0</v>
      </c>
      <c r="DG560">
        <v>0</v>
      </c>
      <c r="DH560">
        <v>0</v>
      </c>
      <c r="DI560">
        <f t="shared" si="653"/>
        <v>1</v>
      </c>
      <c r="DJ560" t="str">
        <f t="shared" si="639"/>
        <v>EnergyInput</v>
      </c>
      <c r="DK560">
        <f t="shared" si="640"/>
        <v>0</v>
      </c>
      <c r="DL560" t="str">
        <f t="shared" si="641"/>
        <v>Energy</v>
      </c>
      <c r="DM560">
        <f t="shared" si="642"/>
        <v>0</v>
      </c>
      <c r="DN560">
        <f t="shared" si="643"/>
        <v>0</v>
      </c>
      <c r="DO560">
        <v>0</v>
      </c>
      <c r="DP560" s="143">
        <v>0</v>
      </c>
      <c r="DQ560" s="143">
        <v>0</v>
      </c>
      <c r="DR560">
        <v>0</v>
      </c>
      <c r="DS560" s="143">
        <v>0</v>
      </c>
      <c r="DT560">
        <f t="shared" si="644"/>
        <v>0</v>
      </c>
      <c r="DU560" s="143" t="str">
        <f t="shared" si="645"/>
        <v>explicit C balance</v>
      </c>
      <c r="DV560" s="143">
        <v>0</v>
      </c>
      <c r="DW560" s="143">
        <v>0</v>
      </c>
      <c r="DX560" s="143">
        <v>0</v>
      </c>
      <c r="DY560" s="143">
        <v>0</v>
      </c>
      <c r="DZ560">
        <v>0</v>
      </c>
      <c r="EA560" s="143">
        <v>0</v>
      </c>
      <c r="EB560" s="143">
        <v>1</v>
      </c>
      <c r="EC560" s="143">
        <v>1</v>
      </c>
      <c r="ED560" s="143">
        <v>0</v>
      </c>
      <c r="EE560">
        <v>1</v>
      </c>
      <c r="EF560">
        <v>0</v>
      </c>
      <c r="EG560" s="143">
        <v>0</v>
      </c>
      <c r="EH560" s="143">
        <v>0</v>
      </c>
      <c r="EI560" s="2">
        <v>0</v>
      </c>
      <c r="EK560" t="str">
        <f t="shared" si="646"/>
        <v/>
      </c>
      <c r="EL560" t="str">
        <f t="shared" si="647"/>
        <v/>
      </c>
      <c r="EM560" s="2" t="str">
        <f t="shared" si="655"/>
        <v>Technology approach</v>
      </c>
      <c r="EP560" t="str">
        <f>IF(ISNUMBER(BU560),IF(ABS(BU560-[4]QC_indicators!$B$2)&gt;3*[4]QC_indicators!$C$2,"C ratio",IF(ISNUMBER(BY560),IF(ABS(BY560-[4]QC_indicators!$B$1)&gt;3*[4]QC_indicators!$C$1,"DF","no"))),IF(ISNUMBER(BY560),IF(ABS(BY560-[4]QC_indicators!$B$1)&gt;3*[4]QC_indicators!$C$1,"DF","no")))</f>
        <v>no</v>
      </c>
      <c r="ER560" s="149"/>
      <c r="ET560" s="264" t="s">
        <v>3406</v>
      </c>
    </row>
    <row r="561" spans="1:150" ht="15" hidden="1" customHeight="1">
      <c r="A561" s="1" t="s">
        <v>587</v>
      </c>
      <c r="B561" t="s">
        <v>1447</v>
      </c>
      <c r="C561" t="s">
        <v>1448</v>
      </c>
      <c r="D561" t="s">
        <v>1449</v>
      </c>
      <c r="E561" t="s">
        <v>1450</v>
      </c>
      <c r="F561" t="s">
        <v>1451</v>
      </c>
      <c r="G561" t="s">
        <v>593</v>
      </c>
      <c r="H561" t="s">
        <v>254</v>
      </c>
      <c r="I561">
        <v>2020</v>
      </c>
      <c r="J561">
        <v>12</v>
      </c>
      <c r="K561" t="s">
        <v>1452</v>
      </c>
      <c r="M561" t="str">
        <f t="shared" si="615"/>
        <v>Elisa_2020</v>
      </c>
      <c r="N561" s="264" t="s">
        <v>222</v>
      </c>
      <c r="O561" s="171" t="s">
        <v>274</v>
      </c>
      <c r="P561" t="s">
        <v>223</v>
      </c>
      <c r="Q561" s="264" t="s">
        <v>389</v>
      </c>
      <c r="R561" s="269" t="s">
        <v>1153</v>
      </c>
      <c r="S561" s="154" t="s">
        <v>1453</v>
      </c>
      <c r="T561" s="294" t="s">
        <v>1454</v>
      </c>
      <c r="U561" s="143" t="s">
        <v>1489</v>
      </c>
      <c r="V561">
        <v>0</v>
      </c>
      <c r="W561">
        <v>0</v>
      </c>
      <c r="X561">
        <v>0</v>
      </c>
      <c r="Y561">
        <v>0</v>
      </c>
      <c r="Z561">
        <v>0</v>
      </c>
      <c r="AA561">
        <v>0</v>
      </c>
      <c r="AB561">
        <v>0</v>
      </c>
      <c r="AC561">
        <v>0</v>
      </c>
      <c r="AD561">
        <v>0</v>
      </c>
      <c r="AE561">
        <v>1</v>
      </c>
      <c r="AF561">
        <v>0</v>
      </c>
      <c r="AG561">
        <v>0</v>
      </c>
      <c r="AH561">
        <v>0</v>
      </c>
      <c r="AI561">
        <v>0</v>
      </c>
      <c r="AJ561">
        <v>0</v>
      </c>
      <c r="AK561">
        <v>1</v>
      </c>
      <c r="AL561">
        <v>0</v>
      </c>
      <c r="AM561">
        <v>0</v>
      </c>
      <c r="AN561">
        <v>0</v>
      </c>
      <c r="AO561">
        <v>0</v>
      </c>
      <c r="AP561">
        <v>0</v>
      </c>
      <c r="AQ561">
        <v>0</v>
      </c>
      <c r="AR561">
        <v>0</v>
      </c>
      <c r="AS561">
        <v>0</v>
      </c>
      <c r="AT561">
        <v>0</v>
      </c>
      <c r="AU561">
        <v>0</v>
      </c>
      <c r="AV561">
        <v>0</v>
      </c>
      <c r="AW561">
        <v>0</v>
      </c>
      <c r="AX561" s="141">
        <f t="shared" si="621"/>
        <v>2</v>
      </c>
      <c r="AY561" s="141">
        <f t="shared" si="622"/>
        <v>2</v>
      </c>
      <c r="AZ561">
        <f t="shared" si="623"/>
        <v>0</v>
      </c>
      <c r="BA561">
        <f t="shared" si="624"/>
        <v>1</v>
      </c>
      <c r="BB561">
        <f t="shared" si="625"/>
        <v>1</v>
      </c>
      <c r="BC561">
        <f t="shared" si="626"/>
        <v>0</v>
      </c>
      <c r="BD561">
        <f t="shared" si="627"/>
        <v>0</v>
      </c>
      <c r="BE561" t="str" cm="1">
        <f t="array" ref="BE561">IF(AY561=1,INDEX($V$7:$AL$7,MATCH(TRUE,INDEX($V561:$AW561&lt;&gt;0,),0)),IF(AY561=0,INDEX($AM$7:$AW$7,MATCH(1,$AM561:$AW561,0)),IF(BF561="Multiple strategies","mixed drivers",IF(BF561="Supply chain","multiple supply","multiple silviculture"))))</f>
        <v>mixed drivers</v>
      </c>
      <c r="BF561" s="2" t="str" cm="1">
        <f t="array" ref="BF561">IF(COUNTIF(AZ561:BB561,"&lt;&gt;0")=1,INDEX($V$4:$AW$4,MATCH(TRUE,INDEX($V561:$AW561&lt;&gt;0,),0)),IF(COUNTIF(AZ561:BB561,"&lt;&gt;0")=0,INDEX($AM$4:$AW$4,MATCH(1,$AM561:$AW561,0)),"Multiple strategies"))</f>
        <v>Multiple strategies</v>
      </c>
      <c r="BG561" s="142" t="s">
        <v>321</v>
      </c>
      <c r="BH561" s="160" t="s">
        <v>1456</v>
      </c>
      <c r="BI561" s="160" t="s">
        <v>1457</v>
      </c>
      <c r="BJ561" s="143" t="s">
        <v>498</v>
      </c>
      <c r="BK561" s="143">
        <v>944</v>
      </c>
      <c r="BL561" s="143">
        <v>4500</v>
      </c>
      <c r="BM561">
        <f>IFERROR(BL561/BK561,"")</f>
        <v>4.7669491525423728</v>
      </c>
      <c r="BN561">
        <f t="shared" si="628"/>
        <v>3556</v>
      </c>
      <c r="BO561" s="159">
        <f t="shared" si="650"/>
        <v>3556</v>
      </c>
      <c r="BP561" s="155" t="s">
        <v>232</v>
      </c>
      <c r="BQ561" s="155" t="s">
        <v>1458</v>
      </c>
      <c r="BR561" s="155" t="s">
        <v>825</v>
      </c>
      <c r="BS561" s="143" t="s">
        <v>1459</v>
      </c>
      <c r="BT561" t="s">
        <v>1490</v>
      </c>
      <c r="BU561" s="144">
        <f t="shared" si="651"/>
        <v>3.6424356911474765</v>
      </c>
      <c r="BV561">
        <f t="shared" si="629"/>
        <v>-18.5449241666667</v>
      </c>
      <c r="BX561">
        <f t="shared" si="652"/>
        <v>-18.5449241666667</v>
      </c>
      <c r="BY561">
        <f t="shared" si="654"/>
        <v>-5.2151080333708378E-3</v>
      </c>
      <c r="BZ561">
        <v>0</v>
      </c>
      <c r="CA561">
        <v>0</v>
      </c>
      <c r="CB561">
        <v>0</v>
      </c>
      <c r="CC561">
        <v>0</v>
      </c>
      <c r="CD561">
        <v>0</v>
      </c>
      <c r="CE561">
        <v>0</v>
      </c>
      <c r="CF561">
        <v>0</v>
      </c>
      <c r="CG561">
        <v>0</v>
      </c>
      <c r="CH561">
        <v>0</v>
      </c>
      <c r="CI561">
        <v>0</v>
      </c>
      <c r="CJ561">
        <v>0</v>
      </c>
      <c r="CK561">
        <v>0</v>
      </c>
      <c r="CL561">
        <v>0</v>
      </c>
      <c r="CM561">
        <v>0</v>
      </c>
      <c r="CN561" t="str">
        <f t="shared" si="630"/>
        <v>refOK</v>
      </c>
      <c r="CO561">
        <f t="shared" si="648"/>
        <v>944</v>
      </c>
      <c r="CP561">
        <f t="shared" si="649"/>
        <v>4500</v>
      </c>
      <c r="CQ561">
        <f t="shared" si="631"/>
        <v>3556</v>
      </c>
      <c r="CR561">
        <f t="shared" si="632"/>
        <v>-7.0181174999999998</v>
      </c>
      <c r="CS561">
        <f t="shared" si="633"/>
        <v>-25.563041666666699</v>
      </c>
      <c r="CT561">
        <f t="shared" si="634"/>
        <v>-18.5449241666667</v>
      </c>
      <c r="CU561">
        <f t="shared" si="635"/>
        <v>-5.2151080333708378E-3</v>
      </c>
      <c r="CV561" s="2">
        <f t="shared" si="636"/>
        <v>-2.6424356911474765</v>
      </c>
      <c r="CW561" s="263" t="s">
        <v>1461</v>
      </c>
      <c r="CX561" s="264" t="str">
        <f t="shared" si="637"/>
        <v>reg</v>
      </c>
      <c r="CY561" s="270" t="s">
        <v>743</v>
      </c>
      <c r="DA561" s="143"/>
      <c r="DB561" s="143">
        <v>0</v>
      </c>
      <c r="DC561" t="str">
        <f t="shared" si="638"/>
        <v>0</v>
      </c>
      <c r="DD561">
        <v>0</v>
      </c>
      <c r="DE561">
        <v>1</v>
      </c>
      <c r="DF561">
        <v>0</v>
      </c>
      <c r="DG561">
        <v>0</v>
      </c>
      <c r="DH561">
        <v>0</v>
      </c>
      <c r="DI561">
        <f t="shared" si="653"/>
        <v>1</v>
      </c>
      <c r="DJ561" t="str">
        <f t="shared" si="639"/>
        <v>EnergyInput</v>
      </c>
      <c r="DK561">
        <f t="shared" si="640"/>
        <v>0</v>
      </c>
      <c r="DL561" t="str">
        <f t="shared" si="641"/>
        <v>Energy</v>
      </c>
      <c r="DM561">
        <f t="shared" si="642"/>
        <v>0</v>
      </c>
      <c r="DN561">
        <f t="shared" si="643"/>
        <v>0</v>
      </c>
      <c r="DO561">
        <v>0</v>
      </c>
      <c r="DP561" s="143">
        <v>0</v>
      </c>
      <c r="DQ561" s="143">
        <v>0</v>
      </c>
      <c r="DR561">
        <v>0</v>
      </c>
      <c r="DS561" s="143">
        <v>0</v>
      </c>
      <c r="DT561">
        <f t="shared" si="644"/>
        <v>0</v>
      </c>
      <c r="DU561" s="143" t="str">
        <f t="shared" si="645"/>
        <v>explicit C balance</v>
      </c>
      <c r="DV561" s="143">
        <v>0</v>
      </c>
      <c r="DW561" s="143">
        <v>0</v>
      </c>
      <c r="DX561" s="143">
        <v>0</v>
      </c>
      <c r="DY561" s="143">
        <v>0</v>
      </c>
      <c r="DZ561">
        <v>0</v>
      </c>
      <c r="EA561" s="143">
        <v>0</v>
      </c>
      <c r="EB561" s="143">
        <v>1</v>
      </c>
      <c r="EC561" s="143">
        <v>1</v>
      </c>
      <c r="ED561" s="143">
        <v>0</v>
      </c>
      <c r="EE561">
        <v>1</v>
      </c>
      <c r="EF561">
        <v>0</v>
      </c>
      <c r="EG561" s="143">
        <v>0</v>
      </c>
      <c r="EH561" s="143">
        <v>0</v>
      </c>
      <c r="EI561" s="2">
        <v>0</v>
      </c>
      <c r="EK561" t="str">
        <f t="shared" si="646"/>
        <v/>
      </c>
      <c r="EL561" t="str">
        <f t="shared" si="647"/>
        <v/>
      </c>
      <c r="EM561" s="2" t="str">
        <f t="shared" si="655"/>
        <v>Technology approach</v>
      </c>
      <c r="EP561" t="str">
        <f>IF(ISNUMBER(BU561),IF(ABS(BU561-[4]QC_indicators!$B$2)&gt;3*[4]QC_indicators!$C$2,"C ratio",IF(ISNUMBER(BY561),IF(ABS(BY561-[4]QC_indicators!$B$1)&gt;3*[4]QC_indicators!$C$1,"DF","no"))),IF(ISNUMBER(BY561),IF(ABS(BY561-[4]QC_indicators!$B$1)&gt;3*[4]QC_indicators!$C$1,"DF","no")))</f>
        <v>no</v>
      </c>
      <c r="ER561" s="149"/>
      <c r="ET561" s="264" t="s">
        <v>3406</v>
      </c>
    </row>
    <row r="562" spans="1:150" ht="15" hidden="1" customHeight="1">
      <c r="A562" s="1" t="s">
        <v>587</v>
      </c>
      <c r="B562" t="s">
        <v>1447</v>
      </c>
      <c r="C562" t="s">
        <v>1448</v>
      </c>
      <c r="D562" t="s">
        <v>1449</v>
      </c>
      <c r="E562" t="s">
        <v>1450</v>
      </c>
      <c r="F562" t="s">
        <v>1451</v>
      </c>
      <c r="G562" t="s">
        <v>593</v>
      </c>
      <c r="H562" t="s">
        <v>254</v>
      </c>
      <c r="I562">
        <v>2020</v>
      </c>
      <c r="J562">
        <v>12</v>
      </c>
      <c r="K562" t="s">
        <v>1452</v>
      </c>
      <c r="M562" t="str">
        <f t="shared" si="615"/>
        <v>Elisa_2020</v>
      </c>
      <c r="N562" s="264" t="s">
        <v>222</v>
      </c>
      <c r="O562" s="171" t="s">
        <v>274</v>
      </c>
      <c r="P562" t="s">
        <v>223</v>
      </c>
      <c r="Q562" s="264" t="s">
        <v>389</v>
      </c>
      <c r="R562" s="269" t="s">
        <v>1153</v>
      </c>
      <c r="S562" s="154" t="s">
        <v>1453</v>
      </c>
      <c r="T562" s="294" t="s">
        <v>1454</v>
      </c>
      <c r="U562" s="143" t="s">
        <v>1487</v>
      </c>
      <c r="V562">
        <v>0</v>
      </c>
      <c r="W562">
        <v>0</v>
      </c>
      <c r="X562">
        <v>0</v>
      </c>
      <c r="Y562">
        <v>0</v>
      </c>
      <c r="Z562">
        <v>0</v>
      </c>
      <c r="AA562">
        <v>0</v>
      </c>
      <c r="AB562">
        <v>0</v>
      </c>
      <c r="AC562">
        <v>0</v>
      </c>
      <c r="AD562">
        <v>0</v>
      </c>
      <c r="AE562">
        <v>1</v>
      </c>
      <c r="AF562">
        <v>0</v>
      </c>
      <c r="AG562">
        <v>0</v>
      </c>
      <c r="AH562">
        <v>0</v>
      </c>
      <c r="AI562">
        <v>0</v>
      </c>
      <c r="AJ562">
        <v>0</v>
      </c>
      <c r="AK562">
        <v>1</v>
      </c>
      <c r="AL562">
        <v>0</v>
      </c>
      <c r="AM562">
        <v>0</v>
      </c>
      <c r="AN562">
        <v>0</v>
      </c>
      <c r="AO562">
        <v>0</v>
      </c>
      <c r="AP562">
        <v>0</v>
      </c>
      <c r="AQ562">
        <v>0</v>
      </c>
      <c r="AR562">
        <v>0</v>
      </c>
      <c r="AS562">
        <v>0</v>
      </c>
      <c r="AT562">
        <v>0</v>
      </c>
      <c r="AU562">
        <v>0</v>
      </c>
      <c r="AV562">
        <v>0</v>
      </c>
      <c r="AW562">
        <v>0</v>
      </c>
      <c r="AX562" s="141">
        <f t="shared" si="621"/>
        <v>2</v>
      </c>
      <c r="AY562" s="141">
        <f t="shared" si="622"/>
        <v>2</v>
      </c>
      <c r="AZ562">
        <f t="shared" si="623"/>
        <v>0</v>
      </c>
      <c r="BA562">
        <f t="shared" si="624"/>
        <v>1</v>
      </c>
      <c r="BB562">
        <f t="shared" si="625"/>
        <v>1</v>
      </c>
      <c r="BC562">
        <f t="shared" si="626"/>
        <v>0</v>
      </c>
      <c r="BD562">
        <f t="shared" si="627"/>
        <v>0</v>
      </c>
      <c r="BE562" t="str" cm="1">
        <f t="array" ref="BE562">IF(AY562=1,INDEX($V$7:$AL$7,MATCH(TRUE,INDEX($V562:$AW562&lt;&gt;0,),0)),IF(AY562=0,INDEX($AM$7:$AW$7,MATCH(1,$AM562:$AW562,0)),IF(BF562="Multiple strategies","mixed drivers",IF(BF562="Supply chain","multiple supply","multiple silviculture"))))</f>
        <v>mixed drivers</v>
      </c>
      <c r="BF562" s="2" t="str" cm="1">
        <f t="array" ref="BF562">IF(COUNTIF(AZ562:BB562,"&lt;&gt;0")=1,INDEX($V$4:$AW$4,MATCH(TRUE,INDEX($V562:$AW562&lt;&gt;0,),0)),IF(COUNTIF(AZ562:BB562,"&lt;&gt;0")=0,INDEX($AM$4:$AW$4,MATCH(1,$AM562:$AW562,0)),"Multiple strategies"))</f>
        <v>Multiple strategies</v>
      </c>
      <c r="BG562" s="142" t="s">
        <v>321</v>
      </c>
      <c r="BH562" s="160" t="s">
        <v>1456</v>
      </c>
      <c r="BI562" s="160" t="s">
        <v>1457</v>
      </c>
      <c r="BJ562" s="143" t="s">
        <v>498</v>
      </c>
      <c r="BK562" s="143">
        <v>944</v>
      </c>
      <c r="BL562" s="143">
        <v>4000</v>
      </c>
      <c r="BM562">
        <f>IFERROR(BL564/BK562,"")</f>
        <v>21.1864406779661</v>
      </c>
      <c r="BN562">
        <f t="shared" si="628"/>
        <v>3056</v>
      </c>
      <c r="BO562" s="159">
        <f t="shared" si="650"/>
        <v>3056</v>
      </c>
      <c r="BP562" s="155" t="s">
        <v>232</v>
      </c>
      <c r="BQ562" s="155" t="s">
        <v>1458</v>
      </c>
      <c r="BR562" s="155" t="s">
        <v>825</v>
      </c>
      <c r="BS562" s="143" t="s">
        <v>1462</v>
      </c>
      <c r="BT562" t="s">
        <v>1491</v>
      </c>
      <c r="BU562" s="144">
        <f t="shared" si="651"/>
        <v>3.2919959403999846</v>
      </c>
      <c r="BV562">
        <f t="shared" si="629"/>
        <v>-15.8391645555556</v>
      </c>
      <c r="BX562">
        <f t="shared" si="652"/>
        <v>-15.8391645555556</v>
      </c>
      <c r="BY562">
        <f t="shared" si="654"/>
        <v>-5.1829726948807589E-3</v>
      </c>
      <c r="BZ562">
        <v>0</v>
      </c>
      <c r="CA562">
        <v>0</v>
      </c>
      <c r="CB562">
        <v>0</v>
      </c>
      <c r="CC562">
        <v>0</v>
      </c>
      <c r="CD562">
        <v>0</v>
      </c>
      <c r="CE562">
        <v>0</v>
      </c>
      <c r="CF562">
        <v>0</v>
      </c>
      <c r="CG562">
        <v>0</v>
      </c>
      <c r="CH562">
        <v>0</v>
      </c>
      <c r="CI562">
        <v>0</v>
      </c>
      <c r="CJ562">
        <v>0</v>
      </c>
      <c r="CK562">
        <v>0</v>
      </c>
      <c r="CL562">
        <v>0</v>
      </c>
      <c r="CM562">
        <v>0</v>
      </c>
      <c r="CN562" t="str">
        <f t="shared" si="630"/>
        <v>refOK</v>
      </c>
      <c r="CO562">
        <f t="shared" si="648"/>
        <v>944</v>
      </c>
      <c r="CP562">
        <f t="shared" si="649"/>
        <v>4000</v>
      </c>
      <c r="CQ562">
        <f t="shared" si="631"/>
        <v>3056</v>
      </c>
      <c r="CR562">
        <f t="shared" si="632"/>
        <v>-6.9106424999999998</v>
      </c>
      <c r="CS562">
        <f t="shared" si="633"/>
        <v>-22.7498070555556</v>
      </c>
      <c r="CT562">
        <f t="shared" si="634"/>
        <v>-15.8391645555556</v>
      </c>
      <c r="CU562">
        <f t="shared" si="635"/>
        <v>-5.1829726948807589E-3</v>
      </c>
      <c r="CV562" s="2">
        <f t="shared" si="636"/>
        <v>-2.2919959403999846</v>
      </c>
      <c r="CW562" s="263" t="s">
        <v>1461</v>
      </c>
      <c r="CX562" s="264" t="str">
        <f t="shared" si="637"/>
        <v>reg</v>
      </c>
      <c r="CY562" s="270" t="s">
        <v>743</v>
      </c>
      <c r="DA562" s="143"/>
      <c r="DB562" s="143">
        <v>0</v>
      </c>
      <c r="DC562" t="str">
        <f t="shared" si="638"/>
        <v>0</v>
      </c>
      <c r="DD562">
        <v>0</v>
      </c>
      <c r="DE562">
        <v>1</v>
      </c>
      <c r="DF562">
        <v>0</v>
      </c>
      <c r="DG562">
        <v>0</v>
      </c>
      <c r="DH562">
        <v>0</v>
      </c>
      <c r="DI562">
        <f t="shared" si="653"/>
        <v>1</v>
      </c>
      <c r="DJ562" t="str">
        <f t="shared" si="639"/>
        <v>EnergyInput</v>
      </c>
      <c r="DK562">
        <f t="shared" si="640"/>
        <v>0</v>
      </c>
      <c r="DL562" t="str">
        <f t="shared" si="641"/>
        <v>Energy</v>
      </c>
      <c r="DM562">
        <f t="shared" si="642"/>
        <v>0</v>
      </c>
      <c r="DN562">
        <f t="shared" si="643"/>
        <v>0</v>
      </c>
      <c r="DO562">
        <v>0</v>
      </c>
      <c r="DP562" s="143">
        <v>0</v>
      </c>
      <c r="DQ562" s="143">
        <v>0</v>
      </c>
      <c r="DR562">
        <v>0</v>
      </c>
      <c r="DS562" s="143">
        <v>0</v>
      </c>
      <c r="DT562">
        <f t="shared" si="644"/>
        <v>0</v>
      </c>
      <c r="DU562" s="143" t="str">
        <f t="shared" si="645"/>
        <v>explicit C balance</v>
      </c>
      <c r="DV562" s="143">
        <v>0</v>
      </c>
      <c r="DW562" s="143">
        <v>0</v>
      </c>
      <c r="DX562" s="143">
        <v>0</v>
      </c>
      <c r="DY562" s="143">
        <v>0</v>
      </c>
      <c r="DZ562">
        <v>0</v>
      </c>
      <c r="EA562" s="143">
        <v>0</v>
      </c>
      <c r="EB562" s="143">
        <v>0</v>
      </c>
      <c r="EC562" s="143">
        <v>1</v>
      </c>
      <c r="ED562" s="143">
        <v>0</v>
      </c>
      <c r="EE562">
        <v>1</v>
      </c>
      <c r="EF562">
        <v>0</v>
      </c>
      <c r="EG562" s="143">
        <v>0</v>
      </c>
      <c r="EH562" s="143">
        <v>0</v>
      </c>
      <c r="EI562" s="2">
        <v>0</v>
      </c>
      <c r="EK562" t="str">
        <f t="shared" si="646"/>
        <v/>
      </c>
      <c r="EL562" t="str">
        <f t="shared" si="647"/>
        <v/>
      </c>
      <c r="EM562" s="2" t="str">
        <f t="shared" si="655"/>
        <v>Technology approach</v>
      </c>
      <c r="EP562" t="str">
        <f>IF(ISNUMBER(BU562),IF(ABS(BU562-[4]QC_indicators!$B$2)&gt;3*[4]QC_indicators!$C$2,"C ratio",IF(ISNUMBER(BY562),IF(ABS(BY562-[4]QC_indicators!$B$1)&gt;3*[4]QC_indicators!$C$1,"DF","no"))),IF(ISNUMBER(BY562),IF(ABS(BY562-[4]QC_indicators!$B$1)&gt;3*[4]QC_indicators!$C$1,"DF","no")))</f>
        <v>no</v>
      </c>
      <c r="ER562" s="149"/>
      <c r="ET562" s="264" t="s">
        <v>3406</v>
      </c>
    </row>
    <row r="563" spans="1:150" ht="16.5" hidden="1" customHeight="1">
      <c r="A563" s="1" t="s">
        <v>587</v>
      </c>
      <c r="B563" t="s">
        <v>1447</v>
      </c>
      <c r="C563" t="s">
        <v>1448</v>
      </c>
      <c r="D563" t="s">
        <v>1449</v>
      </c>
      <c r="E563" t="s">
        <v>1450</v>
      </c>
      <c r="F563" t="s">
        <v>1451</v>
      </c>
      <c r="G563" t="s">
        <v>593</v>
      </c>
      <c r="H563" t="s">
        <v>254</v>
      </c>
      <c r="I563">
        <v>2020</v>
      </c>
      <c r="J563">
        <v>12</v>
      </c>
      <c r="K563" t="s">
        <v>1452</v>
      </c>
      <c r="M563" t="str">
        <f t="shared" si="615"/>
        <v>Elisa_2020</v>
      </c>
      <c r="N563" s="264" t="s">
        <v>222</v>
      </c>
      <c r="O563" s="171" t="s">
        <v>274</v>
      </c>
      <c r="P563" t="s">
        <v>223</v>
      </c>
      <c r="Q563" s="264" t="s">
        <v>389</v>
      </c>
      <c r="R563" s="269" t="s">
        <v>1153</v>
      </c>
      <c r="S563" s="154" t="s">
        <v>1453</v>
      </c>
      <c r="T563" s="294" t="s">
        <v>1454</v>
      </c>
      <c r="U563" s="143" t="s">
        <v>1489</v>
      </c>
      <c r="V563">
        <v>0</v>
      </c>
      <c r="W563">
        <v>0</v>
      </c>
      <c r="X563">
        <v>0</v>
      </c>
      <c r="Y563">
        <v>0</v>
      </c>
      <c r="Z563">
        <v>0</v>
      </c>
      <c r="AA563">
        <v>0</v>
      </c>
      <c r="AB563">
        <v>0</v>
      </c>
      <c r="AC563">
        <v>0</v>
      </c>
      <c r="AD563">
        <v>0</v>
      </c>
      <c r="AE563">
        <v>1</v>
      </c>
      <c r="AF563">
        <v>0</v>
      </c>
      <c r="AG563">
        <v>0</v>
      </c>
      <c r="AH563">
        <v>0</v>
      </c>
      <c r="AI563">
        <v>0</v>
      </c>
      <c r="AJ563">
        <v>0</v>
      </c>
      <c r="AK563">
        <v>1</v>
      </c>
      <c r="AL563">
        <v>0</v>
      </c>
      <c r="AM563">
        <v>0</v>
      </c>
      <c r="AN563">
        <v>0</v>
      </c>
      <c r="AO563">
        <v>0</v>
      </c>
      <c r="AP563">
        <v>0</v>
      </c>
      <c r="AQ563">
        <v>0</v>
      </c>
      <c r="AR563">
        <v>0</v>
      </c>
      <c r="AS563">
        <v>0</v>
      </c>
      <c r="AT563">
        <v>0</v>
      </c>
      <c r="AU563">
        <v>0</v>
      </c>
      <c r="AV563">
        <v>0</v>
      </c>
      <c r="AW563">
        <v>0</v>
      </c>
      <c r="AX563" s="141">
        <f t="shared" si="621"/>
        <v>2</v>
      </c>
      <c r="AY563" s="141">
        <f t="shared" si="622"/>
        <v>2</v>
      </c>
      <c r="AZ563">
        <f t="shared" si="623"/>
        <v>0</v>
      </c>
      <c r="BA563">
        <f t="shared" si="624"/>
        <v>1</v>
      </c>
      <c r="BB563">
        <f t="shared" si="625"/>
        <v>1</v>
      </c>
      <c r="BC563">
        <f t="shared" si="626"/>
        <v>0</v>
      </c>
      <c r="BD563">
        <f t="shared" si="627"/>
        <v>0</v>
      </c>
      <c r="BE563" t="str" cm="1">
        <f t="array" ref="BE563">IF(AY563=1,INDEX($V$7:$AL$7,MATCH(TRUE,INDEX($V563:$AW563&lt;&gt;0,),0)),IF(AY563=0,INDEX($AM$7:$AW$7,MATCH(1,$AM563:$AW563,0)),IF(BF563="Multiple strategies","mixed drivers",IF(BF563="Supply chain","multiple supply","multiple silviculture"))))</f>
        <v>mixed drivers</v>
      </c>
      <c r="BF563" s="2" t="str" cm="1">
        <f t="array" ref="BF563">IF(COUNTIF(AZ563:BB563,"&lt;&gt;0")=1,INDEX($V$4:$AW$4,MATCH(TRUE,INDEX($V563:$AW563&lt;&gt;0,),0)),IF(COUNTIF(AZ563:BB563,"&lt;&gt;0")=0,INDEX($AM$4:$AW$4,MATCH(1,$AM563:$AW563,0)),"Multiple strategies"))</f>
        <v>Multiple strategies</v>
      </c>
      <c r="BG563" s="142" t="s">
        <v>321</v>
      </c>
      <c r="BH563" s="160" t="s">
        <v>1456</v>
      </c>
      <c r="BI563" s="160" t="s">
        <v>1457</v>
      </c>
      <c r="BJ563" s="143" t="s">
        <v>498</v>
      </c>
      <c r="BK563" s="143">
        <v>944</v>
      </c>
      <c r="BL563" s="143">
        <v>4500</v>
      </c>
      <c r="BM563">
        <f>IFERROR(BL565/BK563,"")</f>
        <v>5.1239406779661021</v>
      </c>
      <c r="BN563">
        <f t="shared" si="628"/>
        <v>3556</v>
      </c>
      <c r="BO563" s="159">
        <f t="shared" si="650"/>
        <v>3556</v>
      </c>
      <c r="BP563" s="155" t="s">
        <v>232</v>
      </c>
      <c r="BQ563" s="155" t="s">
        <v>1458</v>
      </c>
      <c r="BR563" s="155" t="s">
        <v>825</v>
      </c>
      <c r="BS563" s="143" t="s">
        <v>1462</v>
      </c>
      <c r="BT563" t="s">
        <v>1492</v>
      </c>
      <c r="BU563" s="144">
        <f t="shared" si="651"/>
        <v>3.6235173984666837</v>
      </c>
      <c r="BV563">
        <f t="shared" si="629"/>
        <v>-18.130190833333302</v>
      </c>
      <c r="BX563">
        <f t="shared" si="652"/>
        <v>-18.130190833333302</v>
      </c>
      <c r="BY563">
        <f t="shared" si="654"/>
        <v>-5.0984788620172389E-3</v>
      </c>
      <c r="BZ563">
        <v>0</v>
      </c>
      <c r="CA563">
        <v>0</v>
      </c>
      <c r="CB563">
        <v>0</v>
      </c>
      <c r="CC563">
        <v>0</v>
      </c>
      <c r="CD563">
        <v>0</v>
      </c>
      <c r="CE563">
        <v>0</v>
      </c>
      <c r="CF563">
        <v>0</v>
      </c>
      <c r="CG563">
        <v>0</v>
      </c>
      <c r="CH563">
        <v>0</v>
      </c>
      <c r="CI563">
        <v>0</v>
      </c>
      <c r="CJ563">
        <v>0</v>
      </c>
      <c r="CK563">
        <v>0</v>
      </c>
      <c r="CL563">
        <v>0</v>
      </c>
      <c r="CM563">
        <v>0</v>
      </c>
      <c r="CN563" t="str">
        <f t="shared" si="630"/>
        <v>refOK</v>
      </c>
      <c r="CO563">
        <f t="shared" si="648"/>
        <v>944</v>
      </c>
      <c r="CP563">
        <f t="shared" si="649"/>
        <v>4500</v>
      </c>
      <c r="CQ563">
        <f t="shared" si="631"/>
        <v>3556</v>
      </c>
      <c r="CR563">
        <f t="shared" si="632"/>
        <v>-6.9106424999999998</v>
      </c>
      <c r="CS563">
        <f t="shared" si="633"/>
        <v>-25.0408333333333</v>
      </c>
      <c r="CT563">
        <f t="shared" si="634"/>
        <v>-18.130190833333302</v>
      </c>
      <c r="CU563">
        <f t="shared" si="635"/>
        <v>-5.0984788620172389E-3</v>
      </c>
      <c r="CV563" s="2">
        <f t="shared" si="636"/>
        <v>-2.6235173984666842</v>
      </c>
      <c r="CW563" s="263" t="s">
        <v>1461</v>
      </c>
      <c r="CX563" s="264" t="str">
        <f t="shared" si="637"/>
        <v>reg</v>
      </c>
      <c r="CY563" s="270" t="s">
        <v>743</v>
      </c>
      <c r="DA563" s="143"/>
      <c r="DB563" s="143">
        <v>0</v>
      </c>
      <c r="DC563" t="str">
        <f t="shared" si="638"/>
        <v>0</v>
      </c>
      <c r="DD563">
        <v>0</v>
      </c>
      <c r="DE563">
        <v>1</v>
      </c>
      <c r="DF563">
        <v>0</v>
      </c>
      <c r="DG563">
        <v>0</v>
      </c>
      <c r="DH563">
        <v>0</v>
      </c>
      <c r="DI563">
        <f t="shared" si="653"/>
        <v>1</v>
      </c>
      <c r="DJ563" t="str">
        <f t="shared" si="639"/>
        <v>EnergyInput</v>
      </c>
      <c r="DK563">
        <f t="shared" si="640"/>
        <v>0</v>
      </c>
      <c r="DL563" t="str">
        <f t="shared" si="641"/>
        <v>Energy</v>
      </c>
      <c r="DM563">
        <f t="shared" si="642"/>
        <v>0</v>
      </c>
      <c r="DN563">
        <f t="shared" si="643"/>
        <v>0</v>
      </c>
      <c r="DO563">
        <v>0</v>
      </c>
      <c r="DP563" s="143">
        <v>0</v>
      </c>
      <c r="DQ563" s="143">
        <v>0</v>
      </c>
      <c r="DR563">
        <v>0</v>
      </c>
      <c r="DS563" s="143">
        <v>0</v>
      </c>
      <c r="DT563">
        <f t="shared" si="644"/>
        <v>0</v>
      </c>
      <c r="DU563" s="143" t="str">
        <f t="shared" si="645"/>
        <v>explicit C balance</v>
      </c>
      <c r="DV563" s="143">
        <v>0</v>
      </c>
      <c r="DW563" s="143">
        <v>0</v>
      </c>
      <c r="DX563" s="143">
        <v>0</v>
      </c>
      <c r="DY563" s="143">
        <v>0</v>
      </c>
      <c r="DZ563">
        <v>0</v>
      </c>
      <c r="EA563" s="143">
        <v>0</v>
      </c>
      <c r="EB563" s="143">
        <v>0</v>
      </c>
      <c r="EC563" s="143">
        <v>1</v>
      </c>
      <c r="ED563" s="143">
        <v>0</v>
      </c>
      <c r="EE563">
        <v>1</v>
      </c>
      <c r="EF563">
        <v>0</v>
      </c>
      <c r="EG563" s="143">
        <v>0</v>
      </c>
      <c r="EH563" s="143">
        <v>0</v>
      </c>
      <c r="EI563" s="2">
        <v>0</v>
      </c>
      <c r="EK563" t="str">
        <f t="shared" si="646"/>
        <v/>
      </c>
      <c r="EL563" t="str">
        <f t="shared" si="647"/>
        <v/>
      </c>
      <c r="EM563" s="2" t="str">
        <f t="shared" si="655"/>
        <v>Technology approach</v>
      </c>
      <c r="EP563" t="str">
        <f>IF(ISNUMBER(BU563),IF(ABS(BU563-[4]QC_indicators!$B$2)&gt;3*[4]QC_indicators!$C$2,"C ratio",IF(ISNUMBER(BY563),IF(ABS(BY563-[4]QC_indicators!$B$1)&gt;3*[4]QC_indicators!$C$1,"DF","no"))),IF(ISNUMBER(BY563),IF(ABS(BY563-[4]QC_indicators!$B$1)&gt;3*[4]QC_indicators!$C$1,"DF","no")))</f>
        <v>no</v>
      </c>
      <c r="ER563" s="149"/>
      <c r="ET563" s="264" t="s">
        <v>3406</v>
      </c>
    </row>
    <row r="564" spans="1:150" ht="14" hidden="1" customHeight="1">
      <c r="A564" s="1" t="s">
        <v>587</v>
      </c>
      <c r="B564" t="s">
        <v>1447</v>
      </c>
      <c r="C564" t="s">
        <v>1448</v>
      </c>
      <c r="D564" t="s">
        <v>1449</v>
      </c>
      <c r="E564" t="s">
        <v>1450</v>
      </c>
      <c r="F564" t="s">
        <v>1451</v>
      </c>
      <c r="G564" t="s">
        <v>593</v>
      </c>
      <c r="H564" t="s">
        <v>254</v>
      </c>
      <c r="I564">
        <v>2020</v>
      </c>
      <c r="J564">
        <v>12</v>
      </c>
      <c r="K564" t="s">
        <v>1452</v>
      </c>
      <c r="M564" t="str">
        <f t="shared" si="615"/>
        <v>Elisa_2020</v>
      </c>
      <c r="N564" s="264" t="s">
        <v>222</v>
      </c>
      <c r="O564" s="171" t="s">
        <v>274</v>
      </c>
      <c r="P564" t="s">
        <v>223</v>
      </c>
      <c r="Q564" s="264" t="s">
        <v>389</v>
      </c>
      <c r="R564" s="269" t="s">
        <v>1153</v>
      </c>
      <c r="S564" s="154" t="s">
        <v>1453</v>
      </c>
      <c r="T564" s="294" t="s">
        <v>1454</v>
      </c>
      <c r="U564" s="143" t="s">
        <v>1493</v>
      </c>
      <c r="V564">
        <v>0</v>
      </c>
      <c r="W564">
        <v>0</v>
      </c>
      <c r="X564">
        <v>0</v>
      </c>
      <c r="Y564">
        <v>0</v>
      </c>
      <c r="Z564">
        <v>0</v>
      </c>
      <c r="AA564">
        <v>0</v>
      </c>
      <c r="AB564">
        <v>0</v>
      </c>
      <c r="AC564">
        <v>0</v>
      </c>
      <c r="AD564">
        <v>0</v>
      </c>
      <c r="AE564">
        <v>1</v>
      </c>
      <c r="AF564">
        <v>0</v>
      </c>
      <c r="AG564">
        <v>0</v>
      </c>
      <c r="AH564">
        <v>0</v>
      </c>
      <c r="AI564">
        <v>0</v>
      </c>
      <c r="AJ564">
        <v>0</v>
      </c>
      <c r="AK564">
        <v>1</v>
      </c>
      <c r="AL564">
        <v>0</v>
      </c>
      <c r="AM564">
        <v>0</v>
      </c>
      <c r="AN564">
        <v>0</v>
      </c>
      <c r="AO564">
        <v>0</v>
      </c>
      <c r="AP564">
        <v>0</v>
      </c>
      <c r="AQ564">
        <v>0</v>
      </c>
      <c r="AR564">
        <v>0</v>
      </c>
      <c r="AS564">
        <v>0</v>
      </c>
      <c r="AT564">
        <v>0</v>
      </c>
      <c r="AU564">
        <v>0</v>
      </c>
      <c r="AV564">
        <v>0</v>
      </c>
      <c r="AW564">
        <v>0</v>
      </c>
      <c r="AX564" s="141">
        <f t="shared" si="621"/>
        <v>2</v>
      </c>
      <c r="AY564" s="141">
        <f t="shared" si="622"/>
        <v>2</v>
      </c>
      <c r="AZ564">
        <f t="shared" si="623"/>
        <v>0</v>
      </c>
      <c r="BA564">
        <f t="shared" si="624"/>
        <v>1</v>
      </c>
      <c r="BB564">
        <f t="shared" si="625"/>
        <v>1</v>
      </c>
      <c r="BC564">
        <f t="shared" si="626"/>
        <v>0</v>
      </c>
      <c r="BD564">
        <f t="shared" si="627"/>
        <v>0</v>
      </c>
      <c r="BE564" t="str" cm="1">
        <f t="array" ref="BE564">IF(AY564=1,INDEX($V$7:$AL$7,MATCH(TRUE,INDEX($V564:$AW564&lt;&gt;0,),0)),IF(AY564=0,INDEX($AM$7:$AW$7,MATCH(1,$AM564:$AW564,0)),IF(BF564="Multiple strategies","mixed drivers",IF(BF564="Supply chain","multiple supply","multiple silviculture"))))</f>
        <v>mixed drivers</v>
      </c>
      <c r="BF564" s="2" t="str" cm="1">
        <f t="array" ref="BF564">IF(COUNTIF(AZ564:BB564,"&lt;&gt;0")=1,INDEX($V$4:$AW$4,MATCH(TRUE,INDEX($V564:$AW564&lt;&gt;0,),0)),IF(COUNTIF(AZ564:BB564,"&lt;&gt;0")=0,INDEX($AM$4:$AW$4,MATCH(1,$AM564:$AW564,0)),"Multiple strategies"))</f>
        <v>Multiple strategies</v>
      </c>
      <c r="BG564" s="142" t="s">
        <v>321</v>
      </c>
      <c r="BH564" s="160" t="s">
        <v>1456</v>
      </c>
      <c r="BI564" s="160" t="s">
        <v>1457</v>
      </c>
      <c r="BJ564" s="143" t="s">
        <v>498</v>
      </c>
      <c r="BK564" s="143">
        <v>944</v>
      </c>
      <c r="BL564" s="143">
        <v>20000</v>
      </c>
      <c r="BM564">
        <f>IFERROR(BL564/BK564,"")</f>
        <v>21.1864406779661</v>
      </c>
      <c r="BN564">
        <f t="shared" si="628"/>
        <v>19056</v>
      </c>
      <c r="BO564" s="159">
        <f t="shared" si="650"/>
        <v>19056</v>
      </c>
      <c r="BP564" s="155" t="s">
        <v>232</v>
      </c>
      <c r="BQ564" s="155" t="s">
        <v>1458</v>
      </c>
      <c r="BR564" s="155" t="s">
        <v>825</v>
      </c>
      <c r="BS564" s="143" t="s">
        <v>1459</v>
      </c>
      <c r="BT564" t="s">
        <v>1494</v>
      </c>
      <c r="BU564" s="144">
        <f t="shared" si="651"/>
        <v>14.458917698846307</v>
      </c>
      <c r="BV564">
        <f t="shared" si="629"/>
        <v>-94.456265833332992</v>
      </c>
      <c r="BX564">
        <f t="shared" si="652"/>
        <v>-94.456265833332992</v>
      </c>
      <c r="BY564">
        <f t="shared" si="654"/>
        <v>-4.95677297614048E-3</v>
      </c>
      <c r="BZ564">
        <v>0</v>
      </c>
      <c r="CA564">
        <v>0</v>
      </c>
      <c r="CB564">
        <v>0</v>
      </c>
      <c r="CC564">
        <v>0</v>
      </c>
      <c r="CD564">
        <v>0</v>
      </c>
      <c r="CE564">
        <v>0</v>
      </c>
      <c r="CF564">
        <v>0</v>
      </c>
      <c r="CG564">
        <v>0</v>
      </c>
      <c r="CH564">
        <v>0</v>
      </c>
      <c r="CI564">
        <v>0</v>
      </c>
      <c r="CJ564">
        <v>0</v>
      </c>
      <c r="CK564">
        <v>0</v>
      </c>
      <c r="CL564">
        <v>0</v>
      </c>
      <c r="CM564">
        <v>0</v>
      </c>
      <c r="CN564" t="str">
        <f t="shared" si="630"/>
        <v>refOK</v>
      </c>
      <c r="CO564">
        <f t="shared" si="648"/>
        <v>944</v>
      </c>
      <c r="CP564">
        <f t="shared" si="649"/>
        <v>20000</v>
      </c>
      <c r="CQ564">
        <f t="shared" si="631"/>
        <v>19056</v>
      </c>
      <c r="CR564">
        <f t="shared" si="632"/>
        <v>-7.0181174999999998</v>
      </c>
      <c r="CS564">
        <f t="shared" si="633"/>
        <v>-101.47438333333299</v>
      </c>
      <c r="CT564">
        <f t="shared" si="634"/>
        <v>-94.456265833332992</v>
      </c>
      <c r="CU564">
        <f t="shared" si="635"/>
        <v>-4.95677297614048E-3</v>
      </c>
      <c r="CV564" s="2">
        <f t="shared" si="636"/>
        <v>-13.458917698846307</v>
      </c>
      <c r="CW564" s="263" t="s">
        <v>1461</v>
      </c>
      <c r="CX564" s="264" t="str">
        <f t="shared" si="637"/>
        <v>reg</v>
      </c>
      <c r="CY564" s="270" t="s">
        <v>743</v>
      </c>
      <c r="DA564" s="143"/>
      <c r="DB564" s="143">
        <v>0</v>
      </c>
      <c r="DC564" t="str">
        <f t="shared" si="638"/>
        <v>0</v>
      </c>
      <c r="DD564">
        <v>0</v>
      </c>
      <c r="DE564">
        <v>1</v>
      </c>
      <c r="DF564">
        <v>0</v>
      </c>
      <c r="DG564">
        <v>0</v>
      </c>
      <c r="DH564">
        <v>0</v>
      </c>
      <c r="DI564">
        <f t="shared" si="653"/>
        <v>1</v>
      </c>
      <c r="DJ564" t="str">
        <f t="shared" si="639"/>
        <v>EnergyInput</v>
      </c>
      <c r="DK564">
        <f t="shared" si="640"/>
        <v>0</v>
      </c>
      <c r="DL564" t="str">
        <f t="shared" si="641"/>
        <v>Energy</v>
      </c>
      <c r="DM564">
        <f t="shared" si="642"/>
        <v>0</v>
      </c>
      <c r="DN564">
        <f t="shared" si="643"/>
        <v>0</v>
      </c>
      <c r="DO564">
        <v>0</v>
      </c>
      <c r="DP564" s="143">
        <v>0</v>
      </c>
      <c r="DQ564" s="143">
        <v>0</v>
      </c>
      <c r="DR564">
        <v>0</v>
      </c>
      <c r="DS564" s="143">
        <v>0</v>
      </c>
      <c r="DT564">
        <f t="shared" si="644"/>
        <v>0</v>
      </c>
      <c r="DU564" s="143" t="str">
        <f t="shared" si="645"/>
        <v>explicit C balance</v>
      </c>
      <c r="DV564" s="143">
        <v>0</v>
      </c>
      <c r="DW564" s="143">
        <v>0</v>
      </c>
      <c r="DX564" s="143">
        <v>0</v>
      </c>
      <c r="DY564" s="143">
        <v>0</v>
      </c>
      <c r="DZ564">
        <v>0</v>
      </c>
      <c r="EA564" s="143">
        <v>0</v>
      </c>
      <c r="EB564" s="143">
        <v>1</v>
      </c>
      <c r="EC564" s="143">
        <v>1</v>
      </c>
      <c r="ED564" s="143">
        <v>0</v>
      </c>
      <c r="EE564">
        <v>1</v>
      </c>
      <c r="EF564">
        <v>0</v>
      </c>
      <c r="EG564" s="143">
        <v>0</v>
      </c>
      <c r="EH564" s="143">
        <v>0</v>
      </c>
      <c r="EI564" s="2">
        <v>0</v>
      </c>
      <c r="EK564" t="str">
        <f t="shared" si="646"/>
        <v/>
      </c>
      <c r="EL564" t="str">
        <f t="shared" si="647"/>
        <v/>
      </c>
      <c r="EM564" s="2" t="str">
        <f t="shared" si="655"/>
        <v>Technology approach</v>
      </c>
      <c r="EP564" t="str">
        <f>IF(ISNUMBER(BU564),IF(ABS(BU564-[4]QC_indicators!$B$2)&gt;3*[4]QC_indicators!$C$2,"C ratio",IF(ISNUMBER(BY564),IF(ABS(BY564-[4]QC_indicators!$B$1)&gt;3*[4]QC_indicators!$C$1,"DF","no"))),IF(ISNUMBER(BY564),IF(ABS(BY564-[4]QC_indicators!$B$1)&gt;3*[4]QC_indicators!$C$1,"DF","no")))</f>
        <v>no</v>
      </c>
      <c r="ER564" s="149"/>
      <c r="ET564" s="264" t="s">
        <v>3406</v>
      </c>
    </row>
    <row r="565" spans="1:150" ht="15" hidden="1" customHeight="1">
      <c r="A565" s="1" t="s">
        <v>587</v>
      </c>
      <c r="B565" t="s">
        <v>1447</v>
      </c>
      <c r="C565" t="s">
        <v>1448</v>
      </c>
      <c r="D565" t="s">
        <v>1449</v>
      </c>
      <c r="E565" t="s">
        <v>1450</v>
      </c>
      <c r="F565" t="s">
        <v>1451</v>
      </c>
      <c r="G565" t="s">
        <v>593</v>
      </c>
      <c r="H565" t="s">
        <v>254</v>
      </c>
      <c r="I565">
        <v>2020</v>
      </c>
      <c r="J565">
        <v>12</v>
      </c>
      <c r="K565" t="s">
        <v>1452</v>
      </c>
      <c r="M565" t="str">
        <f t="shared" si="615"/>
        <v>Elisa_2020</v>
      </c>
      <c r="N565" s="264" t="s">
        <v>222</v>
      </c>
      <c r="O565" s="171" t="s">
        <v>274</v>
      </c>
      <c r="P565" t="s">
        <v>223</v>
      </c>
      <c r="Q565" s="264" t="s">
        <v>389</v>
      </c>
      <c r="R565" s="269" t="s">
        <v>1153</v>
      </c>
      <c r="S565" s="154" t="s">
        <v>1453</v>
      </c>
      <c r="T565" s="294" t="s">
        <v>1454</v>
      </c>
      <c r="U565" s="143" t="s">
        <v>1495</v>
      </c>
      <c r="V565">
        <v>0</v>
      </c>
      <c r="W565">
        <v>0</v>
      </c>
      <c r="X565">
        <v>0</v>
      </c>
      <c r="Y565">
        <v>0</v>
      </c>
      <c r="Z565">
        <v>0</v>
      </c>
      <c r="AA565">
        <v>0</v>
      </c>
      <c r="AB565">
        <v>0</v>
      </c>
      <c r="AC565">
        <v>0</v>
      </c>
      <c r="AD565">
        <v>0</v>
      </c>
      <c r="AE565">
        <v>1</v>
      </c>
      <c r="AF565">
        <v>0</v>
      </c>
      <c r="AG565">
        <v>0</v>
      </c>
      <c r="AH565">
        <v>0</v>
      </c>
      <c r="AI565">
        <v>0</v>
      </c>
      <c r="AJ565">
        <v>0</v>
      </c>
      <c r="AK565">
        <v>1</v>
      </c>
      <c r="AL565">
        <v>0</v>
      </c>
      <c r="AM565">
        <v>0</v>
      </c>
      <c r="AN565">
        <v>0</v>
      </c>
      <c r="AO565">
        <v>0</v>
      </c>
      <c r="AP565">
        <v>0</v>
      </c>
      <c r="AQ565">
        <v>0</v>
      </c>
      <c r="AR565">
        <v>0</v>
      </c>
      <c r="AS565">
        <v>0</v>
      </c>
      <c r="AT565">
        <v>0</v>
      </c>
      <c r="AU565">
        <v>0</v>
      </c>
      <c r="AV565">
        <v>0</v>
      </c>
      <c r="AW565">
        <v>0</v>
      </c>
      <c r="AX565" s="141">
        <f t="shared" si="621"/>
        <v>2</v>
      </c>
      <c r="AY565" s="141">
        <f t="shared" si="622"/>
        <v>2</v>
      </c>
      <c r="AZ565">
        <f t="shared" si="623"/>
        <v>0</v>
      </c>
      <c r="BA565">
        <f t="shared" si="624"/>
        <v>1</v>
      </c>
      <c r="BB565">
        <f t="shared" si="625"/>
        <v>1</v>
      </c>
      <c r="BC565">
        <f t="shared" si="626"/>
        <v>0</v>
      </c>
      <c r="BD565">
        <f t="shared" si="627"/>
        <v>0</v>
      </c>
      <c r="BE565" t="str" cm="1">
        <f t="array" ref="BE565">IF(AY565=1,INDEX($V$7:$AL$7,MATCH(TRUE,INDEX($V565:$AW565&lt;&gt;0,),0)),IF(AY565=0,INDEX($AM$7:$AW$7,MATCH(1,$AM565:$AW565,0)),IF(BF565="Multiple strategies","mixed drivers",IF(BF565="Supply chain","multiple supply","multiple silviculture"))))</f>
        <v>mixed drivers</v>
      </c>
      <c r="BF565" s="2" t="str" cm="1">
        <f t="array" ref="BF565">IF(COUNTIF(AZ565:BB565,"&lt;&gt;0")=1,INDEX($V$4:$AW$4,MATCH(TRUE,INDEX($V565:$AW565&lt;&gt;0,),0)),IF(COUNTIF(AZ565:BB565,"&lt;&gt;0")=0,INDEX($AM$4:$AW$4,MATCH(1,$AM565:$AW565,0)),"Multiple strategies"))</f>
        <v>Multiple strategies</v>
      </c>
      <c r="BG565" s="142" t="s">
        <v>321</v>
      </c>
      <c r="BH565" s="160" t="s">
        <v>1456</v>
      </c>
      <c r="BI565" s="160" t="s">
        <v>1457</v>
      </c>
      <c r="BJ565" s="143" t="s">
        <v>498</v>
      </c>
      <c r="BK565" s="143">
        <v>944</v>
      </c>
      <c r="BL565" s="143">
        <v>4837</v>
      </c>
      <c r="BM565">
        <f>IFERROR(BL565/BK565,"")</f>
        <v>5.1239406779661021</v>
      </c>
      <c r="BN565">
        <f t="shared" si="628"/>
        <v>3893</v>
      </c>
      <c r="BO565" s="159">
        <f t="shared" si="650"/>
        <v>3893</v>
      </c>
      <c r="BP565" s="155" t="s">
        <v>232</v>
      </c>
      <c r="BQ565" s="155" t="s">
        <v>1458</v>
      </c>
      <c r="BR565" s="155" t="s">
        <v>825</v>
      </c>
      <c r="BS565" s="143" t="s">
        <v>1459</v>
      </c>
      <c r="BT565" t="s">
        <v>1496</v>
      </c>
      <c r="BU565" s="144">
        <f t="shared" si="651"/>
        <v>3.6923663361293109</v>
      </c>
      <c r="BV565">
        <f t="shared" si="629"/>
        <v>-18.8953433</v>
      </c>
      <c r="BX565">
        <f t="shared" si="652"/>
        <v>-18.8953433</v>
      </c>
      <c r="BY565">
        <f t="shared" si="654"/>
        <v>-4.8536715386591316E-3</v>
      </c>
      <c r="BZ565">
        <v>0</v>
      </c>
      <c r="CA565">
        <v>0</v>
      </c>
      <c r="CB565">
        <v>0</v>
      </c>
      <c r="CC565">
        <v>0</v>
      </c>
      <c r="CD565">
        <v>0</v>
      </c>
      <c r="CE565">
        <v>0</v>
      </c>
      <c r="CF565">
        <v>0</v>
      </c>
      <c r="CG565">
        <v>0</v>
      </c>
      <c r="CH565">
        <v>0</v>
      </c>
      <c r="CI565">
        <v>0</v>
      </c>
      <c r="CJ565">
        <v>0</v>
      </c>
      <c r="CK565">
        <v>0</v>
      </c>
      <c r="CL565">
        <v>0</v>
      </c>
      <c r="CM565">
        <v>0</v>
      </c>
      <c r="CN565" t="str">
        <f t="shared" si="630"/>
        <v>refOK</v>
      </c>
      <c r="CO565">
        <f t="shared" si="648"/>
        <v>944</v>
      </c>
      <c r="CP565">
        <f t="shared" si="649"/>
        <v>4837</v>
      </c>
      <c r="CQ565">
        <f t="shared" si="631"/>
        <v>3893</v>
      </c>
      <c r="CR565">
        <f t="shared" si="632"/>
        <v>-7.0181174999999998</v>
      </c>
      <c r="CS565">
        <f t="shared" si="633"/>
        <v>-25.913460799999999</v>
      </c>
      <c r="CT565">
        <f t="shared" si="634"/>
        <v>-18.8953433</v>
      </c>
      <c r="CU565">
        <f t="shared" si="635"/>
        <v>-4.8536715386591316E-3</v>
      </c>
      <c r="CV565" s="2">
        <f t="shared" si="636"/>
        <v>-2.6923663361293113</v>
      </c>
      <c r="CW565" s="263" t="s">
        <v>1461</v>
      </c>
      <c r="CX565" s="264" t="str">
        <f t="shared" si="637"/>
        <v>reg</v>
      </c>
      <c r="CY565" s="270" t="s">
        <v>743</v>
      </c>
      <c r="DA565" s="143"/>
      <c r="DB565" s="143">
        <v>0</v>
      </c>
      <c r="DC565" t="str">
        <f t="shared" si="638"/>
        <v>0</v>
      </c>
      <c r="DD565">
        <v>0</v>
      </c>
      <c r="DE565">
        <v>1</v>
      </c>
      <c r="DF565">
        <v>0</v>
      </c>
      <c r="DG565">
        <v>0</v>
      </c>
      <c r="DH565">
        <v>0</v>
      </c>
      <c r="DI565">
        <f t="shared" si="653"/>
        <v>1</v>
      </c>
      <c r="DJ565" t="str">
        <f t="shared" si="639"/>
        <v>EnergyInput</v>
      </c>
      <c r="DK565">
        <f t="shared" si="640"/>
        <v>0</v>
      </c>
      <c r="DL565" t="str">
        <f t="shared" si="641"/>
        <v>Energy</v>
      </c>
      <c r="DM565">
        <f t="shared" si="642"/>
        <v>0</v>
      </c>
      <c r="DN565">
        <f t="shared" si="643"/>
        <v>0</v>
      </c>
      <c r="DO565">
        <v>0</v>
      </c>
      <c r="DP565" s="143">
        <v>0</v>
      </c>
      <c r="DQ565" s="143">
        <v>0</v>
      </c>
      <c r="DR565">
        <v>0</v>
      </c>
      <c r="DS565" s="143">
        <v>0</v>
      </c>
      <c r="DT565">
        <f t="shared" si="644"/>
        <v>0</v>
      </c>
      <c r="DU565" s="143" t="str">
        <f t="shared" si="645"/>
        <v>explicit C balance</v>
      </c>
      <c r="DV565" s="143">
        <v>0</v>
      </c>
      <c r="DW565" s="143">
        <v>0</v>
      </c>
      <c r="DX565" s="143">
        <v>0</v>
      </c>
      <c r="DY565" s="143">
        <v>0</v>
      </c>
      <c r="DZ565">
        <v>0</v>
      </c>
      <c r="EA565" s="143">
        <v>0</v>
      </c>
      <c r="EB565" s="143">
        <v>1</v>
      </c>
      <c r="EC565" s="143">
        <v>1</v>
      </c>
      <c r="ED565" s="143">
        <v>0</v>
      </c>
      <c r="EE565">
        <v>1</v>
      </c>
      <c r="EF565">
        <v>0</v>
      </c>
      <c r="EG565" s="143">
        <v>0</v>
      </c>
      <c r="EH565" s="143">
        <v>0</v>
      </c>
      <c r="EI565" s="2">
        <v>0</v>
      </c>
      <c r="EK565" t="str">
        <f t="shared" si="646"/>
        <v/>
      </c>
      <c r="EL565" t="str">
        <f t="shared" si="647"/>
        <v/>
      </c>
      <c r="EM565" s="2" t="str">
        <f t="shared" si="655"/>
        <v>Technology approach</v>
      </c>
      <c r="EP565" t="str">
        <f>IF(ISNUMBER(BU565),IF(ABS(BU565-[4]QC_indicators!$B$2)&gt;3*[4]QC_indicators!$C$2,"C ratio",IF(ISNUMBER(BY565),IF(ABS(BY565-[4]QC_indicators!$B$1)&gt;3*[4]QC_indicators!$C$1,"DF","no"))),IF(ISNUMBER(BY565),IF(ABS(BY565-[4]QC_indicators!$B$1)&gt;3*[4]QC_indicators!$C$1,"DF","no")))</f>
        <v>no</v>
      </c>
      <c r="ER565" s="149"/>
      <c r="ET565" s="264" t="s">
        <v>3406</v>
      </c>
    </row>
    <row r="566" spans="1:150" ht="15" hidden="1" customHeight="1">
      <c r="A566" s="1" t="s">
        <v>587</v>
      </c>
      <c r="B566" t="s">
        <v>1447</v>
      </c>
      <c r="C566" t="s">
        <v>1448</v>
      </c>
      <c r="D566" t="s">
        <v>1449</v>
      </c>
      <c r="E566" t="s">
        <v>1450</v>
      </c>
      <c r="F566" t="s">
        <v>1451</v>
      </c>
      <c r="G566" t="s">
        <v>593</v>
      </c>
      <c r="H566" t="s">
        <v>254</v>
      </c>
      <c r="I566">
        <v>2020</v>
      </c>
      <c r="J566">
        <v>12</v>
      </c>
      <c r="K566" t="s">
        <v>1452</v>
      </c>
      <c r="M566" t="str">
        <f t="shared" si="615"/>
        <v>Elisa_2020</v>
      </c>
      <c r="N566" s="264" t="s">
        <v>222</v>
      </c>
      <c r="O566" s="171" t="s">
        <v>274</v>
      </c>
      <c r="P566" t="s">
        <v>223</v>
      </c>
      <c r="Q566" s="264" t="s">
        <v>389</v>
      </c>
      <c r="R566" s="269" t="s">
        <v>1153</v>
      </c>
      <c r="S566" s="154" t="s">
        <v>1453</v>
      </c>
      <c r="T566" s="294" t="s">
        <v>1454</v>
      </c>
      <c r="U566" s="143" t="s">
        <v>1493</v>
      </c>
      <c r="V566">
        <v>0</v>
      </c>
      <c r="W566">
        <v>0</v>
      </c>
      <c r="X566">
        <v>0</v>
      </c>
      <c r="Y566">
        <v>0</v>
      </c>
      <c r="Z566">
        <v>0</v>
      </c>
      <c r="AA566">
        <v>0</v>
      </c>
      <c r="AB566">
        <v>0</v>
      </c>
      <c r="AC566">
        <v>0</v>
      </c>
      <c r="AD566">
        <v>0</v>
      </c>
      <c r="AE566">
        <v>1</v>
      </c>
      <c r="AF566">
        <v>0</v>
      </c>
      <c r="AG566">
        <v>0</v>
      </c>
      <c r="AH566">
        <v>0</v>
      </c>
      <c r="AI566">
        <v>0</v>
      </c>
      <c r="AJ566">
        <v>0</v>
      </c>
      <c r="AK566">
        <v>1</v>
      </c>
      <c r="AL566">
        <v>0</v>
      </c>
      <c r="AM566">
        <v>0</v>
      </c>
      <c r="AN566">
        <v>0</v>
      </c>
      <c r="AO566">
        <v>0</v>
      </c>
      <c r="AP566">
        <v>0</v>
      </c>
      <c r="AQ566">
        <v>0</v>
      </c>
      <c r="AR566">
        <v>0</v>
      </c>
      <c r="AS566">
        <v>0</v>
      </c>
      <c r="AT566">
        <v>0</v>
      </c>
      <c r="AU566">
        <v>0</v>
      </c>
      <c r="AV566">
        <v>0</v>
      </c>
      <c r="AW566">
        <v>0</v>
      </c>
      <c r="AX566" s="141">
        <f t="shared" si="621"/>
        <v>2</v>
      </c>
      <c r="AY566" s="141">
        <f t="shared" si="622"/>
        <v>2</v>
      </c>
      <c r="AZ566">
        <f t="shared" si="623"/>
        <v>0</v>
      </c>
      <c r="BA566">
        <f t="shared" si="624"/>
        <v>1</v>
      </c>
      <c r="BB566">
        <f t="shared" si="625"/>
        <v>1</v>
      </c>
      <c r="BC566">
        <f t="shared" si="626"/>
        <v>0</v>
      </c>
      <c r="BD566">
        <f t="shared" si="627"/>
        <v>0</v>
      </c>
      <c r="BE566" t="str" cm="1">
        <f t="array" ref="BE566">IF(AY566=1,INDEX($V$7:$AL$7,MATCH(TRUE,INDEX($V566:$AW566&lt;&gt;0,),0)),IF(AY566=0,INDEX($AM$7:$AW$7,MATCH(1,$AM566:$AW566,0)),IF(BF566="Multiple strategies","mixed drivers",IF(BF566="Supply chain","multiple supply","multiple silviculture"))))</f>
        <v>mixed drivers</v>
      </c>
      <c r="BF566" s="2" t="str" cm="1">
        <f t="array" ref="BF566">IF(COUNTIF(AZ566:BB566,"&lt;&gt;0")=1,INDEX($V$4:$AW$4,MATCH(TRUE,INDEX($V566:$AW566&lt;&gt;0,),0)),IF(COUNTIF(AZ566:BB566,"&lt;&gt;0")=0,INDEX($AM$4:$AW$4,MATCH(1,$AM566:$AW566,0)),"Multiple strategies"))</f>
        <v>Multiple strategies</v>
      </c>
      <c r="BG566" s="142" t="s">
        <v>321</v>
      </c>
      <c r="BH566" s="160" t="s">
        <v>1456</v>
      </c>
      <c r="BI566" s="160" t="s">
        <v>1457</v>
      </c>
      <c r="BJ566" s="143" t="s">
        <v>498</v>
      </c>
      <c r="BK566" s="143">
        <v>944</v>
      </c>
      <c r="BL566" s="143">
        <v>20000</v>
      </c>
      <c r="BM566">
        <f>IFERROR(BL568/BK566,"")</f>
        <v>143.7415254237288</v>
      </c>
      <c r="BN566">
        <f t="shared" si="628"/>
        <v>19056</v>
      </c>
      <c r="BO566" s="159">
        <f t="shared" si="650"/>
        <v>19056</v>
      </c>
      <c r="BP566" s="155" t="s">
        <v>232</v>
      </c>
      <c r="BQ566" s="155" t="s">
        <v>1458</v>
      </c>
      <c r="BR566" s="155" t="s">
        <v>825</v>
      </c>
      <c r="BS566" s="143" t="s">
        <v>1462</v>
      </c>
      <c r="BT566" t="s">
        <v>1497</v>
      </c>
      <c r="BU566" s="144">
        <f t="shared" si="651"/>
        <v>14.351077583114263</v>
      </c>
      <c r="BV566">
        <f t="shared" si="629"/>
        <v>-92.264524166666703</v>
      </c>
      <c r="BX566">
        <f t="shared" si="652"/>
        <v>-92.264524166666703</v>
      </c>
      <c r="BY566">
        <f t="shared" si="654"/>
        <v>-4.8417571456059356E-3</v>
      </c>
      <c r="BZ566">
        <v>0</v>
      </c>
      <c r="CA566">
        <v>0</v>
      </c>
      <c r="CB566">
        <v>0</v>
      </c>
      <c r="CC566">
        <v>0</v>
      </c>
      <c r="CD566">
        <v>0</v>
      </c>
      <c r="CE566">
        <v>0</v>
      </c>
      <c r="CF566">
        <v>0</v>
      </c>
      <c r="CG566">
        <v>0</v>
      </c>
      <c r="CH566">
        <v>0</v>
      </c>
      <c r="CI566">
        <v>0</v>
      </c>
      <c r="CJ566">
        <v>0</v>
      </c>
      <c r="CK566">
        <v>0</v>
      </c>
      <c r="CL566">
        <v>0</v>
      </c>
      <c r="CM566">
        <v>0</v>
      </c>
      <c r="CN566" t="str">
        <f t="shared" si="630"/>
        <v>refOK</v>
      </c>
      <c r="CO566">
        <f t="shared" si="648"/>
        <v>944</v>
      </c>
      <c r="CP566">
        <f t="shared" si="649"/>
        <v>20000</v>
      </c>
      <c r="CQ566">
        <f t="shared" si="631"/>
        <v>19056</v>
      </c>
      <c r="CR566">
        <f t="shared" si="632"/>
        <v>-6.9106424999999998</v>
      </c>
      <c r="CS566">
        <f t="shared" si="633"/>
        <v>-99.175166666666698</v>
      </c>
      <c r="CT566">
        <f t="shared" si="634"/>
        <v>-92.264524166666703</v>
      </c>
      <c r="CU566">
        <f t="shared" si="635"/>
        <v>-4.8417571456059356E-3</v>
      </c>
      <c r="CV566" s="2">
        <f t="shared" si="636"/>
        <v>-13.351077583114263</v>
      </c>
      <c r="CW566" s="263" t="s">
        <v>1461</v>
      </c>
      <c r="CX566" s="264" t="str">
        <f t="shared" si="637"/>
        <v>reg</v>
      </c>
      <c r="CY566" s="270" t="s">
        <v>743</v>
      </c>
      <c r="DA566" s="143"/>
      <c r="DB566" s="143">
        <v>0</v>
      </c>
      <c r="DC566" t="str">
        <f t="shared" si="638"/>
        <v>0</v>
      </c>
      <c r="DD566">
        <v>0</v>
      </c>
      <c r="DE566">
        <v>1</v>
      </c>
      <c r="DF566">
        <v>0</v>
      </c>
      <c r="DG566">
        <v>0</v>
      </c>
      <c r="DH566">
        <v>0</v>
      </c>
      <c r="DI566">
        <f t="shared" si="653"/>
        <v>1</v>
      </c>
      <c r="DJ566" t="str">
        <f t="shared" si="639"/>
        <v>EnergyInput</v>
      </c>
      <c r="DK566">
        <f t="shared" si="640"/>
        <v>0</v>
      </c>
      <c r="DL566" t="str">
        <f t="shared" si="641"/>
        <v>Energy</v>
      </c>
      <c r="DM566">
        <f t="shared" si="642"/>
        <v>0</v>
      </c>
      <c r="DN566">
        <f t="shared" si="643"/>
        <v>0</v>
      </c>
      <c r="DO566">
        <v>0</v>
      </c>
      <c r="DP566" s="143">
        <v>0</v>
      </c>
      <c r="DQ566" s="143">
        <v>0</v>
      </c>
      <c r="DR566">
        <v>0</v>
      </c>
      <c r="DS566" s="143">
        <v>0</v>
      </c>
      <c r="DT566">
        <f t="shared" si="644"/>
        <v>0</v>
      </c>
      <c r="DU566" s="143" t="str">
        <f t="shared" si="645"/>
        <v>explicit C balance</v>
      </c>
      <c r="DV566" s="143">
        <v>0</v>
      </c>
      <c r="DW566" s="143">
        <v>0</v>
      </c>
      <c r="DX566" s="143">
        <v>0</v>
      </c>
      <c r="DY566" s="143">
        <v>0</v>
      </c>
      <c r="DZ566">
        <v>0</v>
      </c>
      <c r="EA566" s="143">
        <v>0</v>
      </c>
      <c r="EB566" s="143">
        <v>0</v>
      </c>
      <c r="EC566" s="143">
        <v>1</v>
      </c>
      <c r="ED566" s="143">
        <v>0</v>
      </c>
      <c r="EE566">
        <v>1</v>
      </c>
      <c r="EF566">
        <v>0</v>
      </c>
      <c r="EG566" s="143">
        <v>0</v>
      </c>
      <c r="EH566" s="143">
        <v>0</v>
      </c>
      <c r="EI566" s="2">
        <v>0</v>
      </c>
      <c r="EK566" t="str">
        <f t="shared" si="646"/>
        <v/>
      </c>
      <c r="EL566" t="str">
        <f t="shared" si="647"/>
        <v/>
      </c>
      <c r="EM566" s="2" t="str">
        <f t="shared" si="655"/>
        <v>Technology approach</v>
      </c>
      <c r="EP566" t="str">
        <f>IF(ISNUMBER(BU566),IF(ABS(BU566-[4]QC_indicators!$B$2)&gt;3*[4]QC_indicators!$C$2,"C ratio",IF(ISNUMBER(BY566),IF(ABS(BY566-[4]QC_indicators!$B$1)&gt;3*[4]QC_indicators!$C$1,"DF","no"))),IF(ISNUMBER(BY566),IF(ABS(BY566-[4]QC_indicators!$B$1)&gt;3*[4]QC_indicators!$C$1,"DF","no")))</f>
        <v>no</v>
      </c>
      <c r="ER566" s="149"/>
      <c r="ET566" s="264" t="s">
        <v>3406</v>
      </c>
    </row>
    <row r="567" spans="1:150" ht="15" hidden="1" customHeight="1">
      <c r="A567" s="1" t="s">
        <v>587</v>
      </c>
      <c r="B567" t="s">
        <v>1447</v>
      </c>
      <c r="C567" t="s">
        <v>1448</v>
      </c>
      <c r="D567" t="s">
        <v>1449</v>
      </c>
      <c r="E567" t="s">
        <v>1450</v>
      </c>
      <c r="F567" t="s">
        <v>1451</v>
      </c>
      <c r="G567" t="s">
        <v>593</v>
      </c>
      <c r="H567" t="s">
        <v>254</v>
      </c>
      <c r="I567">
        <v>2020</v>
      </c>
      <c r="J567">
        <v>12</v>
      </c>
      <c r="K567" t="s">
        <v>1452</v>
      </c>
      <c r="M567" t="str">
        <f t="shared" si="615"/>
        <v>Elisa_2020</v>
      </c>
      <c r="N567" s="264" t="s">
        <v>222</v>
      </c>
      <c r="O567" s="171" t="s">
        <v>274</v>
      </c>
      <c r="P567" t="s">
        <v>223</v>
      </c>
      <c r="Q567" s="264" t="s">
        <v>389</v>
      </c>
      <c r="R567" s="269" t="s">
        <v>1153</v>
      </c>
      <c r="S567" s="154" t="s">
        <v>1453</v>
      </c>
      <c r="T567" s="294" t="s">
        <v>1454</v>
      </c>
      <c r="U567" s="143" t="s">
        <v>1495</v>
      </c>
      <c r="V567">
        <v>0</v>
      </c>
      <c r="W567">
        <v>0</v>
      </c>
      <c r="X567">
        <v>0</v>
      </c>
      <c r="Y567">
        <v>0</v>
      </c>
      <c r="Z567">
        <v>0</v>
      </c>
      <c r="AA567">
        <v>0</v>
      </c>
      <c r="AB567">
        <v>0</v>
      </c>
      <c r="AC567">
        <v>0</v>
      </c>
      <c r="AD567">
        <v>0</v>
      </c>
      <c r="AE567">
        <v>1</v>
      </c>
      <c r="AF567">
        <v>0</v>
      </c>
      <c r="AG567">
        <v>0</v>
      </c>
      <c r="AH567">
        <v>0</v>
      </c>
      <c r="AI567">
        <v>0</v>
      </c>
      <c r="AJ567">
        <v>0</v>
      </c>
      <c r="AK567">
        <v>1</v>
      </c>
      <c r="AL567">
        <v>0</v>
      </c>
      <c r="AM567">
        <v>0</v>
      </c>
      <c r="AN567">
        <v>0</v>
      </c>
      <c r="AO567">
        <v>0</v>
      </c>
      <c r="AP567">
        <v>0</v>
      </c>
      <c r="AQ567">
        <v>0</v>
      </c>
      <c r="AR567">
        <v>0</v>
      </c>
      <c r="AS567">
        <v>0</v>
      </c>
      <c r="AT567">
        <v>0</v>
      </c>
      <c r="AU567">
        <v>0</v>
      </c>
      <c r="AV567">
        <v>0</v>
      </c>
      <c r="AW567">
        <v>0</v>
      </c>
      <c r="AX567" s="141">
        <f t="shared" si="621"/>
        <v>2</v>
      </c>
      <c r="AY567" s="141">
        <f t="shared" si="622"/>
        <v>2</v>
      </c>
      <c r="AZ567">
        <f t="shared" si="623"/>
        <v>0</v>
      </c>
      <c r="BA567">
        <f t="shared" si="624"/>
        <v>1</v>
      </c>
      <c r="BB567">
        <f t="shared" si="625"/>
        <v>1</v>
      </c>
      <c r="BC567">
        <f t="shared" si="626"/>
        <v>0</v>
      </c>
      <c r="BD567">
        <f t="shared" si="627"/>
        <v>0</v>
      </c>
      <c r="BE567" t="str" cm="1">
        <f t="array" ref="BE567">IF(AY567=1,INDEX($V$7:$AL$7,MATCH(TRUE,INDEX($V567:$AW567&lt;&gt;0,),0)),IF(AY567=0,INDEX($AM$7:$AW$7,MATCH(1,$AM567:$AW567,0)),IF(BF567="Multiple strategies","mixed drivers",IF(BF567="Supply chain","multiple supply","multiple silviculture"))))</f>
        <v>mixed drivers</v>
      </c>
      <c r="BF567" s="2" t="str" cm="1">
        <f t="array" ref="BF567">IF(COUNTIF(AZ567:BB567,"&lt;&gt;0")=1,INDEX($V$4:$AW$4,MATCH(TRUE,INDEX($V567:$AW567&lt;&gt;0,),0)),IF(COUNTIF(AZ567:BB567,"&lt;&gt;0")=0,INDEX($AM$4:$AW$4,MATCH(1,$AM567:$AW567,0)),"Multiple strategies"))</f>
        <v>Multiple strategies</v>
      </c>
      <c r="BG567" s="142" t="s">
        <v>321</v>
      </c>
      <c r="BH567" s="160" t="s">
        <v>1456</v>
      </c>
      <c r="BI567" s="160" t="s">
        <v>1457</v>
      </c>
      <c r="BJ567" s="143" t="s">
        <v>498</v>
      </c>
      <c r="BK567" s="143">
        <v>944</v>
      </c>
      <c r="BL567" s="143">
        <v>4837</v>
      </c>
      <c r="BM567">
        <f>IFERROR(BL569/BK567,"")</f>
        <v>143.7415254237288</v>
      </c>
      <c r="BN567">
        <f t="shared" si="628"/>
        <v>3893</v>
      </c>
      <c r="BO567" s="159">
        <f t="shared" si="650"/>
        <v>3893</v>
      </c>
      <c r="BP567" s="155" t="s">
        <v>232</v>
      </c>
      <c r="BQ567" s="155" t="s">
        <v>1458</v>
      </c>
      <c r="BR567" s="155" t="s">
        <v>825</v>
      </c>
      <c r="BS567" s="143" t="s">
        <v>1462</v>
      </c>
      <c r="BT567" t="s">
        <v>1498</v>
      </c>
      <c r="BU567" s="144">
        <f t="shared" si="651"/>
        <v>3.680938301564102</v>
      </c>
      <c r="BV567">
        <f t="shared" si="629"/>
        <v>-18.527006166666702</v>
      </c>
      <c r="BX567">
        <f t="shared" si="652"/>
        <v>-18.527006166666702</v>
      </c>
      <c r="BY567">
        <f t="shared" si="654"/>
        <v>-4.7590562976282304E-3</v>
      </c>
      <c r="BZ567">
        <v>0</v>
      </c>
      <c r="CA567">
        <v>0</v>
      </c>
      <c r="CB567">
        <v>0</v>
      </c>
      <c r="CC567">
        <v>0</v>
      </c>
      <c r="CD567">
        <v>0</v>
      </c>
      <c r="CE567">
        <v>0</v>
      </c>
      <c r="CF567">
        <v>0</v>
      </c>
      <c r="CG567">
        <v>0</v>
      </c>
      <c r="CH567">
        <v>0</v>
      </c>
      <c r="CI567">
        <v>0</v>
      </c>
      <c r="CJ567">
        <v>0</v>
      </c>
      <c r="CK567">
        <v>0</v>
      </c>
      <c r="CL567">
        <v>0</v>
      </c>
      <c r="CM567">
        <v>0</v>
      </c>
      <c r="CN567" t="str">
        <f t="shared" si="630"/>
        <v>refOK</v>
      </c>
      <c r="CO567">
        <f t="shared" si="648"/>
        <v>944</v>
      </c>
      <c r="CP567">
        <f t="shared" si="649"/>
        <v>4837</v>
      </c>
      <c r="CQ567">
        <f t="shared" si="631"/>
        <v>3893</v>
      </c>
      <c r="CR567">
        <f t="shared" si="632"/>
        <v>-6.9106424999999998</v>
      </c>
      <c r="CS567">
        <f t="shared" si="633"/>
        <v>-25.4376486666667</v>
      </c>
      <c r="CT567">
        <f t="shared" si="634"/>
        <v>-18.527006166666702</v>
      </c>
      <c r="CU567">
        <f t="shared" si="635"/>
        <v>-4.7590562976282304E-3</v>
      </c>
      <c r="CV567" s="2">
        <f t="shared" si="636"/>
        <v>-2.6809383015641024</v>
      </c>
      <c r="CW567" s="263" t="s">
        <v>1461</v>
      </c>
      <c r="CX567" s="264" t="str">
        <f t="shared" si="637"/>
        <v>reg</v>
      </c>
      <c r="CY567" s="270" t="s">
        <v>743</v>
      </c>
      <c r="DA567" s="143"/>
      <c r="DB567" s="143">
        <v>0</v>
      </c>
      <c r="DC567" t="str">
        <f t="shared" si="638"/>
        <v>0</v>
      </c>
      <c r="DD567">
        <v>0</v>
      </c>
      <c r="DE567">
        <v>1</v>
      </c>
      <c r="DF567">
        <v>0</v>
      </c>
      <c r="DG567">
        <v>0</v>
      </c>
      <c r="DH567">
        <v>0</v>
      </c>
      <c r="DI567">
        <f t="shared" si="653"/>
        <v>1</v>
      </c>
      <c r="DJ567" t="str">
        <f t="shared" si="639"/>
        <v>EnergyInput</v>
      </c>
      <c r="DK567">
        <f t="shared" si="640"/>
        <v>0</v>
      </c>
      <c r="DL567" t="str">
        <f t="shared" si="641"/>
        <v>Energy</v>
      </c>
      <c r="DM567">
        <f t="shared" si="642"/>
        <v>0</v>
      </c>
      <c r="DN567">
        <f t="shared" si="643"/>
        <v>0</v>
      </c>
      <c r="DO567">
        <v>0</v>
      </c>
      <c r="DP567" s="143">
        <v>0</v>
      </c>
      <c r="DQ567" s="143">
        <v>0</v>
      </c>
      <c r="DR567">
        <v>0</v>
      </c>
      <c r="DS567" s="143">
        <v>0</v>
      </c>
      <c r="DT567">
        <f t="shared" si="644"/>
        <v>0</v>
      </c>
      <c r="DU567" s="143" t="str">
        <f t="shared" si="645"/>
        <v>explicit C balance</v>
      </c>
      <c r="DV567" s="143">
        <v>0</v>
      </c>
      <c r="DW567" s="143">
        <v>0</v>
      </c>
      <c r="DX567" s="143">
        <v>0</v>
      </c>
      <c r="DY567" s="143">
        <v>0</v>
      </c>
      <c r="DZ567">
        <v>0</v>
      </c>
      <c r="EA567" s="143">
        <v>0</v>
      </c>
      <c r="EB567" s="143">
        <v>0</v>
      </c>
      <c r="EC567" s="143">
        <v>1</v>
      </c>
      <c r="ED567" s="143">
        <v>0</v>
      </c>
      <c r="EE567">
        <v>1</v>
      </c>
      <c r="EF567">
        <v>0</v>
      </c>
      <c r="EG567" s="143">
        <v>0</v>
      </c>
      <c r="EH567" s="143">
        <v>0</v>
      </c>
      <c r="EI567" s="2">
        <v>0</v>
      </c>
      <c r="EK567" t="str">
        <f t="shared" si="646"/>
        <v/>
      </c>
      <c r="EL567" t="str">
        <f t="shared" si="647"/>
        <v/>
      </c>
      <c r="EM567" s="2" t="str">
        <f t="shared" si="655"/>
        <v>Technology approach</v>
      </c>
      <c r="EP567" t="str">
        <f>IF(ISNUMBER(BU567),IF(ABS(BU567-[4]QC_indicators!$B$2)&gt;3*[4]QC_indicators!$C$2,"C ratio",IF(ISNUMBER(BY567),IF(ABS(BY567-[4]QC_indicators!$B$1)&gt;3*[4]QC_indicators!$C$1,"DF","no"))),IF(ISNUMBER(BY567),IF(ABS(BY567-[4]QC_indicators!$B$1)&gt;3*[4]QC_indicators!$C$1,"DF","no")))</f>
        <v>no</v>
      </c>
      <c r="ER567" s="149"/>
      <c r="ET567" s="264" t="s">
        <v>3406</v>
      </c>
    </row>
    <row r="568" spans="1:150" ht="15" hidden="1" customHeight="1">
      <c r="A568" s="1" t="s">
        <v>587</v>
      </c>
      <c r="B568" t="s">
        <v>1447</v>
      </c>
      <c r="C568" t="s">
        <v>1448</v>
      </c>
      <c r="D568" t="s">
        <v>1449</v>
      </c>
      <c r="E568" t="s">
        <v>1450</v>
      </c>
      <c r="F568" t="s">
        <v>1451</v>
      </c>
      <c r="G568" t="s">
        <v>593</v>
      </c>
      <c r="H568" t="s">
        <v>254</v>
      </c>
      <c r="I568">
        <v>2020</v>
      </c>
      <c r="J568">
        <v>12</v>
      </c>
      <c r="K568" t="s">
        <v>1452</v>
      </c>
      <c r="M568" t="str">
        <f t="shared" si="615"/>
        <v>Elisa_2020</v>
      </c>
      <c r="N568" s="264" t="s">
        <v>222</v>
      </c>
      <c r="O568" s="171" t="s">
        <v>274</v>
      </c>
      <c r="P568" t="s">
        <v>223</v>
      </c>
      <c r="Q568" s="264" t="s">
        <v>389</v>
      </c>
      <c r="R568" s="269" t="s">
        <v>1153</v>
      </c>
      <c r="S568" s="154" t="s">
        <v>1453</v>
      </c>
      <c r="T568" s="294" t="s">
        <v>1454</v>
      </c>
      <c r="U568" s="143" t="s">
        <v>1499</v>
      </c>
      <c r="V568">
        <v>0</v>
      </c>
      <c r="W568">
        <v>0</v>
      </c>
      <c r="X568">
        <v>0</v>
      </c>
      <c r="Y568">
        <v>0</v>
      </c>
      <c r="Z568">
        <v>0</v>
      </c>
      <c r="AA568">
        <v>0</v>
      </c>
      <c r="AB568">
        <v>0</v>
      </c>
      <c r="AC568">
        <v>0</v>
      </c>
      <c r="AD568">
        <v>0</v>
      </c>
      <c r="AE568">
        <v>1</v>
      </c>
      <c r="AF568">
        <v>0</v>
      </c>
      <c r="AG568">
        <v>0</v>
      </c>
      <c r="AH568">
        <v>0</v>
      </c>
      <c r="AI568">
        <v>0</v>
      </c>
      <c r="AJ568">
        <v>0</v>
      </c>
      <c r="AK568">
        <v>1</v>
      </c>
      <c r="AL568">
        <v>0</v>
      </c>
      <c r="AM568">
        <v>0</v>
      </c>
      <c r="AN568">
        <v>0</v>
      </c>
      <c r="AO568">
        <v>0</v>
      </c>
      <c r="AP568">
        <v>0</v>
      </c>
      <c r="AQ568">
        <v>0</v>
      </c>
      <c r="AR568">
        <v>0</v>
      </c>
      <c r="AS568">
        <v>0</v>
      </c>
      <c r="AT568">
        <v>0</v>
      </c>
      <c r="AU568">
        <v>0</v>
      </c>
      <c r="AV568">
        <v>0</v>
      </c>
      <c r="AW568">
        <v>0</v>
      </c>
      <c r="AX568" s="141">
        <f t="shared" si="621"/>
        <v>2</v>
      </c>
      <c r="AY568" s="141">
        <f t="shared" si="622"/>
        <v>2</v>
      </c>
      <c r="AZ568">
        <f t="shared" si="623"/>
        <v>0</v>
      </c>
      <c r="BA568">
        <f t="shared" si="624"/>
        <v>1</v>
      </c>
      <c r="BB568">
        <f t="shared" si="625"/>
        <v>1</v>
      </c>
      <c r="BC568">
        <f t="shared" si="626"/>
        <v>0</v>
      </c>
      <c r="BD568">
        <f t="shared" si="627"/>
        <v>0</v>
      </c>
      <c r="BE568" t="str" cm="1">
        <f t="array" ref="BE568">IF(AY568=1,INDEX($V$7:$AL$7,MATCH(TRUE,INDEX($V568:$AW568&lt;&gt;0,),0)),IF(AY568=0,INDEX($AM$7:$AW$7,MATCH(1,$AM568:$AW568,0)),IF(BF568="Multiple strategies","mixed drivers",IF(BF568="Supply chain","multiple supply","multiple silviculture"))))</f>
        <v>mixed drivers</v>
      </c>
      <c r="BF568" s="2" t="str" cm="1">
        <f t="array" ref="BF568">IF(COUNTIF(AZ568:BB568,"&lt;&gt;0")=1,INDEX($V$4:$AW$4,MATCH(TRUE,INDEX($V568:$AW568&lt;&gt;0,),0)),IF(COUNTIF(AZ568:BB568,"&lt;&gt;0")=0,INDEX($AM$4:$AW$4,MATCH(1,$AM568:$AW568,0)),"Multiple strategies"))</f>
        <v>Multiple strategies</v>
      </c>
      <c r="BG568" s="142" t="s">
        <v>321</v>
      </c>
      <c r="BH568" s="160" t="s">
        <v>1456</v>
      </c>
      <c r="BI568" s="160" t="s">
        <v>1457</v>
      </c>
      <c r="BJ568" s="143" t="s">
        <v>498</v>
      </c>
      <c r="BK568" s="143">
        <v>944</v>
      </c>
      <c r="BL568" s="143">
        <v>135692</v>
      </c>
      <c r="BM568">
        <f>IFERROR(BL568/BK568,"")</f>
        <v>143.7415254237288</v>
      </c>
      <c r="BN568">
        <f t="shared" si="628"/>
        <v>134748</v>
      </c>
      <c r="BO568" s="159">
        <f t="shared" si="650"/>
        <v>134748</v>
      </c>
      <c r="BP568" s="155" t="s">
        <v>232</v>
      </c>
      <c r="BQ568" s="155" t="s">
        <v>1458</v>
      </c>
      <c r="BR568" s="155" t="s">
        <v>825</v>
      </c>
      <c r="BS568" s="143" t="s">
        <v>1459</v>
      </c>
      <c r="BT568" t="s">
        <v>1500</v>
      </c>
      <c r="BU568" s="144">
        <f t="shared" si="651"/>
        <v>62.280946421885929</v>
      </c>
      <c r="BV568">
        <f t="shared" si="629"/>
        <v>-430.07688250000001</v>
      </c>
      <c r="BX568">
        <f t="shared" si="652"/>
        <v>-430.07688250000001</v>
      </c>
      <c r="BY568">
        <f t="shared" si="654"/>
        <v>-3.1917125486092559E-3</v>
      </c>
      <c r="BZ568">
        <v>0</v>
      </c>
      <c r="CA568">
        <v>0</v>
      </c>
      <c r="CB568">
        <v>0</v>
      </c>
      <c r="CC568">
        <v>0</v>
      </c>
      <c r="CD568">
        <v>0</v>
      </c>
      <c r="CE568">
        <v>0</v>
      </c>
      <c r="CF568">
        <v>0</v>
      </c>
      <c r="CG568">
        <v>0</v>
      </c>
      <c r="CH568">
        <v>0</v>
      </c>
      <c r="CI568">
        <v>0</v>
      </c>
      <c r="CJ568">
        <v>0</v>
      </c>
      <c r="CK568">
        <v>0</v>
      </c>
      <c r="CL568">
        <v>0</v>
      </c>
      <c r="CM568">
        <v>0</v>
      </c>
      <c r="CN568" t="str">
        <f t="shared" si="630"/>
        <v>refOK</v>
      </c>
      <c r="CO568">
        <f t="shared" si="648"/>
        <v>944</v>
      </c>
      <c r="CP568">
        <f t="shared" si="649"/>
        <v>135692</v>
      </c>
      <c r="CQ568">
        <f t="shared" si="631"/>
        <v>134748</v>
      </c>
      <c r="CR568">
        <f t="shared" si="632"/>
        <v>-7.0181174999999998</v>
      </c>
      <c r="CS568">
        <f t="shared" si="633"/>
        <v>-437.09500000000003</v>
      </c>
      <c r="CT568">
        <f t="shared" si="634"/>
        <v>-430.07688250000001</v>
      </c>
      <c r="CU568">
        <f t="shared" si="635"/>
        <v>-3.1917125486092559E-3</v>
      </c>
      <c r="CV568" s="2">
        <f t="shared" si="636"/>
        <v>-61.280946421885929</v>
      </c>
      <c r="CW568" s="263" t="s">
        <v>1461</v>
      </c>
      <c r="CX568" s="264" t="str">
        <f t="shared" si="637"/>
        <v>reg</v>
      </c>
      <c r="CY568" s="270" t="s">
        <v>743</v>
      </c>
      <c r="DA568" s="143"/>
      <c r="DB568" s="143">
        <v>0</v>
      </c>
      <c r="DC568" t="str">
        <f t="shared" si="638"/>
        <v>0</v>
      </c>
      <c r="DD568">
        <v>0</v>
      </c>
      <c r="DE568">
        <v>1</v>
      </c>
      <c r="DF568">
        <v>0</v>
      </c>
      <c r="DG568">
        <v>0</v>
      </c>
      <c r="DH568">
        <v>0</v>
      </c>
      <c r="DI568">
        <f t="shared" si="653"/>
        <v>1</v>
      </c>
      <c r="DJ568" t="str">
        <f t="shared" si="639"/>
        <v>EnergyInput</v>
      </c>
      <c r="DK568">
        <f t="shared" si="640"/>
        <v>0</v>
      </c>
      <c r="DL568" t="str">
        <f t="shared" si="641"/>
        <v>Energy</v>
      </c>
      <c r="DM568">
        <f t="shared" si="642"/>
        <v>0</v>
      </c>
      <c r="DN568">
        <f t="shared" si="643"/>
        <v>0</v>
      </c>
      <c r="DO568">
        <v>0</v>
      </c>
      <c r="DP568" s="143">
        <v>0</v>
      </c>
      <c r="DQ568" s="143">
        <v>0</v>
      </c>
      <c r="DR568">
        <v>0</v>
      </c>
      <c r="DS568" s="143">
        <v>0</v>
      </c>
      <c r="DT568">
        <f t="shared" si="644"/>
        <v>0</v>
      </c>
      <c r="DU568" s="143" t="str">
        <f t="shared" si="645"/>
        <v>explicit C balance</v>
      </c>
      <c r="DV568" s="143">
        <v>0</v>
      </c>
      <c r="DW568" s="143">
        <v>0</v>
      </c>
      <c r="DX568" s="143">
        <v>0</v>
      </c>
      <c r="DY568" s="143">
        <v>0</v>
      </c>
      <c r="DZ568">
        <v>0</v>
      </c>
      <c r="EA568" s="143">
        <v>0</v>
      </c>
      <c r="EB568" s="143">
        <v>1</v>
      </c>
      <c r="EC568" s="143">
        <v>1</v>
      </c>
      <c r="ED568" s="143">
        <v>0</v>
      </c>
      <c r="EE568">
        <v>1</v>
      </c>
      <c r="EF568">
        <v>0</v>
      </c>
      <c r="EG568" s="143">
        <v>0</v>
      </c>
      <c r="EH568" s="143">
        <v>0</v>
      </c>
      <c r="EI568" s="2">
        <v>0</v>
      </c>
      <c r="EK568" t="str">
        <f t="shared" si="646"/>
        <v/>
      </c>
      <c r="EL568" t="str">
        <f t="shared" si="647"/>
        <v/>
      </c>
      <c r="EM568" s="2" t="str">
        <f t="shared" si="655"/>
        <v>Technology approach</v>
      </c>
      <c r="EP568" t="str">
        <f>IF(ISNUMBER(BU568),IF(ABS(BU568-[4]QC_indicators!$B$2)&gt;3*[4]QC_indicators!$C$2,"C ratio",IF(ISNUMBER(BY568),IF(ABS(BY568-[4]QC_indicators!$B$1)&gt;3*[4]QC_indicators!$C$1,"DF","no"))),IF(ISNUMBER(BY568),IF(ABS(BY568-[4]QC_indicators!$B$1)&gt;3*[4]QC_indicators!$C$1,"DF","no")))</f>
        <v>C ratio</v>
      </c>
      <c r="ER568" s="149"/>
      <c r="ET568" s="264" t="s">
        <v>3406</v>
      </c>
    </row>
    <row r="569" spans="1:150" ht="15" hidden="1" customHeight="1">
      <c r="A569" s="1" t="s">
        <v>587</v>
      </c>
      <c r="B569" t="s">
        <v>1447</v>
      </c>
      <c r="C569" t="s">
        <v>1448</v>
      </c>
      <c r="D569" t="s">
        <v>1449</v>
      </c>
      <c r="E569" t="s">
        <v>1450</v>
      </c>
      <c r="F569" t="s">
        <v>1451</v>
      </c>
      <c r="G569" t="s">
        <v>593</v>
      </c>
      <c r="H569" t="s">
        <v>254</v>
      </c>
      <c r="I569">
        <v>2020</v>
      </c>
      <c r="J569">
        <v>12</v>
      </c>
      <c r="K569" t="s">
        <v>1452</v>
      </c>
      <c r="M569" t="str">
        <f t="shared" si="615"/>
        <v>Elisa_2020</v>
      </c>
      <c r="N569" s="264" t="s">
        <v>222</v>
      </c>
      <c r="O569" s="171" t="s">
        <v>274</v>
      </c>
      <c r="P569" t="s">
        <v>223</v>
      </c>
      <c r="Q569" s="264" t="s">
        <v>389</v>
      </c>
      <c r="R569" s="269" t="s">
        <v>1153</v>
      </c>
      <c r="S569" s="154" t="s">
        <v>1453</v>
      </c>
      <c r="T569" s="294" t="s">
        <v>1454</v>
      </c>
      <c r="U569" s="143" t="s">
        <v>1499</v>
      </c>
      <c r="V569">
        <v>0</v>
      </c>
      <c r="W569">
        <v>0</v>
      </c>
      <c r="X569">
        <v>0</v>
      </c>
      <c r="Y569">
        <v>0</v>
      </c>
      <c r="Z569">
        <v>0</v>
      </c>
      <c r="AA569">
        <v>0</v>
      </c>
      <c r="AB569">
        <v>0</v>
      </c>
      <c r="AC569">
        <v>0</v>
      </c>
      <c r="AD569">
        <v>0</v>
      </c>
      <c r="AE569">
        <v>1</v>
      </c>
      <c r="AF569">
        <v>0</v>
      </c>
      <c r="AG569">
        <v>0</v>
      </c>
      <c r="AH569">
        <v>0</v>
      </c>
      <c r="AI569">
        <v>0</v>
      </c>
      <c r="AJ569">
        <v>0</v>
      </c>
      <c r="AK569">
        <v>1</v>
      </c>
      <c r="AL569">
        <v>0</v>
      </c>
      <c r="AM569">
        <v>0</v>
      </c>
      <c r="AN569">
        <v>0</v>
      </c>
      <c r="AO569">
        <v>0</v>
      </c>
      <c r="AP569">
        <v>0</v>
      </c>
      <c r="AQ569">
        <v>0</v>
      </c>
      <c r="AR569">
        <v>0</v>
      </c>
      <c r="AS569">
        <v>0</v>
      </c>
      <c r="AT569">
        <v>0</v>
      </c>
      <c r="AU569">
        <v>0</v>
      </c>
      <c r="AV569">
        <v>0</v>
      </c>
      <c r="AW569">
        <v>0</v>
      </c>
      <c r="AX569" s="141">
        <f t="shared" si="621"/>
        <v>2</v>
      </c>
      <c r="AY569" s="141">
        <f t="shared" si="622"/>
        <v>2</v>
      </c>
      <c r="AZ569">
        <f t="shared" si="623"/>
        <v>0</v>
      </c>
      <c r="BA569">
        <f t="shared" si="624"/>
        <v>1</v>
      </c>
      <c r="BB569">
        <f t="shared" si="625"/>
        <v>1</v>
      </c>
      <c r="BC569">
        <f t="shared" si="626"/>
        <v>0</v>
      </c>
      <c r="BD569">
        <f t="shared" si="627"/>
        <v>0</v>
      </c>
      <c r="BE569" t="str" cm="1">
        <f t="array" ref="BE569">IF(AY569=1,INDEX($V$7:$AL$7,MATCH(TRUE,INDEX($V569:$AW569&lt;&gt;0,),0)),IF(AY569=0,INDEX($AM$7:$AW$7,MATCH(1,$AM569:$AW569,0)),IF(BF569="Multiple strategies","mixed drivers",IF(BF569="Supply chain","multiple supply","multiple silviculture"))))</f>
        <v>mixed drivers</v>
      </c>
      <c r="BF569" s="2" t="str" cm="1">
        <f t="array" ref="BF569">IF(COUNTIF(AZ569:BB569,"&lt;&gt;0")=1,INDEX($V$4:$AW$4,MATCH(TRUE,INDEX($V569:$AW569&lt;&gt;0,),0)),IF(COUNTIF(AZ569:BB569,"&lt;&gt;0")=0,INDEX($AM$4:$AW$4,MATCH(1,$AM569:$AW569,0)),"Multiple strategies"))</f>
        <v>Multiple strategies</v>
      </c>
      <c r="BG569" s="142" t="s">
        <v>321</v>
      </c>
      <c r="BH569" s="160" t="s">
        <v>1456</v>
      </c>
      <c r="BI569" s="160" t="s">
        <v>1457</v>
      </c>
      <c r="BJ569" s="143" t="s">
        <v>498</v>
      </c>
      <c r="BK569" s="143">
        <v>944</v>
      </c>
      <c r="BL569" s="143">
        <v>135692</v>
      </c>
      <c r="BM569" t="str">
        <f>IFERROR(#REF!/BK569,"")</f>
        <v/>
      </c>
      <c r="BN569">
        <f t="shared" si="628"/>
        <v>134748</v>
      </c>
      <c r="BO569" s="159">
        <f t="shared" si="650"/>
        <v>134748</v>
      </c>
      <c r="BP569" s="155" t="s">
        <v>232</v>
      </c>
      <c r="BQ569" s="155" t="s">
        <v>1458</v>
      </c>
      <c r="BR569" s="155" t="s">
        <v>825</v>
      </c>
      <c r="BS569" s="143" t="s">
        <v>1462</v>
      </c>
      <c r="BT569" t="s">
        <v>1501</v>
      </c>
      <c r="BU569" s="144">
        <f t="shared" si="651"/>
        <v>62.136045960994217</v>
      </c>
      <c r="BV569">
        <f t="shared" si="629"/>
        <v>-422.48935749999998</v>
      </c>
      <c r="BX569">
        <f t="shared" si="652"/>
        <v>-422.48935749999998</v>
      </c>
      <c r="BY569">
        <f t="shared" si="654"/>
        <v>-3.135403549588862E-3</v>
      </c>
      <c r="BZ569">
        <v>0</v>
      </c>
      <c r="CA569">
        <v>0</v>
      </c>
      <c r="CB569">
        <v>0</v>
      </c>
      <c r="CC569">
        <v>0</v>
      </c>
      <c r="CD569">
        <v>0</v>
      </c>
      <c r="CE569">
        <v>0</v>
      </c>
      <c r="CF569">
        <v>0</v>
      </c>
      <c r="CG569">
        <v>0</v>
      </c>
      <c r="CH569">
        <v>0</v>
      </c>
      <c r="CI569">
        <v>0</v>
      </c>
      <c r="CJ569">
        <v>0</v>
      </c>
      <c r="CK569">
        <v>0</v>
      </c>
      <c r="CL569">
        <v>0</v>
      </c>
      <c r="CM569">
        <v>0</v>
      </c>
      <c r="CN569" t="str">
        <f t="shared" si="630"/>
        <v>refOK</v>
      </c>
      <c r="CO569">
        <f t="shared" si="648"/>
        <v>944</v>
      </c>
      <c r="CP569">
        <f t="shared" si="649"/>
        <v>135692</v>
      </c>
      <c r="CQ569">
        <f t="shared" si="631"/>
        <v>134748</v>
      </c>
      <c r="CR569">
        <f t="shared" si="632"/>
        <v>-6.9106424999999998</v>
      </c>
      <c r="CS569">
        <f t="shared" si="633"/>
        <v>-429.4</v>
      </c>
      <c r="CT569">
        <f t="shared" si="634"/>
        <v>-422.48935749999998</v>
      </c>
      <c r="CU569">
        <f t="shared" si="635"/>
        <v>-3.135403549588862E-3</v>
      </c>
      <c r="CV569" s="2">
        <f t="shared" si="636"/>
        <v>-61.136045960994217</v>
      </c>
      <c r="CW569" s="263" t="s">
        <v>1461</v>
      </c>
      <c r="CX569" s="264" t="str">
        <f t="shared" si="637"/>
        <v>reg</v>
      </c>
      <c r="CY569" s="270" t="s">
        <v>743</v>
      </c>
      <c r="DA569" s="143"/>
      <c r="DB569" s="143">
        <v>0</v>
      </c>
      <c r="DC569" t="str">
        <f t="shared" si="638"/>
        <v>0</v>
      </c>
      <c r="DD569">
        <v>0</v>
      </c>
      <c r="DE569">
        <v>1</v>
      </c>
      <c r="DF569">
        <v>0</v>
      </c>
      <c r="DG569">
        <v>0</v>
      </c>
      <c r="DH569">
        <v>0</v>
      </c>
      <c r="DI569">
        <f t="shared" si="653"/>
        <v>1</v>
      </c>
      <c r="DJ569" t="str">
        <f t="shared" si="639"/>
        <v>EnergyInput</v>
      </c>
      <c r="DK569">
        <f t="shared" si="640"/>
        <v>0</v>
      </c>
      <c r="DL569" t="str">
        <f t="shared" si="641"/>
        <v>Energy</v>
      </c>
      <c r="DM569">
        <f t="shared" si="642"/>
        <v>0</v>
      </c>
      <c r="DN569">
        <f t="shared" si="643"/>
        <v>0</v>
      </c>
      <c r="DO569">
        <v>0</v>
      </c>
      <c r="DP569" s="143">
        <v>0</v>
      </c>
      <c r="DQ569" s="143">
        <v>0</v>
      </c>
      <c r="DR569">
        <v>0</v>
      </c>
      <c r="DS569" s="143">
        <v>0</v>
      </c>
      <c r="DT569">
        <f t="shared" si="644"/>
        <v>0</v>
      </c>
      <c r="DU569" s="143" t="str">
        <f t="shared" si="645"/>
        <v>explicit C balance</v>
      </c>
      <c r="DV569" s="143">
        <v>0</v>
      </c>
      <c r="DW569" s="143">
        <v>0</v>
      </c>
      <c r="DX569" s="143">
        <v>0</v>
      </c>
      <c r="DY569" s="143">
        <v>0</v>
      </c>
      <c r="DZ569">
        <v>0</v>
      </c>
      <c r="EA569" s="143">
        <v>0</v>
      </c>
      <c r="EB569" s="143">
        <v>0</v>
      </c>
      <c r="EC569" s="143">
        <v>1</v>
      </c>
      <c r="ED569" s="143">
        <v>0</v>
      </c>
      <c r="EE569">
        <v>1</v>
      </c>
      <c r="EF569">
        <v>0</v>
      </c>
      <c r="EG569" s="143">
        <v>0</v>
      </c>
      <c r="EH569" s="143">
        <v>0</v>
      </c>
      <c r="EI569" s="2">
        <v>0</v>
      </c>
      <c r="EK569" t="str">
        <f t="shared" si="646"/>
        <v/>
      </c>
      <c r="EL569" t="str">
        <f t="shared" si="647"/>
        <v/>
      </c>
      <c r="EM569" s="2" t="str">
        <f t="shared" si="655"/>
        <v>Technology approach</v>
      </c>
      <c r="EP569" t="str">
        <f>IF(ISNUMBER(BU569),IF(ABS(BU569-[4]QC_indicators!$B$2)&gt;3*[4]QC_indicators!$C$2,"C ratio",IF(ISNUMBER(BY569),IF(ABS(BY569-[4]QC_indicators!$B$1)&gt;3*[4]QC_indicators!$C$1,"DF","no"))),IF(ISNUMBER(BY569),IF(ABS(BY569-[4]QC_indicators!$B$1)&gt;3*[4]QC_indicators!$C$1,"DF","no")))</f>
        <v>C ratio</v>
      </c>
      <c r="ER569" s="149"/>
      <c r="ET569" s="264" t="s">
        <v>3406</v>
      </c>
    </row>
    <row r="570" spans="1:150" ht="15" hidden="1" customHeight="1">
      <c r="A570" s="1" t="s">
        <v>587</v>
      </c>
      <c r="B570" t="s">
        <v>1447</v>
      </c>
      <c r="C570" t="s">
        <v>1448</v>
      </c>
      <c r="D570" t="s">
        <v>1449</v>
      </c>
      <c r="E570" t="s">
        <v>1450</v>
      </c>
      <c r="F570" t="s">
        <v>1451</v>
      </c>
      <c r="G570" t="s">
        <v>593</v>
      </c>
      <c r="H570" t="s">
        <v>254</v>
      </c>
      <c r="I570">
        <v>2020</v>
      </c>
      <c r="J570">
        <v>12</v>
      </c>
      <c r="K570" t="s">
        <v>1452</v>
      </c>
      <c r="M570" t="str">
        <f t="shared" si="615"/>
        <v>Elisa_2020</v>
      </c>
      <c r="N570" s="264" t="s">
        <v>222</v>
      </c>
      <c r="O570" s="171" t="s">
        <v>274</v>
      </c>
      <c r="P570" t="s">
        <v>223</v>
      </c>
      <c r="Q570" s="264" t="s">
        <v>389</v>
      </c>
      <c r="R570" s="269" t="s">
        <v>1153</v>
      </c>
      <c r="S570" s="154" t="s">
        <v>1453</v>
      </c>
      <c r="T570" s="294" t="s">
        <v>1454</v>
      </c>
      <c r="U570" s="143" t="s">
        <v>1502</v>
      </c>
      <c r="V570">
        <v>0</v>
      </c>
      <c r="W570">
        <v>0</v>
      </c>
      <c r="X570">
        <v>0</v>
      </c>
      <c r="Y570">
        <v>0</v>
      </c>
      <c r="Z570">
        <v>0</v>
      </c>
      <c r="AA570">
        <v>0</v>
      </c>
      <c r="AB570">
        <v>0</v>
      </c>
      <c r="AC570">
        <v>0</v>
      </c>
      <c r="AD570">
        <v>0</v>
      </c>
      <c r="AE570">
        <v>1</v>
      </c>
      <c r="AF570">
        <v>0</v>
      </c>
      <c r="AG570">
        <v>0</v>
      </c>
      <c r="AH570">
        <v>0</v>
      </c>
      <c r="AI570">
        <v>0</v>
      </c>
      <c r="AJ570">
        <v>0</v>
      </c>
      <c r="AK570">
        <v>1</v>
      </c>
      <c r="AL570">
        <v>0</v>
      </c>
      <c r="AM570">
        <v>0</v>
      </c>
      <c r="AN570">
        <v>0</v>
      </c>
      <c r="AO570">
        <v>0</v>
      </c>
      <c r="AP570">
        <v>0</v>
      </c>
      <c r="AQ570">
        <v>0</v>
      </c>
      <c r="AR570">
        <v>0</v>
      </c>
      <c r="AS570">
        <v>0</v>
      </c>
      <c r="AT570">
        <v>0</v>
      </c>
      <c r="AU570">
        <v>0</v>
      </c>
      <c r="AV570">
        <v>0</v>
      </c>
      <c r="AW570">
        <v>0</v>
      </c>
      <c r="AX570" s="141">
        <f t="shared" si="621"/>
        <v>2</v>
      </c>
      <c r="AY570" s="141">
        <f t="shared" si="622"/>
        <v>2</v>
      </c>
      <c r="AZ570">
        <f t="shared" si="623"/>
        <v>0</v>
      </c>
      <c r="BA570">
        <f t="shared" si="624"/>
        <v>1</v>
      </c>
      <c r="BB570">
        <f t="shared" si="625"/>
        <v>1</v>
      </c>
      <c r="BC570">
        <f t="shared" si="626"/>
        <v>0</v>
      </c>
      <c r="BD570">
        <f t="shared" si="627"/>
        <v>0</v>
      </c>
      <c r="BE570" t="str" cm="1">
        <f t="array" ref="BE570">IF(AY570=1,INDEX($V$7:$AL$7,MATCH(TRUE,INDEX($V570:$AW570&lt;&gt;0,),0)),IF(AY570=0,INDEX($AM$7:$AW$7,MATCH(1,$AM570:$AW570,0)),IF(BF570="Multiple strategies","mixed drivers",IF(BF570="Supply chain","multiple supply","multiple silviculture"))))</f>
        <v>mixed drivers</v>
      </c>
      <c r="BF570" s="2" t="str" cm="1">
        <f t="array" ref="BF570">IF(COUNTIF(AZ570:BB570,"&lt;&gt;0")=1,INDEX($V$4:$AW$4,MATCH(TRUE,INDEX($V570:$AW570&lt;&gt;0,),0)),IF(COUNTIF(AZ570:BB570,"&lt;&gt;0")=0,INDEX($AM$4:$AW$4,MATCH(1,$AM570:$AW570,0)),"Multiple strategies"))</f>
        <v>Multiple strategies</v>
      </c>
      <c r="BG570" s="142" t="s">
        <v>321</v>
      </c>
      <c r="BH570" s="160" t="s">
        <v>1456</v>
      </c>
      <c r="BI570" s="160" t="s">
        <v>1457</v>
      </c>
      <c r="BJ570" s="143" t="s">
        <v>498</v>
      </c>
      <c r="BK570" s="143">
        <v>944</v>
      </c>
      <c r="BL570" s="143">
        <v>170044</v>
      </c>
      <c r="BM570">
        <f>IFERROR(BL571/BK570,"")</f>
        <v>112.64936440677967</v>
      </c>
      <c r="BN570">
        <f t="shared" si="628"/>
        <v>169100</v>
      </c>
      <c r="BO570" s="159">
        <f t="shared" si="650"/>
        <v>169100</v>
      </c>
      <c r="BP570" s="155" t="s">
        <v>232</v>
      </c>
      <c r="BQ570" s="155" t="s">
        <v>1458</v>
      </c>
      <c r="BR570" s="155" t="s">
        <v>825</v>
      </c>
      <c r="BS570" s="143" t="s">
        <v>1459</v>
      </c>
      <c r="BT570" t="s">
        <v>1503</v>
      </c>
      <c r="BU570" s="144">
        <f t="shared" si="651"/>
        <v>29.643443083799468</v>
      </c>
      <c r="BV570">
        <f t="shared" si="629"/>
        <v>-201.02304916666702</v>
      </c>
      <c r="BX570">
        <f t="shared" si="652"/>
        <v>-201.02304916666702</v>
      </c>
      <c r="BY570">
        <f t="shared" si="654"/>
        <v>-1.1887820766804673E-3</v>
      </c>
      <c r="BZ570">
        <v>0</v>
      </c>
      <c r="CA570">
        <v>0</v>
      </c>
      <c r="CB570">
        <v>0</v>
      </c>
      <c r="CC570">
        <v>0</v>
      </c>
      <c r="CD570">
        <v>0</v>
      </c>
      <c r="CE570">
        <v>0</v>
      </c>
      <c r="CF570">
        <v>0</v>
      </c>
      <c r="CG570">
        <v>0</v>
      </c>
      <c r="CH570">
        <v>0</v>
      </c>
      <c r="CI570">
        <v>0</v>
      </c>
      <c r="CJ570">
        <v>0</v>
      </c>
      <c r="CK570">
        <v>0</v>
      </c>
      <c r="CL570">
        <v>0</v>
      </c>
      <c r="CM570">
        <v>0</v>
      </c>
      <c r="CN570" t="str">
        <f t="shared" si="630"/>
        <v>refOK</v>
      </c>
      <c r="CO570">
        <f t="shared" si="648"/>
        <v>944</v>
      </c>
      <c r="CP570">
        <f t="shared" si="649"/>
        <v>170044</v>
      </c>
      <c r="CQ570">
        <f t="shared" si="631"/>
        <v>169100</v>
      </c>
      <c r="CR570">
        <f t="shared" si="632"/>
        <v>-7.0181174999999998</v>
      </c>
      <c r="CS570">
        <f t="shared" si="633"/>
        <v>-208.04116666666701</v>
      </c>
      <c r="CT570">
        <f t="shared" si="634"/>
        <v>-201.02304916666702</v>
      </c>
      <c r="CU570">
        <f t="shared" si="635"/>
        <v>-1.1887820766804673E-3</v>
      </c>
      <c r="CV570" s="2">
        <f t="shared" si="636"/>
        <v>-28.643443083799472</v>
      </c>
      <c r="CW570" s="263" t="s">
        <v>1461</v>
      </c>
      <c r="CX570" s="264" t="str">
        <f t="shared" si="637"/>
        <v>reg</v>
      </c>
      <c r="CY570" s="270" t="s">
        <v>743</v>
      </c>
      <c r="DA570" s="143"/>
      <c r="DB570" s="143">
        <v>0</v>
      </c>
      <c r="DC570" t="str">
        <f t="shared" si="638"/>
        <v>0</v>
      </c>
      <c r="DD570">
        <v>0</v>
      </c>
      <c r="DE570">
        <v>1</v>
      </c>
      <c r="DF570">
        <v>0</v>
      </c>
      <c r="DG570">
        <v>0</v>
      </c>
      <c r="DH570">
        <v>0</v>
      </c>
      <c r="DI570">
        <f t="shared" si="653"/>
        <v>1</v>
      </c>
      <c r="DJ570" t="str">
        <f t="shared" si="639"/>
        <v>EnergyInput</v>
      </c>
      <c r="DK570">
        <f t="shared" si="640"/>
        <v>0</v>
      </c>
      <c r="DL570" t="str">
        <f t="shared" si="641"/>
        <v>Energy</v>
      </c>
      <c r="DM570">
        <f t="shared" si="642"/>
        <v>0</v>
      </c>
      <c r="DN570">
        <f t="shared" si="643"/>
        <v>0</v>
      </c>
      <c r="DO570">
        <v>0</v>
      </c>
      <c r="DP570" s="143">
        <v>0</v>
      </c>
      <c r="DQ570" s="143">
        <v>0</v>
      </c>
      <c r="DR570">
        <v>0</v>
      </c>
      <c r="DS570" s="143">
        <v>0</v>
      </c>
      <c r="DT570">
        <f t="shared" si="644"/>
        <v>0</v>
      </c>
      <c r="DU570" s="143" t="str">
        <f t="shared" si="645"/>
        <v>explicit C balance</v>
      </c>
      <c r="DV570" s="143">
        <v>0</v>
      </c>
      <c r="DW570" s="143">
        <v>0</v>
      </c>
      <c r="DX570" s="143">
        <v>0</v>
      </c>
      <c r="DY570" s="143">
        <v>0</v>
      </c>
      <c r="DZ570">
        <v>0</v>
      </c>
      <c r="EA570" s="143">
        <v>0</v>
      </c>
      <c r="EB570" s="143">
        <v>1</v>
      </c>
      <c r="EC570" s="143">
        <v>1</v>
      </c>
      <c r="ED570" s="143">
        <v>0</v>
      </c>
      <c r="EE570">
        <v>1</v>
      </c>
      <c r="EF570">
        <v>0</v>
      </c>
      <c r="EG570" s="143">
        <v>0</v>
      </c>
      <c r="EH570" s="143">
        <v>0</v>
      </c>
      <c r="EI570" s="2">
        <v>0</v>
      </c>
      <c r="EK570" t="str">
        <f t="shared" si="646"/>
        <v/>
      </c>
      <c r="EL570" t="str">
        <f t="shared" si="647"/>
        <v/>
      </c>
      <c r="EM570" s="2" t="str">
        <f t="shared" si="655"/>
        <v>Technology approach</v>
      </c>
      <c r="EP570" t="str">
        <f>IF(ISNUMBER(BU570),IF(ABS(BU570-[4]QC_indicators!$B$2)&gt;3*[4]QC_indicators!$C$2,"C ratio",IF(ISNUMBER(BY570),IF(ABS(BY570-[4]QC_indicators!$B$1)&gt;3*[4]QC_indicators!$C$1,"DF","no"))),IF(ISNUMBER(BY570),IF(ABS(BY570-[4]QC_indicators!$B$1)&gt;3*[4]QC_indicators!$C$1,"DF","no")))</f>
        <v>no</v>
      </c>
      <c r="ER570" s="149"/>
      <c r="ET570" s="264" t="s">
        <v>3406</v>
      </c>
    </row>
    <row r="571" spans="1:150" ht="15" hidden="1" customHeight="1">
      <c r="A571" s="1" t="s">
        <v>587</v>
      </c>
      <c r="B571" t="s">
        <v>1447</v>
      </c>
      <c r="C571" t="s">
        <v>1448</v>
      </c>
      <c r="D571" t="s">
        <v>1449</v>
      </c>
      <c r="E571" t="s">
        <v>1450</v>
      </c>
      <c r="F571" t="s">
        <v>1451</v>
      </c>
      <c r="G571" t="s">
        <v>593</v>
      </c>
      <c r="H571" t="s">
        <v>254</v>
      </c>
      <c r="I571">
        <v>2020</v>
      </c>
      <c r="J571">
        <v>12</v>
      </c>
      <c r="K571" t="s">
        <v>1452</v>
      </c>
      <c r="M571" t="str">
        <f t="shared" si="615"/>
        <v>Elisa_2020</v>
      </c>
      <c r="N571" s="264" t="s">
        <v>222</v>
      </c>
      <c r="O571" s="171" t="s">
        <v>274</v>
      </c>
      <c r="P571" t="s">
        <v>223</v>
      </c>
      <c r="Q571" s="264" t="s">
        <v>389</v>
      </c>
      <c r="R571" s="269" t="s">
        <v>1153</v>
      </c>
      <c r="S571" s="154" t="s">
        <v>1453</v>
      </c>
      <c r="T571" s="294" t="s">
        <v>1454</v>
      </c>
      <c r="U571" s="143" t="s">
        <v>1504</v>
      </c>
      <c r="V571">
        <v>0</v>
      </c>
      <c r="W571">
        <v>0</v>
      </c>
      <c r="X571">
        <v>0</v>
      </c>
      <c r="Y571">
        <v>0</v>
      </c>
      <c r="Z571">
        <v>0</v>
      </c>
      <c r="AA571">
        <v>0</v>
      </c>
      <c r="AB571">
        <v>0</v>
      </c>
      <c r="AC571">
        <v>0</v>
      </c>
      <c r="AD571">
        <v>0</v>
      </c>
      <c r="AE571">
        <v>1</v>
      </c>
      <c r="AF571">
        <v>0</v>
      </c>
      <c r="AG571">
        <v>0</v>
      </c>
      <c r="AH571">
        <v>0</v>
      </c>
      <c r="AI571">
        <v>0</v>
      </c>
      <c r="AJ571">
        <v>0</v>
      </c>
      <c r="AK571">
        <v>1</v>
      </c>
      <c r="AL571">
        <v>0</v>
      </c>
      <c r="AM571">
        <v>0</v>
      </c>
      <c r="AN571">
        <v>0</v>
      </c>
      <c r="AO571">
        <v>0</v>
      </c>
      <c r="AP571">
        <v>0</v>
      </c>
      <c r="AQ571">
        <v>0</v>
      </c>
      <c r="AR571">
        <v>0</v>
      </c>
      <c r="AS571">
        <v>0</v>
      </c>
      <c r="AT571">
        <v>0</v>
      </c>
      <c r="AU571">
        <v>0</v>
      </c>
      <c r="AV571">
        <v>0</v>
      </c>
      <c r="AW571">
        <v>0</v>
      </c>
      <c r="AX571" s="141">
        <f t="shared" si="621"/>
        <v>2</v>
      </c>
      <c r="AY571" s="141">
        <f t="shared" si="622"/>
        <v>2</v>
      </c>
      <c r="AZ571">
        <f t="shared" si="623"/>
        <v>0</v>
      </c>
      <c r="BA571">
        <f t="shared" si="624"/>
        <v>1</v>
      </c>
      <c r="BB571">
        <f t="shared" si="625"/>
        <v>1</v>
      </c>
      <c r="BC571">
        <f t="shared" si="626"/>
        <v>0</v>
      </c>
      <c r="BD571">
        <f t="shared" si="627"/>
        <v>0</v>
      </c>
      <c r="BE571" t="str" cm="1">
        <f t="array" ref="BE571">IF(AY571=1,INDEX($V$7:$AL$7,MATCH(TRUE,INDEX($V571:$AW571&lt;&gt;0,),0)),IF(AY571=0,INDEX($AM$7:$AW$7,MATCH(1,$AM571:$AW571,0)),IF(BF571="Multiple strategies","mixed drivers",IF(BF571="Supply chain","multiple supply","multiple silviculture"))))</f>
        <v>mixed drivers</v>
      </c>
      <c r="BF571" s="2" t="str" cm="1">
        <f t="array" ref="BF571">IF(COUNTIF(AZ571:BB571,"&lt;&gt;0")=1,INDEX($V$4:$AW$4,MATCH(TRUE,INDEX($V571:$AW571&lt;&gt;0,),0)),IF(COUNTIF(AZ571:BB571,"&lt;&gt;0")=0,INDEX($AM$4:$AW$4,MATCH(1,$AM571:$AW571,0)),"Multiple strategies"))</f>
        <v>Multiple strategies</v>
      </c>
      <c r="BG571" s="142" t="s">
        <v>321</v>
      </c>
      <c r="BH571" s="160" t="s">
        <v>1456</v>
      </c>
      <c r="BI571" s="160" t="s">
        <v>1457</v>
      </c>
      <c r="BJ571" s="143" t="s">
        <v>498</v>
      </c>
      <c r="BK571" s="143">
        <v>944</v>
      </c>
      <c r="BL571" s="143">
        <v>106341</v>
      </c>
      <c r="BM571">
        <f>IFERROR(BL571/BK571,"")</f>
        <v>112.64936440677967</v>
      </c>
      <c r="BN571">
        <f t="shared" si="628"/>
        <v>105397</v>
      </c>
      <c r="BO571" s="159">
        <f t="shared" si="650"/>
        <v>105397</v>
      </c>
      <c r="BP571" s="155" t="s">
        <v>232</v>
      </c>
      <c r="BQ571" s="155" t="s">
        <v>1458</v>
      </c>
      <c r="BR571" s="155" t="s">
        <v>825</v>
      </c>
      <c r="BS571" s="143" t="s">
        <v>1459</v>
      </c>
      <c r="BT571" t="s">
        <v>1505</v>
      </c>
      <c r="BU571" s="144">
        <f t="shared" si="651"/>
        <v>18.200058080627318</v>
      </c>
      <c r="BV571">
        <f t="shared" si="629"/>
        <v>-120.712028616667</v>
      </c>
      <c r="BX571">
        <f t="shared" si="652"/>
        <v>-120.712028616667</v>
      </c>
      <c r="BY571">
        <f t="shared" si="654"/>
        <v>-1.1453080127201629E-3</v>
      </c>
      <c r="BZ571">
        <v>0</v>
      </c>
      <c r="CA571">
        <v>0</v>
      </c>
      <c r="CB571">
        <v>0</v>
      </c>
      <c r="CC571">
        <v>0</v>
      </c>
      <c r="CD571">
        <v>0</v>
      </c>
      <c r="CE571">
        <v>0</v>
      </c>
      <c r="CF571">
        <v>0</v>
      </c>
      <c r="CG571">
        <v>0</v>
      </c>
      <c r="CH571">
        <v>0</v>
      </c>
      <c r="CI571">
        <v>0</v>
      </c>
      <c r="CJ571">
        <v>0</v>
      </c>
      <c r="CK571">
        <v>0</v>
      </c>
      <c r="CL571">
        <v>0</v>
      </c>
      <c r="CM571">
        <v>0</v>
      </c>
      <c r="CN571" t="str">
        <f t="shared" si="630"/>
        <v>refOK</v>
      </c>
      <c r="CO571">
        <f t="shared" si="648"/>
        <v>944</v>
      </c>
      <c r="CP571">
        <f t="shared" si="649"/>
        <v>106341</v>
      </c>
      <c r="CQ571">
        <f t="shared" si="631"/>
        <v>105397</v>
      </c>
      <c r="CR571">
        <f t="shared" si="632"/>
        <v>-7.0181174999999998</v>
      </c>
      <c r="CS571">
        <f t="shared" si="633"/>
        <v>-127.730146116667</v>
      </c>
      <c r="CT571">
        <f t="shared" si="634"/>
        <v>-120.712028616667</v>
      </c>
      <c r="CU571">
        <f t="shared" si="635"/>
        <v>-1.1453080127201629E-3</v>
      </c>
      <c r="CV571" s="2">
        <f t="shared" si="636"/>
        <v>-17.200058080627318</v>
      </c>
      <c r="CW571" s="263" t="s">
        <v>1461</v>
      </c>
      <c r="CX571" s="264" t="str">
        <f t="shared" si="637"/>
        <v>reg</v>
      </c>
      <c r="CY571" s="270" t="s">
        <v>743</v>
      </c>
      <c r="DA571" s="143"/>
      <c r="DB571" s="143">
        <v>0</v>
      </c>
      <c r="DC571" t="str">
        <f t="shared" si="638"/>
        <v>0</v>
      </c>
      <c r="DD571">
        <v>0</v>
      </c>
      <c r="DE571">
        <v>1</v>
      </c>
      <c r="DF571">
        <v>0</v>
      </c>
      <c r="DG571">
        <v>0</v>
      </c>
      <c r="DH571">
        <v>0</v>
      </c>
      <c r="DI571">
        <f t="shared" si="653"/>
        <v>1</v>
      </c>
      <c r="DJ571" t="str">
        <f t="shared" si="639"/>
        <v>EnergyInput</v>
      </c>
      <c r="DK571">
        <f t="shared" si="640"/>
        <v>0</v>
      </c>
      <c r="DL571" t="str">
        <f t="shared" si="641"/>
        <v>Energy</v>
      </c>
      <c r="DM571">
        <f t="shared" si="642"/>
        <v>0</v>
      </c>
      <c r="DN571">
        <f t="shared" si="643"/>
        <v>0</v>
      </c>
      <c r="DO571">
        <v>0</v>
      </c>
      <c r="DP571" s="143">
        <v>0</v>
      </c>
      <c r="DQ571" s="143">
        <v>0</v>
      </c>
      <c r="DR571">
        <v>0</v>
      </c>
      <c r="DS571" s="143">
        <v>0</v>
      </c>
      <c r="DT571">
        <f t="shared" si="644"/>
        <v>0</v>
      </c>
      <c r="DU571" s="143" t="str">
        <f t="shared" si="645"/>
        <v>explicit C balance</v>
      </c>
      <c r="DV571" s="143">
        <v>0</v>
      </c>
      <c r="DW571" s="143">
        <v>0</v>
      </c>
      <c r="DX571" s="143">
        <v>0</v>
      </c>
      <c r="DY571" s="143">
        <v>0</v>
      </c>
      <c r="DZ571">
        <v>0</v>
      </c>
      <c r="EA571" s="143">
        <v>0</v>
      </c>
      <c r="EB571" s="143">
        <v>1</v>
      </c>
      <c r="EC571" s="143">
        <v>1</v>
      </c>
      <c r="ED571" s="143">
        <v>0</v>
      </c>
      <c r="EE571">
        <v>1</v>
      </c>
      <c r="EF571">
        <v>0</v>
      </c>
      <c r="EG571" s="143">
        <v>0</v>
      </c>
      <c r="EH571" s="143">
        <v>0</v>
      </c>
      <c r="EI571" s="2">
        <v>0</v>
      </c>
      <c r="EK571" t="str">
        <f t="shared" si="646"/>
        <v/>
      </c>
      <c r="EL571" t="str">
        <f t="shared" si="647"/>
        <v/>
      </c>
      <c r="EM571" s="2" t="str">
        <f t="shared" si="655"/>
        <v>Technology approach</v>
      </c>
      <c r="EP571" t="str">
        <f>IF(ISNUMBER(BU571),IF(ABS(BU571-[4]QC_indicators!$B$2)&gt;3*[4]QC_indicators!$C$2,"C ratio",IF(ISNUMBER(BY571),IF(ABS(BY571-[4]QC_indicators!$B$1)&gt;3*[4]QC_indicators!$C$1,"DF","no"))),IF(ISNUMBER(BY571),IF(ABS(BY571-[4]QC_indicators!$B$1)&gt;3*[4]QC_indicators!$C$1,"DF","no")))</f>
        <v>no</v>
      </c>
      <c r="ER571" s="149"/>
      <c r="ET571" s="264" t="s">
        <v>3406</v>
      </c>
    </row>
    <row r="572" spans="1:150" ht="15" hidden="1" customHeight="1">
      <c r="A572" s="1" t="s">
        <v>587</v>
      </c>
      <c r="B572" t="s">
        <v>1447</v>
      </c>
      <c r="C572" t="s">
        <v>1448</v>
      </c>
      <c r="D572" t="s">
        <v>1449</v>
      </c>
      <c r="E572" t="s">
        <v>1450</v>
      </c>
      <c r="F572" t="s">
        <v>1451</v>
      </c>
      <c r="G572" t="s">
        <v>593</v>
      </c>
      <c r="H572" t="s">
        <v>254</v>
      </c>
      <c r="I572">
        <v>2020</v>
      </c>
      <c r="J572">
        <v>12</v>
      </c>
      <c r="K572" t="s">
        <v>1452</v>
      </c>
      <c r="M572" t="str">
        <f t="shared" si="615"/>
        <v>Elisa_2020</v>
      </c>
      <c r="N572" s="264" t="s">
        <v>222</v>
      </c>
      <c r="O572" s="171" t="s">
        <v>274</v>
      </c>
      <c r="P572" t="s">
        <v>223</v>
      </c>
      <c r="Q572" s="264" t="s">
        <v>389</v>
      </c>
      <c r="R572" s="269" t="s">
        <v>1153</v>
      </c>
      <c r="S572" s="154" t="s">
        <v>1453</v>
      </c>
      <c r="T572" s="294" t="s">
        <v>1454</v>
      </c>
      <c r="U572" s="143" t="s">
        <v>1502</v>
      </c>
      <c r="V572">
        <v>0</v>
      </c>
      <c r="W572">
        <v>0</v>
      </c>
      <c r="X572">
        <v>0</v>
      </c>
      <c r="Y572">
        <v>0</v>
      </c>
      <c r="Z572">
        <v>0</v>
      </c>
      <c r="AA572">
        <v>0</v>
      </c>
      <c r="AB572">
        <v>0</v>
      </c>
      <c r="AC572">
        <v>0</v>
      </c>
      <c r="AD572">
        <v>0</v>
      </c>
      <c r="AE572">
        <v>1</v>
      </c>
      <c r="AF572">
        <v>0</v>
      </c>
      <c r="AG572">
        <v>0</v>
      </c>
      <c r="AH572">
        <v>0</v>
      </c>
      <c r="AI572">
        <v>0</v>
      </c>
      <c r="AJ572">
        <v>0</v>
      </c>
      <c r="AK572">
        <v>1</v>
      </c>
      <c r="AL572">
        <v>0</v>
      </c>
      <c r="AM572">
        <v>0</v>
      </c>
      <c r="AN572">
        <v>0</v>
      </c>
      <c r="AO572">
        <v>0</v>
      </c>
      <c r="AP572">
        <v>0</v>
      </c>
      <c r="AQ572">
        <v>0</v>
      </c>
      <c r="AR572">
        <v>0</v>
      </c>
      <c r="AS572">
        <v>0</v>
      </c>
      <c r="AT572">
        <v>0</v>
      </c>
      <c r="AU572">
        <v>0</v>
      </c>
      <c r="AV572">
        <v>0</v>
      </c>
      <c r="AW572">
        <v>0</v>
      </c>
      <c r="AX572" s="141">
        <f t="shared" si="621"/>
        <v>2</v>
      </c>
      <c r="AY572" s="141">
        <f t="shared" si="622"/>
        <v>2</v>
      </c>
      <c r="AZ572">
        <f t="shared" si="623"/>
        <v>0</v>
      </c>
      <c r="BA572">
        <f t="shared" si="624"/>
        <v>1</v>
      </c>
      <c r="BB572">
        <f t="shared" si="625"/>
        <v>1</v>
      </c>
      <c r="BC572">
        <f t="shared" si="626"/>
        <v>0</v>
      </c>
      <c r="BD572">
        <f t="shared" si="627"/>
        <v>0</v>
      </c>
      <c r="BE572" t="str" cm="1">
        <f t="array" ref="BE572">IF(AY572=1,INDEX($V$7:$AL$7,MATCH(TRUE,INDEX($V572:$AW572&lt;&gt;0,),0)),IF(AY572=0,INDEX($AM$7:$AW$7,MATCH(1,$AM572:$AW572,0)),IF(BF572="Multiple strategies","mixed drivers",IF(BF572="Supply chain","multiple supply","multiple silviculture"))))</f>
        <v>mixed drivers</v>
      </c>
      <c r="BF572" s="2" t="str" cm="1">
        <f t="array" ref="BF572">IF(COUNTIF(AZ572:BB572,"&lt;&gt;0")=1,INDEX($V$4:$AW$4,MATCH(TRUE,INDEX($V572:$AW572&lt;&gt;0,),0)),IF(COUNTIF(AZ572:BB572,"&lt;&gt;0")=0,INDEX($AM$4:$AW$4,MATCH(1,$AM572:$AW572,0)),"Multiple strategies"))</f>
        <v>Multiple strategies</v>
      </c>
      <c r="BG572" s="142" t="s">
        <v>321</v>
      </c>
      <c r="BH572" s="160" t="s">
        <v>1456</v>
      </c>
      <c r="BI572" s="160" t="s">
        <v>1457</v>
      </c>
      <c r="BJ572" s="143" t="s">
        <v>498</v>
      </c>
      <c r="BK572" s="143">
        <v>944</v>
      </c>
      <c r="BL572" s="143">
        <v>170044</v>
      </c>
      <c r="BM572">
        <f>IFERROR(BL583/BK572,"")</f>
        <v>1.6154661016949152</v>
      </c>
      <c r="BN572">
        <f t="shared" si="628"/>
        <v>169100</v>
      </c>
      <c r="BO572" s="159">
        <f t="shared" si="650"/>
        <v>169100</v>
      </c>
      <c r="BP572" s="155" t="s">
        <v>232</v>
      </c>
      <c r="BQ572" s="155" t="s">
        <v>1458</v>
      </c>
      <c r="BR572" s="155" t="s">
        <v>825</v>
      </c>
      <c r="BS572" s="143" t="s">
        <v>1462</v>
      </c>
      <c r="BT572" t="s">
        <v>1506</v>
      </c>
      <c r="BU572" s="144">
        <f t="shared" si="651"/>
        <v>28.512730746654743</v>
      </c>
      <c r="BV572">
        <f t="shared" si="629"/>
        <v>-190.13064638888901</v>
      </c>
      <c r="BX572">
        <f t="shared" si="652"/>
        <v>-190.13064638888901</v>
      </c>
      <c r="BY572">
        <f t="shared" si="654"/>
        <v>-1.1243681040147191E-3</v>
      </c>
      <c r="BZ572">
        <v>0</v>
      </c>
      <c r="CA572">
        <v>0</v>
      </c>
      <c r="CB572">
        <v>0</v>
      </c>
      <c r="CC572">
        <v>0</v>
      </c>
      <c r="CD572">
        <v>0</v>
      </c>
      <c r="CE572">
        <v>0</v>
      </c>
      <c r="CF572">
        <v>0</v>
      </c>
      <c r="CG572">
        <v>0</v>
      </c>
      <c r="CH572">
        <v>0</v>
      </c>
      <c r="CI572">
        <v>0</v>
      </c>
      <c r="CJ572">
        <v>0</v>
      </c>
      <c r="CK572">
        <v>0</v>
      </c>
      <c r="CL572">
        <v>0</v>
      </c>
      <c r="CM572">
        <v>0</v>
      </c>
      <c r="CN572" t="str">
        <f t="shared" si="630"/>
        <v>refOK</v>
      </c>
      <c r="CO572">
        <f t="shared" si="648"/>
        <v>944</v>
      </c>
      <c r="CP572">
        <f t="shared" si="649"/>
        <v>170044</v>
      </c>
      <c r="CQ572">
        <f t="shared" si="631"/>
        <v>169100</v>
      </c>
      <c r="CR572">
        <f t="shared" si="632"/>
        <v>-6.9106424999999998</v>
      </c>
      <c r="CS572">
        <f t="shared" si="633"/>
        <v>-197.041288888889</v>
      </c>
      <c r="CT572">
        <f t="shared" si="634"/>
        <v>-190.13064638888901</v>
      </c>
      <c r="CU572">
        <f t="shared" si="635"/>
        <v>-1.1243681040147191E-3</v>
      </c>
      <c r="CV572" s="2">
        <f t="shared" si="636"/>
        <v>-27.512730746654743</v>
      </c>
      <c r="CW572" s="263" t="s">
        <v>1461</v>
      </c>
      <c r="CX572" s="264" t="str">
        <f t="shared" si="637"/>
        <v>reg</v>
      </c>
      <c r="CY572" s="270" t="s">
        <v>743</v>
      </c>
      <c r="DA572" s="143"/>
      <c r="DB572" s="143">
        <v>0</v>
      </c>
      <c r="DC572" t="str">
        <f t="shared" si="638"/>
        <v>0</v>
      </c>
      <c r="DD572">
        <v>0</v>
      </c>
      <c r="DE572">
        <v>1</v>
      </c>
      <c r="DF572">
        <v>0</v>
      </c>
      <c r="DG572">
        <v>0</v>
      </c>
      <c r="DH572">
        <v>0</v>
      </c>
      <c r="DI572">
        <f t="shared" si="653"/>
        <v>1</v>
      </c>
      <c r="DJ572" t="str">
        <f t="shared" si="639"/>
        <v>EnergyInput</v>
      </c>
      <c r="DK572">
        <f t="shared" si="640"/>
        <v>0</v>
      </c>
      <c r="DL572" t="str">
        <f t="shared" si="641"/>
        <v>Energy</v>
      </c>
      <c r="DM572">
        <f t="shared" si="642"/>
        <v>0</v>
      </c>
      <c r="DN572">
        <f t="shared" si="643"/>
        <v>0</v>
      </c>
      <c r="DO572">
        <v>0</v>
      </c>
      <c r="DP572" s="143">
        <v>0</v>
      </c>
      <c r="DQ572" s="143">
        <v>0</v>
      </c>
      <c r="DR572">
        <v>0</v>
      </c>
      <c r="DS572" s="143">
        <v>0</v>
      </c>
      <c r="DT572">
        <f t="shared" si="644"/>
        <v>0</v>
      </c>
      <c r="DU572" s="143" t="str">
        <f t="shared" si="645"/>
        <v>explicit C balance</v>
      </c>
      <c r="DV572" s="143">
        <v>0</v>
      </c>
      <c r="DW572" s="143">
        <v>0</v>
      </c>
      <c r="DX572" s="143">
        <v>0</v>
      </c>
      <c r="DY572" s="143">
        <v>0</v>
      </c>
      <c r="DZ572">
        <v>0</v>
      </c>
      <c r="EA572" s="143">
        <v>0</v>
      </c>
      <c r="EB572" s="143">
        <v>0</v>
      </c>
      <c r="EC572" s="143">
        <v>1</v>
      </c>
      <c r="ED572" s="143">
        <v>0</v>
      </c>
      <c r="EE572">
        <v>1</v>
      </c>
      <c r="EF572">
        <v>0</v>
      </c>
      <c r="EG572" s="143">
        <v>0</v>
      </c>
      <c r="EH572" s="143">
        <v>0</v>
      </c>
      <c r="EI572" s="2">
        <v>0</v>
      </c>
      <c r="EK572" t="str">
        <f t="shared" si="646"/>
        <v/>
      </c>
      <c r="EL572" t="str">
        <f t="shared" si="647"/>
        <v/>
      </c>
      <c r="EM572" s="2" t="str">
        <f t="shared" si="655"/>
        <v>Technology approach</v>
      </c>
      <c r="EP572" t="str">
        <f>IF(ISNUMBER(BU572),IF(ABS(BU572-[4]QC_indicators!$B$2)&gt;3*[4]QC_indicators!$C$2,"C ratio",IF(ISNUMBER(BY572),IF(ABS(BY572-[4]QC_indicators!$B$1)&gt;3*[4]QC_indicators!$C$1,"DF","no"))),IF(ISNUMBER(BY572),IF(ABS(BY572-[4]QC_indicators!$B$1)&gt;3*[4]QC_indicators!$C$1,"DF","no")))</f>
        <v>no</v>
      </c>
      <c r="ER572" s="149"/>
      <c r="ET572" s="264" t="s">
        <v>3406</v>
      </c>
    </row>
    <row r="573" spans="1:150" ht="15" hidden="1" customHeight="1">
      <c r="A573" s="1" t="s">
        <v>587</v>
      </c>
      <c r="B573" t="s">
        <v>1447</v>
      </c>
      <c r="C573" t="s">
        <v>1448</v>
      </c>
      <c r="D573" t="s">
        <v>1449</v>
      </c>
      <c r="E573" t="s">
        <v>1450</v>
      </c>
      <c r="F573" t="s">
        <v>1451</v>
      </c>
      <c r="G573" t="s">
        <v>593</v>
      </c>
      <c r="H573" t="s">
        <v>254</v>
      </c>
      <c r="I573">
        <v>2020</v>
      </c>
      <c r="J573">
        <v>12</v>
      </c>
      <c r="K573" t="s">
        <v>1452</v>
      </c>
      <c r="M573" t="str">
        <f t="shared" si="615"/>
        <v>Elisa_2020</v>
      </c>
      <c r="N573" s="264" t="s">
        <v>222</v>
      </c>
      <c r="O573" s="171" t="s">
        <v>274</v>
      </c>
      <c r="P573" t="s">
        <v>223</v>
      </c>
      <c r="Q573" s="264" t="s">
        <v>389</v>
      </c>
      <c r="R573" s="269" t="s">
        <v>1153</v>
      </c>
      <c r="S573" s="154" t="s">
        <v>1453</v>
      </c>
      <c r="T573" s="294" t="s">
        <v>1454</v>
      </c>
      <c r="U573" s="143" t="s">
        <v>1504</v>
      </c>
      <c r="V573">
        <v>0</v>
      </c>
      <c r="W573">
        <v>0</v>
      </c>
      <c r="X573">
        <v>0</v>
      </c>
      <c r="Y573">
        <v>0</v>
      </c>
      <c r="Z573">
        <v>0</v>
      </c>
      <c r="AA573">
        <v>0</v>
      </c>
      <c r="AB573">
        <v>0</v>
      </c>
      <c r="AC573">
        <v>0</v>
      </c>
      <c r="AD573">
        <v>0</v>
      </c>
      <c r="AE573">
        <v>1</v>
      </c>
      <c r="AF573">
        <v>0</v>
      </c>
      <c r="AG573">
        <v>0</v>
      </c>
      <c r="AH573">
        <v>0</v>
      </c>
      <c r="AI573">
        <v>0</v>
      </c>
      <c r="AJ573">
        <v>0</v>
      </c>
      <c r="AK573">
        <v>1</v>
      </c>
      <c r="AL573">
        <v>0</v>
      </c>
      <c r="AM573">
        <v>0</v>
      </c>
      <c r="AN573">
        <v>0</v>
      </c>
      <c r="AO573">
        <v>0</v>
      </c>
      <c r="AP573">
        <v>0</v>
      </c>
      <c r="AQ573">
        <v>0</v>
      </c>
      <c r="AR573">
        <v>0</v>
      </c>
      <c r="AS573">
        <v>0</v>
      </c>
      <c r="AT573">
        <v>0</v>
      </c>
      <c r="AU573">
        <v>0</v>
      </c>
      <c r="AV573">
        <v>0</v>
      </c>
      <c r="AW573">
        <v>0</v>
      </c>
      <c r="AX573" s="141">
        <f t="shared" ref="AX573:AX604" si="656">COUNTIF(V573:AW573,"&lt;&gt;0")</f>
        <v>2</v>
      </c>
      <c r="AY573" s="141">
        <f t="shared" ref="AY573:AY600" si="657">COUNTIF(V573:AL573,"&lt;&gt;0")</f>
        <v>2</v>
      </c>
      <c r="AZ573">
        <f t="shared" ref="AZ573:AZ600" si="658">COUNTIF(V573:AC573,"&lt;&gt;0")</f>
        <v>0</v>
      </c>
      <c r="BA573">
        <f t="shared" ref="BA573:BA600" si="659">COUNTIF(AD573:AI573,"&lt;&gt;0")</f>
        <v>1</v>
      </c>
      <c r="BB573">
        <f t="shared" ref="BB573:BB600" si="660">COUNTIF(AJ573:AL573,"&lt;&gt;0")</f>
        <v>1</v>
      </c>
      <c r="BC573">
        <f t="shared" ref="BC573:BC600" si="661">COUNTIF(AS573:AW573,"&lt;&gt;0")</f>
        <v>0</v>
      </c>
      <c r="BD573">
        <f t="shared" ref="BD573:BD600" si="662">COUNTIF(AM573:AR573,"&lt;&gt;0")</f>
        <v>0</v>
      </c>
      <c r="BE573" t="str" cm="1">
        <f t="array" ref="BE573">IF(AY573=1,INDEX($V$7:$AL$7,MATCH(TRUE,INDEX($V573:$AW573&lt;&gt;0,),0)),IF(AY573=0,INDEX($AM$7:$AW$7,MATCH(1,$AM573:$AW573,0)),IF(BF573="Multiple strategies","mixed drivers",IF(BF573="Supply chain","multiple supply","multiple silviculture"))))</f>
        <v>mixed drivers</v>
      </c>
      <c r="BF573" s="2" t="str" cm="1">
        <f t="array" ref="BF573">IF(COUNTIF(AZ573:BB573,"&lt;&gt;0")=1,INDEX($V$4:$AW$4,MATCH(TRUE,INDEX($V573:$AW573&lt;&gt;0,),0)),IF(COUNTIF(AZ573:BB573,"&lt;&gt;0")=0,INDEX($AM$4:$AW$4,MATCH(1,$AM573:$AW573,0)),"Multiple strategies"))</f>
        <v>Multiple strategies</v>
      </c>
      <c r="BG573" s="142" t="s">
        <v>321</v>
      </c>
      <c r="BH573" s="160" t="s">
        <v>1456</v>
      </c>
      <c r="BI573" s="160" t="s">
        <v>1457</v>
      </c>
      <c r="BJ573" s="143" t="s">
        <v>498</v>
      </c>
      <c r="BK573" s="143">
        <v>944</v>
      </c>
      <c r="BL573" s="143">
        <v>106341</v>
      </c>
      <c r="BM573">
        <f>IFERROR(BL575/BK573,"")</f>
        <v>13.771186440677965</v>
      </c>
      <c r="BN573">
        <f t="shared" ref="BN573:BN600" si="663">BL573-BK573</f>
        <v>105397</v>
      </c>
      <c r="BO573" s="159">
        <f t="shared" si="650"/>
        <v>105397</v>
      </c>
      <c r="BP573" s="155" t="s">
        <v>232</v>
      </c>
      <c r="BQ573" s="155" t="s">
        <v>1458</v>
      </c>
      <c r="BR573" s="155" t="s">
        <v>825</v>
      </c>
      <c r="BS573" s="143" t="s">
        <v>1462</v>
      </c>
      <c r="BT573" t="s">
        <v>1507</v>
      </c>
      <c r="BU573" s="144">
        <f t="shared" si="651"/>
        <v>17.76397258125985</v>
      </c>
      <c r="BV573">
        <f t="shared" ref="BV573:BV600" si="664">BT573-BS573</f>
        <v>-115.84982138888901</v>
      </c>
      <c r="BX573">
        <f t="shared" si="652"/>
        <v>-115.84982138888901</v>
      </c>
      <c r="BY573">
        <f t="shared" si="654"/>
        <v>-1.099175701290255E-3</v>
      </c>
      <c r="BZ573">
        <v>0</v>
      </c>
      <c r="CA573">
        <v>0</v>
      </c>
      <c r="CB573">
        <v>0</v>
      </c>
      <c r="CC573">
        <v>0</v>
      </c>
      <c r="CD573">
        <v>0</v>
      </c>
      <c r="CE573">
        <v>0</v>
      </c>
      <c r="CF573">
        <v>0</v>
      </c>
      <c r="CG573">
        <v>0</v>
      </c>
      <c r="CH573">
        <v>0</v>
      </c>
      <c r="CI573">
        <v>0</v>
      </c>
      <c r="CJ573">
        <v>0</v>
      </c>
      <c r="CK573">
        <v>0</v>
      </c>
      <c r="CL573">
        <v>0</v>
      </c>
      <c r="CM573">
        <v>0</v>
      </c>
      <c r="CN573" t="str">
        <f t="shared" ref="CN573:CN600" si="665">IF($BL573&lt;$BK573,"refNeedCorrection","refOK")</f>
        <v>refOK</v>
      </c>
      <c r="CO573">
        <f t="shared" si="648"/>
        <v>944</v>
      </c>
      <c r="CP573">
        <f t="shared" si="649"/>
        <v>106341</v>
      </c>
      <c r="CQ573">
        <f t="shared" ref="CQ573:CQ600" si="666">IF($CN573="refOK",$BO573,-$BO573)</f>
        <v>105397</v>
      </c>
      <c r="CR573">
        <f t="shared" ref="CR573:CR600" si="667">IF($CN573="refOK",$BS573,$BT573)*IF($BP573="Emissions positive",-1,1)</f>
        <v>-6.9106424999999998</v>
      </c>
      <c r="CS573">
        <f t="shared" ref="CS573:CS600" si="668">IF($CN573="refOK",$BT573,$BS573)*IF($BP573="Emissions positive",-1,1)</f>
        <v>-122.76046388888901</v>
      </c>
      <c r="CT573">
        <f t="shared" ref="CT573:CT600" si="669">IF($CN573="refNeedCorrection",-BX573,BX573)*IF($BP573="Emissions positive",-1,1)</f>
        <v>-115.84982138888901</v>
      </c>
      <c r="CU573">
        <f t="shared" ref="CU573:CU604" si="670">IFERROR(CT573/CQ573,"")</f>
        <v>-1.099175701290255E-3</v>
      </c>
      <c r="CV573" s="2">
        <f t="shared" ref="CV573:CV600" si="671">IFERROR((CS573-CR573)/ABS(CR573),"")</f>
        <v>-16.76397258125985</v>
      </c>
      <c r="CW573" s="263" t="s">
        <v>1461</v>
      </c>
      <c r="CX573" s="264" t="str">
        <f t="shared" ref="CX573:CX600" si="672">IF(OR($CW573="prd",$CW573="std",$CW573="cit"),"loc",IF(OR($CW573="eur",$CW573="reg",$CW573="coy"),"reg",$CW573))</f>
        <v>reg</v>
      </c>
      <c r="CY573" s="270" t="s">
        <v>743</v>
      </c>
      <c r="DA573" s="143"/>
      <c r="DB573" s="143">
        <v>0</v>
      </c>
      <c r="DC573" t="str">
        <f t="shared" ref="DC573:DC604" si="673">IF(DB573=0,"0",IF(AND(DB573&gt;=1,DB573&lt;=30),"1-30",IF(AND(DB573&gt;30,DB573&lt;=70),"31-70",IF(AND(DB573&gt;70,DB573&lt;=100),"71-100",IF(DB573&gt;100,"+100")))))</f>
        <v>0</v>
      </c>
      <c r="DD573">
        <v>0</v>
      </c>
      <c r="DE573">
        <v>1</v>
      </c>
      <c r="DF573">
        <v>0</v>
      </c>
      <c r="DG573">
        <v>0</v>
      </c>
      <c r="DH573">
        <v>0</v>
      </c>
      <c r="DI573">
        <f t="shared" si="653"/>
        <v>1</v>
      </c>
      <c r="DJ573" t="str">
        <f t="shared" ref="DJ573:DJ604" si="674">IF(DI573=1,INDEX($DD$7:$DG$7,MATCH(1,$DD573:$DG573,0)),"mixedProduct")</f>
        <v>EnergyInput</v>
      </c>
      <c r="DK573">
        <f t="shared" ref="DK573:DK600" si="675">IF(DD573=1,DK$7,0)</f>
        <v>0</v>
      </c>
      <c r="DL573" t="str">
        <f t="shared" ref="DL573:DL600" si="676">IF(DE573=1,DL$7,0)</f>
        <v>Energy</v>
      </c>
      <c r="DM573">
        <f t="shared" ref="DM573:DM600" si="677">IF(DF573=1,DM$7,0)</f>
        <v>0</v>
      </c>
      <c r="DN573">
        <f t="shared" ref="DN573:DN600" si="678">IF(DG573=1,DN$7,0)</f>
        <v>0</v>
      </c>
      <c r="DO573">
        <v>0</v>
      </c>
      <c r="DP573" s="143">
        <v>0</v>
      </c>
      <c r="DQ573" s="143">
        <v>0</v>
      </c>
      <c r="DR573">
        <v>0</v>
      </c>
      <c r="DS573" s="143">
        <v>0</v>
      </c>
      <c r="DT573">
        <f t="shared" ref="DT573:DT600" si="679">SUM(DO573:DP573)</f>
        <v>0</v>
      </c>
      <c r="DU573" s="143" t="str">
        <f t="shared" ref="DU573:DU600" si="680">IF(DO573=1,"self-calculated DF",IF(DP573=1,"external DF used","explicit C balance"))</f>
        <v>explicit C balance</v>
      </c>
      <c r="DV573" s="143">
        <v>0</v>
      </c>
      <c r="DW573" s="143">
        <v>0</v>
      </c>
      <c r="DX573" s="143">
        <v>0</v>
      </c>
      <c r="DY573" s="143">
        <v>0</v>
      </c>
      <c r="DZ573">
        <v>0</v>
      </c>
      <c r="EA573" s="143">
        <v>0</v>
      </c>
      <c r="EB573" s="143">
        <v>0</v>
      </c>
      <c r="EC573" s="143">
        <v>1</v>
      </c>
      <c r="ED573" s="143">
        <v>0</v>
      </c>
      <c r="EE573">
        <v>1</v>
      </c>
      <c r="EF573">
        <v>0</v>
      </c>
      <c r="EG573" s="143">
        <v>0</v>
      </c>
      <c r="EH573" s="143">
        <v>0</v>
      </c>
      <c r="EI573" s="2">
        <v>0</v>
      </c>
      <c r="EK573" t="str">
        <f t="shared" ref="EK573:EK600" si="681">IF(AND(AND(AND(OR($DX573=1,$DW573=1),OR($EC573=1,$EA573=1)),SUM($DV573:$DZ573,$EF573)&gt;=4),SUM($EA573:$EE573)&gt;=2),"Whole sector","")</f>
        <v/>
      </c>
      <c r="EL573" t="str">
        <f t="shared" ref="EL573:EL600" si="682">IF(AND(AND(OR($DX573=1,$DW573=1),AND($EC573=0,$EA573=0)),SUM($DV573:$DZ573,$EF573)&gt;=4),"Ecosystem approach","")</f>
        <v/>
      </c>
      <c r="EM573" s="2" t="str">
        <f t="shared" si="655"/>
        <v>Technology approach</v>
      </c>
      <c r="EP573" t="str">
        <f>IF(ISNUMBER(BU573),IF(ABS(BU573-[4]QC_indicators!$B$2)&gt;3*[4]QC_indicators!$C$2,"C ratio",IF(ISNUMBER(BY573),IF(ABS(BY573-[4]QC_indicators!$B$1)&gt;3*[4]QC_indicators!$C$1,"DF","no"))),IF(ISNUMBER(BY573),IF(ABS(BY573-[4]QC_indicators!$B$1)&gt;3*[4]QC_indicators!$C$1,"DF","no")))</f>
        <v>no</v>
      </c>
      <c r="ER573" s="149"/>
      <c r="ET573" s="264" t="s">
        <v>3406</v>
      </c>
    </row>
    <row r="574" spans="1:150" ht="15" hidden="1" customHeight="1">
      <c r="A574" s="1" t="s">
        <v>587</v>
      </c>
      <c r="B574" t="s">
        <v>1447</v>
      </c>
      <c r="C574" t="s">
        <v>1448</v>
      </c>
      <c r="D574" t="s">
        <v>1449</v>
      </c>
      <c r="E574" t="s">
        <v>1450</v>
      </c>
      <c r="F574" t="s">
        <v>1451</v>
      </c>
      <c r="G574" t="s">
        <v>593</v>
      </c>
      <c r="H574" t="s">
        <v>254</v>
      </c>
      <c r="I574">
        <v>2020</v>
      </c>
      <c r="J574">
        <v>12</v>
      </c>
      <c r="K574" t="s">
        <v>1452</v>
      </c>
      <c r="M574" t="str">
        <f t="shared" si="615"/>
        <v>Elisa_2020</v>
      </c>
      <c r="N574" s="264" t="s">
        <v>222</v>
      </c>
      <c r="O574" s="171" t="s">
        <v>274</v>
      </c>
      <c r="P574" t="s">
        <v>223</v>
      </c>
      <c r="Q574" s="264" t="s">
        <v>389</v>
      </c>
      <c r="R574" s="269" t="s">
        <v>1153</v>
      </c>
      <c r="S574" s="154" t="s">
        <v>1453</v>
      </c>
      <c r="T574" s="294" t="s">
        <v>1454</v>
      </c>
      <c r="U574" s="143" t="s">
        <v>1508</v>
      </c>
      <c r="V574">
        <v>0</v>
      </c>
      <c r="W574">
        <v>0</v>
      </c>
      <c r="X574">
        <v>0</v>
      </c>
      <c r="Y574">
        <v>0</v>
      </c>
      <c r="Z574">
        <v>0</v>
      </c>
      <c r="AA574">
        <v>0</v>
      </c>
      <c r="AB574">
        <v>0</v>
      </c>
      <c r="AC574">
        <v>0</v>
      </c>
      <c r="AD574">
        <v>0</v>
      </c>
      <c r="AE574">
        <v>1</v>
      </c>
      <c r="AF574">
        <v>0</v>
      </c>
      <c r="AG574">
        <v>0</v>
      </c>
      <c r="AH574">
        <v>0</v>
      </c>
      <c r="AI574">
        <v>0</v>
      </c>
      <c r="AJ574">
        <v>0</v>
      </c>
      <c r="AK574">
        <v>1</v>
      </c>
      <c r="AL574">
        <v>0</v>
      </c>
      <c r="AM574">
        <v>0</v>
      </c>
      <c r="AN574">
        <v>0</v>
      </c>
      <c r="AO574">
        <v>0</v>
      </c>
      <c r="AP574">
        <v>0</v>
      </c>
      <c r="AQ574">
        <v>0</v>
      </c>
      <c r="AR574">
        <v>0</v>
      </c>
      <c r="AS574">
        <v>0</v>
      </c>
      <c r="AT574">
        <v>0</v>
      </c>
      <c r="AU574">
        <v>0</v>
      </c>
      <c r="AV574">
        <v>0</v>
      </c>
      <c r="AW574">
        <v>0</v>
      </c>
      <c r="AX574" s="141">
        <f t="shared" si="656"/>
        <v>2</v>
      </c>
      <c r="AY574" s="141">
        <f t="shared" si="657"/>
        <v>2</v>
      </c>
      <c r="AZ574">
        <f t="shared" si="658"/>
        <v>0</v>
      </c>
      <c r="BA574">
        <f t="shared" si="659"/>
        <v>1</v>
      </c>
      <c r="BB574">
        <f t="shared" si="660"/>
        <v>1</v>
      </c>
      <c r="BC574">
        <f t="shared" si="661"/>
        <v>0</v>
      </c>
      <c r="BD574">
        <f t="shared" si="662"/>
        <v>0</v>
      </c>
      <c r="BE574" t="str" cm="1">
        <f t="array" ref="BE574">IF(AY574=1,INDEX($V$7:$AL$7,MATCH(TRUE,INDEX($V574:$AW574&lt;&gt;0,),0)),IF(AY574=0,INDEX($AM$7:$AW$7,MATCH(1,$AM574:$AW574,0)),IF(BF574="Multiple strategies","mixed drivers",IF(BF574="Supply chain","multiple supply","multiple silviculture"))))</f>
        <v>mixed drivers</v>
      </c>
      <c r="BF574" s="2" t="str" cm="1">
        <f t="array" ref="BF574">IF(COUNTIF(AZ574:BB574,"&lt;&gt;0")=1,INDEX($V$4:$AW$4,MATCH(TRUE,INDEX($V574:$AW574&lt;&gt;0,),0)),IF(COUNTIF(AZ574:BB574,"&lt;&gt;0")=0,INDEX($AM$4:$AW$4,MATCH(1,$AM574:$AW574,0)),"Multiple strategies"))</f>
        <v>Multiple strategies</v>
      </c>
      <c r="BG574" s="142" t="s">
        <v>321</v>
      </c>
      <c r="BH574" s="160" t="s">
        <v>1456</v>
      </c>
      <c r="BI574" s="160" t="s">
        <v>1457</v>
      </c>
      <c r="BJ574" s="143" t="s">
        <v>498</v>
      </c>
      <c r="BK574" s="143">
        <v>944</v>
      </c>
      <c r="BL574" s="143">
        <v>13000</v>
      </c>
      <c r="BM574">
        <f>IFERROR(BL574/BK574,"")</f>
        <v>13.771186440677965</v>
      </c>
      <c r="BN574">
        <f t="shared" si="663"/>
        <v>12056</v>
      </c>
      <c r="BO574" s="159">
        <f t="shared" si="650"/>
        <v>12056</v>
      </c>
      <c r="BP574" s="155" t="s">
        <v>232</v>
      </c>
      <c r="BQ574" s="155" t="s">
        <v>1458</v>
      </c>
      <c r="BR574" s="155" t="s">
        <v>825</v>
      </c>
      <c r="BS574" s="143" t="s">
        <v>1459</v>
      </c>
      <c r="BT574" t="s">
        <v>1509</v>
      </c>
      <c r="BU574" s="144">
        <f t="shared" si="651"/>
        <v>2.8117701553633578</v>
      </c>
      <c r="BV574">
        <f t="shared" si="664"/>
        <v>-12.7152158333333</v>
      </c>
      <c r="BX574">
        <f t="shared" si="652"/>
        <v>-12.7152158333333</v>
      </c>
      <c r="BY574">
        <f t="shared" si="654"/>
        <v>-1.0546794818624171E-3</v>
      </c>
      <c r="BZ574">
        <v>0</v>
      </c>
      <c r="CA574">
        <v>0</v>
      </c>
      <c r="CB574">
        <v>0</v>
      </c>
      <c r="CC574">
        <v>0</v>
      </c>
      <c r="CD574">
        <v>0</v>
      </c>
      <c r="CE574">
        <v>0</v>
      </c>
      <c r="CF574">
        <v>0</v>
      </c>
      <c r="CG574">
        <v>0</v>
      </c>
      <c r="CH574">
        <v>0</v>
      </c>
      <c r="CI574">
        <v>0</v>
      </c>
      <c r="CJ574">
        <v>0</v>
      </c>
      <c r="CK574">
        <v>0</v>
      </c>
      <c r="CL574">
        <v>0</v>
      </c>
      <c r="CM574">
        <v>0</v>
      </c>
      <c r="CN574" t="str">
        <f t="shared" si="665"/>
        <v>refOK</v>
      </c>
      <c r="CO574">
        <f t="shared" si="648"/>
        <v>944</v>
      </c>
      <c r="CP574">
        <f t="shared" si="649"/>
        <v>13000</v>
      </c>
      <c r="CQ574">
        <f t="shared" si="666"/>
        <v>12056</v>
      </c>
      <c r="CR574">
        <f t="shared" si="667"/>
        <v>-7.0181174999999998</v>
      </c>
      <c r="CS574">
        <f t="shared" si="668"/>
        <v>-19.733333333333299</v>
      </c>
      <c r="CT574">
        <f t="shared" si="669"/>
        <v>-12.7152158333333</v>
      </c>
      <c r="CU574">
        <f t="shared" si="670"/>
        <v>-1.0546794818624171E-3</v>
      </c>
      <c r="CV574" s="2">
        <f t="shared" si="671"/>
        <v>-1.8117701553633578</v>
      </c>
      <c r="CW574" s="263" t="s">
        <v>1461</v>
      </c>
      <c r="CX574" s="264" t="str">
        <f t="shared" si="672"/>
        <v>reg</v>
      </c>
      <c r="CY574" s="270" t="s">
        <v>743</v>
      </c>
      <c r="DA574" s="143"/>
      <c r="DB574" s="143">
        <v>0</v>
      </c>
      <c r="DC574" t="str">
        <f t="shared" si="673"/>
        <v>0</v>
      </c>
      <c r="DD574">
        <v>0</v>
      </c>
      <c r="DE574">
        <v>1</v>
      </c>
      <c r="DF574">
        <v>0</v>
      </c>
      <c r="DG574">
        <v>0</v>
      </c>
      <c r="DH574">
        <v>0</v>
      </c>
      <c r="DI574">
        <f t="shared" si="653"/>
        <v>1</v>
      </c>
      <c r="DJ574" t="str">
        <f t="shared" si="674"/>
        <v>EnergyInput</v>
      </c>
      <c r="DK574">
        <f t="shared" si="675"/>
        <v>0</v>
      </c>
      <c r="DL574" t="str">
        <f t="shared" si="676"/>
        <v>Energy</v>
      </c>
      <c r="DM574">
        <f t="shared" si="677"/>
        <v>0</v>
      </c>
      <c r="DN574">
        <f t="shared" si="678"/>
        <v>0</v>
      </c>
      <c r="DO574">
        <v>0</v>
      </c>
      <c r="DP574" s="143">
        <v>0</v>
      </c>
      <c r="DQ574" s="143">
        <v>0</v>
      </c>
      <c r="DR574">
        <v>0</v>
      </c>
      <c r="DS574" s="143">
        <v>0</v>
      </c>
      <c r="DT574">
        <f t="shared" si="679"/>
        <v>0</v>
      </c>
      <c r="DU574" s="143" t="str">
        <f t="shared" si="680"/>
        <v>explicit C balance</v>
      </c>
      <c r="DV574" s="143">
        <v>0</v>
      </c>
      <c r="DW574" s="143">
        <v>0</v>
      </c>
      <c r="DX574" s="143">
        <v>0</v>
      </c>
      <c r="DY574" s="143">
        <v>0</v>
      </c>
      <c r="DZ574">
        <v>0</v>
      </c>
      <c r="EA574" s="143">
        <v>0</v>
      </c>
      <c r="EB574" s="143">
        <v>1</v>
      </c>
      <c r="EC574" s="143">
        <v>1</v>
      </c>
      <c r="ED574" s="143">
        <v>0</v>
      </c>
      <c r="EE574">
        <v>1</v>
      </c>
      <c r="EF574">
        <v>0</v>
      </c>
      <c r="EG574" s="143">
        <v>0</v>
      </c>
      <c r="EH574" s="143">
        <v>0</v>
      </c>
      <c r="EI574" s="2">
        <v>0</v>
      </c>
      <c r="EK574" t="str">
        <f t="shared" si="681"/>
        <v/>
      </c>
      <c r="EL574" t="str">
        <f t="shared" si="682"/>
        <v/>
      </c>
      <c r="EM574" s="2" t="str">
        <f t="shared" si="655"/>
        <v>Technology approach</v>
      </c>
      <c r="EP574" t="str">
        <f>IF(ISNUMBER(BU574),IF(ABS(BU574-[4]QC_indicators!$B$2)&gt;3*[4]QC_indicators!$C$2,"C ratio",IF(ISNUMBER(BY574),IF(ABS(BY574-[4]QC_indicators!$B$1)&gt;3*[4]QC_indicators!$C$1,"DF","no"))),IF(ISNUMBER(BY574),IF(ABS(BY574-[4]QC_indicators!$B$1)&gt;3*[4]QC_indicators!$C$1,"DF","no")))</f>
        <v>no</v>
      </c>
      <c r="ER574" s="149"/>
      <c r="ET574" s="264" t="s">
        <v>3406</v>
      </c>
    </row>
    <row r="575" spans="1:150" ht="15" hidden="1" customHeight="1">
      <c r="A575" s="1" t="s">
        <v>587</v>
      </c>
      <c r="B575" t="s">
        <v>1447</v>
      </c>
      <c r="C575" t="s">
        <v>1448</v>
      </c>
      <c r="D575" t="s">
        <v>1449</v>
      </c>
      <c r="E575" t="s">
        <v>1450</v>
      </c>
      <c r="F575" t="s">
        <v>1451</v>
      </c>
      <c r="G575" t="s">
        <v>593</v>
      </c>
      <c r="H575" t="s">
        <v>254</v>
      </c>
      <c r="I575">
        <v>2020</v>
      </c>
      <c r="J575">
        <v>12</v>
      </c>
      <c r="K575" t="s">
        <v>1452</v>
      </c>
      <c r="M575" t="str">
        <f t="shared" si="615"/>
        <v>Elisa_2020</v>
      </c>
      <c r="N575" s="264" t="s">
        <v>222</v>
      </c>
      <c r="O575" s="171" t="s">
        <v>274</v>
      </c>
      <c r="P575" t="s">
        <v>223</v>
      </c>
      <c r="Q575" s="264" t="s">
        <v>389</v>
      </c>
      <c r="R575" s="269" t="s">
        <v>1153</v>
      </c>
      <c r="S575" s="154" t="s">
        <v>1453</v>
      </c>
      <c r="T575" s="294" t="s">
        <v>1454</v>
      </c>
      <c r="U575" s="143" t="s">
        <v>1508</v>
      </c>
      <c r="V575">
        <v>0</v>
      </c>
      <c r="W575">
        <v>0</v>
      </c>
      <c r="X575">
        <v>0</v>
      </c>
      <c r="Y575">
        <v>0</v>
      </c>
      <c r="Z575">
        <v>0</v>
      </c>
      <c r="AA575">
        <v>0</v>
      </c>
      <c r="AB575">
        <v>0</v>
      </c>
      <c r="AC575">
        <v>0</v>
      </c>
      <c r="AD575">
        <v>0</v>
      </c>
      <c r="AE575">
        <v>1</v>
      </c>
      <c r="AF575">
        <v>0</v>
      </c>
      <c r="AG575">
        <v>0</v>
      </c>
      <c r="AH575">
        <v>0</v>
      </c>
      <c r="AI575">
        <v>0</v>
      </c>
      <c r="AJ575">
        <v>0</v>
      </c>
      <c r="AK575">
        <v>1</v>
      </c>
      <c r="AL575">
        <v>0</v>
      </c>
      <c r="AM575">
        <v>0</v>
      </c>
      <c r="AN575">
        <v>0</v>
      </c>
      <c r="AO575">
        <v>0</v>
      </c>
      <c r="AP575">
        <v>0</v>
      </c>
      <c r="AQ575">
        <v>0</v>
      </c>
      <c r="AR575">
        <v>0</v>
      </c>
      <c r="AS575">
        <v>0</v>
      </c>
      <c r="AT575">
        <v>0</v>
      </c>
      <c r="AU575">
        <v>0</v>
      </c>
      <c r="AV575">
        <v>0</v>
      </c>
      <c r="AW575">
        <v>0</v>
      </c>
      <c r="AX575" s="141">
        <f t="shared" si="656"/>
        <v>2</v>
      </c>
      <c r="AY575" s="141">
        <f t="shared" si="657"/>
        <v>2</v>
      </c>
      <c r="AZ575">
        <f t="shared" si="658"/>
        <v>0</v>
      </c>
      <c r="BA575">
        <f t="shared" si="659"/>
        <v>1</v>
      </c>
      <c r="BB575">
        <f t="shared" si="660"/>
        <v>1</v>
      </c>
      <c r="BC575">
        <f t="shared" si="661"/>
        <v>0</v>
      </c>
      <c r="BD575">
        <f t="shared" si="662"/>
        <v>0</v>
      </c>
      <c r="BE575" t="str" cm="1">
        <f t="array" ref="BE575">IF(AY575=1,INDEX($V$7:$AL$7,MATCH(TRUE,INDEX($V575:$AW575&lt;&gt;0,),0)),IF(AY575=0,INDEX($AM$7:$AW$7,MATCH(1,$AM575:$AW575,0)),IF(BF575="Multiple strategies","mixed drivers",IF(BF575="Supply chain","multiple supply","multiple silviculture"))))</f>
        <v>mixed drivers</v>
      </c>
      <c r="BF575" s="2" t="str" cm="1">
        <f t="array" ref="BF575">IF(COUNTIF(AZ575:BB575,"&lt;&gt;0")=1,INDEX($V$4:$AW$4,MATCH(TRUE,INDEX($V575:$AW575&lt;&gt;0,),0)),IF(COUNTIF(AZ575:BB575,"&lt;&gt;0")=0,INDEX($AM$4:$AW$4,MATCH(1,$AM575:$AW575,0)),"Multiple strategies"))</f>
        <v>Multiple strategies</v>
      </c>
      <c r="BG575" s="142" t="s">
        <v>321</v>
      </c>
      <c r="BH575" s="160" t="s">
        <v>1456</v>
      </c>
      <c r="BI575" s="160" t="s">
        <v>1457</v>
      </c>
      <c r="BJ575" s="143" t="s">
        <v>498</v>
      </c>
      <c r="BK575" s="143">
        <v>944</v>
      </c>
      <c r="BL575" s="143">
        <v>13000</v>
      </c>
      <c r="BM575">
        <f>IFERROR(BL577/BK575,"")</f>
        <v>12.471398305084746</v>
      </c>
      <c r="BN575">
        <f t="shared" si="663"/>
        <v>12056</v>
      </c>
      <c r="BO575" s="159">
        <f t="shared" si="650"/>
        <v>12056</v>
      </c>
      <c r="BP575" s="155" t="s">
        <v>232</v>
      </c>
      <c r="BQ575" s="155" t="s">
        <v>1458</v>
      </c>
      <c r="BR575" s="155" t="s">
        <v>825</v>
      </c>
      <c r="BS575" s="143" t="s">
        <v>1462</v>
      </c>
      <c r="BT575" t="s">
        <v>1510</v>
      </c>
      <c r="BU575" s="144">
        <f t="shared" si="651"/>
        <v>2.6368347403620143</v>
      </c>
      <c r="BV575">
        <f t="shared" si="664"/>
        <v>-11.3115797222222</v>
      </c>
      <c r="BX575">
        <f t="shared" si="652"/>
        <v>-11.3115797222222</v>
      </c>
      <c r="BY575">
        <f t="shared" si="654"/>
        <v>-9.382531289169045E-4</v>
      </c>
      <c r="BZ575">
        <v>0</v>
      </c>
      <c r="CA575">
        <v>0</v>
      </c>
      <c r="CB575">
        <v>0</v>
      </c>
      <c r="CC575">
        <v>0</v>
      </c>
      <c r="CD575">
        <v>0</v>
      </c>
      <c r="CE575">
        <v>0</v>
      </c>
      <c r="CF575">
        <v>0</v>
      </c>
      <c r="CG575">
        <v>0</v>
      </c>
      <c r="CH575">
        <v>0</v>
      </c>
      <c r="CI575">
        <v>0</v>
      </c>
      <c r="CJ575">
        <v>0</v>
      </c>
      <c r="CK575">
        <v>0</v>
      </c>
      <c r="CL575">
        <v>0</v>
      </c>
      <c r="CM575">
        <v>0</v>
      </c>
      <c r="CN575" t="str">
        <f t="shared" si="665"/>
        <v>refOK</v>
      </c>
      <c r="CO575">
        <f t="shared" ref="CO575:CO600" si="683">IF($CN575="refOK",$BK575,$BL575)</f>
        <v>944</v>
      </c>
      <c r="CP575">
        <f t="shared" ref="CP575:CP600" si="684">IF($CN575="refOK",$BL575,$BK575)</f>
        <v>13000</v>
      </c>
      <c r="CQ575">
        <f t="shared" si="666"/>
        <v>12056</v>
      </c>
      <c r="CR575">
        <f t="shared" si="667"/>
        <v>-6.9106424999999998</v>
      </c>
      <c r="CS575">
        <f t="shared" si="668"/>
        <v>-18.2222222222222</v>
      </c>
      <c r="CT575">
        <f t="shared" si="669"/>
        <v>-11.3115797222222</v>
      </c>
      <c r="CU575">
        <f t="shared" si="670"/>
        <v>-9.382531289169045E-4</v>
      </c>
      <c r="CV575" s="2">
        <f t="shared" si="671"/>
        <v>-1.6368347403620143</v>
      </c>
      <c r="CW575" s="263" t="s">
        <v>1461</v>
      </c>
      <c r="CX575" s="264" t="str">
        <f t="shared" si="672"/>
        <v>reg</v>
      </c>
      <c r="CY575" s="270" t="s">
        <v>743</v>
      </c>
      <c r="DA575" s="143"/>
      <c r="DB575" s="143">
        <v>0</v>
      </c>
      <c r="DC575" t="str">
        <f t="shared" si="673"/>
        <v>0</v>
      </c>
      <c r="DD575">
        <v>0</v>
      </c>
      <c r="DE575">
        <v>1</v>
      </c>
      <c r="DF575">
        <v>0</v>
      </c>
      <c r="DG575">
        <v>0</v>
      </c>
      <c r="DH575">
        <v>0</v>
      </c>
      <c r="DI575">
        <f t="shared" si="653"/>
        <v>1</v>
      </c>
      <c r="DJ575" t="str">
        <f t="shared" si="674"/>
        <v>EnergyInput</v>
      </c>
      <c r="DK575">
        <f t="shared" si="675"/>
        <v>0</v>
      </c>
      <c r="DL575" t="str">
        <f t="shared" si="676"/>
        <v>Energy</v>
      </c>
      <c r="DM575">
        <f t="shared" si="677"/>
        <v>0</v>
      </c>
      <c r="DN575">
        <f t="shared" si="678"/>
        <v>0</v>
      </c>
      <c r="DO575">
        <v>0</v>
      </c>
      <c r="DP575" s="143">
        <v>0</v>
      </c>
      <c r="DQ575" s="143">
        <v>0</v>
      </c>
      <c r="DR575">
        <v>0</v>
      </c>
      <c r="DS575" s="143">
        <v>0</v>
      </c>
      <c r="DT575">
        <f t="shared" si="679"/>
        <v>0</v>
      </c>
      <c r="DU575" s="143" t="str">
        <f t="shared" si="680"/>
        <v>explicit C balance</v>
      </c>
      <c r="DV575" s="143">
        <v>0</v>
      </c>
      <c r="DW575" s="143">
        <v>0</v>
      </c>
      <c r="DX575" s="143">
        <v>0</v>
      </c>
      <c r="DY575" s="143">
        <v>0</v>
      </c>
      <c r="DZ575">
        <v>0</v>
      </c>
      <c r="EA575" s="143">
        <v>0</v>
      </c>
      <c r="EB575" s="143">
        <v>0</v>
      </c>
      <c r="EC575" s="143">
        <v>1</v>
      </c>
      <c r="ED575" s="143">
        <v>0</v>
      </c>
      <c r="EE575">
        <v>1</v>
      </c>
      <c r="EF575">
        <v>0</v>
      </c>
      <c r="EG575" s="143">
        <v>0</v>
      </c>
      <c r="EH575" s="143">
        <v>0</v>
      </c>
      <c r="EI575" s="2">
        <v>0</v>
      </c>
      <c r="EK575" t="str">
        <f t="shared" si="681"/>
        <v/>
      </c>
      <c r="EL575" t="str">
        <f t="shared" si="682"/>
        <v/>
      </c>
      <c r="EM575" s="2" t="str">
        <f t="shared" si="655"/>
        <v>Technology approach</v>
      </c>
      <c r="EP575" t="str">
        <f>IF(ISNUMBER(BU575),IF(ABS(BU575-[4]QC_indicators!$B$2)&gt;3*[4]QC_indicators!$C$2,"C ratio",IF(ISNUMBER(BY575),IF(ABS(BY575-[4]QC_indicators!$B$1)&gt;3*[4]QC_indicators!$C$1,"DF","no"))),IF(ISNUMBER(BY575),IF(ABS(BY575-[4]QC_indicators!$B$1)&gt;3*[4]QC_indicators!$C$1,"DF","no")))</f>
        <v>no</v>
      </c>
      <c r="ER575" s="149"/>
      <c r="ET575" s="264" t="s">
        <v>3406</v>
      </c>
    </row>
    <row r="576" spans="1:150" ht="15" hidden="1" customHeight="1">
      <c r="A576" s="1" t="s">
        <v>587</v>
      </c>
      <c r="B576" t="s">
        <v>1447</v>
      </c>
      <c r="C576" t="s">
        <v>1448</v>
      </c>
      <c r="D576" t="s">
        <v>1449</v>
      </c>
      <c r="E576" t="s">
        <v>1450</v>
      </c>
      <c r="F576" t="s">
        <v>1451</v>
      </c>
      <c r="G576" t="s">
        <v>593</v>
      </c>
      <c r="H576" t="s">
        <v>254</v>
      </c>
      <c r="I576">
        <v>2020</v>
      </c>
      <c r="J576">
        <v>12</v>
      </c>
      <c r="K576" t="s">
        <v>1452</v>
      </c>
      <c r="M576" t="str">
        <f t="shared" si="615"/>
        <v>Elisa_2020</v>
      </c>
      <c r="N576" s="264" t="s">
        <v>222</v>
      </c>
      <c r="O576" s="171" t="s">
        <v>274</v>
      </c>
      <c r="P576" t="s">
        <v>223</v>
      </c>
      <c r="Q576" s="264" t="s">
        <v>389</v>
      </c>
      <c r="R576" s="269" t="s">
        <v>1153</v>
      </c>
      <c r="S576" s="154" t="s">
        <v>1453</v>
      </c>
      <c r="T576" s="294" t="s">
        <v>1454</v>
      </c>
      <c r="U576" s="143" t="s">
        <v>1473</v>
      </c>
      <c r="V576">
        <v>0</v>
      </c>
      <c r="W576">
        <v>0</v>
      </c>
      <c r="X576">
        <v>0</v>
      </c>
      <c r="Y576">
        <v>0</v>
      </c>
      <c r="Z576">
        <v>0</v>
      </c>
      <c r="AA576">
        <v>0</v>
      </c>
      <c r="AB576">
        <v>0</v>
      </c>
      <c r="AC576">
        <v>0</v>
      </c>
      <c r="AD576">
        <v>0</v>
      </c>
      <c r="AE576">
        <v>1</v>
      </c>
      <c r="AF576">
        <v>0</v>
      </c>
      <c r="AG576">
        <v>0</v>
      </c>
      <c r="AH576">
        <v>0</v>
      </c>
      <c r="AI576">
        <v>0</v>
      </c>
      <c r="AJ576">
        <v>0</v>
      </c>
      <c r="AK576">
        <v>0</v>
      </c>
      <c r="AL576">
        <v>0</v>
      </c>
      <c r="AM576">
        <v>0</v>
      </c>
      <c r="AN576">
        <v>0</v>
      </c>
      <c r="AO576">
        <v>0</v>
      </c>
      <c r="AP576">
        <v>0</v>
      </c>
      <c r="AQ576">
        <v>0</v>
      </c>
      <c r="AR576">
        <v>0</v>
      </c>
      <c r="AS576">
        <v>0</v>
      </c>
      <c r="AT576">
        <v>0</v>
      </c>
      <c r="AU576">
        <v>0</v>
      </c>
      <c r="AV576">
        <v>0</v>
      </c>
      <c r="AW576">
        <v>0</v>
      </c>
      <c r="AX576" s="141">
        <f t="shared" si="656"/>
        <v>1</v>
      </c>
      <c r="AY576" s="141">
        <f t="shared" si="657"/>
        <v>1</v>
      </c>
      <c r="AZ576">
        <f t="shared" si="658"/>
        <v>0</v>
      </c>
      <c r="BA576">
        <f t="shared" si="659"/>
        <v>1</v>
      </c>
      <c r="BB576">
        <f t="shared" si="660"/>
        <v>0</v>
      </c>
      <c r="BC576">
        <f t="shared" si="661"/>
        <v>0</v>
      </c>
      <c r="BD576">
        <f t="shared" si="662"/>
        <v>0</v>
      </c>
      <c r="BE576" t="str" cm="1">
        <f t="array" ref="BE576">IF(AY576=1,INDEX($V$7:$AL$7,MATCH(TRUE,INDEX($V576:$AW576&lt;&gt;0,),0)),IF(AY576=0,INDEX($AM$7:$AW$7,MATCH(1,$AM576:$AW576,0)),IF(BF576="Multiple strategies","mixed drivers",IF(BF576="Supply chain","multiple supply","multiple silviculture"))))</f>
        <v>location of industry</v>
      </c>
      <c r="BF576" s="2" t="str" cm="1">
        <f t="array" ref="BF576">IF(COUNTIF(AZ576:BB576,"&lt;&gt;0")=1,INDEX($V$4:$AW$4,MATCH(TRUE,INDEX($V576:$AW576&lt;&gt;0,),0)),IF(COUNTIF(AZ576:BB576,"&lt;&gt;0")=0,INDEX($AM$4:$AW$4,MATCH(1,$AM576:$AW576,0)),"Multiple strategies"))</f>
        <v>Supply chain</v>
      </c>
      <c r="BG576" s="142" t="s">
        <v>321</v>
      </c>
      <c r="BH576" s="160" t="s">
        <v>1456</v>
      </c>
      <c r="BI576" s="160" t="s">
        <v>1457</v>
      </c>
      <c r="BJ576" s="143" t="s">
        <v>498</v>
      </c>
      <c r="BK576" s="143">
        <v>944</v>
      </c>
      <c r="BL576" s="143">
        <v>1600</v>
      </c>
      <c r="BM576">
        <f t="shared" ref="BM576:BM590" si="685">IFERROR(BL577/BK576,"")</f>
        <v>12.471398305084746</v>
      </c>
      <c r="BN576">
        <f t="shared" si="663"/>
        <v>656</v>
      </c>
      <c r="BO576" s="159">
        <f t="shared" si="650"/>
        <v>656</v>
      </c>
      <c r="BP576" s="155" t="s">
        <v>232</v>
      </c>
      <c r="BQ576" s="155" t="s">
        <v>1458</v>
      </c>
      <c r="BR576" s="155" t="s">
        <v>825</v>
      </c>
      <c r="BS576" s="143" t="s">
        <v>1476</v>
      </c>
      <c r="BT576" t="s">
        <v>1477</v>
      </c>
      <c r="BU576" s="144">
        <f t="shared" si="651"/>
        <v>2.209816236334031</v>
      </c>
      <c r="BV576">
        <f t="shared" si="664"/>
        <v>-0.130025</v>
      </c>
      <c r="BX576">
        <f t="shared" si="652"/>
        <v>-0.130025</v>
      </c>
      <c r="BY576">
        <f t="shared" si="654"/>
        <v>-1.9820884146341464E-4</v>
      </c>
      <c r="BZ576">
        <v>0</v>
      </c>
      <c r="CA576">
        <v>0</v>
      </c>
      <c r="CB576">
        <v>0</v>
      </c>
      <c r="CC576">
        <v>0</v>
      </c>
      <c r="CD576">
        <v>0</v>
      </c>
      <c r="CE576">
        <v>0</v>
      </c>
      <c r="CF576">
        <v>0</v>
      </c>
      <c r="CG576">
        <v>0</v>
      </c>
      <c r="CH576">
        <v>0</v>
      </c>
      <c r="CI576">
        <v>0</v>
      </c>
      <c r="CJ576">
        <v>0</v>
      </c>
      <c r="CK576">
        <v>0</v>
      </c>
      <c r="CL576">
        <v>0</v>
      </c>
      <c r="CM576">
        <v>0</v>
      </c>
      <c r="CN576" t="str">
        <f t="shared" si="665"/>
        <v>refOK</v>
      </c>
      <c r="CO576">
        <f t="shared" si="683"/>
        <v>944</v>
      </c>
      <c r="CP576">
        <f t="shared" si="684"/>
        <v>1600</v>
      </c>
      <c r="CQ576">
        <f t="shared" si="666"/>
        <v>656</v>
      </c>
      <c r="CR576">
        <f t="shared" si="667"/>
        <v>-0.107475</v>
      </c>
      <c r="CS576">
        <f t="shared" si="668"/>
        <v>-0.23749999999999999</v>
      </c>
      <c r="CT576">
        <f t="shared" si="669"/>
        <v>-0.130025</v>
      </c>
      <c r="CU576">
        <f t="shared" si="670"/>
        <v>-1.9820884146341464E-4</v>
      </c>
      <c r="CV576" s="2">
        <f t="shared" si="671"/>
        <v>-1.2098162363340312</v>
      </c>
      <c r="CW576" s="263" t="s">
        <v>1461</v>
      </c>
      <c r="CX576" s="264" t="str">
        <f t="shared" si="672"/>
        <v>reg</v>
      </c>
      <c r="CY576" s="270" t="s">
        <v>743</v>
      </c>
      <c r="DA576" s="143"/>
      <c r="DB576" s="143">
        <v>0</v>
      </c>
      <c r="DC576" t="str">
        <f t="shared" si="673"/>
        <v>0</v>
      </c>
      <c r="DD576">
        <v>0</v>
      </c>
      <c r="DE576">
        <v>1</v>
      </c>
      <c r="DF576">
        <v>0</v>
      </c>
      <c r="DG576">
        <v>0</v>
      </c>
      <c r="DH576">
        <v>0</v>
      </c>
      <c r="DI576">
        <f t="shared" si="653"/>
        <v>1</v>
      </c>
      <c r="DJ576" t="str">
        <f t="shared" si="674"/>
        <v>EnergyInput</v>
      </c>
      <c r="DK576">
        <f t="shared" si="675"/>
        <v>0</v>
      </c>
      <c r="DL576" t="str">
        <f t="shared" si="676"/>
        <v>Energy</v>
      </c>
      <c r="DM576">
        <f t="shared" si="677"/>
        <v>0</v>
      </c>
      <c r="DN576">
        <f t="shared" si="678"/>
        <v>0</v>
      </c>
      <c r="DO576">
        <v>0</v>
      </c>
      <c r="DP576" s="143">
        <v>0</v>
      </c>
      <c r="DQ576" s="143">
        <v>0</v>
      </c>
      <c r="DR576">
        <v>0</v>
      </c>
      <c r="DS576" s="143">
        <v>0</v>
      </c>
      <c r="DT576">
        <f t="shared" si="679"/>
        <v>0</v>
      </c>
      <c r="DU576" s="143" t="str">
        <f t="shared" si="680"/>
        <v>explicit C balance</v>
      </c>
      <c r="DV576" s="143">
        <v>0</v>
      </c>
      <c r="DW576" s="143">
        <v>0</v>
      </c>
      <c r="DX576" s="143">
        <v>0</v>
      </c>
      <c r="DY576" s="143">
        <v>0</v>
      </c>
      <c r="DZ576">
        <v>0</v>
      </c>
      <c r="EA576" s="143">
        <v>0</v>
      </c>
      <c r="EB576" s="143">
        <v>1</v>
      </c>
      <c r="EC576" s="143">
        <v>0</v>
      </c>
      <c r="ED576" s="143">
        <v>0</v>
      </c>
      <c r="EE576">
        <v>0</v>
      </c>
      <c r="EF576">
        <v>0</v>
      </c>
      <c r="EG576" s="143">
        <v>0</v>
      </c>
      <c r="EH576" s="143">
        <v>0</v>
      </c>
      <c r="EI576" s="2">
        <v>0</v>
      </c>
      <c r="EK576" t="str">
        <f t="shared" si="681"/>
        <v/>
      </c>
      <c r="EL576" t="str">
        <f t="shared" si="682"/>
        <v/>
      </c>
      <c r="EM576" s="2" t="str">
        <f t="shared" si="655"/>
        <v/>
      </c>
      <c r="EP576" t="str">
        <f>IF(ISNUMBER(BU576),IF(ABS(BU576-[4]QC_indicators!$B$2)&gt;3*[4]QC_indicators!$C$2,"C ratio",IF(ISNUMBER(BY576),IF(ABS(BY576-[4]QC_indicators!$B$1)&gt;3*[4]QC_indicators!$C$1,"DF","no"))),IF(ISNUMBER(BY576),IF(ABS(BY576-[4]QC_indicators!$B$1)&gt;3*[4]QC_indicators!$C$1,"DF","no")))</f>
        <v>no</v>
      </c>
      <c r="ER576" s="149"/>
      <c r="ET576" s="264" t="s">
        <v>3406</v>
      </c>
    </row>
    <row r="577" spans="1:150" ht="15" hidden="1" customHeight="1">
      <c r="A577" s="1" t="s">
        <v>587</v>
      </c>
      <c r="B577" t="s">
        <v>1447</v>
      </c>
      <c r="C577" t="s">
        <v>1448</v>
      </c>
      <c r="D577" t="s">
        <v>1449</v>
      </c>
      <c r="E577" t="s">
        <v>1450</v>
      </c>
      <c r="F577" t="s">
        <v>1451</v>
      </c>
      <c r="G577" t="s">
        <v>593</v>
      </c>
      <c r="H577" t="s">
        <v>254</v>
      </c>
      <c r="I577">
        <v>2020</v>
      </c>
      <c r="J577">
        <v>12</v>
      </c>
      <c r="K577" t="s">
        <v>1452</v>
      </c>
      <c r="M577" t="str">
        <f t="shared" ref="M577:M640" si="686">LEFT($D577,FIND(",",$D577)-1)&amp;"_"&amp;I577&amp;L577</f>
        <v>Elisa_2020</v>
      </c>
      <c r="N577" s="264" t="s">
        <v>222</v>
      </c>
      <c r="O577" s="171" t="s">
        <v>274</v>
      </c>
      <c r="P577" t="s">
        <v>223</v>
      </c>
      <c r="Q577" s="264" t="s">
        <v>389</v>
      </c>
      <c r="R577" s="269" t="s">
        <v>1153</v>
      </c>
      <c r="S577" s="154" t="s">
        <v>1453</v>
      </c>
      <c r="T577" s="294" t="s">
        <v>1454</v>
      </c>
      <c r="U577" s="143" t="s">
        <v>1482</v>
      </c>
      <c r="V577">
        <v>0</v>
      </c>
      <c r="W577">
        <v>0</v>
      </c>
      <c r="X577">
        <v>0</v>
      </c>
      <c r="Y577">
        <v>0</v>
      </c>
      <c r="Z577">
        <v>0</v>
      </c>
      <c r="AA577">
        <v>0</v>
      </c>
      <c r="AB577">
        <v>0</v>
      </c>
      <c r="AC577">
        <v>0</v>
      </c>
      <c r="AD577">
        <v>0</v>
      </c>
      <c r="AE577">
        <v>1</v>
      </c>
      <c r="AF577">
        <v>0</v>
      </c>
      <c r="AG577">
        <v>0</v>
      </c>
      <c r="AH577">
        <v>0</v>
      </c>
      <c r="AI577">
        <v>0</v>
      </c>
      <c r="AJ577">
        <v>0</v>
      </c>
      <c r="AK577">
        <v>1</v>
      </c>
      <c r="AL577">
        <v>0</v>
      </c>
      <c r="AM577">
        <v>0</v>
      </c>
      <c r="AN577">
        <v>0</v>
      </c>
      <c r="AO577">
        <v>0</v>
      </c>
      <c r="AP577">
        <v>0</v>
      </c>
      <c r="AQ577">
        <v>0</v>
      </c>
      <c r="AR577">
        <v>0</v>
      </c>
      <c r="AS577">
        <v>0</v>
      </c>
      <c r="AT577">
        <v>0</v>
      </c>
      <c r="AU577">
        <v>0</v>
      </c>
      <c r="AV577">
        <v>0</v>
      </c>
      <c r="AW577">
        <v>0</v>
      </c>
      <c r="AX577" s="141">
        <f t="shared" si="656"/>
        <v>2</v>
      </c>
      <c r="AY577" s="141">
        <f t="shared" si="657"/>
        <v>2</v>
      </c>
      <c r="AZ577">
        <f t="shared" si="658"/>
        <v>0</v>
      </c>
      <c r="BA577">
        <f t="shared" si="659"/>
        <v>1</v>
      </c>
      <c r="BB577">
        <f t="shared" si="660"/>
        <v>1</v>
      </c>
      <c r="BC577">
        <f t="shared" si="661"/>
        <v>0</v>
      </c>
      <c r="BD577">
        <f t="shared" si="662"/>
        <v>0</v>
      </c>
      <c r="BE577" t="str" cm="1">
        <f t="array" ref="BE577">IF(AY577=1,INDEX($V$7:$AL$7,MATCH(TRUE,INDEX($V577:$AW577&lt;&gt;0,),0)),IF(AY577=0,INDEX($AM$7:$AW$7,MATCH(1,$AM577:$AW577,0)),IF(BF577="Multiple strategies","mixed drivers",IF(BF577="Supply chain","multiple supply","multiple silviculture"))))</f>
        <v>mixed drivers</v>
      </c>
      <c r="BF577" s="2" t="str" cm="1">
        <f t="array" ref="BF577">IF(COUNTIF(AZ577:BB577,"&lt;&gt;0")=1,INDEX($V$4:$AW$4,MATCH(TRUE,INDEX($V577:$AW577&lt;&gt;0,),0)),IF(COUNTIF(AZ577:BB577,"&lt;&gt;0")=0,INDEX($AM$4:$AW$4,MATCH(1,$AM577:$AW577,0)),"Multiple strategies"))</f>
        <v>Multiple strategies</v>
      </c>
      <c r="BG577" s="142" t="s">
        <v>321</v>
      </c>
      <c r="BH577" s="160" t="s">
        <v>1456</v>
      </c>
      <c r="BI577" s="160" t="s">
        <v>1457</v>
      </c>
      <c r="BJ577" s="143" t="s">
        <v>498</v>
      </c>
      <c r="BK577" s="143">
        <v>944</v>
      </c>
      <c r="BL577" s="143">
        <v>11773</v>
      </c>
      <c r="BM577">
        <f t="shared" si="685"/>
        <v>2.6483050847457625</v>
      </c>
      <c r="BN577">
        <f t="shared" si="663"/>
        <v>10829</v>
      </c>
      <c r="BO577" s="159">
        <f t="shared" si="650"/>
        <v>10829</v>
      </c>
      <c r="BP577" s="155" t="s">
        <v>232</v>
      </c>
      <c r="BQ577" s="155" t="s">
        <v>1458</v>
      </c>
      <c r="BR577" s="155" t="s">
        <v>825</v>
      </c>
      <c r="BS577" s="143" t="s">
        <v>1476</v>
      </c>
      <c r="BT577" t="s">
        <v>1511</v>
      </c>
      <c r="BU577" s="144">
        <f t="shared" si="651"/>
        <v>18.872295882763435</v>
      </c>
      <c r="BV577">
        <f t="shared" si="664"/>
        <v>-1.9208250000000002</v>
      </c>
      <c r="BX577">
        <f t="shared" si="652"/>
        <v>-1.9208250000000002</v>
      </c>
      <c r="BY577">
        <f t="shared" si="654"/>
        <v>-1.7737787422661375E-4</v>
      </c>
      <c r="BZ577">
        <v>0</v>
      </c>
      <c r="CA577">
        <v>0</v>
      </c>
      <c r="CB577">
        <v>0</v>
      </c>
      <c r="CC577">
        <v>0</v>
      </c>
      <c r="CD577">
        <v>0</v>
      </c>
      <c r="CE577">
        <v>0</v>
      </c>
      <c r="CF577">
        <v>0</v>
      </c>
      <c r="CG577">
        <v>0</v>
      </c>
      <c r="CH577">
        <v>0</v>
      </c>
      <c r="CI577">
        <v>0</v>
      </c>
      <c r="CJ577">
        <v>0</v>
      </c>
      <c r="CK577">
        <v>0</v>
      </c>
      <c r="CL577">
        <v>0</v>
      </c>
      <c r="CM577">
        <v>0</v>
      </c>
      <c r="CN577" t="str">
        <f t="shared" si="665"/>
        <v>refOK</v>
      </c>
      <c r="CO577">
        <f t="shared" si="683"/>
        <v>944</v>
      </c>
      <c r="CP577">
        <f t="shared" si="684"/>
        <v>11773</v>
      </c>
      <c r="CQ577">
        <f t="shared" si="666"/>
        <v>10829</v>
      </c>
      <c r="CR577">
        <f t="shared" si="667"/>
        <v>-0.107475</v>
      </c>
      <c r="CS577">
        <f t="shared" si="668"/>
        <v>-2.0283000000000002</v>
      </c>
      <c r="CT577">
        <f t="shared" si="669"/>
        <v>-1.9208250000000002</v>
      </c>
      <c r="CU577">
        <f t="shared" si="670"/>
        <v>-1.7737787422661375E-4</v>
      </c>
      <c r="CV577" s="2">
        <f t="shared" si="671"/>
        <v>-17.872295882763435</v>
      </c>
      <c r="CW577" s="263" t="s">
        <v>1461</v>
      </c>
      <c r="CX577" s="264" t="str">
        <f t="shared" si="672"/>
        <v>reg</v>
      </c>
      <c r="CY577" s="270" t="s">
        <v>743</v>
      </c>
      <c r="DA577" s="143"/>
      <c r="DB577" s="143">
        <v>0</v>
      </c>
      <c r="DC577" t="str">
        <f t="shared" si="673"/>
        <v>0</v>
      </c>
      <c r="DD577">
        <v>0</v>
      </c>
      <c r="DE577">
        <v>1</v>
      </c>
      <c r="DF577">
        <v>0</v>
      </c>
      <c r="DG577">
        <v>0</v>
      </c>
      <c r="DH577">
        <v>0</v>
      </c>
      <c r="DI577">
        <f t="shared" si="653"/>
        <v>1</v>
      </c>
      <c r="DJ577" t="str">
        <f t="shared" si="674"/>
        <v>EnergyInput</v>
      </c>
      <c r="DK577">
        <f t="shared" si="675"/>
        <v>0</v>
      </c>
      <c r="DL577" t="str">
        <f t="shared" si="676"/>
        <v>Energy</v>
      </c>
      <c r="DM577">
        <f t="shared" si="677"/>
        <v>0</v>
      </c>
      <c r="DN577">
        <f t="shared" si="678"/>
        <v>0</v>
      </c>
      <c r="DO577">
        <v>0</v>
      </c>
      <c r="DP577" s="143">
        <v>0</v>
      </c>
      <c r="DQ577" s="143">
        <v>0</v>
      </c>
      <c r="DR577">
        <v>0</v>
      </c>
      <c r="DS577" s="143">
        <v>0</v>
      </c>
      <c r="DT577">
        <f t="shared" si="679"/>
        <v>0</v>
      </c>
      <c r="DU577" s="143" t="str">
        <f t="shared" si="680"/>
        <v>explicit C balance</v>
      </c>
      <c r="DV577" s="143">
        <v>0</v>
      </c>
      <c r="DW577" s="143">
        <v>0</v>
      </c>
      <c r="DX577" s="143">
        <v>0</v>
      </c>
      <c r="DY577" s="143">
        <v>0</v>
      </c>
      <c r="DZ577">
        <v>0</v>
      </c>
      <c r="EA577" s="143">
        <v>0</v>
      </c>
      <c r="EB577" s="143">
        <v>1</v>
      </c>
      <c r="EC577" s="143">
        <v>0</v>
      </c>
      <c r="ED577" s="143">
        <v>0</v>
      </c>
      <c r="EE577">
        <v>0</v>
      </c>
      <c r="EF577">
        <v>0</v>
      </c>
      <c r="EG577" s="143">
        <v>0</v>
      </c>
      <c r="EH577" s="143">
        <v>0</v>
      </c>
      <c r="EI577" s="2">
        <v>0</v>
      </c>
      <c r="EK577" t="str">
        <f t="shared" si="681"/>
        <v/>
      </c>
      <c r="EL577" t="str">
        <f t="shared" si="682"/>
        <v/>
      </c>
      <c r="EM577" s="2" t="str">
        <f t="shared" si="655"/>
        <v/>
      </c>
      <c r="EP577" t="str">
        <f>IF(ISNUMBER(BU577),IF(ABS(BU577-[4]QC_indicators!$B$2)&gt;3*[4]QC_indicators!$C$2,"C ratio",IF(ISNUMBER(BY577),IF(ABS(BY577-[4]QC_indicators!$B$1)&gt;3*[4]QC_indicators!$C$1,"DF","no"))),IF(ISNUMBER(BY577),IF(ABS(BY577-[4]QC_indicators!$B$1)&gt;3*[4]QC_indicators!$C$1,"DF","no")))</f>
        <v>no</v>
      </c>
      <c r="ER577" s="149"/>
      <c r="ET577" s="264" t="s">
        <v>3406</v>
      </c>
    </row>
    <row r="578" spans="1:150" ht="15" hidden="1" customHeight="1">
      <c r="A578" s="1" t="s">
        <v>587</v>
      </c>
      <c r="B578" t="s">
        <v>1447</v>
      </c>
      <c r="C578" t="s">
        <v>1448</v>
      </c>
      <c r="D578" t="s">
        <v>1449</v>
      </c>
      <c r="E578" t="s">
        <v>1450</v>
      </c>
      <c r="F578" t="s">
        <v>1451</v>
      </c>
      <c r="G578" t="s">
        <v>593</v>
      </c>
      <c r="H578" t="s">
        <v>254</v>
      </c>
      <c r="I578">
        <v>2020</v>
      </c>
      <c r="J578">
        <v>12</v>
      </c>
      <c r="K578" t="s">
        <v>1452</v>
      </c>
      <c r="M578" t="str">
        <f t="shared" si="686"/>
        <v>Elisa_2020</v>
      </c>
      <c r="N578" s="264" t="s">
        <v>222</v>
      </c>
      <c r="O578" s="171" t="s">
        <v>274</v>
      </c>
      <c r="P578" t="s">
        <v>223</v>
      </c>
      <c r="Q578" s="264" t="s">
        <v>389</v>
      </c>
      <c r="R578" s="269" t="s">
        <v>1153</v>
      </c>
      <c r="S578" s="154" t="s">
        <v>1453</v>
      </c>
      <c r="T578" s="294" t="s">
        <v>1454</v>
      </c>
      <c r="U578" s="143" t="s">
        <v>1512</v>
      </c>
      <c r="V578">
        <v>0</v>
      </c>
      <c r="W578">
        <v>0</v>
      </c>
      <c r="X578">
        <v>0</v>
      </c>
      <c r="Y578">
        <v>0</v>
      </c>
      <c r="Z578">
        <v>0</v>
      </c>
      <c r="AA578">
        <v>0</v>
      </c>
      <c r="AB578">
        <v>0</v>
      </c>
      <c r="AC578">
        <v>0</v>
      </c>
      <c r="AD578">
        <v>0</v>
      </c>
      <c r="AE578">
        <v>1</v>
      </c>
      <c r="AF578">
        <v>0</v>
      </c>
      <c r="AG578">
        <v>0</v>
      </c>
      <c r="AH578">
        <v>0</v>
      </c>
      <c r="AI578">
        <v>0</v>
      </c>
      <c r="AJ578">
        <v>0</v>
      </c>
      <c r="AK578">
        <v>1</v>
      </c>
      <c r="AL578">
        <v>0</v>
      </c>
      <c r="AM578">
        <v>0</v>
      </c>
      <c r="AN578">
        <v>0</v>
      </c>
      <c r="AO578">
        <v>0</v>
      </c>
      <c r="AP578">
        <v>0</v>
      </c>
      <c r="AQ578">
        <v>0</v>
      </c>
      <c r="AR578">
        <v>0</v>
      </c>
      <c r="AS578">
        <v>0</v>
      </c>
      <c r="AT578">
        <v>0</v>
      </c>
      <c r="AU578">
        <v>0</v>
      </c>
      <c r="AV578">
        <v>0</v>
      </c>
      <c r="AW578">
        <v>0</v>
      </c>
      <c r="AX578" s="141">
        <f t="shared" si="656"/>
        <v>2</v>
      </c>
      <c r="AY578" s="141">
        <f t="shared" si="657"/>
        <v>2</v>
      </c>
      <c r="AZ578">
        <f t="shared" si="658"/>
        <v>0</v>
      </c>
      <c r="BA578">
        <f t="shared" si="659"/>
        <v>1</v>
      </c>
      <c r="BB578">
        <f t="shared" si="660"/>
        <v>1</v>
      </c>
      <c r="BC578">
        <f t="shared" si="661"/>
        <v>0</v>
      </c>
      <c r="BD578">
        <f t="shared" si="662"/>
        <v>0</v>
      </c>
      <c r="BE578" t="str" cm="1">
        <f t="array" ref="BE578">IF(AY578=1,INDEX($V$7:$AL$7,MATCH(TRUE,INDEX($V578:$AW578&lt;&gt;0,),0)),IF(AY578=0,INDEX($AM$7:$AW$7,MATCH(1,$AM578:$AW578,0)),IF(BF578="Multiple strategies","mixed drivers",IF(BF578="Supply chain","multiple supply","multiple silviculture"))))</f>
        <v>mixed drivers</v>
      </c>
      <c r="BF578" s="2" t="str" cm="1">
        <f t="array" ref="BF578">IF(COUNTIF(AZ578:BB578,"&lt;&gt;0")=1,INDEX($V$4:$AW$4,MATCH(TRUE,INDEX($V578:$AW578&lt;&gt;0,),0)),IF(COUNTIF(AZ578:BB578,"&lt;&gt;0")=0,INDEX($AM$4:$AW$4,MATCH(1,$AM578:$AW578,0)),"Multiple strategies"))</f>
        <v>Multiple strategies</v>
      </c>
      <c r="BG578" s="142" t="s">
        <v>321</v>
      </c>
      <c r="BH578" s="160" t="s">
        <v>1456</v>
      </c>
      <c r="BI578" s="160" t="s">
        <v>1457</v>
      </c>
      <c r="BJ578" s="143" t="s">
        <v>498</v>
      </c>
      <c r="BK578" s="143">
        <v>944</v>
      </c>
      <c r="BL578" s="143">
        <v>2500</v>
      </c>
      <c r="BM578">
        <f t="shared" si="685"/>
        <v>14.03072033898305</v>
      </c>
      <c r="BN578">
        <f t="shared" si="663"/>
        <v>1556</v>
      </c>
      <c r="BO578" s="159">
        <f t="shared" ref="BO578:BO609" si="687">BN578</f>
        <v>1556</v>
      </c>
      <c r="BP578" s="155" t="s">
        <v>232</v>
      </c>
      <c r="BQ578" s="155" t="s">
        <v>1458</v>
      </c>
      <c r="BR578" s="155" t="s">
        <v>825</v>
      </c>
      <c r="BS578" s="143" t="s">
        <v>1476</v>
      </c>
      <c r="BT578" t="s">
        <v>1513</v>
      </c>
      <c r="BU578" s="144">
        <f t="shared" ref="BU578:BU609" si="688">BT578/BS578</f>
        <v>3.153188079915227</v>
      </c>
      <c r="BV578">
        <f t="shared" si="664"/>
        <v>-0.23141388888888903</v>
      </c>
      <c r="BX578">
        <f t="shared" ref="BX578:BX596" si="689">BV578</f>
        <v>-0.23141388888888903</v>
      </c>
      <c r="BY578">
        <f t="shared" si="654"/>
        <v>-1.4872357897743511E-4</v>
      </c>
      <c r="BZ578">
        <v>0</v>
      </c>
      <c r="CA578">
        <v>0</v>
      </c>
      <c r="CB578">
        <v>0</v>
      </c>
      <c r="CC578">
        <v>0</v>
      </c>
      <c r="CD578">
        <v>0</v>
      </c>
      <c r="CE578">
        <v>0</v>
      </c>
      <c r="CF578">
        <v>0</v>
      </c>
      <c r="CG578">
        <v>0</v>
      </c>
      <c r="CH578">
        <v>0</v>
      </c>
      <c r="CI578">
        <v>0</v>
      </c>
      <c r="CJ578">
        <v>0</v>
      </c>
      <c r="CK578">
        <v>0</v>
      </c>
      <c r="CL578">
        <v>0</v>
      </c>
      <c r="CM578">
        <v>0</v>
      </c>
      <c r="CN578" t="str">
        <f t="shared" si="665"/>
        <v>refOK</v>
      </c>
      <c r="CO578">
        <f t="shared" si="683"/>
        <v>944</v>
      </c>
      <c r="CP578">
        <f t="shared" si="684"/>
        <v>2500</v>
      </c>
      <c r="CQ578">
        <f t="shared" si="666"/>
        <v>1556</v>
      </c>
      <c r="CR578">
        <f t="shared" si="667"/>
        <v>-0.107475</v>
      </c>
      <c r="CS578">
        <f t="shared" si="668"/>
        <v>-0.33888888888888902</v>
      </c>
      <c r="CT578">
        <f t="shared" si="669"/>
        <v>-0.23141388888888903</v>
      </c>
      <c r="CU578">
        <f t="shared" si="670"/>
        <v>-1.4872357897743511E-4</v>
      </c>
      <c r="CV578" s="2">
        <f t="shared" si="671"/>
        <v>-2.153188079915227</v>
      </c>
      <c r="CW578" s="263" t="s">
        <v>1461</v>
      </c>
      <c r="CX578" s="264" t="str">
        <f t="shared" si="672"/>
        <v>reg</v>
      </c>
      <c r="CY578" s="270" t="s">
        <v>743</v>
      </c>
      <c r="DA578" s="143"/>
      <c r="DB578" s="143">
        <v>0</v>
      </c>
      <c r="DC578" t="str">
        <f t="shared" si="673"/>
        <v>0</v>
      </c>
      <c r="DD578">
        <v>0</v>
      </c>
      <c r="DE578">
        <v>1</v>
      </c>
      <c r="DF578">
        <v>0</v>
      </c>
      <c r="DG578">
        <v>0</v>
      </c>
      <c r="DH578">
        <v>0</v>
      </c>
      <c r="DI578">
        <f t="shared" ref="DI578:DI609" si="690">SUM(DD578:DH578)</f>
        <v>1</v>
      </c>
      <c r="DJ578" t="str">
        <f t="shared" si="674"/>
        <v>EnergyInput</v>
      </c>
      <c r="DK578">
        <f t="shared" si="675"/>
        <v>0</v>
      </c>
      <c r="DL578" t="str">
        <f t="shared" si="676"/>
        <v>Energy</v>
      </c>
      <c r="DM578">
        <f t="shared" si="677"/>
        <v>0</v>
      </c>
      <c r="DN578">
        <f t="shared" si="678"/>
        <v>0</v>
      </c>
      <c r="DO578">
        <v>0</v>
      </c>
      <c r="DP578" s="143">
        <v>0</v>
      </c>
      <c r="DQ578" s="143">
        <v>0</v>
      </c>
      <c r="DR578">
        <v>0</v>
      </c>
      <c r="DS578" s="143">
        <v>0</v>
      </c>
      <c r="DT578">
        <f t="shared" si="679"/>
        <v>0</v>
      </c>
      <c r="DU578" s="143" t="str">
        <f t="shared" si="680"/>
        <v>explicit C balance</v>
      </c>
      <c r="DV578" s="143">
        <v>0</v>
      </c>
      <c r="DW578" s="143">
        <v>0</v>
      </c>
      <c r="DX578" s="143">
        <v>0</v>
      </c>
      <c r="DY578" s="143">
        <v>0</v>
      </c>
      <c r="DZ578">
        <v>0</v>
      </c>
      <c r="EA578" s="143">
        <v>0</v>
      </c>
      <c r="EB578" s="143">
        <v>1</v>
      </c>
      <c r="EC578" s="143">
        <v>0</v>
      </c>
      <c r="ED578" s="143">
        <v>0</v>
      </c>
      <c r="EE578">
        <v>0</v>
      </c>
      <c r="EF578">
        <v>0</v>
      </c>
      <c r="EG578" s="143">
        <v>0</v>
      </c>
      <c r="EH578" s="143">
        <v>0</v>
      </c>
      <c r="EI578" s="2">
        <v>0</v>
      </c>
      <c r="EK578" t="str">
        <f t="shared" si="681"/>
        <v/>
      </c>
      <c r="EL578" t="str">
        <f t="shared" si="682"/>
        <v/>
      </c>
      <c r="EM578" s="2" t="str">
        <f t="shared" si="655"/>
        <v/>
      </c>
      <c r="EP578" t="str">
        <f>IF(ISNUMBER(BU578),IF(ABS(BU578-[4]QC_indicators!$B$2)&gt;3*[4]QC_indicators!$C$2,"C ratio",IF(ISNUMBER(BY578),IF(ABS(BY578-[4]QC_indicators!$B$1)&gt;3*[4]QC_indicators!$C$1,"DF","no"))),IF(ISNUMBER(BY578),IF(ABS(BY578-[4]QC_indicators!$B$1)&gt;3*[4]QC_indicators!$C$1,"DF","no")))</f>
        <v>no</v>
      </c>
      <c r="ER578" s="149"/>
      <c r="ET578" s="264" t="s">
        <v>3406</v>
      </c>
    </row>
    <row r="579" spans="1:150" ht="15" hidden="1" customHeight="1">
      <c r="A579" s="1" t="s">
        <v>587</v>
      </c>
      <c r="B579" t="s">
        <v>1447</v>
      </c>
      <c r="C579" t="s">
        <v>1448</v>
      </c>
      <c r="D579" t="s">
        <v>1449</v>
      </c>
      <c r="E579" t="s">
        <v>1450</v>
      </c>
      <c r="F579" t="s">
        <v>1451</v>
      </c>
      <c r="G579" t="s">
        <v>593</v>
      </c>
      <c r="H579" t="s">
        <v>254</v>
      </c>
      <c r="I579">
        <v>2020</v>
      </c>
      <c r="J579">
        <v>12</v>
      </c>
      <c r="K579" t="s">
        <v>1452</v>
      </c>
      <c r="M579" t="str">
        <f t="shared" si="686"/>
        <v>Elisa_2020</v>
      </c>
      <c r="N579" s="264" t="s">
        <v>222</v>
      </c>
      <c r="O579" s="171" t="s">
        <v>274</v>
      </c>
      <c r="P579" t="s">
        <v>223</v>
      </c>
      <c r="Q579" s="264" t="s">
        <v>389</v>
      </c>
      <c r="R579" s="269" t="s">
        <v>1153</v>
      </c>
      <c r="S579" s="154" t="s">
        <v>1453</v>
      </c>
      <c r="T579" s="294" t="s">
        <v>1454</v>
      </c>
      <c r="U579" s="143" t="s">
        <v>1042</v>
      </c>
      <c r="V579">
        <v>0</v>
      </c>
      <c r="W579">
        <v>0</v>
      </c>
      <c r="X579">
        <v>0</v>
      </c>
      <c r="Y579">
        <v>0</v>
      </c>
      <c r="Z579">
        <v>0</v>
      </c>
      <c r="AA579">
        <v>0</v>
      </c>
      <c r="AB579">
        <v>0</v>
      </c>
      <c r="AC579">
        <v>0</v>
      </c>
      <c r="AD579">
        <v>0</v>
      </c>
      <c r="AE579">
        <v>1</v>
      </c>
      <c r="AF579">
        <v>0</v>
      </c>
      <c r="AG579">
        <v>0</v>
      </c>
      <c r="AH579">
        <v>0</v>
      </c>
      <c r="AI579">
        <v>0</v>
      </c>
      <c r="AJ579">
        <v>0</v>
      </c>
      <c r="AK579">
        <v>1</v>
      </c>
      <c r="AL579">
        <v>0</v>
      </c>
      <c r="AM579">
        <v>0</v>
      </c>
      <c r="AN579">
        <v>0</v>
      </c>
      <c r="AO579">
        <v>0</v>
      </c>
      <c r="AP579">
        <v>0</v>
      </c>
      <c r="AQ579">
        <v>0</v>
      </c>
      <c r="AR579">
        <v>0</v>
      </c>
      <c r="AS579">
        <v>0</v>
      </c>
      <c r="AT579">
        <v>0</v>
      </c>
      <c r="AU579">
        <v>0</v>
      </c>
      <c r="AV579">
        <v>0</v>
      </c>
      <c r="AW579">
        <v>0</v>
      </c>
      <c r="AX579" s="141">
        <f t="shared" si="656"/>
        <v>2</v>
      </c>
      <c r="AY579" s="141">
        <f t="shared" si="657"/>
        <v>2</v>
      </c>
      <c r="AZ579">
        <f t="shared" si="658"/>
        <v>0</v>
      </c>
      <c r="BA579">
        <f t="shared" si="659"/>
        <v>1</v>
      </c>
      <c r="BB579">
        <f t="shared" si="660"/>
        <v>1</v>
      </c>
      <c r="BC579">
        <f t="shared" si="661"/>
        <v>0</v>
      </c>
      <c r="BD579">
        <f t="shared" si="662"/>
        <v>0</v>
      </c>
      <c r="BE579" t="str" cm="1">
        <f t="array" ref="BE579">IF(AY579=1,INDEX($V$7:$AL$7,MATCH(TRUE,INDEX($V579:$AW579&lt;&gt;0,),0)),IF(AY579=0,INDEX($AM$7:$AW$7,MATCH(1,$AM579:$AW579,0)),IF(BF579="Multiple strategies","mixed drivers",IF(BF579="Supply chain","multiple supply","multiple silviculture"))))</f>
        <v>mixed drivers</v>
      </c>
      <c r="BF579" s="2" t="str" cm="1">
        <f t="array" ref="BF579">IF(COUNTIF(AZ579:BB579,"&lt;&gt;0")=1,INDEX($V$4:$AW$4,MATCH(TRUE,INDEX($V579:$AW579&lt;&gt;0,),0)),IF(COUNTIF(AZ579:BB579,"&lt;&gt;0")=0,INDEX($AM$4:$AW$4,MATCH(1,$AM579:$AW579,0)),"Multiple strategies"))</f>
        <v>Multiple strategies</v>
      </c>
      <c r="BG579" s="142" t="s">
        <v>321</v>
      </c>
      <c r="BH579" s="160" t="s">
        <v>1456</v>
      </c>
      <c r="BI579" s="160" t="s">
        <v>1457</v>
      </c>
      <c r="BJ579" s="143" t="s">
        <v>498</v>
      </c>
      <c r="BK579" s="143">
        <v>944</v>
      </c>
      <c r="BL579" s="143">
        <v>13245</v>
      </c>
      <c r="BM579">
        <f t="shared" si="685"/>
        <v>4.7669491525423728</v>
      </c>
      <c r="BN579">
        <f t="shared" si="663"/>
        <v>12301</v>
      </c>
      <c r="BO579" s="159">
        <f t="shared" si="687"/>
        <v>12301</v>
      </c>
      <c r="BP579" s="155" t="s">
        <v>232</v>
      </c>
      <c r="BQ579" s="155" t="s">
        <v>1458</v>
      </c>
      <c r="BR579" s="155" t="s">
        <v>825</v>
      </c>
      <c r="BS579" s="143" t="s">
        <v>1476</v>
      </c>
      <c r="BT579" t="s">
        <v>1514</v>
      </c>
      <c r="BU579" s="144">
        <f t="shared" si="688"/>
        <v>14.383189889121471</v>
      </c>
      <c r="BV579">
        <f t="shared" si="664"/>
        <v>-1.4383583333333301</v>
      </c>
      <c r="BX579">
        <f t="shared" si="689"/>
        <v>-1.4383583333333301</v>
      </c>
      <c r="BY579">
        <f t="shared" si="654"/>
        <v>-1.1693019537706935E-4</v>
      </c>
      <c r="BZ579">
        <v>0</v>
      </c>
      <c r="CA579">
        <v>0</v>
      </c>
      <c r="CB579">
        <v>0</v>
      </c>
      <c r="CC579">
        <v>0</v>
      </c>
      <c r="CD579">
        <v>0</v>
      </c>
      <c r="CE579">
        <v>0</v>
      </c>
      <c r="CF579">
        <v>0</v>
      </c>
      <c r="CG579">
        <v>0</v>
      </c>
      <c r="CH579">
        <v>0</v>
      </c>
      <c r="CI579">
        <v>0</v>
      </c>
      <c r="CJ579">
        <v>0</v>
      </c>
      <c r="CK579">
        <v>0</v>
      </c>
      <c r="CL579">
        <v>0</v>
      </c>
      <c r="CM579">
        <v>0</v>
      </c>
      <c r="CN579" t="str">
        <f t="shared" si="665"/>
        <v>refOK</v>
      </c>
      <c r="CO579">
        <f t="shared" si="683"/>
        <v>944</v>
      </c>
      <c r="CP579">
        <f t="shared" si="684"/>
        <v>13245</v>
      </c>
      <c r="CQ579">
        <f t="shared" si="666"/>
        <v>12301</v>
      </c>
      <c r="CR579">
        <f t="shared" si="667"/>
        <v>-0.107475</v>
      </c>
      <c r="CS579">
        <f t="shared" si="668"/>
        <v>-1.5458333333333301</v>
      </c>
      <c r="CT579">
        <f t="shared" si="669"/>
        <v>-1.4383583333333301</v>
      </c>
      <c r="CU579">
        <f t="shared" si="670"/>
        <v>-1.1693019537706935E-4</v>
      </c>
      <c r="CV579" s="2">
        <f t="shared" si="671"/>
        <v>-13.383189889121471</v>
      </c>
      <c r="CW579" s="263" t="s">
        <v>1461</v>
      </c>
      <c r="CX579" s="264" t="str">
        <f t="shared" si="672"/>
        <v>reg</v>
      </c>
      <c r="CY579" s="270" t="s">
        <v>743</v>
      </c>
      <c r="DA579" s="143"/>
      <c r="DB579" s="143">
        <v>0</v>
      </c>
      <c r="DC579" t="str">
        <f t="shared" si="673"/>
        <v>0</v>
      </c>
      <c r="DD579">
        <v>0</v>
      </c>
      <c r="DE579">
        <v>1</v>
      </c>
      <c r="DF579">
        <v>0</v>
      </c>
      <c r="DG579">
        <v>0</v>
      </c>
      <c r="DH579">
        <v>0</v>
      </c>
      <c r="DI579">
        <f t="shared" si="690"/>
        <v>1</v>
      </c>
      <c r="DJ579" t="str">
        <f t="shared" si="674"/>
        <v>EnergyInput</v>
      </c>
      <c r="DK579">
        <f t="shared" si="675"/>
        <v>0</v>
      </c>
      <c r="DL579" t="str">
        <f t="shared" si="676"/>
        <v>Energy</v>
      </c>
      <c r="DM579">
        <f t="shared" si="677"/>
        <v>0</v>
      </c>
      <c r="DN579">
        <f t="shared" si="678"/>
        <v>0</v>
      </c>
      <c r="DO579">
        <v>0</v>
      </c>
      <c r="DP579" s="143">
        <v>0</v>
      </c>
      <c r="DQ579" s="143">
        <v>0</v>
      </c>
      <c r="DR579">
        <v>0</v>
      </c>
      <c r="DS579" s="143">
        <v>0</v>
      </c>
      <c r="DT579">
        <f t="shared" si="679"/>
        <v>0</v>
      </c>
      <c r="DU579" s="143" t="str">
        <f t="shared" si="680"/>
        <v>explicit C balance</v>
      </c>
      <c r="DV579" s="143">
        <v>0</v>
      </c>
      <c r="DW579" s="143">
        <v>0</v>
      </c>
      <c r="DX579" s="143">
        <v>0</v>
      </c>
      <c r="DY579" s="143">
        <v>0</v>
      </c>
      <c r="DZ579">
        <v>0</v>
      </c>
      <c r="EA579" s="143">
        <v>0</v>
      </c>
      <c r="EB579" s="143">
        <v>1</v>
      </c>
      <c r="EC579" s="143">
        <v>0</v>
      </c>
      <c r="ED579" s="143">
        <v>0</v>
      </c>
      <c r="EE579">
        <v>0</v>
      </c>
      <c r="EF579">
        <v>0</v>
      </c>
      <c r="EG579" s="143">
        <v>0</v>
      </c>
      <c r="EH579" s="143">
        <v>0</v>
      </c>
      <c r="EI579" s="2">
        <v>0</v>
      </c>
      <c r="EK579" t="str">
        <f t="shared" si="681"/>
        <v/>
      </c>
      <c r="EL579" t="str">
        <f t="shared" si="682"/>
        <v/>
      </c>
      <c r="EM579" s="2" t="str">
        <f t="shared" si="655"/>
        <v/>
      </c>
      <c r="EP579" t="str">
        <f>IF(ISNUMBER(BU579),IF(ABS(BU579-[4]QC_indicators!$B$2)&gt;3*[4]QC_indicators!$C$2,"C ratio",IF(ISNUMBER(BY579),IF(ABS(BY579-[4]QC_indicators!$B$1)&gt;3*[4]QC_indicators!$C$1,"DF","no"))),IF(ISNUMBER(BY579),IF(ABS(BY579-[4]QC_indicators!$B$1)&gt;3*[4]QC_indicators!$C$1,"DF","no")))</f>
        <v>no</v>
      </c>
      <c r="ER579" s="149"/>
      <c r="ET579" s="264" t="s">
        <v>3406</v>
      </c>
    </row>
    <row r="580" spans="1:150" ht="15" hidden="1" customHeight="1">
      <c r="A580" s="1" t="s">
        <v>587</v>
      </c>
      <c r="B580" t="s">
        <v>1447</v>
      </c>
      <c r="C580" t="s">
        <v>1448</v>
      </c>
      <c r="D580" t="s">
        <v>1449</v>
      </c>
      <c r="E580" t="s">
        <v>1450</v>
      </c>
      <c r="F580" t="s">
        <v>1451</v>
      </c>
      <c r="G580" t="s">
        <v>593</v>
      </c>
      <c r="H580" t="s">
        <v>254</v>
      </c>
      <c r="I580">
        <v>2020</v>
      </c>
      <c r="J580">
        <v>12</v>
      </c>
      <c r="K580" t="s">
        <v>1452</v>
      </c>
      <c r="M580" t="str">
        <f t="shared" si="686"/>
        <v>Elisa_2020</v>
      </c>
      <c r="N580" s="264" t="s">
        <v>222</v>
      </c>
      <c r="O580" s="171" t="s">
        <v>274</v>
      </c>
      <c r="P580" t="s">
        <v>223</v>
      </c>
      <c r="Q580" s="264" t="s">
        <v>389</v>
      </c>
      <c r="R580" s="269" t="s">
        <v>1153</v>
      </c>
      <c r="S580" s="154" t="s">
        <v>1453</v>
      </c>
      <c r="T580" s="294" t="s">
        <v>1454</v>
      </c>
      <c r="U580" s="143" t="s">
        <v>1489</v>
      </c>
      <c r="V580">
        <v>0</v>
      </c>
      <c r="W580">
        <v>0</v>
      </c>
      <c r="X580">
        <v>0</v>
      </c>
      <c r="Y580">
        <v>0</v>
      </c>
      <c r="Z580">
        <v>0</v>
      </c>
      <c r="AA580">
        <v>0</v>
      </c>
      <c r="AB580">
        <v>0</v>
      </c>
      <c r="AC580">
        <v>0</v>
      </c>
      <c r="AD580">
        <v>0</v>
      </c>
      <c r="AE580">
        <v>1</v>
      </c>
      <c r="AF580">
        <v>0</v>
      </c>
      <c r="AG580">
        <v>0</v>
      </c>
      <c r="AH580">
        <v>0</v>
      </c>
      <c r="AI580">
        <v>0</v>
      </c>
      <c r="AJ580">
        <v>0</v>
      </c>
      <c r="AK580">
        <v>1</v>
      </c>
      <c r="AL580">
        <v>0</v>
      </c>
      <c r="AM580">
        <v>0</v>
      </c>
      <c r="AN580">
        <v>0</v>
      </c>
      <c r="AO580">
        <v>0</v>
      </c>
      <c r="AP580">
        <v>0</v>
      </c>
      <c r="AQ580">
        <v>0</v>
      </c>
      <c r="AR580">
        <v>0</v>
      </c>
      <c r="AS580">
        <v>0</v>
      </c>
      <c r="AT580">
        <v>0</v>
      </c>
      <c r="AU580">
        <v>0</v>
      </c>
      <c r="AV580">
        <v>0</v>
      </c>
      <c r="AW580">
        <v>0</v>
      </c>
      <c r="AX580" s="141">
        <f t="shared" si="656"/>
        <v>2</v>
      </c>
      <c r="AY580" s="141">
        <f t="shared" si="657"/>
        <v>2</v>
      </c>
      <c r="AZ580">
        <f t="shared" si="658"/>
        <v>0</v>
      </c>
      <c r="BA580">
        <f t="shared" si="659"/>
        <v>1</v>
      </c>
      <c r="BB580">
        <f t="shared" si="660"/>
        <v>1</v>
      </c>
      <c r="BC580">
        <f t="shared" si="661"/>
        <v>0</v>
      </c>
      <c r="BD580">
        <f t="shared" si="662"/>
        <v>0</v>
      </c>
      <c r="BE580" t="str" cm="1">
        <f t="array" ref="BE580">IF(AY580=1,INDEX($V$7:$AL$7,MATCH(TRUE,INDEX($V580:$AW580&lt;&gt;0,),0)),IF(AY580=0,INDEX($AM$7:$AW$7,MATCH(1,$AM580:$AW580,0)),IF(BF580="Multiple strategies","mixed drivers",IF(BF580="Supply chain","multiple supply","multiple silviculture"))))</f>
        <v>mixed drivers</v>
      </c>
      <c r="BF580" s="2" t="str" cm="1">
        <f t="array" ref="BF580">IF(COUNTIF(AZ580:BB580,"&lt;&gt;0")=1,INDEX($V$4:$AW$4,MATCH(TRUE,INDEX($V580:$AW580&lt;&gt;0,),0)),IF(COUNTIF(AZ580:BB580,"&lt;&gt;0")=0,INDEX($AM$4:$AW$4,MATCH(1,$AM580:$AW580,0)),"Multiple strategies"))</f>
        <v>Multiple strategies</v>
      </c>
      <c r="BG580" s="142" t="s">
        <v>321</v>
      </c>
      <c r="BH580" s="160" t="s">
        <v>1456</v>
      </c>
      <c r="BI580" s="160" t="s">
        <v>1457</v>
      </c>
      <c r="BJ580" s="143" t="s">
        <v>498</v>
      </c>
      <c r="BK580" s="143">
        <v>944</v>
      </c>
      <c r="BL580" s="143">
        <v>4500</v>
      </c>
      <c r="BM580">
        <f t="shared" si="685"/>
        <v>13.771186440677965</v>
      </c>
      <c r="BN580">
        <f t="shared" si="663"/>
        <v>3556</v>
      </c>
      <c r="BO580" s="159">
        <f t="shared" si="687"/>
        <v>3556</v>
      </c>
      <c r="BP580" s="155" t="s">
        <v>232</v>
      </c>
      <c r="BQ580" s="155" t="s">
        <v>1458</v>
      </c>
      <c r="BR580" s="155" t="s">
        <v>825</v>
      </c>
      <c r="BS580" s="143" t="s">
        <v>1476</v>
      </c>
      <c r="BT580" t="s">
        <v>1515</v>
      </c>
      <c r="BU580" s="144">
        <f t="shared" si="688"/>
        <v>4.8588819105218244</v>
      </c>
      <c r="BV580">
        <f t="shared" si="664"/>
        <v>-0.41473333333333307</v>
      </c>
      <c r="BX580">
        <f t="shared" si="689"/>
        <v>-0.41473333333333307</v>
      </c>
      <c r="BY580">
        <f t="shared" si="654"/>
        <v>-1.1662917135358072E-4</v>
      </c>
      <c r="BZ580">
        <v>0</v>
      </c>
      <c r="CA580">
        <v>0</v>
      </c>
      <c r="CB580">
        <v>0</v>
      </c>
      <c r="CC580">
        <v>0</v>
      </c>
      <c r="CD580">
        <v>0</v>
      </c>
      <c r="CE580">
        <v>0</v>
      </c>
      <c r="CF580">
        <v>0</v>
      </c>
      <c r="CG580">
        <v>0</v>
      </c>
      <c r="CH580">
        <v>0</v>
      </c>
      <c r="CI580">
        <v>0</v>
      </c>
      <c r="CJ580">
        <v>0</v>
      </c>
      <c r="CK580">
        <v>0</v>
      </c>
      <c r="CL580">
        <v>0</v>
      </c>
      <c r="CM580">
        <v>0</v>
      </c>
      <c r="CN580" t="str">
        <f t="shared" si="665"/>
        <v>refOK</v>
      </c>
      <c r="CO580">
        <f t="shared" si="683"/>
        <v>944</v>
      </c>
      <c r="CP580">
        <f t="shared" si="684"/>
        <v>4500</v>
      </c>
      <c r="CQ580">
        <f t="shared" si="666"/>
        <v>3556</v>
      </c>
      <c r="CR580">
        <f t="shared" si="667"/>
        <v>-0.107475</v>
      </c>
      <c r="CS580">
        <f t="shared" si="668"/>
        <v>-0.52220833333333305</v>
      </c>
      <c r="CT580">
        <f t="shared" si="669"/>
        <v>-0.41473333333333307</v>
      </c>
      <c r="CU580">
        <f t="shared" si="670"/>
        <v>-1.1662917135358072E-4</v>
      </c>
      <c r="CV580" s="2">
        <f t="shared" si="671"/>
        <v>-3.8588819105218244</v>
      </c>
      <c r="CW580" s="263" t="s">
        <v>1461</v>
      </c>
      <c r="CX580" s="264" t="str">
        <f t="shared" si="672"/>
        <v>reg</v>
      </c>
      <c r="CY580" s="270" t="s">
        <v>743</v>
      </c>
      <c r="DA580" s="143"/>
      <c r="DB580" s="143">
        <v>0</v>
      </c>
      <c r="DC580" t="str">
        <f t="shared" si="673"/>
        <v>0</v>
      </c>
      <c r="DD580">
        <v>0</v>
      </c>
      <c r="DE580">
        <v>1</v>
      </c>
      <c r="DF580">
        <v>0</v>
      </c>
      <c r="DG580">
        <v>0</v>
      </c>
      <c r="DH580">
        <v>0</v>
      </c>
      <c r="DI580">
        <f t="shared" si="690"/>
        <v>1</v>
      </c>
      <c r="DJ580" t="str">
        <f t="shared" si="674"/>
        <v>EnergyInput</v>
      </c>
      <c r="DK580">
        <f t="shared" si="675"/>
        <v>0</v>
      </c>
      <c r="DL580" t="str">
        <f t="shared" si="676"/>
        <v>Energy</v>
      </c>
      <c r="DM580">
        <f t="shared" si="677"/>
        <v>0</v>
      </c>
      <c r="DN580">
        <f t="shared" si="678"/>
        <v>0</v>
      </c>
      <c r="DO580">
        <v>0</v>
      </c>
      <c r="DP580" s="143">
        <v>0</v>
      </c>
      <c r="DQ580" s="143">
        <v>0</v>
      </c>
      <c r="DR580">
        <v>0</v>
      </c>
      <c r="DS580" s="143">
        <v>0</v>
      </c>
      <c r="DT580">
        <f t="shared" si="679"/>
        <v>0</v>
      </c>
      <c r="DU580" s="143" t="str">
        <f t="shared" si="680"/>
        <v>explicit C balance</v>
      </c>
      <c r="DV580" s="143">
        <v>0</v>
      </c>
      <c r="DW580" s="143">
        <v>0</v>
      </c>
      <c r="DX580" s="143">
        <v>0</v>
      </c>
      <c r="DY580" s="143">
        <v>0</v>
      </c>
      <c r="DZ580">
        <v>0</v>
      </c>
      <c r="EA580" s="143">
        <v>0</v>
      </c>
      <c r="EB580" s="143">
        <v>1</v>
      </c>
      <c r="EC580" s="143">
        <v>0</v>
      </c>
      <c r="ED580" s="143">
        <v>0</v>
      </c>
      <c r="EE580">
        <v>0</v>
      </c>
      <c r="EF580">
        <v>0</v>
      </c>
      <c r="EG580" s="143">
        <v>0</v>
      </c>
      <c r="EH580" s="143">
        <v>0</v>
      </c>
      <c r="EI580" s="2">
        <v>0</v>
      </c>
      <c r="EK580" t="str">
        <f t="shared" si="681"/>
        <v/>
      </c>
      <c r="EL580" t="str">
        <f t="shared" si="682"/>
        <v/>
      </c>
      <c r="EM580" s="2" t="str">
        <f t="shared" si="655"/>
        <v/>
      </c>
      <c r="EP580" t="str">
        <f>IF(ISNUMBER(BU580),IF(ABS(BU580-[4]QC_indicators!$B$2)&gt;3*[4]QC_indicators!$C$2,"C ratio",IF(ISNUMBER(BY580),IF(ABS(BY580-[4]QC_indicators!$B$1)&gt;3*[4]QC_indicators!$C$1,"DF","no"))),IF(ISNUMBER(BY580),IF(ABS(BY580-[4]QC_indicators!$B$1)&gt;3*[4]QC_indicators!$C$1,"DF","no")))</f>
        <v>no</v>
      </c>
      <c r="ER580" s="149"/>
      <c r="ET580" s="264" t="s">
        <v>3406</v>
      </c>
    </row>
    <row r="581" spans="1:150" ht="15" hidden="1" customHeight="1">
      <c r="A581" s="1" t="s">
        <v>587</v>
      </c>
      <c r="B581" t="s">
        <v>1447</v>
      </c>
      <c r="C581" t="s">
        <v>1448</v>
      </c>
      <c r="D581" t="s">
        <v>1449</v>
      </c>
      <c r="E581" t="s">
        <v>1450</v>
      </c>
      <c r="F581" t="s">
        <v>1451</v>
      </c>
      <c r="G581" t="s">
        <v>593</v>
      </c>
      <c r="H581" t="s">
        <v>254</v>
      </c>
      <c r="I581">
        <v>2020</v>
      </c>
      <c r="J581">
        <v>12</v>
      </c>
      <c r="K581" t="s">
        <v>1452</v>
      </c>
      <c r="M581" t="str">
        <f t="shared" si="686"/>
        <v>Elisa_2020</v>
      </c>
      <c r="N581" s="264" t="s">
        <v>222</v>
      </c>
      <c r="O581" s="171" t="s">
        <v>274</v>
      </c>
      <c r="P581" t="s">
        <v>223</v>
      </c>
      <c r="Q581" s="264" t="s">
        <v>389</v>
      </c>
      <c r="R581" s="269" t="s">
        <v>1153</v>
      </c>
      <c r="S581" s="154" t="s">
        <v>1453</v>
      </c>
      <c r="T581" s="294" t="s">
        <v>1454</v>
      </c>
      <c r="U581" s="143" t="s">
        <v>1508</v>
      </c>
      <c r="V581">
        <v>0</v>
      </c>
      <c r="W581">
        <v>0</v>
      </c>
      <c r="X581">
        <v>0</v>
      </c>
      <c r="Y581">
        <v>0</v>
      </c>
      <c r="Z581">
        <v>0</v>
      </c>
      <c r="AA581">
        <v>0</v>
      </c>
      <c r="AB581">
        <v>0</v>
      </c>
      <c r="AC581">
        <v>0</v>
      </c>
      <c r="AD581">
        <v>0</v>
      </c>
      <c r="AE581">
        <v>1</v>
      </c>
      <c r="AF581">
        <v>0</v>
      </c>
      <c r="AG581">
        <v>0</v>
      </c>
      <c r="AH581">
        <v>0</v>
      </c>
      <c r="AI581">
        <v>0</v>
      </c>
      <c r="AJ581">
        <v>0</v>
      </c>
      <c r="AK581">
        <v>1</v>
      </c>
      <c r="AL581">
        <v>0</v>
      </c>
      <c r="AM581">
        <v>0</v>
      </c>
      <c r="AN581">
        <v>0</v>
      </c>
      <c r="AO581">
        <v>0</v>
      </c>
      <c r="AP581">
        <v>0</v>
      </c>
      <c r="AQ581">
        <v>0</v>
      </c>
      <c r="AR581">
        <v>0</v>
      </c>
      <c r="AS581">
        <v>0</v>
      </c>
      <c r="AT581">
        <v>0</v>
      </c>
      <c r="AU581">
        <v>0</v>
      </c>
      <c r="AV581">
        <v>0</v>
      </c>
      <c r="AW581">
        <v>0</v>
      </c>
      <c r="AX581" s="141">
        <f t="shared" si="656"/>
        <v>2</v>
      </c>
      <c r="AY581" s="141">
        <f t="shared" si="657"/>
        <v>2</v>
      </c>
      <c r="AZ581">
        <f t="shared" si="658"/>
        <v>0</v>
      </c>
      <c r="BA581">
        <f t="shared" si="659"/>
        <v>1</v>
      </c>
      <c r="BB581">
        <f t="shared" si="660"/>
        <v>1</v>
      </c>
      <c r="BC581">
        <f t="shared" si="661"/>
        <v>0</v>
      </c>
      <c r="BD581">
        <f t="shared" si="662"/>
        <v>0</v>
      </c>
      <c r="BE581" t="str" cm="1">
        <f t="array" ref="BE581">IF(AY581=1,INDEX($V$7:$AL$7,MATCH(TRUE,INDEX($V581:$AW581&lt;&gt;0,),0)),IF(AY581=0,INDEX($AM$7:$AW$7,MATCH(1,$AM581:$AW581,0)),IF(BF581="Multiple strategies","mixed drivers",IF(BF581="Supply chain","multiple supply","multiple silviculture"))))</f>
        <v>mixed drivers</v>
      </c>
      <c r="BF581" s="2" t="str" cm="1">
        <f t="array" ref="BF581">IF(COUNTIF(AZ581:BB581,"&lt;&gt;0")=1,INDEX($V$4:$AW$4,MATCH(TRUE,INDEX($V581:$AW581&lt;&gt;0,),0)),IF(COUNTIF(AZ581:BB581,"&lt;&gt;0")=0,INDEX($AM$4:$AW$4,MATCH(1,$AM581:$AW581,0)),"Multiple strategies"))</f>
        <v>Multiple strategies</v>
      </c>
      <c r="BG581" s="142" t="s">
        <v>321</v>
      </c>
      <c r="BH581" s="160" t="s">
        <v>1456</v>
      </c>
      <c r="BI581" s="160" t="s">
        <v>1457</v>
      </c>
      <c r="BJ581" s="143" t="s">
        <v>498</v>
      </c>
      <c r="BK581" s="143">
        <v>944</v>
      </c>
      <c r="BL581" s="143">
        <v>13000</v>
      </c>
      <c r="BM581">
        <f t="shared" si="685"/>
        <v>21.1864406779661</v>
      </c>
      <c r="BN581">
        <f t="shared" si="663"/>
        <v>12056</v>
      </c>
      <c r="BO581" s="159">
        <f t="shared" si="687"/>
        <v>12056</v>
      </c>
      <c r="BP581" s="155" t="s">
        <v>232</v>
      </c>
      <c r="BQ581" s="155" t="s">
        <v>1458</v>
      </c>
      <c r="BR581" s="155" t="s">
        <v>825</v>
      </c>
      <c r="BS581" s="143" t="s">
        <v>1476</v>
      </c>
      <c r="BT581" t="s">
        <v>1516</v>
      </c>
      <c r="BU581" s="144">
        <f t="shared" si="688"/>
        <v>14.060117339949848</v>
      </c>
      <c r="BV581">
        <f t="shared" si="664"/>
        <v>-1.40363611111111</v>
      </c>
      <c r="BX581">
        <f t="shared" si="689"/>
        <v>-1.40363611111111</v>
      </c>
      <c r="BY581">
        <f t="shared" si="654"/>
        <v>-1.1642635294551343E-4</v>
      </c>
      <c r="BZ581">
        <v>0</v>
      </c>
      <c r="CA581">
        <v>0</v>
      </c>
      <c r="CB581">
        <v>0</v>
      </c>
      <c r="CC581">
        <v>0</v>
      </c>
      <c r="CD581">
        <v>0</v>
      </c>
      <c r="CE581">
        <v>0</v>
      </c>
      <c r="CF581">
        <v>0</v>
      </c>
      <c r="CG581">
        <v>0</v>
      </c>
      <c r="CH581">
        <v>0</v>
      </c>
      <c r="CI581">
        <v>0</v>
      </c>
      <c r="CJ581">
        <v>0</v>
      </c>
      <c r="CK581">
        <v>0</v>
      </c>
      <c r="CL581">
        <v>0</v>
      </c>
      <c r="CM581">
        <v>0</v>
      </c>
      <c r="CN581" t="str">
        <f t="shared" si="665"/>
        <v>refOK</v>
      </c>
      <c r="CO581">
        <f t="shared" si="683"/>
        <v>944</v>
      </c>
      <c r="CP581">
        <f t="shared" si="684"/>
        <v>13000</v>
      </c>
      <c r="CQ581">
        <f t="shared" si="666"/>
        <v>12056</v>
      </c>
      <c r="CR581">
        <f t="shared" si="667"/>
        <v>-0.107475</v>
      </c>
      <c r="CS581">
        <f t="shared" si="668"/>
        <v>-1.51111111111111</v>
      </c>
      <c r="CT581">
        <f t="shared" si="669"/>
        <v>-1.40363611111111</v>
      </c>
      <c r="CU581">
        <f t="shared" si="670"/>
        <v>-1.1642635294551343E-4</v>
      </c>
      <c r="CV581" s="2">
        <f t="shared" si="671"/>
        <v>-13.060117339949848</v>
      </c>
      <c r="CW581" s="263" t="s">
        <v>1461</v>
      </c>
      <c r="CX581" s="264" t="str">
        <f t="shared" si="672"/>
        <v>reg</v>
      </c>
      <c r="CY581" s="270" t="s">
        <v>743</v>
      </c>
      <c r="DA581" s="143"/>
      <c r="DB581" s="143">
        <v>0</v>
      </c>
      <c r="DC581" t="str">
        <f t="shared" si="673"/>
        <v>0</v>
      </c>
      <c r="DD581">
        <v>0</v>
      </c>
      <c r="DE581">
        <v>1</v>
      </c>
      <c r="DF581">
        <v>0</v>
      </c>
      <c r="DG581">
        <v>0</v>
      </c>
      <c r="DH581">
        <v>0</v>
      </c>
      <c r="DI581">
        <f t="shared" si="690"/>
        <v>1</v>
      </c>
      <c r="DJ581" t="str">
        <f t="shared" si="674"/>
        <v>EnergyInput</v>
      </c>
      <c r="DK581">
        <f t="shared" si="675"/>
        <v>0</v>
      </c>
      <c r="DL581" t="str">
        <f t="shared" si="676"/>
        <v>Energy</v>
      </c>
      <c r="DM581">
        <f t="shared" si="677"/>
        <v>0</v>
      </c>
      <c r="DN581">
        <f t="shared" si="678"/>
        <v>0</v>
      </c>
      <c r="DO581">
        <v>0</v>
      </c>
      <c r="DP581" s="143">
        <v>0</v>
      </c>
      <c r="DQ581" s="143">
        <v>0</v>
      </c>
      <c r="DR581">
        <v>0</v>
      </c>
      <c r="DS581" s="143">
        <v>0</v>
      </c>
      <c r="DT581">
        <f t="shared" si="679"/>
        <v>0</v>
      </c>
      <c r="DU581" s="143" t="str">
        <f t="shared" si="680"/>
        <v>explicit C balance</v>
      </c>
      <c r="DV581" s="143">
        <v>0</v>
      </c>
      <c r="DW581" s="143">
        <v>0</v>
      </c>
      <c r="DX581" s="143">
        <v>0</v>
      </c>
      <c r="DY581" s="143">
        <v>0</v>
      </c>
      <c r="DZ581">
        <v>0</v>
      </c>
      <c r="EA581" s="143">
        <v>0</v>
      </c>
      <c r="EB581" s="143">
        <v>1</v>
      </c>
      <c r="EC581" s="143">
        <v>0</v>
      </c>
      <c r="ED581" s="143">
        <v>0</v>
      </c>
      <c r="EE581">
        <v>0</v>
      </c>
      <c r="EF581">
        <v>0</v>
      </c>
      <c r="EG581" s="143">
        <v>0</v>
      </c>
      <c r="EH581" s="143">
        <v>0</v>
      </c>
      <c r="EI581" s="2">
        <v>0</v>
      </c>
      <c r="EK581" t="str">
        <f t="shared" si="681"/>
        <v/>
      </c>
      <c r="EL581" t="str">
        <f t="shared" si="682"/>
        <v/>
      </c>
      <c r="EM581" s="2" t="str">
        <f t="shared" si="655"/>
        <v/>
      </c>
      <c r="EP581" t="str">
        <f>IF(ISNUMBER(BU581),IF(ABS(BU581-[4]QC_indicators!$B$2)&gt;3*[4]QC_indicators!$C$2,"C ratio",IF(ISNUMBER(BY581),IF(ABS(BY581-[4]QC_indicators!$B$1)&gt;3*[4]QC_indicators!$C$1,"DF","no"))),IF(ISNUMBER(BY581),IF(ABS(BY581-[4]QC_indicators!$B$1)&gt;3*[4]QC_indicators!$C$1,"DF","no")))</f>
        <v>no</v>
      </c>
      <c r="ER581" s="149"/>
      <c r="ET581" s="264" t="s">
        <v>3406</v>
      </c>
    </row>
    <row r="582" spans="1:150" ht="15" hidden="1" customHeight="1">
      <c r="A582" s="1" t="s">
        <v>587</v>
      </c>
      <c r="B582" t="s">
        <v>1447</v>
      </c>
      <c r="C582" t="s">
        <v>1448</v>
      </c>
      <c r="D582" t="s">
        <v>1449</v>
      </c>
      <c r="E582" t="s">
        <v>1450</v>
      </c>
      <c r="F582" t="s">
        <v>1451</v>
      </c>
      <c r="G582" t="s">
        <v>593</v>
      </c>
      <c r="H582" t="s">
        <v>254</v>
      </c>
      <c r="I582">
        <v>2020</v>
      </c>
      <c r="J582">
        <v>12</v>
      </c>
      <c r="K582" t="s">
        <v>1452</v>
      </c>
      <c r="M582" t="str">
        <f t="shared" si="686"/>
        <v>Elisa_2020</v>
      </c>
      <c r="N582" s="264" t="s">
        <v>222</v>
      </c>
      <c r="O582" s="171" t="s">
        <v>274</v>
      </c>
      <c r="P582" t="s">
        <v>223</v>
      </c>
      <c r="Q582" s="264" t="s">
        <v>389</v>
      </c>
      <c r="R582" s="269" t="s">
        <v>1153</v>
      </c>
      <c r="S582" s="154" t="s">
        <v>1453</v>
      </c>
      <c r="T582" s="294" t="s">
        <v>1454</v>
      </c>
      <c r="U582" s="143" t="s">
        <v>1493</v>
      </c>
      <c r="V582">
        <v>0</v>
      </c>
      <c r="W582">
        <v>0</v>
      </c>
      <c r="X582">
        <v>0</v>
      </c>
      <c r="Y582">
        <v>0</v>
      </c>
      <c r="Z582">
        <v>0</v>
      </c>
      <c r="AA582">
        <v>0</v>
      </c>
      <c r="AB582">
        <v>0</v>
      </c>
      <c r="AC582">
        <v>0</v>
      </c>
      <c r="AD582">
        <v>0</v>
      </c>
      <c r="AE582">
        <v>1</v>
      </c>
      <c r="AF582">
        <v>0</v>
      </c>
      <c r="AG582">
        <v>0</v>
      </c>
      <c r="AH582">
        <v>0</v>
      </c>
      <c r="AI582">
        <v>0</v>
      </c>
      <c r="AJ582">
        <v>0</v>
      </c>
      <c r="AK582">
        <v>1</v>
      </c>
      <c r="AL582">
        <v>0</v>
      </c>
      <c r="AM582">
        <v>0</v>
      </c>
      <c r="AN582">
        <v>0</v>
      </c>
      <c r="AO582">
        <v>0</v>
      </c>
      <c r="AP582">
        <v>0</v>
      </c>
      <c r="AQ582">
        <v>0</v>
      </c>
      <c r="AR582">
        <v>0</v>
      </c>
      <c r="AS582">
        <v>0</v>
      </c>
      <c r="AT582">
        <v>0</v>
      </c>
      <c r="AU582">
        <v>0</v>
      </c>
      <c r="AV582">
        <v>0</v>
      </c>
      <c r="AW582">
        <v>0</v>
      </c>
      <c r="AX582" s="141">
        <f t="shared" si="656"/>
        <v>2</v>
      </c>
      <c r="AY582" s="141">
        <f t="shared" si="657"/>
        <v>2</v>
      </c>
      <c r="AZ582">
        <f t="shared" si="658"/>
        <v>0</v>
      </c>
      <c r="BA582">
        <f t="shared" si="659"/>
        <v>1</v>
      </c>
      <c r="BB582">
        <f t="shared" si="660"/>
        <v>1</v>
      </c>
      <c r="BC582">
        <f t="shared" si="661"/>
        <v>0</v>
      </c>
      <c r="BD582">
        <f t="shared" si="662"/>
        <v>0</v>
      </c>
      <c r="BE582" t="str" cm="1">
        <f t="array" ref="BE582">IF(AY582=1,INDEX($V$7:$AL$7,MATCH(TRUE,INDEX($V582:$AW582&lt;&gt;0,),0)),IF(AY582=0,INDEX($AM$7:$AW$7,MATCH(1,$AM582:$AW582,0)),IF(BF582="Multiple strategies","mixed drivers",IF(BF582="Supply chain","multiple supply","multiple silviculture"))))</f>
        <v>mixed drivers</v>
      </c>
      <c r="BF582" s="2" t="str" cm="1">
        <f t="array" ref="BF582">IF(COUNTIF(AZ582:BB582,"&lt;&gt;0")=1,INDEX($V$4:$AW$4,MATCH(TRUE,INDEX($V582:$AW582&lt;&gt;0,),0)),IF(COUNTIF(AZ582:BB582,"&lt;&gt;0")=0,INDEX($AM$4:$AW$4,MATCH(1,$AM582:$AW582,0)),"Multiple strategies"))</f>
        <v>Multiple strategies</v>
      </c>
      <c r="BG582" s="142" t="s">
        <v>321</v>
      </c>
      <c r="BH582" s="160" t="s">
        <v>1456</v>
      </c>
      <c r="BI582" s="160" t="s">
        <v>1457</v>
      </c>
      <c r="BJ582" s="143" t="s">
        <v>498</v>
      </c>
      <c r="BK582" s="143">
        <v>944</v>
      </c>
      <c r="BL582" s="143">
        <v>20000</v>
      </c>
      <c r="BM582">
        <f t="shared" si="685"/>
        <v>1.6154661016949152</v>
      </c>
      <c r="BN582">
        <f t="shared" si="663"/>
        <v>19056</v>
      </c>
      <c r="BO582" s="159">
        <f t="shared" si="687"/>
        <v>19056</v>
      </c>
      <c r="BP582" s="155" t="s">
        <v>232</v>
      </c>
      <c r="BQ582" s="155" t="s">
        <v>1458</v>
      </c>
      <c r="BR582" s="155" t="s">
        <v>825</v>
      </c>
      <c r="BS582" s="143" t="s">
        <v>1476</v>
      </c>
      <c r="BT582" t="s">
        <v>1517</v>
      </c>
      <c r="BU582" s="144">
        <f t="shared" si="688"/>
        <v>21.393037140420283</v>
      </c>
      <c r="BV582">
        <f t="shared" si="664"/>
        <v>-2.1917416666666698</v>
      </c>
      <c r="BX582">
        <f t="shared" si="689"/>
        <v>-2.1917416666666698</v>
      </c>
      <c r="BY582">
        <f t="shared" si="654"/>
        <v>-1.1501583053456496E-4</v>
      </c>
      <c r="BZ582">
        <v>0</v>
      </c>
      <c r="CA582">
        <v>0</v>
      </c>
      <c r="CB582">
        <v>0</v>
      </c>
      <c r="CC582">
        <v>0</v>
      </c>
      <c r="CD582">
        <v>0</v>
      </c>
      <c r="CE582">
        <v>0</v>
      </c>
      <c r="CF582">
        <v>0</v>
      </c>
      <c r="CG582">
        <v>0</v>
      </c>
      <c r="CH582">
        <v>0</v>
      </c>
      <c r="CI582">
        <v>0</v>
      </c>
      <c r="CJ582">
        <v>0</v>
      </c>
      <c r="CK582">
        <v>0</v>
      </c>
      <c r="CL582">
        <v>0</v>
      </c>
      <c r="CM582">
        <v>0</v>
      </c>
      <c r="CN582" t="str">
        <f t="shared" si="665"/>
        <v>refOK</v>
      </c>
      <c r="CO582">
        <f t="shared" si="683"/>
        <v>944</v>
      </c>
      <c r="CP582">
        <f t="shared" si="684"/>
        <v>20000</v>
      </c>
      <c r="CQ582">
        <f t="shared" si="666"/>
        <v>19056</v>
      </c>
      <c r="CR582">
        <f t="shared" si="667"/>
        <v>-0.107475</v>
      </c>
      <c r="CS582">
        <f t="shared" si="668"/>
        <v>-2.2992166666666698</v>
      </c>
      <c r="CT582">
        <f t="shared" si="669"/>
        <v>-2.1917416666666698</v>
      </c>
      <c r="CU582">
        <f t="shared" si="670"/>
        <v>-1.1501583053456496E-4</v>
      </c>
      <c r="CV582" s="2">
        <f t="shared" si="671"/>
        <v>-20.393037140420283</v>
      </c>
      <c r="CW582" s="263" t="s">
        <v>1461</v>
      </c>
      <c r="CX582" s="264" t="str">
        <f t="shared" si="672"/>
        <v>reg</v>
      </c>
      <c r="CY582" s="270" t="s">
        <v>743</v>
      </c>
      <c r="DA582" s="143"/>
      <c r="DB582" s="143">
        <v>0</v>
      </c>
      <c r="DC582" t="str">
        <f t="shared" si="673"/>
        <v>0</v>
      </c>
      <c r="DD582">
        <v>0</v>
      </c>
      <c r="DE582">
        <v>1</v>
      </c>
      <c r="DF582">
        <v>0</v>
      </c>
      <c r="DG582">
        <v>0</v>
      </c>
      <c r="DH582">
        <v>0</v>
      </c>
      <c r="DI582">
        <f t="shared" si="690"/>
        <v>1</v>
      </c>
      <c r="DJ582" t="str">
        <f t="shared" si="674"/>
        <v>EnergyInput</v>
      </c>
      <c r="DK582">
        <f t="shared" si="675"/>
        <v>0</v>
      </c>
      <c r="DL582" t="str">
        <f t="shared" si="676"/>
        <v>Energy</v>
      </c>
      <c r="DM582">
        <f t="shared" si="677"/>
        <v>0</v>
      </c>
      <c r="DN582">
        <f t="shared" si="678"/>
        <v>0</v>
      </c>
      <c r="DO582">
        <v>0</v>
      </c>
      <c r="DP582" s="143">
        <v>0</v>
      </c>
      <c r="DQ582" s="143">
        <v>0</v>
      </c>
      <c r="DR582">
        <v>0</v>
      </c>
      <c r="DS582" s="143">
        <v>0</v>
      </c>
      <c r="DT582">
        <f t="shared" si="679"/>
        <v>0</v>
      </c>
      <c r="DU582" s="143" t="str">
        <f t="shared" si="680"/>
        <v>explicit C balance</v>
      </c>
      <c r="DV582" s="143">
        <v>0</v>
      </c>
      <c r="DW582" s="143">
        <v>0</v>
      </c>
      <c r="DX582" s="143">
        <v>0</v>
      </c>
      <c r="DY582" s="143">
        <v>0</v>
      </c>
      <c r="DZ582">
        <v>0</v>
      </c>
      <c r="EA582" s="143">
        <v>0</v>
      </c>
      <c r="EB582" s="143">
        <v>1</v>
      </c>
      <c r="EC582" s="143">
        <v>0</v>
      </c>
      <c r="ED582" s="143">
        <v>0</v>
      </c>
      <c r="EE582">
        <v>0</v>
      </c>
      <c r="EF582">
        <v>0</v>
      </c>
      <c r="EG582" s="143">
        <v>0</v>
      </c>
      <c r="EH582" s="143">
        <v>0</v>
      </c>
      <c r="EI582" s="2">
        <v>0</v>
      </c>
      <c r="EK582" t="str">
        <f t="shared" si="681"/>
        <v/>
      </c>
      <c r="EL582" t="str">
        <f t="shared" si="682"/>
        <v/>
      </c>
      <c r="EM582" s="2" t="str">
        <f t="shared" si="655"/>
        <v/>
      </c>
      <c r="EP582" t="str">
        <f>IF(ISNUMBER(BU582),IF(ABS(BU582-[4]QC_indicators!$B$2)&gt;3*[4]QC_indicators!$C$2,"C ratio",IF(ISNUMBER(BY582),IF(ABS(BY582-[4]QC_indicators!$B$1)&gt;3*[4]QC_indicators!$C$1,"DF","no"))),IF(ISNUMBER(BY582),IF(ABS(BY582-[4]QC_indicators!$B$1)&gt;3*[4]QC_indicators!$C$1,"DF","no")))</f>
        <v>no</v>
      </c>
      <c r="ER582" s="149"/>
      <c r="ET582" s="264" t="s">
        <v>3406</v>
      </c>
    </row>
    <row r="583" spans="1:150" ht="15" hidden="1" customHeight="1">
      <c r="A583" s="1" t="s">
        <v>587</v>
      </c>
      <c r="B583" t="s">
        <v>1447</v>
      </c>
      <c r="C583" t="s">
        <v>1448</v>
      </c>
      <c r="D583" t="s">
        <v>1449</v>
      </c>
      <c r="E583" t="s">
        <v>1450</v>
      </c>
      <c r="F583" t="s">
        <v>1451</v>
      </c>
      <c r="G583" t="s">
        <v>593</v>
      </c>
      <c r="H583" t="s">
        <v>254</v>
      </c>
      <c r="I583">
        <v>2020</v>
      </c>
      <c r="J583">
        <v>12</v>
      </c>
      <c r="K583" t="s">
        <v>1452</v>
      </c>
      <c r="M583" t="str">
        <f t="shared" si="686"/>
        <v>Elisa_2020</v>
      </c>
      <c r="N583" s="264" t="s">
        <v>222</v>
      </c>
      <c r="O583" s="171" t="s">
        <v>274</v>
      </c>
      <c r="P583" t="s">
        <v>223</v>
      </c>
      <c r="Q583" s="264" t="s">
        <v>389</v>
      </c>
      <c r="R583" s="269" t="s">
        <v>1153</v>
      </c>
      <c r="S583" s="154" t="s">
        <v>1453</v>
      </c>
      <c r="T583" s="294" t="s">
        <v>1454</v>
      </c>
      <c r="U583" s="143" t="s">
        <v>1464</v>
      </c>
      <c r="V583">
        <v>0</v>
      </c>
      <c r="W583">
        <v>0</v>
      </c>
      <c r="X583">
        <v>0</v>
      </c>
      <c r="Y583">
        <v>0</v>
      </c>
      <c r="Z583">
        <v>0</v>
      </c>
      <c r="AA583">
        <v>0</v>
      </c>
      <c r="AB583">
        <v>0</v>
      </c>
      <c r="AC583">
        <v>0</v>
      </c>
      <c r="AD583">
        <v>0</v>
      </c>
      <c r="AE583">
        <v>1</v>
      </c>
      <c r="AF583">
        <v>0</v>
      </c>
      <c r="AG583">
        <v>0</v>
      </c>
      <c r="AH583">
        <v>0</v>
      </c>
      <c r="AI583">
        <v>0</v>
      </c>
      <c r="AJ583">
        <v>0</v>
      </c>
      <c r="AK583">
        <v>0</v>
      </c>
      <c r="AL583">
        <v>0</v>
      </c>
      <c r="AM583">
        <v>0</v>
      </c>
      <c r="AN583">
        <v>0</v>
      </c>
      <c r="AO583">
        <v>0</v>
      </c>
      <c r="AP583">
        <v>0</v>
      </c>
      <c r="AQ583">
        <v>0</v>
      </c>
      <c r="AR583">
        <v>0</v>
      </c>
      <c r="AS583">
        <v>0</v>
      </c>
      <c r="AT583">
        <v>0</v>
      </c>
      <c r="AU583">
        <v>0</v>
      </c>
      <c r="AV583">
        <v>0</v>
      </c>
      <c r="AW583">
        <v>0</v>
      </c>
      <c r="AX583" s="141">
        <f t="shared" si="656"/>
        <v>1</v>
      </c>
      <c r="AY583" s="141">
        <f t="shared" si="657"/>
        <v>1</v>
      </c>
      <c r="AZ583">
        <f t="shared" si="658"/>
        <v>0</v>
      </c>
      <c r="BA583">
        <f t="shared" si="659"/>
        <v>1</v>
      </c>
      <c r="BB583">
        <f t="shared" si="660"/>
        <v>0</v>
      </c>
      <c r="BC583">
        <f t="shared" si="661"/>
        <v>0</v>
      </c>
      <c r="BD583">
        <f t="shared" si="662"/>
        <v>0</v>
      </c>
      <c r="BE583" t="str" cm="1">
        <f t="array" ref="BE583">IF(AY583=1,INDEX($V$7:$AL$7,MATCH(TRUE,INDEX($V583:$AW583&lt;&gt;0,),0)),IF(AY583=0,INDEX($AM$7:$AW$7,MATCH(1,$AM583:$AW583,0)),IF(BF583="Multiple strategies","mixed drivers",IF(BF583="Supply chain","multiple supply","multiple silviculture"))))</f>
        <v>location of industry</v>
      </c>
      <c r="BF583" s="2" t="str" cm="1">
        <f t="array" ref="BF583">IF(COUNTIF(AZ583:BB583,"&lt;&gt;0")=1,INDEX($V$4:$AW$4,MATCH(TRUE,INDEX($V583:$AW583&lt;&gt;0,),0)),IF(COUNTIF(AZ583:BB583,"&lt;&gt;0")=0,INDEX($AM$4:$AW$4,MATCH(1,$AM583:$AW583,0)),"Multiple strategies"))</f>
        <v>Supply chain</v>
      </c>
      <c r="BG583" s="142" t="s">
        <v>321</v>
      </c>
      <c r="BH583" s="160" t="s">
        <v>1456</v>
      </c>
      <c r="BI583" s="160" t="s">
        <v>1457</v>
      </c>
      <c r="BJ583" s="143" t="s">
        <v>498</v>
      </c>
      <c r="BK583" s="143">
        <v>944</v>
      </c>
      <c r="BL583" s="143">
        <v>1525</v>
      </c>
      <c r="BM583">
        <f t="shared" si="685"/>
        <v>1.6949152542372881</v>
      </c>
      <c r="BN583">
        <f t="shared" si="663"/>
        <v>581</v>
      </c>
      <c r="BO583" s="159">
        <f t="shared" si="687"/>
        <v>581</v>
      </c>
      <c r="BP583" s="155" t="s">
        <v>232</v>
      </c>
      <c r="BQ583" s="155" t="s">
        <v>1458</v>
      </c>
      <c r="BR583" s="155" t="s">
        <v>825</v>
      </c>
      <c r="BS583" s="143" t="s">
        <v>1476</v>
      </c>
      <c r="BT583" t="s">
        <v>1478</v>
      </c>
      <c r="BU583" s="144">
        <f t="shared" si="688"/>
        <v>1.6182450699129007</v>
      </c>
      <c r="BV583">
        <f t="shared" si="664"/>
        <v>-6.6445888888889013E-2</v>
      </c>
      <c r="BX583">
        <f t="shared" si="689"/>
        <v>-6.6445888888889013E-2</v>
      </c>
      <c r="BY583">
        <f t="shared" si="654"/>
        <v>-1.1436469688276939E-4</v>
      </c>
      <c r="BZ583">
        <v>0</v>
      </c>
      <c r="CA583">
        <v>0</v>
      </c>
      <c r="CB583">
        <v>0</v>
      </c>
      <c r="CC583">
        <v>0</v>
      </c>
      <c r="CD583">
        <v>0</v>
      </c>
      <c r="CE583">
        <v>0</v>
      </c>
      <c r="CF583">
        <v>0</v>
      </c>
      <c r="CG583">
        <v>0</v>
      </c>
      <c r="CH583">
        <v>0</v>
      </c>
      <c r="CI583">
        <v>0</v>
      </c>
      <c r="CJ583">
        <v>0</v>
      </c>
      <c r="CK583">
        <v>0</v>
      </c>
      <c r="CL583">
        <v>0</v>
      </c>
      <c r="CM583">
        <v>0</v>
      </c>
      <c r="CN583" t="str">
        <f t="shared" si="665"/>
        <v>refOK</v>
      </c>
      <c r="CO583">
        <f t="shared" si="683"/>
        <v>944</v>
      </c>
      <c r="CP583">
        <f t="shared" si="684"/>
        <v>1525</v>
      </c>
      <c r="CQ583">
        <f t="shared" si="666"/>
        <v>581</v>
      </c>
      <c r="CR583">
        <f t="shared" si="667"/>
        <v>-0.107475</v>
      </c>
      <c r="CS583">
        <f t="shared" si="668"/>
        <v>-0.17392088888888901</v>
      </c>
      <c r="CT583">
        <f t="shared" si="669"/>
        <v>-6.6445888888889013E-2</v>
      </c>
      <c r="CU583">
        <f t="shared" si="670"/>
        <v>-1.1436469688276939E-4</v>
      </c>
      <c r="CV583" s="2">
        <f t="shared" si="671"/>
        <v>-0.61824506991290074</v>
      </c>
      <c r="CW583" s="263" t="s">
        <v>1461</v>
      </c>
      <c r="CX583" s="264" t="str">
        <f t="shared" si="672"/>
        <v>reg</v>
      </c>
      <c r="CY583" s="270" t="s">
        <v>743</v>
      </c>
      <c r="DA583" s="143"/>
      <c r="DB583" s="143">
        <v>0</v>
      </c>
      <c r="DC583" t="str">
        <f t="shared" si="673"/>
        <v>0</v>
      </c>
      <c r="DD583">
        <v>0</v>
      </c>
      <c r="DE583">
        <v>1</v>
      </c>
      <c r="DF583">
        <v>0</v>
      </c>
      <c r="DG583">
        <v>0</v>
      </c>
      <c r="DH583">
        <v>0</v>
      </c>
      <c r="DI583">
        <f t="shared" si="690"/>
        <v>1</v>
      </c>
      <c r="DJ583" t="str">
        <f t="shared" si="674"/>
        <v>EnergyInput</v>
      </c>
      <c r="DK583">
        <f t="shared" si="675"/>
        <v>0</v>
      </c>
      <c r="DL583" t="str">
        <f t="shared" si="676"/>
        <v>Energy</v>
      </c>
      <c r="DM583">
        <f t="shared" si="677"/>
        <v>0</v>
      </c>
      <c r="DN583">
        <f t="shared" si="678"/>
        <v>0</v>
      </c>
      <c r="DO583">
        <v>0</v>
      </c>
      <c r="DP583" s="143">
        <v>0</v>
      </c>
      <c r="DQ583" s="143">
        <v>0</v>
      </c>
      <c r="DR583">
        <v>0</v>
      </c>
      <c r="DS583" s="143">
        <v>0</v>
      </c>
      <c r="DT583">
        <f t="shared" si="679"/>
        <v>0</v>
      </c>
      <c r="DU583" s="143" t="str">
        <f t="shared" si="680"/>
        <v>explicit C balance</v>
      </c>
      <c r="DV583" s="143">
        <v>0</v>
      </c>
      <c r="DW583" s="143">
        <v>0</v>
      </c>
      <c r="DX583" s="143">
        <v>0</v>
      </c>
      <c r="DY583" s="143">
        <v>0</v>
      </c>
      <c r="DZ583">
        <v>0</v>
      </c>
      <c r="EA583" s="143">
        <v>0</v>
      </c>
      <c r="EB583" s="143">
        <v>1</v>
      </c>
      <c r="EC583" s="143">
        <v>0</v>
      </c>
      <c r="ED583" s="143">
        <v>0</v>
      </c>
      <c r="EE583">
        <v>0</v>
      </c>
      <c r="EF583">
        <v>0</v>
      </c>
      <c r="EG583" s="143">
        <v>0</v>
      </c>
      <c r="EH583" s="143">
        <v>0</v>
      </c>
      <c r="EI583" s="2">
        <v>0</v>
      </c>
      <c r="EK583" t="str">
        <f t="shared" si="681"/>
        <v/>
      </c>
      <c r="EL583" t="str">
        <f t="shared" si="682"/>
        <v/>
      </c>
      <c r="EM583" s="2" t="str">
        <f t="shared" si="655"/>
        <v/>
      </c>
      <c r="EP583" t="str">
        <f>IF(ISNUMBER(BU583),IF(ABS(BU583-[4]QC_indicators!$B$2)&gt;3*[4]QC_indicators!$C$2,"C ratio",IF(ISNUMBER(BY583),IF(ABS(BY583-[4]QC_indicators!$B$1)&gt;3*[4]QC_indicators!$C$1,"DF","no"))),IF(ISNUMBER(BY583),IF(ABS(BY583-[4]QC_indicators!$B$1)&gt;3*[4]QC_indicators!$C$1,"DF","no")))</f>
        <v>no</v>
      </c>
      <c r="ER583" s="149"/>
      <c r="ET583" s="264" t="s">
        <v>3406</v>
      </c>
    </row>
    <row r="584" spans="1:150" ht="15" hidden="1" customHeight="1">
      <c r="A584" s="1" t="s">
        <v>587</v>
      </c>
      <c r="B584" t="s">
        <v>1447</v>
      </c>
      <c r="C584" t="s">
        <v>1448</v>
      </c>
      <c r="D584" t="s">
        <v>1449</v>
      </c>
      <c r="E584" t="s">
        <v>1450</v>
      </c>
      <c r="F584" t="s">
        <v>1451</v>
      </c>
      <c r="G584" t="s">
        <v>593</v>
      </c>
      <c r="H584" t="s">
        <v>254</v>
      </c>
      <c r="I584">
        <v>2020</v>
      </c>
      <c r="J584">
        <v>12</v>
      </c>
      <c r="K584" t="s">
        <v>1452</v>
      </c>
      <c r="M584" t="str">
        <f t="shared" si="686"/>
        <v>Elisa_2020</v>
      </c>
      <c r="N584" s="264" t="s">
        <v>222</v>
      </c>
      <c r="O584" s="171" t="s">
        <v>274</v>
      </c>
      <c r="P584" t="s">
        <v>223</v>
      </c>
      <c r="Q584" s="264" t="s">
        <v>389</v>
      </c>
      <c r="R584" s="269" t="s">
        <v>1153</v>
      </c>
      <c r="S584" s="154" t="s">
        <v>1453</v>
      </c>
      <c r="T584" s="294" t="s">
        <v>1454</v>
      </c>
      <c r="U584" s="143" t="s">
        <v>1455</v>
      </c>
      <c r="V584">
        <v>0</v>
      </c>
      <c r="W584">
        <v>0</v>
      </c>
      <c r="X584">
        <v>0</v>
      </c>
      <c r="Y584">
        <v>0</v>
      </c>
      <c r="Z584">
        <v>0</v>
      </c>
      <c r="AA584">
        <v>0</v>
      </c>
      <c r="AB584">
        <v>0</v>
      </c>
      <c r="AC584">
        <v>0</v>
      </c>
      <c r="AD584">
        <v>0</v>
      </c>
      <c r="AE584">
        <v>1</v>
      </c>
      <c r="AF584">
        <v>0</v>
      </c>
      <c r="AG584">
        <v>0</v>
      </c>
      <c r="AH584">
        <v>0</v>
      </c>
      <c r="AI584">
        <v>0</v>
      </c>
      <c r="AJ584">
        <v>0</v>
      </c>
      <c r="AK584">
        <v>0</v>
      </c>
      <c r="AL584">
        <v>0</v>
      </c>
      <c r="AM584">
        <v>0</v>
      </c>
      <c r="AN584">
        <v>0</v>
      </c>
      <c r="AO584">
        <v>0</v>
      </c>
      <c r="AP584">
        <v>0</v>
      </c>
      <c r="AQ584">
        <v>0</v>
      </c>
      <c r="AR584">
        <v>0</v>
      </c>
      <c r="AS584">
        <v>0</v>
      </c>
      <c r="AT584">
        <v>0</v>
      </c>
      <c r="AU584">
        <v>0</v>
      </c>
      <c r="AV584">
        <v>0</v>
      </c>
      <c r="AW584">
        <v>0</v>
      </c>
      <c r="AX584" s="141">
        <f t="shared" si="656"/>
        <v>1</v>
      </c>
      <c r="AY584" s="141">
        <f t="shared" si="657"/>
        <v>1</v>
      </c>
      <c r="AZ584">
        <f t="shared" si="658"/>
        <v>0</v>
      </c>
      <c r="BA584">
        <f t="shared" si="659"/>
        <v>1</v>
      </c>
      <c r="BB584">
        <f t="shared" si="660"/>
        <v>0</v>
      </c>
      <c r="BC584">
        <f t="shared" si="661"/>
        <v>0</v>
      </c>
      <c r="BD584">
        <f t="shared" si="662"/>
        <v>0</v>
      </c>
      <c r="BE584" t="str" cm="1">
        <f t="array" ref="BE584">IF(AY584=1,INDEX($V$7:$AL$7,MATCH(TRUE,INDEX($V584:$AW584&lt;&gt;0,),0)),IF(AY584=0,INDEX($AM$7:$AW$7,MATCH(1,$AM584:$AW584,0)),IF(BF584="Multiple strategies","mixed drivers",IF(BF584="Supply chain","multiple supply","multiple silviculture"))))</f>
        <v>location of industry</v>
      </c>
      <c r="BF584" s="2" t="str" cm="1">
        <f t="array" ref="BF584">IF(COUNTIF(AZ584:BB584,"&lt;&gt;0")=1,INDEX($V$4:$AW$4,MATCH(TRUE,INDEX($V584:$AW584&lt;&gt;0,),0)),IF(COUNTIF(AZ584:BB584,"&lt;&gt;0")=0,INDEX($AM$4:$AW$4,MATCH(1,$AM584:$AW584,0)),"Multiple strategies"))</f>
        <v>Supply chain</v>
      </c>
      <c r="BG584" s="142" t="s">
        <v>321</v>
      </c>
      <c r="BH584" s="160" t="s">
        <v>1456</v>
      </c>
      <c r="BI584" s="160" t="s">
        <v>1457</v>
      </c>
      <c r="BJ584" s="143" t="s">
        <v>498</v>
      </c>
      <c r="BK584" s="143">
        <v>944</v>
      </c>
      <c r="BL584" s="143">
        <v>1600</v>
      </c>
      <c r="BM584">
        <f t="shared" si="685"/>
        <v>7.4078389830508478</v>
      </c>
      <c r="BN584">
        <f t="shared" si="663"/>
        <v>656</v>
      </c>
      <c r="BO584" s="159">
        <f t="shared" si="687"/>
        <v>656</v>
      </c>
      <c r="BP584" s="155" t="s">
        <v>232</v>
      </c>
      <c r="BQ584" s="155" t="s">
        <v>1458</v>
      </c>
      <c r="BR584" s="155" t="s">
        <v>825</v>
      </c>
      <c r="BS584" s="143" t="s">
        <v>1476</v>
      </c>
      <c r="BT584" t="s">
        <v>1479</v>
      </c>
      <c r="BU584" s="144">
        <f t="shared" si="688"/>
        <v>1.6872140807939802</v>
      </c>
      <c r="BV584">
        <f t="shared" si="664"/>
        <v>-7.3858333333333012E-2</v>
      </c>
      <c r="BX584">
        <f t="shared" si="689"/>
        <v>-7.3858333333333012E-2</v>
      </c>
      <c r="BY584">
        <f t="shared" si="654"/>
        <v>-1.1258892276422716E-4</v>
      </c>
      <c r="BZ584">
        <v>0</v>
      </c>
      <c r="CA584">
        <v>0</v>
      </c>
      <c r="CB584">
        <v>0</v>
      </c>
      <c r="CC584">
        <v>0</v>
      </c>
      <c r="CD584">
        <v>0</v>
      </c>
      <c r="CE584">
        <v>0</v>
      </c>
      <c r="CF584">
        <v>0</v>
      </c>
      <c r="CG584">
        <v>0</v>
      </c>
      <c r="CH584">
        <v>0</v>
      </c>
      <c r="CI584">
        <v>0</v>
      </c>
      <c r="CJ584">
        <v>0</v>
      </c>
      <c r="CK584">
        <v>0</v>
      </c>
      <c r="CL584">
        <v>0</v>
      </c>
      <c r="CM584">
        <v>0</v>
      </c>
      <c r="CN584" t="str">
        <f t="shared" si="665"/>
        <v>refOK</v>
      </c>
      <c r="CO584">
        <f t="shared" si="683"/>
        <v>944</v>
      </c>
      <c r="CP584">
        <f t="shared" si="684"/>
        <v>1600</v>
      </c>
      <c r="CQ584">
        <f t="shared" si="666"/>
        <v>656</v>
      </c>
      <c r="CR584">
        <f t="shared" si="667"/>
        <v>-0.107475</v>
      </c>
      <c r="CS584">
        <f t="shared" si="668"/>
        <v>-0.18133333333333301</v>
      </c>
      <c r="CT584">
        <f t="shared" si="669"/>
        <v>-7.3858333333333012E-2</v>
      </c>
      <c r="CU584">
        <f t="shared" si="670"/>
        <v>-1.1258892276422716E-4</v>
      </c>
      <c r="CV584" s="2">
        <f t="shared" si="671"/>
        <v>-0.68721408079398005</v>
      </c>
      <c r="CW584" s="263" t="s">
        <v>1461</v>
      </c>
      <c r="CX584" s="264" t="str">
        <f t="shared" si="672"/>
        <v>reg</v>
      </c>
      <c r="CY584" s="270" t="s">
        <v>743</v>
      </c>
      <c r="DA584" s="143"/>
      <c r="DB584" s="143">
        <v>0</v>
      </c>
      <c r="DC584" t="str">
        <f t="shared" si="673"/>
        <v>0</v>
      </c>
      <c r="DD584">
        <v>0</v>
      </c>
      <c r="DE584">
        <v>1</v>
      </c>
      <c r="DF584">
        <v>0</v>
      </c>
      <c r="DG584">
        <v>0</v>
      </c>
      <c r="DH584">
        <v>0</v>
      </c>
      <c r="DI584">
        <f t="shared" si="690"/>
        <v>1</v>
      </c>
      <c r="DJ584" t="str">
        <f t="shared" si="674"/>
        <v>EnergyInput</v>
      </c>
      <c r="DK584">
        <f t="shared" si="675"/>
        <v>0</v>
      </c>
      <c r="DL584" t="str">
        <f t="shared" si="676"/>
        <v>Energy</v>
      </c>
      <c r="DM584">
        <f t="shared" si="677"/>
        <v>0</v>
      </c>
      <c r="DN584">
        <f t="shared" si="678"/>
        <v>0</v>
      </c>
      <c r="DO584">
        <v>0</v>
      </c>
      <c r="DP584" s="143">
        <v>0</v>
      </c>
      <c r="DQ584" s="143">
        <v>0</v>
      </c>
      <c r="DR584">
        <v>0</v>
      </c>
      <c r="DS584" s="143">
        <v>0</v>
      </c>
      <c r="DT584">
        <f t="shared" si="679"/>
        <v>0</v>
      </c>
      <c r="DU584" s="143" t="str">
        <f t="shared" si="680"/>
        <v>explicit C balance</v>
      </c>
      <c r="DV584" s="143">
        <v>0</v>
      </c>
      <c r="DW584" s="143">
        <v>0</v>
      </c>
      <c r="DX584" s="143">
        <v>0</v>
      </c>
      <c r="DY584" s="143">
        <v>0</v>
      </c>
      <c r="DZ584">
        <v>0</v>
      </c>
      <c r="EA584" s="143">
        <v>0</v>
      </c>
      <c r="EB584" s="143">
        <v>1</v>
      </c>
      <c r="EC584" s="143">
        <v>0</v>
      </c>
      <c r="ED584" s="143">
        <v>0</v>
      </c>
      <c r="EE584">
        <v>0</v>
      </c>
      <c r="EF584">
        <v>0</v>
      </c>
      <c r="EG584" s="143">
        <v>0</v>
      </c>
      <c r="EH584" s="143">
        <v>0</v>
      </c>
      <c r="EI584" s="2">
        <v>0</v>
      </c>
      <c r="EK584" t="str">
        <f t="shared" si="681"/>
        <v/>
      </c>
      <c r="EL584" t="str">
        <f t="shared" si="682"/>
        <v/>
      </c>
      <c r="EM584" s="2" t="str">
        <f t="shared" si="655"/>
        <v/>
      </c>
      <c r="EP584" t="str">
        <f>IF(ISNUMBER(BU584),IF(ABS(BU584-[4]QC_indicators!$B$2)&gt;3*[4]QC_indicators!$C$2,"C ratio",IF(ISNUMBER(BY584),IF(ABS(BY584-[4]QC_indicators!$B$1)&gt;3*[4]QC_indicators!$C$1,"DF","no"))),IF(ISNUMBER(BY584),IF(ABS(BY584-[4]QC_indicators!$B$1)&gt;3*[4]QC_indicators!$C$1,"DF","no")))</f>
        <v>no</v>
      </c>
      <c r="ER584" s="149"/>
      <c r="ET584" s="264" t="s">
        <v>3406</v>
      </c>
    </row>
    <row r="585" spans="1:150" ht="15" hidden="1" customHeight="1">
      <c r="A585" s="1" t="s">
        <v>587</v>
      </c>
      <c r="B585" t="s">
        <v>1447</v>
      </c>
      <c r="C585" t="s">
        <v>1448</v>
      </c>
      <c r="D585" t="s">
        <v>1449</v>
      </c>
      <c r="E585" t="s">
        <v>1450</v>
      </c>
      <c r="F585" t="s">
        <v>1451</v>
      </c>
      <c r="G585" t="s">
        <v>593</v>
      </c>
      <c r="H585" t="s">
        <v>254</v>
      </c>
      <c r="I585">
        <v>2020</v>
      </c>
      <c r="J585">
        <v>12</v>
      </c>
      <c r="K585" t="s">
        <v>1452</v>
      </c>
      <c r="M585" t="str">
        <f t="shared" si="686"/>
        <v>Elisa_2020</v>
      </c>
      <c r="N585" s="264" t="s">
        <v>222</v>
      </c>
      <c r="O585" s="171" t="s">
        <v>274</v>
      </c>
      <c r="P585" t="s">
        <v>223</v>
      </c>
      <c r="Q585" s="264" t="s">
        <v>389</v>
      </c>
      <c r="R585" s="269" t="s">
        <v>1153</v>
      </c>
      <c r="S585" s="154" t="s">
        <v>1453</v>
      </c>
      <c r="T585" s="294" t="s">
        <v>1454</v>
      </c>
      <c r="U585" s="143" t="s">
        <v>1470</v>
      </c>
      <c r="V585">
        <v>0</v>
      </c>
      <c r="W585">
        <v>0</v>
      </c>
      <c r="X585">
        <v>0</v>
      </c>
      <c r="Y585">
        <v>0</v>
      </c>
      <c r="Z585">
        <v>0</v>
      </c>
      <c r="AA585">
        <v>0</v>
      </c>
      <c r="AB585">
        <v>0</v>
      </c>
      <c r="AC585">
        <v>0</v>
      </c>
      <c r="AD585">
        <v>0</v>
      </c>
      <c r="AE585">
        <v>1</v>
      </c>
      <c r="AF585">
        <v>0</v>
      </c>
      <c r="AG585">
        <v>0</v>
      </c>
      <c r="AH585">
        <v>0</v>
      </c>
      <c r="AI585">
        <v>0</v>
      </c>
      <c r="AJ585">
        <v>0</v>
      </c>
      <c r="AK585">
        <v>0</v>
      </c>
      <c r="AL585">
        <v>0</v>
      </c>
      <c r="AM585">
        <v>0</v>
      </c>
      <c r="AN585">
        <v>0</v>
      </c>
      <c r="AO585">
        <v>0</v>
      </c>
      <c r="AP585">
        <v>0</v>
      </c>
      <c r="AQ585">
        <v>0</v>
      </c>
      <c r="AR585">
        <v>0</v>
      </c>
      <c r="AS585">
        <v>0</v>
      </c>
      <c r="AT585">
        <v>0</v>
      </c>
      <c r="AU585">
        <v>0</v>
      </c>
      <c r="AV585">
        <v>0</v>
      </c>
      <c r="AW585">
        <v>0</v>
      </c>
      <c r="AX585" s="141">
        <f t="shared" si="656"/>
        <v>1</v>
      </c>
      <c r="AY585" s="141">
        <f t="shared" si="657"/>
        <v>1</v>
      </c>
      <c r="AZ585">
        <f t="shared" si="658"/>
        <v>0</v>
      </c>
      <c r="BA585">
        <f t="shared" si="659"/>
        <v>1</v>
      </c>
      <c r="BB585">
        <f t="shared" si="660"/>
        <v>0</v>
      </c>
      <c r="BC585">
        <f t="shared" si="661"/>
        <v>0</v>
      </c>
      <c r="BD585">
        <f t="shared" si="662"/>
        <v>0</v>
      </c>
      <c r="BE585" t="str" cm="1">
        <f t="array" ref="BE585">IF(AY585=1,INDEX($V$7:$AL$7,MATCH(TRUE,INDEX($V585:$AW585&lt;&gt;0,),0)),IF(AY585=0,INDEX($AM$7:$AW$7,MATCH(1,$AM585:$AW585,0)),IF(BF585="Multiple strategies","mixed drivers",IF(BF585="Supply chain","multiple supply","multiple silviculture"))))</f>
        <v>location of industry</v>
      </c>
      <c r="BF585" s="2" t="str" cm="1">
        <f t="array" ref="BF585">IF(COUNTIF(AZ585:BB585,"&lt;&gt;0")=1,INDEX($V$4:$AW$4,MATCH(TRUE,INDEX($V585:$AW585&lt;&gt;0,),0)),IF(COUNTIF(AZ585:BB585,"&lt;&gt;0")=0,INDEX($AM$4:$AW$4,MATCH(1,$AM585:$AW585,0)),"Multiple strategies"))</f>
        <v>Supply chain</v>
      </c>
      <c r="BG585" s="142" t="s">
        <v>321</v>
      </c>
      <c r="BH585" s="160" t="s">
        <v>1456</v>
      </c>
      <c r="BI585" s="160" t="s">
        <v>1457</v>
      </c>
      <c r="BJ585" s="143" t="s">
        <v>498</v>
      </c>
      <c r="BK585" s="143">
        <v>944</v>
      </c>
      <c r="BL585" s="143">
        <v>6993</v>
      </c>
      <c r="BM585">
        <f t="shared" si="685"/>
        <v>2.1345338983050848</v>
      </c>
      <c r="BN585">
        <f t="shared" si="663"/>
        <v>6049</v>
      </c>
      <c r="BO585" s="159">
        <f t="shared" si="687"/>
        <v>6049</v>
      </c>
      <c r="BP585" s="155" t="s">
        <v>232</v>
      </c>
      <c r="BQ585" s="155" t="s">
        <v>1458</v>
      </c>
      <c r="BR585" s="155" t="s">
        <v>825</v>
      </c>
      <c r="BS585" s="143" t="s">
        <v>1476</v>
      </c>
      <c r="BT585" t="s">
        <v>1480</v>
      </c>
      <c r="BU585" s="144">
        <f t="shared" si="688"/>
        <v>7.1075960817761246</v>
      </c>
      <c r="BV585">
        <f t="shared" si="664"/>
        <v>-0.65641388888888896</v>
      </c>
      <c r="BX585">
        <f t="shared" si="689"/>
        <v>-0.65641388888888896</v>
      </c>
      <c r="BY585">
        <f t="shared" si="654"/>
        <v>-1.0851609999816317E-4</v>
      </c>
      <c r="BZ585">
        <v>0</v>
      </c>
      <c r="CA585">
        <v>0</v>
      </c>
      <c r="CB585">
        <v>0</v>
      </c>
      <c r="CC585">
        <v>0</v>
      </c>
      <c r="CD585">
        <v>0</v>
      </c>
      <c r="CE585">
        <v>0</v>
      </c>
      <c r="CF585">
        <v>0</v>
      </c>
      <c r="CG585">
        <v>0</v>
      </c>
      <c r="CH585">
        <v>0</v>
      </c>
      <c r="CI585">
        <v>0</v>
      </c>
      <c r="CJ585">
        <v>0</v>
      </c>
      <c r="CK585">
        <v>0</v>
      </c>
      <c r="CL585">
        <v>0</v>
      </c>
      <c r="CM585">
        <v>0</v>
      </c>
      <c r="CN585" t="str">
        <f t="shared" si="665"/>
        <v>refOK</v>
      </c>
      <c r="CO585">
        <f t="shared" si="683"/>
        <v>944</v>
      </c>
      <c r="CP585">
        <f t="shared" si="684"/>
        <v>6993</v>
      </c>
      <c r="CQ585">
        <f t="shared" si="666"/>
        <v>6049</v>
      </c>
      <c r="CR585">
        <f t="shared" si="667"/>
        <v>-0.107475</v>
      </c>
      <c r="CS585">
        <f t="shared" si="668"/>
        <v>-0.76388888888888895</v>
      </c>
      <c r="CT585">
        <f t="shared" si="669"/>
        <v>-0.65641388888888896</v>
      </c>
      <c r="CU585">
        <f t="shared" si="670"/>
        <v>-1.0851609999816317E-4</v>
      </c>
      <c r="CV585" s="2">
        <f t="shared" si="671"/>
        <v>-6.1075960817761246</v>
      </c>
      <c r="CW585" s="263" t="s">
        <v>1461</v>
      </c>
      <c r="CX585" s="264" t="str">
        <f t="shared" si="672"/>
        <v>reg</v>
      </c>
      <c r="CY585" s="270" t="s">
        <v>743</v>
      </c>
      <c r="DA585" s="143"/>
      <c r="DB585" s="143">
        <v>0</v>
      </c>
      <c r="DC585" t="str">
        <f t="shared" si="673"/>
        <v>0</v>
      </c>
      <c r="DD585">
        <v>0</v>
      </c>
      <c r="DE585">
        <v>1</v>
      </c>
      <c r="DF585">
        <v>0</v>
      </c>
      <c r="DG585">
        <v>0</v>
      </c>
      <c r="DH585">
        <v>0</v>
      </c>
      <c r="DI585">
        <f t="shared" si="690"/>
        <v>1</v>
      </c>
      <c r="DJ585" t="str">
        <f t="shared" si="674"/>
        <v>EnergyInput</v>
      </c>
      <c r="DK585">
        <f t="shared" si="675"/>
        <v>0</v>
      </c>
      <c r="DL585" t="str">
        <f t="shared" si="676"/>
        <v>Energy</v>
      </c>
      <c r="DM585">
        <f t="shared" si="677"/>
        <v>0</v>
      </c>
      <c r="DN585">
        <f t="shared" si="678"/>
        <v>0</v>
      </c>
      <c r="DO585">
        <v>0</v>
      </c>
      <c r="DP585" s="143">
        <v>0</v>
      </c>
      <c r="DQ585" s="143">
        <v>0</v>
      </c>
      <c r="DR585">
        <v>0</v>
      </c>
      <c r="DS585" s="143">
        <v>0</v>
      </c>
      <c r="DT585">
        <f t="shared" si="679"/>
        <v>0</v>
      </c>
      <c r="DU585" s="143" t="str">
        <f t="shared" si="680"/>
        <v>explicit C balance</v>
      </c>
      <c r="DV585" s="143">
        <v>0</v>
      </c>
      <c r="DW585" s="143">
        <v>0</v>
      </c>
      <c r="DX585" s="143">
        <v>0</v>
      </c>
      <c r="DY585" s="143">
        <v>0</v>
      </c>
      <c r="DZ585">
        <v>0</v>
      </c>
      <c r="EA585" s="143">
        <v>0</v>
      </c>
      <c r="EB585" s="143">
        <v>1</v>
      </c>
      <c r="EC585" s="143">
        <v>0</v>
      </c>
      <c r="ED585" s="143">
        <v>0</v>
      </c>
      <c r="EE585">
        <v>0</v>
      </c>
      <c r="EF585">
        <v>0</v>
      </c>
      <c r="EG585" s="143">
        <v>0</v>
      </c>
      <c r="EH585" s="143">
        <v>0</v>
      </c>
      <c r="EI585" s="2">
        <v>0</v>
      </c>
      <c r="EK585" t="str">
        <f t="shared" si="681"/>
        <v/>
      </c>
      <c r="EL585" t="str">
        <f t="shared" si="682"/>
        <v/>
      </c>
      <c r="EM585" s="2" t="str">
        <f t="shared" si="655"/>
        <v/>
      </c>
      <c r="EP585" t="str">
        <f>IF(ISNUMBER(BU585),IF(ABS(BU585-[4]QC_indicators!$B$2)&gt;3*[4]QC_indicators!$C$2,"C ratio",IF(ISNUMBER(BY585),IF(ABS(BY585-[4]QC_indicators!$B$1)&gt;3*[4]QC_indicators!$C$1,"DF","no"))),IF(ISNUMBER(BY585),IF(ABS(BY585-[4]QC_indicators!$B$1)&gt;3*[4]QC_indicators!$C$1,"DF","no")))</f>
        <v>no</v>
      </c>
      <c r="ER585" s="149"/>
      <c r="ET585" s="264" t="s">
        <v>3406</v>
      </c>
    </row>
    <row r="586" spans="1:150" ht="15" hidden="1" customHeight="1">
      <c r="A586" s="1" t="s">
        <v>587</v>
      </c>
      <c r="B586" t="s">
        <v>1447</v>
      </c>
      <c r="C586" t="s">
        <v>1448</v>
      </c>
      <c r="D586" t="s">
        <v>1449</v>
      </c>
      <c r="E586" t="s">
        <v>1450</v>
      </c>
      <c r="F586" t="s">
        <v>1451</v>
      </c>
      <c r="G586" t="s">
        <v>593</v>
      </c>
      <c r="H586" t="s">
        <v>254</v>
      </c>
      <c r="I586">
        <v>2020</v>
      </c>
      <c r="J586">
        <v>12</v>
      </c>
      <c r="K586" t="s">
        <v>1452</v>
      </c>
      <c r="M586" t="str">
        <f t="shared" si="686"/>
        <v>Elisa_2020</v>
      </c>
      <c r="N586" s="264" t="s">
        <v>222</v>
      </c>
      <c r="O586" s="171" t="s">
        <v>274</v>
      </c>
      <c r="P586" t="s">
        <v>223</v>
      </c>
      <c r="Q586" s="264" t="s">
        <v>389</v>
      </c>
      <c r="R586" s="269" t="s">
        <v>1153</v>
      </c>
      <c r="S586" s="154" t="s">
        <v>1453</v>
      </c>
      <c r="T586" s="294" t="s">
        <v>1454</v>
      </c>
      <c r="U586" s="143" t="s">
        <v>1518</v>
      </c>
      <c r="V586">
        <v>0</v>
      </c>
      <c r="W586">
        <v>0</v>
      </c>
      <c r="X586">
        <v>0</v>
      </c>
      <c r="Y586">
        <v>0</v>
      </c>
      <c r="Z586">
        <v>0</v>
      </c>
      <c r="AA586">
        <v>0</v>
      </c>
      <c r="AB586">
        <v>0</v>
      </c>
      <c r="AC586">
        <v>0</v>
      </c>
      <c r="AD586">
        <v>0</v>
      </c>
      <c r="AE586">
        <v>1</v>
      </c>
      <c r="AF586">
        <v>0</v>
      </c>
      <c r="AG586">
        <v>0</v>
      </c>
      <c r="AH586">
        <v>0</v>
      </c>
      <c r="AI586">
        <v>0</v>
      </c>
      <c r="AJ586">
        <v>0</v>
      </c>
      <c r="AK586">
        <v>1</v>
      </c>
      <c r="AL586">
        <v>0</v>
      </c>
      <c r="AM586">
        <v>0</v>
      </c>
      <c r="AN586">
        <v>0</v>
      </c>
      <c r="AO586">
        <v>0</v>
      </c>
      <c r="AP586">
        <v>0</v>
      </c>
      <c r="AQ586">
        <v>0</v>
      </c>
      <c r="AR586">
        <v>0</v>
      </c>
      <c r="AS586">
        <v>0</v>
      </c>
      <c r="AT586">
        <v>0</v>
      </c>
      <c r="AU586">
        <v>0</v>
      </c>
      <c r="AV586">
        <v>0</v>
      </c>
      <c r="AW586">
        <v>0</v>
      </c>
      <c r="AX586" s="141">
        <f t="shared" si="656"/>
        <v>2</v>
      </c>
      <c r="AY586" s="141">
        <f t="shared" si="657"/>
        <v>2</v>
      </c>
      <c r="AZ586">
        <f t="shared" si="658"/>
        <v>0</v>
      </c>
      <c r="BA586">
        <f t="shared" si="659"/>
        <v>1</v>
      </c>
      <c r="BB586">
        <f t="shared" si="660"/>
        <v>1</v>
      </c>
      <c r="BC586">
        <f t="shared" si="661"/>
        <v>0</v>
      </c>
      <c r="BD586">
        <f t="shared" si="662"/>
        <v>0</v>
      </c>
      <c r="BE586" t="str" cm="1">
        <f t="array" ref="BE586">IF(AY586=1,INDEX($V$7:$AL$7,MATCH(TRUE,INDEX($V586:$AW586&lt;&gt;0,),0)),IF(AY586=0,INDEX($AM$7:$AW$7,MATCH(1,$AM586:$AW586,0)),IF(BF586="Multiple strategies","mixed drivers",IF(BF586="Supply chain","multiple supply","multiple silviculture"))))</f>
        <v>mixed drivers</v>
      </c>
      <c r="BF586" s="2" t="str" cm="1">
        <f t="array" ref="BF586">IF(COUNTIF(AZ586:BB586,"&lt;&gt;0")=1,INDEX($V$4:$AW$4,MATCH(TRUE,INDEX($V586:$AW586&lt;&gt;0,),0)),IF(COUNTIF(AZ586:BB586,"&lt;&gt;0")=0,INDEX($AM$4:$AW$4,MATCH(1,$AM586:$AW586,0)),"Multiple strategies"))</f>
        <v>Multiple strategies</v>
      </c>
      <c r="BG586" s="142" t="s">
        <v>321</v>
      </c>
      <c r="BH586" s="160" t="s">
        <v>1456</v>
      </c>
      <c r="BI586" s="160" t="s">
        <v>1457</v>
      </c>
      <c r="BJ586" s="143" t="s">
        <v>498</v>
      </c>
      <c r="BK586" s="143">
        <v>944</v>
      </c>
      <c r="BL586" s="143">
        <v>2015</v>
      </c>
      <c r="BM586">
        <f t="shared" si="685"/>
        <v>4.2372881355932206</v>
      </c>
      <c r="BN586">
        <f t="shared" si="663"/>
        <v>1071</v>
      </c>
      <c r="BO586" s="159">
        <f t="shared" si="687"/>
        <v>1071</v>
      </c>
      <c r="BP586" s="155" t="s">
        <v>232</v>
      </c>
      <c r="BQ586" s="155" t="s">
        <v>1458</v>
      </c>
      <c r="BR586" s="155" t="s">
        <v>825</v>
      </c>
      <c r="BS586" s="143" t="s">
        <v>1476</v>
      </c>
      <c r="BT586" t="s">
        <v>1519</v>
      </c>
      <c r="BU586" s="144">
        <f t="shared" si="688"/>
        <v>2.044920007236827</v>
      </c>
      <c r="BV586">
        <f t="shared" si="664"/>
        <v>-0.11230277777777799</v>
      </c>
      <c r="BX586">
        <f t="shared" si="689"/>
        <v>-0.11230277777777799</v>
      </c>
      <c r="BY586">
        <f t="shared" si="654"/>
        <v>-1.0485786907355554E-4</v>
      </c>
      <c r="BZ586">
        <v>0</v>
      </c>
      <c r="CA586">
        <v>0</v>
      </c>
      <c r="CB586">
        <v>0</v>
      </c>
      <c r="CC586">
        <v>0</v>
      </c>
      <c r="CD586">
        <v>0</v>
      </c>
      <c r="CE586">
        <v>0</v>
      </c>
      <c r="CF586">
        <v>0</v>
      </c>
      <c r="CG586">
        <v>0</v>
      </c>
      <c r="CH586">
        <v>0</v>
      </c>
      <c r="CI586">
        <v>0</v>
      </c>
      <c r="CJ586">
        <v>0</v>
      </c>
      <c r="CK586">
        <v>0</v>
      </c>
      <c r="CL586">
        <v>0</v>
      </c>
      <c r="CM586">
        <v>0</v>
      </c>
      <c r="CN586" t="str">
        <f t="shared" si="665"/>
        <v>refOK</v>
      </c>
      <c r="CO586">
        <f t="shared" si="683"/>
        <v>944</v>
      </c>
      <c r="CP586">
        <f t="shared" si="684"/>
        <v>2015</v>
      </c>
      <c r="CQ586">
        <f t="shared" si="666"/>
        <v>1071</v>
      </c>
      <c r="CR586">
        <f t="shared" si="667"/>
        <v>-0.107475</v>
      </c>
      <c r="CS586">
        <f t="shared" si="668"/>
        <v>-0.21977777777777799</v>
      </c>
      <c r="CT586">
        <f t="shared" si="669"/>
        <v>-0.11230277777777799</v>
      </c>
      <c r="CU586">
        <f t="shared" si="670"/>
        <v>-1.0485786907355554E-4</v>
      </c>
      <c r="CV586" s="2">
        <f t="shared" si="671"/>
        <v>-1.044920007236827</v>
      </c>
      <c r="CW586" s="263" t="s">
        <v>1461</v>
      </c>
      <c r="CX586" s="264" t="str">
        <f t="shared" si="672"/>
        <v>reg</v>
      </c>
      <c r="CY586" s="270" t="s">
        <v>743</v>
      </c>
      <c r="DA586" s="143"/>
      <c r="DB586" s="143">
        <v>0</v>
      </c>
      <c r="DC586" t="str">
        <f t="shared" si="673"/>
        <v>0</v>
      </c>
      <c r="DD586">
        <v>0</v>
      </c>
      <c r="DE586">
        <v>1</v>
      </c>
      <c r="DF586">
        <v>0</v>
      </c>
      <c r="DG586">
        <v>0</v>
      </c>
      <c r="DH586">
        <v>0</v>
      </c>
      <c r="DI586">
        <f t="shared" si="690"/>
        <v>1</v>
      </c>
      <c r="DJ586" t="str">
        <f t="shared" si="674"/>
        <v>EnergyInput</v>
      </c>
      <c r="DK586">
        <f t="shared" si="675"/>
        <v>0</v>
      </c>
      <c r="DL586" t="str">
        <f t="shared" si="676"/>
        <v>Energy</v>
      </c>
      <c r="DM586">
        <f t="shared" si="677"/>
        <v>0</v>
      </c>
      <c r="DN586">
        <f t="shared" si="678"/>
        <v>0</v>
      </c>
      <c r="DO586">
        <v>0</v>
      </c>
      <c r="DP586" s="143">
        <v>0</v>
      </c>
      <c r="DQ586" s="143">
        <v>0</v>
      </c>
      <c r="DR586">
        <v>0</v>
      </c>
      <c r="DS586" s="143">
        <v>0</v>
      </c>
      <c r="DT586">
        <f t="shared" si="679"/>
        <v>0</v>
      </c>
      <c r="DU586" s="143" t="str">
        <f t="shared" si="680"/>
        <v>explicit C balance</v>
      </c>
      <c r="DV586" s="143">
        <v>0</v>
      </c>
      <c r="DW586" s="143">
        <v>0</v>
      </c>
      <c r="DX586" s="143">
        <v>0</v>
      </c>
      <c r="DY586" s="143">
        <v>0</v>
      </c>
      <c r="DZ586">
        <v>0</v>
      </c>
      <c r="EA586" s="143">
        <v>0</v>
      </c>
      <c r="EB586" s="143">
        <v>1</v>
      </c>
      <c r="EC586" s="143">
        <v>0</v>
      </c>
      <c r="ED586" s="143">
        <v>0</v>
      </c>
      <c r="EE586">
        <v>0</v>
      </c>
      <c r="EF586">
        <v>0</v>
      </c>
      <c r="EG586" s="143">
        <v>0</v>
      </c>
      <c r="EH586" s="143">
        <v>0</v>
      </c>
      <c r="EI586" s="2">
        <v>0</v>
      </c>
      <c r="EK586" t="str">
        <f t="shared" si="681"/>
        <v/>
      </c>
      <c r="EL586" t="str">
        <f t="shared" si="682"/>
        <v/>
      </c>
      <c r="EM586" s="2" t="str">
        <f t="shared" si="655"/>
        <v/>
      </c>
      <c r="EP586" t="str">
        <f>IF(ISNUMBER(BU586),IF(ABS(BU586-[4]QC_indicators!$B$2)&gt;3*[4]QC_indicators!$C$2,"C ratio",IF(ISNUMBER(BY586),IF(ABS(BY586-[4]QC_indicators!$B$1)&gt;3*[4]QC_indicators!$C$1,"DF","no"))),IF(ISNUMBER(BY586),IF(ABS(BY586-[4]QC_indicators!$B$1)&gt;3*[4]QC_indicators!$C$1,"DF","no")))</f>
        <v>no</v>
      </c>
      <c r="ER586" s="149"/>
      <c r="ET586" s="264" t="s">
        <v>3406</v>
      </c>
    </row>
    <row r="587" spans="1:150" ht="15" hidden="1" customHeight="1">
      <c r="A587" s="1" t="s">
        <v>587</v>
      </c>
      <c r="B587" t="s">
        <v>1447</v>
      </c>
      <c r="C587" t="s">
        <v>1448</v>
      </c>
      <c r="D587" t="s">
        <v>1449</v>
      </c>
      <c r="E587" t="s">
        <v>1450</v>
      </c>
      <c r="F587" t="s">
        <v>1451</v>
      </c>
      <c r="G587" t="s">
        <v>593</v>
      </c>
      <c r="H587" t="s">
        <v>254</v>
      </c>
      <c r="I587">
        <v>2020</v>
      </c>
      <c r="J587">
        <v>12</v>
      </c>
      <c r="K587" t="s">
        <v>1452</v>
      </c>
      <c r="M587" t="str">
        <f t="shared" si="686"/>
        <v>Elisa_2020</v>
      </c>
      <c r="N587" s="264" t="s">
        <v>222</v>
      </c>
      <c r="O587" s="171" t="s">
        <v>274</v>
      </c>
      <c r="P587" t="s">
        <v>223</v>
      </c>
      <c r="Q587" s="264" t="s">
        <v>389</v>
      </c>
      <c r="R587" s="269" t="s">
        <v>1153</v>
      </c>
      <c r="S587" s="154" t="s">
        <v>1453</v>
      </c>
      <c r="T587" s="294" t="s">
        <v>1454</v>
      </c>
      <c r="U587" s="143" t="s">
        <v>1487</v>
      </c>
      <c r="V587">
        <v>0</v>
      </c>
      <c r="W587">
        <v>0</v>
      </c>
      <c r="X587">
        <v>0</v>
      </c>
      <c r="Y587">
        <v>0</v>
      </c>
      <c r="Z587">
        <v>0</v>
      </c>
      <c r="AA587">
        <v>0</v>
      </c>
      <c r="AB587">
        <v>0</v>
      </c>
      <c r="AC587">
        <v>0</v>
      </c>
      <c r="AD587">
        <v>0</v>
      </c>
      <c r="AE587">
        <v>1</v>
      </c>
      <c r="AF587">
        <v>0</v>
      </c>
      <c r="AG587">
        <v>0</v>
      </c>
      <c r="AH587">
        <v>0</v>
      </c>
      <c r="AI587">
        <v>0</v>
      </c>
      <c r="AJ587">
        <v>0</v>
      </c>
      <c r="AK587">
        <v>1</v>
      </c>
      <c r="AL587">
        <v>0</v>
      </c>
      <c r="AM587">
        <v>0</v>
      </c>
      <c r="AN587">
        <v>0</v>
      </c>
      <c r="AO587">
        <v>0</v>
      </c>
      <c r="AP587">
        <v>0</v>
      </c>
      <c r="AQ587">
        <v>0</v>
      </c>
      <c r="AR587">
        <v>0</v>
      </c>
      <c r="AS587">
        <v>0</v>
      </c>
      <c r="AT587">
        <v>0</v>
      </c>
      <c r="AU587">
        <v>0</v>
      </c>
      <c r="AV587">
        <v>0</v>
      </c>
      <c r="AW587">
        <v>0</v>
      </c>
      <c r="AX587" s="141">
        <f t="shared" si="656"/>
        <v>2</v>
      </c>
      <c r="AY587" s="141">
        <f t="shared" si="657"/>
        <v>2</v>
      </c>
      <c r="AZ587">
        <f t="shared" si="658"/>
        <v>0</v>
      </c>
      <c r="BA587">
        <f t="shared" si="659"/>
        <v>1</v>
      </c>
      <c r="BB587">
        <f t="shared" si="660"/>
        <v>1</v>
      </c>
      <c r="BC587">
        <f t="shared" si="661"/>
        <v>0</v>
      </c>
      <c r="BD587">
        <f t="shared" si="662"/>
        <v>0</v>
      </c>
      <c r="BE587" t="str" cm="1">
        <f t="array" ref="BE587">IF(AY587=1,INDEX($V$7:$AL$7,MATCH(TRUE,INDEX($V587:$AW587&lt;&gt;0,),0)),IF(AY587=0,INDEX($AM$7:$AW$7,MATCH(1,$AM587:$AW587,0)),IF(BF587="Multiple strategies","mixed drivers",IF(BF587="Supply chain","multiple supply","multiple silviculture"))))</f>
        <v>mixed drivers</v>
      </c>
      <c r="BF587" s="2" t="str" cm="1">
        <f t="array" ref="BF587">IF(COUNTIF(AZ587:BB587,"&lt;&gt;0")=1,INDEX($V$4:$AW$4,MATCH(TRUE,INDEX($V587:$AW587&lt;&gt;0,),0)),IF(COUNTIF(AZ587:BB587,"&lt;&gt;0")=0,INDEX($AM$4:$AW$4,MATCH(1,$AM587:$AW587,0)),"Multiple strategies"))</f>
        <v>Multiple strategies</v>
      </c>
      <c r="BG587" s="142" t="s">
        <v>321</v>
      </c>
      <c r="BH587" s="160" t="s">
        <v>1456</v>
      </c>
      <c r="BI587" s="160" t="s">
        <v>1457</v>
      </c>
      <c r="BJ587" s="143" t="s">
        <v>498</v>
      </c>
      <c r="BK587" s="143">
        <v>944</v>
      </c>
      <c r="BL587" s="143">
        <v>4000</v>
      </c>
      <c r="BM587">
        <f t="shared" si="685"/>
        <v>21.1864406779661</v>
      </c>
      <c r="BN587">
        <f t="shared" si="663"/>
        <v>3056</v>
      </c>
      <c r="BO587" s="159">
        <f t="shared" si="687"/>
        <v>3056</v>
      </c>
      <c r="BP587" s="155" t="s">
        <v>232</v>
      </c>
      <c r="BQ587" s="155" t="s">
        <v>1458</v>
      </c>
      <c r="BR587" s="155" t="s">
        <v>825</v>
      </c>
      <c r="BS587" s="143" t="s">
        <v>1476</v>
      </c>
      <c r="BT587" t="s">
        <v>1520</v>
      </c>
      <c r="BU587" s="144">
        <f t="shared" si="688"/>
        <v>3.9618378951177298</v>
      </c>
      <c r="BV587">
        <f t="shared" si="664"/>
        <v>-0.318323527777778</v>
      </c>
      <c r="BX587">
        <f t="shared" si="689"/>
        <v>-0.318323527777778</v>
      </c>
      <c r="BY587">
        <f t="shared" si="654"/>
        <v>-1.0416345804246663E-4</v>
      </c>
      <c r="BZ587">
        <v>0</v>
      </c>
      <c r="CA587">
        <v>0</v>
      </c>
      <c r="CB587">
        <v>0</v>
      </c>
      <c r="CC587">
        <v>0</v>
      </c>
      <c r="CD587">
        <v>0</v>
      </c>
      <c r="CE587">
        <v>0</v>
      </c>
      <c r="CF587">
        <v>0</v>
      </c>
      <c r="CG587">
        <v>0</v>
      </c>
      <c r="CH587">
        <v>0</v>
      </c>
      <c r="CI587">
        <v>0</v>
      </c>
      <c r="CJ587">
        <v>0</v>
      </c>
      <c r="CK587">
        <v>0</v>
      </c>
      <c r="CL587">
        <v>0</v>
      </c>
      <c r="CM587">
        <v>0</v>
      </c>
      <c r="CN587" t="str">
        <f t="shared" si="665"/>
        <v>refOK</v>
      </c>
      <c r="CO587">
        <f t="shared" si="683"/>
        <v>944</v>
      </c>
      <c r="CP587">
        <f t="shared" si="684"/>
        <v>4000</v>
      </c>
      <c r="CQ587">
        <f t="shared" si="666"/>
        <v>3056</v>
      </c>
      <c r="CR587">
        <f t="shared" si="667"/>
        <v>-0.107475</v>
      </c>
      <c r="CS587">
        <f t="shared" si="668"/>
        <v>-0.42579852777777799</v>
      </c>
      <c r="CT587">
        <f t="shared" si="669"/>
        <v>-0.318323527777778</v>
      </c>
      <c r="CU587">
        <f t="shared" si="670"/>
        <v>-1.0416345804246663E-4</v>
      </c>
      <c r="CV587" s="2">
        <f t="shared" si="671"/>
        <v>-2.9618378951177298</v>
      </c>
      <c r="CW587" s="263" t="s">
        <v>1461</v>
      </c>
      <c r="CX587" s="264" t="str">
        <f t="shared" si="672"/>
        <v>reg</v>
      </c>
      <c r="CY587" s="270" t="s">
        <v>743</v>
      </c>
      <c r="DA587" s="143"/>
      <c r="DB587" s="143">
        <v>0</v>
      </c>
      <c r="DC587" t="str">
        <f t="shared" si="673"/>
        <v>0</v>
      </c>
      <c r="DD587">
        <v>0</v>
      </c>
      <c r="DE587">
        <v>1</v>
      </c>
      <c r="DF587">
        <v>0</v>
      </c>
      <c r="DG587">
        <v>0</v>
      </c>
      <c r="DH587">
        <v>0</v>
      </c>
      <c r="DI587">
        <f t="shared" si="690"/>
        <v>1</v>
      </c>
      <c r="DJ587" t="str">
        <f t="shared" si="674"/>
        <v>EnergyInput</v>
      </c>
      <c r="DK587">
        <f t="shared" si="675"/>
        <v>0</v>
      </c>
      <c r="DL587" t="str">
        <f t="shared" si="676"/>
        <v>Energy</v>
      </c>
      <c r="DM587">
        <f t="shared" si="677"/>
        <v>0</v>
      </c>
      <c r="DN587">
        <f t="shared" si="678"/>
        <v>0</v>
      </c>
      <c r="DO587">
        <v>0</v>
      </c>
      <c r="DP587" s="143">
        <v>0</v>
      </c>
      <c r="DQ587" s="143">
        <v>0</v>
      </c>
      <c r="DR587">
        <v>0</v>
      </c>
      <c r="DS587" s="143">
        <v>0</v>
      </c>
      <c r="DT587">
        <f t="shared" si="679"/>
        <v>0</v>
      </c>
      <c r="DU587" s="143" t="str">
        <f t="shared" si="680"/>
        <v>explicit C balance</v>
      </c>
      <c r="DV587" s="143">
        <v>0</v>
      </c>
      <c r="DW587" s="143">
        <v>0</v>
      </c>
      <c r="DX587" s="143">
        <v>0</v>
      </c>
      <c r="DY587" s="143">
        <v>0</v>
      </c>
      <c r="DZ587">
        <v>0</v>
      </c>
      <c r="EA587" s="143">
        <v>0</v>
      </c>
      <c r="EB587" s="143">
        <v>1</v>
      </c>
      <c r="EC587" s="143">
        <v>0</v>
      </c>
      <c r="ED587" s="143">
        <v>0</v>
      </c>
      <c r="EE587">
        <v>0</v>
      </c>
      <c r="EF587">
        <v>0</v>
      </c>
      <c r="EG587" s="143">
        <v>0</v>
      </c>
      <c r="EH587" s="143">
        <v>0</v>
      </c>
      <c r="EI587" s="2">
        <v>0</v>
      </c>
      <c r="EK587" t="str">
        <f t="shared" si="681"/>
        <v/>
      </c>
      <c r="EL587" t="str">
        <f t="shared" si="682"/>
        <v/>
      </c>
      <c r="EM587" s="2" t="str">
        <f t="shared" si="655"/>
        <v/>
      </c>
      <c r="EP587" t="str">
        <f>IF(ISNUMBER(BU587),IF(ABS(BU587-[4]QC_indicators!$B$2)&gt;3*[4]QC_indicators!$C$2,"C ratio",IF(ISNUMBER(BY587),IF(ABS(BY587-[4]QC_indicators!$B$1)&gt;3*[4]QC_indicators!$C$1,"DF","no"))),IF(ISNUMBER(BY587),IF(ABS(BY587-[4]QC_indicators!$B$1)&gt;3*[4]QC_indicators!$C$1,"DF","no")))</f>
        <v>no</v>
      </c>
      <c r="ER587" s="149"/>
      <c r="ET587" s="264" t="s">
        <v>3406</v>
      </c>
    </row>
    <row r="588" spans="1:150" ht="15" hidden="1" customHeight="1">
      <c r="A588" s="1" t="s">
        <v>587</v>
      </c>
      <c r="B588" t="s">
        <v>1447</v>
      </c>
      <c r="C588" t="s">
        <v>1448</v>
      </c>
      <c r="D588" t="s">
        <v>1449</v>
      </c>
      <c r="E588" t="s">
        <v>1450</v>
      </c>
      <c r="F588" t="s">
        <v>1451</v>
      </c>
      <c r="G588" t="s">
        <v>593</v>
      </c>
      <c r="H588" t="s">
        <v>254</v>
      </c>
      <c r="I588">
        <v>2020</v>
      </c>
      <c r="J588">
        <v>12</v>
      </c>
      <c r="K588" t="s">
        <v>1452</v>
      </c>
      <c r="M588" t="str">
        <f t="shared" si="686"/>
        <v>Elisa_2020</v>
      </c>
      <c r="N588" s="264" t="s">
        <v>222</v>
      </c>
      <c r="O588" s="171" t="s">
        <v>274</v>
      </c>
      <c r="P588" t="s">
        <v>223</v>
      </c>
      <c r="Q588" s="264" t="s">
        <v>389</v>
      </c>
      <c r="R588" s="269" t="s">
        <v>1153</v>
      </c>
      <c r="S588" s="154" t="s">
        <v>1453</v>
      </c>
      <c r="T588" s="294" t="s">
        <v>1454</v>
      </c>
      <c r="U588" s="143" t="s">
        <v>1467</v>
      </c>
      <c r="V588">
        <v>0</v>
      </c>
      <c r="W588">
        <v>0</v>
      </c>
      <c r="X588">
        <v>0</v>
      </c>
      <c r="Y588">
        <v>0</v>
      </c>
      <c r="Z588">
        <v>0</v>
      </c>
      <c r="AA588">
        <v>0</v>
      </c>
      <c r="AB588">
        <v>0</v>
      </c>
      <c r="AC588">
        <v>0</v>
      </c>
      <c r="AD588">
        <v>0</v>
      </c>
      <c r="AE588">
        <v>1</v>
      </c>
      <c r="AF588">
        <v>0</v>
      </c>
      <c r="AG588">
        <v>0</v>
      </c>
      <c r="AH588">
        <v>0</v>
      </c>
      <c r="AI588">
        <v>0</v>
      </c>
      <c r="AJ588">
        <v>0</v>
      </c>
      <c r="AK588">
        <v>0</v>
      </c>
      <c r="AL588">
        <v>0</v>
      </c>
      <c r="AM588">
        <v>0</v>
      </c>
      <c r="AN588">
        <v>0</v>
      </c>
      <c r="AO588">
        <v>0</v>
      </c>
      <c r="AP588">
        <v>0</v>
      </c>
      <c r="AQ588">
        <v>0</v>
      </c>
      <c r="AR588">
        <v>0</v>
      </c>
      <c r="AS588">
        <v>0</v>
      </c>
      <c r="AT588">
        <v>0</v>
      </c>
      <c r="AU588">
        <v>0</v>
      </c>
      <c r="AV588">
        <v>0</v>
      </c>
      <c r="AW588">
        <v>0</v>
      </c>
      <c r="AX588" s="141">
        <f t="shared" si="656"/>
        <v>1</v>
      </c>
      <c r="AY588" s="141">
        <f t="shared" si="657"/>
        <v>1</v>
      </c>
      <c r="AZ588">
        <f t="shared" si="658"/>
        <v>0</v>
      </c>
      <c r="BA588">
        <f t="shared" si="659"/>
        <v>1</v>
      </c>
      <c r="BB588">
        <f t="shared" si="660"/>
        <v>0</v>
      </c>
      <c r="BC588">
        <f t="shared" si="661"/>
        <v>0</v>
      </c>
      <c r="BD588">
        <f t="shared" si="662"/>
        <v>0</v>
      </c>
      <c r="BE588" t="str" cm="1">
        <f t="array" ref="BE588">IF(AY588=1,INDEX($V$7:$AL$7,MATCH(TRUE,INDEX($V588:$AW588&lt;&gt;0,),0)),IF(AY588=0,INDEX($AM$7:$AW$7,MATCH(1,$AM588:$AW588,0)),IF(BF588="Multiple strategies","mixed drivers",IF(BF588="Supply chain","multiple supply","multiple silviculture"))))</f>
        <v>location of industry</v>
      </c>
      <c r="BF588" s="2" t="str" cm="1">
        <f t="array" ref="BF588">IF(COUNTIF(AZ588:BB588,"&lt;&gt;0")=1,INDEX($V$4:$AW$4,MATCH(TRUE,INDEX($V588:$AW588&lt;&gt;0,),0)),IF(COUNTIF(AZ588:BB588,"&lt;&gt;0")=0,INDEX($AM$4:$AW$4,MATCH(1,$AM588:$AW588,0)),"Multiple strategies"))</f>
        <v>Supply chain</v>
      </c>
      <c r="BG588" s="142" t="s">
        <v>321</v>
      </c>
      <c r="BH588" s="160" t="s">
        <v>1456</v>
      </c>
      <c r="BI588" s="160" t="s">
        <v>1457</v>
      </c>
      <c r="BJ588" s="143" t="s">
        <v>498</v>
      </c>
      <c r="BK588" s="143">
        <v>944</v>
      </c>
      <c r="BL588" s="143">
        <v>20000</v>
      </c>
      <c r="BM588">
        <f t="shared" si="685"/>
        <v>5.1239406779661021</v>
      </c>
      <c r="BN588">
        <f t="shared" si="663"/>
        <v>19056</v>
      </c>
      <c r="BO588" s="159">
        <f t="shared" si="687"/>
        <v>19056</v>
      </c>
      <c r="BP588" s="155" t="s">
        <v>232</v>
      </c>
      <c r="BQ588" s="155" t="s">
        <v>1458</v>
      </c>
      <c r="BR588" s="155" t="s">
        <v>825</v>
      </c>
      <c r="BS588" s="143" t="s">
        <v>1476</v>
      </c>
      <c r="BT588" t="s">
        <v>1481</v>
      </c>
      <c r="BU588" s="144">
        <f t="shared" si="688"/>
        <v>19.384352950298489</v>
      </c>
      <c r="BV588">
        <f t="shared" si="664"/>
        <v>-1.9758583333333299</v>
      </c>
      <c r="BX588">
        <f t="shared" si="689"/>
        <v>-1.9758583333333299</v>
      </c>
      <c r="BY588">
        <f t="shared" si="654"/>
        <v>-1.0368694024629145E-4</v>
      </c>
      <c r="BZ588">
        <v>0</v>
      </c>
      <c r="CA588">
        <v>0</v>
      </c>
      <c r="CB588">
        <v>0</v>
      </c>
      <c r="CC588">
        <v>0</v>
      </c>
      <c r="CD588">
        <v>0</v>
      </c>
      <c r="CE588">
        <v>0</v>
      </c>
      <c r="CF588">
        <v>0</v>
      </c>
      <c r="CG588">
        <v>0</v>
      </c>
      <c r="CH588">
        <v>0</v>
      </c>
      <c r="CI588">
        <v>0</v>
      </c>
      <c r="CJ588">
        <v>0</v>
      </c>
      <c r="CK588">
        <v>0</v>
      </c>
      <c r="CL588">
        <v>0</v>
      </c>
      <c r="CM588">
        <v>0</v>
      </c>
      <c r="CN588" t="str">
        <f t="shared" si="665"/>
        <v>refOK</v>
      </c>
      <c r="CO588">
        <f t="shared" si="683"/>
        <v>944</v>
      </c>
      <c r="CP588">
        <f t="shared" si="684"/>
        <v>20000</v>
      </c>
      <c r="CQ588">
        <f t="shared" si="666"/>
        <v>19056</v>
      </c>
      <c r="CR588">
        <f t="shared" si="667"/>
        <v>-0.107475</v>
      </c>
      <c r="CS588">
        <f t="shared" si="668"/>
        <v>-2.0833333333333299</v>
      </c>
      <c r="CT588">
        <f t="shared" si="669"/>
        <v>-1.9758583333333299</v>
      </c>
      <c r="CU588">
        <f t="shared" si="670"/>
        <v>-1.0368694024629145E-4</v>
      </c>
      <c r="CV588" s="2">
        <f t="shared" si="671"/>
        <v>-18.384352950298489</v>
      </c>
      <c r="CW588" s="263" t="s">
        <v>1461</v>
      </c>
      <c r="CX588" s="264" t="str">
        <f t="shared" si="672"/>
        <v>reg</v>
      </c>
      <c r="CY588" s="270" t="s">
        <v>743</v>
      </c>
      <c r="DA588" s="143"/>
      <c r="DB588" s="143">
        <v>0</v>
      </c>
      <c r="DC588" t="str">
        <f t="shared" si="673"/>
        <v>0</v>
      </c>
      <c r="DD588">
        <v>0</v>
      </c>
      <c r="DE588">
        <v>1</v>
      </c>
      <c r="DF588">
        <v>0</v>
      </c>
      <c r="DG588">
        <v>0</v>
      </c>
      <c r="DH588">
        <v>0</v>
      </c>
      <c r="DI588">
        <f t="shared" si="690"/>
        <v>1</v>
      </c>
      <c r="DJ588" t="str">
        <f t="shared" si="674"/>
        <v>EnergyInput</v>
      </c>
      <c r="DK588">
        <f t="shared" si="675"/>
        <v>0</v>
      </c>
      <c r="DL588" t="str">
        <f t="shared" si="676"/>
        <v>Energy</v>
      </c>
      <c r="DM588">
        <f t="shared" si="677"/>
        <v>0</v>
      </c>
      <c r="DN588">
        <f t="shared" si="678"/>
        <v>0</v>
      </c>
      <c r="DO588">
        <v>0</v>
      </c>
      <c r="DP588" s="143">
        <v>0</v>
      </c>
      <c r="DQ588" s="143">
        <v>0</v>
      </c>
      <c r="DR588">
        <v>0</v>
      </c>
      <c r="DS588" s="143">
        <v>0</v>
      </c>
      <c r="DT588">
        <f t="shared" si="679"/>
        <v>0</v>
      </c>
      <c r="DU588" s="143" t="str">
        <f t="shared" si="680"/>
        <v>explicit C balance</v>
      </c>
      <c r="DV588" s="143">
        <v>0</v>
      </c>
      <c r="DW588" s="143">
        <v>0</v>
      </c>
      <c r="DX588" s="143">
        <v>0</v>
      </c>
      <c r="DY588" s="143">
        <v>0</v>
      </c>
      <c r="DZ588">
        <v>0</v>
      </c>
      <c r="EA588" s="143">
        <v>0</v>
      </c>
      <c r="EB588" s="143">
        <v>1</v>
      </c>
      <c r="EC588" s="143">
        <v>0</v>
      </c>
      <c r="ED588" s="143">
        <v>0</v>
      </c>
      <c r="EE588">
        <v>0</v>
      </c>
      <c r="EF588">
        <v>0</v>
      </c>
      <c r="EG588" s="143">
        <v>0</v>
      </c>
      <c r="EH588" s="143">
        <v>0</v>
      </c>
      <c r="EI588" s="2">
        <v>0</v>
      </c>
      <c r="EK588" t="str">
        <f t="shared" si="681"/>
        <v/>
      </c>
      <c r="EL588" t="str">
        <f t="shared" si="682"/>
        <v/>
      </c>
      <c r="EM588" s="2" t="str">
        <f t="shared" si="655"/>
        <v/>
      </c>
      <c r="EP588" t="str">
        <f>IF(ISNUMBER(BU588),IF(ABS(BU588-[4]QC_indicators!$B$2)&gt;3*[4]QC_indicators!$C$2,"C ratio",IF(ISNUMBER(BY588),IF(ABS(BY588-[4]QC_indicators!$B$1)&gt;3*[4]QC_indicators!$C$1,"DF","no"))),IF(ISNUMBER(BY588),IF(ABS(BY588-[4]QC_indicators!$B$1)&gt;3*[4]QC_indicators!$C$1,"DF","no")))</f>
        <v>no</v>
      </c>
      <c r="ER588" s="149"/>
      <c r="ET588" s="264" t="s">
        <v>3406</v>
      </c>
    </row>
    <row r="589" spans="1:150" ht="15" hidden="1" customHeight="1">
      <c r="A589" s="1" t="s">
        <v>587</v>
      </c>
      <c r="B589" t="s">
        <v>1447</v>
      </c>
      <c r="C589" t="s">
        <v>1448</v>
      </c>
      <c r="D589" t="s">
        <v>1449</v>
      </c>
      <c r="E589" t="s">
        <v>1450</v>
      </c>
      <c r="F589" t="s">
        <v>1451</v>
      </c>
      <c r="G589" t="s">
        <v>593</v>
      </c>
      <c r="H589" t="s">
        <v>254</v>
      </c>
      <c r="I589">
        <v>2020</v>
      </c>
      <c r="J589">
        <v>12</v>
      </c>
      <c r="K589" t="s">
        <v>1452</v>
      </c>
      <c r="M589" t="str">
        <f t="shared" si="686"/>
        <v>Elisa_2020</v>
      </c>
      <c r="N589" s="264" t="s">
        <v>222</v>
      </c>
      <c r="O589" s="171" t="s">
        <v>274</v>
      </c>
      <c r="P589" t="s">
        <v>223</v>
      </c>
      <c r="Q589" s="264" t="s">
        <v>389</v>
      </c>
      <c r="R589" s="269" t="s">
        <v>1153</v>
      </c>
      <c r="S589" s="154" t="s">
        <v>1453</v>
      </c>
      <c r="T589" s="294" t="s">
        <v>1454</v>
      </c>
      <c r="U589" s="143" t="s">
        <v>1495</v>
      </c>
      <c r="V589">
        <v>0</v>
      </c>
      <c r="W589">
        <v>0</v>
      </c>
      <c r="X589">
        <v>0</v>
      </c>
      <c r="Y589">
        <v>0</v>
      </c>
      <c r="Z589">
        <v>0</v>
      </c>
      <c r="AA589">
        <v>0</v>
      </c>
      <c r="AB589">
        <v>0</v>
      </c>
      <c r="AC589">
        <v>0</v>
      </c>
      <c r="AD589">
        <v>0</v>
      </c>
      <c r="AE589">
        <v>1</v>
      </c>
      <c r="AF589">
        <v>0</v>
      </c>
      <c r="AG589">
        <v>0</v>
      </c>
      <c r="AH589">
        <v>0</v>
      </c>
      <c r="AI589">
        <v>0</v>
      </c>
      <c r="AJ589">
        <v>0</v>
      </c>
      <c r="AK589">
        <v>1</v>
      </c>
      <c r="AL589">
        <v>0</v>
      </c>
      <c r="AM589">
        <v>0</v>
      </c>
      <c r="AN589">
        <v>0</v>
      </c>
      <c r="AO589">
        <v>0</v>
      </c>
      <c r="AP589">
        <v>0</v>
      </c>
      <c r="AQ589">
        <v>0</v>
      </c>
      <c r="AR589">
        <v>0</v>
      </c>
      <c r="AS589">
        <v>0</v>
      </c>
      <c r="AT589">
        <v>0</v>
      </c>
      <c r="AU589">
        <v>0</v>
      </c>
      <c r="AV589">
        <v>0</v>
      </c>
      <c r="AW589">
        <v>0</v>
      </c>
      <c r="AX589" s="141">
        <f t="shared" si="656"/>
        <v>2</v>
      </c>
      <c r="AY589" s="141">
        <f t="shared" si="657"/>
        <v>2</v>
      </c>
      <c r="AZ589">
        <f t="shared" si="658"/>
        <v>0</v>
      </c>
      <c r="BA589">
        <f t="shared" si="659"/>
        <v>1</v>
      </c>
      <c r="BB589">
        <f t="shared" si="660"/>
        <v>1</v>
      </c>
      <c r="BC589">
        <f t="shared" si="661"/>
        <v>0</v>
      </c>
      <c r="BD589">
        <f t="shared" si="662"/>
        <v>0</v>
      </c>
      <c r="BE589" t="str" cm="1">
        <f t="array" ref="BE589">IF(AY589=1,INDEX($V$7:$AL$7,MATCH(TRUE,INDEX($V589:$AW589&lt;&gt;0,),0)),IF(AY589=0,INDEX($AM$7:$AW$7,MATCH(1,$AM589:$AW589,0)),IF(BF589="Multiple strategies","mixed drivers",IF(BF589="Supply chain","multiple supply","multiple silviculture"))))</f>
        <v>mixed drivers</v>
      </c>
      <c r="BF589" s="2" t="str" cm="1">
        <f t="array" ref="BF589">IF(COUNTIF(AZ589:BB589,"&lt;&gt;0")=1,INDEX($V$4:$AW$4,MATCH(TRUE,INDEX($V589:$AW589&lt;&gt;0,),0)),IF(COUNTIF(AZ589:BB589,"&lt;&gt;0")=0,INDEX($AM$4:$AW$4,MATCH(1,$AM589:$AW589,0)),"Multiple strategies"))</f>
        <v>Multiple strategies</v>
      </c>
      <c r="BG589" s="142" t="s">
        <v>321</v>
      </c>
      <c r="BH589" s="160" t="s">
        <v>1456</v>
      </c>
      <c r="BI589" s="160" t="s">
        <v>1457</v>
      </c>
      <c r="BJ589" s="143" t="s">
        <v>498</v>
      </c>
      <c r="BK589" s="143">
        <v>944</v>
      </c>
      <c r="BL589" s="143">
        <v>4837</v>
      </c>
      <c r="BM589">
        <f t="shared" si="685"/>
        <v>180.13135593220338</v>
      </c>
      <c r="BN589">
        <f t="shared" si="663"/>
        <v>3893</v>
      </c>
      <c r="BO589" s="159">
        <f t="shared" si="687"/>
        <v>3893</v>
      </c>
      <c r="BP589" s="155" t="s">
        <v>232</v>
      </c>
      <c r="BQ589" s="155" t="s">
        <v>1458</v>
      </c>
      <c r="BR589" s="155" t="s">
        <v>825</v>
      </c>
      <c r="BS589" s="143" t="s">
        <v>1476</v>
      </c>
      <c r="BT589" t="s">
        <v>1521</v>
      </c>
      <c r="BU589" s="144">
        <f t="shared" si="688"/>
        <v>4.4271889586725566</v>
      </c>
      <c r="BV589">
        <f t="shared" si="664"/>
        <v>-0.36833713333333301</v>
      </c>
      <c r="BX589">
        <f t="shared" si="689"/>
        <v>-0.36833713333333301</v>
      </c>
      <c r="BY589">
        <f t="shared" si="654"/>
        <v>-9.4615241030910103E-5</v>
      </c>
      <c r="BZ589">
        <v>0</v>
      </c>
      <c r="CA589">
        <v>0</v>
      </c>
      <c r="CB589">
        <v>0</v>
      </c>
      <c r="CC589">
        <v>0</v>
      </c>
      <c r="CD589">
        <v>0</v>
      </c>
      <c r="CE589">
        <v>0</v>
      </c>
      <c r="CF589">
        <v>0</v>
      </c>
      <c r="CG589">
        <v>0</v>
      </c>
      <c r="CH589">
        <v>0</v>
      </c>
      <c r="CI589">
        <v>0</v>
      </c>
      <c r="CJ589">
        <v>0</v>
      </c>
      <c r="CK589">
        <v>0</v>
      </c>
      <c r="CL589">
        <v>0</v>
      </c>
      <c r="CM589">
        <v>0</v>
      </c>
      <c r="CN589" t="str">
        <f t="shared" si="665"/>
        <v>refOK</v>
      </c>
      <c r="CO589">
        <f t="shared" si="683"/>
        <v>944</v>
      </c>
      <c r="CP589">
        <f t="shared" si="684"/>
        <v>4837</v>
      </c>
      <c r="CQ589">
        <f t="shared" si="666"/>
        <v>3893</v>
      </c>
      <c r="CR589">
        <f t="shared" si="667"/>
        <v>-0.107475</v>
      </c>
      <c r="CS589">
        <f t="shared" si="668"/>
        <v>-0.475812133333333</v>
      </c>
      <c r="CT589">
        <f t="shared" si="669"/>
        <v>-0.36833713333333301</v>
      </c>
      <c r="CU589">
        <f t="shared" si="670"/>
        <v>-9.4615241030910103E-5</v>
      </c>
      <c r="CV589" s="2">
        <f t="shared" si="671"/>
        <v>-3.4271889586725566</v>
      </c>
      <c r="CW589" s="263" t="s">
        <v>1461</v>
      </c>
      <c r="CX589" s="264" t="str">
        <f t="shared" si="672"/>
        <v>reg</v>
      </c>
      <c r="CY589" s="270" t="s">
        <v>743</v>
      </c>
      <c r="DA589" s="143"/>
      <c r="DB589" s="143">
        <v>0</v>
      </c>
      <c r="DC589" t="str">
        <f t="shared" si="673"/>
        <v>0</v>
      </c>
      <c r="DD589">
        <v>0</v>
      </c>
      <c r="DE589">
        <v>1</v>
      </c>
      <c r="DF589">
        <v>0</v>
      </c>
      <c r="DG589">
        <v>0</v>
      </c>
      <c r="DH589">
        <v>0</v>
      </c>
      <c r="DI589">
        <f t="shared" si="690"/>
        <v>1</v>
      </c>
      <c r="DJ589" t="str">
        <f t="shared" si="674"/>
        <v>EnergyInput</v>
      </c>
      <c r="DK589">
        <f t="shared" si="675"/>
        <v>0</v>
      </c>
      <c r="DL589" t="str">
        <f t="shared" si="676"/>
        <v>Energy</v>
      </c>
      <c r="DM589">
        <f t="shared" si="677"/>
        <v>0</v>
      </c>
      <c r="DN589">
        <f t="shared" si="678"/>
        <v>0</v>
      </c>
      <c r="DO589">
        <v>0</v>
      </c>
      <c r="DP589" s="143">
        <v>0</v>
      </c>
      <c r="DQ589" s="143">
        <v>0</v>
      </c>
      <c r="DR589">
        <v>0</v>
      </c>
      <c r="DS589" s="143">
        <v>0</v>
      </c>
      <c r="DT589">
        <f t="shared" si="679"/>
        <v>0</v>
      </c>
      <c r="DU589" s="143" t="str">
        <f t="shared" si="680"/>
        <v>explicit C balance</v>
      </c>
      <c r="DV589" s="143">
        <v>0</v>
      </c>
      <c r="DW589" s="143">
        <v>0</v>
      </c>
      <c r="DX589" s="143">
        <v>0</v>
      </c>
      <c r="DY589" s="143">
        <v>0</v>
      </c>
      <c r="DZ589">
        <v>0</v>
      </c>
      <c r="EA589" s="143">
        <v>0</v>
      </c>
      <c r="EB589" s="143">
        <v>1</v>
      </c>
      <c r="EC589" s="143">
        <v>0</v>
      </c>
      <c r="ED589" s="143">
        <v>0</v>
      </c>
      <c r="EE589">
        <v>0</v>
      </c>
      <c r="EF589">
        <v>0</v>
      </c>
      <c r="EG589" s="143">
        <v>0</v>
      </c>
      <c r="EH589" s="143">
        <v>0</v>
      </c>
      <c r="EI589" s="2">
        <v>0</v>
      </c>
      <c r="EK589" t="str">
        <f t="shared" si="681"/>
        <v/>
      </c>
      <c r="EL589" t="str">
        <f t="shared" si="682"/>
        <v/>
      </c>
      <c r="EM589" s="2" t="str">
        <f t="shared" si="655"/>
        <v/>
      </c>
      <c r="EP589" t="str">
        <f>IF(ISNUMBER(BU589),IF(ABS(BU589-[4]QC_indicators!$B$2)&gt;3*[4]QC_indicators!$C$2,"C ratio",IF(ISNUMBER(BY589),IF(ABS(BY589-[4]QC_indicators!$B$1)&gt;3*[4]QC_indicators!$C$1,"DF","no"))),IF(ISNUMBER(BY589),IF(ABS(BY589-[4]QC_indicators!$B$1)&gt;3*[4]QC_indicators!$C$1,"DF","no")))</f>
        <v>no</v>
      </c>
      <c r="ER589" s="149"/>
      <c r="ET589" s="264" t="s">
        <v>3406</v>
      </c>
    </row>
    <row r="590" spans="1:150" ht="15" hidden="1" customHeight="1">
      <c r="A590" s="1" t="s">
        <v>587</v>
      </c>
      <c r="B590" t="s">
        <v>1447</v>
      </c>
      <c r="C590" t="s">
        <v>1448</v>
      </c>
      <c r="D590" t="s">
        <v>1449</v>
      </c>
      <c r="E590" t="s">
        <v>1450</v>
      </c>
      <c r="F590" t="s">
        <v>1451</v>
      </c>
      <c r="G590" t="s">
        <v>593</v>
      </c>
      <c r="H590" t="s">
        <v>254</v>
      </c>
      <c r="I590">
        <v>2020</v>
      </c>
      <c r="J590">
        <v>12</v>
      </c>
      <c r="K590" t="s">
        <v>1452</v>
      </c>
      <c r="M590" t="str">
        <f t="shared" si="686"/>
        <v>Elisa_2020</v>
      </c>
      <c r="N590" s="264" t="s">
        <v>222</v>
      </c>
      <c r="O590" s="171" t="s">
        <v>274</v>
      </c>
      <c r="P590" t="s">
        <v>223</v>
      </c>
      <c r="Q590" s="264" t="s">
        <v>389</v>
      </c>
      <c r="R590" s="269" t="s">
        <v>1153</v>
      </c>
      <c r="S590" s="154" t="s">
        <v>1453</v>
      </c>
      <c r="T590" s="294" t="s">
        <v>1454</v>
      </c>
      <c r="U590" s="143" t="s">
        <v>1502</v>
      </c>
      <c r="V590">
        <v>0</v>
      </c>
      <c r="W590">
        <v>0</v>
      </c>
      <c r="X590">
        <v>0</v>
      </c>
      <c r="Y590">
        <v>0</v>
      </c>
      <c r="Z590">
        <v>0</v>
      </c>
      <c r="AA590">
        <v>0</v>
      </c>
      <c r="AB590">
        <v>0</v>
      </c>
      <c r="AC590">
        <v>0</v>
      </c>
      <c r="AD590">
        <v>0</v>
      </c>
      <c r="AE590">
        <v>1</v>
      </c>
      <c r="AF590">
        <v>0</v>
      </c>
      <c r="AG590">
        <v>0</v>
      </c>
      <c r="AH590">
        <v>0</v>
      </c>
      <c r="AI590">
        <v>0</v>
      </c>
      <c r="AJ590">
        <v>0</v>
      </c>
      <c r="AK590">
        <v>1</v>
      </c>
      <c r="AL590">
        <v>0</v>
      </c>
      <c r="AM590">
        <v>0</v>
      </c>
      <c r="AN590">
        <v>0</v>
      </c>
      <c r="AO590">
        <v>0</v>
      </c>
      <c r="AP590">
        <v>0</v>
      </c>
      <c r="AQ590">
        <v>0</v>
      </c>
      <c r="AR590">
        <v>0</v>
      </c>
      <c r="AS590">
        <v>0</v>
      </c>
      <c r="AT590">
        <v>0</v>
      </c>
      <c r="AU590">
        <v>0</v>
      </c>
      <c r="AV590">
        <v>0</v>
      </c>
      <c r="AW590">
        <v>0</v>
      </c>
      <c r="AX590" s="141">
        <f t="shared" si="656"/>
        <v>2</v>
      </c>
      <c r="AY590" s="141">
        <f t="shared" si="657"/>
        <v>2</v>
      </c>
      <c r="AZ590">
        <f t="shared" si="658"/>
        <v>0</v>
      </c>
      <c r="BA590">
        <f t="shared" si="659"/>
        <v>1</v>
      </c>
      <c r="BB590">
        <f t="shared" si="660"/>
        <v>1</v>
      </c>
      <c r="BC590">
        <f t="shared" si="661"/>
        <v>0</v>
      </c>
      <c r="BD590">
        <f t="shared" si="662"/>
        <v>0</v>
      </c>
      <c r="BE590" t="str" cm="1">
        <f t="array" ref="BE590">IF(AY590=1,INDEX($V$7:$AL$7,MATCH(TRUE,INDEX($V590:$AW590&lt;&gt;0,),0)),IF(AY590=0,INDEX($AM$7:$AW$7,MATCH(1,$AM590:$AW590,0)),IF(BF590="Multiple strategies","mixed drivers",IF(BF590="Supply chain","multiple supply","multiple silviculture"))))</f>
        <v>mixed drivers</v>
      </c>
      <c r="BF590" s="2" t="str" cm="1">
        <f t="array" ref="BF590">IF(COUNTIF(AZ590:BB590,"&lt;&gt;0")=1,INDEX($V$4:$AW$4,MATCH(TRUE,INDEX($V590:$AW590&lt;&gt;0,),0)),IF(COUNTIF(AZ590:BB590,"&lt;&gt;0")=0,INDEX($AM$4:$AW$4,MATCH(1,$AM590:$AW590,0)),"Multiple strategies"))</f>
        <v>Multiple strategies</v>
      </c>
      <c r="BG590" s="142" t="s">
        <v>321</v>
      </c>
      <c r="BH590" s="160" t="s">
        <v>1456</v>
      </c>
      <c r="BI590" s="160" t="s">
        <v>1457</v>
      </c>
      <c r="BJ590" s="143" t="s">
        <v>498</v>
      </c>
      <c r="BK590" s="143">
        <v>944</v>
      </c>
      <c r="BL590" s="143">
        <v>170044</v>
      </c>
      <c r="BM590">
        <f t="shared" si="685"/>
        <v>143.7415254237288</v>
      </c>
      <c r="BN590">
        <f t="shared" si="663"/>
        <v>169100</v>
      </c>
      <c r="BO590" s="159">
        <f t="shared" si="687"/>
        <v>169100</v>
      </c>
      <c r="BP590" s="155" t="s">
        <v>232</v>
      </c>
      <c r="BQ590" s="155" t="s">
        <v>1458</v>
      </c>
      <c r="BR590" s="155" t="s">
        <v>825</v>
      </c>
      <c r="BS590" s="143" t="s">
        <v>1476</v>
      </c>
      <c r="BT590" t="s">
        <v>1522</v>
      </c>
      <c r="BU590" s="144">
        <f t="shared" si="688"/>
        <v>102.3482463622033</v>
      </c>
      <c r="BV590">
        <f t="shared" si="664"/>
        <v>-10.892402777777798</v>
      </c>
      <c r="BX590">
        <f t="shared" si="689"/>
        <v>-10.892402777777798</v>
      </c>
      <c r="BY590">
        <f t="shared" si="654"/>
        <v>-6.441397266574689E-5</v>
      </c>
      <c r="BZ590">
        <v>0</v>
      </c>
      <c r="CA590">
        <v>0</v>
      </c>
      <c r="CB590">
        <v>0</v>
      </c>
      <c r="CC590">
        <v>0</v>
      </c>
      <c r="CD590">
        <v>0</v>
      </c>
      <c r="CE590">
        <v>0</v>
      </c>
      <c r="CF590">
        <v>0</v>
      </c>
      <c r="CG590">
        <v>0</v>
      </c>
      <c r="CH590">
        <v>0</v>
      </c>
      <c r="CI590">
        <v>0</v>
      </c>
      <c r="CJ590">
        <v>0</v>
      </c>
      <c r="CK590">
        <v>0</v>
      </c>
      <c r="CL590">
        <v>0</v>
      </c>
      <c r="CM590">
        <v>0</v>
      </c>
      <c r="CN590" t="str">
        <f t="shared" si="665"/>
        <v>refOK</v>
      </c>
      <c r="CO590">
        <f t="shared" si="683"/>
        <v>944</v>
      </c>
      <c r="CP590">
        <f t="shared" si="684"/>
        <v>170044</v>
      </c>
      <c r="CQ590">
        <f t="shared" si="666"/>
        <v>169100</v>
      </c>
      <c r="CR590">
        <f t="shared" si="667"/>
        <v>-0.107475</v>
      </c>
      <c r="CS590">
        <f t="shared" si="668"/>
        <v>-10.999877777777799</v>
      </c>
      <c r="CT590">
        <f t="shared" si="669"/>
        <v>-10.892402777777798</v>
      </c>
      <c r="CU590">
        <f t="shared" si="670"/>
        <v>-6.441397266574689E-5</v>
      </c>
      <c r="CV590" s="2">
        <f t="shared" si="671"/>
        <v>-101.34824636220328</v>
      </c>
      <c r="CW590" s="263" t="s">
        <v>1461</v>
      </c>
      <c r="CX590" s="264" t="str">
        <f t="shared" si="672"/>
        <v>reg</v>
      </c>
      <c r="CY590" s="270" t="s">
        <v>743</v>
      </c>
      <c r="DA590" s="143"/>
      <c r="DB590" s="143">
        <v>0</v>
      </c>
      <c r="DC590" t="str">
        <f t="shared" si="673"/>
        <v>0</v>
      </c>
      <c r="DD590">
        <v>0</v>
      </c>
      <c r="DE590">
        <v>1</v>
      </c>
      <c r="DF590">
        <v>0</v>
      </c>
      <c r="DG590">
        <v>0</v>
      </c>
      <c r="DH590">
        <v>0</v>
      </c>
      <c r="DI590">
        <f t="shared" si="690"/>
        <v>1</v>
      </c>
      <c r="DJ590" t="str">
        <f t="shared" si="674"/>
        <v>EnergyInput</v>
      </c>
      <c r="DK590">
        <f t="shared" si="675"/>
        <v>0</v>
      </c>
      <c r="DL590" t="str">
        <f t="shared" si="676"/>
        <v>Energy</v>
      </c>
      <c r="DM590">
        <f t="shared" si="677"/>
        <v>0</v>
      </c>
      <c r="DN590">
        <f t="shared" si="678"/>
        <v>0</v>
      </c>
      <c r="DO590">
        <v>0</v>
      </c>
      <c r="DP590" s="143">
        <v>0</v>
      </c>
      <c r="DQ590" s="143">
        <v>0</v>
      </c>
      <c r="DR590">
        <v>0</v>
      </c>
      <c r="DS590" s="143">
        <v>0</v>
      </c>
      <c r="DT590">
        <f t="shared" si="679"/>
        <v>0</v>
      </c>
      <c r="DU590" s="143" t="str">
        <f t="shared" si="680"/>
        <v>explicit C balance</v>
      </c>
      <c r="DV590" s="143">
        <v>0</v>
      </c>
      <c r="DW590" s="143">
        <v>0</v>
      </c>
      <c r="DX590" s="143">
        <v>0</v>
      </c>
      <c r="DY590" s="143">
        <v>0</v>
      </c>
      <c r="DZ590">
        <v>0</v>
      </c>
      <c r="EA590" s="143">
        <v>0</v>
      </c>
      <c r="EB590" s="143">
        <v>1</v>
      </c>
      <c r="EC590" s="143">
        <v>0</v>
      </c>
      <c r="ED590" s="143">
        <v>0</v>
      </c>
      <c r="EE590">
        <v>0</v>
      </c>
      <c r="EF590">
        <v>0</v>
      </c>
      <c r="EG590" s="143">
        <v>0</v>
      </c>
      <c r="EH590" s="143">
        <v>0</v>
      </c>
      <c r="EI590" s="2">
        <v>0</v>
      </c>
      <c r="EK590" t="str">
        <f t="shared" si="681"/>
        <v/>
      </c>
      <c r="EL590" t="str">
        <f t="shared" si="682"/>
        <v/>
      </c>
      <c r="EM590" s="2" t="str">
        <f t="shared" si="655"/>
        <v/>
      </c>
      <c r="EP590" t="str">
        <f>IF(ISNUMBER(BU590),IF(ABS(BU590-[4]QC_indicators!$B$2)&gt;3*[4]QC_indicators!$C$2,"C ratio",IF(ISNUMBER(BY590),IF(ABS(BY590-[4]QC_indicators!$B$1)&gt;3*[4]QC_indicators!$C$1,"DF","no"))),IF(ISNUMBER(BY590),IF(ABS(BY590-[4]QC_indicators!$B$1)&gt;3*[4]QC_indicators!$C$1,"DF","no")))</f>
        <v>C ratio</v>
      </c>
      <c r="ER590" s="149"/>
      <c r="ET590" s="264" t="s">
        <v>3406</v>
      </c>
    </row>
    <row r="591" spans="1:150" ht="15" hidden="1" customHeight="1">
      <c r="A591" s="1" t="s">
        <v>587</v>
      </c>
      <c r="B591" t="s">
        <v>1447</v>
      </c>
      <c r="C591" t="s">
        <v>1448</v>
      </c>
      <c r="D591" t="s">
        <v>1449</v>
      </c>
      <c r="E591" t="s">
        <v>1450</v>
      </c>
      <c r="F591" t="s">
        <v>1451</v>
      </c>
      <c r="G591" t="s">
        <v>593</v>
      </c>
      <c r="H591" t="s">
        <v>254</v>
      </c>
      <c r="I591">
        <v>2020</v>
      </c>
      <c r="J591">
        <v>12</v>
      </c>
      <c r="K591" t="s">
        <v>1452</v>
      </c>
      <c r="M591" t="str">
        <f t="shared" si="686"/>
        <v>Elisa_2020</v>
      </c>
      <c r="N591" s="264" t="s">
        <v>222</v>
      </c>
      <c r="O591" s="171" t="s">
        <v>274</v>
      </c>
      <c r="P591" t="s">
        <v>223</v>
      </c>
      <c r="Q591" s="264" t="s">
        <v>389</v>
      </c>
      <c r="R591" s="269" t="s">
        <v>1153</v>
      </c>
      <c r="S591" s="154" t="s">
        <v>1453</v>
      </c>
      <c r="T591" s="294" t="s">
        <v>1454</v>
      </c>
      <c r="U591" s="143" t="s">
        <v>1499</v>
      </c>
      <c r="V591">
        <v>0</v>
      </c>
      <c r="W591">
        <v>0</v>
      </c>
      <c r="X591">
        <v>0</v>
      </c>
      <c r="Y591">
        <v>0</v>
      </c>
      <c r="Z591">
        <v>0</v>
      </c>
      <c r="AA591">
        <v>0</v>
      </c>
      <c r="AB591">
        <v>0</v>
      </c>
      <c r="AC591">
        <v>0</v>
      </c>
      <c r="AD591">
        <v>0</v>
      </c>
      <c r="AE591">
        <v>1</v>
      </c>
      <c r="AF591">
        <v>0</v>
      </c>
      <c r="AG591">
        <v>0</v>
      </c>
      <c r="AH591">
        <v>0</v>
      </c>
      <c r="AI591">
        <v>0</v>
      </c>
      <c r="AJ591">
        <v>0</v>
      </c>
      <c r="AK591">
        <v>1</v>
      </c>
      <c r="AL591">
        <v>0</v>
      </c>
      <c r="AM591">
        <v>0</v>
      </c>
      <c r="AN591">
        <v>0</v>
      </c>
      <c r="AO591">
        <v>0</v>
      </c>
      <c r="AP591">
        <v>0</v>
      </c>
      <c r="AQ591">
        <v>0</v>
      </c>
      <c r="AR591">
        <v>0</v>
      </c>
      <c r="AS591">
        <v>0</v>
      </c>
      <c r="AT591">
        <v>0</v>
      </c>
      <c r="AU591">
        <v>0</v>
      </c>
      <c r="AV591">
        <v>0</v>
      </c>
      <c r="AW591">
        <v>0</v>
      </c>
      <c r="AX591" s="141">
        <f t="shared" si="656"/>
        <v>2</v>
      </c>
      <c r="AY591" s="141">
        <f t="shared" si="657"/>
        <v>2</v>
      </c>
      <c r="AZ591">
        <f t="shared" si="658"/>
        <v>0</v>
      </c>
      <c r="BA591">
        <f t="shared" si="659"/>
        <v>1</v>
      </c>
      <c r="BB591">
        <f t="shared" si="660"/>
        <v>1</v>
      </c>
      <c r="BC591">
        <f t="shared" si="661"/>
        <v>0</v>
      </c>
      <c r="BD591">
        <f t="shared" si="662"/>
        <v>0</v>
      </c>
      <c r="BE591" t="str" cm="1">
        <f t="array" ref="BE591">IF(AY591=1,INDEX($V$7:$AL$7,MATCH(TRUE,INDEX($V591:$AW591&lt;&gt;0,),0)),IF(AY591=0,INDEX($AM$7:$AW$7,MATCH(1,$AM591:$AW591,0)),IF(BF591="Multiple strategies","mixed drivers",IF(BF591="Supply chain","multiple supply","multiple silviculture"))))</f>
        <v>mixed drivers</v>
      </c>
      <c r="BF591" s="2" t="str" cm="1">
        <f t="array" ref="BF591">IF(COUNTIF(AZ591:BB591,"&lt;&gt;0")=1,INDEX($V$4:$AW$4,MATCH(TRUE,INDEX($V591:$AW591&lt;&gt;0,),0)),IF(COUNTIF(AZ591:BB591,"&lt;&gt;0")=0,INDEX($AM$4:$AW$4,MATCH(1,$AM591:$AW591,0)),"Multiple strategies"))</f>
        <v>Multiple strategies</v>
      </c>
      <c r="BG591" s="142" t="s">
        <v>321</v>
      </c>
      <c r="BH591" s="160" t="s">
        <v>1456</v>
      </c>
      <c r="BI591" s="160" t="s">
        <v>1457</v>
      </c>
      <c r="BJ591" s="143" t="s">
        <v>498</v>
      </c>
      <c r="BK591" s="143">
        <v>944</v>
      </c>
      <c r="BL591" s="143">
        <v>135692</v>
      </c>
      <c r="BM591">
        <f>IFERROR(BL593/BK591,"")</f>
        <v>2.6483050847457625</v>
      </c>
      <c r="BN591">
        <f t="shared" si="663"/>
        <v>134748</v>
      </c>
      <c r="BO591" s="159">
        <f t="shared" si="687"/>
        <v>134748</v>
      </c>
      <c r="BP591" s="155" t="s">
        <v>232</v>
      </c>
      <c r="BQ591" s="155" t="s">
        <v>1458</v>
      </c>
      <c r="BR591" s="155" t="s">
        <v>825</v>
      </c>
      <c r="BS591" s="143" t="s">
        <v>1476</v>
      </c>
      <c r="BT591" t="s">
        <v>1523</v>
      </c>
      <c r="BU591" s="144">
        <f t="shared" si="688"/>
        <v>71.598046057222618</v>
      </c>
      <c r="BV591">
        <f t="shared" si="664"/>
        <v>-7.5875250000000003</v>
      </c>
      <c r="BX591">
        <f t="shared" si="689"/>
        <v>-7.5875250000000003</v>
      </c>
      <c r="BY591">
        <f t="shared" si="654"/>
        <v>-5.6308999020393629E-5</v>
      </c>
      <c r="BZ591">
        <v>0</v>
      </c>
      <c r="CA591">
        <v>0</v>
      </c>
      <c r="CB591">
        <v>0</v>
      </c>
      <c r="CC591">
        <v>0</v>
      </c>
      <c r="CD591">
        <v>0</v>
      </c>
      <c r="CE591">
        <v>0</v>
      </c>
      <c r="CF591">
        <v>0</v>
      </c>
      <c r="CG591">
        <v>0</v>
      </c>
      <c r="CH591">
        <v>0</v>
      </c>
      <c r="CI591">
        <v>0</v>
      </c>
      <c r="CJ591">
        <v>0</v>
      </c>
      <c r="CK591">
        <v>0</v>
      </c>
      <c r="CL591">
        <v>0</v>
      </c>
      <c r="CM591">
        <v>0</v>
      </c>
      <c r="CN591" t="str">
        <f t="shared" si="665"/>
        <v>refOK</v>
      </c>
      <c r="CO591">
        <f t="shared" si="683"/>
        <v>944</v>
      </c>
      <c r="CP591">
        <f t="shared" si="684"/>
        <v>135692</v>
      </c>
      <c r="CQ591">
        <f t="shared" si="666"/>
        <v>134748</v>
      </c>
      <c r="CR591">
        <f t="shared" si="667"/>
        <v>-0.107475</v>
      </c>
      <c r="CS591">
        <f t="shared" si="668"/>
        <v>-7.6950000000000003</v>
      </c>
      <c r="CT591">
        <f t="shared" si="669"/>
        <v>-7.5875250000000003</v>
      </c>
      <c r="CU591">
        <f t="shared" si="670"/>
        <v>-5.6308999020393629E-5</v>
      </c>
      <c r="CV591" s="2">
        <f t="shared" si="671"/>
        <v>-70.598046057222618</v>
      </c>
      <c r="CW591" s="263" t="s">
        <v>1461</v>
      </c>
      <c r="CX591" s="264" t="str">
        <f t="shared" si="672"/>
        <v>reg</v>
      </c>
      <c r="CY591" s="270" t="s">
        <v>743</v>
      </c>
      <c r="DA591" s="143"/>
      <c r="DB591" s="143">
        <v>0</v>
      </c>
      <c r="DC591" t="str">
        <f t="shared" si="673"/>
        <v>0</v>
      </c>
      <c r="DD591">
        <v>0</v>
      </c>
      <c r="DE591">
        <v>1</v>
      </c>
      <c r="DF591">
        <v>0</v>
      </c>
      <c r="DG591">
        <v>0</v>
      </c>
      <c r="DH591">
        <v>0</v>
      </c>
      <c r="DI591">
        <f t="shared" si="690"/>
        <v>1</v>
      </c>
      <c r="DJ591" t="str">
        <f t="shared" si="674"/>
        <v>EnergyInput</v>
      </c>
      <c r="DK591">
        <f t="shared" si="675"/>
        <v>0</v>
      </c>
      <c r="DL591" t="str">
        <f t="shared" si="676"/>
        <v>Energy</v>
      </c>
      <c r="DM591">
        <f t="shared" si="677"/>
        <v>0</v>
      </c>
      <c r="DN591">
        <f t="shared" si="678"/>
        <v>0</v>
      </c>
      <c r="DO591">
        <v>0</v>
      </c>
      <c r="DP591" s="143">
        <v>0</v>
      </c>
      <c r="DQ591" s="143">
        <v>0</v>
      </c>
      <c r="DR591">
        <v>0</v>
      </c>
      <c r="DS591" s="143">
        <v>0</v>
      </c>
      <c r="DT591">
        <f t="shared" si="679"/>
        <v>0</v>
      </c>
      <c r="DU591" s="143" t="str">
        <f t="shared" si="680"/>
        <v>explicit C balance</v>
      </c>
      <c r="DV591" s="143">
        <v>0</v>
      </c>
      <c r="DW591" s="143">
        <v>0</v>
      </c>
      <c r="DX591" s="143">
        <v>0</v>
      </c>
      <c r="DY591" s="143">
        <v>0</v>
      </c>
      <c r="DZ591">
        <v>0</v>
      </c>
      <c r="EA591" s="143">
        <v>0</v>
      </c>
      <c r="EB591" s="143">
        <v>1</v>
      </c>
      <c r="EC591" s="143">
        <v>0</v>
      </c>
      <c r="ED591" s="143">
        <v>0</v>
      </c>
      <c r="EE591">
        <v>0</v>
      </c>
      <c r="EF591">
        <v>0</v>
      </c>
      <c r="EG591" s="143">
        <v>0</v>
      </c>
      <c r="EH591" s="143">
        <v>0</v>
      </c>
      <c r="EI591" s="2">
        <v>0</v>
      </c>
      <c r="EK591" t="str">
        <f t="shared" si="681"/>
        <v/>
      </c>
      <c r="EL591" t="str">
        <f t="shared" si="682"/>
        <v/>
      </c>
      <c r="EM591" s="2" t="str">
        <f t="shared" si="655"/>
        <v/>
      </c>
      <c r="EP591" t="str">
        <f>IF(ISNUMBER(BU591),IF(ABS(BU591-[4]QC_indicators!$B$2)&gt;3*[4]QC_indicators!$C$2,"C ratio",IF(ISNUMBER(BY591),IF(ABS(BY591-[4]QC_indicators!$B$1)&gt;3*[4]QC_indicators!$C$1,"DF","no"))),IF(ISNUMBER(BY591),IF(ABS(BY591-[4]QC_indicators!$B$1)&gt;3*[4]QC_indicators!$C$1,"DF","no")))</f>
        <v>C ratio</v>
      </c>
      <c r="ER591" s="149"/>
      <c r="ET591" s="264" t="s">
        <v>3406</v>
      </c>
    </row>
    <row r="592" spans="1:150" ht="15" hidden="1" customHeight="1">
      <c r="A592" s="1" t="s">
        <v>587</v>
      </c>
      <c r="B592" t="s">
        <v>1447</v>
      </c>
      <c r="C592" t="s">
        <v>1448</v>
      </c>
      <c r="D592" t="s">
        <v>1449</v>
      </c>
      <c r="E592" t="s">
        <v>1450</v>
      </c>
      <c r="F592" t="s">
        <v>1451</v>
      </c>
      <c r="G592" t="s">
        <v>593</v>
      </c>
      <c r="H592" t="s">
        <v>254</v>
      </c>
      <c r="I592">
        <v>2020</v>
      </c>
      <c r="J592">
        <v>12</v>
      </c>
      <c r="K592" t="s">
        <v>1452</v>
      </c>
      <c r="M592" t="str">
        <f t="shared" si="686"/>
        <v>Elisa_2020</v>
      </c>
      <c r="N592" s="264" t="s">
        <v>222</v>
      </c>
      <c r="O592" s="171" t="s">
        <v>274</v>
      </c>
      <c r="P592" t="s">
        <v>223</v>
      </c>
      <c r="Q592" s="264" t="s">
        <v>389</v>
      </c>
      <c r="R592" s="269" t="s">
        <v>1153</v>
      </c>
      <c r="S592" s="154" t="s">
        <v>1453</v>
      </c>
      <c r="T592" s="294" t="s">
        <v>1454</v>
      </c>
      <c r="U592" s="143" t="s">
        <v>1504</v>
      </c>
      <c r="V592">
        <v>0</v>
      </c>
      <c r="W592">
        <v>0</v>
      </c>
      <c r="X592">
        <v>0</v>
      </c>
      <c r="Y592">
        <v>0</v>
      </c>
      <c r="Z592">
        <v>0</v>
      </c>
      <c r="AA592">
        <v>0</v>
      </c>
      <c r="AB592">
        <v>0</v>
      </c>
      <c r="AC592">
        <v>0</v>
      </c>
      <c r="AD592">
        <v>0</v>
      </c>
      <c r="AE592">
        <v>1</v>
      </c>
      <c r="AF592">
        <v>0</v>
      </c>
      <c r="AG592">
        <v>0</v>
      </c>
      <c r="AH592">
        <v>0</v>
      </c>
      <c r="AI592">
        <v>0</v>
      </c>
      <c r="AJ592">
        <v>0</v>
      </c>
      <c r="AK592">
        <v>1</v>
      </c>
      <c r="AL592">
        <v>0</v>
      </c>
      <c r="AM592">
        <v>0</v>
      </c>
      <c r="AN592">
        <v>0</v>
      </c>
      <c r="AO592">
        <v>0</v>
      </c>
      <c r="AP592">
        <v>0</v>
      </c>
      <c r="AQ592">
        <v>0</v>
      </c>
      <c r="AR592">
        <v>0</v>
      </c>
      <c r="AS592">
        <v>0</v>
      </c>
      <c r="AT592">
        <v>0</v>
      </c>
      <c r="AU592">
        <v>0</v>
      </c>
      <c r="AV592">
        <v>0</v>
      </c>
      <c r="AW592">
        <v>0</v>
      </c>
      <c r="AX592" s="141">
        <f t="shared" si="656"/>
        <v>2</v>
      </c>
      <c r="AY592" s="141">
        <f t="shared" si="657"/>
        <v>2</v>
      </c>
      <c r="AZ592">
        <f t="shared" si="658"/>
        <v>0</v>
      </c>
      <c r="BA592">
        <f t="shared" si="659"/>
        <v>1</v>
      </c>
      <c r="BB592">
        <f t="shared" si="660"/>
        <v>1</v>
      </c>
      <c r="BC592">
        <f t="shared" si="661"/>
        <v>0</v>
      </c>
      <c r="BD592">
        <f t="shared" si="662"/>
        <v>0</v>
      </c>
      <c r="BE592" t="str" cm="1">
        <f t="array" ref="BE592">IF(AY592=1,INDEX($V$7:$AL$7,MATCH(TRUE,INDEX($V592:$AW592&lt;&gt;0,),0)),IF(AY592=0,INDEX($AM$7:$AW$7,MATCH(1,$AM592:$AW592,0)),IF(BF592="Multiple strategies","mixed drivers",IF(BF592="Supply chain","multiple supply","multiple silviculture"))))</f>
        <v>mixed drivers</v>
      </c>
      <c r="BF592" s="2" t="str" cm="1">
        <f t="array" ref="BF592">IF(COUNTIF(AZ592:BB592,"&lt;&gt;0")=1,INDEX($V$4:$AW$4,MATCH(TRUE,INDEX($V592:$AW592&lt;&gt;0,),0)),IF(COUNTIF(AZ592:BB592,"&lt;&gt;0")=0,INDEX($AM$4:$AW$4,MATCH(1,$AM592:$AW592,0)),"Multiple strategies"))</f>
        <v>Multiple strategies</v>
      </c>
      <c r="BG592" s="142" t="s">
        <v>321</v>
      </c>
      <c r="BH592" s="160" t="s">
        <v>1456</v>
      </c>
      <c r="BI592" s="160" t="s">
        <v>1457</v>
      </c>
      <c r="BJ592" s="143" t="s">
        <v>498</v>
      </c>
      <c r="BK592" s="143">
        <v>944</v>
      </c>
      <c r="BL592" s="143">
        <v>106341</v>
      </c>
      <c r="BM592">
        <f>IFERROR(BL593/BK592,"")</f>
        <v>2.6483050847457625</v>
      </c>
      <c r="BN592">
        <f t="shared" si="663"/>
        <v>105397</v>
      </c>
      <c r="BO592" s="159">
        <f t="shared" si="687"/>
        <v>105397</v>
      </c>
      <c r="BP592" s="155" t="s">
        <v>232</v>
      </c>
      <c r="BQ592" s="155" t="s">
        <v>1458</v>
      </c>
      <c r="BR592" s="155" t="s">
        <v>825</v>
      </c>
      <c r="BS592" s="143" t="s">
        <v>1476</v>
      </c>
      <c r="BT592" t="s">
        <v>1524</v>
      </c>
      <c r="BU592" s="144">
        <f t="shared" si="688"/>
        <v>46.240355689953759</v>
      </c>
      <c r="BV592">
        <f t="shared" si="664"/>
        <v>-4.8622072277777804</v>
      </c>
      <c r="BX592">
        <f t="shared" si="689"/>
        <v>-4.8622072277777804</v>
      </c>
      <c r="BY592">
        <f t="shared" si="654"/>
        <v>-4.6132311429905788E-5</v>
      </c>
      <c r="BZ592">
        <v>0</v>
      </c>
      <c r="CA592">
        <v>0</v>
      </c>
      <c r="CB592">
        <v>0</v>
      </c>
      <c r="CC592">
        <v>0</v>
      </c>
      <c r="CD592">
        <v>0</v>
      </c>
      <c r="CE592">
        <v>0</v>
      </c>
      <c r="CF592">
        <v>0</v>
      </c>
      <c r="CG592">
        <v>0</v>
      </c>
      <c r="CH592">
        <v>0</v>
      </c>
      <c r="CI592">
        <v>0</v>
      </c>
      <c r="CJ592">
        <v>0</v>
      </c>
      <c r="CK592">
        <v>0</v>
      </c>
      <c r="CL592">
        <v>0</v>
      </c>
      <c r="CM592">
        <v>0</v>
      </c>
      <c r="CN592" t="str">
        <f t="shared" si="665"/>
        <v>refOK</v>
      </c>
      <c r="CO592">
        <f t="shared" si="683"/>
        <v>944</v>
      </c>
      <c r="CP592">
        <f t="shared" si="684"/>
        <v>106341</v>
      </c>
      <c r="CQ592">
        <f t="shared" si="666"/>
        <v>105397</v>
      </c>
      <c r="CR592">
        <f t="shared" si="667"/>
        <v>-0.107475</v>
      </c>
      <c r="CS592">
        <f t="shared" si="668"/>
        <v>-4.9696822277777803</v>
      </c>
      <c r="CT592">
        <f t="shared" si="669"/>
        <v>-4.8622072277777804</v>
      </c>
      <c r="CU592">
        <f t="shared" si="670"/>
        <v>-4.6132311429905788E-5</v>
      </c>
      <c r="CV592" s="2">
        <f t="shared" si="671"/>
        <v>-45.240355689953759</v>
      </c>
      <c r="CW592" s="263" t="s">
        <v>1461</v>
      </c>
      <c r="CX592" s="264" t="str">
        <f t="shared" si="672"/>
        <v>reg</v>
      </c>
      <c r="CY592" s="270" t="s">
        <v>743</v>
      </c>
      <c r="DA592" s="143"/>
      <c r="DB592" s="143">
        <v>0</v>
      </c>
      <c r="DC592" t="str">
        <f t="shared" si="673"/>
        <v>0</v>
      </c>
      <c r="DD592">
        <v>0</v>
      </c>
      <c r="DE592">
        <v>1</v>
      </c>
      <c r="DF592">
        <v>0</v>
      </c>
      <c r="DG592">
        <v>0</v>
      </c>
      <c r="DH592">
        <v>0</v>
      </c>
      <c r="DI592">
        <f t="shared" si="690"/>
        <v>1</v>
      </c>
      <c r="DJ592" t="str">
        <f t="shared" si="674"/>
        <v>EnergyInput</v>
      </c>
      <c r="DK592">
        <f t="shared" si="675"/>
        <v>0</v>
      </c>
      <c r="DL592" t="str">
        <f t="shared" si="676"/>
        <v>Energy</v>
      </c>
      <c r="DM592">
        <f t="shared" si="677"/>
        <v>0</v>
      </c>
      <c r="DN592">
        <f t="shared" si="678"/>
        <v>0</v>
      </c>
      <c r="DO592">
        <v>0</v>
      </c>
      <c r="DP592" s="143">
        <v>0</v>
      </c>
      <c r="DQ592" s="143">
        <v>0</v>
      </c>
      <c r="DR592">
        <v>0</v>
      </c>
      <c r="DS592" s="143">
        <v>0</v>
      </c>
      <c r="DT592">
        <f t="shared" si="679"/>
        <v>0</v>
      </c>
      <c r="DU592" s="143" t="str">
        <f t="shared" si="680"/>
        <v>explicit C balance</v>
      </c>
      <c r="DV592" s="143">
        <v>0</v>
      </c>
      <c r="DW592" s="143">
        <v>0</v>
      </c>
      <c r="DX592" s="143">
        <v>0</v>
      </c>
      <c r="DY592" s="143">
        <v>0</v>
      </c>
      <c r="DZ592">
        <v>0</v>
      </c>
      <c r="EA592" s="143">
        <v>0</v>
      </c>
      <c r="EB592" s="143">
        <v>1</v>
      </c>
      <c r="EC592" s="143">
        <v>0</v>
      </c>
      <c r="ED592" s="143">
        <v>0</v>
      </c>
      <c r="EE592">
        <v>0</v>
      </c>
      <c r="EF592">
        <v>0</v>
      </c>
      <c r="EG592" s="143">
        <v>0</v>
      </c>
      <c r="EH592" s="143">
        <v>0</v>
      </c>
      <c r="EI592" s="2">
        <v>0</v>
      </c>
      <c r="EK592" t="str">
        <f t="shared" si="681"/>
        <v/>
      </c>
      <c r="EL592" t="str">
        <f t="shared" si="682"/>
        <v/>
      </c>
      <c r="EM592" s="2" t="str">
        <f t="shared" si="655"/>
        <v/>
      </c>
      <c r="EP592" t="str">
        <f>IF(ISNUMBER(BU592),IF(ABS(BU592-[4]QC_indicators!$B$2)&gt;3*[4]QC_indicators!$C$2,"C ratio",IF(ISNUMBER(BY592),IF(ABS(BY592-[4]QC_indicators!$B$1)&gt;3*[4]QC_indicators!$C$1,"DF","no"))),IF(ISNUMBER(BY592),IF(ABS(BY592-[4]QC_indicators!$B$1)&gt;3*[4]QC_indicators!$C$1,"DF","no")))</f>
        <v>no</v>
      </c>
      <c r="ER592" s="149"/>
      <c r="ET592" s="264" t="s">
        <v>3406</v>
      </c>
    </row>
    <row r="593" spans="1:150" ht="15" hidden="1" customHeight="1">
      <c r="A593" s="1" t="s">
        <v>587</v>
      </c>
      <c r="B593" t="s">
        <v>1447</v>
      </c>
      <c r="C593" t="s">
        <v>1448</v>
      </c>
      <c r="D593" t="s">
        <v>1449</v>
      </c>
      <c r="E593" t="s">
        <v>1450</v>
      </c>
      <c r="F593" t="s">
        <v>1451</v>
      </c>
      <c r="G593" t="s">
        <v>593</v>
      </c>
      <c r="H593" t="s">
        <v>254</v>
      </c>
      <c r="I593">
        <v>2020</v>
      </c>
      <c r="J593">
        <v>12</v>
      </c>
      <c r="K593" t="s">
        <v>1452</v>
      </c>
      <c r="M593" t="str">
        <f t="shared" si="686"/>
        <v>Elisa_2020</v>
      </c>
      <c r="N593" s="264" t="s">
        <v>222</v>
      </c>
      <c r="O593" s="171" t="s">
        <v>274</v>
      </c>
      <c r="P593" t="s">
        <v>223</v>
      </c>
      <c r="Q593" s="264" t="s">
        <v>389</v>
      </c>
      <c r="R593" s="269" t="s">
        <v>1153</v>
      </c>
      <c r="S593" s="154" t="s">
        <v>1453</v>
      </c>
      <c r="T593" s="294" t="s">
        <v>1454</v>
      </c>
      <c r="U593" s="143" t="s">
        <v>1512</v>
      </c>
      <c r="V593">
        <v>0</v>
      </c>
      <c r="W593">
        <v>0</v>
      </c>
      <c r="X593">
        <v>0</v>
      </c>
      <c r="Y593">
        <v>0</v>
      </c>
      <c r="Z593">
        <v>0</v>
      </c>
      <c r="AA593">
        <v>0</v>
      </c>
      <c r="AB593">
        <v>0</v>
      </c>
      <c r="AC593">
        <v>0</v>
      </c>
      <c r="AD593">
        <v>0</v>
      </c>
      <c r="AE593">
        <v>1</v>
      </c>
      <c r="AF593">
        <v>0</v>
      </c>
      <c r="AG593">
        <v>0</v>
      </c>
      <c r="AH593">
        <v>0</v>
      </c>
      <c r="AI593">
        <v>0</v>
      </c>
      <c r="AJ593">
        <v>0</v>
      </c>
      <c r="AK593">
        <v>1</v>
      </c>
      <c r="AL593">
        <v>0</v>
      </c>
      <c r="AM593">
        <v>0</v>
      </c>
      <c r="AN593">
        <v>0</v>
      </c>
      <c r="AO593">
        <v>0</v>
      </c>
      <c r="AP593">
        <v>0</v>
      </c>
      <c r="AQ593">
        <v>0</v>
      </c>
      <c r="AR593">
        <v>0</v>
      </c>
      <c r="AS593">
        <v>0</v>
      </c>
      <c r="AT593">
        <v>0</v>
      </c>
      <c r="AU593">
        <v>0</v>
      </c>
      <c r="AV593">
        <v>0</v>
      </c>
      <c r="AW593">
        <v>0</v>
      </c>
      <c r="AX593" s="141">
        <f t="shared" si="656"/>
        <v>2</v>
      </c>
      <c r="AY593" s="141">
        <f t="shared" si="657"/>
        <v>2</v>
      </c>
      <c r="AZ593">
        <f t="shared" si="658"/>
        <v>0</v>
      </c>
      <c r="BA593">
        <f t="shared" si="659"/>
        <v>1</v>
      </c>
      <c r="BB593">
        <f t="shared" si="660"/>
        <v>1</v>
      </c>
      <c r="BC593">
        <f t="shared" si="661"/>
        <v>0</v>
      </c>
      <c r="BD593">
        <f t="shared" si="662"/>
        <v>0</v>
      </c>
      <c r="BE593" t="str" cm="1">
        <f t="array" ref="BE593">IF(AY593=1,INDEX($V$7:$AL$7,MATCH(TRUE,INDEX($V593:$AW593&lt;&gt;0,),0)),IF(AY593=0,INDEX($AM$7:$AW$7,MATCH(1,$AM593:$AW593,0)),IF(BF593="Multiple strategies","mixed drivers",IF(BF593="Supply chain","multiple supply","multiple silviculture"))))</f>
        <v>mixed drivers</v>
      </c>
      <c r="BF593" s="2" t="str" cm="1">
        <f t="array" ref="BF593">IF(COUNTIF(AZ593:BB593,"&lt;&gt;0")=1,INDEX($V$4:$AW$4,MATCH(TRUE,INDEX($V593:$AW593&lt;&gt;0,),0)),IF(COUNTIF(AZ593:BB593,"&lt;&gt;0")=0,INDEX($AM$4:$AW$4,MATCH(1,$AM593:$AW593,0)),"Multiple strategies"))</f>
        <v>Multiple strategies</v>
      </c>
      <c r="BG593" s="142" t="s">
        <v>321</v>
      </c>
      <c r="BH593" s="160" t="s">
        <v>1456</v>
      </c>
      <c r="BI593" s="160" t="s">
        <v>1457</v>
      </c>
      <c r="BJ593" s="143" t="s">
        <v>498</v>
      </c>
      <c r="BK593" s="143">
        <v>944</v>
      </c>
      <c r="BL593" s="143">
        <v>2500</v>
      </c>
      <c r="BM593">
        <f>IFERROR(BL593/BK593,"")</f>
        <v>2.6483050847457625</v>
      </c>
      <c r="BN593">
        <f t="shared" si="663"/>
        <v>1556</v>
      </c>
      <c r="BO593" s="159">
        <f t="shared" si="687"/>
        <v>1556</v>
      </c>
      <c r="BP593" s="155" t="s">
        <v>232</v>
      </c>
      <c r="BQ593" s="155" t="s">
        <v>1458</v>
      </c>
      <c r="BR593" s="155" t="s">
        <v>825</v>
      </c>
      <c r="BS593" s="143" t="s">
        <v>1459</v>
      </c>
      <c r="BT593" t="s">
        <v>1525</v>
      </c>
      <c r="BU593" s="144">
        <f t="shared" si="688"/>
        <v>0.42034063977982705</v>
      </c>
      <c r="BV593">
        <f t="shared" si="664"/>
        <v>4.0681174999999996</v>
      </c>
      <c r="BX593">
        <f t="shared" si="689"/>
        <v>4.0681174999999996</v>
      </c>
      <c r="BY593">
        <f t="shared" si="654"/>
        <v>2.6144714010282776E-3</v>
      </c>
      <c r="BZ593">
        <v>0</v>
      </c>
      <c r="CA593">
        <v>0</v>
      </c>
      <c r="CB593">
        <v>0</v>
      </c>
      <c r="CC593">
        <v>0</v>
      </c>
      <c r="CD593">
        <v>0</v>
      </c>
      <c r="CE593">
        <v>0</v>
      </c>
      <c r="CF593">
        <v>0</v>
      </c>
      <c r="CG593">
        <v>0</v>
      </c>
      <c r="CH593">
        <v>0</v>
      </c>
      <c r="CI593">
        <v>0</v>
      </c>
      <c r="CJ593">
        <v>0</v>
      </c>
      <c r="CK593">
        <v>0</v>
      </c>
      <c r="CL593">
        <v>0</v>
      </c>
      <c r="CM593">
        <v>0</v>
      </c>
      <c r="CN593" t="str">
        <f t="shared" si="665"/>
        <v>refOK</v>
      </c>
      <c r="CO593">
        <f t="shared" si="683"/>
        <v>944</v>
      </c>
      <c r="CP593">
        <f t="shared" si="684"/>
        <v>2500</v>
      </c>
      <c r="CQ593">
        <f t="shared" si="666"/>
        <v>1556</v>
      </c>
      <c r="CR593">
        <f t="shared" si="667"/>
        <v>-7.0181174999999998</v>
      </c>
      <c r="CS593">
        <f t="shared" si="668"/>
        <v>-2.95</v>
      </c>
      <c r="CT593">
        <f t="shared" si="669"/>
        <v>4.0681174999999996</v>
      </c>
      <c r="CU593">
        <f t="shared" si="670"/>
        <v>2.6144714010282776E-3</v>
      </c>
      <c r="CV593" s="2">
        <f t="shared" si="671"/>
        <v>0.57965936022017295</v>
      </c>
      <c r="CW593" s="263" t="s">
        <v>1461</v>
      </c>
      <c r="CX593" s="264" t="str">
        <f t="shared" si="672"/>
        <v>reg</v>
      </c>
      <c r="CY593" s="270" t="s">
        <v>743</v>
      </c>
      <c r="DA593" s="143"/>
      <c r="DB593" s="143">
        <v>0</v>
      </c>
      <c r="DC593" t="str">
        <f t="shared" si="673"/>
        <v>0</v>
      </c>
      <c r="DD593">
        <v>0</v>
      </c>
      <c r="DE593">
        <v>1</v>
      </c>
      <c r="DF593">
        <v>0</v>
      </c>
      <c r="DG593">
        <v>0</v>
      </c>
      <c r="DH593">
        <v>0</v>
      </c>
      <c r="DI593">
        <f t="shared" si="690"/>
        <v>1</v>
      </c>
      <c r="DJ593" t="str">
        <f t="shared" si="674"/>
        <v>EnergyInput</v>
      </c>
      <c r="DK593">
        <f t="shared" si="675"/>
        <v>0</v>
      </c>
      <c r="DL593" t="str">
        <f t="shared" si="676"/>
        <v>Energy</v>
      </c>
      <c r="DM593">
        <f t="shared" si="677"/>
        <v>0</v>
      </c>
      <c r="DN593">
        <f t="shared" si="678"/>
        <v>0</v>
      </c>
      <c r="DO593">
        <v>0</v>
      </c>
      <c r="DP593" s="143">
        <v>0</v>
      </c>
      <c r="DQ593" s="143">
        <v>0</v>
      </c>
      <c r="DR593">
        <v>0</v>
      </c>
      <c r="DS593" s="143">
        <v>0</v>
      </c>
      <c r="DT593">
        <f t="shared" si="679"/>
        <v>0</v>
      </c>
      <c r="DU593" s="143" t="str">
        <f t="shared" si="680"/>
        <v>explicit C balance</v>
      </c>
      <c r="DV593" s="143">
        <v>0</v>
      </c>
      <c r="DW593" s="143">
        <v>0</v>
      </c>
      <c r="DX593" s="143">
        <v>0</v>
      </c>
      <c r="DY593" s="143">
        <v>0</v>
      </c>
      <c r="DZ593">
        <v>0</v>
      </c>
      <c r="EA593" s="143">
        <v>0</v>
      </c>
      <c r="EB593" s="143">
        <v>1</v>
      </c>
      <c r="EC593" s="143">
        <v>1</v>
      </c>
      <c r="ED593" s="143">
        <v>0</v>
      </c>
      <c r="EE593">
        <v>1</v>
      </c>
      <c r="EF593">
        <v>0</v>
      </c>
      <c r="EG593" s="143">
        <v>0</v>
      </c>
      <c r="EH593" s="143">
        <v>0</v>
      </c>
      <c r="EI593" s="2">
        <v>0</v>
      </c>
      <c r="EK593" t="str">
        <f t="shared" si="681"/>
        <v/>
      </c>
      <c r="EL593" t="str">
        <f t="shared" si="682"/>
        <v/>
      </c>
      <c r="EM593" s="2" t="str">
        <f t="shared" si="655"/>
        <v>Technology approach</v>
      </c>
      <c r="EP593" t="str">
        <f>IF(ISNUMBER(BU593),IF(ABS(BU593-[4]QC_indicators!$B$2)&gt;3*[4]QC_indicators!$C$2,"C ratio",IF(ISNUMBER(BY593),IF(ABS(BY593-[4]QC_indicators!$B$1)&gt;3*[4]QC_indicators!$C$1,"DF","no"))),IF(ISNUMBER(BY593),IF(ABS(BY593-[4]QC_indicators!$B$1)&gt;3*[4]QC_indicators!$C$1,"DF","no")))</f>
        <v>no</v>
      </c>
      <c r="ER593" s="149"/>
      <c r="ET593" s="264" t="s">
        <v>3406</v>
      </c>
    </row>
    <row r="594" spans="1:150" ht="15" hidden="1" customHeight="1">
      <c r="A594" s="1" t="s">
        <v>587</v>
      </c>
      <c r="B594" t="s">
        <v>1447</v>
      </c>
      <c r="C594" t="s">
        <v>1448</v>
      </c>
      <c r="D594" t="s">
        <v>1449</v>
      </c>
      <c r="E594" t="s">
        <v>1450</v>
      </c>
      <c r="F594" t="s">
        <v>1451</v>
      </c>
      <c r="G594" t="s">
        <v>593</v>
      </c>
      <c r="H594" t="s">
        <v>254</v>
      </c>
      <c r="I594">
        <v>2020</v>
      </c>
      <c r="J594">
        <v>12</v>
      </c>
      <c r="K594" t="s">
        <v>1452</v>
      </c>
      <c r="M594" t="str">
        <f t="shared" si="686"/>
        <v>Elisa_2020</v>
      </c>
      <c r="N594" s="264" t="s">
        <v>222</v>
      </c>
      <c r="O594" s="171" t="s">
        <v>274</v>
      </c>
      <c r="P594" t="s">
        <v>223</v>
      </c>
      <c r="Q594" s="264" t="s">
        <v>389</v>
      </c>
      <c r="R594" s="269" t="s">
        <v>1153</v>
      </c>
      <c r="S594" s="154" t="s">
        <v>1453</v>
      </c>
      <c r="T594" s="294" t="s">
        <v>1454</v>
      </c>
      <c r="U594" s="143" t="s">
        <v>1512</v>
      </c>
      <c r="V594">
        <v>0</v>
      </c>
      <c r="W594">
        <v>0</v>
      </c>
      <c r="X594">
        <v>0</v>
      </c>
      <c r="Y594">
        <v>0</v>
      </c>
      <c r="Z594">
        <v>0</v>
      </c>
      <c r="AA594">
        <v>0</v>
      </c>
      <c r="AB594">
        <v>0</v>
      </c>
      <c r="AC594">
        <v>0</v>
      </c>
      <c r="AD594">
        <v>0</v>
      </c>
      <c r="AE594">
        <v>1</v>
      </c>
      <c r="AF594">
        <v>0</v>
      </c>
      <c r="AG594">
        <v>0</v>
      </c>
      <c r="AH594">
        <v>0</v>
      </c>
      <c r="AI594">
        <v>0</v>
      </c>
      <c r="AJ594">
        <v>0</v>
      </c>
      <c r="AK594">
        <v>1</v>
      </c>
      <c r="AL594">
        <v>0</v>
      </c>
      <c r="AM594">
        <v>0</v>
      </c>
      <c r="AN594">
        <v>0</v>
      </c>
      <c r="AO594">
        <v>0</v>
      </c>
      <c r="AP594">
        <v>0</v>
      </c>
      <c r="AQ594">
        <v>0</v>
      </c>
      <c r="AR594">
        <v>0</v>
      </c>
      <c r="AS594">
        <v>0</v>
      </c>
      <c r="AT594">
        <v>0</v>
      </c>
      <c r="AU594">
        <v>0</v>
      </c>
      <c r="AV594">
        <v>0</v>
      </c>
      <c r="AW594">
        <v>0</v>
      </c>
      <c r="AX594" s="141">
        <f t="shared" si="656"/>
        <v>2</v>
      </c>
      <c r="AY594" s="141">
        <f t="shared" si="657"/>
        <v>2</v>
      </c>
      <c r="AZ594">
        <f t="shared" si="658"/>
        <v>0</v>
      </c>
      <c r="BA594">
        <f t="shared" si="659"/>
        <v>1</v>
      </c>
      <c r="BB594">
        <f t="shared" si="660"/>
        <v>1</v>
      </c>
      <c r="BC594">
        <f t="shared" si="661"/>
        <v>0</v>
      </c>
      <c r="BD594">
        <f t="shared" si="662"/>
        <v>0</v>
      </c>
      <c r="BE594" t="str" cm="1">
        <f t="array" ref="BE594">IF(AY594=1,INDEX($V$7:$AL$7,MATCH(TRUE,INDEX($V594:$AW594&lt;&gt;0,),0)),IF(AY594=0,INDEX($AM$7:$AW$7,MATCH(1,$AM594:$AW594,0)),IF(BF594="Multiple strategies","mixed drivers",IF(BF594="Supply chain","multiple supply","multiple silviculture"))))</f>
        <v>mixed drivers</v>
      </c>
      <c r="BF594" s="2" t="str" cm="1">
        <f t="array" ref="BF594">IF(COUNTIF(AZ594:BB594,"&lt;&gt;0")=1,INDEX($V$4:$AW$4,MATCH(TRUE,INDEX($V594:$AW594&lt;&gt;0,),0)),IF(COUNTIF(AZ594:BB594,"&lt;&gt;0")=0,INDEX($AM$4:$AW$4,MATCH(1,$AM594:$AW594,0)),"Multiple strategies"))</f>
        <v>Multiple strategies</v>
      </c>
      <c r="BG594" s="142" t="s">
        <v>321</v>
      </c>
      <c r="BH594" s="160" t="s">
        <v>1456</v>
      </c>
      <c r="BI594" s="160" t="s">
        <v>1457</v>
      </c>
      <c r="BJ594" s="143" t="s">
        <v>498</v>
      </c>
      <c r="BK594" s="143">
        <v>944</v>
      </c>
      <c r="BL594" s="143">
        <v>2500</v>
      </c>
      <c r="BM594">
        <f>IFERROR(BL596/BK594,"")</f>
        <v>2.1345338983050848</v>
      </c>
      <c r="BN594">
        <f t="shared" si="663"/>
        <v>1556</v>
      </c>
      <c r="BO594" s="159">
        <f t="shared" si="687"/>
        <v>1556</v>
      </c>
      <c r="BP594" s="155" t="s">
        <v>232</v>
      </c>
      <c r="BQ594" s="155" t="s">
        <v>1458</v>
      </c>
      <c r="BR594" s="155" t="s">
        <v>825</v>
      </c>
      <c r="BS594" s="143" t="s">
        <v>1462</v>
      </c>
      <c r="BT594" t="s">
        <v>1526</v>
      </c>
      <c r="BU594" s="144">
        <f t="shared" si="688"/>
        <v>0.37783912438114253</v>
      </c>
      <c r="BV594">
        <f t="shared" si="664"/>
        <v>4.29953138888889</v>
      </c>
      <c r="BX594">
        <f t="shared" si="689"/>
        <v>4.29953138888889</v>
      </c>
      <c r="BY594">
        <f t="shared" si="654"/>
        <v>2.7631949800057134E-3</v>
      </c>
      <c r="BZ594">
        <v>0</v>
      </c>
      <c r="CA594">
        <v>0</v>
      </c>
      <c r="CB594">
        <v>0</v>
      </c>
      <c r="CC594">
        <v>0</v>
      </c>
      <c r="CD594">
        <v>0</v>
      </c>
      <c r="CE594">
        <v>0</v>
      </c>
      <c r="CF594">
        <v>0</v>
      </c>
      <c r="CG594">
        <v>0</v>
      </c>
      <c r="CH594">
        <v>0</v>
      </c>
      <c r="CI594">
        <v>0</v>
      </c>
      <c r="CJ594">
        <v>0</v>
      </c>
      <c r="CK594">
        <v>0</v>
      </c>
      <c r="CL594">
        <v>0</v>
      </c>
      <c r="CM594">
        <v>0</v>
      </c>
      <c r="CN594" t="str">
        <f t="shared" si="665"/>
        <v>refOK</v>
      </c>
      <c r="CO594">
        <f t="shared" si="683"/>
        <v>944</v>
      </c>
      <c r="CP594">
        <f t="shared" si="684"/>
        <v>2500</v>
      </c>
      <c r="CQ594">
        <f t="shared" si="666"/>
        <v>1556</v>
      </c>
      <c r="CR594">
        <f t="shared" si="667"/>
        <v>-6.9106424999999998</v>
      </c>
      <c r="CS594">
        <f t="shared" si="668"/>
        <v>-2.6111111111111098</v>
      </c>
      <c r="CT594">
        <f t="shared" si="669"/>
        <v>4.29953138888889</v>
      </c>
      <c r="CU594">
        <f t="shared" si="670"/>
        <v>2.7631949800057134E-3</v>
      </c>
      <c r="CV594" s="2">
        <f t="shared" si="671"/>
        <v>0.62216087561885747</v>
      </c>
      <c r="CW594" s="263" t="s">
        <v>1461</v>
      </c>
      <c r="CX594" s="264" t="str">
        <f t="shared" si="672"/>
        <v>reg</v>
      </c>
      <c r="CY594" s="270" t="s">
        <v>743</v>
      </c>
      <c r="DA594" s="143"/>
      <c r="DB594" s="143">
        <v>0</v>
      </c>
      <c r="DC594" t="str">
        <f t="shared" si="673"/>
        <v>0</v>
      </c>
      <c r="DD594">
        <v>0</v>
      </c>
      <c r="DE594">
        <v>1</v>
      </c>
      <c r="DF594">
        <v>0</v>
      </c>
      <c r="DG594">
        <v>0</v>
      </c>
      <c r="DH594">
        <v>0</v>
      </c>
      <c r="DI594">
        <f t="shared" si="690"/>
        <v>1</v>
      </c>
      <c r="DJ594" t="str">
        <f t="shared" si="674"/>
        <v>EnergyInput</v>
      </c>
      <c r="DK594">
        <f t="shared" si="675"/>
        <v>0</v>
      </c>
      <c r="DL594" t="str">
        <f t="shared" si="676"/>
        <v>Energy</v>
      </c>
      <c r="DM594">
        <f t="shared" si="677"/>
        <v>0</v>
      </c>
      <c r="DN594">
        <f t="shared" si="678"/>
        <v>0</v>
      </c>
      <c r="DO594">
        <v>0</v>
      </c>
      <c r="DP594" s="143">
        <v>0</v>
      </c>
      <c r="DQ594" s="143">
        <v>0</v>
      </c>
      <c r="DR594">
        <v>0</v>
      </c>
      <c r="DS594" s="143">
        <v>0</v>
      </c>
      <c r="DT594">
        <f t="shared" si="679"/>
        <v>0</v>
      </c>
      <c r="DU594" s="143" t="str">
        <f t="shared" si="680"/>
        <v>explicit C balance</v>
      </c>
      <c r="DV594" s="143">
        <v>0</v>
      </c>
      <c r="DW594" s="143">
        <v>0</v>
      </c>
      <c r="DX594" s="143">
        <v>0</v>
      </c>
      <c r="DY594" s="143">
        <v>0</v>
      </c>
      <c r="DZ594">
        <v>0</v>
      </c>
      <c r="EA594" s="143">
        <v>0</v>
      </c>
      <c r="EB594" s="143">
        <v>0</v>
      </c>
      <c r="EC594" s="143">
        <v>1</v>
      </c>
      <c r="ED594" s="143">
        <v>0</v>
      </c>
      <c r="EE594">
        <v>1</v>
      </c>
      <c r="EF594">
        <v>0</v>
      </c>
      <c r="EG594" s="143">
        <v>0</v>
      </c>
      <c r="EH594" s="143">
        <v>0</v>
      </c>
      <c r="EI594" s="2">
        <v>0</v>
      </c>
      <c r="EK594" t="str">
        <f t="shared" si="681"/>
        <v/>
      </c>
      <c r="EL594" t="str">
        <f t="shared" si="682"/>
        <v/>
      </c>
      <c r="EM594" s="2" t="str">
        <f t="shared" si="655"/>
        <v>Technology approach</v>
      </c>
      <c r="EP594" t="str">
        <f>IF(ISNUMBER(BU594),IF(ABS(BU594-[4]QC_indicators!$B$2)&gt;3*[4]QC_indicators!$C$2,"C ratio",IF(ISNUMBER(BY594),IF(ABS(BY594-[4]QC_indicators!$B$1)&gt;3*[4]QC_indicators!$C$1,"DF","no"))),IF(ISNUMBER(BY594),IF(ABS(BY594-[4]QC_indicators!$B$1)&gt;3*[4]QC_indicators!$C$1,"DF","no")))</f>
        <v>no</v>
      </c>
      <c r="ER594" s="149"/>
      <c r="ET594" s="264" t="s">
        <v>3406</v>
      </c>
    </row>
    <row r="595" spans="1:150" ht="15" hidden="1" customHeight="1">
      <c r="A595" s="1" t="s">
        <v>587</v>
      </c>
      <c r="B595" t="s">
        <v>1447</v>
      </c>
      <c r="C595" t="s">
        <v>1448</v>
      </c>
      <c r="D595" t="s">
        <v>1449</v>
      </c>
      <c r="E595" t="s">
        <v>1450</v>
      </c>
      <c r="F595" t="s">
        <v>1451</v>
      </c>
      <c r="G595" t="s">
        <v>593</v>
      </c>
      <c r="H595" t="s">
        <v>254</v>
      </c>
      <c r="I595">
        <v>2020</v>
      </c>
      <c r="J595">
        <v>12</v>
      </c>
      <c r="K595" t="s">
        <v>1452</v>
      </c>
      <c r="M595" t="str">
        <f t="shared" si="686"/>
        <v>Elisa_2020</v>
      </c>
      <c r="N595" s="264" t="s">
        <v>222</v>
      </c>
      <c r="O595" s="171" t="s">
        <v>274</v>
      </c>
      <c r="P595" t="s">
        <v>223</v>
      </c>
      <c r="Q595" s="264" t="s">
        <v>389</v>
      </c>
      <c r="R595" s="269" t="s">
        <v>1153</v>
      </c>
      <c r="S595" s="154" t="s">
        <v>1453</v>
      </c>
      <c r="T595" s="294" t="s">
        <v>1454</v>
      </c>
      <c r="U595" s="143" t="s">
        <v>1518</v>
      </c>
      <c r="V595">
        <v>0</v>
      </c>
      <c r="W595">
        <v>0</v>
      </c>
      <c r="X595">
        <v>0</v>
      </c>
      <c r="Y595">
        <v>0</v>
      </c>
      <c r="Z595">
        <v>0</v>
      </c>
      <c r="AA595">
        <v>0</v>
      </c>
      <c r="AB595">
        <v>0</v>
      </c>
      <c r="AC595">
        <v>0</v>
      </c>
      <c r="AD595">
        <v>0</v>
      </c>
      <c r="AE595">
        <v>1</v>
      </c>
      <c r="AF595">
        <v>0</v>
      </c>
      <c r="AG595">
        <v>0</v>
      </c>
      <c r="AH595">
        <v>0</v>
      </c>
      <c r="AI595">
        <v>0</v>
      </c>
      <c r="AJ595">
        <v>0</v>
      </c>
      <c r="AK595">
        <v>1</v>
      </c>
      <c r="AL595">
        <v>0</v>
      </c>
      <c r="AM595">
        <v>0</v>
      </c>
      <c r="AN595">
        <v>0</v>
      </c>
      <c r="AO595">
        <v>0</v>
      </c>
      <c r="AP595">
        <v>0</v>
      </c>
      <c r="AQ595">
        <v>0</v>
      </c>
      <c r="AR595">
        <v>0</v>
      </c>
      <c r="AS595">
        <v>0</v>
      </c>
      <c r="AT595">
        <v>0</v>
      </c>
      <c r="AU595">
        <v>0</v>
      </c>
      <c r="AV595">
        <v>0</v>
      </c>
      <c r="AW595">
        <v>0</v>
      </c>
      <c r="AX595" s="141">
        <f t="shared" si="656"/>
        <v>2</v>
      </c>
      <c r="AY595" s="141">
        <f t="shared" si="657"/>
        <v>2</v>
      </c>
      <c r="AZ595">
        <f t="shared" si="658"/>
        <v>0</v>
      </c>
      <c r="BA595">
        <f t="shared" si="659"/>
        <v>1</v>
      </c>
      <c r="BB595">
        <f t="shared" si="660"/>
        <v>1</v>
      </c>
      <c r="BC595">
        <f t="shared" si="661"/>
        <v>0</v>
      </c>
      <c r="BD595">
        <f t="shared" si="662"/>
        <v>0</v>
      </c>
      <c r="BE595" t="str" cm="1">
        <f t="array" ref="BE595">IF(AY595=1,INDEX($V$7:$AL$7,MATCH(TRUE,INDEX($V595:$AW595&lt;&gt;0,),0)),IF(AY595=0,INDEX($AM$7:$AW$7,MATCH(1,$AM595:$AW595,0)),IF(BF595="Multiple strategies","mixed drivers",IF(BF595="Supply chain","multiple supply","multiple silviculture"))))</f>
        <v>mixed drivers</v>
      </c>
      <c r="BF595" s="2" t="str" cm="1">
        <f t="array" ref="BF595">IF(COUNTIF(AZ595:BB595,"&lt;&gt;0")=1,INDEX($V$4:$AW$4,MATCH(TRUE,INDEX($V595:$AW595&lt;&gt;0,),0)),IF(COUNTIF(AZ595:BB595,"&lt;&gt;0")=0,INDEX($AM$4:$AW$4,MATCH(1,$AM595:$AW595,0)),"Multiple strategies"))</f>
        <v>Multiple strategies</v>
      </c>
      <c r="BG595" s="142" t="s">
        <v>321</v>
      </c>
      <c r="BH595" s="160" t="s">
        <v>1456</v>
      </c>
      <c r="BI595" s="160" t="s">
        <v>1457</v>
      </c>
      <c r="BJ595" s="143" t="s">
        <v>498</v>
      </c>
      <c r="BK595" s="143">
        <v>944</v>
      </c>
      <c r="BL595" s="143">
        <v>2015</v>
      </c>
      <c r="BM595">
        <f>IFERROR(BL595/BK595,"")</f>
        <v>2.1345338983050848</v>
      </c>
      <c r="BN595">
        <f t="shared" si="663"/>
        <v>1071</v>
      </c>
      <c r="BO595" s="159">
        <f t="shared" si="687"/>
        <v>1071</v>
      </c>
      <c r="BP595" s="155" t="s">
        <v>232</v>
      </c>
      <c r="BQ595" s="155" t="s">
        <v>1458</v>
      </c>
      <c r="BR595" s="155" t="s">
        <v>825</v>
      </c>
      <c r="BS595" s="143" t="s">
        <v>1459</v>
      </c>
      <c r="BT595" t="s">
        <v>1527</v>
      </c>
      <c r="BU595" s="144">
        <f t="shared" si="688"/>
        <v>0.36404586652569865</v>
      </c>
      <c r="BV595">
        <f t="shared" si="664"/>
        <v>4.46320083333333</v>
      </c>
      <c r="BX595">
        <f t="shared" si="689"/>
        <v>4.46320083333333</v>
      </c>
      <c r="BY595">
        <f t="shared" si="654"/>
        <v>4.1673210395269189E-3</v>
      </c>
      <c r="BZ595">
        <v>0</v>
      </c>
      <c r="CA595">
        <v>0</v>
      </c>
      <c r="CB595">
        <v>0</v>
      </c>
      <c r="CC595">
        <v>0</v>
      </c>
      <c r="CD595">
        <v>0</v>
      </c>
      <c r="CE595">
        <v>0</v>
      </c>
      <c r="CF595">
        <v>0</v>
      </c>
      <c r="CG595">
        <v>0</v>
      </c>
      <c r="CH595">
        <v>0</v>
      </c>
      <c r="CI595">
        <v>0</v>
      </c>
      <c r="CJ595">
        <v>0</v>
      </c>
      <c r="CK595">
        <v>0</v>
      </c>
      <c r="CL595">
        <v>0</v>
      </c>
      <c r="CM595">
        <v>0</v>
      </c>
      <c r="CN595" t="str">
        <f t="shared" si="665"/>
        <v>refOK</v>
      </c>
      <c r="CO595">
        <f t="shared" si="683"/>
        <v>944</v>
      </c>
      <c r="CP595">
        <f t="shared" si="684"/>
        <v>2015</v>
      </c>
      <c r="CQ595">
        <f t="shared" si="666"/>
        <v>1071</v>
      </c>
      <c r="CR595">
        <f t="shared" si="667"/>
        <v>-7.0181174999999998</v>
      </c>
      <c r="CS595">
        <f t="shared" si="668"/>
        <v>-2.5549166666666698</v>
      </c>
      <c r="CT595">
        <f t="shared" si="669"/>
        <v>4.46320083333333</v>
      </c>
      <c r="CU595">
        <f t="shared" si="670"/>
        <v>4.1673210395269189E-3</v>
      </c>
      <c r="CV595" s="2">
        <f t="shared" si="671"/>
        <v>0.6359541334743013</v>
      </c>
      <c r="CW595" s="263" t="s">
        <v>1461</v>
      </c>
      <c r="CX595" s="264" t="str">
        <f t="shared" si="672"/>
        <v>reg</v>
      </c>
      <c r="CY595" s="270" t="s">
        <v>743</v>
      </c>
      <c r="DA595" s="143"/>
      <c r="DB595" s="143">
        <v>0</v>
      </c>
      <c r="DC595" t="str">
        <f t="shared" si="673"/>
        <v>0</v>
      </c>
      <c r="DD595">
        <v>0</v>
      </c>
      <c r="DE595">
        <v>1</v>
      </c>
      <c r="DF595">
        <v>0</v>
      </c>
      <c r="DG595">
        <v>0</v>
      </c>
      <c r="DH595">
        <v>0</v>
      </c>
      <c r="DI595">
        <f t="shared" si="690"/>
        <v>1</v>
      </c>
      <c r="DJ595" t="str">
        <f t="shared" si="674"/>
        <v>EnergyInput</v>
      </c>
      <c r="DK595">
        <f t="shared" si="675"/>
        <v>0</v>
      </c>
      <c r="DL595" t="str">
        <f t="shared" si="676"/>
        <v>Energy</v>
      </c>
      <c r="DM595">
        <f t="shared" si="677"/>
        <v>0</v>
      </c>
      <c r="DN595">
        <f t="shared" si="678"/>
        <v>0</v>
      </c>
      <c r="DO595">
        <v>0</v>
      </c>
      <c r="DP595" s="143">
        <v>0</v>
      </c>
      <c r="DQ595" s="143">
        <v>0</v>
      </c>
      <c r="DR595">
        <v>0</v>
      </c>
      <c r="DS595" s="143">
        <v>0</v>
      </c>
      <c r="DT595">
        <f t="shared" si="679"/>
        <v>0</v>
      </c>
      <c r="DU595" s="143" t="str">
        <f t="shared" si="680"/>
        <v>explicit C balance</v>
      </c>
      <c r="DV595" s="143">
        <v>0</v>
      </c>
      <c r="DW595" s="143">
        <v>0</v>
      </c>
      <c r="DX595" s="143">
        <v>0</v>
      </c>
      <c r="DY595" s="143">
        <v>0</v>
      </c>
      <c r="DZ595">
        <v>0</v>
      </c>
      <c r="EA595" s="143">
        <v>0</v>
      </c>
      <c r="EB595" s="143">
        <v>1</v>
      </c>
      <c r="EC595" s="143">
        <v>1</v>
      </c>
      <c r="ED595" s="143">
        <v>0</v>
      </c>
      <c r="EE595">
        <v>1</v>
      </c>
      <c r="EF595">
        <v>0</v>
      </c>
      <c r="EG595" s="143">
        <v>0</v>
      </c>
      <c r="EH595" s="143">
        <v>0</v>
      </c>
      <c r="EI595" s="2">
        <v>0</v>
      </c>
      <c r="EK595" t="str">
        <f t="shared" si="681"/>
        <v/>
      </c>
      <c r="EL595" t="str">
        <f t="shared" si="682"/>
        <v/>
      </c>
      <c r="EM595" s="2" t="str">
        <f t="shared" si="655"/>
        <v>Technology approach</v>
      </c>
      <c r="EP595" t="str">
        <f>IF(ISNUMBER(BU595),IF(ABS(BU595-[4]QC_indicators!$B$2)&gt;3*[4]QC_indicators!$C$2,"C ratio",IF(ISNUMBER(BY595),IF(ABS(BY595-[4]QC_indicators!$B$1)&gt;3*[4]QC_indicators!$C$1,"DF","no"))),IF(ISNUMBER(BY595),IF(ABS(BY595-[4]QC_indicators!$B$1)&gt;3*[4]QC_indicators!$C$1,"DF","no")))</f>
        <v>no</v>
      </c>
      <c r="ER595" s="149"/>
      <c r="ET595" s="264" t="s">
        <v>3406</v>
      </c>
    </row>
    <row r="596" spans="1:150" ht="15" hidden="1" customHeight="1">
      <c r="A596" s="1" t="s">
        <v>587</v>
      </c>
      <c r="B596" t="s">
        <v>1447</v>
      </c>
      <c r="C596" t="s">
        <v>1448</v>
      </c>
      <c r="D596" t="s">
        <v>1449</v>
      </c>
      <c r="E596" t="s">
        <v>1450</v>
      </c>
      <c r="F596" t="s">
        <v>1451</v>
      </c>
      <c r="G596" t="s">
        <v>593</v>
      </c>
      <c r="H596" t="s">
        <v>254</v>
      </c>
      <c r="I596">
        <v>2020</v>
      </c>
      <c r="J596">
        <v>12</v>
      </c>
      <c r="K596" t="s">
        <v>1452</v>
      </c>
      <c r="M596" t="str">
        <f t="shared" si="686"/>
        <v>Elisa_2020</v>
      </c>
      <c r="N596" s="264" t="s">
        <v>222</v>
      </c>
      <c r="O596" s="171" t="s">
        <v>274</v>
      </c>
      <c r="P596" t="s">
        <v>223</v>
      </c>
      <c r="Q596" s="264" t="s">
        <v>389</v>
      </c>
      <c r="R596" s="269" t="s">
        <v>1153</v>
      </c>
      <c r="S596" s="154" t="s">
        <v>1453</v>
      </c>
      <c r="T596" s="294" t="s">
        <v>1454</v>
      </c>
      <c r="U596" s="143" t="s">
        <v>1518</v>
      </c>
      <c r="V596">
        <v>0</v>
      </c>
      <c r="W596">
        <v>0</v>
      </c>
      <c r="X596">
        <v>0</v>
      </c>
      <c r="Y596">
        <v>0</v>
      </c>
      <c r="Z596">
        <v>0</v>
      </c>
      <c r="AA596">
        <v>0</v>
      </c>
      <c r="AB596">
        <v>0</v>
      </c>
      <c r="AC596">
        <v>0</v>
      </c>
      <c r="AD596">
        <v>0</v>
      </c>
      <c r="AE596">
        <v>1</v>
      </c>
      <c r="AF596">
        <v>0</v>
      </c>
      <c r="AG596">
        <v>0</v>
      </c>
      <c r="AH596">
        <v>0</v>
      </c>
      <c r="AI596">
        <v>0</v>
      </c>
      <c r="AJ596">
        <v>0</v>
      </c>
      <c r="AK596">
        <v>1</v>
      </c>
      <c r="AL596">
        <v>0</v>
      </c>
      <c r="AM596">
        <v>0</v>
      </c>
      <c r="AN596">
        <v>0</v>
      </c>
      <c r="AO596">
        <v>0</v>
      </c>
      <c r="AP596">
        <v>0</v>
      </c>
      <c r="AQ596">
        <v>0</v>
      </c>
      <c r="AR596">
        <v>0</v>
      </c>
      <c r="AS596">
        <v>0</v>
      </c>
      <c r="AT596">
        <v>0</v>
      </c>
      <c r="AU596">
        <v>0</v>
      </c>
      <c r="AV596">
        <v>0</v>
      </c>
      <c r="AW596">
        <v>0</v>
      </c>
      <c r="AX596" s="141">
        <f t="shared" si="656"/>
        <v>2</v>
      </c>
      <c r="AY596" s="141">
        <f t="shared" si="657"/>
        <v>2</v>
      </c>
      <c r="AZ596">
        <f t="shared" si="658"/>
        <v>0</v>
      </c>
      <c r="BA596">
        <f t="shared" si="659"/>
        <v>1</v>
      </c>
      <c r="BB596">
        <f t="shared" si="660"/>
        <v>1</v>
      </c>
      <c r="BC596">
        <f t="shared" si="661"/>
        <v>0</v>
      </c>
      <c r="BD596">
        <f t="shared" si="662"/>
        <v>0</v>
      </c>
      <c r="BE596" t="str" cm="1">
        <f t="array" ref="BE596">IF(AY596=1,INDEX($V$7:$AL$7,MATCH(TRUE,INDEX($V596:$AW596&lt;&gt;0,),0)),IF(AY596=0,INDEX($AM$7:$AW$7,MATCH(1,$AM596:$AW596,0)),IF(BF596="Multiple strategies","mixed drivers",IF(BF596="Supply chain","multiple supply","multiple silviculture"))))</f>
        <v>mixed drivers</v>
      </c>
      <c r="BF596" s="2" t="str" cm="1">
        <f t="array" ref="BF596">IF(COUNTIF(AZ596:BB596,"&lt;&gt;0")=1,INDEX($V$4:$AW$4,MATCH(TRUE,INDEX($V596:$AW596&lt;&gt;0,),0)),IF(COUNTIF(AZ596:BB596,"&lt;&gt;0")=0,INDEX($AM$4:$AW$4,MATCH(1,$AM596:$AW596,0)),"Multiple strategies"))</f>
        <v>Multiple strategies</v>
      </c>
      <c r="BG596" s="142" t="s">
        <v>321</v>
      </c>
      <c r="BH596" s="160" t="s">
        <v>1456</v>
      </c>
      <c r="BI596" s="160" t="s">
        <v>1457</v>
      </c>
      <c r="BJ596" s="143" t="s">
        <v>498</v>
      </c>
      <c r="BK596" s="143">
        <v>944</v>
      </c>
      <c r="BL596" s="143">
        <v>2015</v>
      </c>
      <c r="BM596">
        <f>IFERROR(BL598/BK596,"")</f>
        <v>8.1567796610169489E-3</v>
      </c>
      <c r="BN596">
        <f t="shared" si="663"/>
        <v>1071</v>
      </c>
      <c r="BO596" s="159">
        <f t="shared" si="687"/>
        <v>1071</v>
      </c>
      <c r="BP596" s="155" t="s">
        <v>232</v>
      </c>
      <c r="BQ596" s="155" t="s">
        <v>1458</v>
      </c>
      <c r="BR596" s="155" t="s">
        <v>825</v>
      </c>
      <c r="BS596" s="143" t="s">
        <v>1462</v>
      </c>
      <c r="BT596" t="s">
        <v>1528</v>
      </c>
      <c r="BU596" s="144">
        <f t="shared" si="688"/>
        <v>0.33790474458617853</v>
      </c>
      <c r="BV596">
        <f t="shared" si="664"/>
        <v>4.5755036111111096</v>
      </c>
      <c r="BX596">
        <f t="shared" si="689"/>
        <v>4.5755036111111096</v>
      </c>
      <c r="BY596">
        <f t="shared" si="654"/>
        <v>4.2721789086004758E-3</v>
      </c>
      <c r="BZ596">
        <v>0</v>
      </c>
      <c r="CA596">
        <v>0</v>
      </c>
      <c r="CB596">
        <v>0</v>
      </c>
      <c r="CC596">
        <v>0</v>
      </c>
      <c r="CD596">
        <v>0</v>
      </c>
      <c r="CE596">
        <v>0</v>
      </c>
      <c r="CF596">
        <v>0</v>
      </c>
      <c r="CG596">
        <v>0</v>
      </c>
      <c r="CH596">
        <v>0</v>
      </c>
      <c r="CI596">
        <v>0</v>
      </c>
      <c r="CJ596">
        <v>0</v>
      </c>
      <c r="CK596">
        <v>0</v>
      </c>
      <c r="CL596">
        <v>0</v>
      </c>
      <c r="CM596">
        <v>0</v>
      </c>
      <c r="CN596" t="str">
        <f t="shared" si="665"/>
        <v>refOK</v>
      </c>
      <c r="CO596">
        <f t="shared" si="683"/>
        <v>944</v>
      </c>
      <c r="CP596">
        <f t="shared" si="684"/>
        <v>2015</v>
      </c>
      <c r="CQ596">
        <f t="shared" si="666"/>
        <v>1071</v>
      </c>
      <c r="CR596">
        <f t="shared" si="667"/>
        <v>-6.9106424999999998</v>
      </c>
      <c r="CS596">
        <f t="shared" si="668"/>
        <v>-2.3351388888888902</v>
      </c>
      <c r="CT596">
        <f t="shared" si="669"/>
        <v>4.5755036111111096</v>
      </c>
      <c r="CU596">
        <f t="shared" si="670"/>
        <v>4.2721789086004758E-3</v>
      </c>
      <c r="CV596" s="2">
        <f t="shared" si="671"/>
        <v>0.66209525541382142</v>
      </c>
      <c r="CW596" s="263" t="s">
        <v>1461</v>
      </c>
      <c r="CX596" s="264" t="str">
        <f t="shared" si="672"/>
        <v>reg</v>
      </c>
      <c r="CY596" s="270" t="s">
        <v>743</v>
      </c>
      <c r="DA596" s="143"/>
      <c r="DB596" s="143">
        <v>0</v>
      </c>
      <c r="DC596" t="str">
        <f t="shared" si="673"/>
        <v>0</v>
      </c>
      <c r="DD596">
        <v>0</v>
      </c>
      <c r="DE596">
        <v>1</v>
      </c>
      <c r="DF596">
        <v>0</v>
      </c>
      <c r="DG596">
        <v>0</v>
      </c>
      <c r="DH596">
        <v>0</v>
      </c>
      <c r="DI596">
        <f t="shared" si="690"/>
        <v>1</v>
      </c>
      <c r="DJ596" t="str">
        <f t="shared" si="674"/>
        <v>EnergyInput</v>
      </c>
      <c r="DK596">
        <f t="shared" si="675"/>
        <v>0</v>
      </c>
      <c r="DL596" t="str">
        <f t="shared" si="676"/>
        <v>Energy</v>
      </c>
      <c r="DM596">
        <f t="shared" si="677"/>
        <v>0</v>
      </c>
      <c r="DN596">
        <f t="shared" si="678"/>
        <v>0</v>
      </c>
      <c r="DO596">
        <v>0</v>
      </c>
      <c r="DP596" s="143">
        <v>0</v>
      </c>
      <c r="DQ596" s="143">
        <v>0</v>
      </c>
      <c r="DR596">
        <v>0</v>
      </c>
      <c r="DS596" s="143">
        <v>0</v>
      </c>
      <c r="DT596">
        <f t="shared" si="679"/>
        <v>0</v>
      </c>
      <c r="DU596" s="143" t="str">
        <f t="shared" si="680"/>
        <v>explicit C balance</v>
      </c>
      <c r="DV596" s="143">
        <v>0</v>
      </c>
      <c r="DW596" s="143">
        <v>0</v>
      </c>
      <c r="DX596" s="143">
        <v>0</v>
      </c>
      <c r="DY596" s="143">
        <v>0</v>
      </c>
      <c r="DZ596">
        <v>0</v>
      </c>
      <c r="EA596" s="143">
        <v>0</v>
      </c>
      <c r="EB596" s="143">
        <v>0</v>
      </c>
      <c r="EC596" s="143">
        <v>1</v>
      </c>
      <c r="ED596" s="143">
        <v>0</v>
      </c>
      <c r="EE596">
        <v>1</v>
      </c>
      <c r="EF596">
        <v>0</v>
      </c>
      <c r="EG596" s="143">
        <v>0</v>
      </c>
      <c r="EH596" s="143">
        <v>0</v>
      </c>
      <c r="EI596" s="2">
        <v>0</v>
      </c>
      <c r="EK596" t="str">
        <f t="shared" si="681"/>
        <v/>
      </c>
      <c r="EL596" t="str">
        <f t="shared" si="682"/>
        <v/>
      </c>
      <c r="EM596" s="2" t="str">
        <f t="shared" si="655"/>
        <v>Technology approach</v>
      </c>
      <c r="EP596" t="str">
        <f>IF(ISNUMBER(BU596),IF(ABS(BU596-[4]QC_indicators!$B$2)&gt;3*[4]QC_indicators!$C$2,"C ratio",IF(ISNUMBER(BY596),IF(ABS(BY596-[4]QC_indicators!$B$1)&gt;3*[4]QC_indicators!$C$1,"DF","no"))),IF(ISNUMBER(BY596),IF(ABS(BY596-[4]QC_indicators!$B$1)&gt;3*[4]QC_indicators!$C$1,"DF","no")))</f>
        <v>no</v>
      </c>
      <c r="ER596" s="149"/>
      <c r="ET596" s="264" t="s">
        <v>3406</v>
      </c>
    </row>
    <row r="597" spans="1:150" ht="15" hidden="1" customHeight="1">
      <c r="D597" t="s">
        <v>691</v>
      </c>
      <c r="E597" t="s">
        <v>692</v>
      </c>
      <c r="G597" t="s">
        <v>693</v>
      </c>
      <c r="I597">
        <v>2007</v>
      </c>
      <c r="K597" s="295" t="s">
        <v>694</v>
      </c>
      <c r="M597" t="str">
        <f t="shared" si="686"/>
        <v>Eriksson_2007</v>
      </c>
      <c r="N597" t="s">
        <v>222</v>
      </c>
      <c r="O597" t="s">
        <v>223</v>
      </c>
      <c r="Q597" s="264" t="s">
        <v>256</v>
      </c>
      <c r="R597" s="269" t="s">
        <v>1153</v>
      </c>
      <c r="S597" s="1" t="s">
        <v>695</v>
      </c>
      <c r="T597" t="s">
        <v>696</v>
      </c>
      <c r="U597" s="143" t="s">
        <v>697</v>
      </c>
      <c r="V597">
        <v>0</v>
      </c>
      <c r="W597">
        <v>0</v>
      </c>
      <c r="X597">
        <v>0</v>
      </c>
      <c r="Y597">
        <v>0</v>
      </c>
      <c r="Z597">
        <v>0</v>
      </c>
      <c r="AA597">
        <v>0</v>
      </c>
      <c r="AB597">
        <v>1</v>
      </c>
      <c r="AC597">
        <v>0</v>
      </c>
      <c r="AD597">
        <v>0</v>
      </c>
      <c r="AE597">
        <v>0</v>
      </c>
      <c r="AF597">
        <v>0</v>
      </c>
      <c r="AG597">
        <v>0</v>
      </c>
      <c r="AH597">
        <v>0</v>
      </c>
      <c r="AI597">
        <v>0</v>
      </c>
      <c r="AJ597">
        <v>0</v>
      </c>
      <c r="AK597">
        <v>0</v>
      </c>
      <c r="AL597">
        <v>0</v>
      </c>
      <c r="AM597">
        <v>0</v>
      </c>
      <c r="AN597">
        <v>0</v>
      </c>
      <c r="AO597">
        <v>0</v>
      </c>
      <c r="AP597">
        <v>0</v>
      </c>
      <c r="AQ597">
        <v>0</v>
      </c>
      <c r="AR597">
        <v>0</v>
      </c>
      <c r="AS597">
        <v>0</v>
      </c>
      <c r="AT597">
        <v>0</v>
      </c>
      <c r="AU597">
        <v>0</v>
      </c>
      <c r="AV597">
        <v>0</v>
      </c>
      <c r="AW597">
        <v>0</v>
      </c>
      <c r="AX597" s="141">
        <f t="shared" si="656"/>
        <v>1</v>
      </c>
      <c r="AY597" s="141">
        <f t="shared" si="657"/>
        <v>1</v>
      </c>
      <c r="AZ597">
        <f t="shared" si="658"/>
        <v>1</v>
      </c>
      <c r="BA597">
        <f t="shared" si="659"/>
        <v>0</v>
      </c>
      <c r="BB597">
        <f t="shared" si="660"/>
        <v>0</v>
      </c>
      <c r="BC597">
        <f t="shared" si="661"/>
        <v>0</v>
      </c>
      <c r="BD597">
        <f t="shared" si="662"/>
        <v>0</v>
      </c>
      <c r="BE597" t="str" cm="1">
        <f t="array" ref="BE597">IF(AY597=1,INDEX($V$7:$AL$7,MATCH(TRUE,INDEX($V597:$AW597&lt;&gt;0,),0)),IF(AY597=0,INDEX($AM$7:$AW$7,MATCH(1,$AM597:$AW597,0)),IF(BF597="Multiple strategies","mixed drivers",IF(BF597="Supply chain","multiple supply","multiple silviculture"))))</f>
        <v>fertilisation</v>
      </c>
      <c r="BF597" s="2" t="str" cm="1">
        <f t="array" ref="BF597">IF(COUNTIF(AZ597:BB597,"&lt;&gt;0")=1,INDEX($V$4:$AW$4,MATCH(TRUE,INDEX($V597:$AW597&lt;&gt;0,),0)),IF(COUNTIF(AZ597:BB597,"&lt;&gt;0")=0,INDEX($AM$4:$AW$4,MATCH(1,$AM597:$AW597,0)),"Multiple strategies"))</f>
        <v>Silviculture for productivity</v>
      </c>
      <c r="BG597" s="142" t="s">
        <v>321</v>
      </c>
      <c r="BH597" t="s">
        <v>698</v>
      </c>
      <c r="BI597" s="264" t="s">
        <v>699</v>
      </c>
      <c r="BJ597" s="143" t="s">
        <v>700</v>
      </c>
      <c r="BK597">
        <v>7.3</v>
      </c>
      <c r="BL597" s="143">
        <v>10</v>
      </c>
      <c r="BM597" s="143">
        <f>BL597/BK597</f>
        <v>1.3698630136986301</v>
      </c>
      <c r="BN597">
        <f t="shared" si="663"/>
        <v>2.7</v>
      </c>
      <c r="BO597" s="143">
        <f t="shared" si="687"/>
        <v>2.7</v>
      </c>
      <c r="BP597" t="s">
        <v>232</v>
      </c>
      <c r="BQ597" s="153" t="s">
        <v>701</v>
      </c>
      <c r="BR597" t="s">
        <v>702</v>
      </c>
      <c r="BS597" s="151">
        <v>1.0063694267515921</v>
      </c>
      <c r="BT597" s="151">
        <v>1.3885350318471339</v>
      </c>
      <c r="BU597">
        <f t="shared" si="688"/>
        <v>1.3797468354430384</v>
      </c>
      <c r="BV597">
        <f t="shared" si="664"/>
        <v>0.38216560509554176</v>
      </c>
      <c r="BX597">
        <f>BV597*C_to_CO2</f>
        <v>1.4025477707006382</v>
      </c>
      <c r="BY597">
        <f t="shared" si="654"/>
        <v>0.51946213729653268</v>
      </c>
      <c r="BZ597" s="143">
        <v>0</v>
      </c>
      <c r="CA597" s="143">
        <v>0</v>
      </c>
      <c r="CB597" s="143">
        <v>0</v>
      </c>
      <c r="CC597" s="143">
        <v>0</v>
      </c>
      <c r="CD597" s="143">
        <v>0</v>
      </c>
      <c r="CE597" s="143">
        <v>0</v>
      </c>
      <c r="CF597" s="143">
        <v>0</v>
      </c>
      <c r="CG597" s="143">
        <v>0</v>
      </c>
      <c r="CH597" s="143">
        <v>0</v>
      </c>
      <c r="CI597" s="143">
        <v>0</v>
      </c>
      <c r="CJ597" s="143">
        <v>0</v>
      </c>
      <c r="CK597" s="143">
        <v>0</v>
      </c>
      <c r="CL597" s="143">
        <v>0</v>
      </c>
      <c r="CM597">
        <v>0</v>
      </c>
      <c r="CN597" t="str">
        <f t="shared" si="665"/>
        <v>refOK</v>
      </c>
      <c r="CO597">
        <f t="shared" si="683"/>
        <v>7.3</v>
      </c>
      <c r="CP597">
        <f t="shared" si="684"/>
        <v>10</v>
      </c>
      <c r="CQ597">
        <f t="shared" si="666"/>
        <v>2.7</v>
      </c>
      <c r="CR597">
        <f t="shared" si="667"/>
        <v>1.0063694267515921</v>
      </c>
      <c r="CS597">
        <f t="shared" si="668"/>
        <v>1.3885350318471339</v>
      </c>
      <c r="CT597">
        <f t="shared" si="669"/>
        <v>1.4025477707006382</v>
      </c>
      <c r="CU597">
        <f t="shared" si="670"/>
        <v>0.51946213729653268</v>
      </c>
      <c r="CV597" s="2">
        <f t="shared" si="671"/>
        <v>0.37974683544303839</v>
      </c>
      <c r="CW597" s="1" t="s">
        <v>234</v>
      </c>
      <c r="CX597" s="264" t="str">
        <f t="shared" si="672"/>
        <v>loc</v>
      </c>
      <c r="CY597" t="s">
        <v>264</v>
      </c>
      <c r="DA597" s="143"/>
      <c r="DB597" s="143">
        <v>300</v>
      </c>
      <c r="DC597" t="str">
        <f t="shared" si="673"/>
        <v>+100</v>
      </c>
      <c r="DD597">
        <v>0</v>
      </c>
      <c r="DE597">
        <v>1</v>
      </c>
      <c r="DF597">
        <v>0</v>
      </c>
      <c r="DG597">
        <v>0</v>
      </c>
      <c r="DI597">
        <f>SUM(DD597:DG597)</f>
        <v>1</v>
      </c>
      <c r="DJ597" t="str">
        <f t="shared" si="674"/>
        <v>EnergyInput</v>
      </c>
      <c r="DK597">
        <f t="shared" si="675"/>
        <v>0</v>
      </c>
      <c r="DL597" t="str">
        <f t="shared" si="676"/>
        <v>Energy</v>
      </c>
      <c r="DM597">
        <f t="shared" si="677"/>
        <v>0</v>
      </c>
      <c r="DN597">
        <f t="shared" si="678"/>
        <v>0</v>
      </c>
      <c r="DO597">
        <v>1</v>
      </c>
      <c r="DP597" s="143">
        <v>0</v>
      </c>
      <c r="DQ597" s="143">
        <v>0</v>
      </c>
      <c r="DR597">
        <v>0</v>
      </c>
      <c r="DS597" s="143">
        <v>0</v>
      </c>
      <c r="DT597">
        <f t="shared" si="679"/>
        <v>1</v>
      </c>
      <c r="DU597" s="143" t="str">
        <f t="shared" si="680"/>
        <v>self-calculated DF</v>
      </c>
      <c r="DV597" s="143">
        <v>1</v>
      </c>
      <c r="DW597" s="143">
        <v>1</v>
      </c>
      <c r="DX597" s="143">
        <v>0</v>
      </c>
      <c r="DY597" s="143">
        <v>0</v>
      </c>
      <c r="DZ597">
        <v>0</v>
      </c>
      <c r="EA597" s="143">
        <v>1</v>
      </c>
      <c r="EB597" s="143">
        <v>1</v>
      </c>
      <c r="EC597" s="143">
        <v>1</v>
      </c>
      <c r="ED597" s="143">
        <v>0</v>
      </c>
      <c r="EE597">
        <v>0</v>
      </c>
      <c r="EF597">
        <v>1</v>
      </c>
      <c r="EG597" s="143">
        <v>0</v>
      </c>
      <c r="EH597" s="143">
        <v>0</v>
      </c>
      <c r="EI597" s="2">
        <v>0</v>
      </c>
      <c r="EK597" t="str">
        <f t="shared" si="681"/>
        <v/>
      </c>
      <c r="EL597" t="str">
        <f t="shared" si="682"/>
        <v/>
      </c>
      <c r="EM597" s="2" t="str">
        <f t="shared" si="655"/>
        <v/>
      </c>
      <c r="EP597" t="str">
        <f>IF(ISNUMBER(BU597),IF(ABS(BU597-[4]QC_indicators!$B$2)&gt;3*[4]QC_indicators!$C$2,"C ratio",IF(ISNUMBER(BY597),IF(ABS(BY597-[4]QC_indicators!$B$1)&gt;3*[4]QC_indicators!$C$1,"DF","no"))),IF(ISNUMBER(BY597),IF(ABS(BY597-[4]QC_indicators!$B$1)&gt;3*[4]QC_indicators!$C$1,"DF","no")))</f>
        <v>no</v>
      </c>
      <c r="ER597" s="264" t="s">
        <v>703</v>
      </c>
      <c r="ET597" s="264" t="s">
        <v>3406</v>
      </c>
    </row>
    <row r="598" spans="1:150" ht="15" hidden="1" customHeight="1">
      <c r="D598" t="s">
        <v>691</v>
      </c>
      <c r="E598" t="s">
        <v>692</v>
      </c>
      <c r="G598" t="s">
        <v>693</v>
      </c>
      <c r="I598">
        <v>2007</v>
      </c>
      <c r="K598" s="295" t="s">
        <v>694</v>
      </c>
      <c r="M598" t="str">
        <f t="shared" si="686"/>
        <v>Eriksson_2007</v>
      </c>
      <c r="N598" t="s">
        <v>222</v>
      </c>
      <c r="O598" t="s">
        <v>223</v>
      </c>
      <c r="Q598" s="264" t="s">
        <v>256</v>
      </c>
      <c r="R598" s="269" t="s">
        <v>1153</v>
      </c>
      <c r="S598" s="1" t="s">
        <v>695</v>
      </c>
      <c r="T598" t="s">
        <v>696</v>
      </c>
      <c r="U598" s="143" t="s">
        <v>704</v>
      </c>
      <c r="V598">
        <v>0</v>
      </c>
      <c r="W598">
        <v>0</v>
      </c>
      <c r="X598">
        <v>0</v>
      </c>
      <c r="Y598">
        <v>0</v>
      </c>
      <c r="Z598">
        <v>0</v>
      </c>
      <c r="AA598">
        <v>1</v>
      </c>
      <c r="AB598">
        <v>0</v>
      </c>
      <c r="AC598">
        <v>0</v>
      </c>
      <c r="AD598">
        <v>0</v>
      </c>
      <c r="AE598">
        <v>0</v>
      </c>
      <c r="AF598">
        <v>0</v>
      </c>
      <c r="AG598">
        <v>0</v>
      </c>
      <c r="AH598">
        <v>0</v>
      </c>
      <c r="AI598">
        <v>0</v>
      </c>
      <c r="AJ598">
        <v>0</v>
      </c>
      <c r="AK598">
        <v>0</v>
      </c>
      <c r="AL598">
        <v>0</v>
      </c>
      <c r="AM598">
        <v>0</v>
      </c>
      <c r="AN598">
        <v>0</v>
      </c>
      <c r="AO598">
        <v>0</v>
      </c>
      <c r="AP598">
        <v>0</v>
      </c>
      <c r="AQ598">
        <v>0</v>
      </c>
      <c r="AR598">
        <v>0</v>
      </c>
      <c r="AS598">
        <v>0</v>
      </c>
      <c r="AT598">
        <v>0</v>
      </c>
      <c r="AU598">
        <v>0</v>
      </c>
      <c r="AV598">
        <v>0</v>
      </c>
      <c r="AW598">
        <v>0</v>
      </c>
      <c r="AX598" s="141">
        <f t="shared" si="656"/>
        <v>1</v>
      </c>
      <c r="AY598" s="141">
        <f t="shared" si="657"/>
        <v>1</v>
      </c>
      <c r="AZ598">
        <f t="shared" si="658"/>
        <v>1</v>
      </c>
      <c r="BA598">
        <f t="shared" si="659"/>
        <v>0</v>
      </c>
      <c r="BB598">
        <f t="shared" si="660"/>
        <v>0</v>
      </c>
      <c r="BC598">
        <f t="shared" si="661"/>
        <v>0</v>
      </c>
      <c r="BD598">
        <f t="shared" si="662"/>
        <v>0</v>
      </c>
      <c r="BE598" t="str" cm="1">
        <f t="array" ref="BE598">IF(AY598=1,INDEX($V$7:$AL$7,MATCH(TRUE,INDEX($V598:$AW598&lt;&gt;0,),0)),IF(AY598=0,INDEX($AM$7:$AW$7,MATCH(1,$AM598:$AW598,0)),IF(BF598="Multiple strategies","mixed drivers",IF(BF598="Supply chain","multiple supply","multiple silviculture"))))</f>
        <v>plantation density</v>
      </c>
      <c r="BF598" s="2" t="str" cm="1">
        <f t="array" ref="BF598">IF(COUNTIF(AZ598:BB598,"&lt;&gt;0")=1,INDEX($V$4:$AW$4,MATCH(TRUE,INDEX($V598:$AW598&lt;&gt;0,),0)),IF(COUNTIF(AZ598:BB598,"&lt;&gt;0")=0,INDEX($AM$4:$AW$4,MATCH(1,$AM598:$AW598,0)),"Multiple strategies"))</f>
        <v>Silviculture for productivity</v>
      </c>
      <c r="BG598" s="142" t="s">
        <v>321</v>
      </c>
      <c r="BH598" t="s">
        <v>698</v>
      </c>
      <c r="BI598" s="264" t="s">
        <v>699</v>
      </c>
      <c r="BJ598" s="143" t="s">
        <v>705</v>
      </c>
      <c r="BK598">
        <v>7.3</v>
      </c>
      <c r="BL598" s="143">
        <v>7.7</v>
      </c>
      <c r="BM598" s="143">
        <f>BL598/BK598</f>
        <v>1.0547945205479452</v>
      </c>
      <c r="BN598">
        <f t="shared" si="663"/>
        <v>0.40000000000000036</v>
      </c>
      <c r="BO598" s="143">
        <f t="shared" si="687"/>
        <v>0.40000000000000036</v>
      </c>
      <c r="BP598" t="s">
        <v>232</v>
      </c>
      <c r="BQ598" s="153" t="s">
        <v>701</v>
      </c>
      <c r="BR598" t="s">
        <v>702</v>
      </c>
      <c r="BS598" s="151">
        <v>1.0063694267515921</v>
      </c>
      <c r="BT598" s="151">
        <v>1.0700636942675161</v>
      </c>
      <c r="BU598">
        <f t="shared" si="688"/>
        <v>1.0632911392405067</v>
      </c>
      <c r="BV598">
        <f t="shared" si="664"/>
        <v>6.3694267515923997E-2</v>
      </c>
      <c r="BX598">
        <f>BV598*C_to_CO2</f>
        <v>0.23375796178344108</v>
      </c>
      <c r="BY598">
        <f t="shared" si="654"/>
        <v>0.5843949044586022</v>
      </c>
      <c r="BZ598" s="143">
        <v>0</v>
      </c>
      <c r="CA598" s="143">
        <v>0</v>
      </c>
      <c r="CB598" s="143">
        <v>0</v>
      </c>
      <c r="CC598" s="143">
        <v>0</v>
      </c>
      <c r="CD598" s="143">
        <v>0</v>
      </c>
      <c r="CE598" s="143">
        <v>0</v>
      </c>
      <c r="CF598" s="143">
        <v>0</v>
      </c>
      <c r="CG598" s="143">
        <v>0</v>
      </c>
      <c r="CH598" s="143">
        <v>0</v>
      </c>
      <c r="CI598" s="143">
        <v>0</v>
      </c>
      <c r="CJ598" s="143">
        <v>0</v>
      </c>
      <c r="CK598" s="143">
        <v>0</v>
      </c>
      <c r="CL598" s="143">
        <v>0</v>
      </c>
      <c r="CM598">
        <v>0</v>
      </c>
      <c r="CN598" t="str">
        <f t="shared" si="665"/>
        <v>refOK</v>
      </c>
      <c r="CO598">
        <f t="shared" si="683"/>
        <v>7.3</v>
      </c>
      <c r="CP598">
        <f t="shared" si="684"/>
        <v>7.7</v>
      </c>
      <c r="CQ598">
        <f t="shared" si="666"/>
        <v>0.40000000000000036</v>
      </c>
      <c r="CR598">
        <f t="shared" si="667"/>
        <v>1.0063694267515921</v>
      </c>
      <c r="CS598">
        <f t="shared" si="668"/>
        <v>1.0700636942675161</v>
      </c>
      <c r="CT598">
        <f t="shared" si="669"/>
        <v>0.23375796178344108</v>
      </c>
      <c r="CU598">
        <f t="shared" si="670"/>
        <v>0.5843949044586022</v>
      </c>
      <c r="CV598" s="2">
        <f t="shared" si="671"/>
        <v>6.3291139240506764E-2</v>
      </c>
      <c r="CW598" s="1" t="s">
        <v>234</v>
      </c>
      <c r="CX598" s="264" t="str">
        <f t="shared" si="672"/>
        <v>loc</v>
      </c>
      <c r="CY598" t="s">
        <v>264</v>
      </c>
      <c r="DA598" s="143"/>
      <c r="DB598" s="143">
        <v>300</v>
      </c>
      <c r="DC598" t="str">
        <f t="shared" si="673"/>
        <v>+100</v>
      </c>
      <c r="DD598">
        <v>0</v>
      </c>
      <c r="DE598">
        <v>1</v>
      </c>
      <c r="DF598">
        <v>0</v>
      </c>
      <c r="DG598">
        <v>0</v>
      </c>
      <c r="DI598">
        <f>SUM(DD598:DG598)</f>
        <v>1</v>
      </c>
      <c r="DJ598" t="str">
        <f t="shared" si="674"/>
        <v>EnergyInput</v>
      </c>
      <c r="DK598">
        <f t="shared" si="675"/>
        <v>0</v>
      </c>
      <c r="DL598" t="str">
        <f t="shared" si="676"/>
        <v>Energy</v>
      </c>
      <c r="DM598">
        <f t="shared" si="677"/>
        <v>0</v>
      </c>
      <c r="DN598">
        <f t="shared" si="678"/>
        <v>0</v>
      </c>
      <c r="DO598">
        <v>1</v>
      </c>
      <c r="DP598" s="143">
        <v>0</v>
      </c>
      <c r="DQ598" s="143">
        <v>0</v>
      </c>
      <c r="DR598">
        <v>0</v>
      </c>
      <c r="DS598" s="143">
        <v>0</v>
      </c>
      <c r="DT598">
        <f t="shared" si="679"/>
        <v>1</v>
      </c>
      <c r="DU598" s="143" t="str">
        <f t="shared" si="680"/>
        <v>self-calculated DF</v>
      </c>
      <c r="DV598" s="143">
        <v>1</v>
      </c>
      <c r="DW598" s="143">
        <v>1</v>
      </c>
      <c r="DX598" s="143">
        <v>0</v>
      </c>
      <c r="DY598" s="143">
        <v>0</v>
      </c>
      <c r="DZ598">
        <v>0</v>
      </c>
      <c r="EA598" s="143">
        <v>1</v>
      </c>
      <c r="EB598" s="143">
        <v>1</v>
      </c>
      <c r="EC598" s="143">
        <v>1</v>
      </c>
      <c r="ED598" s="143">
        <v>0</v>
      </c>
      <c r="EE598">
        <v>0</v>
      </c>
      <c r="EF598">
        <v>1</v>
      </c>
      <c r="EG598" s="143">
        <v>0</v>
      </c>
      <c r="EH598" s="143">
        <v>0</v>
      </c>
      <c r="EI598" s="2">
        <v>0</v>
      </c>
      <c r="EK598" t="str">
        <f t="shared" si="681"/>
        <v/>
      </c>
      <c r="EL598" t="str">
        <f t="shared" si="682"/>
        <v/>
      </c>
      <c r="EM598" s="2" t="str">
        <f t="shared" si="655"/>
        <v/>
      </c>
      <c r="EP598" t="str">
        <f>IF(ISNUMBER(BU598),IF(ABS(BU598-[4]QC_indicators!$B$2)&gt;3*[4]QC_indicators!$C$2,"C ratio",IF(ISNUMBER(BY598),IF(ABS(BY598-[4]QC_indicators!$B$1)&gt;3*[4]QC_indicators!$C$1,"DF","no"))),IF(ISNUMBER(BY598),IF(ABS(BY598-[4]QC_indicators!$B$1)&gt;3*[4]QC_indicators!$C$1,"DF","no")))</f>
        <v>no</v>
      </c>
      <c r="ER598" s="264" t="s">
        <v>706</v>
      </c>
      <c r="ET598" s="264" t="s">
        <v>3406</v>
      </c>
    </row>
    <row r="599" spans="1:150" ht="15" hidden="1" customHeight="1">
      <c r="D599" t="s">
        <v>691</v>
      </c>
      <c r="E599" t="s">
        <v>692</v>
      </c>
      <c r="G599" t="s">
        <v>693</v>
      </c>
      <c r="I599">
        <v>2007</v>
      </c>
      <c r="K599" s="295" t="s">
        <v>694</v>
      </c>
      <c r="M599" t="str">
        <f t="shared" si="686"/>
        <v>Eriksson_2007</v>
      </c>
      <c r="N599" t="s">
        <v>222</v>
      </c>
      <c r="O599" t="s">
        <v>223</v>
      </c>
      <c r="Q599" s="264" t="s">
        <v>256</v>
      </c>
      <c r="R599" s="269" t="s">
        <v>1153</v>
      </c>
      <c r="S599" s="1" t="s">
        <v>695</v>
      </c>
      <c r="T599" t="s">
        <v>696</v>
      </c>
      <c r="U599" s="143" t="s">
        <v>704</v>
      </c>
      <c r="V599">
        <v>0</v>
      </c>
      <c r="W599">
        <v>0</v>
      </c>
      <c r="X599">
        <v>0</v>
      </c>
      <c r="Y599">
        <v>0</v>
      </c>
      <c r="Z599">
        <v>0</v>
      </c>
      <c r="AA599">
        <v>1</v>
      </c>
      <c r="AB599">
        <v>0</v>
      </c>
      <c r="AC599">
        <v>0</v>
      </c>
      <c r="AD599">
        <v>0</v>
      </c>
      <c r="AE599">
        <v>0</v>
      </c>
      <c r="AF599">
        <v>0</v>
      </c>
      <c r="AG599">
        <v>0</v>
      </c>
      <c r="AH599">
        <v>0</v>
      </c>
      <c r="AI599">
        <v>0</v>
      </c>
      <c r="AJ599">
        <v>0</v>
      </c>
      <c r="AK599">
        <v>0</v>
      </c>
      <c r="AL599">
        <v>0</v>
      </c>
      <c r="AM599">
        <v>0</v>
      </c>
      <c r="AN599">
        <v>0</v>
      </c>
      <c r="AO599">
        <v>0</v>
      </c>
      <c r="AP599">
        <v>0</v>
      </c>
      <c r="AQ599">
        <v>0</v>
      </c>
      <c r="AR599">
        <v>0</v>
      </c>
      <c r="AS599">
        <v>0</v>
      </c>
      <c r="AT599">
        <v>0</v>
      </c>
      <c r="AU599">
        <v>0</v>
      </c>
      <c r="AV599">
        <v>0</v>
      </c>
      <c r="AW599">
        <v>0</v>
      </c>
      <c r="AX599" s="141">
        <f t="shared" si="656"/>
        <v>1</v>
      </c>
      <c r="AY599" s="141">
        <f t="shared" si="657"/>
        <v>1</v>
      </c>
      <c r="AZ599">
        <f t="shared" si="658"/>
        <v>1</v>
      </c>
      <c r="BA599">
        <f t="shared" si="659"/>
        <v>0</v>
      </c>
      <c r="BB599">
        <f t="shared" si="660"/>
        <v>0</v>
      </c>
      <c r="BC599">
        <f t="shared" si="661"/>
        <v>0</v>
      </c>
      <c r="BD599">
        <f t="shared" si="662"/>
        <v>0</v>
      </c>
      <c r="BE599" t="str" cm="1">
        <f t="array" ref="BE599">IF(AY599=1,INDEX($V$7:$AL$7,MATCH(TRUE,INDEX($V599:$AW599&lt;&gt;0,),0)),IF(AY599=0,INDEX($AM$7:$AW$7,MATCH(1,$AM599:$AW599,0)),IF(BF599="Multiple strategies","mixed drivers",IF(BF599="Supply chain","multiple supply","multiple silviculture"))))</f>
        <v>plantation density</v>
      </c>
      <c r="BF599" s="2" t="str" cm="1">
        <f t="array" ref="BF599">IF(COUNTIF(AZ599:BB599,"&lt;&gt;0")=1,INDEX($V$4:$AW$4,MATCH(TRUE,INDEX($V599:$AW599&lt;&gt;0,),0)),IF(COUNTIF(AZ599:BB599,"&lt;&gt;0")=0,INDEX($AM$4:$AW$4,MATCH(1,$AM599:$AW599,0)),"Multiple strategies"))</f>
        <v>Silviculture for productivity</v>
      </c>
      <c r="BG599" s="142" t="s">
        <v>321</v>
      </c>
      <c r="BH599" t="s">
        <v>698</v>
      </c>
      <c r="BI599" s="264" t="s">
        <v>699</v>
      </c>
      <c r="BJ599" s="143" t="s">
        <v>705</v>
      </c>
      <c r="BK599">
        <v>7.3</v>
      </c>
      <c r="BL599" s="143">
        <v>7.7</v>
      </c>
      <c r="BM599" s="143">
        <f>BL599/BK599</f>
        <v>1.0547945205479452</v>
      </c>
      <c r="BN599">
        <f t="shared" si="663"/>
        <v>0.40000000000000036</v>
      </c>
      <c r="BO599" s="143">
        <f t="shared" si="687"/>
        <v>0.40000000000000036</v>
      </c>
      <c r="BP599" t="s">
        <v>232</v>
      </c>
      <c r="BQ599" s="153" t="s">
        <v>701</v>
      </c>
      <c r="BR599" t="s">
        <v>702</v>
      </c>
      <c r="BS599" s="151">
        <v>1.93630573248407</v>
      </c>
      <c r="BT599" s="151">
        <v>2.050955414012734</v>
      </c>
      <c r="BU599">
        <f t="shared" si="688"/>
        <v>1.0592105263157905</v>
      </c>
      <c r="BV599">
        <f t="shared" si="664"/>
        <v>0.11464968152866395</v>
      </c>
      <c r="BX599">
        <f>BV599*C_to_CO2</f>
        <v>0.42076433121019668</v>
      </c>
      <c r="BY599">
        <f t="shared" si="654"/>
        <v>1.0519108280254907</v>
      </c>
      <c r="BZ599" s="143">
        <v>0</v>
      </c>
      <c r="CA599" s="143">
        <v>0</v>
      </c>
      <c r="CB599" s="143">
        <v>0</v>
      </c>
      <c r="CC599" s="143">
        <v>0</v>
      </c>
      <c r="CD599" s="143">
        <v>0</v>
      </c>
      <c r="CE599" s="143">
        <v>0</v>
      </c>
      <c r="CF599" s="143">
        <v>0</v>
      </c>
      <c r="CG599" s="143">
        <v>0</v>
      </c>
      <c r="CH599" s="143">
        <v>0</v>
      </c>
      <c r="CI599" s="143">
        <v>0</v>
      </c>
      <c r="CJ599" s="143">
        <v>0</v>
      </c>
      <c r="CK599" s="143">
        <v>0</v>
      </c>
      <c r="CL599" s="143">
        <v>0</v>
      </c>
      <c r="CM599">
        <v>0</v>
      </c>
      <c r="CN599" t="str">
        <f t="shared" si="665"/>
        <v>refOK</v>
      </c>
      <c r="CO599">
        <f t="shared" si="683"/>
        <v>7.3</v>
      </c>
      <c r="CP599">
        <f t="shared" si="684"/>
        <v>7.7</v>
      </c>
      <c r="CQ599">
        <f t="shared" si="666"/>
        <v>0.40000000000000036</v>
      </c>
      <c r="CR599">
        <f t="shared" si="667"/>
        <v>1.93630573248407</v>
      </c>
      <c r="CS599">
        <f t="shared" si="668"/>
        <v>2.050955414012734</v>
      </c>
      <c r="CT599">
        <f t="shared" si="669"/>
        <v>0.42076433121019668</v>
      </c>
      <c r="CU599">
        <f t="shared" si="670"/>
        <v>1.0519108280254907</v>
      </c>
      <c r="CV599" s="2">
        <f t="shared" si="671"/>
        <v>5.9210526315790463E-2</v>
      </c>
      <c r="CW599" s="1" t="s">
        <v>234</v>
      </c>
      <c r="CX599" s="264" t="str">
        <f t="shared" si="672"/>
        <v>loc</v>
      </c>
      <c r="CY599" t="s">
        <v>264</v>
      </c>
      <c r="DA599" s="143"/>
      <c r="DB599" s="143">
        <v>300</v>
      </c>
      <c r="DC599" t="str">
        <f t="shared" si="673"/>
        <v>+100</v>
      </c>
      <c r="DD599">
        <v>0</v>
      </c>
      <c r="DE599">
        <v>0</v>
      </c>
      <c r="DF599">
        <v>0</v>
      </c>
      <c r="DG599">
        <v>1</v>
      </c>
      <c r="DI599">
        <f>SUM(DD599:DG599)</f>
        <v>1</v>
      </c>
      <c r="DJ599" t="str">
        <f t="shared" si="674"/>
        <v>TimberInput</v>
      </c>
      <c r="DK599">
        <f t="shared" si="675"/>
        <v>0</v>
      </c>
      <c r="DL599">
        <f t="shared" si="676"/>
        <v>0</v>
      </c>
      <c r="DM599">
        <f t="shared" si="677"/>
        <v>0</v>
      </c>
      <c r="DN599" t="str">
        <f t="shared" si="678"/>
        <v>Timber</v>
      </c>
      <c r="DO599">
        <v>1</v>
      </c>
      <c r="DP599" s="143">
        <v>0</v>
      </c>
      <c r="DQ599" s="143">
        <v>0</v>
      </c>
      <c r="DR599">
        <v>0</v>
      </c>
      <c r="DS599" s="143">
        <v>0</v>
      </c>
      <c r="DT599">
        <f t="shared" si="679"/>
        <v>1</v>
      </c>
      <c r="DU599" s="143" t="str">
        <f t="shared" si="680"/>
        <v>self-calculated DF</v>
      </c>
      <c r="DV599" s="143">
        <v>1</v>
      </c>
      <c r="DW599" s="143">
        <v>1</v>
      </c>
      <c r="DX599" s="143">
        <v>0</v>
      </c>
      <c r="DY599" s="143">
        <v>0</v>
      </c>
      <c r="DZ599">
        <v>0</v>
      </c>
      <c r="EA599" s="143">
        <v>1</v>
      </c>
      <c r="EB599" s="143">
        <v>1</v>
      </c>
      <c r="EC599" s="143">
        <v>1</v>
      </c>
      <c r="ED599" s="143">
        <v>0</v>
      </c>
      <c r="EE599">
        <v>0</v>
      </c>
      <c r="EF599">
        <v>1</v>
      </c>
      <c r="EG599" s="143">
        <v>0</v>
      </c>
      <c r="EH599" s="143">
        <v>0</v>
      </c>
      <c r="EI599" s="2">
        <v>0</v>
      </c>
      <c r="EK599" t="str">
        <f t="shared" si="681"/>
        <v/>
      </c>
      <c r="EL599" t="str">
        <f t="shared" si="682"/>
        <v/>
      </c>
      <c r="EM599" s="2" t="str">
        <f t="shared" si="655"/>
        <v/>
      </c>
      <c r="EP599" t="str">
        <f>IF(ISNUMBER(BU599),IF(ABS(BU599-[4]QC_indicators!$B$2)&gt;3*[4]QC_indicators!$C$2,"C ratio",IF(ISNUMBER(BY599),IF(ABS(BY599-[4]QC_indicators!$B$1)&gt;3*[4]QC_indicators!$C$1,"DF","no"))),IF(ISNUMBER(BY599),IF(ABS(BY599-[4]QC_indicators!$B$1)&gt;3*[4]QC_indicators!$C$1,"DF","no")))</f>
        <v>no</v>
      </c>
      <c r="ER599" s="264" t="s">
        <v>706</v>
      </c>
      <c r="ET599" s="264" t="s">
        <v>3406</v>
      </c>
    </row>
    <row r="600" spans="1:150" ht="15" hidden="1" customHeight="1">
      <c r="D600" t="s">
        <v>691</v>
      </c>
      <c r="E600" t="s">
        <v>692</v>
      </c>
      <c r="G600" t="s">
        <v>693</v>
      </c>
      <c r="I600">
        <v>2007</v>
      </c>
      <c r="K600" s="295" t="s">
        <v>694</v>
      </c>
      <c r="M600" t="str">
        <f t="shared" si="686"/>
        <v>Eriksson_2007</v>
      </c>
      <c r="N600" t="s">
        <v>222</v>
      </c>
      <c r="O600" t="s">
        <v>223</v>
      </c>
      <c r="Q600" s="264" t="s">
        <v>256</v>
      </c>
      <c r="R600" s="269" t="s">
        <v>1153</v>
      </c>
      <c r="S600" s="1" t="s">
        <v>695</v>
      </c>
      <c r="T600" t="s">
        <v>696</v>
      </c>
      <c r="U600" s="143" t="s">
        <v>697</v>
      </c>
      <c r="V600">
        <v>0</v>
      </c>
      <c r="W600">
        <v>0</v>
      </c>
      <c r="X600">
        <v>0</v>
      </c>
      <c r="Y600">
        <v>0</v>
      </c>
      <c r="Z600">
        <v>0</v>
      </c>
      <c r="AA600">
        <v>0</v>
      </c>
      <c r="AB600">
        <v>1</v>
      </c>
      <c r="AC600">
        <v>0</v>
      </c>
      <c r="AD600">
        <v>0</v>
      </c>
      <c r="AE600">
        <v>0</v>
      </c>
      <c r="AF600">
        <v>0</v>
      </c>
      <c r="AG600">
        <v>0</v>
      </c>
      <c r="AH600">
        <v>0</v>
      </c>
      <c r="AI600">
        <v>0</v>
      </c>
      <c r="AJ600">
        <v>0</v>
      </c>
      <c r="AK600">
        <v>0</v>
      </c>
      <c r="AL600">
        <v>0</v>
      </c>
      <c r="AM600">
        <v>0</v>
      </c>
      <c r="AN600">
        <v>0</v>
      </c>
      <c r="AO600">
        <v>0</v>
      </c>
      <c r="AP600">
        <v>0</v>
      </c>
      <c r="AQ600">
        <v>0</v>
      </c>
      <c r="AR600">
        <v>0</v>
      </c>
      <c r="AS600">
        <v>0</v>
      </c>
      <c r="AT600">
        <v>0</v>
      </c>
      <c r="AU600">
        <v>0</v>
      </c>
      <c r="AV600">
        <v>0</v>
      </c>
      <c r="AW600">
        <v>0</v>
      </c>
      <c r="AX600" s="141">
        <f t="shared" si="656"/>
        <v>1</v>
      </c>
      <c r="AY600" s="141">
        <f t="shared" si="657"/>
        <v>1</v>
      </c>
      <c r="AZ600">
        <f t="shared" si="658"/>
        <v>1</v>
      </c>
      <c r="BA600">
        <f t="shared" si="659"/>
        <v>0</v>
      </c>
      <c r="BB600">
        <f t="shared" si="660"/>
        <v>0</v>
      </c>
      <c r="BC600">
        <f t="shared" si="661"/>
        <v>0</v>
      </c>
      <c r="BD600">
        <f t="shared" si="662"/>
        <v>0</v>
      </c>
      <c r="BE600" t="str" cm="1">
        <f t="array" ref="BE600">IF(AY600=1,INDEX($V$7:$AL$7,MATCH(TRUE,INDEX($V600:$AW600&lt;&gt;0,),0)),IF(AY600=0,INDEX($AM$7:$AW$7,MATCH(1,$AM600:$AW600,0)),IF(BF600="Multiple strategies","mixed drivers",IF(BF600="Supply chain","multiple supply","multiple silviculture"))))</f>
        <v>fertilisation</v>
      </c>
      <c r="BF600" s="2" t="str" cm="1">
        <f t="array" ref="BF600">IF(COUNTIF(AZ600:BB600,"&lt;&gt;0")=1,INDEX($V$4:$AW$4,MATCH(TRUE,INDEX($V600:$AW600&lt;&gt;0,),0)),IF(COUNTIF(AZ600:BB600,"&lt;&gt;0")=0,INDEX($AM$4:$AW$4,MATCH(1,$AM600:$AW600,0)),"Multiple strategies"))</f>
        <v>Silviculture for productivity</v>
      </c>
      <c r="BG600" s="142" t="s">
        <v>321</v>
      </c>
      <c r="BH600" t="s">
        <v>698</v>
      </c>
      <c r="BI600" s="264" t="s">
        <v>699</v>
      </c>
      <c r="BJ600" s="143" t="s">
        <v>700</v>
      </c>
      <c r="BK600">
        <v>7.3</v>
      </c>
      <c r="BL600" s="143">
        <v>10</v>
      </c>
      <c r="BM600" s="143">
        <f>BL600/BK600</f>
        <v>1.3698630136986301</v>
      </c>
      <c r="BN600">
        <f t="shared" si="663"/>
        <v>2.7</v>
      </c>
      <c r="BO600" s="143">
        <f t="shared" si="687"/>
        <v>2.7</v>
      </c>
      <c r="BP600" t="s">
        <v>232</v>
      </c>
      <c r="BQ600" s="153" t="s">
        <v>701</v>
      </c>
      <c r="BR600" s="141" t="s">
        <v>702</v>
      </c>
      <c r="BS600" s="151">
        <v>1.93630573248407</v>
      </c>
      <c r="BT600" s="151">
        <v>2.7643312101910738</v>
      </c>
      <c r="BU600">
        <f t="shared" si="688"/>
        <v>1.4276315789473686</v>
      </c>
      <c r="BV600">
        <f t="shared" si="664"/>
        <v>0.82802547770700374</v>
      </c>
      <c r="BX600">
        <f>BV600*C_to_CO2</f>
        <v>3.0388535031847037</v>
      </c>
      <c r="BY600">
        <f t="shared" si="654"/>
        <v>1.1255012974758161</v>
      </c>
      <c r="BZ600" s="143">
        <v>0</v>
      </c>
      <c r="CA600" s="143">
        <v>0</v>
      </c>
      <c r="CB600" s="143">
        <v>0</v>
      </c>
      <c r="CC600" s="143">
        <v>0</v>
      </c>
      <c r="CD600" s="143">
        <v>0</v>
      </c>
      <c r="CE600" s="143">
        <v>0</v>
      </c>
      <c r="CF600" s="143">
        <v>0</v>
      </c>
      <c r="CG600" s="143">
        <v>0</v>
      </c>
      <c r="CH600" s="143">
        <v>0</v>
      </c>
      <c r="CI600" s="143">
        <v>0</v>
      </c>
      <c r="CJ600" s="143">
        <v>0</v>
      </c>
      <c r="CK600" s="143">
        <v>0</v>
      </c>
      <c r="CL600" s="143">
        <v>0</v>
      </c>
      <c r="CM600">
        <v>0</v>
      </c>
      <c r="CN600" t="str">
        <f t="shared" si="665"/>
        <v>refOK</v>
      </c>
      <c r="CO600">
        <f t="shared" si="683"/>
        <v>7.3</v>
      </c>
      <c r="CP600">
        <f t="shared" si="684"/>
        <v>10</v>
      </c>
      <c r="CQ600">
        <f t="shared" si="666"/>
        <v>2.7</v>
      </c>
      <c r="CR600">
        <f t="shared" si="667"/>
        <v>1.93630573248407</v>
      </c>
      <c r="CS600">
        <f t="shared" si="668"/>
        <v>2.7643312101910738</v>
      </c>
      <c r="CT600">
        <f t="shared" si="669"/>
        <v>3.0388535031847037</v>
      </c>
      <c r="CU600">
        <f t="shared" si="670"/>
        <v>1.1255012974758161</v>
      </c>
      <c r="CV600" s="2">
        <f t="shared" si="671"/>
        <v>0.42763157894736847</v>
      </c>
      <c r="CW600" s="1" t="s">
        <v>234</v>
      </c>
      <c r="CX600" s="264" t="str">
        <f t="shared" si="672"/>
        <v>loc</v>
      </c>
      <c r="CY600" t="s">
        <v>264</v>
      </c>
      <c r="DA600" s="143"/>
      <c r="DB600" s="143">
        <v>300</v>
      </c>
      <c r="DC600" t="str">
        <f t="shared" si="673"/>
        <v>+100</v>
      </c>
      <c r="DD600">
        <v>0</v>
      </c>
      <c r="DE600">
        <v>0</v>
      </c>
      <c r="DF600">
        <v>0</v>
      </c>
      <c r="DG600">
        <v>1</v>
      </c>
      <c r="DI600">
        <f>SUM(DD600:DG600)</f>
        <v>1</v>
      </c>
      <c r="DJ600" t="str">
        <f t="shared" si="674"/>
        <v>TimberInput</v>
      </c>
      <c r="DK600">
        <f t="shared" si="675"/>
        <v>0</v>
      </c>
      <c r="DL600">
        <f t="shared" si="676"/>
        <v>0</v>
      </c>
      <c r="DM600">
        <f t="shared" si="677"/>
        <v>0</v>
      </c>
      <c r="DN600" t="str">
        <f t="shared" si="678"/>
        <v>Timber</v>
      </c>
      <c r="DO600">
        <v>1</v>
      </c>
      <c r="DP600" s="143">
        <v>0</v>
      </c>
      <c r="DQ600" s="143">
        <v>0</v>
      </c>
      <c r="DR600">
        <v>0</v>
      </c>
      <c r="DS600" s="143">
        <v>0</v>
      </c>
      <c r="DT600">
        <f t="shared" si="679"/>
        <v>1</v>
      </c>
      <c r="DU600" s="143" t="str">
        <f t="shared" si="680"/>
        <v>self-calculated DF</v>
      </c>
      <c r="DV600" s="143">
        <v>1</v>
      </c>
      <c r="DW600" s="143">
        <v>1</v>
      </c>
      <c r="DX600" s="143">
        <v>0</v>
      </c>
      <c r="DY600" s="143">
        <v>0</v>
      </c>
      <c r="DZ600">
        <v>0</v>
      </c>
      <c r="EA600" s="143">
        <v>1</v>
      </c>
      <c r="EB600" s="143">
        <v>1</v>
      </c>
      <c r="EC600" s="143">
        <v>1</v>
      </c>
      <c r="ED600" s="143">
        <v>0</v>
      </c>
      <c r="EE600">
        <v>0</v>
      </c>
      <c r="EF600">
        <v>1</v>
      </c>
      <c r="EG600" s="143">
        <v>0</v>
      </c>
      <c r="EH600" s="143">
        <v>0</v>
      </c>
      <c r="EI600" s="2">
        <v>0</v>
      </c>
      <c r="EK600" t="str">
        <f t="shared" si="681"/>
        <v/>
      </c>
      <c r="EL600" t="str">
        <f t="shared" si="682"/>
        <v/>
      </c>
      <c r="EM600" s="2" t="str">
        <f t="shared" si="655"/>
        <v/>
      </c>
      <c r="EP600" t="str">
        <f>IF(ISNUMBER(BU600),IF(ABS(BU600-[4]QC_indicators!$B$2)&gt;3*[4]QC_indicators!$C$2,"C ratio",IF(ISNUMBER(BY600),IF(ABS(BY600-[4]QC_indicators!$B$1)&gt;3*[4]QC_indicators!$C$1,"DF","no"))),IF(ISNUMBER(BY600),IF(ABS(BY600-[4]QC_indicators!$B$1)&gt;3*[4]QC_indicators!$C$1,"DF","no")))</f>
        <v>no</v>
      </c>
      <c r="ER600" s="264" t="s">
        <v>703</v>
      </c>
      <c r="ET600" s="264" t="s">
        <v>3406</v>
      </c>
    </row>
    <row r="601" spans="1:150" ht="15" hidden="1" customHeight="1">
      <c r="A601" s="1" t="s">
        <v>333</v>
      </c>
      <c r="B601" t="s">
        <v>4780</v>
      </c>
      <c r="C601" t="s">
        <v>4781</v>
      </c>
      <c r="D601" t="s">
        <v>4782</v>
      </c>
      <c r="E601" t="s">
        <v>4783</v>
      </c>
      <c r="F601" t="s">
        <v>4784</v>
      </c>
      <c r="G601" t="s">
        <v>339</v>
      </c>
      <c r="H601" t="s">
        <v>254</v>
      </c>
      <c r="I601">
        <v>2016</v>
      </c>
      <c r="J601">
        <v>26</v>
      </c>
      <c r="K601" t="s">
        <v>4785</v>
      </c>
      <c r="M601" t="str">
        <f t="shared" si="686"/>
        <v>Escamilla_2016</v>
      </c>
      <c r="N601" t="s">
        <v>1351</v>
      </c>
      <c r="O601" s="171" t="s">
        <v>274</v>
      </c>
      <c r="P601" t="s">
        <v>513</v>
      </c>
      <c r="Q601" s="311" t="s">
        <v>389</v>
      </c>
      <c r="R601" s="312"/>
      <c r="AX601" s="141"/>
      <c r="AY601" s="141"/>
      <c r="BE601"/>
      <c r="BF601" s="2"/>
      <c r="BU601" s="144"/>
      <c r="BY601" t="str">
        <f t="shared" si="654"/>
        <v/>
      </c>
      <c r="CN601"/>
      <c r="CO601"/>
      <c r="CP601"/>
      <c r="CQ601"/>
      <c r="CR601"/>
      <c r="CS601"/>
      <c r="CT601"/>
      <c r="CU601"/>
      <c r="CV601" s="2"/>
      <c r="CX601"/>
      <c r="DC601"/>
      <c r="DI601"/>
      <c r="DJ601"/>
      <c r="DK601"/>
      <c r="DL601"/>
      <c r="DM601"/>
      <c r="DN601"/>
      <c r="DT601"/>
      <c r="DU601" s="143"/>
      <c r="EA601" s="143"/>
      <c r="EK601" t="str">
        <f t="shared" ref="EK601:EK606" si="691">IF(AND(AND(AND(OR($DX601=1,$DW601=1),OR($EC601=1,$EA601=1)),SUM($DV601:$DZ601,$EF601)&gt;=3),SUM($EA601:$EE601)&gt;=2),"Whole sector","")</f>
        <v/>
      </c>
      <c r="EL601" t="str">
        <f t="shared" ref="EL601:EL606" si="692">IF(AND(AND(OR($DX601=1,$DW601=1),AND($EC601=0,$EA601=0)),SUM($DV601:$DZ601,$EF601)&gt;=3),"Ecosystem approach","")</f>
        <v/>
      </c>
      <c r="EM601" s="2" t="str">
        <f t="shared" si="655"/>
        <v/>
      </c>
      <c r="EN601" s="311" t="s">
        <v>4786</v>
      </c>
      <c r="EO601" s="311" t="s">
        <v>1351</v>
      </c>
      <c r="EP601" t="b">
        <f>IF(ISNUMBER(BU601),IF(ABS(BU601-[1]QC_indicators!$B$2)&gt;3*[1]QC_indicators!$C$2,"C ratio",IF(ISNUMBER(BY601),IF(ABS(BY601-[1]QC_indicators!$B$1)&gt;3*[1]QC_indicators!$C$1,"DF","no"))),IF(ISNUMBER(BY601),IF(ABS(BY601-[1]QC_indicators!$B$1)&gt;3*[1]QC_indicators!$C$1,"DF","no")))</f>
        <v>0</v>
      </c>
      <c r="ER601" s="311" t="s">
        <v>4787</v>
      </c>
    </row>
    <row r="602" spans="1:150" ht="15" hidden="1" customHeight="1">
      <c r="A602" s="1" t="s">
        <v>380</v>
      </c>
      <c r="B602" t="s">
        <v>3577</v>
      </c>
      <c r="C602" t="s">
        <v>3578</v>
      </c>
      <c r="D602" t="s">
        <v>3579</v>
      </c>
      <c r="E602" t="s">
        <v>3580</v>
      </c>
      <c r="F602" t="s">
        <v>3581</v>
      </c>
      <c r="G602" t="s">
        <v>386</v>
      </c>
      <c r="H602" t="s">
        <v>254</v>
      </c>
      <c r="I602">
        <v>2010</v>
      </c>
      <c r="J602">
        <v>22</v>
      </c>
      <c r="K602" t="s">
        <v>3582</v>
      </c>
      <c r="M602" t="str">
        <f t="shared" si="686"/>
        <v>Eshun_2010</v>
      </c>
      <c r="N602" s="311" t="s">
        <v>4382</v>
      </c>
      <c r="O602" s="145" t="s">
        <v>274</v>
      </c>
      <c r="Q602" s="311" t="s">
        <v>256</v>
      </c>
      <c r="R602" s="312"/>
      <c r="S602" s="1" t="s">
        <v>3583</v>
      </c>
      <c r="T602" t="s">
        <v>3584</v>
      </c>
      <c r="U602" t="s">
        <v>3585</v>
      </c>
      <c r="V602">
        <v>0</v>
      </c>
      <c r="W602">
        <v>0</v>
      </c>
      <c r="X602">
        <v>0</v>
      </c>
      <c r="Y602">
        <v>0</v>
      </c>
      <c r="Z602">
        <v>0</v>
      </c>
      <c r="AA602">
        <v>0</v>
      </c>
      <c r="AB602">
        <v>0</v>
      </c>
      <c r="AC602">
        <v>0</v>
      </c>
      <c r="AD602">
        <v>0</v>
      </c>
      <c r="AE602">
        <v>0</v>
      </c>
      <c r="AF602">
        <v>1</v>
      </c>
      <c r="AG602">
        <v>0</v>
      </c>
      <c r="AH602">
        <v>0</v>
      </c>
      <c r="AI602">
        <v>0</v>
      </c>
      <c r="AJ602">
        <v>0</v>
      </c>
      <c r="AK602">
        <v>0</v>
      </c>
      <c r="AL602">
        <v>0</v>
      </c>
      <c r="AM602">
        <v>0</v>
      </c>
      <c r="AN602">
        <v>0</v>
      </c>
      <c r="AO602">
        <v>0</v>
      </c>
      <c r="AP602">
        <v>0</v>
      </c>
      <c r="AQ602">
        <v>0</v>
      </c>
      <c r="AR602">
        <v>0</v>
      </c>
      <c r="AS602">
        <v>0</v>
      </c>
      <c r="AT602">
        <v>0</v>
      </c>
      <c r="AU602">
        <v>0</v>
      </c>
      <c r="AV602">
        <v>0</v>
      </c>
      <c r="AW602">
        <v>0</v>
      </c>
      <c r="AX602" s="141">
        <f>COUNTIF(V602:AW602,"&lt;&gt;0")</f>
        <v>1</v>
      </c>
      <c r="AY602" s="141">
        <f>COUNTIF(V602:AL602,"&lt;&gt;0")</f>
        <v>1</v>
      </c>
      <c r="AZ602">
        <f>COUNTIF(V602:AC602,"&lt;&gt;0")</f>
        <v>0</v>
      </c>
      <c r="BA602">
        <f>COUNTIF(AD602:AI602,"&lt;&gt;0")</f>
        <v>1</v>
      </c>
      <c r="BB602">
        <f>COUNTIF(AJ602:AL602,"&lt;&gt;0")</f>
        <v>0</v>
      </c>
      <c r="BC602">
        <f>COUNTIF(AS602:AW602,"&lt;&gt;0")</f>
        <v>0</v>
      </c>
      <c r="BD602">
        <f>COUNTIF(AM602:AR602,"&lt;&gt;0")</f>
        <v>0</v>
      </c>
      <c r="BE602" t="str" cm="1">
        <f t="array" ref="BE602">IF(AY602=1,INDEX($V$7:$AL$7,MATCH(TRUE,INDEX($V602:$AW602&lt;&gt;0,),0)),IF(AY602=0,INDEX($AM$7:$AW$7,MATCH(1,$AM602:$AW602,0)),IF(BF602="Multiple strategies","mixed drivers",IF(BF602="Supply chain","multiple supply","multiple silviculture"))))</f>
        <v>supply chain organization</v>
      </c>
      <c r="BF602" s="2" t="str" cm="1">
        <f t="array" ref="BF602">IF(COUNTIF(AZ602:BB602,"&lt;&gt;0")=1,INDEX($V$4:$AW$4,MATCH(TRUE,INDEX($V602:$AW602&lt;&gt;0,),0)),IF(COUNTIF(AZ602:BB602,"&lt;&gt;0")=0,INDEX($AM$4:$AW$4,MATCH(1,$AM602:$AW602,0)),"Multiple strategies"))</f>
        <v>Supply chain</v>
      </c>
      <c r="BG602" s="142" t="s">
        <v>321</v>
      </c>
      <c r="BH602" t="s">
        <v>3586</v>
      </c>
      <c r="BJ602" t="s">
        <v>498</v>
      </c>
      <c r="BK602">
        <v>1</v>
      </c>
      <c r="BL602">
        <v>1</v>
      </c>
      <c r="BM602">
        <f>BL602/BK602</f>
        <v>1</v>
      </c>
      <c r="BN602">
        <f>BL602-BK602</f>
        <v>0</v>
      </c>
      <c r="BO602">
        <f>BN602</f>
        <v>0</v>
      </c>
      <c r="BP602" t="s">
        <v>232</v>
      </c>
      <c r="BR602" t="s">
        <v>3587</v>
      </c>
      <c r="BS602">
        <v>-2.5261562500000001E-2</v>
      </c>
      <c r="BT602">
        <v>-0.87240555555555566</v>
      </c>
      <c r="BU602" s="144">
        <f>IFERROR(BT602/BS602,"")</f>
        <v>34.534900822368201</v>
      </c>
      <c r="BV602" s="152">
        <f>BT602-BS602</f>
        <v>-0.84714399305555566</v>
      </c>
      <c r="BW602" s="152"/>
      <c r="BX602" s="152">
        <f>BV602</f>
        <v>-0.84714399305555566</v>
      </c>
      <c r="BY602" t="str">
        <f t="shared" si="654"/>
        <v/>
      </c>
      <c r="BZ602">
        <v>0</v>
      </c>
      <c r="CA602">
        <v>1</v>
      </c>
      <c r="CB602">
        <v>1</v>
      </c>
      <c r="CC602">
        <v>1</v>
      </c>
      <c r="CD602">
        <v>1</v>
      </c>
      <c r="CE602">
        <v>1</v>
      </c>
      <c r="CF602">
        <v>1</v>
      </c>
      <c r="CG602">
        <v>0</v>
      </c>
      <c r="CH602">
        <v>0</v>
      </c>
      <c r="CI602">
        <v>0</v>
      </c>
      <c r="CJ602">
        <v>0</v>
      </c>
      <c r="CK602">
        <v>0</v>
      </c>
      <c r="CL602">
        <v>0</v>
      </c>
      <c r="CM602">
        <v>0</v>
      </c>
      <c r="CN602" t="str">
        <f>IF(BL602&lt;BK602,"refNeedCorrection","refOK")</f>
        <v>refOK</v>
      </c>
      <c r="CO602">
        <f>IF($CN602="refOK",$BK602,$BL602)</f>
        <v>1</v>
      </c>
      <c r="CP602">
        <f>IF($CN602="refOK",$BL602,$BK602)</f>
        <v>1</v>
      </c>
      <c r="CQ602">
        <f>IF($CN602="refOK",$BO602,-$BO602)</f>
        <v>0</v>
      </c>
      <c r="CR602">
        <f>IF($CN602="refOK",$BS602,$BT602)*IF($BP602="Emissions positive",-1,1)</f>
        <v>-2.5261562500000001E-2</v>
      </c>
      <c r="CS602">
        <f>IF($CN602="refOK",$BT602,$BS602)*IF($BP602="Emissions positive",-1,1)</f>
        <v>-0.87240555555555566</v>
      </c>
      <c r="CT602">
        <f>IF($CN602="refNeedCorrection",-BX602,BX602)*IF($BP602="Emissions positive",-1,1)</f>
        <v>-0.84714399305555566</v>
      </c>
      <c r="CU602" t="str">
        <f>IFERROR(CT602/CQ602,"")</f>
        <v/>
      </c>
      <c r="CV602" s="2">
        <f>IFERROR((CS602-CR602)/ABS(CR602),"")</f>
        <v>-33.534900822368201</v>
      </c>
      <c r="CW602" s="1" t="s">
        <v>1202</v>
      </c>
      <c r="CX602" s="311" t="str">
        <f>IF(OR($CW602="prd",$CW602="std",$CW602="cit"),"loc",IF(OR($CW602="eur",$CW602="reg",$CW602="coy"),"reg",$CW602))</f>
        <v>reg</v>
      </c>
      <c r="CY602" t="s">
        <v>3588</v>
      </c>
      <c r="CZ602">
        <v>2000</v>
      </c>
      <c r="DA602">
        <v>2007</v>
      </c>
      <c r="DB602">
        <v>7</v>
      </c>
      <c r="DC602" t="str">
        <f>IF(DB602=0,"0",IF(AND(DB602&gt;=1,DB602&lt;=30),"1-30",IF(AND(DB602&gt;30,DB602&lt;=70),"31-70",IF(AND(DB602&gt;70,DB602&lt;=100),"71-100",IF(DB602&gt;100,"+100")))))</f>
        <v>1-30</v>
      </c>
      <c r="DD602">
        <v>0</v>
      </c>
      <c r="DE602">
        <v>0</v>
      </c>
      <c r="DF602">
        <v>0</v>
      </c>
      <c r="DG602">
        <v>1</v>
      </c>
      <c r="DI602">
        <f>SUM(DD602:DG602)</f>
        <v>1</v>
      </c>
      <c r="DJ602" t="str">
        <f>IF(DI602=1,INDEX($DD$7:$DG$7,MATCH(1,$DD602:$DG602,0)),"mixedProduct")</f>
        <v>TimberInput</v>
      </c>
      <c r="DK602">
        <f t="shared" ref="DK602:DN604" si="693">IF(DD602=1,DK$7,0)</f>
        <v>0</v>
      </c>
      <c r="DL602">
        <f t="shared" si="693"/>
        <v>0</v>
      </c>
      <c r="DM602">
        <f t="shared" si="693"/>
        <v>0</v>
      </c>
      <c r="DN602" t="str">
        <f t="shared" si="693"/>
        <v>Timber</v>
      </c>
      <c r="DO602">
        <v>0</v>
      </c>
      <c r="DP602">
        <v>0</v>
      </c>
      <c r="DQ602">
        <v>0</v>
      </c>
      <c r="DR602">
        <v>0</v>
      </c>
      <c r="DS602">
        <v>0</v>
      </c>
      <c r="DT602">
        <f>SUM(DO602:DP602)</f>
        <v>0</v>
      </c>
      <c r="DU602" s="143" t="str">
        <f>IF(DO602=1,"self-calculated DF",IF(DP602=1,"external DF used","explicit C balance"))</f>
        <v>explicit C balance</v>
      </c>
      <c r="DV602">
        <v>0</v>
      </c>
      <c r="DW602">
        <v>0</v>
      </c>
      <c r="DX602">
        <v>0</v>
      </c>
      <c r="DY602">
        <v>0</v>
      </c>
      <c r="DZ602">
        <v>0</v>
      </c>
      <c r="EA602" s="143">
        <v>0</v>
      </c>
      <c r="EB602">
        <v>1</v>
      </c>
      <c r="EC602">
        <v>1</v>
      </c>
      <c r="ED602">
        <v>0</v>
      </c>
      <c r="EE602">
        <v>0</v>
      </c>
      <c r="EF602">
        <v>0</v>
      </c>
      <c r="EG602">
        <v>0</v>
      </c>
      <c r="EH602">
        <v>0</v>
      </c>
      <c r="EI602" s="2">
        <v>0</v>
      </c>
      <c r="EK602" t="str">
        <f t="shared" si="691"/>
        <v/>
      </c>
      <c r="EL602" t="str">
        <f t="shared" si="692"/>
        <v/>
      </c>
      <c r="EM602" s="2" t="str">
        <f t="shared" si="655"/>
        <v>Technology approach</v>
      </c>
      <c r="EN602" t="s">
        <v>3589</v>
      </c>
      <c r="EP602" t="b">
        <f>IF(ISNUMBER(BU602),IF(ABS(BU602-[1]QC_indicators!$B$2)&gt;3*[1]QC_indicators!$C$2,"C ratio",IF(ISNUMBER(BY602),IF(ABS(BY602-[1]QC_indicators!$B$1)&gt;3*[1]QC_indicators!$C$1,"DF","no"))),IF(ISNUMBER(BY602),IF(ABS(BY602-[1]QC_indicators!$B$1)&gt;3*[1]QC_indicators!$C$1,"DF","no")))</f>
        <v>0</v>
      </c>
      <c r="EQ602" t="s">
        <v>286</v>
      </c>
    </row>
    <row r="603" spans="1:150" ht="15" hidden="1" customHeight="1">
      <c r="A603" s="1" t="s">
        <v>380</v>
      </c>
      <c r="B603" t="s">
        <v>3577</v>
      </c>
      <c r="C603" t="s">
        <v>3578</v>
      </c>
      <c r="D603" t="s">
        <v>3579</v>
      </c>
      <c r="E603" s="311" t="s">
        <v>3580</v>
      </c>
      <c r="F603" t="s">
        <v>3581</v>
      </c>
      <c r="G603" t="s">
        <v>386</v>
      </c>
      <c r="H603" t="s">
        <v>254</v>
      </c>
      <c r="I603">
        <v>2010</v>
      </c>
      <c r="J603">
        <v>22</v>
      </c>
      <c r="K603" t="s">
        <v>3582</v>
      </c>
      <c r="M603" t="str">
        <f t="shared" si="686"/>
        <v>Eshun_2010</v>
      </c>
      <c r="N603" s="311" t="s">
        <v>4382</v>
      </c>
      <c r="O603" s="145" t="s">
        <v>274</v>
      </c>
      <c r="Q603" s="311" t="s">
        <v>256</v>
      </c>
      <c r="R603" s="312"/>
      <c r="S603" s="1" t="s">
        <v>3583</v>
      </c>
      <c r="T603" t="s">
        <v>3584</v>
      </c>
      <c r="U603" t="s">
        <v>1529</v>
      </c>
      <c r="V603">
        <v>0</v>
      </c>
      <c r="W603">
        <v>0</v>
      </c>
      <c r="X603">
        <v>0</v>
      </c>
      <c r="Y603">
        <v>0</v>
      </c>
      <c r="Z603">
        <v>0</v>
      </c>
      <c r="AA603">
        <v>0</v>
      </c>
      <c r="AB603">
        <v>0</v>
      </c>
      <c r="AC603">
        <v>0</v>
      </c>
      <c r="AD603">
        <v>0</v>
      </c>
      <c r="AE603">
        <v>0</v>
      </c>
      <c r="AF603">
        <v>1</v>
      </c>
      <c r="AG603">
        <v>0</v>
      </c>
      <c r="AH603">
        <v>0</v>
      </c>
      <c r="AI603">
        <v>0</v>
      </c>
      <c r="AJ603">
        <v>0</v>
      </c>
      <c r="AK603">
        <v>0</v>
      </c>
      <c r="AL603">
        <v>0</v>
      </c>
      <c r="AM603">
        <v>0</v>
      </c>
      <c r="AN603">
        <v>0</v>
      </c>
      <c r="AO603">
        <v>0</v>
      </c>
      <c r="AP603">
        <v>0</v>
      </c>
      <c r="AQ603">
        <v>0</v>
      </c>
      <c r="AR603">
        <v>0</v>
      </c>
      <c r="AS603">
        <v>0</v>
      </c>
      <c r="AT603">
        <v>0</v>
      </c>
      <c r="AU603">
        <v>0</v>
      </c>
      <c r="AV603">
        <v>0</v>
      </c>
      <c r="AW603">
        <v>0</v>
      </c>
      <c r="AX603" s="141">
        <f>COUNTIF(V603:AW603,"&lt;&gt;0")</f>
        <v>1</v>
      </c>
      <c r="AY603" s="141">
        <f>COUNTIF(V603:AL603,"&lt;&gt;0")</f>
        <v>1</v>
      </c>
      <c r="AZ603">
        <f>COUNTIF(V603:AC603,"&lt;&gt;0")</f>
        <v>0</v>
      </c>
      <c r="BA603">
        <f>COUNTIF(AD603:AI603,"&lt;&gt;0")</f>
        <v>1</v>
      </c>
      <c r="BB603">
        <f>COUNTIF(AJ603:AL603,"&lt;&gt;0")</f>
        <v>0</v>
      </c>
      <c r="BC603">
        <f>COUNTIF(AS603:AW603,"&lt;&gt;0")</f>
        <v>0</v>
      </c>
      <c r="BD603">
        <f>COUNTIF(AM603:AR603,"&lt;&gt;0")</f>
        <v>0</v>
      </c>
      <c r="BE603" t="str" cm="1">
        <f t="array" ref="BE603">IF(AY603=1,INDEX($V$7:$AL$7,MATCH(TRUE,INDEX($V603:$AW603&lt;&gt;0,),0)),IF(AY603=0,INDEX($AM$7:$AW$7,MATCH(1,$AM603:$AW603,0)),IF(BF603="Multiple strategies","mixed drivers",IF(BF603="Supply chain","multiple supply","multiple silviculture"))))</f>
        <v>supply chain organization</v>
      </c>
      <c r="BF603" s="2" t="str" cm="1">
        <f t="array" ref="BF603">IF(COUNTIF(AZ603:BB603,"&lt;&gt;0")=1,INDEX($V$4:$AW$4,MATCH(TRUE,INDEX($V603:$AW603&lt;&gt;0,),0)),IF(COUNTIF(AZ603:BB603,"&lt;&gt;0")=0,INDEX($AM$4:$AW$4,MATCH(1,$AM603:$AW603,0)),"Multiple strategies"))</f>
        <v>Supply chain</v>
      </c>
      <c r="BG603" s="142" t="s">
        <v>321</v>
      </c>
      <c r="BH603" t="s">
        <v>3586</v>
      </c>
      <c r="BJ603" t="s">
        <v>498</v>
      </c>
      <c r="BK603">
        <v>1</v>
      </c>
      <c r="BL603">
        <v>1</v>
      </c>
      <c r="BM603">
        <f>BL603/BK603</f>
        <v>1</v>
      </c>
      <c r="BN603">
        <f>BL603-BK603</f>
        <v>0</v>
      </c>
      <c r="BO603">
        <f>BN603</f>
        <v>0</v>
      </c>
      <c r="BP603" t="s">
        <v>232</v>
      </c>
      <c r="BR603" t="s">
        <v>3587</v>
      </c>
      <c r="BS603">
        <v>-2.5261562500000001E-2</v>
      </c>
      <c r="BT603">
        <v>-0.71651656250000006</v>
      </c>
      <c r="BU603" s="144">
        <f>IFERROR(BT603/BS603,"")</f>
        <v>28.363905142447148</v>
      </c>
      <c r="BV603" s="152">
        <f>BT603-BS603</f>
        <v>-0.69125500000000006</v>
      </c>
      <c r="BW603" s="152"/>
      <c r="BX603" s="152">
        <f>BV603</f>
        <v>-0.69125500000000006</v>
      </c>
      <c r="BY603" t="str">
        <f t="shared" si="654"/>
        <v/>
      </c>
      <c r="BZ603">
        <v>0</v>
      </c>
      <c r="CA603">
        <v>1</v>
      </c>
      <c r="CB603">
        <v>1</v>
      </c>
      <c r="CC603">
        <v>1</v>
      </c>
      <c r="CD603">
        <v>1</v>
      </c>
      <c r="CE603">
        <v>1</v>
      </c>
      <c r="CF603">
        <v>1</v>
      </c>
      <c r="CG603">
        <v>0</v>
      </c>
      <c r="CH603">
        <v>0</v>
      </c>
      <c r="CI603">
        <v>0</v>
      </c>
      <c r="CJ603">
        <v>0</v>
      </c>
      <c r="CK603">
        <v>0</v>
      </c>
      <c r="CL603">
        <v>0</v>
      </c>
      <c r="CM603">
        <v>0</v>
      </c>
      <c r="CN603" t="str">
        <f>IF(BL603&lt;BK603,"refNeedCorrection","refOK")</f>
        <v>refOK</v>
      </c>
      <c r="CO603">
        <f>IF($CN603="refOK",$BK603,$BL603)</f>
        <v>1</v>
      </c>
      <c r="CP603">
        <f>IF($CN603="refOK",$BL603,$BK603)</f>
        <v>1</v>
      </c>
      <c r="CQ603">
        <f>IF($CN603="refOK",$BO603,-$BO603)</f>
        <v>0</v>
      </c>
      <c r="CR603">
        <f>IF($CN603="refOK",$BS603,$BT603)*IF($BP603="Emissions positive",-1,1)</f>
        <v>-2.5261562500000001E-2</v>
      </c>
      <c r="CS603">
        <f>IF($CN603="refOK",$BT603,$BS603)*IF($BP603="Emissions positive",-1,1)</f>
        <v>-0.71651656250000006</v>
      </c>
      <c r="CT603">
        <f>IF($CN603="refNeedCorrection",-BX603,BX603)*IF($BP603="Emissions positive",-1,1)</f>
        <v>-0.69125500000000006</v>
      </c>
      <c r="CU603" t="str">
        <f>IFERROR(CT603/CQ603,"")</f>
        <v/>
      </c>
      <c r="CV603" s="2">
        <f>IFERROR((CS603-CR603)/ABS(CR603),"")</f>
        <v>-27.363905142447148</v>
      </c>
      <c r="CW603" s="1" t="s">
        <v>1202</v>
      </c>
      <c r="CX603" s="311" t="str">
        <f>IF(OR($CW603="prd",$CW603="std",$CW603="cit"),"loc",IF(OR($CW603="eur",$CW603="reg",$CW603="coy"),"reg",$CW603))</f>
        <v>reg</v>
      </c>
      <c r="CY603" t="s">
        <v>3588</v>
      </c>
      <c r="CZ603">
        <v>2000</v>
      </c>
      <c r="DA603">
        <v>2007</v>
      </c>
      <c r="DB603">
        <v>7</v>
      </c>
      <c r="DC603" t="str">
        <f>IF(DB603=0,"0",IF(AND(DB603&gt;=1,DB603&lt;=30),"1-30",IF(AND(DB603&gt;30,DB603&lt;=70),"31-70",IF(AND(DB603&gt;70,DB603&lt;=100),"71-100",IF(DB603&gt;100,"+100")))))</f>
        <v>1-30</v>
      </c>
      <c r="DD603">
        <v>0</v>
      </c>
      <c r="DE603">
        <v>0</v>
      </c>
      <c r="DF603">
        <v>0</v>
      </c>
      <c r="DG603">
        <v>1</v>
      </c>
      <c r="DI603">
        <f>SUM(DD603:DG603)</f>
        <v>1</v>
      </c>
      <c r="DJ603" t="str">
        <f>IF(DI603=1,INDEX($DD$7:$DG$7,MATCH(1,$DD603:$DG603,0)),"mixedProduct")</f>
        <v>TimberInput</v>
      </c>
      <c r="DK603">
        <f t="shared" si="693"/>
        <v>0</v>
      </c>
      <c r="DL603">
        <f t="shared" si="693"/>
        <v>0</v>
      </c>
      <c r="DM603">
        <f t="shared" si="693"/>
        <v>0</v>
      </c>
      <c r="DN603" t="str">
        <f t="shared" si="693"/>
        <v>Timber</v>
      </c>
      <c r="DO603">
        <v>0</v>
      </c>
      <c r="DP603">
        <v>0</v>
      </c>
      <c r="DQ603">
        <v>0</v>
      </c>
      <c r="DR603">
        <v>0</v>
      </c>
      <c r="DS603">
        <v>0</v>
      </c>
      <c r="DT603">
        <f>SUM(DO603:DP603)</f>
        <v>0</v>
      </c>
      <c r="DU603" s="143" t="str">
        <f>IF(DO603=1,"self-calculated DF",IF(DP603=1,"external DF used","explicit C balance"))</f>
        <v>explicit C balance</v>
      </c>
      <c r="DV603">
        <v>0</v>
      </c>
      <c r="DW603">
        <v>0</v>
      </c>
      <c r="DX603">
        <v>0</v>
      </c>
      <c r="DY603">
        <v>0</v>
      </c>
      <c r="DZ603">
        <v>0</v>
      </c>
      <c r="EA603" s="143">
        <v>0</v>
      </c>
      <c r="EB603">
        <v>1</v>
      </c>
      <c r="EC603">
        <v>1</v>
      </c>
      <c r="ED603">
        <v>0</v>
      </c>
      <c r="EE603">
        <v>0</v>
      </c>
      <c r="EF603">
        <v>0</v>
      </c>
      <c r="EG603">
        <v>0</v>
      </c>
      <c r="EH603">
        <v>0</v>
      </c>
      <c r="EI603" s="2">
        <v>0</v>
      </c>
      <c r="EK603" t="str">
        <f t="shared" si="691"/>
        <v/>
      </c>
      <c r="EL603" t="str">
        <f t="shared" si="692"/>
        <v/>
      </c>
      <c r="EM603" s="2" t="str">
        <f t="shared" si="655"/>
        <v>Technology approach</v>
      </c>
      <c r="EN603" t="s">
        <v>3589</v>
      </c>
      <c r="EP603" t="b">
        <f>IF(ISNUMBER(BU603),IF(ABS(BU603-[1]QC_indicators!$B$2)&gt;3*[1]QC_indicators!$C$2,"C ratio",IF(ISNUMBER(BY603),IF(ABS(BY603-[1]QC_indicators!$B$1)&gt;3*[1]QC_indicators!$C$1,"DF","no"))),IF(ISNUMBER(BY603),IF(ABS(BY603-[1]QC_indicators!$B$1)&gt;3*[1]QC_indicators!$C$1,"DF","no")))</f>
        <v>0</v>
      </c>
      <c r="EQ603" t="s">
        <v>286</v>
      </c>
    </row>
    <row r="604" spans="1:150" ht="15" hidden="1" customHeight="1">
      <c r="A604" s="1" t="s">
        <v>380</v>
      </c>
      <c r="B604" t="s">
        <v>3577</v>
      </c>
      <c r="C604" t="s">
        <v>3578</v>
      </c>
      <c r="D604" t="s">
        <v>3579</v>
      </c>
      <c r="E604" t="s">
        <v>3580</v>
      </c>
      <c r="F604" t="s">
        <v>3581</v>
      </c>
      <c r="G604" t="s">
        <v>386</v>
      </c>
      <c r="H604" t="s">
        <v>254</v>
      </c>
      <c r="I604">
        <v>2010</v>
      </c>
      <c r="J604">
        <v>22</v>
      </c>
      <c r="K604" t="s">
        <v>3582</v>
      </c>
      <c r="M604" t="str">
        <f t="shared" si="686"/>
        <v>Eshun_2010</v>
      </c>
      <c r="N604" s="311" t="s">
        <v>4382</v>
      </c>
      <c r="O604" s="145" t="s">
        <v>274</v>
      </c>
      <c r="Q604" s="311" t="s">
        <v>256</v>
      </c>
      <c r="R604" s="312"/>
      <c r="S604" s="1" t="s">
        <v>3583</v>
      </c>
      <c r="T604" t="s">
        <v>3584</v>
      </c>
      <c r="U604" t="s">
        <v>3590</v>
      </c>
      <c r="V604">
        <v>0</v>
      </c>
      <c r="W604">
        <v>0</v>
      </c>
      <c r="X604">
        <v>0</v>
      </c>
      <c r="Y604">
        <v>0</v>
      </c>
      <c r="Z604">
        <v>0</v>
      </c>
      <c r="AA604">
        <v>0</v>
      </c>
      <c r="AB604">
        <v>0</v>
      </c>
      <c r="AC604">
        <v>0</v>
      </c>
      <c r="AD604">
        <v>0</v>
      </c>
      <c r="AE604">
        <v>0</v>
      </c>
      <c r="AF604">
        <v>1</v>
      </c>
      <c r="AG604">
        <v>0</v>
      </c>
      <c r="AH604">
        <v>0</v>
      </c>
      <c r="AI604">
        <v>0</v>
      </c>
      <c r="AJ604">
        <v>0</v>
      </c>
      <c r="AK604">
        <v>0</v>
      </c>
      <c r="AL604">
        <v>0</v>
      </c>
      <c r="AM604">
        <v>0</v>
      </c>
      <c r="AN604">
        <v>0</v>
      </c>
      <c r="AO604">
        <v>0</v>
      </c>
      <c r="AP604">
        <v>0</v>
      </c>
      <c r="AQ604">
        <v>0</v>
      </c>
      <c r="AR604">
        <v>0</v>
      </c>
      <c r="AS604">
        <v>0</v>
      </c>
      <c r="AT604">
        <v>0</v>
      </c>
      <c r="AU604">
        <v>0</v>
      </c>
      <c r="AV604">
        <v>0</v>
      </c>
      <c r="AW604">
        <v>0</v>
      </c>
      <c r="AX604" s="141">
        <f>COUNTIF(V604:AW604,"&lt;&gt;0")</f>
        <v>1</v>
      </c>
      <c r="AY604" s="141">
        <f>COUNTIF(V604:AL604,"&lt;&gt;0")</f>
        <v>1</v>
      </c>
      <c r="AZ604">
        <f>COUNTIF(V604:AC604,"&lt;&gt;0")</f>
        <v>0</v>
      </c>
      <c r="BA604">
        <f>COUNTIF(AD604:AI604,"&lt;&gt;0")</f>
        <v>1</v>
      </c>
      <c r="BB604">
        <f>COUNTIF(AJ604:AL604,"&lt;&gt;0")</f>
        <v>0</v>
      </c>
      <c r="BC604">
        <f>COUNTIF(AS604:AW604,"&lt;&gt;0")</f>
        <v>0</v>
      </c>
      <c r="BD604">
        <f>COUNTIF(AM604:AR604,"&lt;&gt;0")</f>
        <v>0</v>
      </c>
      <c r="BE604" t="str" cm="1">
        <f t="array" ref="BE604">IF(AY604=1,INDEX($V$7:$AL$7,MATCH(TRUE,INDEX($V604:$AW604&lt;&gt;0,),0)),IF(AY604=0,INDEX($AM$7:$AW$7,MATCH(1,$AM604:$AW604,0)),IF(BF604="Multiple strategies","mixed drivers",IF(BF604="Supply chain","multiple supply","multiple silviculture"))))</f>
        <v>supply chain organization</v>
      </c>
      <c r="BF604" s="2" t="str" cm="1">
        <f t="array" ref="BF604">IF(COUNTIF(AZ604:BB604,"&lt;&gt;0")=1,INDEX($V$4:$AW$4,MATCH(TRUE,INDEX($V604:$AW604&lt;&gt;0,),0)),IF(COUNTIF(AZ604:BB604,"&lt;&gt;0")=0,INDEX($AM$4:$AW$4,MATCH(1,$AM604:$AW604,0)),"Multiple strategies"))</f>
        <v>Supply chain</v>
      </c>
      <c r="BG604" s="142" t="s">
        <v>321</v>
      </c>
      <c r="BH604" t="s">
        <v>3586</v>
      </c>
      <c r="BJ604" t="s">
        <v>498</v>
      </c>
      <c r="BK604">
        <v>1</v>
      </c>
      <c r="BL604">
        <v>1</v>
      </c>
      <c r="BM604">
        <f>BL604/BK604</f>
        <v>1</v>
      </c>
      <c r="BN604">
        <f>BL604-BK604</f>
        <v>0</v>
      </c>
      <c r="BO604">
        <f>BN604</f>
        <v>0</v>
      </c>
      <c r="BP604" t="s">
        <v>232</v>
      </c>
      <c r="BR604" t="s">
        <v>3587</v>
      </c>
      <c r="BS604">
        <v>-2.5261562500000001E-2</v>
      </c>
      <c r="BT604">
        <v>-0.52060840909090911</v>
      </c>
      <c r="BU604" s="144">
        <f>IFERROR(BT604/BS604,"")</f>
        <v>20.608717655169155</v>
      </c>
      <c r="BV604" s="152">
        <f>BT604-BS604</f>
        <v>-0.49534684659090911</v>
      </c>
      <c r="BW604" s="152"/>
      <c r="BX604" s="152">
        <f>BV604</f>
        <v>-0.49534684659090911</v>
      </c>
      <c r="BY604" t="str">
        <f t="shared" si="654"/>
        <v/>
      </c>
      <c r="BZ604">
        <v>0</v>
      </c>
      <c r="CA604">
        <v>1</v>
      </c>
      <c r="CB604">
        <v>1</v>
      </c>
      <c r="CC604">
        <v>1</v>
      </c>
      <c r="CD604">
        <v>1</v>
      </c>
      <c r="CE604">
        <v>1</v>
      </c>
      <c r="CF604">
        <v>1</v>
      </c>
      <c r="CG604">
        <v>0</v>
      </c>
      <c r="CH604">
        <v>0</v>
      </c>
      <c r="CI604">
        <v>0</v>
      </c>
      <c r="CJ604">
        <v>0</v>
      </c>
      <c r="CK604">
        <v>0</v>
      </c>
      <c r="CL604">
        <v>0</v>
      </c>
      <c r="CM604">
        <v>0</v>
      </c>
      <c r="CN604" t="str">
        <f>IF(BL604&lt;BK604,"refNeedCorrection","refOK")</f>
        <v>refOK</v>
      </c>
      <c r="CO604">
        <f>IF($CN604="refOK",$BK604,$BL604)</f>
        <v>1</v>
      </c>
      <c r="CP604">
        <f>IF($CN604="refOK",$BL604,$BK604)</f>
        <v>1</v>
      </c>
      <c r="CQ604">
        <f>IF($CN604="refOK",$BO604,-$BO604)</f>
        <v>0</v>
      </c>
      <c r="CR604">
        <f>IF($CN604="refOK",$BS604,$BT604)*IF($BP604="Emissions positive",-1,1)</f>
        <v>-2.5261562500000001E-2</v>
      </c>
      <c r="CS604">
        <f>IF($CN604="refOK",$BT604,$BS604)*IF($BP604="Emissions positive",-1,1)</f>
        <v>-0.52060840909090911</v>
      </c>
      <c r="CT604">
        <f>IF($CN604="refNeedCorrection",-BX604,BX604)*IF($BP604="Emissions positive",-1,1)</f>
        <v>-0.49534684659090911</v>
      </c>
      <c r="CU604" t="str">
        <f>IFERROR(CT604/CQ604,"")</f>
        <v/>
      </c>
      <c r="CV604" s="2">
        <f>IFERROR((CS604-CR604)/ABS(CR604),"")</f>
        <v>-19.608717655169155</v>
      </c>
      <c r="CW604" s="1" t="s">
        <v>1202</v>
      </c>
      <c r="CX604" s="311" t="str">
        <f>IF(OR($CW604="prd",$CW604="std",$CW604="cit"),"loc",IF(OR($CW604="eur",$CW604="reg",$CW604="coy"),"reg",$CW604))</f>
        <v>reg</v>
      </c>
      <c r="CY604" t="s">
        <v>3588</v>
      </c>
      <c r="CZ604">
        <v>2000</v>
      </c>
      <c r="DA604">
        <v>2007</v>
      </c>
      <c r="DB604">
        <v>7</v>
      </c>
      <c r="DC604" t="str">
        <f>IF(DB604=0,"0",IF(AND(DB604&gt;=1,DB604&lt;=30),"1-30",IF(AND(DB604&gt;30,DB604&lt;=70),"31-70",IF(AND(DB604&gt;70,DB604&lt;=100),"71-100",IF(DB604&gt;100,"+100")))))</f>
        <v>1-30</v>
      </c>
      <c r="DD604">
        <v>0</v>
      </c>
      <c r="DE604">
        <v>0</v>
      </c>
      <c r="DF604">
        <v>0</v>
      </c>
      <c r="DG604">
        <v>1</v>
      </c>
      <c r="DI604">
        <f>SUM(DD604:DG604)</f>
        <v>1</v>
      </c>
      <c r="DJ604" t="str">
        <f>IF(DI604=1,INDEX($DD$7:$DG$7,MATCH(1,$DD604:$DG604,0)),"mixedProduct")</f>
        <v>TimberInput</v>
      </c>
      <c r="DK604">
        <f t="shared" si="693"/>
        <v>0</v>
      </c>
      <c r="DL604">
        <f t="shared" si="693"/>
        <v>0</v>
      </c>
      <c r="DM604">
        <f t="shared" si="693"/>
        <v>0</v>
      </c>
      <c r="DN604" t="str">
        <f t="shared" si="693"/>
        <v>Timber</v>
      </c>
      <c r="DO604">
        <v>0</v>
      </c>
      <c r="DP604">
        <v>0</v>
      </c>
      <c r="DQ604">
        <v>0</v>
      </c>
      <c r="DR604">
        <v>0</v>
      </c>
      <c r="DS604">
        <v>0</v>
      </c>
      <c r="DT604">
        <f>SUM(DO604:DP604)</f>
        <v>0</v>
      </c>
      <c r="DU604" s="143" t="str">
        <f>IF(DO604=1,"self-calculated DF",IF(DP604=1,"external DF used","explicit C balance"))</f>
        <v>explicit C balance</v>
      </c>
      <c r="DV604">
        <v>0</v>
      </c>
      <c r="DW604">
        <v>0</v>
      </c>
      <c r="DX604">
        <v>0</v>
      </c>
      <c r="DY604">
        <v>0</v>
      </c>
      <c r="DZ604">
        <v>0</v>
      </c>
      <c r="EA604" s="143">
        <v>0</v>
      </c>
      <c r="EB604">
        <v>1</v>
      </c>
      <c r="EC604">
        <v>1</v>
      </c>
      <c r="ED604">
        <v>0</v>
      </c>
      <c r="EE604">
        <v>0</v>
      </c>
      <c r="EF604">
        <v>0</v>
      </c>
      <c r="EG604">
        <v>0</v>
      </c>
      <c r="EH604">
        <v>0</v>
      </c>
      <c r="EI604" s="2">
        <v>0</v>
      </c>
      <c r="EK604" t="str">
        <f t="shared" si="691"/>
        <v/>
      </c>
      <c r="EL604" t="str">
        <f t="shared" si="692"/>
        <v/>
      </c>
      <c r="EM604" s="2" t="str">
        <f t="shared" si="655"/>
        <v>Technology approach</v>
      </c>
      <c r="EN604" t="s">
        <v>3589</v>
      </c>
      <c r="EP604" t="b">
        <f>IF(ISNUMBER(BU604),IF(ABS(BU604-[1]QC_indicators!$B$2)&gt;3*[1]QC_indicators!$C$2,"C ratio",IF(ISNUMBER(BY604),IF(ABS(BY604-[1]QC_indicators!$B$1)&gt;3*[1]QC_indicators!$C$1,"DF","no"))),IF(ISNUMBER(BY604),IF(ABS(BY604-[1]QC_indicators!$B$1)&gt;3*[1]QC_indicators!$C$1,"DF","no")))</f>
        <v>0</v>
      </c>
      <c r="EQ604" t="s">
        <v>286</v>
      </c>
    </row>
    <row r="605" spans="1:150" ht="15" hidden="1" customHeight="1">
      <c r="A605" s="1" t="s">
        <v>380</v>
      </c>
      <c r="B605" t="s">
        <v>5092</v>
      </c>
      <c r="C605" t="s">
        <v>5093</v>
      </c>
      <c r="D605" t="s">
        <v>3579</v>
      </c>
      <c r="E605" s="311" t="s">
        <v>5094</v>
      </c>
      <c r="F605" t="s">
        <v>5095</v>
      </c>
      <c r="G605" t="s">
        <v>386</v>
      </c>
      <c r="H605" t="s">
        <v>254</v>
      </c>
      <c r="I605">
        <v>2011</v>
      </c>
      <c r="J605">
        <v>15</v>
      </c>
      <c r="K605" t="s">
        <v>5096</v>
      </c>
      <c r="M605" t="str">
        <f t="shared" si="686"/>
        <v>Eshun_2011</v>
      </c>
      <c r="N605" s="311" t="s">
        <v>2585</v>
      </c>
      <c r="O605" s="171" t="s">
        <v>513</v>
      </c>
      <c r="P605" t="s">
        <v>223</v>
      </c>
      <c r="Q605" s="311" t="s">
        <v>389</v>
      </c>
      <c r="R605" s="312"/>
      <c r="AX605" s="141"/>
      <c r="AY605" s="141"/>
      <c r="BE605"/>
      <c r="BF605" s="2"/>
      <c r="BN605" s="158"/>
      <c r="BO605" s="159"/>
      <c r="BS605" s="143"/>
      <c r="BU605" s="144"/>
      <c r="BY605" t="str">
        <f t="shared" si="654"/>
        <v/>
      </c>
      <c r="CN605"/>
      <c r="CO605"/>
      <c r="CP605"/>
      <c r="CQ605"/>
      <c r="CR605"/>
      <c r="CS605"/>
      <c r="CT605"/>
      <c r="CU605"/>
      <c r="CV605" s="2"/>
      <c r="CX605"/>
      <c r="DA605" s="143"/>
      <c r="DB605" s="143"/>
      <c r="DC605"/>
      <c r="DI605"/>
      <c r="DJ605"/>
      <c r="DK605"/>
      <c r="DL605"/>
      <c r="DM605"/>
      <c r="DN605"/>
      <c r="DT605"/>
      <c r="DU605" s="143"/>
      <c r="DV605" s="143"/>
      <c r="DW605" s="143"/>
      <c r="DX605" s="143"/>
      <c r="DY605" s="143"/>
      <c r="EB605" s="143"/>
      <c r="EC605" s="143"/>
      <c r="ED605" s="143"/>
      <c r="EG605" s="143"/>
      <c r="EH605" s="143"/>
      <c r="EK605" t="str">
        <f t="shared" si="691"/>
        <v/>
      </c>
      <c r="EL605" t="str">
        <f t="shared" si="692"/>
        <v/>
      </c>
      <c r="EM605" s="2" t="str">
        <f t="shared" si="655"/>
        <v/>
      </c>
      <c r="EN605" s="311" t="s">
        <v>5097</v>
      </c>
      <c r="EP605" t="b">
        <f>IF(ISNUMBER(BU605),IF(ABS(BU605-[1]QC_indicators!$B$2)&gt;3*[1]QC_indicators!$C$2,"C ratio",IF(ISNUMBER(BY605),IF(ABS(BY605-[1]QC_indicators!$B$1)&gt;3*[1]QC_indicators!$C$1,"DF","no"))),IF(ISNUMBER(BY605),IF(ABS(BY605-[1]QC_indicators!$B$1)&gt;3*[1]QC_indicators!$C$1,"DF","no")))</f>
        <v>0</v>
      </c>
      <c r="ER605" s="149"/>
    </row>
    <row r="606" spans="1:150" ht="15" hidden="1" customHeight="1">
      <c r="A606" s="1" t="s">
        <v>4410</v>
      </c>
      <c r="B606" t="s">
        <v>4411</v>
      </c>
      <c r="C606" t="s">
        <v>4412</v>
      </c>
      <c r="D606" t="s">
        <v>4413</v>
      </c>
      <c r="E606" t="s">
        <v>4414</v>
      </c>
      <c r="F606" t="s">
        <v>4415</v>
      </c>
      <c r="G606" t="s">
        <v>4416</v>
      </c>
      <c r="H606" t="s">
        <v>254</v>
      </c>
      <c r="I606">
        <v>2011</v>
      </c>
      <c r="J606">
        <v>4</v>
      </c>
      <c r="K606" t="s">
        <v>4417</v>
      </c>
      <c r="M606" t="str">
        <f t="shared" si="686"/>
        <v>Etoh_2011</v>
      </c>
      <c r="N606" t="s">
        <v>2581</v>
      </c>
      <c r="O606" s="145" t="s">
        <v>274</v>
      </c>
      <c r="Q606" s="311" t="s">
        <v>256</v>
      </c>
      <c r="R606" s="312"/>
      <c r="AX606" s="141"/>
      <c r="AY606" s="141"/>
      <c r="BE606"/>
      <c r="BF606" s="2"/>
      <c r="BU606" s="144"/>
      <c r="BY606" t="str">
        <f t="shared" si="654"/>
        <v/>
      </c>
      <c r="CN606"/>
      <c r="CO606"/>
      <c r="CP606"/>
      <c r="CQ606"/>
      <c r="CR606"/>
      <c r="CS606"/>
      <c r="CT606"/>
      <c r="CU606"/>
      <c r="CV606" s="2"/>
      <c r="CX606" s="311"/>
      <c r="DC606"/>
      <c r="DI606"/>
      <c r="DJ606"/>
      <c r="DK606"/>
      <c r="DL606"/>
      <c r="DM606"/>
      <c r="DN606"/>
      <c r="DT606"/>
      <c r="DU606" s="143"/>
      <c r="EK606" t="str">
        <f t="shared" si="691"/>
        <v/>
      </c>
      <c r="EL606" t="str">
        <f t="shared" si="692"/>
        <v/>
      </c>
      <c r="EM606" s="2" t="str">
        <f t="shared" si="655"/>
        <v/>
      </c>
      <c r="EO606" t="s">
        <v>4418</v>
      </c>
      <c r="EP606" t="b">
        <f>IF(ISNUMBER(BU606),IF(ABS(BU606-[1]QC_indicators!$B$2)&gt;3*[1]QC_indicators!$C$2,"C ratio",IF(ISNUMBER(BY606),IF(ABS(BY606-[1]QC_indicators!$B$1)&gt;3*[1]QC_indicators!$C$1,"DF","no"))),IF(ISNUMBER(BY606),IF(ABS(BY606-[1]QC_indicators!$B$1)&gt;3*[1]QC_indicators!$C$1,"DF","no")))</f>
        <v>0</v>
      </c>
    </row>
    <row r="607" spans="1:150" ht="15" hidden="1" customHeight="1">
      <c r="A607" s="1" t="s">
        <v>265</v>
      </c>
      <c r="B607" t="s">
        <v>1530</v>
      </c>
      <c r="C607" t="s">
        <v>1531</v>
      </c>
      <c r="D607" t="s">
        <v>1532</v>
      </c>
      <c r="E607" t="s">
        <v>1533</v>
      </c>
      <c r="F607" t="s">
        <v>1534</v>
      </c>
      <c r="G607" t="s">
        <v>271</v>
      </c>
      <c r="H607" t="s">
        <v>254</v>
      </c>
      <c r="I607">
        <v>2019</v>
      </c>
      <c r="J607">
        <v>26</v>
      </c>
      <c r="K607" t="s">
        <v>1535</v>
      </c>
      <c r="M607" t="str">
        <f t="shared" si="686"/>
        <v>Faraca_2019</v>
      </c>
      <c r="N607" t="s">
        <v>222</v>
      </c>
      <c r="O607" s="145" t="s">
        <v>274</v>
      </c>
      <c r="P607" s="180" t="s">
        <v>223</v>
      </c>
      <c r="Q607" t="s">
        <v>256</v>
      </c>
      <c r="R607" s="262" t="s">
        <v>223</v>
      </c>
      <c r="S607" s="263" t="s">
        <v>3133</v>
      </c>
      <c r="T607" t="s">
        <v>1551</v>
      </c>
      <c r="U607" t="s">
        <v>1537</v>
      </c>
      <c r="V607">
        <v>0</v>
      </c>
      <c r="W607">
        <v>0</v>
      </c>
      <c r="X607">
        <v>0</v>
      </c>
      <c r="Y607">
        <v>0</v>
      </c>
      <c r="Z607">
        <v>0</v>
      </c>
      <c r="AA607">
        <v>0</v>
      </c>
      <c r="AB607">
        <v>0</v>
      </c>
      <c r="AC607">
        <v>0</v>
      </c>
      <c r="AD607">
        <v>0</v>
      </c>
      <c r="AE607">
        <v>0</v>
      </c>
      <c r="AF607">
        <v>1</v>
      </c>
      <c r="AG607">
        <v>0</v>
      </c>
      <c r="AH607">
        <v>0</v>
      </c>
      <c r="AI607">
        <v>0</v>
      </c>
      <c r="AJ607">
        <v>0</v>
      </c>
      <c r="AK607">
        <v>0</v>
      </c>
      <c r="AL607">
        <v>0</v>
      </c>
      <c r="AM607">
        <v>0</v>
      </c>
      <c r="AN607">
        <v>0</v>
      </c>
      <c r="AO607">
        <v>0</v>
      </c>
      <c r="AP607">
        <v>0</v>
      </c>
      <c r="AQ607">
        <v>0</v>
      </c>
      <c r="AR607">
        <v>0</v>
      </c>
      <c r="AS607">
        <v>0</v>
      </c>
      <c r="AT607">
        <v>0</v>
      </c>
      <c r="AU607">
        <v>0</v>
      </c>
      <c r="AV607">
        <v>0</v>
      </c>
      <c r="AW607">
        <v>0</v>
      </c>
      <c r="AX607" s="141">
        <f t="shared" ref="AX607:AX638" si="694">COUNTIF(V607:AW607,"&lt;&gt;0")</f>
        <v>1</v>
      </c>
      <c r="AY607" s="141">
        <f t="shared" ref="AY607:AY638" si="695">COUNTIF(V607:AL607,"&lt;&gt;0")</f>
        <v>1</v>
      </c>
      <c r="AZ607">
        <f t="shared" ref="AZ607:AZ638" si="696">COUNTIF(V607:AC607,"&lt;&gt;0")</f>
        <v>0</v>
      </c>
      <c r="BA607">
        <f t="shared" ref="BA607:BA638" si="697">COUNTIF(AD607:AI607,"&lt;&gt;0")</f>
        <v>1</v>
      </c>
      <c r="BB607">
        <f t="shared" ref="BB607:BB638" si="698">COUNTIF(AJ607:AL607,"&lt;&gt;0")</f>
        <v>0</v>
      </c>
      <c r="BC607">
        <f t="shared" ref="BC607:BC638" si="699">COUNTIF(AS607:AW607,"&lt;&gt;0")</f>
        <v>0</v>
      </c>
      <c r="BD607">
        <f t="shared" ref="BD607:BD638" si="700">COUNTIF(AM607:AR607,"&lt;&gt;0")</f>
        <v>0</v>
      </c>
      <c r="BE607" t="str">
        <f t="array" ref="BE607">IF(AY607=1,INDEX($V$7:$AL$7,MATCH(TRUE,INDEX($V607:$AW607&lt;&gt;0,),0)),IF(AY607=0,INDEX($AM$7:$AW$7,MATCH(1,$AM607:$AW607,0)),IF(BF607="Multiple strategies","mixed drivers",IF(BF607="Supply chain","multiple supply","multiple silviculture"))))</f>
        <v>supply chain organization</v>
      </c>
      <c r="BF607" s="2" t="str" cm="1">
        <f t="array" ref="BF607">IF(COUNTIF(AZ607:BB607,"&lt;&gt;0")=1,INDEX($V$4:$AW$4,MATCH(TRUE,INDEX($V607:$AW607&lt;&gt;0,),0)),IF(COUNTIF(AZ607:BB607,"&lt;&gt;0")=0,INDEX($AM$4:$AW$4,MATCH(1,$AM607:$AW607,0)),"Multiple strategies"))</f>
        <v>Supply chain</v>
      </c>
      <c r="BG607" s="1" t="s">
        <v>229</v>
      </c>
      <c r="BH607" t="s">
        <v>1547</v>
      </c>
      <c r="BI607" s="264" t="s">
        <v>3120</v>
      </c>
      <c r="BJ607" t="s">
        <v>345</v>
      </c>
      <c r="BK607">
        <v>562</v>
      </c>
      <c r="BL607">
        <v>922</v>
      </c>
      <c r="BM607">
        <v>1.6405693950177935</v>
      </c>
      <c r="BN607">
        <f t="shared" ref="BN607:BN638" si="701">BL607-BK607</f>
        <v>360</v>
      </c>
      <c r="BO607">
        <f t="shared" ref="BO607:BO637" si="702">BN607*kg_to_m3</f>
        <v>0.73469387755102045</v>
      </c>
      <c r="BP607" s="264" t="s">
        <v>395</v>
      </c>
      <c r="BQ607" s="264" t="s">
        <v>429</v>
      </c>
      <c r="BR607" t="s">
        <v>728</v>
      </c>
      <c r="BS607">
        <f>-251.7</f>
        <v>-251.7</v>
      </c>
      <c r="BT607">
        <v>-462.1</v>
      </c>
      <c r="BU607" s="144">
        <v>-9.5652173913043481E-2</v>
      </c>
      <c r="BV607">
        <f t="shared" ref="BV607:BV618" si="703">BT607-BS607</f>
        <v>-210.40000000000003</v>
      </c>
      <c r="BX607">
        <f t="shared" ref="BX607:BX637" si="704">BV607/1000</f>
        <v>-0.21040000000000003</v>
      </c>
      <c r="BY607">
        <f t="shared" si="654"/>
        <v>-0.28637777777777779</v>
      </c>
      <c r="BZ607">
        <v>0</v>
      </c>
      <c r="CA607">
        <v>0</v>
      </c>
      <c r="CB607">
        <v>0</v>
      </c>
      <c r="CC607">
        <v>0</v>
      </c>
      <c r="CD607">
        <v>0</v>
      </c>
      <c r="CE607">
        <v>0</v>
      </c>
      <c r="CF607">
        <v>0</v>
      </c>
      <c r="CG607">
        <v>0</v>
      </c>
      <c r="CH607">
        <v>0</v>
      </c>
      <c r="CI607">
        <v>0</v>
      </c>
      <c r="CJ607">
        <v>0</v>
      </c>
      <c r="CK607">
        <v>0</v>
      </c>
      <c r="CL607">
        <v>0</v>
      </c>
      <c r="CM607">
        <v>0</v>
      </c>
      <c r="CN607" t="str">
        <f t="shared" ref="CN607:CN638" si="705">IF($BL607&lt;$BK607,"refNeedCorrection","refOK")</f>
        <v>refOK</v>
      </c>
      <c r="CO607">
        <f t="shared" ref="CO607:CO619" si="706">IF($CN607="refNeedCorrection",BL607,BK607)</f>
        <v>562</v>
      </c>
      <c r="CP607">
        <f t="shared" ref="CP607:CP619" si="707">IF($CN607="refNeedCorrection",BK607,BL607)</f>
        <v>922</v>
      </c>
      <c r="CQ607">
        <f t="shared" ref="CQ607:CQ638" si="708">IF($CN607="refOK",$BO607,-$BO607)</f>
        <v>0.73469387755102045</v>
      </c>
      <c r="CR607">
        <f t="shared" ref="CR607:CR638" si="709">IF($CN607="refOK",$BS607,$BT607)*IF($BP607="Emissions positive",-1,1)</f>
        <v>251.7</v>
      </c>
      <c r="CS607">
        <f t="shared" ref="CS607:CS620" si="710">IF($CN607="refOK",$BT607,$BS607)*IF($BP607="Emissions positive",-1,1)</f>
        <v>462.1</v>
      </c>
      <c r="CT607">
        <f t="shared" ref="CT607:CT638" si="711">IF($CN607="refNeedCorrection",-BX607,BX607)*IF($BP607="Emissions positive",-1,1)</f>
        <v>0.21040000000000003</v>
      </c>
      <c r="CU607">
        <f t="shared" ref="CU607:CU638" si="712">IFERROR(CT607/CQ607,"")</f>
        <v>0.28637777777777779</v>
      </c>
      <c r="CV607" s="2">
        <f t="shared" ref="CV607:CV638" si="713">IFERROR((CS607-CR607)/ABS(CR607),"")</f>
        <v>0.83591577274533191</v>
      </c>
      <c r="CW607" s="1" t="s">
        <v>1198</v>
      </c>
      <c r="CX607" t="str">
        <f t="shared" ref="CX607:CX638" si="714">IF(OR($CW607="prd",$CW607="std",$CW607="cit"),"loc",IF(OR($CW607="eur",$CW607="reg",$CW607="coy"),"reg",$CW607))</f>
        <v>reg</v>
      </c>
      <c r="CY607" t="s">
        <v>1539</v>
      </c>
      <c r="DB607">
        <v>500</v>
      </c>
      <c r="DC607" t="str">
        <f t="shared" ref="DC607:DC638" si="715">IF(DB607=0,"0",IF(AND(DB607&gt;=1,DB607&lt;=30),"1-30",IF(AND(DB607&gt;30,DB607&lt;=70),"31-70",IF(AND(DB607&gt;70,DB607&lt;=100),"71-100",IF(DB607&gt;100,"+100")))))</f>
        <v>+100</v>
      </c>
      <c r="DD607">
        <v>0</v>
      </c>
      <c r="DE607">
        <v>0</v>
      </c>
      <c r="DF607">
        <v>0</v>
      </c>
      <c r="DG607">
        <v>1</v>
      </c>
      <c r="DI607">
        <f t="shared" ref="DI607:DI637" si="716">SUM(DD607:DG607)</f>
        <v>1</v>
      </c>
      <c r="DJ607" t="str">
        <f t="shared" ref="DJ607:DJ638" si="717">IF(DI607=1,INDEX($DD$7:$DG$7,MATCH(1,$DD607:$DG607,0)),"mixedProduct")</f>
        <v>TimberInput</v>
      </c>
      <c r="DK607">
        <f t="shared" ref="DK607:DK638" si="718">IF(DD607=1,DK$7,0)</f>
        <v>0</v>
      </c>
      <c r="DL607">
        <f t="shared" ref="DL607:DL638" si="719">IF(DE607=1,DL$7,0)</f>
        <v>0</v>
      </c>
      <c r="DM607">
        <f t="shared" ref="DM607:DM638" si="720">IF(DF607=1,DM$7,0)</f>
        <v>0</v>
      </c>
      <c r="DN607" t="str">
        <f t="shared" ref="DN607:DN638" si="721">IF(DG607=1,DN$7,0)</f>
        <v>Timber</v>
      </c>
      <c r="DO607">
        <v>0</v>
      </c>
      <c r="DP607">
        <v>1</v>
      </c>
      <c r="DQ607">
        <v>0</v>
      </c>
      <c r="DR607">
        <v>0</v>
      </c>
      <c r="DS607" t="s">
        <v>1540</v>
      </c>
      <c r="DT607">
        <f t="shared" ref="DT607:DT638" si="722">SUM(DO607:DP607)</f>
        <v>1</v>
      </c>
      <c r="DU607" s="143" t="str">
        <f t="shared" ref="DU607:DU638" si="723">IF(DO607=1,"self-calculated DF",IF(DP607=1,"external DF used","explicit C balance"))</f>
        <v>external DF used</v>
      </c>
      <c r="DV607">
        <v>0</v>
      </c>
      <c r="DW607">
        <v>0</v>
      </c>
      <c r="DX607">
        <v>0</v>
      </c>
      <c r="DY607">
        <v>0</v>
      </c>
      <c r="DZ607">
        <v>1</v>
      </c>
      <c r="EA607" s="143">
        <v>1</v>
      </c>
      <c r="EB607">
        <v>0</v>
      </c>
      <c r="EC607">
        <v>1</v>
      </c>
      <c r="ED607">
        <v>0</v>
      </c>
      <c r="EE607">
        <v>1</v>
      </c>
      <c r="EF607">
        <v>1</v>
      </c>
      <c r="EG607">
        <v>1</v>
      </c>
      <c r="EH607">
        <v>1</v>
      </c>
      <c r="EI607" s="2">
        <v>0</v>
      </c>
      <c r="EK607" t="str">
        <f t="shared" ref="EK607:EK638" si="724">IF(AND(AND(AND(OR($DX607=1,$DW607=1),OR($EC607=1,$EA607=1)),SUM($DV607:$DZ607,$EF607)&gt;=4),SUM($EA607:$EE607)&gt;=2),"Whole sector","")</f>
        <v/>
      </c>
      <c r="EL607" t="str">
        <f t="shared" ref="EL607:EL638" si="725">IF(AND(AND(OR($DX607=1,$DW607=1),AND($EC607=0,$EA607=0)),SUM($DV607:$DZ607,$EF607)&gt;=4),"Ecosystem approach","")</f>
        <v/>
      </c>
      <c r="EM607" s="2" t="str">
        <f t="shared" si="655"/>
        <v>Technology approach</v>
      </c>
      <c r="EP607" t="str">
        <f>IF(ISNUMBER(BU607),IF(ABS(BU607-[3]QC_indicators!$B$2)&gt;3*[3]QC_indicators!$C$2,"C ratio",IF(ISNUMBER(BY607),IF(ABS(BY607-[3]QC_indicators!$B$1)&gt;3*[3]QC_indicators!$C$1,"DF","no"))),IF(ISNUMBER(BY607),IF(ABS(BY607-[3]QC_indicators!$B$1)&gt;3*[3]QC_indicators!$C$1,"DF","no")))</f>
        <v>no</v>
      </c>
      <c r="ET607" s="264" t="s">
        <v>3272</v>
      </c>
    </row>
    <row r="608" spans="1:150" ht="15" hidden="1" customHeight="1">
      <c r="A608" s="1" t="s">
        <v>265</v>
      </c>
      <c r="B608" t="s">
        <v>1530</v>
      </c>
      <c r="C608" t="s">
        <v>1531</v>
      </c>
      <c r="D608" t="s">
        <v>1532</v>
      </c>
      <c r="E608" t="s">
        <v>1533</v>
      </c>
      <c r="F608" t="s">
        <v>1534</v>
      </c>
      <c r="G608" t="s">
        <v>271</v>
      </c>
      <c r="H608" t="s">
        <v>254</v>
      </c>
      <c r="I608">
        <v>2019</v>
      </c>
      <c r="J608">
        <v>26</v>
      </c>
      <c r="K608" t="s">
        <v>1535</v>
      </c>
      <c r="M608" t="str">
        <f t="shared" si="686"/>
        <v>Faraca_2019</v>
      </c>
      <c r="N608" t="s">
        <v>222</v>
      </c>
      <c r="O608" s="145" t="s">
        <v>274</v>
      </c>
      <c r="P608" s="180" t="s">
        <v>223</v>
      </c>
      <c r="Q608" t="s">
        <v>256</v>
      </c>
      <c r="R608" s="262" t="s">
        <v>223</v>
      </c>
      <c r="S608" s="1" t="s">
        <v>1545</v>
      </c>
      <c r="T608" t="s">
        <v>968</v>
      </c>
      <c r="U608" t="s">
        <v>1546</v>
      </c>
      <c r="V608">
        <v>0</v>
      </c>
      <c r="W608">
        <v>0</v>
      </c>
      <c r="X608">
        <v>0</v>
      </c>
      <c r="Y608">
        <v>0</v>
      </c>
      <c r="Z608">
        <v>0</v>
      </c>
      <c r="AA608">
        <v>0</v>
      </c>
      <c r="AB608">
        <v>0</v>
      </c>
      <c r="AC608">
        <v>0</v>
      </c>
      <c r="AD608">
        <v>0</v>
      </c>
      <c r="AE608">
        <v>0</v>
      </c>
      <c r="AF608">
        <v>0</v>
      </c>
      <c r="AG608">
        <v>1</v>
      </c>
      <c r="AH608">
        <v>0</v>
      </c>
      <c r="AI608">
        <v>0</v>
      </c>
      <c r="AJ608">
        <v>0</v>
      </c>
      <c r="AK608">
        <v>0</v>
      </c>
      <c r="AL608">
        <v>0</v>
      </c>
      <c r="AM608">
        <v>0</v>
      </c>
      <c r="AN608">
        <v>0</v>
      </c>
      <c r="AO608">
        <v>0</v>
      </c>
      <c r="AP608">
        <v>0</v>
      </c>
      <c r="AQ608">
        <v>0</v>
      </c>
      <c r="AR608">
        <v>0</v>
      </c>
      <c r="AS608">
        <v>0</v>
      </c>
      <c r="AT608">
        <v>0</v>
      </c>
      <c r="AU608">
        <v>0</v>
      </c>
      <c r="AV608">
        <v>0</v>
      </c>
      <c r="AW608">
        <v>0</v>
      </c>
      <c r="AX608" s="141">
        <f t="shared" si="694"/>
        <v>1</v>
      </c>
      <c r="AY608" s="141">
        <f t="shared" si="695"/>
        <v>1</v>
      </c>
      <c r="AZ608">
        <f t="shared" si="696"/>
        <v>0</v>
      </c>
      <c r="BA608">
        <f t="shared" si="697"/>
        <v>1</v>
      </c>
      <c r="BB608">
        <f t="shared" si="698"/>
        <v>0</v>
      </c>
      <c r="BC608">
        <f t="shared" si="699"/>
        <v>0</v>
      </c>
      <c r="BD608">
        <f t="shared" si="700"/>
        <v>0</v>
      </c>
      <c r="BE608" t="str">
        <f t="array" ref="BE608">IF(AY608=1,INDEX($V$7:$AL$7,MATCH(TRUE,INDEX($V608:$AW608&lt;&gt;0,),0)),IF(AY608=0,INDEX($AM$7:$AW$7,MATCH(1,$AM608:$AW608,0)),IF(BF608="Multiple strategies","mixed drivers",IF(BF608="Supply chain","multiple supply","multiple silviculture"))))</f>
        <v>recycling</v>
      </c>
      <c r="BF608" s="2" t="str" cm="1">
        <f t="array" ref="BF608">IF(COUNTIF(AZ608:BB608,"&lt;&gt;0")=1,INDEX($V$4:$AW$4,MATCH(TRUE,INDEX($V608:$AW608&lt;&gt;0,),0)),IF(COUNTIF(AZ608:BB608,"&lt;&gt;0")=0,INDEX($AM$4:$AW$4,MATCH(1,$AM608:$AW608,0)),"Multiple strategies"))</f>
        <v>Supply chain</v>
      </c>
      <c r="BG608" s="1" t="s">
        <v>229</v>
      </c>
      <c r="BH608" t="s">
        <v>1547</v>
      </c>
      <c r="BI608" s="264" t="s">
        <v>3120</v>
      </c>
      <c r="BJ608" t="s">
        <v>345</v>
      </c>
      <c r="BK608">
        <v>636</v>
      </c>
      <c r="BL608">
        <f>638+378+212+115</f>
        <v>1343</v>
      </c>
      <c r="BM608">
        <v>2.108490566037736</v>
      </c>
      <c r="BN608">
        <f t="shared" si="701"/>
        <v>707</v>
      </c>
      <c r="BO608">
        <f t="shared" si="702"/>
        <v>1.4428571428571431</v>
      </c>
      <c r="BP608" s="264" t="s">
        <v>395</v>
      </c>
      <c r="BR608" t="s">
        <v>728</v>
      </c>
      <c r="BS608">
        <v>-548.29999999999995</v>
      </c>
      <c r="BT608">
        <v>-779.3</v>
      </c>
      <c r="BU608" s="144">
        <v>1.5227272727272727</v>
      </c>
      <c r="BV608">
        <f t="shared" si="703"/>
        <v>-231</v>
      </c>
      <c r="BX608">
        <f t="shared" si="704"/>
        <v>-0.23100000000000001</v>
      </c>
      <c r="BY608">
        <f t="shared" si="654"/>
        <v>-0.16009900990099007</v>
      </c>
      <c r="BZ608">
        <v>0</v>
      </c>
      <c r="CA608">
        <v>0</v>
      </c>
      <c r="CB608">
        <v>0</v>
      </c>
      <c r="CC608">
        <v>0</v>
      </c>
      <c r="CD608">
        <v>0</v>
      </c>
      <c r="CE608">
        <v>0</v>
      </c>
      <c r="CF608">
        <v>0</v>
      </c>
      <c r="CG608">
        <v>0</v>
      </c>
      <c r="CH608">
        <v>0</v>
      </c>
      <c r="CI608">
        <v>0</v>
      </c>
      <c r="CJ608">
        <v>0</v>
      </c>
      <c r="CK608">
        <v>0</v>
      </c>
      <c r="CL608">
        <v>0</v>
      </c>
      <c r="CM608">
        <v>0</v>
      </c>
      <c r="CN608" t="str">
        <f t="shared" si="705"/>
        <v>refOK</v>
      </c>
      <c r="CO608">
        <f t="shared" si="706"/>
        <v>636</v>
      </c>
      <c r="CP608">
        <f t="shared" si="707"/>
        <v>1343</v>
      </c>
      <c r="CQ608">
        <f t="shared" si="708"/>
        <v>1.4428571428571431</v>
      </c>
      <c r="CR608">
        <f t="shared" si="709"/>
        <v>548.29999999999995</v>
      </c>
      <c r="CS608">
        <f t="shared" si="710"/>
        <v>779.3</v>
      </c>
      <c r="CT608">
        <f t="shared" si="711"/>
        <v>0.23100000000000001</v>
      </c>
      <c r="CU608">
        <f t="shared" si="712"/>
        <v>0.16009900990099007</v>
      </c>
      <c r="CV608" s="2">
        <f t="shared" si="713"/>
        <v>0.42130220682108338</v>
      </c>
      <c r="CW608" s="1" t="s">
        <v>1198</v>
      </c>
      <c r="CX608" t="str">
        <f t="shared" si="714"/>
        <v>reg</v>
      </c>
      <c r="CY608" t="s">
        <v>1539</v>
      </c>
      <c r="DB608">
        <v>100</v>
      </c>
      <c r="DC608" t="str">
        <f t="shared" si="715"/>
        <v>71-100</v>
      </c>
      <c r="DD608">
        <v>0</v>
      </c>
      <c r="DE608">
        <v>0</v>
      </c>
      <c r="DF608">
        <v>0</v>
      </c>
      <c r="DG608">
        <v>1</v>
      </c>
      <c r="DI608">
        <f t="shared" si="716"/>
        <v>1</v>
      </c>
      <c r="DJ608" t="str">
        <f t="shared" si="717"/>
        <v>TimberInput</v>
      </c>
      <c r="DK608">
        <f t="shared" si="718"/>
        <v>0</v>
      </c>
      <c r="DL608">
        <f t="shared" si="719"/>
        <v>0</v>
      </c>
      <c r="DM608">
        <f t="shared" si="720"/>
        <v>0</v>
      </c>
      <c r="DN608" t="str">
        <f t="shared" si="721"/>
        <v>Timber</v>
      </c>
      <c r="DO608">
        <v>0</v>
      </c>
      <c r="DP608">
        <v>1</v>
      </c>
      <c r="DQ608">
        <v>0</v>
      </c>
      <c r="DR608">
        <v>0</v>
      </c>
      <c r="DS608" t="s">
        <v>1540</v>
      </c>
      <c r="DT608">
        <f t="shared" si="722"/>
        <v>1</v>
      </c>
      <c r="DU608" s="143" t="str">
        <f t="shared" si="723"/>
        <v>external DF used</v>
      </c>
      <c r="DV608">
        <v>0</v>
      </c>
      <c r="DW608">
        <v>0</v>
      </c>
      <c r="DX608">
        <v>0</v>
      </c>
      <c r="DY608">
        <v>0</v>
      </c>
      <c r="DZ608">
        <v>1</v>
      </c>
      <c r="EA608" s="143">
        <v>1</v>
      </c>
      <c r="EB608">
        <v>0</v>
      </c>
      <c r="EC608">
        <v>1</v>
      </c>
      <c r="ED608">
        <v>0</v>
      </c>
      <c r="EE608">
        <v>1</v>
      </c>
      <c r="EF608">
        <v>1</v>
      </c>
      <c r="EG608">
        <v>1</v>
      </c>
      <c r="EH608">
        <v>1</v>
      </c>
      <c r="EI608" s="2">
        <v>0</v>
      </c>
      <c r="EK608" t="str">
        <f t="shared" si="724"/>
        <v/>
      </c>
      <c r="EL608" t="str">
        <f t="shared" si="725"/>
        <v/>
      </c>
      <c r="EM608" s="2" t="str">
        <f t="shared" si="655"/>
        <v>Technology approach</v>
      </c>
      <c r="EP608" t="str">
        <f>IF(ISNUMBER(BU608),IF(ABS(BU608-[3]QC_indicators!$B$2)&gt;3*[3]QC_indicators!$C$2,"C ratio",IF(ISNUMBER(BY608),IF(ABS(BY608-[3]QC_indicators!$B$1)&gt;3*[3]QC_indicators!$C$1,"DF","no"))),IF(ISNUMBER(BY608),IF(ABS(BY608-[3]QC_indicators!$B$1)&gt;3*[3]QC_indicators!$C$1,"DF","no")))</f>
        <v>no</v>
      </c>
      <c r="ET608" s="264" t="s">
        <v>3272</v>
      </c>
    </row>
    <row r="609" spans="1:150" ht="15" hidden="1" customHeight="1">
      <c r="A609" s="1" t="s">
        <v>265</v>
      </c>
      <c r="B609" t="s">
        <v>1530</v>
      </c>
      <c r="C609" t="s">
        <v>1531</v>
      </c>
      <c r="D609" t="s">
        <v>1532</v>
      </c>
      <c r="E609" t="s">
        <v>1533</v>
      </c>
      <c r="F609" t="s">
        <v>1534</v>
      </c>
      <c r="G609" t="s">
        <v>271</v>
      </c>
      <c r="H609" t="s">
        <v>254</v>
      </c>
      <c r="I609">
        <v>2019</v>
      </c>
      <c r="J609">
        <v>26</v>
      </c>
      <c r="K609" t="s">
        <v>1535</v>
      </c>
      <c r="M609" t="str">
        <f t="shared" si="686"/>
        <v>Faraca_2019</v>
      </c>
      <c r="N609" t="s">
        <v>222</v>
      </c>
      <c r="O609" s="145" t="s">
        <v>274</v>
      </c>
      <c r="P609" s="180" t="s">
        <v>223</v>
      </c>
      <c r="Q609" t="s">
        <v>256</v>
      </c>
      <c r="R609" s="262" t="s">
        <v>223</v>
      </c>
      <c r="S609" s="1" t="s">
        <v>1545</v>
      </c>
      <c r="T609" t="s">
        <v>1549</v>
      </c>
      <c r="U609" t="s">
        <v>1550</v>
      </c>
      <c r="V609">
        <v>0</v>
      </c>
      <c r="W609">
        <v>0</v>
      </c>
      <c r="X609">
        <v>0</v>
      </c>
      <c r="Y609">
        <v>0</v>
      </c>
      <c r="Z609">
        <v>0</v>
      </c>
      <c r="AA609">
        <v>0</v>
      </c>
      <c r="AB609">
        <v>0</v>
      </c>
      <c r="AC609">
        <v>0</v>
      </c>
      <c r="AD609">
        <v>0</v>
      </c>
      <c r="AE609">
        <v>0</v>
      </c>
      <c r="AF609">
        <v>0</v>
      </c>
      <c r="AG609">
        <v>1</v>
      </c>
      <c r="AH609">
        <v>0</v>
      </c>
      <c r="AI609">
        <v>0</v>
      </c>
      <c r="AJ609">
        <v>0</v>
      </c>
      <c r="AK609">
        <v>0</v>
      </c>
      <c r="AL609">
        <v>0</v>
      </c>
      <c r="AM609">
        <v>0</v>
      </c>
      <c r="AN609">
        <v>0</v>
      </c>
      <c r="AO609">
        <v>0</v>
      </c>
      <c r="AP609">
        <v>0</v>
      </c>
      <c r="AQ609">
        <v>0</v>
      </c>
      <c r="AR609">
        <v>0</v>
      </c>
      <c r="AS609">
        <v>0</v>
      </c>
      <c r="AT609">
        <v>0</v>
      </c>
      <c r="AU609">
        <v>0</v>
      </c>
      <c r="AV609">
        <v>0</v>
      </c>
      <c r="AW609">
        <v>0</v>
      </c>
      <c r="AX609" s="141">
        <f t="shared" si="694"/>
        <v>1</v>
      </c>
      <c r="AY609" s="141">
        <f t="shared" si="695"/>
        <v>1</v>
      </c>
      <c r="AZ609">
        <f t="shared" si="696"/>
        <v>0</v>
      </c>
      <c r="BA609">
        <f t="shared" si="697"/>
        <v>1</v>
      </c>
      <c r="BB609">
        <f t="shared" si="698"/>
        <v>0</v>
      </c>
      <c r="BC609">
        <f t="shared" si="699"/>
        <v>0</v>
      </c>
      <c r="BD609">
        <f t="shared" si="700"/>
        <v>0</v>
      </c>
      <c r="BE609" t="str">
        <f t="array" ref="BE609">IF(AY609=1,INDEX($V$7:$AL$7,MATCH(TRUE,INDEX($V609:$AW609&lt;&gt;0,),0)),IF(AY609=0,INDEX($AM$7:$AW$7,MATCH(1,$AM609:$AW609,0)),IF(BF609="Multiple strategies","mixed drivers",IF(BF609="Supply chain","multiple supply","multiple silviculture"))))</f>
        <v>recycling</v>
      </c>
      <c r="BF609" s="2" t="str" cm="1">
        <f t="array" ref="BF609">IF(COUNTIF(AZ609:BB609,"&lt;&gt;0")=1,INDEX($V$4:$AW$4,MATCH(TRUE,INDEX($V609:$AW609&lt;&gt;0,),0)),IF(COUNTIF(AZ609:BB609,"&lt;&gt;0")=0,INDEX($AM$4:$AW$4,MATCH(1,$AM609:$AW609,0)),"Multiple strategies"))</f>
        <v>Supply chain</v>
      </c>
      <c r="BG609" s="1" t="s">
        <v>229</v>
      </c>
      <c r="BH609" t="s">
        <v>1547</v>
      </c>
      <c r="BI609" s="264" t="s">
        <v>3120</v>
      </c>
      <c r="BJ609" t="s">
        <v>345</v>
      </c>
      <c r="BK609">
        <v>478</v>
      </c>
      <c r="BL609">
        <f>478+409+223+122</f>
        <v>1232</v>
      </c>
      <c r="BM609">
        <v>2.5774058577405858</v>
      </c>
      <c r="BN609">
        <f t="shared" si="701"/>
        <v>754</v>
      </c>
      <c r="BO609">
        <f t="shared" si="702"/>
        <v>1.5387755102040819</v>
      </c>
      <c r="BP609" s="264" t="s">
        <v>395</v>
      </c>
      <c r="BR609" t="s">
        <v>728</v>
      </c>
      <c r="BS609">
        <v>-520.70000000000005</v>
      </c>
      <c r="BT609">
        <v>-762.1</v>
      </c>
      <c r="BU609" s="144">
        <v>1.6646341463414633</v>
      </c>
      <c r="BV609">
        <f t="shared" si="703"/>
        <v>-241.39999999999998</v>
      </c>
      <c r="BX609">
        <f t="shared" si="704"/>
        <v>-0.24139999999999998</v>
      </c>
      <c r="BY609">
        <f t="shared" si="654"/>
        <v>-0.1568779840848806</v>
      </c>
      <c r="BZ609">
        <v>0</v>
      </c>
      <c r="CA609">
        <v>0</v>
      </c>
      <c r="CB609">
        <v>0</v>
      </c>
      <c r="CC609">
        <v>0</v>
      </c>
      <c r="CD609">
        <v>0</v>
      </c>
      <c r="CE609">
        <v>0</v>
      </c>
      <c r="CF609">
        <v>0</v>
      </c>
      <c r="CG609">
        <v>0</v>
      </c>
      <c r="CH609">
        <v>0</v>
      </c>
      <c r="CI609">
        <v>0</v>
      </c>
      <c r="CJ609">
        <v>0</v>
      </c>
      <c r="CK609">
        <v>0</v>
      </c>
      <c r="CL609">
        <v>0</v>
      </c>
      <c r="CM609">
        <v>0</v>
      </c>
      <c r="CN609" t="str">
        <f t="shared" si="705"/>
        <v>refOK</v>
      </c>
      <c r="CO609">
        <f t="shared" si="706"/>
        <v>478</v>
      </c>
      <c r="CP609">
        <f t="shared" si="707"/>
        <v>1232</v>
      </c>
      <c r="CQ609">
        <f t="shared" si="708"/>
        <v>1.5387755102040819</v>
      </c>
      <c r="CR609">
        <f t="shared" si="709"/>
        <v>520.70000000000005</v>
      </c>
      <c r="CS609">
        <f t="shared" si="710"/>
        <v>762.1</v>
      </c>
      <c r="CT609">
        <f t="shared" si="711"/>
        <v>0.24139999999999998</v>
      </c>
      <c r="CU609">
        <f t="shared" si="712"/>
        <v>0.1568779840848806</v>
      </c>
      <c r="CV609" s="2">
        <f t="shared" si="713"/>
        <v>0.46360668331092753</v>
      </c>
      <c r="CW609" s="1" t="s">
        <v>1198</v>
      </c>
      <c r="CX609" t="str">
        <f t="shared" si="714"/>
        <v>reg</v>
      </c>
      <c r="CY609" t="s">
        <v>1539</v>
      </c>
      <c r="DB609">
        <v>500</v>
      </c>
      <c r="DC609" t="str">
        <f t="shared" si="715"/>
        <v>+100</v>
      </c>
      <c r="DD609">
        <v>0</v>
      </c>
      <c r="DE609">
        <v>0</v>
      </c>
      <c r="DF609">
        <v>0</v>
      </c>
      <c r="DG609">
        <v>1</v>
      </c>
      <c r="DI609">
        <f t="shared" si="716"/>
        <v>1</v>
      </c>
      <c r="DJ609" t="str">
        <f t="shared" si="717"/>
        <v>TimberInput</v>
      </c>
      <c r="DK609">
        <f t="shared" si="718"/>
        <v>0</v>
      </c>
      <c r="DL609">
        <f t="shared" si="719"/>
        <v>0</v>
      </c>
      <c r="DM609">
        <f t="shared" si="720"/>
        <v>0</v>
      </c>
      <c r="DN609" t="str">
        <f t="shared" si="721"/>
        <v>Timber</v>
      </c>
      <c r="DO609">
        <v>0</v>
      </c>
      <c r="DP609">
        <v>1</v>
      </c>
      <c r="DQ609">
        <v>0</v>
      </c>
      <c r="DR609">
        <v>0</v>
      </c>
      <c r="DS609" t="s">
        <v>1540</v>
      </c>
      <c r="DT609">
        <f t="shared" si="722"/>
        <v>1</v>
      </c>
      <c r="DU609" s="143" t="str">
        <f t="shared" si="723"/>
        <v>external DF used</v>
      </c>
      <c r="DV609">
        <v>0</v>
      </c>
      <c r="DW609">
        <v>0</v>
      </c>
      <c r="DX609">
        <v>0</v>
      </c>
      <c r="DY609">
        <v>0</v>
      </c>
      <c r="DZ609">
        <v>1</v>
      </c>
      <c r="EA609" s="143">
        <v>1</v>
      </c>
      <c r="EB609">
        <v>0</v>
      </c>
      <c r="EC609">
        <v>1</v>
      </c>
      <c r="ED609">
        <v>0</v>
      </c>
      <c r="EE609">
        <v>1</v>
      </c>
      <c r="EF609">
        <v>1</v>
      </c>
      <c r="EG609">
        <v>1</v>
      </c>
      <c r="EH609">
        <v>1</v>
      </c>
      <c r="EI609" s="2">
        <v>0</v>
      </c>
      <c r="EK609" t="str">
        <f t="shared" si="724"/>
        <v/>
      </c>
      <c r="EL609" t="str">
        <f t="shared" si="725"/>
        <v/>
      </c>
      <c r="EM609" s="2" t="str">
        <f t="shared" si="655"/>
        <v>Technology approach</v>
      </c>
      <c r="EP609" t="str">
        <f>IF(ISNUMBER(BU609),IF(ABS(BU609-[3]QC_indicators!$B$2)&gt;3*[3]QC_indicators!$C$2,"C ratio",IF(ISNUMBER(BY609),IF(ABS(BY609-[3]QC_indicators!$B$1)&gt;3*[3]QC_indicators!$C$1,"DF","no"))),IF(ISNUMBER(BY609),IF(ABS(BY609-[3]QC_indicators!$B$1)&gt;3*[3]QC_indicators!$C$1,"DF","no")))</f>
        <v>no</v>
      </c>
      <c r="ET609" s="264" t="s">
        <v>3272</v>
      </c>
    </row>
    <row r="610" spans="1:150" ht="15" hidden="1" customHeight="1">
      <c r="A610" s="1" t="s">
        <v>265</v>
      </c>
      <c r="B610" t="s">
        <v>1530</v>
      </c>
      <c r="C610" t="s">
        <v>1531</v>
      </c>
      <c r="D610" t="s">
        <v>1532</v>
      </c>
      <c r="E610" t="s">
        <v>1533</v>
      </c>
      <c r="F610" t="s">
        <v>1534</v>
      </c>
      <c r="G610" t="s">
        <v>271</v>
      </c>
      <c r="H610" t="s">
        <v>254</v>
      </c>
      <c r="I610">
        <v>2019</v>
      </c>
      <c r="J610">
        <v>26</v>
      </c>
      <c r="K610" t="s">
        <v>1535</v>
      </c>
      <c r="M610" t="str">
        <f t="shared" si="686"/>
        <v>Faraca_2019</v>
      </c>
      <c r="N610" t="s">
        <v>222</v>
      </c>
      <c r="O610" s="145" t="s">
        <v>274</v>
      </c>
      <c r="P610" s="180" t="s">
        <v>223</v>
      </c>
      <c r="Q610" t="s">
        <v>256</v>
      </c>
      <c r="R610" s="262" t="s">
        <v>223</v>
      </c>
      <c r="S610" s="263" t="s">
        <v>3135</v>
      </c>
      <c r="T610" t="s">
        <v>1549</v>
      </c>
      <c r="U610" t="s">
        <v>1550</v>
      </c>
      <c r="V610">
        <v>0</v>
      </c>
      <c r="W610">
        <v>0</v>
      </c>
      <c r="X610">
        <v>0</v>
      </c>
      <c r="Y610">
        <v>0</v>
      </c>
      <c r="Z610">
        <v>0</v>
      </c>
      <c r="AA610">
        <v>0</v>
      </c>
      <c r="AB610">
        <v>0</v>
      </c>
      <c r="AC610">
        <v>0</v>
      </c>
      <c r="AD610">
        <v>0</v>
      </c>
      <c r="AE610">
        <v>0</v>
      </c>
      <c r="AF610">
        <v>0</v>
      </c>
      <c r="AG610">
        <v>1</v>
      </c>
      <c r="AH610">
        <v>0</v>
      </c>
      <c r="AI610">
        <v>0</v>
      </c>
      <c r="AJ610">
        <v>0</v>
      </c>
      <c r="AK610">
        <v>0</v>
      </c>
      <c r="AL610">
        <v>0</v>
      </c>
      <c r="AM610">
        <v>0</v>
      </c>
      <c r="AN610">
        <v>0</v>
      </c>
      <c r="AO610">
        <v>0</v>
      </c>
      <c r="AP610">
        <v>0</v>
      </c>
      <c r="AQ610">
        <v>0</v>
      </c>
      <c r="AR610">
        <v>0</v>
      </c>
      <c r="AS610">
        <v>0</v>
      </c>
      <c r="AT610">
        <v>0</v>
      </c>
      <c r="AU610">
        <v>0</v>
      </c>
      <c r="AV610">
        <v>0</v>
      </c>
      <c r="AW610">
        <v>0</v>
      </c>
      <c r="AX610" s="141">
        <f t="shared" si="694"/>
        <v>1</v>
      </c>
      <c r="AY610" s="141">
        <f t="shared" si="695"/>
        <v>1</v>
      </c>
      <c r="AZ610">
        <f t="shared" si="696"/>
        <v>0</v>
      </c>
      <c r="BA610">
        <f t="shared" si="697"/>
        <v>1</v>
      </c>
      <c r="BB610">
        <f t="shared" si="698"/>
        <v>0</v>
      </c>
      <c r="BC610">
        <f t="shared" si="699"/>
        <v>0</v>
      </c>
      <c r="BD610">
        <f t="shared" si="700"/>
        <v>0</v>
      </c>
      <c r="BE610" t="str">
        <f t="array" ref="BE610">IF(AY610=1,INDEX($V$7:$AL$7,MATCH(TRUE,INDEX($V610:$AW610&lt;&gt;0,),0)),IF(AY610=0,INDEX($AM$7:$AW$7,MATCH(1,$AM610:$AW610,0)),IF(BF610="Multiple strategies","mixed drivers",IF(BF610="Supply chain","multiple supply","multiple silviculture"))))</f>
        <v>recycling</v>
      </c>
      <c r="BF610" s="2" t="str" cm="1">
        <f t="array" ref="BF610">IF(COUNTIF(AZ610:BB610,"&lt;&gt;0")=1,INDEX($V$4:$AW$4,MATCH(TRUE,INDEX($V610:$AW610&lt;&gt;0,),0)),IF(COUNTIF(AZ610:BB610,"&lt;&gt;0")=0,INDEX($AM$4:$AW$4,MATCH(1,$AM610:$AW610,0)),"Multiple strategies"))</f>
        <v>Supply chain</v>
      </c>
      <c r="BG610" s="1" t="s">
        <v>229</v>
      </c>
      <c r="BH610" t="s">
        <v>1547</v>
      </c>
      <c r="BI610" s="264" t="s">
        <v>3120</v>
      </c>
      <c r="BJ610" t="s">
        <v>345</v>
      </c>
      <c r="BK610">
        <v>478</v>
      </c>
      <c r="BL610">
        <f>478+409+223+122</f>
        <v>1232</v>
      </c>
      <c r="BM610">
        <v>2.5774058577405858</v>
      </c>
      <c r="BN610">
        <f t="shared" si="701"/>
        <v>754</v>
      </c>
      <c r="BO610">
        <f t="shared" si="702"/>
        <v>1.5387755102040819</v>
      </c>
      <c r="BP610" s="264" t="s">
        <v>395</v>
      </c>
      <c r="BQ610" t="s">
        <v>426</v>
      </c>
      <c r="BR610" t="s">
        <v>728</v>
      </c>
      <c r="BS610">
        <v>-355.9</v>
      </c>
      <c r="BT610">
        <v>-572.9</v>
      </c>
      <c r="BU610" s="144">
        <v>1.6646341463414633</v>
      </c>
      <c r="BV610">
        <f t="shared" si="703"/>
        <v>-217</v>
      </c>
      <c r="BX610">
        <f t="shared" si="704"/>
        <v>-0.217</v>
      </c>
      <c r="BY610">
        <f t="shared" si="654"/>
        <v>-0.14102122015915117</v>
      </c>
      <c r="BZ610">
        <v>0</v>
      </c>
      <c r="CA610">
        <v>0</v>
      </c>
      <c r="CB610">
        <v>0</v>
      </c>
      <c r="CC610">
        <v>0</v>
      </c>
      <c r="CD610">
        <v>0</v>
      </c>
      <c r="CE610">
        <v>0</v>
      </c>
      <c r="CF610">
        <v>0</v>
      </c>
      <c r="CG610">
        <v>0</v>
      </c>
      <c r="CH610">
        <v>0</v>
      </c>
      <c r="CI610">
        <v>0</v>
      </c>
      <c r="CJ610">
        <v>0</v>
      </c>
      <c r="CK610">
        <v>0</v>
      </c>
      <c r="CL610">
        <v>0</v>
      </c>
      <c r="CM610">
        <v>0</v>
      </c>
      <c r="CN610" t="str">
        <f t="shared" si="705"/>
        <v>refOK</v>
      </c>
      <c r="CO610">
        <f t="shared" si="706"/>
        <v>478</v>
      </c>
      <c r="CP610">
        <f t="shared" si="707"/>
        <v>1232</v>
      </c>
      <c r="CQ610">
        <f t="shared" si="708"/>
        <v>1.5387755102040819</v>
      </c>
      <c r="CR610">
        <f t="shared" si="709"/>
        <v>355.9</v>
      </c>
      <c r="CS610">
        <f t="shared" si="710"/>
        <v>572.9</v>
      </c>
      <c r="CT610">
        <f t="shared" si="711"/>
        <v>0.217</v>
      </c>
      <c r="CU610">
        <f t="shared" si="712"/>
        <v>0.14102122015915117</v>
      </c>
      <c r="CV610" s="2">
        <f t="shared" si="713"/>
        <v>0.60972183197527396</v>
      </c>
      <c r="CW610" s="1" t="s">
        <v>1198</v>
      </c>
      <c r="CX610" t="str">
        <f t="shared" si="714"/>
        <v>reg</v>
      </c>
      <c r="CY610" t="s">
        <v>1539</v>
      </c>
      <c r="DB610">
        <v>100</v>
      </c>
      <c r="DC610" t="str">
        <f t="shared" si="715"/>
        <v>71-100</v>
      </c>
      <c r="DD610">
        <v>0</v>
      </c>
      <c r="DE610">
        <v>0</v>
      </c>
      <c r="DF610">
        <v>0</v>
      </c>
      <c r="DG610">
        <v>1</v>
      </c>
      <c r="DI610">
        <f t="shared" si="716"/>
        <v>1</v>
      </c>
      <c r="DJ610" t="str">
        <f t="shared" si="717"/>
        <v>TimberInput</v>
      </c>
      <c r="DK610">
        <f t="shared" si="718"/>
        <v>0</v>
      </c>
      <c r="DL610">
        <f t="shared" si="719"/>
        <v>0</v>
      </c>
      <c r="DM610">
        <f t="shared" si="720"/>
        <v>0</v>
      </c>
      <c r="DN610" t="str">
        <f t="shared" si="721"/>
        <v>Timber</v>
      </c>
      <c r="DO610">
        <v>0</v>
      </c>
      <c r="DP610">
        <v>1</v>
      </c>
      <c r="DQ610">
        <v>0</v>
      </c>
      <c r="DR610">
        <v>0</v>
      </c>
      <c r="DS610" t="s">
        <v>1540</v>
      </c>
      <c r="DT610">
        <f t="shared" si="722"/>
        <v>1</v>
      </c>
      <c r="DU610" s="143" t="str">
        <f t="shared" si="723"/>
        <v>external DF used</v>
      </c>
      <c r="DV610">
        <v>0</v>
      </c>
      <c r="DW610">
        <v>0</v>
      </c>
      <c r="DX610">
        <v>0</v>
      </c>
      <c r="DY610">
        <v>0</v>
      </c>
      <c r="DZ610">
        <v>1</v>
      </c>
      <c r="EA610" s="143">
        <v>1</v>
      </c>
      <c r="EB610">
        <v>0</v>
      </c>
      <c r="EC610">
        <v>1</v>
      </c>
      <c r="ED610">
        <v>0</v>
      </c>
      <c r="EE610">
        <v>1</v>
      </c>
      <c r="EF610">
        <v>1</v>
      </c>
      <c r="EG610">
        <v>1</v>
      </c>
      <c r="EH610">
        <v>0</v>
      </c>
      <c r="EI610" s="2">
        <v>0</v>
      </c>
      <c r="EK610" t="str">
        <f t="shared" si="724"/>
        <v/>
      </c>
      <c r="EL610" t="str">
        <f t="shared" si="725"/>
        <v/>
      </c>
      <c r="EM610" s="2" t="str">
        <f t="shared" si="655"/>
        <v>Technology approach</v>
      </c>
      <c r="EP610" t="str">
        <f>IF(ISNUMBER(BU610),IF(ABS(BU610-[3]QC_indicators!$B$2)&gt;3*[3]QC_indicators!$C$2,"C ratio",IF(ISNUMBER(BY610),IF(ABS(BY610-[3]QC_indicators!$B$1)&gt;3*[3]QC_indicators!$C$1,"DF","no"))),IF(ISNUMBER(BY610),IF(ABS(BY610-[3]QC_indicators!$B$1)&gt;3*[3]QC_indicators!$C$1,"DF","no")))</f>
        <v>no</v>
      </c>
      <c r="ET610" s="264" t="s">
        <v>3272</v>
      </c>
    </row>
    <row r="611" spans="1:150" ht="15" hidden="1" customHeight="1">
      <c r="A611" s="1" t="s">
        <v>265</v>
      </c>
      <c r="B611" t="s">
        <v>1530</v>
      </c>
      <c r="C611" t="s">
        <v>1531</v>
      </c>
      <c r="D611" t="s">
        <v>1532</v>
      </c>
      <c r="E611" t="s">
        <v>1533</v>
      </c>
      <c r="F611" t="s">
        <v>1534</v>
      </c>
      <c r="G611" t="s">
        <v>271</v>
      </c>
      <c r="H611" t="s">
        <v>254</v>
      </c>
      <c r="I611">
        <v>2019</v>
      </c>
      <c r="J611">
        <v>26</v>
      </c>
      <c r="K611" t="s">
        <v>1535</v>
      </c>
      <c r="M611" t="str">
        <f t="shared" si="686"/>
        <v>Faraca_2019</v>
      </c>
      <c r="N611" t="s">
        <v>222</v>
      </c>
      <c r="O611" s="145" t="s">
        <v>274</v>
      </c>
      <c r="P611" s="180" t="s">
        <v>223</v>
      </c>
      <c r="Q611" t="s">
        <v>256</v>
      </c>
      <c r="R611" s="262" t="s">
        <v>223</v>
      </c>
      <c r="S611" s="1" t="s">
        <v>1545</v>
      </c>
      <c r="T611" t="s">
        <v>1537</v>
      </c>
      <c r="U611" t="s">
        <v>1548</v>
      </c>
      <c r="V611">
        <v>0</v>
      </c>
      <c r="W611">
        <v>0</v>
      </c>
      <c r="X611">
        <v>0</v>
      </c>
      <c r="Y611">
        <v>0</v>
      </c>
      <c r="Z611">
        <v>0</v>
      </c>
      <c r="AA611">
        <v>0</v>
      </c>
      <c r="AB611">
        <v>0</v>
      </c>
      <c r="AC611">
        <v>0</v>
      </c>
      <c r="AD611">
        <v>0</v>
      </c>
      <c r="AE611">
        <v>0</v>
      </c>
      <c r="AF611">
        <v>0</v>
      </c>
      <c r="AG611">
        <v>1</v>
      </c>
      <c r="AH611">
        <v>0</v>
      </c>
      <c r="AI611">
        <v>0</v>
      </c>
      <c r="AJ611">
        <v>0</v>
      </c>
      <c r="AK611">
        <v>0</v>
      </c>
      <c r="AL611">
        <v>0</v>
      </c>
      <c r="AM611">
        <v>0</v>
      </c>
      <c r="AN611">
        <v>0</v>
      </c>
      <c r="AO611">
        <v>0</v>
      </c>
      <c r="AP611">
        <v>0</v>
      </c>
      <c r="AQ611">
        <v>0</v>
      </c>
      <c r="AR611">
        <v>0</v>
      </c>
      <c r="AS611">
        <v>0</v>
      </c>
      <c r="AT611">
        <v>0</v>
      </c>
      <c r="AU611">
        <v>0</v>
      </c>
      <c r="AV611">
        <v>0</v>
      </c>
      <c r="AW611">
        <v>0</v>
      </c>
      <c r="AX611" s="141">
        <f t="shared" si="694"/>
        <v>1</v>
      </c>
      <c r="AY611" s="141">
        <f t="shared" si="695"/>
        <v>1</v>
      </c>
      <c r="AZ611">
        <f t="shared" si="696"/>
        <v>0</v>
      </c>
      <c r="BA611">
        <f t="shared" si="697"/>
        <v>1</v>
      </c>
      <c r="BB611">
        <f t="shared" si="698"/>
        <v>0</v>
      </c>
      <c r="BC611">
        <f t="shared" si="699"/>
        <v>0</v>
      </c>
      <c r="BD611">
        <f t="shared" si="700"/>
        <v>0</v>
      </c>
      <c r="BE611" t="str">
        <f t="array" ref="BE611">IF(AY611=1,INDEX($V$7:$AL$7,MATCH(TRUE,INDEX($V611:$AW611&lt;&gt;0,),0)),IF(AY611=0,INDEX($AM$7:$AW$7,MATCH(1,$AM611:$AW611,0)),IF(BF611="Multiple strategies","mixed drivers",IF(BF611="Supply chain","multiple supply","multiple silviculture"))))</f>
        <v>recycling</v>
      </c>
      <c r="BF611" s="2" t="str" cm="1">
        <f t="array" ref="BF611">IF(COUNTIF(AZ611:BB611,"&lt;&gt;0")=1,INDEX($V$4:$AW$4,MATCH(TRUE,INDEX($V611:$AW611&lt;&gt;0,),0)),IF(COUNTIF(AZ611:BB611,"&lt;&gt;0")=0,INDEX($AM$4:$AW$4,MATCH(1,$AM611:$AW611,0)),"Multiple strategies"))</f>
        <v>Supply chain</v>
      </c>
      <c r="BG611" s="1" t="s">
        <v>229</v>
      </c>
      <c r="BH611" t="s">
        <v>1547</v>
      </c>
      <c r="BJ611" t="s">
        <v>345</v>
      </c>
      <c r="BK611">
        <v>922</v>
      </c>
      <c r="BL611">
        <f>922+519+281+121</f>
        <v>1843</v>
      </c>
      <c r="BM611">
        <v>1.9989154013015185</v>
      </c>
      <c r="BN611">
        <f t="shared" si="701"/>
        <v>921</v>
      </c>
      <c r="BO611">
        <f t="shared" si="702"/>
        <v>1.879591836734694</v>
      </c>
      <c r="BP611" s="264" t="s">
        <v>395</v>
      </c>
      <c r="BR611" t="s">
        <v>728</v>
      </c>
      <c r="BS611">
        <v>-462.1</v>
      </c>
      <c r="BT611">
        <v>-675.9</v>
      </c>
      <c r="BU611" s="144">
        <v>-0.52307692307692311</v>
      </c>
      <c r="BV611">
        <f t="shared" si="703"/>
        <v>-213.79999999999995</v>
      </c>
      <c r="BX611">
        <f t="shared" si="704"/>
        <v>-0.21379999999999996</v>
      </c>
      <c r="BY611">
        <f t="shared" si="654"/>
        <v>-0.11374809989142234</v>
      </c>
      <c r="BZ611">
        <v>0</v>
      </c>
      <c r="CA611">
        <v>0</v>
      </c>
      <c r="CB611">
        <v>0</v>
      </c>
      <c r="CC611">
        <v>0</v>
      </c>
      <c r="CD611">
        <v>0</v>
      </c>
      <c r="CE611">
        <v>0</v>
      </c>
      <c r="CF611">
        <v>0</v>
      </c>
      <c r="CG611">
        <v>0</v>
      </c>
      <c r="CH611">
        <v>0</v>
      </c>
      <c r="CI611">
        <v>0</v>
      </c>
      <c r="CJ611">
        <v>0</v>
      </c>
      <c r="CK611">
        <v>0</v>
      </c>
      <c r="CL611">
        <v>0</v>
      </c>
      <c r="CM611">
        <v>0</v>
      </c>
      <c r="CN611" t="str">
        <f t="shared" si="705"/>
        <v>refOK</v>
      </c>
      <c r="CO611">
        <f t="shared" si="706"/>
        <v>922</v>
      </c>
      <c r="CP611">
        <f t="shared" si="707"/>
        <v>1843</v>
      </c>
      <c r="CQ611">
        <f t="shared" si="708"/>
        <v>1.879591836734694</v>
      </c>
      <c r="CR611">
        <f t="shared" si="709"/>
        <v>462.1</v>
      </c>
      <c r="CS611">
        <f t="shared" si="710"/>
        <v>675.9</v>
      </c>
      <c r="CT611">
        <f t="shared" si="711"/>
        <v>0.21379999999999996</v>
      </c>
      <c r="CU611">
        <f t="shared" si="712"/>
        <v>0.11374809989142234</v>
      </c>
      <c r="CV611" s="2">
        <f t="shared" si="713"/>
        <v>0.46267041765851535</v>
      </c>
      <c r="CW611" s="1" t="s">
        <v>1198</v>
      </c>
      <c r="CX611" t="str">
        <f t="shared" si="714"/>
        <v>reg</v>
      </c>
      <c r="CY611" t="s">
        <v>1539</v>
      </c>
      <c r="DB611">
        <v>500</v>
      </c>
      <c r="DC611" t="str">
        <f t="shared" si="715"/>
        <v>+100</v>
      </c>
      <c r="DD611">
        <v>0</v>
      </c>
      <c r="DE611">
        <v>0</v>
      </c>
      <c r="DF611">
        <v>0</v>
      </c>
      <c r="DG611">
        <v>1</v>
      </c>
      <c r="DI611">
        <f t="shared" si="716"/>
        <v>1</v>
      </c>
      <c r="DJ611" t="str">
        <f t="shared" si="717"/>
        <v>TimberInput</v>
      </c>
      <c r="DK611">
        <f t="shared" si="718"/>
        <v>0</v>
      </c>
      <c r="DL611">
        <f t="shared" si="719"/>
        <v>0</v>
      </c>
      <c r="DM611">
        <f t="shared" si="720"/>
        <v>0</v>
      </c>
      <c r="DN611" t="str">
        <f t="shared" si="721"/>
        <v>Timber</v>
      </c>
      <c r="DO611">
        <v>0</v>
      </c>
      <c r="DP611">
        <v>1</v>
      </c>
      <c r="DQ611">
        <v>0</v>
      </c>
      <c r="DR611">
        <v>0</v>
      </c>
      <c r="DS611" t="s">
        <v>1540</v>
      </c>
      <c r="DT611">
        <f t="shared" si="722"/>
        <v>1</v>
      </c>
      <c r="DU611" s="143" t="str">
        <f t="shared" si="723"/>
        <v>external DF used</v>
      </c>
      <c r="DV611">
        <v>0</v>
      </c>
      <c r="DW611">
        <v>0</v>
      </c>
      <c r="DX611">
        <v>0</v>
      </c>
      <c r="DY611">
        <v>0</v>
      </c>
      <c r="DZ611">
        <v>1</v>
      </c>
      <c r="EA611" s="143">
        <v>1</v>
      </c>
      <c r="EB611">
        <v>0</v>
      </c>
      <c r="EC611">
        <v>1</v>
      </c>
      <c r="ED611">
        <v>0</v>
      </c>
      <c r="EE611">
        <v>1</v>
      </c>
      <c r="EF611">
        <v>1</v>
      </c>
      <c r="EG611">
        <v>1</v>
      </c>
      <c r="EH611">
        <v>1</v>
      </c>
      <c r="EI611" s="2">
        <v>0</v>
      </c>
      <c r="EK611" t="str">
        <f t="shared" si="724"/>
        <v/>
      </c>
      <c r="EL611" t="str">
        <f t="shared" si="725"/>
        <v/>
      </c>
      <c r="EM611" s="2" t="str">
        <f t="shared" si="655"/>
        <v>Technology approach</v>
      </c>
      <c r="EP611" t="str">
        <f>IF(ISNUMBER(BU611),IF(ABS(BU611-[3]QC_indicators!$B$2)&gt;3*[3]QC_indicators!$C$2,"C ratio",IF(ISNUMBER(BY611),IF(ABS(BY611-[3]QC_indicators!$B$1)&gt;3*[3]QC_indicators!$C$1,"DF","no"))),IF(ISNUMBER(BY611),IF(ABS(BY611-[3]QC_indicators!$B$1)&gt;3*[3]QC_indicators!$C$1,"DF","no")))</f>
        <v>no</v>
      </c>
      <c r="ET611" s="264" t="s">
        <v>3272</v>
      </c>
    </row>
    <row r="612" spans="1:150" ht="15" hidden="1" customHeight="1">
      <c r="A612" s="1" t="s">
        <v>265</v>
      </c>
      <c r="B612" t="s">
        <v>1530</v>
      </c>
      <c r="C612" t="s">
        <v>1531</v>
      </c>
      <c r="D612" t="s">
        <v>1532</v>
      </c>
      <c r="E612" t="s">
        <v>1533</v>
      </c>
      <c r="F612" t="s">
        <v>1534</v>
      </c>
      <c r="G612" t="s">
        <v>271</v>
      </c>
      <c r="H612" t="s">
        <v>254</v>
      </c>
      <c r="I612">
        <v>2019</v>
      </c>
      <c r="J612">
        <v>26</v>
      </c>
      <c r="K612" t="s">
        <v>1535</v>
      </c>
      <c r="M612" t="str">
        <f t="shared" si="686"/>
        <v>Faraca_2019</v>
      </c>
      <c r="N612" t="s">
        <v>222</v>
      </c>
      <c r="O612" s="145" t="s">
        <v>274</v>
      </c>
      <c r="P612" s="180" t="s">
        <v>223</v>
      </c>
      <c r="Q612" t="s">
        <v>256</v>
      </c>
      <c r="R612" s="262" t="s">
        <v>223</v>
      </c>
      <c r="S612" s="263" t="s">
        <v>3132</v>
      </c>
      <c r="T612" t="s">
        <v>1551</v>
      </c>
      <c r="U612" t="s">
        <v>1537</v>
      </c>
      <c r="V612">
        <v>0</v>
      </c>
      <c r="W612">
        <v>0</v>
      </c>
      <c r="X612">
        <v>0</v>
      </c>
      <c r="Y612">
        <v>0</v>
      </c>
      <c r="Z612">
        <v>0</v>
      </c>
      <c r="AA612">
        <v>0</v>
      </c>
      <c r="AB612">
        <v>0</v>
      </c>
      <c r="AC612">
        <v>0</v>
      </c>
      <c r="AD612">
        <v>0</v>
      </c>
      <c r="AE612">
        <v>0</v>
      </c>
      <c r="AF612">
        <v>1</v>
      </c>
      <c r="AG612">
        <v>0</v>
      </c>
      <c r="AH612">
        <v>0</v>
      </c>
      <c r="AI612">
        <v>0</v>
      </c>
      <c r="AJ612">
        <v>0</v>
      </c>
      <c r="AK612">
        <v>0</v>
      </c>
      <c r="AL612">
        <v>0</v>
      </c>
      <c r="AM612">
        <v>0</v>
      </c>
      <c r="AN612">
        <v>0</v>
      </c>
      <c r="AO612">
        <v>0</v>
      </c>
      <c r="AP612">
        <v>0</v>
      </c>
      <c r="AQ612">
        <v>0</v>
      </c>
      <c r="AR612">
        <v>0</v>
      </c>
      <c r="AS612">
        <v>0</v>
      </c>
      <c r="AT612">
        <v>0</v>
      </c>
      <c r="AU612">
        <v>0</v>
      </c>
      <c r="AV612">
        <v>0</v>
      </c>
      <c r="AW612">
        <v>0</v>
      </c>
      <c r="AX612" s="141">
        <f t="shared" si="694"/>
        <v>1</v>
      </c>
      <c r="AY612" s="141">
        <f t="shared" si="695"/>
        <v>1</v>
      </c>
      <c r="AZ612">
        <f t="shared" si="696"/>
        <v>0</v>
      </c>
      <c r="BA612">
        <f t="shared" si="697"/>
        <v>1</v>
      </c>
      <c r="BB612">
        <f t="shared" si="698"/>
        <v>0</v>
      </c>
      <c r="BC612">
        <f t="shared" si="699"/>
        <v>0</v>
      </c>
      <c r="BD612">
        <f t="shared" si="700"/>
        <v>0</v>
      </c>
      <c r="BE612" t="str">
        <f t="array" ref="BE612">IF(AY612=1,INDEX($V$7:$AL$7,MATCH(TRUE,INDEX($V612:$AW612&lt;&gt;0,),0)),IF(AY612=0,INDEX($AM$7:$AW$7,MATCH(1,$AM612:$AW612,0)),IF(BF612="Multiple strategies","mixed drivers",IF(BF612="Supply chain","multiple supply","multiple silviculture"))))</f>
        <v>supply chain organization</v>
      </c>
      <c r="BF612" s="2" t="str" cm="1">
        <f t="array" ref="BF612">IF(COUNTIF(AZ612:BB612,"&lt;&gt;0")=1,INDEX($V$4:$AW$4,MATCH(TRUE,INDEX($V612:$AW612&lt;&gt;0,),0)),IF(COUNTIF(AZ612:BB612,"&lt;&gt;0")=0,INDEX($AM$4:$AW$4,MATCH(1,$AM612:$AW612,0)),"Multiple strategies"))</f>
        <v>Supply chain</v>
      </c>
      <c r="BG612" s="1" t="s">
        <v>229</v>
      </c>
      <c r="BH612" t="s">
        <v>1547</v>
      </c>
      <c r="BI612" s="264" t="s">
        <v>3120</v>
      </c>
      <c r="BJ612" t="s">
        <v>345</v>
      </c>
      <c r="BK612">
        <v>562</v>
      </c>
      <c r="BL612">
        <v>922</v>
      </c>
      <c r="BM612">
        <v>1.6405693950177935</v>
      </c>
      <c r="BN612">
        <f t="shared" si="701"/>
        <v>360</v>
      </c>
      <c r="BO612">
        <f t="shared" si="702"/>
        <v>0.73469387755102045</v>
      </c>
      <c r="BP612" s="264" t="s">
        <v>395</v>
      </c>
      <c r="BQ612" t="s">
        <v>426</v>
      </c>
      <c r="BR612" t="s">
        <v>728</v>
      </c>
      <c r="BS612">
        <v>84.7</v>
      </c>
      <c r="BT612">
        <v>33.9</v>
      </c>
      <c r="BU612" s="144">
        <v>-9.5652173913043481E-2</v>
      </c>
      <c r="BV612">
        <f t="shared" si="703"/>
        <v>-50.800000000000004</v>
      </c>
      <c r="BX612">
        <f t="shared" si="704"/>
        <v>-5.0800000000000005E-2</v>
      </c>
      <c r="BY612">
        <f t="shared" si="654"/>
        <v>-6.9144444444444453E-2</v>
      </c>
      <c r="BZ612">
        <v>0</v>
      </c>
      <c r="CA612">
        <v>0</v>
      </c>
      <c r="CB612">
        <v>0</v>
      </c>
      <c r="CC612">
        <v>0</v>
      </c>
      <c r="CD612">
        <v>0</v>
      </c>
      <c r="CE612">
        <v>0</v>
      </c>
      <c r="CF612">
        <v>0</v>
      </c>
      <c r="CG612">
        <v>0</v>
      </c>
      <c r="CH612">
        <v>0</v>
      </c>
      <c r="CI612">
        <v>0</v>
      </c>
      <c r="CJ612">
        <v>0</v>
      </c>
      <c r="CK612">
        <v>0</v>
      </c>
      <c r="CL612">
        <v>0</v>
      </c>
      <c r="CM612">
        <v>0</v>
      </c>
      <c r="CN612" t="str">
        <f t="shared" si="705"/>
        <v>refOK</v>
      </c>
      <c r="CO612">
        <f t="shared" si="706"/>
        <v>562</v>
      </c>
      <c r="CP612">
        <f t="shared" si="707"/>
        <v>922</v>
      </c>
      <c r="CQ612">
        <f t="shared" si="708"/>
        <v>0.73469387755102045</v>
      </c>
      <c r="CR612">
        <f t="shared" si="709"/>
        <v>-84.7</v>
      </c>
      <c r="CS612">
        <f t="shared" si="710"/>
        <v>-33.9</v>
      </c>
      <c r="CT612">
        <f t="shared" si="711"/>
        <v>5.0800000000000005E-2</v>
      </c>
      <c r="CU612">
        <f t="shared" si="712"/>
        <v>6.9144444444444453E-2</v>
      </c>
      <c r="CV612" s="2">
        <f t="shared" si="713"/>
        <v>0.59976387249114527</v>
      </c>
      <c r="CW612" s="1" t="s">
        <v>1198</v>
      </c>
      <c r="CX612" t="str">
        <f t="shared" si="714"/>
        <v>reg</v>
      </c>
      <c r="CY612" t="s">
        <v>1539</v>
      </c>
      <c r="DB612">
        <v>100</v>
      </c>
      <c r="DC612" t="str">
        <f t="shared" si="715"/>
        <v>71-100</v>
      </c>
      <c r="DD612">
        <v>0</v>
      </c>
      <c r="DE612">
        <v>0</v>
      </c>
      <c r="DF612">
        <v>0</v>
      </c>
      <c r="DG612">
        <v>1</v>
      </c>
      <c r="DI612">
        <f t="shared" si="716"/>
        <v>1</v>
      </c>
      <c r="DJ612" t="str">
        <f t="shared" si="717"/>
        <v>TimberInput</v>
      </c>
      <c r="DK612">
        <f t="shared" si="718"/>
        <v>0</v>
      </c>
      <c r="DL612">
        <f t="shared" si="719"/>
        <v>0</v>
      </c>
      <c r="DM612">
        <f t="shared" si="720"/>
        <v>0</v>
      </c>
      <c r="DN612" t="str">
        <f t="shared" si="721"/>
        <v>Timber</v>
      </c>
      <c r="DO612">
        <v>0</v>
      </c>
      <c r="DP612">
        <v>1</v>
      </c>
      <c r="DQ612">
        <v>0</v>
      </c>
      <c r="DR612">
        <v>0</v>
      </c>
      <c r="DS612" t="s">
        <v>1540</v>
      </c>
      <c r="DT612">
        <f t="shared" si="722"/>
        <v>1</v>
      </c>
      <c r="DU612" s="143" t="str">
        <f t="shared" si="723"/>
        <v>external DF used</v>
      </c>
      <c r="DV612">
        <v>0</v>
      </c>
      <c r="DW612">
        <v>0</v>
      </c>
      <c r="DX612">
        <v>0</v>
      </c>
      <c r="DY612">
        <v>0</v>
      </c>
      <c r="DZ612">
        <v>1</v>
      </c>
      <c r="EA612" s="143">
        <v>1</v>
      </c>
      <c r="EB612">
        <v>0</v>
      </c>
      <c r="EC612">
        <v>1</v>
      </c>
      <c r="ED612">
        <v>0</v>
      </c>
      <c r="EE612">
        <v>1</v>
      </c>
      <c r="EF612">
        <v>1</v>
      </c>
      <c r="EG612">
        <v>1</v>
      </c>
      <c r="EH612">
        <v>0</v>
      </c>
      <c r="EI612" s="2">
        <v>0</v>
      </c>
      <c r="EK612" t="str">
        <f t="shared" si="724"/>
        <v/>
      </c>
      <c r="EL612" t="str">
        <f t="shared" si="725"/>
        <v/>
      </c>
      <c r="EM612" s="2" t="str">
        <f t="shared" si="655"/>
        <v>Technology approach</v>
      </c>
      <c r="EP612" t="str">
        <f>IF(ISNUMBER(BU612),IF(ABS(BU612-[3]QC_indicators!$B$2)&gt;3*[3]QC_indicators!$C$2,"C ratio",IF(ISNUMBER(BY612),IF(ABS(BY612-[3]QC_indicators!$B$1)&gt;3*[3]QC_indicators!$C$1,"DF","no"))),IF(ISNUMBER(BY612),IF(ABS(BY612-[3]QC_indicators!$B$1)&gt;3*[3]QC_indicators!$C$1,"DF","no")))</f>
        <v>no</v>
      </c>
      <c r="ET612" s="264" t="s">
        <v>3272</v>
      </c>
    </row>
    <row r="613" spans="1:150" ht="15" hidden="1" customHeight="1">
      <c r="A613" s="1" t="s">
        <v>265</v>
      </c>
      <c r="B613" t="s">
        <v>1530</v>
      </c>
      <c r="C613" t="s">
        <v>1531</v>
      </c>
      <c r="D613" t="s">
        <v>1532</v>
      </c>
      <c r="E613" t="s">
        <v>1533</v>
      </c>
      <c r="F613" t="s">
        <v>1534</v>
      </c>
      <c r="G613" t="s">
        <v>271</v>
      </c>
      <c r="H613" t="s">
        <v>254</v>
      </c>
      <c r="I613">
        <v>2019</v>
      </c>
      <c r="J613">
        <v>26</v>
      </c>
      <c r="K613" t="s">
        <v>1535</v>
      </c>
      <c r="M613" t="str">
        <f t="shared" si="686"/>
        <v>Faraca_2019</v>
      </c>
      <c r="N613" t="s">
        <v>222</v>
      </c>
      <c r="O613" s="145" t="s">
        <v>274</v>
      </c>
      <c r="P613" s="180" t="s">
        <v>223</v>
      </c>
      <c r="Q613" t="s">
        <v>256</v>
      </c>
      <c r="R613" s="262" t="s">
        <v>223</v>
      </c>
      <c r="S613" s="263" t="s">
        <v>3135</v>
      </c>
      <c r="T613" t="s">
        <v>1537</v>
      </c>
      <c r="U613" t="s">
        <v>1548</v>
      </c>
      <c r="V613">
        <v>0</v>
      </c>
      <c r="W613">
        <v>0</v>
      </c>
      <c r="X613">
        <v>0</v>
      </c>
      <c r="Y613">
        <v>0</v>
      </c>
      <c r="Z613">
        <v>0</v>
      </c>
      <c r="AA613">
        <v>0</v>
      </c>
      <c r="AB613">
        <v>0</v>
      </c>
      <c r="AC613">
        <v>0</v>
      </c>
      <c r="AD613">
        <v>0</v>
      </c>
      <c r="AE613">
        <v>0</v>
      </c>
      <c r="AF613">
        <v>0</v>
      </c>
      <c r="AG613">
        <v>1</v>
      </c>
      <c r="AH613">
        <v>0</v>
      </c>
      <c r="AI613">
        <v>0</v>
      </c>
      <c r="AJ613">
        <v>0</v>
      </c>
      <c r="AK613">
        <v>0</v>
      </c>
      <c r="AL613">
        <v>0</v>
      </c>
      <c r="AM613">
        <v>0</v>
      </c>
      <c r="AN613">
        <v>0</v>
      </c>
      <c r="AO613">
        <v>0</v>
      </c>
      <c r="AP613">
        <v>0</v>
      </c>
      <c r="AQ613">
        <v>0</v>
      </c>
      <c r="AR613">
        <v>0</v>
      </c>
      <c r="AS613">
        <v>0</v>
      </c>
      <c r="AT613">
        <v>0</v>
      </c>
      <c r="AU613">
        <v>0</v>
      </c>
      <c r="AV613">
        <v>0</v>
      </c>
      <c r="AW613">
        <v>0</v>
      </c>
      <c r="AX613" s="141">
        <f t="shared" si="694"/>
        <v>1</v>
      </c>
      <c r="AY613" s="141">
        <f t="shared" si="695"/>
        <v>1</v>
      </c>
      <c r="AZ613">
        <f t="shared" si="696"/>
        <v>0</v>
      </c>
      <c r="BA613">
        <f t="shared" si="697"/>
        <v>1</v>
      </c>
      <c r="BB613">
        <f t="shared" si="698"/>
        <v>0</v>
      </c>
      <c r="BC613">
        <f t="shared" si="699"/>
        <v>0</v>
      </c>
      <c r="BD613">
        <f t="shared" si="700"/>
        <v>0</v>
      </c>
      <c r="BE613" t="str">
        <f t="array" ref="BE613">IF(AY613=1,INDEX($V$7:$AL$7,MATCH(TRUE,INDEX($V613:$AW613&lt;&gt;0,),0)),IF(AY613=0,INDEX($AM$7:$AW$7,MATCH(1,$AM613:$AW613,0)),IF(BF613="Multiple strategies","mixed drivers",IF(BF613="Supply chain","multiple supply","multiple silviculture"))))</f>
        <v>recycling</v>
      </c>
      <c r="BF613" s="2" t="str" cm="1">
        <f t="array" ref="BF613">IF(COUNTIF(AZ613:BB613,"&lt;&gt;0")=1,INDEX($V$4:$AW$4,MATCH(TRUE,INDEX($V613:$AW613&lt;&gt;0,),0)),IF(COUNTIF(AZ613:BB613,"&lt;&gt;0")=0,INDEX($AM$4:$AW$4,MATCH(1,$AM613:$AW613,0)),"Multiple strategies"))</f>
        <v>Supply chain</v>
      </c>
      <c r="BG613" s="1" t="s">
        <v>229</v>
      </c>
      <c r="BH613" t="s">
        <v>1547</v>
      </c>
      <c r="BJ613" t="s">
        <v>345</v>
      </c>
      <c r="BK613">
        <v>922</v>
      </c>
      <c r="BL613">
        <f>922+519+281+121</f>
        <v>1843</v>
      </c>
      <c r="BM613">
        <v>1.9989154013015185</v>
      </c>
      <c r="BN613">
        <f t="shared" si="701"/>
        <v>921</v>
      </c>
      <c r="BO613">
        <f t="shared" si="702"/>
        <v>1.879591836734694</v>
      </c>
      <c r="BP613" s="264" t="s">
        <v>395</v>
      </c>
      <c r="BQ613" t="s">
        <v>426</v>
      </c>
      <c r="BR613" t="s">
        <v>728</v>
      </c>
      <c r="BS613">
        <v>33.9</v>
      </c>
      <c r="BT613">
        <v>-54.2</v>
      </c>
      <c r="BU613" s="144">
        <v>-0.52307692307692311</v>
      </c>
      <c r="BV613">
        <f t="shared" si="703"/>
        <v>-88.1</v>
      </c>
      <c r="BX613">
        <f t="shared" si="704"/>
        <v>-8.8099999999999998E-2</v>
      </c>
      <c r="BY613">
        <f t="shared" si="654"/>
        <v>-4.6871878393051028E-2</v>
      </c>
      <c r="BZ613">
        <v>0</v>
      </c>
      <c r="CA613">
        <v>0</v>
      </c>
      <c r="CB613">
        <v>0</v>
      </c>
      <c r="CC613">
        <v>0</v>
      </c>
      <c r="CD613">
        <v>0</v>
      </c>
      <c r="CE613">
        <v>0</v>
      </c>
      <c r="CF613">
        <v>0</v>
      </c>
      <c r="CG613">
        <v>0</v>
      </c>
      <c r="CH613">
        <v>0</v>
      </c>
      <c r="CI613">
        <v>0</v>
      </c>
      <c r="CJ613">
        <v>0</v>
      </c>
      <c r="CK613">
        <v>0</v>
      </c>
      <c r="CL613">
        <v>0</v>
      </c>
      <c r="CM613">
        <v>0</v>
      </c>
      <c r="CN613" t="str">
        <f t="shared" si="705"/>
        <v>refOK</v>
      </c>
      <c r="CO613">
        <f t="shared" si="706"/>
        <v>922</v>
      </c>
      <c r="CP613">
        <f t="shared" si="707"/>
        <v>1843</v>
      </c>
      <c r="CQ613">
        <f t="shared" si="708"/>
        <v>1.879591836734694</v>
      </c>
      <c r="CR613">
        <f t="shared" si="709"/>
        <v>-33.9</v>
      </c>
      <c r="CS613">
        <f t="shared" si="710"/>
        <v>54.2</v>
      </c>
      <c r="CT613">
        <f t="shared" si="711"/>
        <v>8.8099999999999998E-2</v>
      </c>
      <c r="CU613">
        <f t="shared" si="712"/>
        <v>4.6871878393051028E-2</v>
      </c>
      <c r="CV613" s="2">
        <f t="shared" si="713"/>
        <v>2.5988200589970503</v>
      </c>
      <c r="CW613" s="1" t="s">
        <v>1198</v>
      </c>
      <c r="CX613" t="str">
        <f t="shared" si="714"/>
        <v>reg</v>
      </c>
      <c r="CY613" t="s">
        <v>1539</v>
      </c>
      <c r="DB613">
        <v>100</v>
      </c>
      <c r="DC613" t="str">
        <f t="shared" si="715"/>
        <v>71-100</v>
      </c>
      <c r="DD613">
        <v>0</v>
      </c>
      <c r="DE613">
        <v>0</v>
      </c>
      <c r="DF613">
        <v>0</v>
      </c>
      <c r="DG613">
        <v>1</v>
      </c>
      <c r="DI613">
        <f t="shared" si="716"/>
        <v>1</v>
      </c>
      <c r="DJ613" t="str">
        <f t="shared" si="717"/>
        <v>TimberInput</v>
      </c>
      <c r="DK613">
        <f t="shared" si="718"/>
        <v>0</v>
      </c>
      <c r="DL613">
        <f t="shared" si="719"/>
        <v>0</v>
      </c>
      <c r="DM613">
        <f t="shared" si="720"/>
        <v>0</v>
      </c>
      <c r="DN613" t="str">
        <f t="shared" si="721"/>
        <v>Timber</v>
      </c>
      <c r="DO613">
        <v>0</v>
      </c>
      <c r="DP613">
        <v>1</v>
      </c>
      <c r="DQ613">
        <v>0</v>
      </c>
      <c r="DR613">
        <v>0</v>
      </c>
      <c r="DS613" t="s">
        <v>1540</v>
      </c>
      <c r="DT613">
        <f t="shared" si="722"/>
        <v>1</v>
      </c>
      <c r="DU613" s="143" t="str">
        <f t="shared" si="723"/>
        <v>external DF used</v>
      </c>
      <c r="DV613">
        <v>0</v>
      </c>
      <c r="DW613">
        <v>0</v>
      </c>
      <c r="DX613">
        <v>0</v>
      </c>
      <c r="DY613">
        <v>0</v>
      </c>
      <c r="DZ613">
        <v>1</v>
      </c>
      <c r="EA613" s="143">
        <v>1</v>
      </c>
      <c r="EB613">
        <v>0</v>
      </c>
      <c r="EC613">
        <v>1</v>
      </c>
      <c r="ED613">
        <v>0</v>
      </c>
      <c r="EE613">
        <v>1</v>
      </c>
      <c r="EF613">
        <v>1</v>
      </c>
      <c r="EG613">
        <v>1</v>
      </c>
      <c r="EH613">
        <v>0</v>
      </c>
      <c r="EI613" s="2">
        <v>0</v>
      </c>
      <c r="EK613" t="str">
        <f t="shared" si="724"/>
        <v/>
      </c>
      <c r="EL613" t="str">
        <f t="shared" si="725"/>
        <v/>
      </c>
      <c r="EM613" s="2" t="str">
        <f t="shared" si="655"/>
        <v>Technology approach</v>
      </c>
      <c r="EP613" t="str">
        <f>IF(ISNUMBER(BU613),IF(ABS(BU613-[3]QC_indicators!$B$2)&gt;3*[3]QC_indicators!$C$2,"C ratio",IF(ISNUMBER(BY613),IF(ABS(BY613-[3]QC_indicators!$B$1)&gt;3*[3]QC_indicators!$C$1,"DF","no"))),IF(ISNUMBER(BY613),IF(ABS(BY613-[3]QC_indicators!$B$1)&gt;3*[3]QC_indicators!$C$1,"DF","no")))</f>
        <v>no</v>
      </c>
      <c r="ET613" s="264" t="s">
        <v>3272</v>
      </c>
    </row>
    <row r="614" spans="1:150" ht="15" hidden="1" customHeight="1">
      <c r="A614" s="1" t="s">
        <v>265</v>
      </c>
      <c r="B614" t="s">
        <v>1530</v>
      </c>
      <c r="C614" t="s">
        <v>1531</v>
      </c>
      <c r="D614" t="s">
        <v>1532</v>
      </c>
      <c r="E614" t="s">
        <v>1533</v>
      </c>
      <c r="F614" t="s">
        <v>1534</v>
      </c>
      <c r="G614" t="s">
        <v>271</v>
      </c>
      <c r="H614" t="s">
        <v>254</v>
      </c>
      <c r="I614">
        <v>2019</v>
      </c>
      <c r="J614">
        <v>26</v>
      </c>
      <c r="K614" t="s">
        <v>1535</v>
      </c>
      <c r="M614" t="str">
        <f t="shared" si="686"/>
        <v>Faraca_2019</v>
      </c>
      <c r="N614" t="s">
        <v>222</v>
      </c>
      <c r="O614" s="145" t="s">
        <v>274</v>
      </c>
      <c r="P614" s="180" t="s">
        <v>223</v>
      </c>
      <c r="Q614" t="s">
        <v>256</v>
      </c>
      <c r="R614" s="262" t="s">
        <v>223</v>
      </c>
      <c r="S614" s="263" t="s">
        <v>3137</v>
      </c>
      <c r="T614" t="s">
        <v>968</v>
      </c>
      <c r="U614" t="s">
        <v>1546</v>
      </c>
      <c r="V614">
        <v>0</v>
      </c>
      <c r="W614">
        <v>0</v>
      </c>
      <c r="X614">
        <v>0</v>
      </c>
      <c r="Y614">
        <v>0</v>
      </c>
      <c r="Z614">
        <v>0</v>
      </c>
      <c r="AA614">
        <v>0</v>
      </c>
      <c r="AB614">
        <v>0</v>
      </c>
      <c r="AC614">
        <v>0</v>
      </c>
      <c r="AD614">
        <v>0</v>
      </c>
      <c r="AE614">
        <v>0</v>
      </c>
      <c r="AF614">
        <v>0</v>
      </c>
      <c r="AG614">
        <v>1</v>
      </c>
      <c r="AH614">
        <v>0</v>
      </c>
      <c r="AI614">
        <v>0</v>
      </c>
      <c r="AJ614">
        <v>0</v>
      </c>
      <c r="AK614">
        <v>0</v>
      </c>
      <c r="AL614">
        <v>0</v>
      </c>
      <c r="AM614">
        <v>0</v>
      </c>
      <c r="AN614">
        <v>0</v>
      </c>
      <c r="AO614">
        <v>0</v>
      </c>
      <c r="AP614">
        <v>0</v>
      </c>
      <c r="AQ614">
        <v>0</v>
      </c>
      <c r="AR614">
        <v>0</v>
      </c>
      <c r="AS614">
        <v>0</v>
      </c>
      <c r="AT614">
        <v>0</v>
      </c>
      <c r="AU614">
        <v>0</v>
      </c>
      <c r="AV614">
        <v>0</v>
      </c>
      <c r="AW614">
        <v>0</v>
      </c>
      <c r="AX614" s="141">
        <f t="shared" si="694"/>
        <v>1</v>
      </c>
      <c r="AY614" s="141">
        <f t="shared" si="695"/>
        <v>1</v>
      </c>
      <c r="AZ614">
        <f t="shared" si="696"/>
        <v>0</v>
      </c>
      <c r="BA614">
        <f t="shared" si="697"/>
        <v>1</v>
      </c>
      <c r="BB614">
        <f t="shared" si="698"/>
        <v>0</v>
      </c>
      <c r="BC614">
        <f t="shared" si="699"/>
        <v>0</v>
      </c>
      <c r="BD614">
        <f t="shared" si="700"/>
        <v>0</v>
      </c>
      <c r="BE614" t="str">
        <f t="array" ref="BE614">IF(AY614=1,INDEX($V$7:$AL$7,MATCH(TRUE,INDEX($V614:$AW614&lt;&gt;0,),0)),IF(AY614=0,INDEX($AM$7:$AW$7,MATCH(1,$AM614:$AW614,0)),IF(BF614="Multiple strategies","mixed drivers",IF(BF614="Supply chain","multiple supply","multiple silviculture"))))</f>
        <v>recycling</v>
      </c>
      <c r="BF614" s="2" t="str" cm="1">
        <f t="array" ref="BF614">IF(COUNTIF(AZ614:BB614,"&lt;&gt;0")=1,INDEX($V$4:$AW$4,MATCH(TRUE,INDEX($V614:$AW614&lt;&gt;0,),0)),IF(COUNTIF(AZ614:BB614,"&lt;&gt;0")=0,INDEX($AM$4:$AW$4,MATCH(1,$AM614:$AW614,0)),"Multiple strategies"))</f>
        <v>Supply chain</v>
      </c>
      <c r="BG614" s="1" t="s">
        <v>229</v>
      </c>
      <c r="BH614" t="s">
        <v>1547</v>
      </c>
      <c r="BI614" t="s">
        <v>1538</v>
      </c>
      <c r="BJ614" t="s">
        <v>345</v>
      </c>
      <c r="BK614">
        <v>636</v>
      </c>
      <c r="BL614">
        <f>638+378+212+115</f>
        <v>1343</v>
      </c>
      <c r="BM614">
        <v>2.108490566037736</v>
      </c>
      <c r="BN614">
        <f t="shared" si="701"/>
        <v>707</v>
      </c>
      <c r="BO614">
        <f t="shared" si="702"/>
        <v>1.4428571428571431</v>
      </c>
      <c r="BP614" s="264" t="s">
        <v>395</v>
      </c>
      <c r="BQ614" s="264" t="s">
        <v>426</v>
      </c>
      <c r="BR614" t="s">
        <v>728</v>
      </c>
      <c r="BS614">
        <v>-40.700000000000003</v>
      </c>
      <c r="BT614">
        <v>-98.3</v>
      </c>
      <c r="BU614" s="144">
        <v>1.5227272727272727</v>
      </c>
      <c r="BV614">
        <f t="shared" si="703"/>
        <v>-57.599999999999994</v>
      </c>
      <c r="BX614">
        <f t="shared" si="704"/>
        <v>-5.7599999999999991E-2</v>
      </c>
      <c r="BY614">
        <f t="shared" si="654"/>
        <v>-3.9920792079207908E-2</v>
      </c>
      <c r="BZ614">
        <v>0</v>
      </c>
      <c r="CA614">
        <v>0</v>
      </c>
      <c r="CB614">
        <v>0</v>
      </c>
      <c r="CC614">
        <v>0</v>
      </c>
      <c r="CD614">
        <v>0</v>
      </c>
      <c r="CE614">
        <v>0</v>
      </c>
      <c r="CF614">
        <v>0</v>
      </c>
      <c r="CG614">
        <v>0</v>
      </c>
      <c r="CH614">
        <v>0</v>
      </c>
      <c r="CI614">
        <v>0</v>
      </c>
      <c r="CJ614">
        <v>0</v>
      </c>
      <c r="CK614">
        <v>0</v>
      </c>
      <c r="CL614">
        <v>0</v>
      </c>
      <c r="CM614">
        <v>0</v>
      </c>
      <c r="CN614" t="str">
        <f t="shared" si="705"/>
        <v>refOK</v>
      </c>
      <c r="CO614">
        <f t="shared" si="706"/>
        <v>636</v>
      </c>
      <c r="CP614">
        <f t="shared" si="707"/>
        <v>1343</v>
      </c>
      <c r="CQ614">
        <f t="shared" si="708"/>
        <v>1.4428571428571431</v>
      </c>
      <c r="CR614">
        <f t="shared" si="709"/>
        <v>40.700000000000003</v>
      </c>
      <c r="CS614">
        <f t="shared" si="710"/>
        <v>98.3</v>
      </c>
      <c r="CT614">
        <f t="shared" si="711"/>
        <v>5.7599999999999991E-2</v>
      </c>
      <c r="CU614">
        <f t="shared" si="712"/>
        <v>3.9920792079207908E-2</v>
      </c>
      <c r="CV614" s="2">
        <f t="shared" si="713"/>
        <v>1.4152334152334149</v>
      </c>
      <c r="CW614" s="1" t="s">
        <v>1198</v>
      </c>
      <c r="CX614" t="str">
        <f t="shared" si="714"/>
        <v>reg</v>
      </c>
      <c r="CY614" t="s">
        <v>1539</v>
      </c>
      <c r="DB614">
        <v>100</v>
      </c>
      <c r="DC614" t="str">
        <f t="shared" si="715"/>
        <v>71-100</v>
      </c>
      <c r="DD614">
        <v>0</v>
      </c>
      <c r="DE614">
        <v>0</v>
      </c>
      <c r="DF614">
        <v>0</v>
      </c>
      <c r="DG614">
        <v>1</v>
      </c>
      <c r="DI614">
        <f t="shared" si="716"/>
        <v>1</v>
      </c>
      <c r="DJ614" t="str">
        <f t="shared" si="717"/>
        <v>TimberInput</v>
      </c>
      <c r="DK614">
        <f t="shared" si="718"/>
        <v>0</v>
      </c>
      <c r="DL614">
        <f t="shared" si="719"/>
        <v>0</v>
      </c>
      <c r="DM614">
        <f t="shared" si="720"/>
        <v>0</v>
      </c>
      <c r="DN614" t="str">
        <f t="shared" si="721"/>
        <v>Timber</v>
      </c>
      <c r="DO614">
        <v>0</v>
      </c>
      <c r="DP614">
        <v>1</v>
      </c>
      <c r="DQ614">
        <v>0</v>
      </c>
      <c r="DR614">
        <v>0</v>
      </c>
      <c r="DS614" t="s">
        <v>1540</v>
      </c>
      <c r="DT614">
        <f t="shared" si="722"/>
        <v>1</v>
      </c>
      <c r="DU614" s="143" t="str">
        <f t="shared" si="723"/>
        <v>external DF used</v>
      </c>
      <c r="DV614">
        <v>0</v>
      </c>
      <c r="DW614">
        <v>0</v>
      </c>
      <c r="DX614">
        <v>0</v>
      </c>
      <c r="DY614">
        <v>0</v>
      </c>
      <c r="DZ614">
        <v>1</v>
      </c>
      <c r="EA614" s="143">
        <v>1</v>
      </c>
      <c r="EB614">
        <v>0</v>
      </c>
      <c r="EC614">
        <v>1</v>
      </c>
      <c r="ED614">
        <v>0</v>
      </c>
      <c r="EE614">
        <v>1</v>
      </c>
      <c r="EF614">
        <v>1</v>
      </c>
      <c r="EG614">
        <v>1</v>
      </c>
      <c r="EH614">
        <v>0</v>
      </c>
      <c r="EI614" s="2">
        <v>0</v>
      </c>
      <c r="EK614" t="str">
        <f t="shared" si="724"/>
        <v/>
      </c>
      <c r="EL614" t="str">
        <f t="shared" si="725"/>
        <v/>
      </c>
      <c r="EM614" s="2" t="str">
        <f t="shared" si="655"/>
        <v>Technology approach</v>
      </c>
      <c r="EP614" t="str">
        <f>IF(ISNUMBER(BU614),IF(ABS(BU614-[3]QC_indicators!$B$2)&gt;3*[3]QC_indicators!$C$2,"C ratio",IF(ISNUMBER(BY614),IF(ABS(BY614-[3]QC_indicators!$B$1)&gt;3*[3]QC_indicators!$C$1,"DF","no"))),IF(ISNUMBER(BY614),IF(ABS(BY614-[3]QC_indicators!$B$1)&gt;3*[3]QC_indicators!$C$1,"DF","no")))</f>
        <v>no</v>
      </c>
      <c r="ET614" s="264" t="s">
        <v>3272</v>
      </c>
    </row>
    <row r="615" spans="1:150" ht="15" hidden="1" customHeight="1">
      <c r="A615" s="1" t="s">
        <v>265</v>
      </c>
      <c r="B615" t="s">
        <v>1530</v>
      </c>
      <c r="C615" t="s">
        <v>1531</v>
      </c>
      <c r="D615" t="s">
        <v>1532</v>
      </c>
      <c r="E615" t="s">
        <v>1533</v>
      </c>
      <c r="F615" t="s">
        <v>1534</v>
      </c>
      <c r="G615" t="s">
        <v>271</v>
      </c>
      <c r="H615" t="s">
        <v>254</v>
      </c>
      <c r="I615">
        <v>2019</v>
      </c>
      <c r="J615">
        <v>26</v>
      </c>
      <c r="K615" t="s">
        <v>1535</v>
      </c>
      <c r="M615" t="str">
        <f t="shared" si="686"/>
        <v>Faraca_2019</v>
      </c>
      <c r="N615" t="s">
        <v>222</v>
      </c>
      <c r="O615" s="145" t="s">
        <v>274</v>
      </c>
      <c r="P615" s="180" t="s">
        <v>223</v>
      </c>
      <c r="Q615" t="s">
        <v>256</v>
      </c>
      <c r="R615" s="262" t="s">
        <v>223</v>
      </c>
      <c r="S615" s="263" t="s">
        <v>3134</v>
      </c>
      <c r="T615" t="s">
        <v>1549</v>
      </c>
      <c r="U615" t="s">
        <v>1550</v>
      </c>
      <c r="V615">
        <v>0</v>
      </c>
      <c r="W615">
        <v>0</v>
      </c>
      <c r="X615">
        <v>0</v>
      </c>
      <c r="Y615">
        <v>0</v>
      </c>
      <c r="Z615">
        <v>0</v>
      </c>
      <c r="AA615">
        <v>0</v>
      </c>
      <c r="AB615">
        <v>0</v>
      </c>
      <c r="AC615">
        <v>0</v>
      </c>
      <c r="AD615">
        <v>0</v>
      </c>
      <c r="AE615">
        <v>0</v>
      </c>
      <c r="AF615">
        <v>0</v>
      </c>
      <c r="AG615">
        <v>1</v>
      </c>
      <c r="AH615">
        <v>0</v>
      </c>
      <c r="AI615">
        <v>0</v>
      </c>
      <c r="AJ615">
        <v>0</v>
      </c>
      <c r="AK615">
        <v>0</v>
      </c>
      <c r="AL615">
        <v>0</v>
      </c>
      <c r="AM615">
        <v>0</v>
      </c>
      <c r="AN615">
        <v>0</v>
      </c>
      <c r="AO615">
        <v>0</v>
      </c>
      <c r="AP615">
        <v>0</v>
      </c>
      <c r="AQ615">
        <v>0</v>
      </c>
      <c r="AR615">
        <v>0</v>
      </c>
      <c r="AS615">
        <v>0</v>
      </c>
      <c r="AT615">
        <v>0</v>
      </c>
      <c r="AU615">
        <v>0</v>
      </c>
      <c r="AV615">
        <v>0</v>
      </c>
      <c r="AW615">
        <v>0</v>
      </c>
      <c r="AX615" s="141">
        <f t="shared" si="694"/>
        <v>1</v>
      </c>
      <c r="AY615" s="141">
        <f t="shared" si="695"/>
        <v>1</v>
      </c>
      <c r="AZ615">
        <f t="shared" si="696"/>
        <v>0</v>
      </c>
      <c r="BA615">
        <f t="shared" si="697"/>
        <v>1</v>
      </c>
      <c r="BB615">
        <f t="shared" si="698"/>
        <v>0</v>
      </c>
      <c r="BC615">
        <f t="shared" si="699"/>
        <v>0</v>
      </c>
      <c r="BD615">
        <f t="shared" si="700"/>
        <v>0</v>
      </c>
      <c r="BE615" t="str">
        <f t="array" ref="BE615">IF(AY615=1,INDEX($V$7:$AL$7,MATCH(TRUE,INDEX($V615:$AW615&lt;&gt;0,),0)),IF(AY615=0,INDEX($AM$7:$AW$7,MATCH(1,$AM615:$AW615,0)),IF(BF615="Multiple strategies","mixed drivers",IF(BF615="Supply chain","multiple supply","multiple silviculture"))))</f>
        <v>recycling</v>
      </c>
      <c r="BF615" s="2" t="str" cm="1">
        <f t="array" ref="BF615">IF(COUNTIF(AZ615:BB615,"&lt;&gt;0")=1,INDEX($V$4:$AW$4,MATCH(TRUE,INDEX($V615:$AW615&lt;&gt;0,),0)),IF(COUNTIF(AZ615:BB615,"&lt;&gt;0")=0,INDEX($AM$4:$AW$4,MATCH(1,$AM615:$AW615,0)),"Multiple strategies"))</f>
        <v>Supply chain</v>
      </c>
      <c r="BG615" s="1" t="s">
        <v>229</v>
      </c>
      <c r="BH615" t="s">
        <v>1547</v>
      </c>
      <c r="BI615" s="264" t="s">
        <v>3120</v>
      </c>
      <c r="BJ615" t="s">
        <v>345</v>
      </c>
      <c r="BK615">
        <v>478</v>
      </c>
      <c r="BL615">
        <f>478+409+223+122</f>
        <v>1232</v>
      </c>
      <c r="BM615">
        <v>2.5774058577405858</v>
      </c>
      <c r="BN615">
        <f t="shared" si="701"/>
        <v>754</v>
      </c>
      <c r="BO615">
        <f t="shared" si="702"/>
        <v>1.5387755102040819</v>
      </c>
      <c r="BP615" s="264" t="s">
        <v>395</v>
      </c>
      <c r="BQ615" t="s">
        <v>426</v>
      </c>
      <c r="BR615" t="s">
        <v>728</v>
      </c>
      <c r="BS615">
        <v>206.8</v>
      </c>
      <c r="BT615">
        <v>200</v>
      </c>
      <c r="BU615" s="144"/>
      <c r="BV615">
        <f t="shared" si="703"/>
        <v>-6.8000000000000114</v>
      </c>
      <c r="BX615">
        <f t="shared" si="704"/>
        <v>-6.8000000000000118E-3</v>
      </c>
      <c r="BY615">
        <f t="shared" si="654"/>
        <v>-4.4190981432360816E-3</v>
      </c>
      <c r="BZ615">
        <v>0</v>
      </c>
      <c r="CA615">
        <v>0</v>
      </c>
      <c r="CB615">
        <v>0</v>
      </c>
      <c r="CC615">
        <v>0</v>
      </c>
      <c r="CD615">
        <v>0</v>
      </c>
      <c r="CE615">
        <v>0</v>
      </c>
      <c r="CF615">
        <v>0</v>
      </c>
      <c r="CG615">
        <v>0</v>
      </c>
      <c r="CH615">
        <v>0</v>
      </c>
      <c r="CI615">
        <v>0</v>
      </c>
      <c r="CJ615">
        <v>0</v>
      </c>
      <c r="CK615">
        <v>0</v>
      </c>
      <c r="CL615">
        <v>0</v>
      </c>
      <c r="CM615">
        <v>0</v>
      </c>
      <c r="CN615" t="str">
        <f t="shared" si="705"/>
        <v>refOK</v>
      </c>
      <c r="CO615">
        <f t="shared" si="706"/>
        <v>478</v>
      </c>
      <c r="CP615">
        <f t="shared" si="707"/>
        <v>1232</v>
      </c>
      <c r="CQ615">
        <f t="shared" si="708"/>
        <v>1.5387755102040819</v>
      </c>
      <c r="CR615">
        <f t="shared" si="709"/>
        <v>-206.8</v>
      </c>
      <c r="CS615">
        <f t="shared" si="710"/>
        <v>-200</v>
      </c>
      <c r="CT615">
        <f t="shared" si="711"/>
        <v>6.8000000000000118E-3</v>
      </c>
      <c r="CU615">
        <f t="shared" si="712"/>
        <v>4.4190981432360816E-3</v>
      </c>
      <c r="CV615" s="2">
        <f t="shared" si="713"/>
        <v>3.2882011605415915E-2</v>
      </c>
      <c r="CW615" s="1" t="s">
        <v>1198</v>
      </c>
      <c r="CX615" t="str">
        <f t="shared" si="714"/>
        <v>reg</v>
      </c>
      <c r="CY615" t="s">
        <v>1539</v>
      </c>
      <c r="DB615">
        <v>100</v>
      </c>
      <c r="DC615" t="str">
        <f t="shared" si="715"/>
        <v>71-100</v>
      </c>
      <c r="DD615">
        <v>0</v>
      </c>
      <c r="DE615">
        <v>0</v>
      </c>
      <c r="DF615">
        <v>0</v>
      </c>
      <c r="DG615">
        <v>1</v>
      </c>
      <c r="DI615">
        <f t="shared" si="716"/>
        <v>1</v>
      </c>
      <c r="DJ615" t="str">
        <f t="shared" si="717"/>
        <v>TimberInput</v>
      </c>
      <c r="DK615">
        <f t="shared" si="718"/>
        <v>0</v>
      </c>
      <c r="DL615">
        <f t="shared" si="719"/>
        <v>0</v>
      </c>
      <c r="DM615">
        <f t="shared" si="720"/>
        <v>0</v>
      </c>
      <c r="DN615" t="str">
        <f t="shared" si="721"/>
        <v>Timber</v>
      </c>
      <c r="DO615">
        <v>0</v>
      </c>
      <c r="DP615">
        <v>0</v>
      </c>
      <c r="DQ615">
        <v>0</v>
      </c>
      <c r="DR615">
        <v>0</v>
      </c>
      <c r="DS615">
        <v>0</v>
      </c>
      <c r="DT615">
        <f t="shared" si="722"/>
        <v>0</v>
      </c>
      <c r="DU615" s="143" t="str">
        <f t="shared" si="723"/>
        <v>explicit C balance</v>
      </c>
      <c r="DV615">
        <v>0</v>
      </c>
      <c r="DW615">
        <v>0</v>
      </c>
      <c r="DX615">
        <v>0</v>
      </c>
      <c r="DY615">
        <v>0</v>
      </c>
      <c r="DZ615">
        <v>1</v>
      </c>
      <c r="EA615" s="143">
        <v>0</v>
      </c>
      <c r="EB615">
        <v>0</v>
      </c>
      <c r="EC615">
        <v>1</v>
      </c>
      <c r="ED615">
        <v>0</v>
      </c>
      <c r="EE615">
        <v>1</v>
      </c>
      <c r="EF615">
        <v>1</v>
      </c>
      <c r="EG615">
        <v>1</v>
      </c>
      <c r="EH615">
        <v>0</v>
      </c>
      <c r="EI615" s="2">
        <v>0</v>
      </c>
      <c r="EK615" t="str">
        <f t="shared" si="724"/>
        <v/>
      </c>
      <c r="EL615" t="str">
        <f t="shared" si="725"/>
        <v/>
      </c>
      <c r="EM615" s="2" t="str">
        <f t="shared" si="655"/>
        <v>Technology approach</v>
      </c>
      <c r="EP615" t="str">
        <f>IF(ISNUMBER(BU615),IF(ABS(BU615-[3]QC_indicators!$B$2)&gt;3*[3]QC_indicators!$C$2,"C ratio",IF(ISNUMBER(BY615),IF(ABS(BY615-[3]QC_indicators!$B$1)&gt;3*[3]QC_indicators!$C$1,"DF","no"))),IF(ISNUMBER(BY615),IF(ABS(BY615-[3]QC_indicators!$B$1)&gt;3*[3]QC_indicators!$C$1,"DF","no")))</f>
        <v>no</v>
      </c>
      <c r="ET615" s="264" t="s">
        <v>3272</v>
      </c>
    </row>
    <row r="616" spans="1:150" ht="15" hidden="1" customHeight="1">
      <c r="A616" s="1" t="s">
        <v>265</v>
      </c>
      <c r="B616" t="s">
        <v>1530</v>
      </c>
      <c r="C616" t="s">
        <v>1531</v>
      </c>
      <c r="D616" t="s">
        <v>1532</v>
      </c>
      <c r="E616" t="s">
        <v>1533</v>
      </c>
      <c r="F616" t="s">
        <v>1534</v>
      </c>
      <c r="G616" t="s">
        <v>271</v>
      </c>
      <c r="H616" t="s">
        <v>254</v>
      </c>
      <c r="I616">
        <v>2019</v>
      </c>
      <c r="J616">
        <v>26</v>
      </c>
      <c r="K616" t="s">
        <v>1535</v>
      </c>
      <c r="M616" t="str">
        <f t="shared" si="686"/>
        <v>Faraca_2019</v>
      </c>
      <c r="N616" t="s">
        <v>222</v>
      </c>
      <c r="O616" s="145" t="s">
        <v>274</v>
      </c>
      <c r="P616" s="180" t="s">
        <v>223</v>
      </c>
      <c r="Q616" t="s">
        <v>256</v>
      </c>
      <c r="R616" s="262" t="s">
        <v>223</v>
      </c>
      <c r="S616" s="263" t="s">
        <v>3135</v>
      </c>
      <c r="T616" t="s">
        <v>1549</v>
      </c>
      <c r="U616" t="s">
        <v>1550</v>
      </c>
      <c r="V616">
        <v>0</v>
      </c>
      <c r="W616">
        <v>0</v>
      </c>
      <c r="X616">
        <v>0</v>
      </c>
      <c r="Y616">
        <v>0</v>
      </c>
      <c r="Z616">
        <v>0</v>
      </c>
      <c r="AA616">
        <v>0</v>
      </c>
      <c r="AB616">
        <v>0</v>
      </c>
      <c r="AC616">
        <v>0</v>
      </c>
      <c r="AD616">
        <v>0</v>
      </c>
      <c r="AE616">
        <v>0</v>
      </c>
      <c r="AF616">
        <v>0</v>
      </c>
      <c r="AG616">
        <v>1</v>
      </c>
      <c r="AH616">
        <v>0</v>
      </c>
      <c r="AI616">
        <v>0</v>
      </c>
      <c r="AJ616">
        <v>0</v>
      </c>
      <c r="AK616">
        <v>0</v>
      </c>
      <c r="AL616">
        <v>0</v>
      </c>
      <c r="AM616">
        <v>0</v>
      </c>
      <c r="AN616">
        <v>0</v>
      </c>
      <c r="AO616">
        <v>0</v>
      </c>
      <c r="AP616">
        <v>0</v>
      </c>
      <c r="AQ616">
        <v>0</v>
      </c>
      <c r="AR616">
        <v>0</v>
      </c>
      <c r="AS616">
        <v>0</v>
      </c>
      <c r="AT616">
        <v>0</v>
      </c>
      <c r="AU616">
        <v>0</v>
      </c>
      <c r="AV616">
        <v>0</v>
      </c>
      <c r="AW616">
        <v>0</v>
      </c>
      <c r="AX616" s="141">
        <f t="shared" si="694"/>
        <v>1</v>
      </c>
      <c r="AY616" s="141">
        <f t="shared" si="695"/>
        <v>1</v>
      </c>
      <c r="AZ616">
        <f t="shared" si="696"/>
        <v>0</v>
      </c>
      <c r="BA616">
        <f t="shared" si="697"/>
        <v>1</v>
      </c>
      <c r="BB616">
        <f t="shared" si="698"/>
        <v>0</v>
      </c>
      <c r="BC616">
        <f t="shared" si="699"/>
        <v>0</v>
      </c>
      <c r="BD616">
        <f t="shared" si="700"/>
        <v>0</v>
      </c>
      <c r="BE616" t="str">
        <f t="array" ref="BE616">IF(AY616=1,INDEX($V$7:$AL$7,MATCH(TRUE,INDEX($V616:$AW616&lt;&gt;0,),0)),IF(AY616=0,INDEX($AM$7:$AW$7,MATCH(1,$AM616:$AW616,0)),IF(BF616="Multiple strategies","mixed drivers",IF(BF616="Supply chain","multiple supply","multiple silviculture"))))</f>
        <v>recycling</v>
      </c>
      <c r="BF616" s="2" t="str" cm="1">
        <f t="array" ref="BF616">IF(COUNTIF(AZ616:BB616,"&lt;&gt;0")=1,INDEX($V$4:$AW$4,MATCH(TRUE,INDEX($V616:$AW616&lt;&gt;0,),0)),IF(COUNTIF(AZ616:BB616,"&lt;&gt;0")=0,INDEX($AM$4:$AW$4,MATCH(1,$AM616:$AW616,0)),"Multiple strategies"))</f>
        <v>Supply chain</v>
      </c>
      <c r="BG616" s="1" t="s">
        <v>229</v>
      </c>
      <c r="BH616" t="s">
        <v>1547</v>
      </c>
      <c r="BI616" s="264" t="s">
        <v>3120</v>
      </c>
      <c r="BJ616" t="s">
        <v>345</v>
      </c>
      <c r="BK616">
        <v>478</v>
      </c>
      <c r="BL616">
        <f>478+409+223+122</f>
        <v>1232</v>
      </c>
      <c r="BM616">
        <v>2.5774058577405858</v>
      </c>
      <c r="BN616">
        <f t="shared" si="701"/>
        <v>754</v>
      </c>
      <c r="BO616">
        <f t="shared" si="702"/>
        <v>1.5387755102040819</v>
      </c>
      <c r="BP616" s="264" t="s">
        <v>395</v>
      </c>
      <c r="BQ616" t="s">
        <v>426</v>
      </c>
      <c r="BR616" t="s">
        <v>728</v>
      </c>
      <c r="BS616">
        <v>-172.9</v>
      </c>
      <c r="BT616">
        <v>-132.19999999999999</v>
      </c>
      <c r="BU616" s="144"/>
      <c r="BV616">
        <f t="shared" si="703"/>
        <v>40.700000000000017</v>
      </c>
      <c r="BX616">
        <f t="shared" si="704"/>
        <v>4.0700000000000014E-2</v>
      </c>
      <c r="BY616">
        <f t="shared" si="654"/>
        <v>2.6449602122015921E-2</v>
      </c>
      <c r="BZ616">
        <v>0</v>
      </c>
      <c r="CA616">
        <v>0</v>
      </c>
      <c r="CB616">
        <v>0</v>
      </c>
      <c r="CC616">
        <v>0</v>
      </c>
      <c r="CD616">
        <v>0</v>
      </c>
      <c r="CE616">
        <v>0</v>
      </c>
      <c r="CF616">
        <v>0</v>
      </c>
      <c r="CG616">
        <v>0</v>
      </c>
      <c r="CH616">
        <v>0</v>
      </c>
      <c r="CI616">
        <v>0</v>
      </c>
      <c r="CJ616">
        <v>0</v>
      </c>
      <c r="CK616">
        <v>0</v>
      </c>
      <c r="CL616">
        <v>0</v>
      </c>
      <c r="CM616">
        <v>0</v>
      </c>
      <c r="CN616" t="str">
        <f t="shared" si="705"/>
        <v>refOK</v>
      </c>
      <c r="CO616">
        <f t="shared" si="706"/>
        <v>478</v>
      </c>
      <c r="CP616">
        <f t="shared" si="707"/>
        <v>1232</v>
      </c>
      <c r="CQ616">
        <f t="shared" si="708"/>
        <v>1.5387755102040819</v>
      </c>
      <c r="CR616">
        <f t="shared" si="709"/>
        <v>172.9</v>
      </c>
      <c r="CS616">
        <f t="shared" si="710"/>
        <v>132.19999999999999</v>
      </c>
      <c r="CT616">
        <f t="shared" si="711"/>
        <v>-4.0700000000000014E-2</v>
      </c>
      <c r="CU616">
        <f t="shared" si="712"/>
        <v>-2.6449602122015921E-2</v>
      </c>
      <c r="CV616" s="2">
        <f t="shared" si="713"/>
        <v>-0.23539618276460392</v>
      </c>
      <c r="CW616" s="1" t="s">
        <v>1198</v>
      </c>
      <c r="CX616" t="str">
        <f t="shared" si="714"/>
        <v>reg</v>
      </c>
      <c r="CY616" t="s">
        <v>1539</v>
      </c>
      <c r="DB616">
        <v>500</v>
      </c>
      <c r="DC616" t="str">
        <f t="shared" si="715"/>
        <v>+100</v>
      </c>
      <c r="DD616">
        <v>0</v>
      </c>
      <c r="DE616">
        <v>0</v>
      </c>
      <c r="DF616">
        <v>0</v>
      </c>
      <c r="DG616">
        <v>1</v>
      </c>
      <c r="DI616">
        <f t="shared" si="716"/>
        <v>1</v>
      </c>
      <c r="DJ616" t="str">
        <f t="shared" si="717"/>
        <v>TimberInput</v>
      </c>
      <c r="DK616">
        <f t="shared" si="718"/>
        <v>0</v>
      </c>
      <c r="DL616">
        <f t="shared" si="719"/>
        <v>0</v>
      </c>
      <c r="DM616">
        <f t="shared" si="720"/>
        <v>0</v>
      </c>
      <c r="DN616" t="str">
        <f t="shared" si="721"/>
        <v>Timber</v>
      </c>
      <c r="DO616">
        <v>0</v>
      </c>
      <c r="DP616">
        <v>0</v>
      </c>
      <c r="DQ616">
        <v>0</v>
      </c>
      <c r="DR616">
        <v>0</v>
      </c>
      <c r="DS616">
        <v>0</v>
      </c>
      <c r="DT616">
        <f t="shared" si="722"/>
        <v>0</v>
      </c>
      <c r="DU616" s="143" t="str">
        <f t="shared" si="723"/>
        <v>explicit C balance</v>
      </c>
      <c r="DV616">
        <v>0</v>
      </c>
      <c r="DW616">
        <v>0</v>
      </c>
      <c r="DX616">
        <v>0</v>
      </c>
      <c r="DY616">
        <v>0</v>
      </c>
      <c r="DZ616">
        <v>1</v>
      </c>
      <c r="EA616" s="143">
        <v>1</v>
      </c>
      <c r="EB616">
        <v>0</v>
      </c>
      <c r="EC616">
        <v>1</v>
      </c>
      <c r="ED616">
        <v>0</v>
      </c>
      <c r="EE616">
        <v>1</v>
      </c>
      <c r="EF616">
        <v>1</v>
      </c>
      <c r="EG616">
        <v>1</v>
      </c>
      <c r="EH616">
        <v>0</v>
      </c>
      <c r="EI616" s="2">
        <v>0</v>
      </c>
      <c r="EK616" t="str">
        <f t="shared" si="724"/>
        <v/>
      </c>
      <c r="EL616" t="str">
        <f t="shared" si="725"/>
        <v/>
      </c>
      <c r="EM616" s="2" t="str">
        <f t="shared" si="655"/>
        <v>Technology approach</v>
      </c>
      <c r="EP616" t="str">
        <f>IF(ISNUMBER(BU616),IF(ABS(BU616-[3]QC_indicators!$B$2)&gt;3*[3]QC_indicators!$C$2,"C ratio",IF(ISNUMBER(BY616),IF(ABS(BY616-[3]QC_indicators!$B$1)&gt;3*[3]QC_indicators!$C$1,"DF","no"))),IF(ISNUMBER(BY616),IF(ABS(BY616-[3]QC_indicators!$B$1)&gt;3*[3]QC_indicators!$C$1,"DF","no")))</f>
        <v>no</v>
      </c>
      <c r="ET616" s="264" t="s">
        <v>3272</v>
      </c>
    </row>
    <row r="617" spans="1:150" ht="15" hidden="1" customHeight="1">
      <c r="A617" s="1" t="s">
        <v>265</v>
      </c>
      <c r="B617" t="s">
        <v>1530</v>
      </c>
      <c r="C617" t="s">
        <v>1531</v>
      </c>
      <c r="D617" t="s">
        <v>1532</v>
      </c>
      <c r="E617" t="s">
        <v>1533</v>
      </c>
      <c r="F617" t="s">
        <v>1534</v>
      </c>
      <c r="G617" t="s">
        <v>271</v>
      </c>
      <c r="H617" t="s">
        <v>254</v>
      </c>
      <c r="I617">
        <v>2019</v>
      </c>
      <c r="J617">
        <v>26</v>
      </c>
      <c r="K617" t="s">
        <v>1535</v>
      </c>
      <c r="M617" t="str">
        <f t="shared" si="686"/>
        <v>Faraca_2019</v>
      </c>
      <c r="N617" t="s">
        <v>222</v>
      </c>
      <c r="O617" s="145" t="s">
        <v>274</v>
      </c>
      <c r="P617" s="180" t="s">
        <v>223</v>
      </c>
      <c r="Q617" t="s">
        <v>256</v>
      </c>
      <c r="R617" s="262" t="s">
        <v>223</v>
      </c>
      <c r="S617" s="263" t="s">
        <v>3134</v>
      </c>
      <c r="T617" t="s">
        <v>1537</v>
      </c>
      <c r="U617" t="s">
        <v>1548</v>
      </c>
      <c r="V617">
        <v>0</v>
      </c>
      <c r="W617">
        <v>0</v>
      </c>
      <c r="X617">
        <v>0</v>
      </c>
      <c r="Y617">
        <v>0</v>
      </c>
      <c r="Z617">
        <v>0</v>
      </c>
      <c r="AA617">
        <v>0</v>
      </c>
      <c r="AB617">
        <v>0</v>
      </c>
      <c r="AC617">
        <v>0</v>
      </c>
      <c r="AD617">
        <v>0</v>
      </c>
      <c r="AE617">
        <v>0</v>
      </c>
      <c r="AF617">
        <v>0</v>
      </c>
      <c r="AG617">
        <v>1</v>
      </c>
      <c r="AH617">
        <v>0</v>
      </c>
      <c r="AI617">
        <v>0</v>
      </c>
      <c r="AJ617">
        <v>0</v>
      </c>
      <c r="AK617">
        <v>0</v>
      </c>
      <c r="AL617">
        <v>0</v>
      </c>
      <c r="AM617">
        <v>0</v>
      </c>
      <c r="AN617">
        <v>0</v>
      </c>
      <c r="AO617">
        <v>0</v>
      </c>
      <c r="AP617">
        <v>0</v>
      </c>
      <c r="AQ617">
        <v>0</v>
      </c>
      <c r="AR617">
        <v>0</v>
      </c>
      <c r="AS617">
        <v>0</v>
      </c>
      <c r="AT617">
        <v>0</v>
      </c>
      <c r="AU617">
        <v>0</v>
      </c>
      <c r="AV617">
        <v>0</v>
      </c>
      <c r="AW617">
        <v>0</v>
      </c>
      <c r="AX617" s="141">
        <f t="shared" si="694"/>
        <v>1</v>
      </c>
      <c r="AY617" s="141">
        <f t="shared" si="695"/>
        <v>1</v>
      </c>
      <c r="AZ617">
        <f t="shared" si="696"/>
        <v>0</v>
      </c>
      <c r="BA617">
        <f t="shared" si="697"/>
        <v>1</v>
      </c>
      <c r="BB617">
        <f t="shared" si="698"/>
        <v>0</v>
      </c>
      <c r="BC617">
        <f t="shared" si="699"/>
        <v>0</v>
      </c>
      <c r="BD617">
        <f t="shared" si="700"/>
        <v>0</v>
      </c>
      <c r="BE617" t="str">
        <f t="array" ref="BE617">IF(AY617=1,INDEX($V$7:$AL$7,MATCH(TRUE,INDEX($V617:$AW617&lt;&gt;0,),0)),IF(AY617=0,INDEX($AM$7:$AW$7,MATCH(1,$AM617:$AW617,0)),IF(BF617="Multiple strategies","mixed drivers",IF(BF617="Supply chain","multiple supply","multiple silviculture"))))</f>
        <v>recycling</v>
      </c>
      <c r="BF617" s="2" t="str" cm="1">
        <f t="array" ref="BF617">IF(COUNTIF(AZ617:BB617,"&lt;&gt;0")=1,INDEX($V$4:$AW$4,MATCH(TRUE,INDEX($V617:$AW617&lt;&gt;0,),0)),IF(COUNTIF(AZ617:BB617,"&lt;&gt;0")=0,INDEX($AM$4:$AW$4,MATCH(1,$AM617:$AW617,0)),"Multiple strategies"))</f>
        <v>Supply chain</v>
      </c>
      <c r="BG617" s="1" t="s">
        <v>229</v>
      </c>
      <c r="BH617" t="s">
        <v>1547</v>
      </c>
      <c r="BJ617" t="s">
        <v>345</v>
      </c>
      <c r="BK617">
        <v>922</v>
      </c>
      <c r="BL617">
        <f>922+519+281+121</f>
        <v>1843</v>
      </c>
      <c r="BM617">
        <v>1.9989154013015185</v>
      </c>
      <c r="BN617">
        <f t="shared" si="701"/>
        <v>921</v>
      </c>
      <c r="BO617">
        <f t="shared" si="702"/>
        <v>1.879591836734694</v>
      </c>
      <c r="BP617" s="264" t="s">
        <v>395</v>
      </c>
      <c r="BQ617" t="s">
        <v>426</v>
      </c>
      <c r="BR617" t="s">
        <v>728</v>
      </c>
      <c r="BS617">
        <v>515.29999999999995</v>
      </c>
      <c r="BT617">
        <v>589.79999999999995</v>
      </c>
      <c r="BU617" s="144"/>
      <c r="BV617">
        <f t="shared" si="703"/>
        <v>74.5</v>
      </c>
      <c r="BX617">
        <f t="shared" si="704"/>
        <v>7.4499999999999997E-2</v>
      </c>
      <c r="BY617">
        <f t="shared" si="654"/>
        <v>3.9636264929424535E-2</v>
      </c>
      <c r="BZ617">
        <v>0</v>
      </c>
      <c r="CA617">
        <v>0</v>
      </c>
      <c r="CB617">
        <v>0</v>
      </c>
      <c r="CC617">
        <v>0</v>
      </c>
      <c r="CD617">
        <v>0</v>
      </c>
      <c r="CE617">
        <v>0</v>
      </c>
      <c r="CF617">
        <v>0</v>
      </c>
      <c r="CG617">
        <v>0</v>
      </c>
      <c r="CH617">
        <v>0</v>
      </c>
      <c r="CI617">
        <v>0</v>
      </c>
      <c r="CJ617">
        <v>0</v>
      </c>
      <c r="CK617">
        <v>0</v>
      </c>
      <c r="CL617">
        <v>0</v>
      </c>
      <c r="CM617">
        <v>0</v>
      </c>
      <c r="CN617" t="str">
        <f t="shared" si="705"/>
        <v>refOK</v>
      </c>
      <c r="CO617">
        <f t="shared" si="706"/>
        <v>922</v>
      </c>
      <c r="CP617">
        <f t="shared" si="707"/>
        <v>1843</v>
      </c>
      <c r="CQ617">
        <f t="shared" si="708"/>
        <v>1.879591836734694</v>
      </c>
      <c r="CR617">
        <f t="shared" si="709"/>
        <v>-515.29999999999995</v>
      </c>
      <c r="CS617">
        <f t="shared" si="710"/>
        <v>-589.79999999999995</v>
      </c>
      <c r="CT617">
        <f t="shared" si="711"/>
        <v>-7.4499999999999997E-2</v>
      </c>
      <c r="CU617">
        <f t="shared" si="712"/>
        <v>-3.9636264929424535E-2</v>
      </c>
      <c r="CV617" s="2">
        <f t="shared" si="713"/>
        <v>-0.14457597516010093</v>
      </c>
      <c r="CW617" s="1" t="s">
        <v>1198</v>
      </c>
      <c r="CX617" t="str">
        <f t="shared" si="714"/>
        <v>reg</v>
      </c>
      <c r="CY617" t="s">
        <v>1539</v>
      </c>
      <c r="DB617">
        <v>100</v>
      </c>
      <c r="DC617" t="str">
        <f t="shared" si="715"/>
        <v>71-100</v>
      </c>
      <c r="DD617">
        <v>0</v>
      </c>
      <c r="DE617">
        <v>0</v>
      </c>
      <c r="DF617">
        <v>0</v>
      </c>
      <c r="DG617">
        <v>1</v>
      </c>
      <c r="DI617">
        <f t="shared" si="716"/>
        <v>1</v>
      </c>
      <c r="DJ617" t="str">
        <f t="shared" si="717"/>
        <v>TimberInput</v>
      </c>
      <c r="DK617">
        <f t="shared" si="718"/>
        <v>0</v>
      </c>
      <c r="DL617">
        <f t="shared" si="719"/>
        <v>0</v>
      </c>
      <c r="DM617">
        <f t="shared" si="720"/>
        <v>0</v>
      </c>
      <c r="DN617" t="str">
        <f t="shared" si="721"/>
        <v>Timber</v>
      </c>
      <c r="DO617">
        <v>0</v>
      </c>
      <c r="DP617">
        <v>0</v>
      </c>
      <c r="DQ617">
        <v>0</v>
      </c>
      <c r="DR617">
        <v>0</v>
      </c>
      <c r="DS617">
        <v>0</v>
      </c>
      <c r="DT617">
        <f t="shared" si="722"/>
        <v>0</v>
      </c>
      <c r="DU617" s="143" t="str">
        <f t="shared" si="723"/>
        <v>explicit C balance</v>
      </c>
      <c r="DV617">
        <v>0</v>
      </c>
      <c r="DW617">
        <v>0</v>
      </c>
      <c r="DX617">
        <v>0</v>
      </c>
      <c r="DY617">
        <v>0</v>
      </c>
      <c r="DZ617">
        <v>1</v>
      </c>
      <c r="EA617" s="143">
        <v>0</v>
      </c>
      <c r="EB617">
        <v>0</v>
      </c>
      <c r="EC617">
        <v>1</v>
      </c>
      <c r="ED617">
        <v>0</v>
      </c>
      <c r="EE617">
        <v>1</v>
      </c>
      <c r="EF617">
        <v>1</v>
      </c>
      <c r="EG617">
        <v>1</v>
      </c>
      <c r="EH617">
        <v>0</v>
      </c>
      <c r="EI617" s="2">
        <v>0</v>
      </c>
      <c r="EK617" t="str">
        <f t="shared" si="724"/>
        <v/>
      </c>
      <c r="EL617" t="str">
        <f t="shared" si="725"/>
        <v/>
      </c>
      <c r="EM617" s="2" t="str">
        <f t="shared" si="655"/>
        <v>Technology approach</v>
      </c>
      <c r="EP617" t="str">
        <f>IF(ISNUMBER(BU617),IF(ABS(BU617-[3]QC_indicators!$B$2)&gt;3*[3]QC_indicators!$C$2,"C ratio",IF(ISNUMBER(BY617),IF(ABS(BY617-[3]QC_indicators!$B$1)&gt;3*[3]QC_indicators!$C$1,"DF","no"))),IF(ISNUMBER(BY617),IF(ABS(BY617-[3]QC_indicators!$B$1)&gt;3*[3]QC_indicators!$C$1,"DF","no")))</f>
        <v>no</v>
      </c>
      <c r="ET617" s="264" t="s">
        <v>3272</v>
      </c>
    </row>
    <row r="618" spans="1:150" ht="15" hidden="1" customHeight="1">
      <c r="A618" s="1" t="s">
        <v>265</v>
      </c>
      <c r="B618" t="s">
        <v>1530</v>
      </c>
      <c r="C618" t="s">
        <v>1531</v>
      </c>
      <c r="D618" t="s">
        <v>1532</v>
      </c>
      <c r="E618" t="s">
        <v>1533</v>
      </c>
      <c r="F618" t="s">
        <v>1534</v>
      </c>
      <c r="G618" t="s">
        <v>271</v>
      </c>
      <c r="H618" t="s">
        <v>254</v>
      </c>
      <c r="I618">
        <v>2019</v>
      </c>
      <c r="J618">
        <v>26</v>
      </c>
      <c r="K618" t="s">
        <v>1535</v>
      </c>
      <c r="M618" t="str">
        <f t="shared" si="686"/>
        <v>Faraca_2019</v>
      </c>
      <c r="N618" t="s">
        <v>222</v>
      </c>
      <c r="O618" s="145" t="s">
        <v>274</v>
      </c>
      <c r="P618" s="180" t="s">
        <v>223</v>
      </c>
      <c r="Q618" t="s">
        <v>256</v>
      </c>
      <c r="R618" s="262" t="s">
        <v>223</v>
      </c>
      <c r="S618" s="263" t="s">
        <v>3134</v>
      </c>
      <c r="T618" t="s">
        <v>968</v>
      </c>
      <c r="U618" t="s">
        <v>1546</v>
      </c>
      <c r="V618">
        <v>0</v>
      </c>
      <c r="W618">
        <v>0</v>
      </c>
      <c r="X618">
        <v>0</v>
      </c>
      <c r="Y618">
        <v>0</v>
      </c>
      <c r="Z618">
        <v>0</v>
      </c>
      <c r="AA618">
        <v>0</v>
      </c>
      <c r="AB618">
        <v>0</v>
      </c>
      <c r="AC618">
        <v>0</v>
      </c>
      <c r="AD618">
        <v>0</v>
      </c>
      <c r="AE618">
        <v>0</v>
      </c>
      <c r="AF618">
        <v>0</v>
      </c>
      <c r="AG618">
        <v>1</v>
      </c>
      <c r="AH618">
        <v>0</v>
      </c>
      <c r="AI618">
        <v>0</v>
      </c>
      <c r="AJ618">
        <v>0</v>
      </c>
      <c r="AK618">
        <v>0</v>
      </c>
      <c r="AL618">
        <v>0</v>
      </c>
      <c r="AM618">
        <v>0</v>
      </c>
      <c r="AN618">
        <v>0</v>
      </c>
      <c r="AO618">
        <v>0</v>
      </c>
      <c r="AP618">
        <v>0</v>
      </c>
      <c r="AQ618">
        <v>0</v>
      </c>
      <c r="AR618">
        <v>0</v>
      </c>
      <c r="AS618">
        <v>0</v>
      </c>
      <c r="AT618">
        <v>0</v>
      </c>
      <c r="AU618">
        <v>0</v>
      </c>
      <c r="AV618">
        <v>0</v>
      </c>
      <c r="AW618">
        <v>0</v>
      </c>
      <c r="AX618" s="141">
        <f t="shared" si="694"/>
        <v>1</v>
      </c>
      <c r="AY618" s="141">
        <f t="shared" si="695"/>
        <v>1</v>
      </c>
      <c r="AZ618">
        <f t="shared" si="696"/>
        <v>0</v>
      </c>
      <c r="BA618">
        <f t="shared" si="697"/>
        <v>1</v>
      </c>
      <c r="BB618">
        <f t="shared" si="698"/>
        <v>0</v>
      </c>
      <c r="BC618">
        <f t="shared" si="699"/>
        <v>0</v>
      </c>
      <c r="BD618">
        <f t="shared" si="700"/>
        <v>0</v>
      </c>
      <c r="BE618" t="str">
        <f t="array" ref="BE618">IF(AY618=1,INDEX($V$7:$AL$7,MATCH(TRUE,INDEX($V618:$AW618&lt;&gt;0,),0)),IF(AY618=0,INDEX($AM$7:$AW$7,MATCH(1,$AM618:$AW618,0)),IF(BF618="Multiple strategies","mixed drivers",IF(BF618="Supply chain","multiple supply","multiple silviculture"))))</f>
        <v>recycling</v>
      </c>
      <c r="BF618" s="2" t="str" cm="1">
        <f t="array" ref="BF618">IF(COUNTIF(AZ618:BB618,"&lt;&gt;0")=1,INDEX($V$4:$AW$4,MATCH(TRUE,INDEX($V618:$AW618&lt;&gt;0,),0)),IF(COUNTIF(AZ618:BB618,"&lt;&gt;0")=0,INDEX($AM$4:$AW$4,MATCH(1,$AM618:$AW618,0)),"Multiple strategies"))</f>
        <v>Supply chain</v>
      </c>
      <c r="BG618" s="1" t="s">
        <v>229</v>
      </c>
      <c r="BH618" t="s">
        <v>1547</v>
      </c>
      <c r="BI618" t="s">
        <v>1538</v>
      </c>
      <c r="BJ618" t="s">
        <v>345</v>
      </c>
      <c r="BK618">
        <v>636</v>
      </c>
      <c r="BL618">
        <f>638+378+212+115</f>
        <v>1343</v>
      </c>
      <c r="BM618">
        <v>2.108490566037736</v>
      </c>
      <c r="BN618">
        <f t="shared" si="701"/>
        <v>707</v>
      </c>
      <c r="BO618">
        <f t="shared" si="702"/>
        <v>1.4428571428571431</v>
      </c>
      <c r="BP618" s="264" t="s">
        <v>395</v>
      </c>
      <c r="BQ618" t="s">
        <v>426</v>
      </c>
      <c r="BR618" t="s">
        <v>728</v>
      </c>
      <c r="BS618">
        <v>474.6</v>
      </c>
      <c r="BT618">
        <v>545.79999999999995</v>
      </c>
      <c r="BU618" s="144"/>
      <c r="BV618">
        <f t="shared" si="703"/>
        <v>71.199999999999932</v>
      </c>
      <c r="BX618">
        <f t="shared" si="704"/>
        <v>7.119999999999993E-2</v>
      </c>
      <c r="BY618">
        <f t="shared" si="654"/>
        <v>4.9346534653465293E-2</v>
      </c>
      <c r="BZ618">
        <v>0</v>
      </c>
      <c r="CA618">
        <v>0</v>
      </c>
      <c r="CB618">
        <v>0</v>
      </c>
      <c r="CC618">
        <v>0</v>
      </c>
      <c r="CD618">
        <v>0</v>
      </c>
      <c r="CE618">
        <v>0</v>
      </c>
      <c r="CF618">
        <v>0</v>
      </c>
      <c r="CG618">
        <v>0</v>
      </c>
      <c r="CH618">
        <v>0</v>
      </c>
      <c r="CI618">
        <v>0</v>
      </c>
      <c r="CJ618">
        <v>0</v>
      </c>
      <c r="CK618">
        <v>0</v>
      </c>
      <c r="CL618">
        <v>0</v>
      </c>
      <c r="CM618">
        <v>0</v>
      </c>
      <c r="CN618" t="str">
        <f t="shared" si="705"/>
        <v>refOK</v>
      </c>
      <c r="CO618">
        <f t="shared" si="706"/>
        <v>636</v>
      </c>
      <c r="CP618">
        <f t="shared" si="707"/>
        <v>1343</v>
      </c>
      <c r="CQ618">
        <f t="shared" si="708"/>
        <v>1.4428571428571431</v>
      </c>
      <c r="CR618">
        <f t="shared" si="709"/>
        <v>-474.6</v>
      </c>
      <c r="CS618">
        <f t="shared" si="710"/>
        <v>-545.79999999999995</v>
      </c>
      <c r="CT618">
        <f t="shared" si="711"/>
        <v>-7.119999999999993E-2</v>
      </c>
      <c r="CU618">
        <f t="shared" si="712"/>
        <v>-4.9346534653465293E-2</v>
      </c>
      <c r="CV618" s="2">
        <f t="shared" si="713"/>
        <v>-0.15002107037505252</v>
      </c>
      <c r="CW618" s="1" t="s">
        <v>1198</v>
      </c>
      <c r="CX618" t="str">
        <f t="shared" si="714"/>
        <v>reg</v>
      </c>
      <c r="CY618" t="s">
        <v>1539</v>
      </c>
      <c r="DB618">
        <v>100</v>
      </c>
      <c r="DC618" t="str">
        <f t="shared" si="715"/>
        <v>71-100</v>
      </c>
      <c r="DD618">
        <v>0</v>
      </c>
      <c r="DE618">
        <v>0</v>
      </c>
      <c r="DF618">
        <v>0</v>
      </c>
      <c r="DG618">
        <v>1</v>
      </c>
      <c r="DI618">
        <f t="shared" si="716"/>
        <v>1</v>
      </c>
      <c r="DJ618" t="str">
        <f t="shared" si="717"/>
        <v>TimberInput</v>
      </c>
      <c r="DK618">
        <f t="shared" si="718"/>
        <v>0</v>
      </c>
      <c r="DL618">
        <f t="shared" si="719"/>
        <v>0</v>
      </c>
      <c r="DM618">
        <f t="shared" si="720"/>
        <v>0</v>
      </c>
      <c r="DN618" t="str">
        <f t="shared" si="721"/>
        <v>Timber</v>
      </c>
      <c r="DO618">
        <v>0</v>
      </c>
      <c r="DP618">
        <v>0</v>
      </c>
      <c r="DQ618">
        <v>0</v>
      </c>
      <c r="DR618">
        <v>0</v>
      </c>
      <c r="DS618">
        <v>0</v>
      </c>
      <c r="DT618">
        <f t="shared" si="722"/>
        <v>0</v>
      </c>
      <c r="DU618" s="143" t="str">
        <f t="shared" si="723"/>
        <v>explicit C balance</v>
      </c>
      <c r="DV618">
        <v>0</v>
      </c>
      <c r="DW618">
        <v>0</v>
      </c>
      <c r="DX618">
        <v>0</v>
      </c>
      <c r="DY618">
        <v>0</v>
      </c>
      <c r="DZ618">
        <v>1</v>
      </c>
      <c r="EA618" s="143">
        <v>0</v>
      </c>
      <c r="EB618">
        <v>0</v>
      </c>
      <c r="EC618">
        <v>1</v>
      </c>
      <c r="ED618">
        <v>0</v>
      </c>
      <c r="EE618">
        <v>1</v>
      </c>
      <c r="EF618">
        <v>1</v>
      </c>
      <c r="EG618">
        <v>1</v>
      </c>
      <c r="EH618">
        <v>0</v>
      </c>
      <c r="EI618" s="2">
        <v>0</v>
      </c>
      <c r="EK618" t="str">
        <f t="shared" si="724"/>
        <v/>
      </c>
      <c r="EL618" t="str">
        <f t="shared" si="725"/>
        <v/>
      </c>
      <c r="EM618" s="2" t="str">
        <f t="shared" si="655"/>
        <v>Technology approach</v>
      </c>
      <c r="EP618" t="str">
        <f>IF(ISNUMBER(BU618),IF(ABS(BU618-[3]QC_indicators!$B$2)&gt;3*[3]QC_indicators!$C$2,"C ratio",IF(ISNUMBER(BY618),IF(ABS(BY618-[3]QC_indicators!$B$1)&gt;3*[3]QC_indicators!$C$1,"DF","no"))),IF(ISNUMBER(BY618),IF(ABS(BY618-[3]QC_indicators!$B$1)&gt;3*[3]QC_indicators!$C$1,"DF","no")))</f>
        <v>no</v>
      </c>
      <c r="ET618" s="264" t="s">
        <v>3272</v>
      </c>
    </row>
    <row r="619" spans="1:150" ht="15" hidden="1" customHeight="1">
      <c r="A619" s="1" t="s">
        <v>265</v>
      </c>
      <c r="B619" t="s">
        <v>1530</v>
      </c>
      <c r="C619" t="s">
        <v>1531</v>
      </c>
      <c r="D619" t="s">
        <v>1532</v>
      </c>
      <c r="E619" t="s">
        <v>1533</v>
      </c>
      <c r="F619" t="s">
        <v>1534</v>
      </c>
      <c r="G619" t="s">
        <v>271</v>
      </c>
      <c r="H619" t="s">
        <v>254</v>
      </c>
      <c r="I619">
        <v>2019</v>
      </c>
      <c r="J619">
        <v>26</v>
      </c>
      <c r="K619" t="s">
        <v>1535</v>
      </c>
      <c r="M619" t="str">
        <f t="shared" si="686"/>
        <v>Faraca_2019</v>
      </c>
      <c r="N619" t="s">
        <v>222</v>
      </c>
      <c r="O619" s="145" t="s">
        <v>274</v>
      </c>
      <c r="Q619" t="s">
        <v>256</v>
      </c>
      <c r="R619" s="262" t="s">
        <v>223</v>
      </c>
      <c r="S619" s="263" t="s">
        <v>3136</v>
      </c>
      <c r="T619" t="s">
        <v>1537</v>
      </c>
      <c r="U619" t="s">
        <v>1548</v>
      </c>
      <c r="V619">
        <v>0</v>
      </c>
      <c r="W619">
        <v>0</v>
      </c>
      <c r="X619">
        <v>0</v>
      </c>
      <c r="Y619">
        <v>0</v>
      </c>
      <c r="Z619">
        <v>0</v>
      </c>
      <c r="AA619">
        <v>0</v>
      </c>
      <c r="AB619">
        <v>0</v>
      </c>
      <c r="AC619">
        <v>0</v>
      </c>
      <c r="AD619">
        <v>0</v>
      </c>
      <c r="AE619">
        <v>0</v>
      </c>
      <c r="AF619">
        <v>0</v>
      </c>
      <c r="AG619">
        <v>1</v>
      </c>
      <c r="AH619">
        <v>0</v>
      </c>
      <c r="AI619">
        <v>0</v>
      </c>
      <c r="AJ619">
        <v>0</v>
      </c>
      <c r="AK619">
        <v>0</v>
      </c>
      <c r="AL619">
        <v>0</v>
      </c>
      <c r="AM619">
        <v>0</v>
      </c>
      <c r="AN619">
        <v>0</v>
      </c>
      <c r="AO619">
        <v>0</v>
      </c>
      <c r="AP619">
        <v>0</v>
      </c>
      <c r="AQ619">
        <v>0</v>
      </c>
      <c r="AR619">
        <v>0</v>
      </c>
      <c r="AS619">
        <v>0</v>
      </c>
      <c r="AT619">
        <v>0</v>
      </c>
      <c r="AU619">
        <v>0</v>
      </c>
      <c r="AV619">
        <v>0</v>
      </c>
      <c r="AW619">
        <v>0</v>
      </c>
      <c r="AX619" s="141">
        <f t="shared" si="694"/>
        <v>1</v>
      </c>
      <c r="AY619" s="141">
        <f t="shared" si="695"/>
        <v>1</v>
      </c>
      <c r="AZ619">
        <f t="shared" si="696"/>
        <v>0</v>
      </c>
      <c r="BA619">
        <f t="shared" si="697"/>
        <v>1</v>
      </c>
      <c r="BB619">
        <f t="shared" si="698"/>
        <v>0</v>
      </c>
      <c r="BC619">
        <f t="shared" si="699"/>
        <v>0</v>
      </c>
      <c r="BD619">
        <f t="shared" si="700"/>
        <v>0</v>
      </c>
      <c r="BE619" t="str">
        <f t="array" ref="BE619">IF(AY619=1,INDEX($V$7:$AL$7,MATCH(TRUE,INDEX($V619:$AW619&lt;&gt;0,),0)),IF(AY619=0,INDEX($AM$7:$AW$7,MATCH(1,$AM619:$AW619,0)),IF(BF619="Multiple strategies","mixed drivers",IF(BF619="Supply chain","multiple supply","multiple silviculture"))))</f>
        <v>recycling</v>
      </c>
      <c r="BF619" s="2" t="str" cm="1">
        <f t="array" ref="BF619">IF(COUNTIF(AZ619:BB619,"&lt;&gt;0")=1,INDEX($V$4:$AW$4,MATCH(TRUE,INDEX($V619:$AW619&lt;&gt;0,),0)),IF(COUNTIF(AZ619:BB619,"&lt;&gt;0")=0,INDEX($AM$4:$AW$4,MATCH(1,$AM619:$AW619,0)),"Multiple strategies"))</f>
        <v>Supply chain</v>
      </c>
      <c r="BG619" s="1" t="s">
        <v>229</v>
      </c>
      <c r="BH619" t="s">
        <v>1547</v>
      </c>
      <c r="BI619" t="s">
        <v>1538</v>
      </c>
      <c r="BJ619" t="s">
        <v>345</v>
      </c>
      <c r="BK619">
        <v>922</v>
      </c>
      <c r="BL619">
        <f>922+519+281+121</f>
        <v>1843</v>
      </c>
      <c r="BM619">
        <v>1.9989154013015185</v>
      </c>
      <c r="BN619">
        <f t="shared" si="701"/>
        <v>921</v>
      </c>
      <c r="BO619">
        <f t="shared" si="702"/>
        <v>1.879591836734694</v>
      </c>
      <c r="BP619" s="264" t="s">
        <v>395</v>
      </c>
      <c r="BQ619" t="s">
        <v>426</v>
      </c>
      <c r="BR619" t="s">
        <v>728</v>
      </c>
      <c r="BS619">
        <v>-10.3</v>
      </c>
      <c r="BT619">
        <v>-100</v>
      </c>
      <c r="BU619" s="144">
        <v>9.545454545454545</v>
      </c>
      <c r="BV619">
        <v>94</v>
      </c>
      <c r="BX619">
        <f t="shared" si="704"/>
        <v>9.4E-2</v>
      </c>
      <c r="BY619">
        <f t="shared" si="654"/>
        <v>5.0010857763300755E-2</v>
      </c>
      <c r="BZ619">
        <v>0</v>
      </c>
      <c r="CA619">
        <v>0</v>
      </c>
      <c r="CB619">
        <v>0</v>
      </c>
      <c r="CC619">
        <v>0</v>
      </c>
      <c r="CD619">
        <v>0</v>
      </c>
      <c r="CE619">
        <v>0</v>
      </c>
      <c r="CF619">
        <v>0</v>
      </c>
      <c r="CG619">
        <v>0</v>
      </c>
      <c r="CH619">
        <v>0</v>
      </c>
      <c r="CI619">
        <v>0</v>
      </c>
      <c r="CJ619">
        <v>0</v>
      </c>
      <c r="CK619">
        <v>0</v>
      </c>
      <c r="CL619">
        <v>0</v>
      </c>
      <c r="CM619">
        <v>0</v>
      </c>
      <c r="CN619" t="str">
        <f t="shared" si="705"/>
        <v>refOK</v>
      </c>
      <c r="CO619">
        <f t="shared" si="706"/>
        <v>922</v>
      </c>
      <c r="CP619">
        <f t="shared" si="707"/>
        <v>1843</v>
      </c>
      <c r="CQ619">
        <f t="shared" si="708"/>
        <v>1.879591836734694</v>
      </c>
      <c r="CR619">
        <f t="shared" si="709"/>
        <v>10.3</v>
      </c>
      <c r="CS619">
        <f t="shared" si="710"/>
        <v>100</v>
      </c>
      <c r="CT619">
        <f t="shared" si="711"/>
        <v>-9.4E-2</v>
      </c>
      <c r="CU619">
        <f t="shared" si="712"/>
        <v>-5.0010857763300755E-2</v>
      </c>
      <c r="CV619" s="2">
        <f t="shared" si="713"/>
        <v>8.7087378640776691</v>
      </c>
      <c r="CW619" s="1" t="s">
        <v>1198</v>
      </c>
      <c r="CX619" t="str">
        <f t="shared" si="714"/>
        <v>reg</v>
      </c>
      <c r="CY619" t="s">
        <v>1539</v>
      </c>
      <c r="DB619">
        <v>100</v>
      </c>
      <c r="DC619" t="str">
        <f t="shared" si="715"/>
        <v>71-100</v>
      </c>
      <c r="DD619">
        <v>0</v>
      </c>
      <c r="DE619">
        <v>0</v>
      </c>
      <c r="DF619">
        <v>0</v>
      </c>
      <c r="DG619">
        <v>1</v>
      </c>
      <c r="DI619">
        <f t="shared" si="716"/>
        <v>1</v>
      </c>
      <c r="DJ619" t="str">
        <f t="shared" si="717"/>
        <v>TimberInput</v>
      </c>
      <c r="DK619">
        <f t="shared" si="718"/>
        <v>0</v>
      </c>
      <c r="DL619">
        <f t="shared" si="719"/>
        <v>0</v>
      </c>
      <c r="DM619">
        <f t="shared" si="720"/>
        <v>0</v>
      </c>
      <c r="DN619" t="str">
        <f t="shared" si="721"/>
        <v>Timber</v>
      </c>
      <c r="DO619">
        <v>0</v>
      </c>
      <c r="DP619">
        <v>1</v>
      </c>
      <c r="DQ619">
        <v>0</v>
      </c>
      <c r="DR619">
        <v>0</v>
      </c>
      <c r="DS619" t="s">
        <v>1540</v>
      </c>
      <c r="DT619">
        <f t="shared" si="722"/>
        <v>1</v>
      </c>
      <c r="DU619" s="143" t="str">
        <f t="shared" si="723"/>
        <v>external DF used</v>
      </c>
      <c r="DV619">
        <v>0</v>
      </c>
      <c r="DW619">
        <v>0</v>
      </c>
      <c r="DX619">
        <v>0</v>
      </c>
      <c r="DY619">
        <v>0</v>
      </c>
      <c r="DZ619">
        <v>1</v>
      </c>
      <c r="EA619" s="143">
        <v>1</v>
      </c>
      <c r="EB619">
        <v>0</v>
      </c>
      <c r="EC619">
        <v>1</v>
      </c>
      <c r="ED619">
        <v>0</v>
      </c>
      <c r="EE619">
        <v>1</v>
      </c>
      <c r="EF619">
        <v>1</v>
      </c>
      <c r="EG619">
        <v>1</v>
      </c>
      <c r="EH619">
        <v>0</v>
      </c>
      <c r="EI619" s="2">
        <v>0</v>
      </c>
      <c r="EK619" t="str">
        <f t="shared" si="724"/>
        <v/>
      </c>
      <c r="EL619" t="str">
        <f t="shared" si="725"/>
        <v/>
      </c>
      <c r="EM619" s="2" t="str">
        <f t="shared" si="655"/>
        <v>Technology approach</v>
      </c>
      <c r="EP619" t="str">
        <f>IF(ISNUMBER(BU619),IF(ABS(BU619-[3]QC_indicators!$B$2)&gt;3*[3]QC_indicators!$C$2,"C ratio",IF(ISNUMBER(BY619),IF(ABS(BY619-[3]QC_indicators!$B$1)&gt;3*[3]QC_indicators!$C$1,"DF","no"))),IF(ISNUMBER(BY619),IF(ABS(BY619-[3]QC_indicators!$B$1)&gt;3*[3]QC_indicators!$C$1,"DF","no")))</f>
        <v>no</v>
      </c>
      <c r="ET619" s="264" t="s">
        <v>3272</v>
      </c>
    </row>
    <row r="620" spans="1:150" ht="15" hidden="1" customHeight="1">
      <c r="A620" s="1" t="s">
        <v>265</v>
      </c>
      <c r="B620" t="s">
        <v>1530</v>
      </c>
      <c r="C620" t="s">
        <v>1531</v>
      </c>
      <c r="D620" t="s">
        <v>1532</v>
      </c>
      <c r="E620" t="s">
        <v>1533</v>
      </c>
      <c r="F620" t="s">
        <v>1534</v>
      </c>
      <c r="G620" t="s">
        <v>271</v>
      </c>
      <c r="H620" t="s">
        <v>254</v>
      </c>
      <c r="I620">
        <v>2019</v>
      </c>
      <c r="J620">
        <v>26</v>
      </c>
      <c r="K620" t="s">
        <v>1535</v>
      </c>
      <c r="M620" t="str">
        <f t="shared" si="686"/>
        <v>Faraca_2019</v>
      </c>
      <c r="N620" t="s">
        <v>222</v>
      </c>
      <c r="O620" s="145" t="s">
        <v>274</v>
      </c>
      <c r="P620" s="180" t="s">
        <v>223</v>
      </c>
      <c r="Q620" t="s">
        <v>256</v>
      </c>
      <c r="R620" s="262" t="s">
        <v>223</v>
      </c>
      <c r="S620" s="1" t="s">
        <v>1541</v>
      </c>
      <c r="T620" s="264" t="s">
        <v>3126</v>
      </c>
      <c r="U620" s="264" t="s">
        <v>3127</v>
      </c>
      <c r="V620">
        <v>0</v>
      </c>
      <c r="W620">
        <v>0</v>
      </c>
      <c r="X620">
        <v>0</v>
      </c>
      <c r="Y620">
        <v>0</v>
      </c>
      <c r="Z620">
        <v>0</v>
      </c>
      <c r="AA620">
        <v>0</v>
      </c>
      <c r="AB620">
        <v>0</v>
      </c>
      <c r="AC620">
        <v>0</v>
      </c>
      <c r="AD620">
        <v>0</v>
      </c>
      <c r="AE620">
        <v>0</v>
      </c>
      <c r="AF620">
        <v>0</v>
      </c>
      <c r="AG620">
        <v>0</v>
      </c>
      <c r="AH620">
        <v>0</v>
      </c>
      <c r="AI620">
        <v>1</v>
      </c>
      <c r="AJ620">
        <v>0</v>
      </c>
      <c r="AK620">
        <v>0</v>
      </c>
      <c r="AL620">
        <v>0</v>
      </c>
      <c r="AM620">
        <v>0</v>
      </c>
      <c r="AN620">
        <v>0</v>
      </c>
      <c r="AO620">
        <v>0</v>
      </c>
      <c r="AP620">
        <v>0</v>
      </c>
      <c r="AQ620">
        <v>0</v>
      </c>
      <c r="AR620">
        <v>0</v>
      </c>
      <c r="AS620">
        <v>0</v>
      </c>
      <c r="AT620">
        <v>0</v>
      </c>
      <c r="AU620">
        <v>0</v>
      </c>
      <c r="AV620">
        <v>0</v>
      </c>
      <c r="AW620">
        <v>0</v>
      </c>
      <c r="AX620" s="141">
        <f t="shared" si="694"/>
        <v>1</v>
      </c>
      <c r="AY620" s="141">
        <f t="shared" si="695"/>
        <v>1</v>
      </c>
      <c r="AZ620">
        <f t="shared" si="696"/>
        <v>0</v>
      </c>
      <c r="BA620">
        <f t="shared" si="697"/>
        <v>1</v>
      </c>
      <c r="BB620">
        <f t="shared" si="698"/>
        <v>0</v>
      </c>
      <c r="BC620">
        <f t="shared" si="699"/>
        <v>0</v>
      </c>
      <c r="BD620">
        <f t="shared" si="700"/>
        <v>0</v>
      </c>
      <c r="BE620" t="str">
        <f t="array" ref="BE620">IF(AY620=1,INDEX($V$7:$AL$7,MATCH(TRUE,INDEX($V620:$AW620&lt;&gt;0,),0)),IF(AY620=0,INDEX($AM$7:$AW$7,MATCH(1,$AM620:$AW620,0)),IF(BF620="Multiple strategies","mixed drivers",IF(BF620="Supply chain","multiple supply","multiple silviculture"))))</f>
        <v>products lifespan</v>
      </c>
      <c r="BF620" s="2" t="str" cm="1">
        <f t="array" ref="BF620">IF(COUNTIF(AZ620:BB620,"&lt;&gt;0")=1,INDEX($V$4:$AW$4,MATCH(TRUE,INDEX($V620:$AW620&lt;&gt;0,),0)),IF(COUNTIF(AZ620:BB620,"&lt;&gt;0")=0,INDEX($AM$4:$AW$4,MATCH(1,$AM620:$AW620,0)),"Multiple strategies"))</f>
        <v>Supply chain</v>
      </c>
      <c r="BG620" s="1" t="s">
        <v>229</v>
      </c>
      <c r="BH620" t="s">
        <v>1547</v>
      </c>
      <c r="BI620" s="264" t="s">
        <v>3120</v>
      </c>
      <c r="BJ620" t="s">
        <v>345</v>
      </c>
      <c r="BK620">
        <v>478</v>
      </c>
      <c r="BL620">
        <v>638</v>
      </c>
      <c r="BM620">
        <v>1</v>
      </c>
      <c r="BN620">
        <f t="shared" si="701"/>
        <v>160</v>
      </c>
      <c r="BO620">
        <f t="shared" si="702"/>
        <v>0.32653061224489799</v>
      </c>
      <c r="BP620" t="s">
        <v>395</v>
      </c>
      <c r="BQ620" t="s">
        <v>426</v>
      </c>
      <c r="BR620" t="s">
        <v>728</v>
      </c>
      <c r="BS620">
        <v>115.2</v>
      </c>
      <c r="BT620">
        <v>132.19999999999999</v>
      </c>
      <c r="BU620" s="144"/>
      <c r="BV620">
        <f t="shared" ref="BV620:BV638" si="726">BT620-BS620</f>
        <v>16.999999999999986</v>
      </c>
      <c r="BX620">
        <f t="shared" si="704"/>
        <v>1.6999999999999987E-2</v>
      </c>
      <c r="BY620">
        <f t="shared" ref="BY620:BY683" si="727">IFERROR(BX620/BO620,"")</f>
        <v>5.2062499999999956E-2</v>
      </c>
      <c r="BZ620">
        <v>0</v>
      </c>
      <c r="CA620">
        <v>0</v>
      </c>
      <c r="CB620">
        <v>0</v>
      </c>
      <c r="CC620">
        <v>0</v>
      </c>
      <c r="CD620">
        <v>0</v>
      </c>
      <c r="CE620">
        <v>0</v>
      </c>
      <c r="CF620">
        <v>0</v>
      </c>
      <c r="CG620">
        <v>0</v>
      </c>
      <c r="CH620">
        <v>0</v>
      </c>
      <c r="CI620">
        <v>0</v>
      </c>
      <c r="CJ620">
        <v>0</v>
      </c>
      <c r="CK620">
        <v>0</v>
      </c>
      <c r="CL620">
        <v>0</v>
      </c>
      <c r="CM620">
        <v>0</v>
      </c>
      <c r="CN620" t="str">
        <f t="shared" si="705"/>
        <v>refOK</v>
      </c>
      <c r="CO620">
        <f>IF($CN620="refNeedCorrection",BK620,BL620)</f>
        <v>638</v>
      </c>
      <c r="CP620">
        <f>IF($CN620="refNeedCorrection",BL620,BK620)</f>
        <v>478</v>
      </c>
      <c r="CQ620">
        <f t="shared" si="708"/>
        <v>0.32653061224489799</v>
      </c>
      <c r="CR620">
        <f t="shared" si="709"/>
        <v>-115.2</v>
      </c>
      <c r="CS620">
        <f t="shared" si="710"/>
        <v>-132.19999999999999</v>
      </c>
      <c r="CT620">
        <f t="shared" si="711"/>
        <v>-1.6999999999999987E-2</v>
      </c>
      <c r="CU620">
        <f t="shared" si="712"/>
        <v>-5.2062499999999956E-2</v>
      </c>
      <c r="CV620" s="2">
        <f t="shared" si="713"/>
        <v>-0.14756944444444431</v>
      </c>
      <c r="CW620" s="1" t="s">
        <v>1198</v>
      </c>
      <c r="CX620" t="str">
        <f t="shared" si="714"/>
        <v>reg</v>
      </c>
      <c r="CY620" t="s">
        <v>1539</v>
      </c>
      <c r="DB620">
        <v>100</v>
      </c>
      <c r="DC620" t="str">
        <f t="shared" si="715"/>
        <v>71-100</v>
      </c>
      <c r="DD620">
        <v>0</v>
      </c>
      <c r="DE620">
        <v>0</v>
      </c>
      <c r="DF620">
        <v>0</v>
      </c>
      <c r="DG620">
        <v>1</v>
      </c>
      <c r="DI620">
        <f t="shared" si="716"/>
        <v>1</v>
      </c>
      <c r="DJ620" t="str">
        <f t="shared" si="717"/>
        <v>TimberInput</v>
      </c>
      <c r="DK620">
        <f t="shared" si="718"/>
        <v>0</v>
      </c>
      <c r="DL620">
        <f t="shared" si="719"/>
        <v>0</v>
      </c>
      <c r="DM620">
        <f t="shared" si="720"/>
        <v>0</v>
      </c>
      <c r="DN620" t="str">
        <f t="shared" si="721"/>
        <v>Timber</v>
      </c>
      <c r="DO620">
        <v>0</v>
      </c>
      <c r="DP620">
        <v>0</v>
      </c>
      <c r="DQ620">
        <v>0</v>
      </c>
      <c r="DR620">
        <v>0</v>
      </c>
      <c r="DS620">
        <v>0</v>
      </c>
      <c r="DT620">
        <f t="shared" si="722"/>
        <v>0</v>
      </c>
      <c r="DU620" s="143" t="str">
        <f t="shared" si="723"/>
        <v>explicit C balance</v>
      </c>
      <c r="DV620">
        <v>0</v>
      </c>
      <c r="DW620">
        <v>0</v>
      </c>
      <c r="DX620">
        <v>0</v>
      </c>
      <c r="DY620">
        <v>0</v>
      </c>
      <c r="DZ620">
        <v>0</v>
      </c>
      <c r="EA620" s="143">
        <v>0</v>
      </c>
      <c r="EB620">
        <v>0</v>
      </c>
      <c r="EC620">
        <v>1</v>
      </c>
      <c r="ED620">
        <v>0</v>
      </c>
      <c r="EE620">
        <v>1</v>
      </c>
      <c r="EF620">
        <v>1</v>
      </c>
      <c r="EG620">
        <v>1</v>
      </c>
      <c r="EH620">
        <v>0</v>
      </c>
      <c r="EI620" s="2">
        <v>0</v>
      </c>
      <c r="EK620" t="str">
        <f t="shared" si="724"/>
        <v/>
      </c>
      <c r="EL620" t="str">
        <f t="shared" si="725"/>
        <v/>
      </c>
      <c r="EM620" s="2" t="str">
        <f t="shared" ref="EM620:EM683" si="728">IF(AND(AND(AND($DX620=0,$DW620=0),OR($EC620=1,$EA620=1)),SUM($EB620:$EE620)&gt;=2),"Technology approach","")</f>
        <v>Technology approach</v>
      </c>
      <c r="EP620" t="str">
        <f>IF(ISNUMBER(BU620),IF(ABS(BU620-[3]QC_indicators!$B$2)&gt;3*[3]QC_indicators!$C$2,"C ratio",IF(ISNUMBER(BY620),IF(ABS(BY620-[3]QC_indicators!$B$1)&gt;3*[3]QC_indicators!$C$1,"DF","no"))),IF(ISNUMBER(BY620),IF(ABS(BY620-[3]QC_indicators!$B$1)&gt;3*[3]QC_indicators!$C$1,"DF","no")))</f>
        <v>no</v>
      </c>
      <c r="ET620" s="264" t="s">
        <v>3272</v>
      </c>
    </row>
    <row r="621" spans="1:150" ht="15" hidden="1" customHeight="1">
      <c r="A621" s="1" t="s">
        <v>265</v>
      </c>
      <c r="B621" t="s">
        <v>1530</v>
      </c>
      <c r="C621" t="s">
        <v>1531</v>
      </c>
      <c r="D621" t="s">
        <v>1532</v>
      </c>
      <c r="E621" t="s">
        <v>1533</v>
      </c>
      <c r="F621" t="s">
        <v>1534</v>
      </c>
      <c r="G621" t="s">
        <v>271</v>
      </c>
      <c r="H621" t="s">
        <v>254</v>
      </c>
      <c r="I621">
        <v>2019</v>
      </c>
      <c r="J621">
        <v>26</v>
      </c>
      <c r="K621" t="s">
        <v>1535</v>
      </c>
      <c r="M621" t="str">
        <f t="shared" si="686"/>
        <v>Faraca_2019</v>
      </c>
      <c r="N621" t="s">
        <v>222</v>
      </c>
      <c r="O621" s="145" t="s">
        <v>274</v>
      </c>
      <c r="P621" s="180" t="s">
        <v>223</v>
      </c>
      <c r="Q621" t="s">
        <v>256</v>
      </c>
      <c r="R621" s="262" t="s">
        <v>223</v>
      </c>
      <c r="S621" s="263" t="s">
        <v>3135</v>
      </c>
      <c r="T621" t="s">
        <v>1537</v>
      </c>
      <c r="U621" t="s">
        <v>1548</v>
      </c>
      <c r="V621">
        <v>0</v>
      </c>
      <c r="W621">
        <v>0</v>
      </c>
      <c r="X621">
        <v>0</v>
      </c>
      <c r="Y621">
        <v>0</v>
      </c>
      <c r="Z621">
        <v>0</v>
      </c>
      <c r="AA621">
        <v>0</v>
      </c>
      <c r="AB621">
        <v>0</v>
      </c>
      <c r="AC621">
        <v>0</v>
      </c>
      <c r="AD621">
        <v>0</v>
      </c>
      <c r="AE621">
        <v>0</v>
      </c>
      <c r="AF621">
        <v>0</v>
      </c>
      <c r="AG621">
        <v>1</v>
      </c>
      <c r="AH621">
        <v>0</v>
      </c>
      <c r="AI621">
        <v>0</v>
      </c>
      <c r="AJ621">
        <v>0</v>
      </c>
      <c r="AK621">
        <v>0</v>
      </c>
      <c r="AL621">
        <v>0</v>
      </c>
      <c r="AM621">
        <v>0</v>
      </c>
      <c r="AN621">
        <v>0</v>
      </c>
      <c r="AO621">
        <v>0</v>
      </c>
      <c r="AP621">
        <v>0</v>
      </c>
      <c r="AQ621">
        <v>0</v>
      </c>
      <c r="AR621">
        <v>0</v>
      </c>
      <c r="AS621">
        <v>0</v>
      </c>
      <c r="AT621">
        <v>0</v>
      </c>
      <c r="AU621">
        <v>0</v>
      </c>
      <c r="AV621">
        <v>0</v>
      </c>
      <c r="AW621">
        <v>0</v>
      </c>
      <c r="AX621" s="141">
        <f t="shared" si="694"/>
        <v>1</v>
      </c>
      <c r="AY621" s="141">
        <f t="shared" si="695"/>
        <v>1</v>
      </c>
      <c r="AZ621">
        <f t="shared" si="696"/>
        <v>0</v>
      </c>
      <c r="BA621">
        <f t="shared" si="697"/>
        <v>1</v>
      </c>
      <c r="BB621">
        <f t="shared" si="698"/>
        <v>0</v>
      </c>
      <c r="BC621">
        <f t="shared" si="699"/>
        <v>0</v>
      </c>
      <c r="BD621">
        <f t="shared" si="700"/>
        <v>0</v>
      </c>
      <c r="BE621" t="str">
        <f t="array" ref="BE621">IF(AY621=1,INDEX($V$7:$AL$7,MATCH(TRUE,INDEX($V621:$AW621&lt;&gt;0,),0)),IF(AY621=0,INDEX($AM$7:$AW$7,MATCH(1,$AM621:$AW621,0)),IF(BF621="Multiple strategies","mixed drivers",IF(BF621="Supply chain","multiple supply","multiple silviculture"))))</f>
        <v>recycling</v>
      </c>
      <c r="BF621" s="2" t="str" cm="1">
        <f t="array" ref="BF621">IF(COUNTIF(AZ621:BB621,"&lt;&gt;0")=1,INDEX($V$4:$AW$4,MATCH(TRUE,INDEX($V621:$AW621&lt;&gt;0,),0)),IF(COUNTIF(AZ621:BB621,"&lt;&gt;0")=0,INDEX($AM$4:$AW$4,MATCH(1,$AM621:$AW621,0)),"Multiple strategies"))</f>
        <v>Supply chain</v>
      </c>
      <c r="BG621" s="1" t="s">
        <v>229</v>
      </c>
      <c r="BH621" t="s">
        <v>1547</v>
      </c>
      <c r="BI621" s="264" t="s">
        <v>3120</v>
      </c>
      <c r="BJ621" t="s">
        <v>345</v>
      </c>
      <c r="BK621">
        <v>922</v>
      </c>
      <c r="BL621">
        <f>922+519+281+121</f>
        <v>1843</v>
      </c>
      <c r="BM621">
        <v>1.9989154013015185</v>
      </c>
      <c r="BN621">
        <f t="shared" si="701"/>
        <v>921</v>
      </c>
      <c r="BO621">
        <f t="shared" si="702"/>
        <v>1.879591836734694</v>
      </c>
      <c r="BP621" s="264" t="s">
        <v>395</v>
      </c>
      <c r="BQ621" t="s">
        <v>426</v>
      </c>
      <c r="BR621" t="s">
        <v>728</v>
      </c>
      <c r="BS621">
        <v>-16.899999999999999</v>
      </c>
      <c r="BT621">
        <v>81.400000000000006</v>
      </c>
      <c r="BU621" s="144"/>
      <c r="BV621">
        <f t="shared" si="726"/>
        <v>98.300000000000011</v>
      </c>
      <c r="BX621">
        <f t="shared" si="704"/>
        <v>9.8300000000000012E-2</v>
      </c>
      <c r="BY621">
        <f t="shared" si="727"/>
        <v>5.2298588490770903E-2</v>
      </c>
      <c r="BZ621">
        <v>0</v>
      </c>
      <c r="CA621">
        <v>0</v>
      </c>
      <c r="CB621">
        <v>0</v>
      </c>
      <c r="CC621">
        <v>0</v>
      </c>
      <c r="CD621">
        <v>0</v>
      </c>
      <c r="CE621">
        <v>0</v>
      </c>
      <c r="CF621">
        <v>0</v>
      </c>
      <c r="CG621">
        <v>0</v>
      </c>
      <c r="CH621">
        <v>0</v>
      </c>
      <c r="CI621">
        <v>0</v>
      </c>
      <c r="CJ621">
        <v>0</v>
      </c>
      <c r="CK621">
        <v>0</v>
      </c>
      <c r="CL621">
        <v>0</v>
      </c>
      <c r="CM621">
        <v>0</v>
      </c>
      <c r="CN621" t="str">
        <f t="shared" si="705"/>
        <v>refOK</v>
      </c>
      <c r="CO621">
        <f t="shared" ref="CO621:CO627" si="729">IF($CN621="refNeedCorrection",BL621,BK621)</f>
        <v>922</v>
      </c>
      <c r="CP621">
        <f t="shared" ref="CP621:CP627" si="730">IF($CN621="refNeedCorrection",BK621,BL621)</f>
        <v>1843</v>
      </c>
      <c r="CQ621">
        <f t="shared" si="708"/>
        <v>1.879591836734694</v>
      </c>
      <c r="CR621">
        <f t="shared" si="709"/>
        <v>16.899999999999999</v>
      </c>
      <c r="CS621">
        <f>IF($CN621="refOK",$BS621,#REF!)*IF($BP621="Emissions positive",-1,1)</f>
        <v>16.899999999999999</v>
      </c>
      <c r="CT621">
        <f t="shared" si="711"/>
        <v>-9.8300000000000012E-2</v>
      </c>
      <c r="CU621">
        <f t="shared" si="712"/>
        <v>-5.2298588490770903E-2</v>
      </c>
      <c r="CV621" s="2">
        <f t="shared" si="713"/>
        <v>0</v>
      </c>
      <c r="CW621" s="1" t="s">
        <v>1198</v>
      </c>
      <c r="CX621" t="str">
        <f t="shared" si="714"/>
        <v>reg</v>
      </c>
      <c r="CY621" t="s">
        <v>1539</v>
      </c>
      <c r="DB621">
        <v>500</v>
      </c>
      <c r="DC621" t="str">
        <f t="shared" si="715"/>
        <v>+100</v>
      </c>
      <c r="DD621">
        <v>0</v>
      </c>
      <c r="DE621">
        <v>0</v>
      </c>
      <c r="DF621">
        <v>0</v>
      </c>
      <c r="DG621">
        <v>1</v>
      </c>
      <c r="DI621">
        <f t="shared" si="716"/>
        <v>1</v>
      </c>
      <c r="DJ621" t="str">
        <f t="shared" si="717"/>
        <v>TimberInput</v>
      </c>
      <c r="DK621">
        <f t="shared" si="718"/>
        <v>0</v>
      </c>
      <c r="DL621">
        <f t="shared" si="719"/>
        <v>0</v>
      </c>
      <c r="DM621">
        <f t="shared" si="720"/>
        <v>0</v>
      </c>
      <c r="DN621" t="str">
        <f t="shared" si="721"/>
        <v>Timber</v>
      </c>
      <c r="DO621">
        <v>0</v>
      </c>
      <c r="DP621">
        <v>0</v>
      </c>
      <c r="DQ621">
        <v>0</v>
      </c>
      <c r="DR621">
        <v>0</v>
      </c>
      <c r="DS621">
        <v>0</v>
      </c>
      <c r="DT621">
        <f t="shared" si="722"/>
        <v>0</v>
      </c>
      <c r="DU621" s="143" t="str">
        <f t="shared" si="723"/>
        <v>explicit C balance</v>
      </c>
      <c r="DV621">
        <v>0</v>
      </c>
      <c r="DW621">
        <v>0</v>
      </c>
      <c r="DX621">
        <v>0</v>
      </c>
      <c r="DY621">
        <v>0</v>
      </c>
      <c r="DZ621">
        <v>1</v>
      </c>
      <c r="EA621" s="143">
        <v>1</v>
      </c>
      <c r="EB621">
        <v>0</v>
      </c>
      <c r="EC621">
        <v>1</v>
      </c>
      <c r="ED621">
        <v>0</v>
      </c>
      <c r="EE621">
        <v>1</v>
      </c>
      <c r="EF621">
        <v>1</v>
      </c>
      <c r="EG621">
        <v>1</v>
      </c>
      <c r="EH621">
        <v>0</v>
      </c>
      <c r="EI621" s="2">
        <v>0</v>
      </c>
      <c r="EK621" t="str">
        <f t="shared" si="724"/>
        <v/>
      </c>
      <c r="EL621" t="str">
        <f t="shared" si="725"/>
        <v/>
      </c>
      <c r="EM621" s="2" t="str">
        <f t="shared" si="728"/>
        <v>Technology approach</v>
      </c>
      <c r="EP621" t="str">
        <f>IF(ISNUMBER(BU621),IF(ABS(BU621-[3]QC_indicators!$B$2)&gt;3*[3]QC_indicators!$C$2,"C ratio",IF(ISNUMBER(BY621),IF(ABS(BY621-[3]QC_indicators!$B$1)&gt;3*[3]QC_indicators!$C$1,"DF","no"))),IF(ISNUMBER(BY621),IF(ABS(BY621-[3]QC_indicators!$B$1)&gt;3*[3]QC_indicators!$C$1,"DF","no")))</f>
        <v>no</v>
      </c>
      <c r="ET621" s="264" t="s">
        <v>3272</v>
      </c>
    </row>
    <row r="622" spans="1:150" ht="15" hidden="1" customHeight="1">
      <c r="A622" s="1" t="s">
        <v>265</v>
      </c>
      <c r="B622" t="s">
        <v>1530</v>
      </c>
      <c r="C622" t="s">
        <v>1531</v>
      </c>
      <c r="D622" t="s">
        <v>1532</v>
      </c>
      <c r="E622" t="s">
        <v>1533</v>
      </c>
      <c r="F622" t="s">
        <v>1534</v>
      </c>
      <c r="G622" t="s">
        <v>271</v>
      </c>
      <c r="H622" t="s">
        <v>254</v>
      </c>
      <c r="I622">
        <v>2019</v>
      </c>
      <c r="J622">
        <v>26</v>
      </c>
      <c r="K622" t="s">
        <v>1535</v>
      </c>
      <c r="M622" t="str">
        <f t="shared" si="686"/>
        <v>Faraca_2019</v>
      </c>
      <c r="N622" t="s">
        <v>222</v>
      </c>
      <c r="O622" s="145" t="s">
        <v>274</v>
      </c>
      <c r="P622" s="180" t="s">
        <v>223</v>
      </c>
      <c r="Q622" t="s">
        <v>256</v>
      </c>
      <c r="R622" s="262" t="s">
        <v>223</v>
      </c>
      <c r="S622" s="1" t="s">
        <v>1541</v>
      </c>
      <c r="T622" t="s">
        <v>1542</v>
      </c>
      <c r="U622" t="s">
        <v>1544</v>
      </c>
      <c r="V622">
        <v>0</v>
      </c>
      <c r="W622">
        <v>0</v>
      </c>
      <c r="X622">
        <v>0</v>
      </c>
      <c r="Y622">
        <v>0</v>
      </c>
      <c r="Z622">
        <v>0</v>
      </c>
      <c r="AA622">
        <v>0</v>
      </c>
      <c r="AB622">
        <v>0</v>
      </c>
      <c r="AC622">
        <v>0</v>
      </c>
      <c r="AD622">
        <v>0</v>
      </c>
      <c r="AE622">
        <v>0</v>
      </c>
      <c r="AF622">
        <v>0</v>
      </c>
      <c r="AG622">
        <v>0</v>
      </c>
      <c r="AH622">
        <v>0</v>
      </c>
      <c r="AI622">
        <v>1</v>
      </c>
      <c r="AJ622">
        <v>0</v>
      </c>
      <c r="AK622">
        <v>0</v>
      </c>
      <c r="AL622">
        <v>0</v>
      </c>
      <c r="AM622">
        <v>0</v>
      </c>
      <c r="AN622">
        <v>0</v>
      </c>
      <c r="AO622">
        <v>0</v>
      </c>
      <c r="AP622">
        <v>0</v>
      </c>
      <c r="AQ622">
        <v>0</v>
      </c>
      <c r="AR622">
        <v>0</v>
      </c>
      <c r="AS622">
        <v>0</v>
      </c>
      <c r="AT622">
        <v>0</v>
      </c>
      <c r="AU622">
        <v>0</v>
      </c>
      <c r="AV622">
        <v>0</v>
      </c>
      <c r="AW622">
        <v>0</v>
      </c>
      <c r="AX622" s="141">
        <f t="shared" si="694"/>
        <v>1</v>
      </c>
      <c r="AY622" s="141">
        <f t="shared" si="695"/>
        <v>1</v>
      </c>
      <c r="AZ622">
        <f t="shared" si="696"/>
        <v>0</v>
      </c>
      <c r="BA622">
        <f t="shared" si="697"/>
        <v>1</v>
      </c>
      <c r="BB622">
        <f t="shared" si="698"/>
        <v>0</v>
      </c>
      <c r="BC622">
        <f t="shared" si="699"/>
        <v>0</v>
      </c>
      <c r="BD622">
        <f t="shared" si="700"/>
        <v>0</v>
      </c>
      <c r="BE622" t="str">
        <f t="array" ref="BE622">IF(AY622=1,INDEX($V$7:$AL$7,MATCH(TRUE,INDEX($V622:$AW622&lt;&gt;0,),0)),IF(AY622=0,INDEX($AM$7:$AW$7,MATCH(1,$AM622:$AW622,0)),IF(BF622="Multiple strategies","mixed drivers",IF(BF622="Supply chain","multiple supply","multiple silviculture"))))</f>
        <v>products lifespan</v>
      </c>
      <c r="BF622" s="2" t="str" cm="1">
        <f t="array" ref="BF622">IF(COUNTIF(AZ622:BB622,"&lt;&gt;0")=1,INDEX($V$4:$AW$4,MATCH(TRUE,INDEX($V622:$AW622&lt;&gt;0,),0)),IF(COUNTIF(AZ622:BB622,"&lt;&gt;0")=0,INDEX($AM$4:$AW$4,MATCH(1,$AM622:$AW622,0)),"Multiple strategies"))</f>
        <v>Supply chain</v>
      </c>
      <c r="BG622" s="1" t="s">
        <v>229</v>
      </c>
      <c r="BH622" t="s">
        <v>1547</v>
      </c>
      <c r="BI622" s="264" t="s">
        <v>3120</v>
      </c>
      <c r="BJ622" t="s">
        <v>345</v>
      </c>
      <c r="BK622">
        <v>478</v>
      </c>
      <c r="BL622">
        <v>922</v>
      </c>
      <c r="BM622">
        <f>BK622/BL622</f>
        <v>0.51843817787418656</v>
      </c>
      <c r="BN622">
        <f t="shared" si="701"/>
        <v>444</v>
      </c>
      <c r="BO622">
        <f t="shared" si="702"/>
        <v>0.90612244897959193</v>
      </c>
      <c r="BP622" t="s">
        <v>395</v>
      </c>
      <c r="BQ622" s="264" t="s">
        <v>429</v>
      </c>
      <c r="BR622" t="s">
        <v>728</v>
      </c>
      <c r="BS622">
        <v>-520.70000000000005</v>
      </c>
      <c r="BT622">
        <v>-462.1</v>
      </c>
      <c r="BU622" s="144">
        <f>IFERROR(BS622/BT622,"")</f>
        <v>1.1268123782731012</v>
      </c>
      <c r="BV622">
        <f t="shared" si="726"/>
        <v>58.600000000000023</v>
      </c>
      <c r="BX622">
        <f t="shared" si="704"/>
        <v>5.860000000000002E-2</v>
      </c>
      <c r="BY622">
        <f t="shared" si="727"/>
        <v>6.4671171171171188E-2</v>
      </c>
      <c r="BZ622">
        <v>0</v>
      </c>
      <c r="CA622">
        <v>0</v>
      </c>
      <c r="CB622">
        <v>0</v>
      </c>
      <c r="CC622">
        <v>0</v>
      </c>
      <c r="CD622">
        <v>0</v>
      </c>
      <c r="CE622">
        <v>0</v>
      </c>
      <c r="CF622">
        <v>0</v>
      </c>
      <c r="CG622">
        <v>0</v>
      </c>
      <c r="CH622">
        <v>0</v>
      </c>
      <c r="CI622">
        <v>0</v>
      </c>
      <c r="CJ622">
        <v>0</v>
      </c>
      <c r="CK622">
        <v>0</v>
      </c>
      <c r="CL622">
        <v>0</v>
      </c>
      <c r="CM622">
        <v>0</v>
      </c>
      <c r="CN622" t="str">
        <f t="shared" si="705"/>
        <v>refOK</v>
      </c>
      <c r="CO622">
        <f t="shared" si="729"/>
        <v>478</v>
      </c>
      <c r="CP622">
        <f t="shared" si="730"/>
        <v>922</v>
      </c>
      <c r="CQ622">
        <f t="shared" si="708"/>
        <v>0.90612244897959193</v>
      </c>
      <c r="CR622">
        <f t="shared" si="709"/>
        <v>520.70000000000005</v>
      </c>
      <c r="CS622">
        <f t="shared" ref="CS622:CS635" si="731">IF($CN622="refOK",$BT622,$BS622)*IF($BP622="Emissions positive",-1,1)</f>
        <v>462.1</v>
      </c>
      <c r="CT622">
        <f t="shared" si="711"/>
        <v>-5.860000000000002E-2</v>
      </c>
      <c r="CU622">
        <f t="shared" si="712"/>
        <v>-6.4671171171171188E-2</v>
      </c>
      <c r="CV622" s="2">
        <f t="shared" si="713"/>
        <v>-0.11254081044747459</v>
      </c>
      <c r="CW622" s="1" t="s">
        <v>1198</v>
      </c>
      <c r="CX622" t="str">
        <f t="shared" si="714"/>
        <v>reg</v>
      </c>
      <c r="CY622" t="s">
        <v>1539</v>
      </c>
      <c r="DB622">
        <v>500</v>
      </c>
      <c r="DC622" t="str">
        <f t="shared" si="715"/>
        <v>+100</v>
      </c>
      <c r="DD622">
        <v>0</v>
      </c>
      <c r="DE622">
        <v>0</v>
      </c>
      <c r="DF622">
        <v>0</v>
      </c>
      <c r="DG622">
        <v>1</v>
      </c>
      <c r="DI622">
        <f t="shared" si="716"/>
        <v>1</v>
      </c>
      <c r="DJ622" t="str">
        <f t="shared" si="717"/>
        <v>TimberInput</v>
      </c>
      <c r="DK622">
        <f t="shared" si="718"/>
        <v>0</v>
      </c>
      <c r="DL622">
        <f t="shared" si="719"/>
        <v>0</v>
      </c>
      <c r="DM622">
        <f t="shared" si="720"/>
        <v>0</v>
      </c>
      <c r="DN622" t="str">
        <f t="shared" si="721"/>
        <v>Timber</v>
      </c>
      <c r="DO622">
        <v>0</v>
      </c>
      <c r="DP622">
        <v>1</v>
      </c>
      <c r="DQ622">
        <v>0</v>
      </c>
      <c r="DR622">
        <v>0</v>
      </c>
      <c r="DS622" t="s">
        <v>1540</v>
      </c>
      <c r="DT622">
        <f t="shared" si="722"/>
        <v>1</v>
      </c>
      <c r="DU622" s="143" t="str">
        <f t="shared" si="723"/>
        <v>external DF used</v>
      </c>
      <c r="DV622">
        <v>0</v>
      </c>
      <c r="DW622">
        <v>0</v>
      </c>
      <c r="DX622">
        <v>0</v>
      </c>
      <c r="DY622">
        <v>0</v>
      </c>
      <c r="DZ622">
        <v>1</v>
      </c>
      <c r="EA622" s="143">
        <v>1</v>
      </c>
      <c r="EB622">
        <v>0</v>
      </c>
      <c r="EC622">
        <v>1</v>
      </c>
      <c r="ED622">
        <v>0</v>
      </c>
      <c r="EE622">
        <v>1</v>
      </c>
      <c r="EF622">
        <v>1</v>
      </c>
      <c r="EG622">
        <v>1</v>
      </c>
      <c r="EH622">
        <v>1</v>
      </c>
      <c r="EI622" s="2">
        <v>0</v>
      </c>
      <c r="EK622" t="str">
        <f t="shared" si="724"/>
        <v/>
      </c>
      <c r="EL622" t="str">
        <f t="shared" si="725"/>
        <v/>
      </c>
      <c r="EM622" s="2" t="str">
        <f t="shared" si="728"/>
        <v>Technology approach</v>
      </c>
      <c r="EP622" t="str">
        <f>IF(ISNUMBER(BU622),IF(ABS(BU622-[3]QC_indicators!$B$2)&gt;3*[3]QC_indicators!$C$2,"C ratio",IF(ISNUMBER(BY622),IF(ABS(BY622-[3]QC_indicators!$B$1)&gt;3*[3]QC_indicators!$C$1,"DF","no"))),IF(ISNUMBER(BY622),IF(ABS(BY622-[3]QC_indicators!$B$1)&gt;3*[3]QC_indicators!$C$1,"DF","no")))</f>
        <v>no</v>
      </c>
      <c r="ET622" s="264" t="s">
        <v>3272</v>
      </c>
    </row>
    <row r="623" spans="1:150" ht="15" hidden="1" customHeight="1">
      <c r="A623" s="1" t="s">
        <v>265</v>
      </c>
      <c r="B623" t="s">
        <v>1530</v>
      </c>
      <c r="C623" t="s">
        <v>1531</v>
      </c>
      <c r="D623" t="s">
        <v>1532</v>
      </c>
      <c r="E623" t="s">
        <v>1533</v>
      </c>
      <c r="F623" t="s">
        <v>1534</v>
      </c>
      <c r="G623" t="s">
        <v>271</v>
      </c>
      <c r="H623" t="s">
        <v>254</v>
      </c>
      <c r="I623">
        <v>2019</v>
      </c>
      <c r="J623">
        <v>26</v>
      </c>
      <c r="K623" t="s">
        <v>1535</v>
      </c>
      <c r="M623" t="str">
        <f t="shared" si="686"/>
        <v>Faraca_2019</v>
      </c>
      <c r="N623" t="s">
        <v>222</v>
      </c>
      <c r="O623" s="145" t="s">
        <v>274</v>
      </c>
      <c r="P623" s="180" t="s">
        <v>223</v>
      </c>
      <c r="Q623" t="s">
        <v>256</v>
      </c>
      <c r="R623" s="262" t="s">
        <v>223</v>
      </c>
      <c r="S623" s="263" t="s">
        <v>3135</v>
      </c>
      <c r="T623" t="s">
        <v>968</v>
      </c>
      <c r="U623" t="s">
        <v>1546</v>
      </c>
      <c r="V623">
        <v>0</v>
      </c>
      <c r="W623">
        <v>0</v>
      </c>
      <c r="X623">
        <v>0</v>
      </c>
      <c r="Y623">
        <v>0</v>
      </c>
      <c r="Z623">
        <v>0</v>
      </c>
      <c r="AA623">
        <v>0</v>
      </c>
      <c r="AB623">
        <v>0</v>
      </c>
      <c r="AC623">
        <v>0</v>
      </c>
      <c r="AD623">
        <v>0</v>
      </c>
      <c r="AE623">
        <v>0</v>
      </c>
      <c r="AF623">
        <v>0</v>
      </c>
      <c r="AG623">
        <v>1</v>
      </c>
      <c r="AH623">
        <v>0</v>
      </c>
      <c r="AI623">
        <v>0</v>
      </c>
      <c r="AJ623">
        <v>0</v>
      </c>
      <c r="AK623">
        <v>0</v>
      </c>
      <c r="AL623">
        <v>0</v>
      </c>
      <c r="AM623">
        <v>0</v>
      </c>
      <c r="AN623">
        <v>0</v>
      </c>
      <c r="AO623">
        <v>0</v>
      </c>
      <c r="AP623">
        <v>0</v>
      </c>
      <c r="AQ623">
        <v>0</v>
      </c>
      <c r="AR623">
        <v>0</v>
      </c>
      <c r="AS623">
        <v>0</v>
      </c>
      <c r="AT623">
        <v>0</v>
      </c>
      <c r="AU623">
        <v>0</v>
      </c>
      <c r="AV623">
        <v>0</v>
      </c>
      <c r="AW623">
        <v>0</v>
      </c>
      <c r="AX623" s="141">
        <f t="shared" si="694"/>
        <v>1</v>
      </c>
      <c r="AY623" s="141">
        <f t="shared" si="695"/>
        <v>1</v>
      </c>
      <c r="AZ623">
        <f t="shared" si="696"/>
        <v>0</v>
      </c>
      <c r="BA623">
        <f t="shared" si="697"/>
        <v>1</v>
      </c>
      <c r="BB623">
        <f t="shared" si="698"/>
        <v>0</v>
      </c>
      <c r="BC623">
        <f t="shared" si="699"/>
        <v>0</v>
      </c>
      <c r="BD623">
        <f t="shared" si="700"/>
        <v>0</v>
      </c>
      <c r="BE623" t="str">
        <f t="array" ref="BE623">IF(AY623=1,INDEX($V$7:$AL$7,MATCH(TRUE,INDEX($V623:$AW623&lt;&gt;0,),0)),IF(AY623=0,INDEX($AM$7:$AW$7,MATCH(1,$AM623:$AW623,0)),IF(BF623="Multiple strategies","mixed drivers",IF(BF623="Supply chain","multiple supply","multiple silviculture"))))</f>
        <v>recycling</v>
      </c>
      <c r="BF623" s="2" t="str" cm="1">
        <f t="array" ref="BF623">IF(COUNTIF(AZ623:BB623,"&lt;&gt;0")=1,INDEX($V$4:$AW$4,MATCH(TRUE,INDEX($V623:$AW623&lt;&gt;0,),0)),IF(COUNTIF(AZ623:BB623,"&lt;&gt;0")=0,INDEX($AM$4:$AW$4,MATCH(1,$AM623:$AW623,0)),"Multiple strategies"))</f>
        <v>Supply chain</v>
      </c>
      <c r="BG623" s="1" t="s">
        <v>229</v>
      </c>
      <c r="BH623" t="s">
        <v>1547</v>
      </c>
      <c r="BI623" t="s">
        <v>1538</v>
      </c>
      <c r="BJ623" t="s">
        <v>345</v>
      </c>
      <c r="BK623">
        <v>636</v>
      </c>
      <c r="BL623">
        <f>638+378+212+115</f>
        <v>1343</v>
      </c>
      <c r="BM623">
        <v>2.108490566037736</v>
      </c>
      <c r="BN623">
        <f t="shared" si="701"/>
        <v>707</v>
      </c>
      <c r="BO623">
        <f t="shared" si="702"/>
        <v>1.4428571428571431</v>
      </c>
      <c r="BP623" s="264" t="s">
        <v>395</v>
      </c>
      <c r="BQ623" t="s">
        <v>426</v>
      </c>
      <c r="BR623" t="s">
        <v>728</v>
      </c>
      <c r="BS623">
        <v>-84.7</v>
      </c>
      <c r="BT623">
        <v>10.199999999999999</v>
      </c>
      <c r="BU623" s="144"/>
      <c r="BV623">
        <f t="shared" si="726"/>
        <v>94.9</v>
      </c>
      <c r="BX623">
        <f t="shared" si="704"/>
        <v>9.4900000000000012E-2</v>
      </c>
      <c r="BY623">
        <f t="shared" si="727"/>
        <v>6.5772277227722775E-2</v>
      </c>
      <c r="BZ623">
        <v>0</v>
      </c>
      <c r="CA623">
        <v>0</v>
      </c>
      <c r="CB623">
        <v>0</v>
      </c>
      <c r="CC623">
        <v>0</v>
      </c>
      <c r="CD623">
        <v>0</v>
      </c>
      <c r="CE623">
        <v>0</v>
      </c>
      <c r="CF623">
        <v>0</v>
      </c>
      <c r="CG623">
        <v>0</v>
      </c>
      <c r="CH623">
        <v>0</v>
      </c>
      <c r="CI623">
        <v>0</v>
      </c>
      <c r="CJ623">
        <v>0</v>
      </c>
      <c r="CK623">
        <v>0</v>
      </c>
      <c r="CL623">
        <v>0</v>
      </c>
      <c r="CM623">
        <v>0</v>
      </c>
      <c r="CN623" t="str">
        <f t="shared" si="705"/>
        <v>refOK</v>
      </c>
      <c r="CO623">
        <f t="shared" si="729"/>
        <v>636</v>
      </c>
      <c r="CP623">
        <f t="shared" si="730"/>
        <v>1343</v>
      </c>
      <c r="CQ623">
        <f t="shared" si="708"/>
        <v>1.4428571428571431</v>
      </c>
      <c r="CR623">
        <f t="shared" si="709"/>
        <v>84.7</v>
      </c>
      <c r="CS623">
        <f t="shared" si="731"/>
        <v>-10.199999999999999</v>
      </c>
      <c r="CT623">
        <f t="shared" si="711"/>
        <v>-9.4900000000000012E-2</v>
      </c>
      <c r="CU623">
        <f t="shared" si="712"/>
        <v>-6.5772277227722775E-2</v>
      </c>
      <c r="CV623" s="2">
        <f t="shared" si="713"/>
        <v>-1.1204250295159386</v>
      </c>
      <c r="CW623" s="1" t="s">
        <v>1198</v>
      </c>
      <c r="CX623" t="str">
        <f t="shared" si="714"/>
        <v>reg</v>
      </c>
      <c r="CY623" t="s">
        <v>1539</v>
      </c>
      <c r="DB623">
        <v>500</v>
      </c>
      <c r="DC623" t="str">
        <f t="shared" si="715"/>
        <v>+100</v>
      </c>
      <c r="DD623">
        <v>0</v>
      </c>
      <c r="DE623">
        <v>0</v>
      </c>
      <c r="DF623">
        <v>0</v>
      </c>
      <c r="DG623">
        <v>1</v>
      </c>
      <c r="DI623">
        <f t="shared" si="716"/>
        <v>1</v>
      </c>
      <c r="DJ623" t="str">
        <f t="shared" si="717"/>
        <v>TimberInput</v>
      </c>
      <c r="DK623">
        <f t="shared" si="718"/>
        <v>0</v>
      </c>
      <c r="DL623">
        <f t="shared" si="719"/>
        <v>0</v>
      </c>
      <c r="DM623">
        <f t="shared" si="720"/>
        <v>0</v>
      </c>
      <c r="DN623" t="str">
        <f t="shared" si="721"/>
        <v>Timber</v>
      </c>
      <c r="DO623">
        <v>0</v>
      </c>
      <c r="DP623">
        <v>0</v>
      </c>
      <c r="DQ623">
        <v>0</v>
      </c>
      <c r="DR623">
        <v>0</v>
      </c>
      <c r="DS623">
        <v>0</v>
      </c>
      <c r="DT623">
        <f t="shared" si="722"/>
        <v>0</v>
      </c>
      <c r="DU623" s="143" t="str">
        <f t="shared" si="723"/>
        <v>explicit C balance</v>
      </c>
      <c r="DV623">
        <v>0</v>
      </c>
      <c r="DW623">
        <v>0</v>
      </c>
      <c r="DX623">
        <v>0</v>
      </c>
      <c r="DY623">
        <v>0</v>
      </c>
      <c r="DZ623">
        <v>1</v>
      </c>
      <c r="EA623" s="143">
        <v>1</v>
      </c>
      <c r="EB623">
        <v>0</v>
      </c>
      <c r="EC623">
        <v>1</v>
      </c>
      <c r="ED623">
        <v>0</v>
      </c>
      <c r="EE623">
        <v>1</v>
      </c>
      <c r="EF623">
        <v>1</v>
      </c>
      <c r="EG623">
        <v>1</v>
      </c>
      <c r="EH623">
        <v>0</v>
      </c>
      <c r="EI623" s="2">
        <v>0</v>
      </c>
      <c r="EK623" t="str">
        <f t="shared" si="724"/>
        <v/>
      </c>
      <c r="EL623" t="str">
        <f t="shared" si="725"/>
        <v/>
      </c>
      <c r="EM623" s="2" t="str">
        <f t="shared" si="728"/>
        <v>Technology approach</v>
      </c>
      <c r="EP623" t="str">
        <f>IF(ISNUMBER(BU623),IF(ABS(BU623-[3]QC_indicators!$B$2)&gt;3*[3]QC_indicators!$C$2,"C ratio",IF(ISNUMBER(BY623),IF(ABS(BY623-[3]QC_indicators!$B$1)&gt;3*[3]QC_indicators!$C$1,"DF","no"))),IF(ISNUMBER(BY623),IF(ABS(BY623-[3]QC_indicators!$B$1)&gt;3*[3]QC_indicators!$C$1,"DF","no")))</f>
        <v>no</v>
      </c>
      <c r="ET623" s="264" t="s">
        <v>3272</v>
      </c>
    </row>
    <row r="624" spans="1:150" ht="15" hidden="1" customHeight="1">
      <c r="A624" s="1" t="s">
        <v>265</v>
      </c>
      <c r="B624" t="s">
        <v>1530</v>
      </c>
      <c r="C624" t="s">
        <v>1531</v>
      </c>
      <c r="D624" t="s">
        <v>1532</v>
      </c>
      <c r="E624" t="s">
        <v>1533</v>
      </c>
      <c r="F624" t="s">
        <v>1534</v>
      </c>
      <c r="G624" t="s">
        <v>271</v>
      </c>
      <c r="H624" t="s">
        <v>254</v>
      </c>
      <c r="I624">
        <v>2019</v>
      </c>
      <c r="J624">
        <v>26</v>
      </c>
      <c r="K624" t="s">
        <v>1535</v>
      </c>
      <c r="M624" t="str">
        <f t="shared" si="686"/>
        <v>Faraca_2019</v>
      </c>
      <c r="N624" t="s">
        <v>222</v>
      </c>
      <c r="O624" s="145" t="s">
        <v>274</v>
      </c>
      <c r="P624" s="180" t="s">
        <v>223</v>
      </c>
      <c r="Q624" t="s">
        <v>256</v>
      </c>
      <c r="R624" s="262" t="s">
        <v>223</v>
      </c>
      <c r="S624" s="1" t="s">
        <v>1541</v>
      </c>
      <c r="T624" s="264" t="s">
        <v>3126</v>
      </c>
      <c r="U624" s="264" t="s">
        <v>3128</v>
      </c>
      <c r="V624">
        <v>0</v>
      </c>
      <c r="W624">
        <v>0</v>
      </c>
      <c r="X624">
        <v>0</v>
      </c>
      <c r="Y624">
        <v>0</v>
      </c>
      <c r="Z624">
        <v>0</v>
      </c>
      <c r="AA624">
        <v>0</v>
      </c>
      <c r="AB624">
        <v>0</v>
      </c>
      <c r="AC624">
        <v>0</v>
      </c>
      <c r="AD624">
        <v>0</v>
      </c>
      <c r="AE624">
        <v>0</v>
      </c>
      <c r="AF624">
        <v>0</v>
      </c>
      <c r="AG624">
        <v>0</v>
      </c>
      <c r="AH624">
        <v>0</v>
      </c>
      <c r="AI624">
        <v>1</v>
      </c>
      <c r="AJ624">
        <v>0</v>
      </c>
      <c r="AK624">
        <v>0</v>
      </c>
      <c r="AL624">
        <v>0</v>
      </c>
      <c r="AM624">
        <v>0</v>
      </c>
      <c r="AN624">
        <v>0</v>
      </c>
      <c r="AO624">
        <v>0</v>
      </c>
      <c r="AP624">
        <v>0</v>
      </c>
      <c r="AQ624">
        <v>0</v>
      </c>
      <c r="AR624">
        <v>0</v>
      </c>
      <c r="AS624">
        <v>0</v>
      </c>
      <c r="AT624">
        <v>0</v>
      </c>
      <c r="AU624">
        <v>0</v>
      </c>
      <c r="AV624">
        <v>0</v>
      </c>
      <c r="AW624">
        <v>0</v>
      </c>
      <c r="AX624" s="141">
        <f t="shared" si="694"/>
        <v>1</v>
      </c>
      <c r="AY624" s="141">
        <f t="shared" si="695"/>
        <v>1</v>
      </c>
      <c r="AZ624">
        <f t="shared" si="696"/>
        <v>0</v>
      </c>
      <c r="BA624">
        <f t="shared" si="697"/>
        <v>1</v>
      </c>
      <c r="BB624">
        <f t="shared" si="698"/>
        <v>0</v>
      </c>
      <c r="BC624">
        <f t="shared" si="699"/>
        <v>0</v>
      </c>
      <c r="BD624">
        <f t="shared" si="700"/>
        <v>0</v>
      </c>
      <c r="BE624" t="str">
        <f t="array" ref="BE624">IF(AY624=1,INDEX($V$7:$AL$7,MATCH(TRUE,INDEX($V624:$AW624&lt;&gt;0,),0)),IF(AY624=0,INDEX($AM$7:$AW$7,MATCH(1,$AM624:$AW624,0)),IF(BF624="Multiple strategies","mixed drivers",IF(BF624="Supply chain","multiple supply","multiple silviculture"))))</f>
        <v>products lifespan</v>
      </c>
      <c r="BF624" s="2" t="str" cm="1">
        <f t="array" ref="BF624">IF(COUNTIF(AZ624:BB624,"&lt;&gt;0")=1,INDEX($V$4:$AW$4,MATCH(TRUE,INDEX($V624:$AW624&lt;&gt;0,),0)),IF(COUNTIF(AZ624:BB624,"&lt;&gt;0")=0,INDEX($AM$4:$AW$4,MATCH(1,$AM624:$AW624,0)),"Multiple strategies"))</f>
        <v>Supply chain</v>
      </c>
      <c r="BG624" s="1" t="s">
        <v>229</v>
      </c>
      <c r="BH624" t="s">
        <v>1547</v>
      </c>
      <c r="BI624" s="264" t="s">
        <v>3120</v>
      </c>
      <c r="BJ624" t="s">
        <v>345</v>
      </c>
      <c r="BK624">
        <v>478</v>
      </c>
      <c r="BL624">
        <v>922</v>
      </c>
      <c r="BM624">
        <f>BK624/BL624</f>
        <v>0.51843817787418656</v>
      </c>
      <c r="BN624">
        <f t="shared" si="701"/>
        <v>444</v>
      </c>
      <c r="BO624">
        <f t="shared" si="702"/>
        <v>0.90612244897959193</v>
      </c>
      <c r="BP624" t="s">
        <v>395</v>
      </c>
      <c r="BQ624" t="s">
        <v>426</v>
      </c>
      <c r="BR624" t="s">
        <v>728</v>
      </c>
      <c r="BS624">
        <v>115.3</v>
      </c>
      <c r="BT624">
        <v>206.8</v>
      </c>
      <c r="BU624" s="144"/>
      <c r="BV624">
        <f t="shared" si="726"/>
        <v>91.500000000000014</v>
      </c>
      <c r="BX624">
        <f t="shared" si="704"/>
        <v>9.1500000000000012E-2</v>
      </c>
      <c r="BY624">
        <f t="shared" si="727"/>
        <v>0.10097972972972973</v>
      </c>
      <c r="BZ624">
        <v>0</v>
      </c>
      <c r="CA624">
        <v>0</v>
      </c>
      <c r="CB624">
        <v>0</v>
      </c>
      <c r="CC624">
        <v>0</v>
      </c>
      <c r="CD624">
        <v>0</v>
      </c>
      <c r="CE624">
        <v>0</v>
      </c>
      <c r="CF624">
        <v>0</v>
      </c>
      <c r="CG624">
        <v>0</v>
      </c>
      <c r="CH624">
        <v>0</v>
      </c>
      <c r="CI624">
        <v>0</v>
      </c>
      <c r="CJ624">
        <v>0</v>
      </c>
      <c r="CK624">
        <v>0</v>
      </c>
      <c r="CL624">
        <v>0</v>
      </c>
      <c r="CM624">
        <v>0</v>
      </c>
      <c r="CN624" t="str">
        <f t="shared" si="705"/>
        <v>refOK</v>
      </c>
      <c r="CO624">
        <f t="shared" si="729"/>
        <v>478</v>
      </c>
      <c r="CP624">
        <f t="shared" si="730"/>
        <v>922</v>
      </c>
      <c r="CQ624">
        <f t="shared" si="708"/>
        <v>0.90612244897959193</v>
      </c>
      <c r="CR624">
        <f t="shared" si="709"/>
        <v>-115.3</v>
      </c>
      <c r="CS624">
        <f t="shared" si="731"/>
        <v>-206.8</v>
      </c>
      <c r="CT624">
        <f t="shared" si="711"/>
        <v>-9.1500000000000012E-2</v>
      </c>
      <c r="CU624">
        <f t="shared" si="712"/>
        <v>-0.10097972972972973</v>
      </c>
      <c r="CV624" s="2">
        <f t="shared" si="713"/>
        <v>-0.79358196010407644</v>
      </c>
      <c r="CW624" s="1" t="s">
        <v>1198</v>
      </c>
      <c r="CX624" t="str">
        <f t="shared" si="714"/>
        <v>reg</v>
      </c>
      <c r="CY624" t="s">
        <v>1539</v>
      </c>
      <c r="DB624">
        <v>100</v>
      </c>
      <c r="DC624" t="str">
        <f t="shared" si="715"/>
        <v>71-100</v>
      </c>
      <c r="DD624">
        <v>0</v>
      </c>
      <c r="DE624">
        <v>0</v>
      </c>
      <c r="DF624">
        <v>0</v>
      </c>
      <c r="DG624">
        <v>1</v>
      </c>
      <c r="DI624">
        <f t="shared" si="716"/>
        <v>1</v>
      </c>
      <c r="DJ624" t="str">
        <f t="shared" si="717"/>
        <v>TimberInput</v>
      </c>
      <c r="DK624">
        <f t="shared" si="718"/>
        <v>0</v>
      </c>
      <c r="DL624">
        <f t="shared" si="719"/>
        <v>0</v>
      </c>
      <c r="DM624">
        <f t="shared" si="720"/>
        <v>0</v>
      </c>
      <c r="DN624" t="str">
        <f t="shared" si="721"/>
        <v>Timber</v>
      </c>
      <c r="DO624">
        <v>0</v>
      </c>
      <c r="DP624">
        <v>0</v>
      </c>
      <c r="DQ624">
        <v>0</v>
      </c>
      <c r="DR624">
        <v>0</v>
      </c>
      <c r="DS624">
        <v>0</v>
      </c>
      <c r="DT624">
        <f t="shared" si="722"/>
        <v>0</v>
      </c>
      <c r="DU624" s="143" t="str">
        <f t="shared" si="723"/>
        <v>explicit C balance</v>
      </c>
      <c r="DV624">
        <v>0</v>
      </c>
      <c r="DW624">
        <v>0</v>
      </c>
      <c r="DX624">
        <v>0</v>
      </c>
      <c r="DY624">
        <v>0</v>
      </c>
      <c r="DZ624">
        <v>0</v>
      </c>
      <c r="EA624" s="143">
        <v>0</v>
      </c>
      <c r="EB624">
        <v>0</v>
      </c>
      <c r="EC624">
        <v>1</v>
      </c>
      <c r="ED624">
        <v>0</v>
      </c>
      <c r="EE624">
        <v>1</v>
      </c>
      <c r="EF624">
        <v>1</v>
      </c>
      <c r="EG624">
        <v>1</v>
      </c>
      <c r="EH624">
        <v>0</v>
      </c>
      <c r="EI624" s="2">
        <v>0</v>
      </c>
      <c r="EK624" t="str">
        <f t="shared" si="724"/>
        <v/>
      </c>
      <c r="EL624" t="str">
        <f t="shared" si="725"/>
        <v/>
      </c>
      <c r="EM624" s="2" t="str">
        <f t="shared" si="728"/>
        <v>Technology approach</v>
      </c>
      <c r="EP624" t="str">
        <f>IF(ISNUMBER(BU624),IF(ABS(BU624-[3]QC_indicators!$B$2)&gt;3*[3]QC_indicators!$C$2,"C ratio",IF(ISNUMBER(BY624),IF(ABS(BY624-[3]QC_indicators!$B$1)&gt;3*[3]QC_indicators!$C$1,"DF","no"))),IF(ISNUMBER(BY624),IF(ABS(BY624-[3]QC_indicators!$B$1)&gt;3*[3]QC_indicators!$C$1,"DF","no")))</f>
        <v>no</v>
      </c>
      <c r="ET624" s="264" t="s">
        <v>3272</v>
      </c>
    </row>
    <row r="625" spans="1:150" ht="15" hidden="1" customHeight="1">
      <c r="A625" s="1" t="s">
        <v>265</v>
      </c>
      <c r="B625" t="s">
        <v>1530</v>
      </c>
      <c r="C625" t="s">
        <v>1531</v>
      </c>
      <c r="D625" t="s">
        <v>1532</v>
      </c>
      <c r="E625" t="s">
        <v>1533</v>
      </c>
      <c r="F625" t="s">
        <v>1534</v>
      </c>
      <c r="G625" t="s">
        <v>271</v>
      </c>
      <c r="H625" t="s">
        <v>254</v>
      </c>
      <c r="I625">
        <v>2019</v>
      </c>
      <c r="J625">
        <v>26</v>
      </c>
      <c r="K625" t="s">
        <v>1535</v>
      </c>
      <c r="M625" t="str">
        <f t="shared" si="686"/>
        <v>Faraca_2019</v>
      </c>
      <c r="N625" t="s">
        <v>222</v>
      </c>
      <c r="O625" s="145" t="s">
        <v>274</v>
      </c>
      <c r="P625" s="180" t="s">
        <v>223</v>
      </c>
      <c r="Q625" t="s">
        <v>256</v>
      </c>
      <c r="R625" s="262" t="s">
        <v>223</v>
      </c>
      <c r="S625" s="263" t="s">
        <v>3131</v>
      </c>
      <c r="T625" t="s">
        <v>1551</v>
      </c>
      <c r="U625" t="s">
        <v>1537</v>
      </c>
      <c r="V625">
        <v>0</v>
      </c>
      <c r="W625">
        <v>0</v>
      </c>
      <c r="X625">
        <v>0</v>
      </c>
      <c r="Y625">
        <v>0</v>
      </c>
      <c r="Z625">
        <v>0</v>
      </c>
      <c r="AA625">
        <v>0</v>
      </c>
      <c r="AB625">
        <v>0</v>
      </c>
      <c r="AC625">
        <v>0</v>
      </c>
      <c r="AD625">
        <v>0</v>
      </c>
      <c r="AE625">
        <v>0</v>
      </c>
      <c r="AF625">
        <v>1</v>
      </c>
      <c r="AG625">
        <v>0</v>
      </c>
      <c r="AH625">
        <v>0</v>
      </c>
      <c r="AI625">
        <v>0</v>
      </c>
      <c r="AJ625">
        <v>0</v>
      </c>
      <c r="AK625">
        <v>0</v>
      </c>
      <c r="AL625">
        <v>0</v>
      </c>
      <c r="AM625">
        <v>0</v>
      </c>
      <c r="AN625">
        <v>0</v>
      </c>
      <c r="AO625">
        <v>0</v>
      </c>
      <c r="AP625">
        <v>0</v>
      </c>
      <c r="AQ625">
        <v>0</v>
      </c>
      <c r="AR625">
        <v>0</v>
      </c>
      <c r="AS625">
        <v>0</v>
      </c>
      <c r="AT625">
        <v>0</v>
      </c>
      <c r="AU625">
        <v>0</v>
      </c>
      <c r="AV625">
        <v>0</v>
      </c>
      <c r="AW625">
        <v>0</v>
      </c>
      <c r="AX625" s="141">
        <f t="shared" si="694"/>
        <v>1</v>
      </c>
      <c r="AY625" s="141">
        <f t="shared" si="695"/>
        <v>1</v>
      </c>
      <c r="AZ625">
        <f t="shared" si="696"/>
        <v>0</v>
      </c>
      <c r="BA625">
        <f t="shared" si="697"/>
        <v>1</v>
      </c>
      <c r="BB625">
        <f t="shared" si="698"/>
        <v>0</v>
      </c>
      <c r="BC625">
        <f t="shared" si="699"/>
        <v>0</v>
      </c>
      <c r="BD625">
        <f t="shared" si="700"/>
        <v>0</v>
      </c>
      <c r="BE625" t="str">
        <f t="array" ref="BE625">IF(AY625=1,INDEX($V$7:$AL$7,MATCH(TRUE,INDEX($V625:$AW625&lt;&gt;0,),0)),IF(AY625=0,INDEX($AM$7:$AW$7,MATCH(1,$AM625:$AW625,0)),IF(BF625="Multiple strategies","mixed drivers",IF(BF625="Supply chain","multiple supply","multiple silviculture"))))</f>
        <v>supply chain organization</v>
      </c>
      <c r="BF625" s="2" t="str" cm="1">
        <f t="array" ref="BF625">IF(COUNTIF(AZ625:BB625,"&lt;&gt;0")=1,INDEX($V$4:$AW$4,MATCH(TRUE,INDEX($V625:$AW625&lt;&gt;0,),0)),IF(COUNTIF(AZ625:BB625,"&lt;&gt;0")=0,INDEX($AM$4:$AW$4,MATCH(1,$AM625:$AW625,0)),"Multiple strategies"))</f>
        <v>Supply chain</v>
      </c>
      <c r="BG625" s="1" t="s">
        <v>229</v>
      </c>
      <c r="BH625" t="s">
        <v>1547</v>
      </c>
      <c r="BI625" s="264" t="s">
        <v>3120</v>
      </c>
      <c r="BJ625" t="s">
        <v>345</v>
      </c>
      <c r="BK625">
        <v>562</v>
      </c>
      <c r="BL625">
        <v>922</v>
      </c>
      <c r="BM625">
        <v>1.6405693950177935</v>
      </c>
      <c r="BN625">
        <f t="shared" si="701"/>
        <v>360</v>
      </c>
      <c r="BO625">
        <f t="shared" si="702"/>
        <v>0.73469387755102045</v>
      </c>
      <c r="BP625" s="264" t="s">
        <v>395</v>
      </c>
      <c r="BQ625" t="s">
        <v>426</v>
      </c>
      <c r="BR625" t="s">
        <v>728</v>
      </c>
      <c r="BS625">
        <v>430.5</v>
      </c>
      <c r="BT625">
        <v>515.20000000000005</v>
      </c>
      <c r="BU625" s="144"/>
      <c r="BV625">
        <f t="shared" si="726"/>
        <v>84.700000000000045</v>
      </c>
      <c r="BX625">
        <f t="shared" si="704"/>
        <v>8.4700000000000039E-2</v>
      </c>
      <c r="BY625">
        <f t="shared" si="727"/>
        <v>0.11528611111111116</v>
      </c>
      <c r="BZ625">
        <v>0</v>
      </c>
      <c r="CA625">
        <v>0</v>
      </c>
      <c r="CB625">
        <v>0</v>
      </c>
      <c r="CC625">
        <v>0</v>
      </c>
      <c r="CD625">
        <v>0</v>
      </c>
      <c r="CE625">
        <v>0</v>
      </c>
      <c r="CF625">
        <v>0</v>
      </c>
      <c r="CG625">
        <v>0</v>
      </c>
      <c r="CH625">
        <v>0</v>
      </c>
      <c r="CI625">
        <v>0</v>
      </c>
      <c r="CJ625">
        <v>0</v>
      </c>
      <c r="CK625">
        <v>0</v>
      </c>
      <c r="CL625">
        <v>0</v>
      </c>
      <c r="CM625">
        <v>0</v>
      </c>
      <c r="CN625" t="str">
        <f t="shared" si="705"/>
        <v>refOK</v>
      </c>
      <c r="CO625">
        <f t="shared" si="729"/>
        <v>562</v>
      </c>
      <c r="CP625">
        <f t="shared" si="730"/>
        <v>922</v>
      </c>
      <c r="CQ625">
        <f t="shared" si="708"/>
        <v>0.73469387755102045</v>
      </c>
      <c r="CR625">
        <f t="shared" si="709"/>
        <v>-430.5</v>
      </c>
      <c r="CS625">
        <f t="shared" si="731"/>
        <v>-515.20000000000005</v>
      </c>
      <c r="CT625">
        <f t="shared" si="711"/>
        <v>-8.4700000000000039E-2</v>
      </c>
      <c r="CU625">
        <f t="shared" si="712"/>
        <v>-0.11528611111111116</v>
      </c>
      <c r="CV625" s="2">
        <f t="shared" si="713"/>
        <v>-0.19674796747967491</v>
      </c>
      <c r="CW625" s="1" t="s">
        <v>1198</v>
      </c>
      <c r="CX625" t="str">
        <f t="shared" si="714"/>
        <v>reg</v>
      </c>
      <c r="CY625" t="s">
        <v>1539</v>
      </c>
      <c r="DB625">
        <v>100</v>
      </c>
      <c r="DC625" t="str">
        <f t="shared" si="715"/>
        <v>71-100</v>
      </c>
      <c r="DD625">
        <v>0</v>
      </c>
      <c r="DE625">
        <v>0</v>
      </c>
      <c r="DF625">
        <v>0</v>
      </c>
      <c r="DG625">
        <v>1</v>
      </c>
      <c r="DI625">
        <f t="shared" si="716"/>
        <v>1</v>
      </c>
      <c r="DJ625" t="str">
        <f t="shared" si="717"/>
        <v>TimberInput</v>
      </c>
      <c r="DK625">
        <f t="shared" si="718"/>
        <v>0</v>
      </c>
      <c r="DL625">
        <f t="shared" si="719"/>
        <v>0</v>
      </c>
      <c r="DM625">
        <f t="shared" si="720"/>
        <v>0</v>
      </c>
      <c r="DN625" t="str">
        <f t="shared" si="721"/>
        <v>Timber</v>
      </c>
      <c r="DO625">
        <v>0</v>
      </c>
      <c r="DP625">
        <v>0</v>
      </c>
      <c r="DQ625">
        <v>0</v>
      </c>
      <c r="DR625">
        <v>0</v>
      </c>
      <c r="DS625">
        <v>0</v>
      </c>
      <c r="DT625">
        <f t="shared" si="722"/>
        <v>0</v>
      </c>
      <c r="DU625" s="143" t="str">
        <f t="shared" si="723"/>
        <v>explicit C balance</v>
      </c>
      <c r="DV625">
        <v>0</v>
      </c>
      <c r="DW625">
        <v>0</v>
      </c>
      <c r="DX625">
        <v>0</v>
      </c>
      <c r="DY625">
        <v>0</v>
      </c>
      <c r="DZ625">
        <v>1</v>
      </c>
      <c r="EA625" s="143">
        <v>0</v>
      </c>
      <c r="EB625">
        <v>0</v>
      </c>
      <c r="EC625">
        <v>1</v>
      </c>
      <c r="ED625">
        <v>0</v>
      </c>
      <c r="EE625">
        <v>1</v>
      </c>
      <c r="EF625">
        <v>1</v>
      </c>
      <c r="EG625">
        <v>1</v>
      </c>
      <c r="EH625">
        <v>0</v>
      </c>
      <c r="EI625" s="2">
        <v>0</v>
      </c>
      <c r="EK625" t="str">
        <f t="shared" si="724"/>
        <v/>
      </c>
      <c r="EL625" t="str">
        <f t="shared" si="725"/>
        <v/>
      </c>
      <c r="EM625" s="2" t="str">
        <f t="shared" si="728"/>
        <v>Technology approach</v>
      </c>
      <c r="EP625" t="str">
        <f>IF(ISNUMBER(BU625),IF(ABS(BU625-[3]QC_indicators!$B$2)&gt;3*[3]QC_indicators!$C$2,"C ratio",IF(ISNUMBER(BY625),IF(ABS(BY625-[3]QC_indicators!$B$1)&gt;3*[3]QC_indicators!$C$1,"DF","no"))),IF(ISNUMBER(BY625),IF(ABS(BY625-[3]QC_indicators!$B$1)&gt;3*[3]QC_indicators!$C$1,"DF","no")))</f>
        <v>no</v>
      </c>
      <c r="ET625" s="264" t="s">
        <v>3272</v>
      </c>
    </row>
    <row r="626" spans="1:150" ht="15" hidden="1" customHeight="1">
      <c r="A626" s="1" t="s">
        <v>265</v>
      </c>
      <c r="B626" t="s">
        <v>1530</v>
      </c>
      <c r="C626" t="s">
        <v>1531</v>
      </c>
      <c r="D626" t="s">
        <v>1532</v>
      </c>
      <c r="E626" t="s">
        <v>1533</v>
      </c>
      <c r="F626" t="s">
        <v>1534</v>
      </c>
      <c r="G626" t="s">
        <v>271</v>
      </c>
      <c r="H626" t="s">
        <v>254</v>
      </c>
      <c r="I626">
        <v>2019</v>
      </c>
      <c r="J626">
        <v>26</v>
      </c>
      <c r="K626" t="s">
        <v>1535</v>
      </c>
      <c r="M626" t="str">
        <f t="shared" si="686"/>
        <v>Faraca_2019</v>
      </c>
      <c r="N626" t="s">
        <v>222</v>
      </c>
      <c r="O626" s="145" t="s">
        <v>274</v>
      </c>
      <c r="Q626" t="s">
        <v>256</v>
      </c>
      <c r="R626" s="262" t="s">
        <v>223</v>
      </c>
      <c r="S626" s="263" t="s">
        <v>3121</v>
      </c>
      <c r="T626" t="s">
        <v>1542</v>
      </c>
      <c r="U626" t="s">
        <v>1544</v>
      </c>
      <c r="V626">
        <v>0</v>
      </c>
      <c r="W626">
        <v>0</v>
      </c>
      <c r="X626">
        <v>0</v>
      </c>
      <c r="Y626">
        <v>0</v>
      </c>
      <c r="Z626">
        <v>0</v>
      </c>
      <c r="AA626">
        <v>0</v>
      </c>
      <c r="AB626">
        <v>0</v>
      </c>
      <c r="AC626">
        <v>0</v>
      </c>
      <c r="AD626">
        <v>0</v>
      </c>
      <c r="AE626">
        <v>0</v>
      </c>
      <c r="AF626">
        <v>0</v>
      </c>
      <c r="AG626">
        <v>0</v>
      </c>
      <c r="AH626">
        <v>0</v>
      </c>
      <c r="AI626">
        <v>1</v>
      </c>
      <c r="AJ626">
        <v>0</v>
      </c>
      <c r="AK626">
        <v>0</v>
      </c>
      <c r="AL626">
        <v>0</v>
      </c>
      <c r="AM626">
        <v>0</v>
      </c>
      <c r="AN626">
        <v>0</v>
      </c>
      <c r="AO626">
        <v>0</v>
      </c>
      <c r="AP626">
        <v>0</v>
      </c>
      <c r="AQ626">
        <v>0</v>
      </c>
      <c r="AR626">
        <v>0</v>
      </c>
      <c r="AS626">
        <v>0</v>
      </c>
      <c r="AT626">
        <v>0</v>
      </c>
      <c r="AU626">
        <v>0</v>
      </c>
      <c r="AV626">
        <v>0</v>
      </c>
      <c r="AW626">
        <v>0</v>
      </c>
      <c r="AX626" s="141">
        <f t="shared" si="694"/>
        <v>1</v>
      </c>
      <c r="AY626" s="141">
        <f t="shared" si="695"/>
        <v>1</v>
      </c>
      <c r="AZ626">
        <f t="shared" si="696"/>
        <v>0</v>
      </c>
      <c r="BA626">
        <f t="shared" si="697"/>
        <v>1</v>
      </c>
      <c r="BB626">
        <f t="shared" si="698"/>
        <v>0</v>
      </c>
      <c r="BC626">
        <f t="shared" si="699"/>
        <v>0</v>
      </c>
      <c r="BD626">
        <f t="shared" si="700"/>
        <v>0</v>
      </c>
      <c r="BE626" t="str">
        <f t="array" ref="BE626">IF(AY626=1,INDEX($V$7:$AL$7,MATCH(TRUE,INDEX($V626:$AW626&lt;&gt;0,),0)),IF(AY626=0,INDEX($AM$7:$AW$7,MATCH(1,$AM626:$AW626,0)),IF(BF626="Multiple strategies","mixed drivers",IF(BF626="Supply chain","multiple supply","multiple silviculture"))))</f>
        <v>products lifespan</v>
      </c>
      <c r="BF626" s="2" t="str" cm="1">
        <f t="array" ref="BF626">IF(COUNTIF(AZ626:BB626,"&lt;&gt;0")=1,INDEX($V$4:$AW$4,MATCH(TRUE,INDEX($V626:$AW626&lt;&gt;0,),0)),IF(COUNTIF(AZ626:BB626,"&lt;&gt;0")=0,INDEX($AM$4:$AW$4,MATCH(1,$AM626:$AW626,0)),"Multiple strategies"))</f>
        <v>Supply chain</v>
      </c>
      <c r="BG626" s="1" t="s">
        <v>229</v>
      </c>
      <c r="BH626" t="s">
        <v>1547</v>
      </c>
      <c r="BI626" s="264" t="s">
        <v>3120</v>
      </c>
      <c r="BJ626" t="s">
        <v>345</v>
      </c>
      <c r="BK626">
        <v>478</v>
      </c>
      <c r="BL626">
        <v>922</v>
      </c>
      <c r="BM626">
        <f>BK626/BL626</f>
        <v>0.51843817787418656</v>
      </c>
      <c r="BN626">
        <f t="shared" si="701"/>
        <v>444</v>
      </c>
      <c r="BO626">
        <f t="shared" si="702"/>
        <v>0.90612244897959193</v>
      </c>
      <c r="BP626" t="s">
        <v>395</v>
      </c>
      <c r="BQ626" s="264" t="s">
        <v>426</v>
      </c>
      <c r="BR626" t="s">
        <v>728</v>
      </c>
      <c r="BS626">
        <v>-206.9</v>
      </c>
      <c r="BT626">
        <v>-55.2</v>
      </c>
      <c r="BU626" s="144"/>
      <c r="BV626">
        <f t="shared" si="726"/>
        <v>151.69999999999999</v>
      </c>
      <c r="BX626">
        <f t="shared" si="704"/>
        <v>0.1517</v>
      </c>
      <c r="BY626">
        <f t="shared" si="727"/>
        <v>0.16741666666666666</v>
      </c>
      <c r="BZ626">
        <v>0</v>
      </c>
      <c r="CA626">
        <v>0</v>
      </c>
      <c r="CB626">
        <v>0</v>
      </c>
      <c r="CC626">
        <v>0</v>
      </c>
      <c r="CD626">
        <v>0</v>
      </c>
      <c r="CE626">
        <v>0</v>
      </c>
      <c r="CF626">
        <v>0</v>
      </c>
      <c r="CG626">
        <v>0</v>
      </c>
      <c r="CH626">
        <v>0</v>
      </c>
      <c r="CI626">
        <v>0</v>
      </c>
      <c r="CJ626">
        <v>0</v>
      </c>
      <c r="CK626">
        <v>0</v>
      </c>
      <c r="CL626">
        <v>0</v>
      </c>
      <c r="CM626">
        <v>0</v>
      </c>
      <c r="CN626" t="str">
        <f t="shared" si="705"/>
        <v>refOK</v>
      </c>
      <c r="CO626">
        <f t="shared" si="729"/>
        <v>478</v>
      </c>
      <c r="CP626">
        <f t="shared" si="730"/>
        <v>922</v>
      </c>
      <c r="CQ626">
        <f t="shared" si="708"/>
        <v>0.90612244897959193</v>
      </c>
      <c r="CR626">
        <f t="shared" si="709"/>
        <v>206.9</v>
      </c>
      <c r="CS626">
        <f t="shared" si="731"/>
        <v>55.2</v>
      </c>
      <c r="CT626">
        <f t="shared" si="711"/>
        <v>-0.1517</v>
      </c>
      <c r="CU626">
        <f t="shared" si="712"/>
        <v>-0.16741666666666666</v>
      </c>
      <c r="CV626" s="2">
        <f t="shared" si="713"/>
        <v>-0.73320444659255668</v>
      </c>
      <c r="CW626" s="1" t="s">
        <v>1198</v>
      </c>
      <c r="CX626" t="str">
        <f t="shared" si="714"/>
        <v>reg</v>
      </c>
      <c r="CY626" t="s">
        <v>1539</v>
      </c>
      <c r="DB626">
        <v>500</v>
      </c>
      <c r="DC626" t="str">
        <f t="shared" si="715"/>
        <v>+100</v>
      </c>
      <c r="DD626">
        <v>0</v>
      </c>
      <c r="DE626">
        <v>0</v>
      </c>
      <c r="DF626">
        <v>0</v>
      </c>
      <c r="DG626">
        <v>1</v>
      </c>
      <c r="DI626">
        <f t="shared" si="716"/>
        <v>1</v>
      </c>
      <c r="DJ626" t="str">
        <f t="shared" si="717"/>
        <v>TimberInput</v>
      </c>
      <c r="DK626">
        <f t="shared" si="718"/>
        <v>0</v>
      </c>
      <c r="DL626">
        <f t="shared" si="719"/>
        <v>0</v>
      </c>
      <c r="DM626">
        <f t="shared" si="720"/>
        <v>0</v>
      </c>
      <c r="DN626" t="str">
        <f t="shared" si="721"/>
        <v>Timber</v>
      </c>
      <c r="DO626">
        <v>0</v>
      </c>
      <c r="DP626">
        <v>1</v>
      </c>
      <c r="DQ626">
        <v>0</v>
      </c>
      <c r="DR626">
        <v>0</v>
      </c>
      <c r="DS626" t="s">
        <v>1540</v>
      </c>
      <c r="DT626">
        <f t="shared" si="722"/>
        <v>1</v>
      </c>
      <c r="DU626" s="143" t="str">
        <f t="shared" si="723"/>
        <v>external DF used</v>
      </c>
      <c r="DV626">
        <v>0</v>
      </c>
      <c r="DW626">
        <v>0</v>
      </c>
      <c r="DX626">
        <v>0</v>
      </c>
      <c r="DY626">
        <v>0</v>
      </c>
      <c r="DZ626">
        <v>1</v>
      </c>
      <c r="EA626" s="143">
        <v>1</v>
      </c>
      <c r="EB626">
        <v>0</v>
      </c>
      <c r="EC626">
        <v>1</v>
      </c>
      <c r="ED626">
        <v>0</v>
      </c>
      <c r="EE626">
        <v>1</v>
      </c>
      <c r="EF626">
        <v>1</v>
      </c>
      <c r="EG626">
        <v>1</v>
      </c>
      <c r="EH626">
        <v>0</v>
      </c>
      <c r="EI626" s="2">
        <v>0</v>
      </c>
      <c r="EK626" t="str">
        <f t="shared" si="724"/>
        <v/>
      </c>
      <c r="EL626" t="str">
        <f t="shared" si="725"/>
        <v/>
      </c>
      <c r="EM626" s="2" t="str">
        <f t="shared" si="728"/>
        <v>Technology approach</v>
      </c>
      <c r="EP626" t="str">
        <f>IF(ISNUMBER(BU626),IF(ABS(BU626-[3]QC_indicators!$B$2)&gt;3*[3]QC_indicators!$C$2,"C ratio",IF(ISNUMBER(BY626),IF(ABS(BY626-[3]QC_indicators!$B$1)&gt;3*[3]QC_indicators!$C$1,"DF","no"))),IF(ISNUMBER(BY626),IF(ABS(BY626-[3]QC_indicators!$B$1)&gt;3*[3]QC_indicators!$C$1,"DF","no")))</f>
        <v>no</v>
      </c>
      <c r="ET626" s="264" t="s">
        <v>3272</v>
      </c>
    </row>
    <row r="627" spans="1:150" ht="15" hidden="1" customHeight="1">
      <c r="A627" s="1" t="s">
        <v>265</v>
      </c>
      <c r="B627" t="s">
        <v>1530</v>
      </c>
      <c r="C627" t="s">
        <v>1531</v>
      </c>
      <c r="D627" t="s">
        <v>1532</v>
      </c>
      <c r="E627" t="s">
        <v>1533</v>
      </c>
      <c r="F627" t="s">
        <v>1534</v>
      </c>
      <c r="G627" t="s">
        <v>271</v>
      </c>
      <c r="H627" t="s">
        <v>254</v>
      </c>
      <c r="I627">
        <v>2019</v>
      </c>
      <c r="J627">
        <v>26</v>
      </c>
      <c r="K627" t="s">
        <v>1535</v>
      </c>
      <c r="M627" t="str">
        <f t="shared" si="686"/>
        <v>Faraca_2019</v>
      </c>
      <c r="N627" t="s">
        <v>222</v>
      </c>
      <c r="O627" s="145" t="s">
        <v>274</v>
      </c>
      <c r="P627" s="180" t="s">
        <v>223</v>
      </c>
      <c r="Q627" t="s">
        <v>256</v>
      </c>
      <c r="R627" s="262" t="s">
        <v>223</v>
      </c>
      <c r="S627" s="263" t="s">
        <v>3132</v>
      </c>
      <c r="T627" t="s">
        <v>1551</v>
      </c>
      <c r="U627" t="s">
        <v>1537</v>
      </c>
      <c r="V627">
        <v>0</v>
      </c>
      <c r="W627">
        <v>0</v>
      </c>
      <c r="X627">
        <v>0</v>
      </c>
      <c r="Y627">
        <v>0</v>
      </c>
      <c r="Z627">
        <v>0</v>
      </c>
      <c r="AA627">
        <v>0</v>
      </c>
      <c r="AB627">
        <v>0</v>
      </c>
      <c r="AC627">
        <v>0</v>
      </c>
      <c r="AD627">
        <v>0</v>
      </c>
      <c r="AE627">
        <v>0</v>
      </c>
      <c r="AF627">
        <v>1</v>
      </c>
      <c r="AG627">
        <v>0</v>
      </c>
      <c r="AH627">
        <v>0</v>
      </c>
      <c r="AI627">
        <v>0</v>
      </c>
      <c r="AJ627">
        <v>0</v>
      </c>
      <c r="AK627">
        <v>0</v>
      </c>
      <c r="AL627">
        <v>0</v>
      </c>
      <c r="AM627">
        <v>0</v>
      </c>
      <c r="AN627">
        <v>0</v>
      </c>
      <c r="AO627">
        <v>0</v>
      </c>
      <c r="AP627">
        <v>0</v>
      </c>
      <c r="AQ627">
        <v>0</v>
      </c>
      <c r="AR627">
        <v>0</v>
      </c>
      <c r="AS627">
        <v>0</v>
      </c>
      <c r="AT627">
        <v>0</v>
      </c>
      <c r="AU627">
        <v>0</v>
      </c>
      <c r="AV627">
        <v>0</v>
      </c>
      <c r="AW627">
        <v>0</v>
      </c>
      <c r="AX627" s="141">
        <f t="shared" si="694"/>
        <v>1</v>
      </c>
      <c r="AY627" s="141">
        <f t="shared" si="695"/>
        <v>1</v>
      </c>
      <c r="AZ627">
        <f t="shared" si="696"/>
        <v>0</v>
      </c>
      <c r="BA627">
        <f t="shared" si="697"/>
        <v>1</v>
      </c>
      <c r="BB627">
        <f t="shared" si="698"/>
        <v>0</v>
      </c>
      <c r="BC627">
        <f t="shared" si="699"/>
        <v>0</v>
      </c>
      <c r="BD627">
        <f t="shared" si="700"/>
        <v>0</v>
      </c>
      <c r="BE627" t="str">
        <f t="array" ref="BE627">IF(AY627=1,INDEX($V$7:$AL$7,MATCH(TRUE,INDEX($V627:$AW627&lt;&gt;0,),0)),IF(AY627=0,INDEX($AM$7:$AW$7,MATCH(1,$AM627:$AW627,0)),IF(BF627="Multiple strategies","mixed drivers",IF(BF627="Supply chain","multiple supply","multiple silviculture"))))</f>
        <v>supply chain organization</v>
      </c>
      <c r="BF627" s="2" t="str" cm="1">
        <f t="array" ref="BF627">IF(COUNTIF(AZ627:BB627,"&lt;&gt;0")=1,INDEX($V$4:$AW$4,MATCH(TRUE,INDEX($V627:$AW627&lt;&gt;0,),0)),IF(COUNTIF(AZ627:BB627,"&lt;&gt;0")=0,INDEX($AM$4:$AW$4,MATCH(1,$AM627:$AW627,0)),"Multiple strategies"))</f>
        <v>Supply chain</v>
      </c>
      <c r="BG627" s="1" t="s">
        <v>229</v>
      </c>
      <c r="BH627" t="s">
        <v>1547</v>
      </c>
      <c r="BI627" s="264" t="s">
        <v>3120</v>
      </c>
      <c r="BJ627" t="s">
        <v>345</v>
      </c>
      <c r="BK627">
        <v>562</v>
      </c>
      <c r="BL627">
        <v>922</v>
      </c>
      <c r="BM627">
        <v>1.6405693950177935</v>
      </c>
      <c r="BN627">
        <f t="shared" si="701"/>
        <v>360</v>
      </c>
      <c r="BO627">
        <f t="shared" si="702"/>
        <v>0.73469387755102045</v>
      </c>
      <c r="BP627" s="264" t="s">
        <v>395</v>
      </c>
      <c r="BQ627" t="s">
        <v>426</v>
      </c>
      <c r="BR627" t="s">
        <v>728</v>
      </c>
      <c r="BS627">
        <v>-145.80000000000001</v>
      </c>
      <c r="BT627">
        <v>-16.899999999999999</v>
      </c>
      <c r="BU627" s="144"/>
      <c r="BV627">
        <f t="shared" si="726"/>
        <v>128.9</v>
      </c>
      <c r="BX627">
        <f t="shared" si="704"/>
        <v>0.12890000000000001</v>
      </c>
      <c r="BY627">
        <f t="shared" si="727"/>
        <v>0.17544722222222223</v>
      </c>
      <c r="BZ627">
        <v>0</v>
      </c>
      <c r="CA627">
        <v>0</v>
      </c>
      <c r="CB627">
        <v>0</v>
      </c>
      <c r="CC627">
        <v>0</v>
      </c>
      <c r="CD627">
        <v>0</v>
      </c>
      <c r="CE627">
        <v>0</v>
      </c>
      <c r="CF627">
        <v>0</v>
      </c>
      <c r="CG627">
        <v>0</v>
      </c>
      <c r="CH627">
        <v>0</v>
      </c>
      <c r="CI627">
        <v>0</v>
      </c>
      <c r="CJ627">
        <v>0</v>
      </c>
      <c r="CK627">
        <v>0</v>
      </c>
      <c r="CL627">
        <v>0</v>
      </c>
      <c r="CM627">
        <v>0</v>
      </c>
      <c r="CN627" t="str">
        <f t="shared" si="705"/>
        <v>refOK</v>
      </c>
      <c r="CO627">
        <f t="shared" si="729"/>
        <v>562</v>
      </c>
      <c r="CP627">
        <f t="shared" si="730"/>
        <v>922</v>
      </c>
      <c r="CQ627">
        <f t="shared" si="708"/>
        <v>0.73469387755102045</v>
      </c>
      <c r="CR627">
        <f t="shared" si="709"/>
        <v>145.80000000000001</v>
      </c>
      <c r="CS627">
        <f t="shared" si="731"/>
        <v>16.899999999999999</v>
      </c>
      <c r="CT627">
        <f t="shared" si="711"/>
        <v>-0.12890000000000001</v>
      </c>
      <c r="CU627">
        <f t="shared" si="712"/>
        <v>-0.17544722222222223</v>
      </c>
      <c r="CV627" s="2">
        <f t="shared" si="713"/>
        <v>-0.88408779149519889</v>
      </c>
      <c r="CW627" s="1" t="s">
        <v>1198</v>
      </c>
      <c r="CX627" t="str">
        <f t="shared" si="714"/>
        <v>reg</v>
      </c>
      <c r="CY627" t="s">
        <v>1539</v>
      </c>
      <c r="DB627">
        <v>500</v>
      </c>
      <c r="DC627" t="str">
        <f t="shared" si="715"/>
        <v>+100</v>
      </c>
      <c r="DD627">
        <v>0</v>
      </c>
      <c r="DE627">
        <v>0</v>
      </c>
      <c r="DF627">
        <v>0</v>
      </c>
      <c r="DG627">
        <v>1</v>
      </c>
      <c r="DI627">
        <f t="shared" si="716"/>
        <v>1</v>
      </c>
      <c r="DJ627" t="str">
        <f t="shared" si="717"/>
        <v>TimberInput</v>
      </c>
      <c r="DK627">
        <f t="shared" si="718"/>
        <v>0</v>
      </c>
      <c r="DL627">
        <f t="shared" si="719"/>
        <v>0</v>
      </c>
      <c r="DM627">
        <f t="shared" si="720"/>
        <v>0</v>
      </c>
      <c r="DN627" t="str">
        <f t="shared" si="721"/>
        <v>Timber</v>
      </c>
      <c r="DO627">
        <v>0</v>
      </c>
      <c r="DP627">
        <v>0</v>
      </c>
      <c r="DQ627">
        <v>0</v>
      </c>
      <c r="DR627">
        <v>0</v>
      </c>
      <c r="DS627">
        <v>0</v>
      </c>
      <c r="DT627">
        <f t="shared" si="722"/>
        <v>0</v>
      </c>
      <c r="DU627" s="143" t="str">
        <f t="shared" si="723"/>
        <v>explicit C balance</v>
      </c>
      <c r="DV627">
        <v>0</v>
      </c>
      <c r="DW627">
        <v>0</v>
      </c>
      <c r="DX627">
        <v>0</v>
      </c>
      <c r="DY627">
        <v>0</v>
      </c>
      <c r="DZ627">
        <v>1</v>
      </c>
      <c r="EA627" s="143">
        <v>1</v>
      </c>
      <c r="EB627">
        <v>0</v>
      </c>
      <c r="EC627">
        <v>1</v>
      </c>
      <c r="ED627">
        <v>0</v>
      </c>
      <c r="EE627">
        <v>1</v>
      </c>
      <c r="EF627">
        <v>1</v>
      </c>
      <c r="EG627">
        <v>1</v>
      </c>
      <c r="EH627">
        <v>0</v>
      </c>
      <c r="EI627" s="2">
        <v>0</v>
      </c>
      <c r="EK627" t="str">
        <f t="shared" si="724"/>
        <v/>
      </c>
      <c r="EL627" t="str">
        <f t="shared" si="725"/>
        <v/>
      </c>
      <c r="EM627" s="2" t="str">
        <f t="shared" si="728"/>
        <v>Technology approach</v>
      </c>
      <c r="EP627" t="str">
        <f>IF(ISNUMBER(BU627),IF(ABS(BU627-[3]QC_indicators!$B$2)&gt;3*[3]QC_indicators!$C$2,"C ratio",IF(ISNUMBER(BY627),IF(ABS(BY627-[3]QC_indicators!$B$1)&gt;3*[3]QC_indicators!$C$1,"DF","no"))),IF(ISNUMBER(BY627),IF(ABS(BY627-[3]QC_indicators!$B$1)&gt;3*[3]QC_indicators!$C$1,"DF","no")))</f>
        <v>no</v>
      </c>
      <c r="ET627" s="264" t="s">
        <v>3272</v>
      </c>
    </row>
    <row r="628" spans="1:150" ht="15" hidden="1" customHeight="1">
      <c r="A628" s="1" t="s">
        <v>265</v>
      </c>
      <c r="B628" t="s">
        <v>1530</v>
      </c>
      <c r="C628" t="s">
        <v>1531</v>
      </c>
      <c r="D628" t="s">
        <v>1532</v>
      </c>
      <c r="E628" t="s">
        <v>1533</v>
      </c>
      <c r="F628" t="s">
        <v>1534</v>
      </c>
      <c r="G628" t="s">
        <v>271</v>
      </c>
      <c r="H628" t="s">
        <v>254</v>
      </c>
      <c r="I628">
        <v>2019</v>
      </c>
      <c r="J628">
        <v>26</v>
      </c>
      <c r="K628" t="s">
        <v>1535</v>
      </c>
      <c r="M628" t="str">
        <f t="shared" si="686"/>
        <v>Faraca_2019</v>
      </c>
      <c r="N628" t="s">
        <v>222</v>
      </c>
      <c r="O628" s="145" t="s">
        <v>274</v>
      </c>
      <c r="Q628" t="s">
        <v>256</v>
      </c>
      <c r="R628" s="262" t="s">
        <v>223</v>
      </c>
      <c r="S628" s="263" t="s">
        <v>3121</v>
      </c>
      <c r="T628" t="s">
        <v>1542</v>
      </c>
      <c r="U628" t="s">
        <v>1543</v>
      </c>
      <c r="V628">
        <v>0</v>
      </c>
      <c r="W628">
        <v>0</v>
      </c>
      <c r="X628">
        <v>0</v>
      </c>
      <c r="Y628">
        <v>0</v>
      </c>
      <c r="Z628">
        <v>0</v>
      </c>
      <c r="AA628">
        <v>0</v>
      </c>
      <c r="AB628">
        <v>0</v>
      </c>
      <c r="AC628">
        <v>0</v>
      </c>
      <c r="AD628">
        <v>0</v>
      </c>
      <c r="AE628">
        <v>0</v>
      </c>
      <c r="AF628">
        <v>0</v>
      </c>
      <c r="AG628">
        <v>0</v>
      </c>
      <c r="AH628">
        <v>0</v>
      </c>
      <c r="AI628">
        <v>1</v>
      </c>
      <c r="AJ628">
        <v>0</v>
      </c>
      <c r="AK628">
        <v>0</v>
      </c>
      <c r="AL628">
        <v>0</v>
      </c>
      <c r="AM628">
        <v>0</v>
      </c>
      <c r="AN628">
        <v>0</v>
      </c>
      <c r="AO628">
        <v>0</v>
      </c>
      <c r="AP628">
        <v>0</v>
      </c>
      <c r="AQ628">
        <v>0</v>
      </c>
      <c r="AR628">
        <v>0</v>
      </c>
      <c r="AS628">
        <v>0</v>
      </c>
      <c r="AT628">
        <v>0</v>
      </c>
      <c r="AU628">
        <v>0</v>
      </c>
      <c r="AV628">
        <v>0</v>
      </c>
      <c r="AW628">
        <v>0</v>
      </c>
      <c r="AX628" s="141">
        <f t="shared" si="694"/>
        <v>1</v>
      </c>
      <c r="AY628" s="141">
        <f t="shared" si="695"/>
        <v>1</v>
      </c>
      <c r="AZ628">
        <f t="shared" si="696"/>
        <v>0</v>
      </c>
      <c r="BA628">
        <f t="shared" si="697"/>
        <v>1</v>
      </c>
      <c r="BB628">
        <f t="shared" si="698"/>
        <v>0</v>
      </c>
      <c r="BC628">
        <f t="shared" si="699"/>
        <v>0</v>
      </c>
      <c r="BD628">
        <f t="shared" si="700"/>
        <v>0</v>
      </c>
      <c r="BE628" t="str">
        <f t="array" ref="BE628">IF(AY628=1,INDEX($V$7:$AL$7,MATCH(TRUE,INDEX($V628:$AW628&lt;&gt;0,),0)),IF(AY628=0,INDEX($AM$7:$AW$7,MATCH(1,$AM628:$AW628,0)),IF(BF628="Multiple strategies","mixed drivers",IF(BF628="Supply chain","multiple supply","multiple silviculture"))))</f>
        <v>products lifespan</v>
      </c>
      <c r="BF628" s="2" t="str" cm="1">
        <f t="array" ref="BF628">IF(COUNTIF(AZ628:BB628,"&lt;&gt;0")=1,INDEX($V$4:$AW$4,MATCH(TRUE,INDEX($V628:$AW628&lt;&gt;0,),0)),IF(COUNTIF(AZ628:BB628,"&lt;&gt;0")=0,INDEX($AM$4:$AW$4,MATCH(1,$AM628:$AW628,0)),"Multiple strategies"))</f>
        <v>Supply chain</v>
      </c>
      <c r="BG628" s="1" t="s">
        <v>229</v>
      </c>
      <c r="BH628" t="s">
        <v>1547</v>
      </c>
      <c r="BI628" s="264" t="s">
        <v>3120</v>
      </c>
      <c r="BJ628" t="s">
        <v>345</v>
      </c>
      <c r="BK628">
        <v>478</v>
      </c>
      <c r="BL628">
        <v>638</v>
      </c>
      <c r="BM628">
        <v>1</v>
      </c>
      <c r="BN628">
        <f t="shared" si="701"/>
        <v>160</v>
      </c>
      <c r="BO628">
        <f t="shared" si="702"/>
        <v>0.32653061224489799</v>
      </c>
      <c r="BP628" t="s">
        <v>395</v>
      </c>
      <c r="BQ628" s="264" t="s">
        <v>426</v>
      </c>
      <c r="BR628" t="s">
        <v>728</v>
      </c>
      <c r="BS628">
        <v>-206.9</v>
      </c>
      <c r="BT628">
        <v>-127.6</v>
      </c>
      <c r="BU628" s="144"/>
      <c r="BV628">
        <f t="shared" si="726"/>
        <v>79.300000000000011</v>
      </c>
      <c r="BX628">
        <f t="shared" si="704"/>
        <v>7.9300000000000009E-2</v>
      </c>
      <c r="BY628">
        <f t="shared" si="727"/>
        <v>0.24285625</v>
      </c>
      <c r="BZ628">
        <v>0</v>
      </c>
      <c r="CA628">
        <v>0</v>
      </c>
      <c r="CB628">
        <v>0</v>
      </c>
      <c r="CC628">
        <v>0</v>
      </c>
      <c r="CD628">
        <v>0</v>
      </c>
      <c r="CE628">
        <v>0</v>
      </c>
      <c r="CF628">
        <v>0</v>
      </c>
      <c r="CG628">
        <v>0</v>
      </c>
      <c r="CH628">
        <v>0</v>
      </c>
      <c r="CI628">
        <v>0</v>
      </c>
      <c r="CJ628">
        <v>0</v>
      </c>
      <c r="CK628">
        <v>0</v>
      </c>
      <c r="CL628">
        <v>0</v>
      </c>
      <c r="CM628">
        <v>0</v>
      </c>
      <c r="CN628" t="str">
        <f t="shared" si="705"/>
        <v>refOK</v>
      </c>
      <c r="CO628">
        <f>IF($CN628="refNeedCorrection",BK628,BL628)</f>
        <v>638</v>
      </c>
      <c r="CP628">
        <f>IF($CN628="refNeedCorrection",BL628,BK628)</f>
        <v>478</v>
      </c>
      <c r="CQ628">
        <f t="shared" si="708"/>
        <v>0.32653061224489799</v>
      </c>
      <c r="CR628">
        <f t="shared" si="709"/>
        <v>206.9</v>
      </c>
      <c r="CS628">
        <f t="shared" si="731"/>
        <v>127.6</v>
      </c>
      <c r="CT628">
        <f t="shared" si="711"/>
        <v>-7.9300000000000009E-2</v>
      </c>
      <c r="CU628">
        <f t="shared" si="712"/>
        <v>-0.24285625</v>
      </c>
      <c r="CV628" s="2">
        <f t="shared" si="713"/>
        <v>-0.38327694538424362</v>
      </c>
      <c r="CW628" s="1" t="s">
        <v>1198</v>
      </c>
      <c r="CX628" t="str">
        <f t="shared" si="714"/>
        <v>reg</v>
      </c>
      <c r="CY628" t="s">
        <v>1539</v>
      </c>
      <c r="DB628">
        <v>500</v>
      </c>
      <c r="DC628" t="str">
        <f t="shared" si="715"/>
        <v>+100</v>
      </c>
      <c r="DD628">
        <v>0</v>
      </c>
      <c r="DE628">
        <v>0</v>
      </c>
      <c r="DF628">
        <v>0</v>
      </c>
      <c r="DG628">
        <v>1</v>
      </c>
      <c r="DI628">
        <f t="shared" si="716"/>
        <v>1</v>
      </c>
      <c r="DJ628" t="str">
        <f t="shared" si="717"/>
        <v>TimberInput</v>
      </c>
      <c r="DK628">
        <f t="shared" si="718"/>
        <v>0</v>
      </c>
      <c r="DL628">
        <f t="shared" si="719"/>
        <v>0</v>
      </c>
      <c r="DM628">
        <f t="shared" si="720"/>
        <v>0</v>
      </c>
      <c r="DN628" t="str">
        <f t="shared" si="721"/>
        <v>Timber</v>
      </c>
      <c r="DO628">
        <v>0</v>
      </c>
      <c r="DP628">
        <v>1</v>
      </c>
      <c r="DQ628">
        <v>0</v>
      </c>
      <c r="DR628">
        <v>0</v>
      </c>
      <c r="DS628" t="s">
        <v>1540</v>
      </c>
      <c r="DT628">
        <f t="shared" si="722"/>
        <v>1</v>
      </c>
      <c r="DU628" s="143" t="str">
        <f t="shared" si="723"/>
        <v>external DF used</v>
      </c>
      <c r="DV628">
        <v>0</v>
      </c>
      <c r="DW628">
        <v>0</v>
      </c>
      <c r="DX628">
        <v>0</v>
      </c>
      <c r="DY628">
        <v>0</v>
      </c>
      <c r="DZ628">
        <v>1</v>
      </c>
      <c r="EA628" s="143">
        <v>1</v>
      </c>
      <c r="EB628">
        <v>0</v>
      </c>
      <c r="EC628">
        <v>1</v>
      </c>
      <c r="ED628">
        <v>0</v>
      </c>
      <c r="EE628">
        <v>1</v>
      </c>
      <c r="EF628">
        <v>1</v>
      </c>
      <c r="EG628">
        <v>1</v>
      </c>
      <c r="EH628">
        <v>0</v>
      </c>
      <c r="EI628" s="2">
        <v>0</v>
      </c>
      <c r="EK628" t="str">
        <f t="shared" si="724"/>
        <v/>
      </c>
      <c r="EL628" t="str">
        <f t="shared" si="725"/>
        <v/>
      </c>
      <c r="EM628" s="2" t="str">
        <f t="shared" si="728"/>
        <v>Technology approach</v>
      </c>
      <c r="EP628" t="str">
        <f>IF(ISNUMBER(BU628),IF(ABS(BU628-[3]QC_indicators!$B$2)&gt;3*[3]QC_indicators!$C$2,"C ratio",IF(ISNUMBER(BY628),IF(ABS(BY628-[3]QC_indicators!$B$1)&gt;3*[3]QC_indicators!$C$1,"DF","no"))),IF(ISNUMBER(BY628),IF(ABS(BY628-[3]QC_indicators!$B$1)&gt;3*[3]QC_indicators!$C$1,"DF","no")))</f>
        <v>no</v>
      </c>
      <c r="ET628" s="264" t="s">
        <v>3272</v>
      </c>
    </row>
    <row r="629" spans="1:150" ht="15" hidden="1" customHeight="1">
      <c r="A629" s="1" t="s">
        <v>265</v>
      </c>
      <c r="B629" t="s">
        <v>1530</v>
      </c>
      <c r="C629" t="s">
        <v>1531</v>
      </c>
      <c r="D629" t="s">
        <v>1532</v>
      </c>
      <c r="E629" t="s">
        <v>1533</v>
      </c>
      <c r="F629" t="s">
        <v>1534</v>
      </c>
      <c r="G629" t="s">
        <v>271</v>
      </c>
      <c r="H629" t="s">
        <v>254</v>
      </c>
      <c r="I629">
        <v>2019</v>
      </c>
      <c r="J629">
        <v>26</v>
      </c>
      <c r="K629" t="s">
        <v>1535</v>
      </c>
      <c r="M629" t="str">
        <f t="shared" si="686"/>
        <v>Faraca_2019</v>
      </c>
      <c r="N629" t="s">
        <v>222</v>
      </c>
      <c r="O629" s="145" t="s">
        <v>274</v>
      </c>
      <c r="P629" s="180" t="s">
        <v>223</v>
      </c>
      <c r="Q629" t="s">
        <v>256</v>
      </c>
      <c r="R629" s="262" t="s">
        <v>223</v>
      </c>
      <c r="S629" s="263" t="s">
        <v>3122</v>
      </c>
      <c r="T629" s="264" t="s">
        <v>3123</v>
      </c>
      <c r="U629" s="264" t="s">
        <v>3124</v>
      </c>
      <c r="V629">
        <v>0</v>
      </c>
      <c r="W629">
        <v>0</v>
      </c>
      <c r="X629">
        <v>0</v>
      </c>
      <c r="Y629">
        <v>0</v>
      </c>
      <c r="Z629">
        <v>0</v>
      </c>
      <c r="AA629">
        <v>0</v>
      </c>
      <c r="AB629">
        <v>0</v>
      </c>
      <c r="AC629">
        <v>0</v>
      </c>
      <c r="AD629">
        <v>0</v>
      </c>
      <c r="AE629">
        <v>0</v>
      </c>
      <c r="AF629">
        <v>0</v>
      </c>
      <c r="AG629">
        <v>0</v>
      </c>
      <c r="AH629">
        <v>0</v>
      </c>
      <c r="AI629">
        <v>1</v>
      </c>
      <c r="AJ629">
        <v>0</v>
      </c>
      <c r="AK629">
        <v>0</v>
      </c>
      <c r="AL629">
        <v>0</v>
      </c>
      <c r="AM629">
        <v>0</v>
      </c>
      <c r="AN629">
        <v>0</v>
      </c>
      <c r="AO629">
        <v>0</v>
      </c>
      <c r="AP629">
        <v>0</v>
      </c>
      <c r="AQ629">
        <v>0</v>
      </c>
      <c r="AR629">
        <v>0</v>
      </c>
      <c r="AS629">
        <v>0</v>
      </c>
      <c r="AT629">
        <v>0</v>
      </c>
      <c r="AU629">
        <v>0</v>
      </c>
      <c r="AV629">
        <v>0</v>
      </c>
      <c r="AW629">
        <v>0</v>
      </c>
      <c r="AX629" s="141">
        <f t="shared" si="694"/>
        <v>1</v>
      </c>
      <c r="AY629" s="141">
        <f t="shared" si="695"/>
        <v>1</v>
      </c>
      <c r="AZ629">
        <f t="shared" si="696"/>
        <v>0</v>
      </c>
      <c r="BA629">
        <f t="shared" si="697"/>
        <v>1</v>
      </c>
      <c r="BB629">
        <f t="shared" si="698"/>
        <v>0</v>
      </c>
      <c r="BC629">
        <f t="shared" si="699"/>
        <v>0</v>
      </c>
      <c r="BD629">
        <f t="shared" si="700"/>
        <v>0</v>
      </c>
      <c r="BE629" t="str">
        <f t="array" ref="BE629">IF(AY629=1,INDEX($V$7:$AL$7,MATCH(TRUE,INDEX($V629:$AW629&lt;&gt;0,),0)),IF(AY629=0,INDEX($AM$7:$AW$7,MATCH(1,$AM629:$AW629,0)),IF(BF629="Multiple strategies","mixed drivers",IF(BF629="Supply chain","multiple supply","multiple silviculture"))))</f>
        <v>products lifespan</v>
      </c>
      <c r="BF629" s="2" t="str" cm="1">
        <f t="array" ref="BF629">IF(COUNTIF(AZ629:BB629,"&lt;&gt;0")=1,INDEX($V$4:$AW$4,MATCH(TRUE,INDEX($V629:$AW629&lt;&gt;0,),0)),IF(COUNTIF(AZ629:BB629,"&lt;&gt;0")=0,INDEX($AM$4:$AW$4,MATCH(1,$AM629:$AW629,0)),"Multiple strategies"))</f>
        <v>Supply chain</v>
      </c>
      <c r="BG629" s="1" t="s">
        <v>229</v>
      </c>
      <c r="BH629" t="s">
        <v>1547</v>
      </c>
      <c r="BI629" s="264" t="s">
        <v>3120</v>
      </c>
      <c r="BJ629" t="s">
        <v>345</v>
      </c>
      <c r="BK629">
        <v>478</v>
      </c>
      <c r="BL629">
        <v>922</v>
      </c>
      <c r="BM629">
        <f>BK629/BL629</f>
        <v>0.51843817787418656</v>
      </c>
      <c r="BN629">
        <f t="shared" si="701"/>
        <v>444</v>
      </c>
      <c r="BO629">
        <f t="shared" si="702"/>
        <v>0.90612244897959193</v>
      </c>
      <c r="BP629" t="s">
        <v>395</v>
      </c>
      <c r="BQ629" t="s">
        <v>426</v>
      </c>
      <c r="BR629" t="s">
        <v>728</v>
      </c>
      <c r="BS629">
        <v>206.8</v>
      </c>
      <c r="BT629">
        <v>515.29999999999995</v>
      </c>
      <c r="BU629" s="144"/>
      <c r="BV629">
        <f t="shared" si="726"/>
        <v>308.49999999999994</v>
      </c>
      <c r="BX629">
        <f t="shared" si="704"/>
        <v>0.30849999999999994</v>
      </c>
      <c r="BY629">
        <f t="shared" si="727"/>
        <v>0.34046171171171163</v>
      </c>
      <c r="BZ629">
        <v>0</v>
      </c>
      <c r="CA629">
        <v>0</v>
      </c>
      <c r="CB629">
        <v>0</v>
      </c>
      <c r="CC629">
        <v>0</v>
      </c>
      <c r="CD629">
        <v>0</v>
      </c>
      <c r="CE629">
        <v>0</v>
      </c>
      <c r="CF629">
        <v>0</v>
      </c>
      <c r="CG629">
        <v>0</v>
      </c>
      <c r="CH629">
        <v>0</v>
      </c>
      <c r="CI629">
        <v>0</v>
      </c>
      <c r="CJ629">
        <v>0</v>
      </c>
      <c r="CK629">
        <v>0</v>
      </c>
      <c r="CL629">
        <v>0</v>
      </c>
      <c r="CM629">
        <v>0</v>
      </c>
      <c r="CN629" t="str">
        <f t="shared" si="705"/>
        <v>refOK</v>
      </c>
      <c r="CO629">
        <f>IF($CN629="refNeedCorrection",BL629,BK629)</f>
        <v>478</v>
      </c>
      <c r="CP629">
        <f>IF($CN629="refNeedCorrection",BK629,BL629)</f>
        <v>922</v>
      </c>
      <c r="CQ629">
        <f t="shared" si="708"/>
        <v>0.90612244897959193</v>
      </c>
      <c r="CR629">
        <f t="shared" si="709"/>
        <v>-206.8</v>
      </c>
      <c r="CS629">
        <f t="shared" si="731"/>
        <v>-515.29999999999995</v>
      </c>
      <c r="CT629">
        <f t="shared" si="711"/>
        <v>-0.30849999999999994</v>
      </c>
      <c r="CU629">
        <f t="shared" si="712"/>
        <v>-0.34046171171171163</v>
      </c>
      <c r="CV629" s="2">
        <f t="shared" si="713"/>
        <v>-1.4917794970986458</v>
      </c>
      <c r="CW629" s="1" t="s">
        <v>1198</v>
      </c>
      <c r="CX629" t="str">
        <f t="shared" si="714"/>
        <v>reg</v>
      </c>
      <c r="CY629" t="s">
        <v>1539</v>
      </c>
      <c r="DB629">
        <v>100</v>
      </c>
      <c r="DC629" t="str">
        <f t="shared" si="715"/>
        <v>71-100</v>
      </c>
      <c r="DD629">
        <v>0</v>
      </c>
      <c r="DE629">
        <v>0</v>
      </c>
      <c r="DF629">
        <v>0</v>
      </c>
      <c r="DG629">
        <v>1</v>
      </c>
      <c r="DI629">
        <f t="shared" si="716"/>
        <v>1</v>
      </c>
      <c r="DJ629" t="str">
        <f t="shared" si="717"/>
        <v>TimberInput</v>
      </c>
      <c r="DK629">
        <f t="shared" si="718"/>
        <v>0</v>
      </c>
      <c r="DL629">
        <f t="shared" si="719"/>
        <v>0</v>
      </c>
      <c r="DM629">
        <f t="shared" si="720"/>
        <v>0</v>
      </c>
      <c r="DN629" t="str">
        <f t="shared" si="721"/>
        <v>Timber</v>
      </c>
      <c r="DO629">
        <v>0</v>
      </c>
      <c r="DP629">
        <v>0</v>
      </c>
      <c r="DQ629">
        <v>0</v>
      </c>
      <c r="DR629">
        <v>0</v>
      </c>
      <c r="DS629">
        <v>0</v>
      </c>
      <c r="DT629">
        <f t="shared" si="722"/>
        <v>0</v>
      </c>
      <c r="DU629" s="143" t="str">
        <f t="shared" si="723"/>
        <v>explicit C balance</v>
      </c>
      <c r="DV629">
        <v>0</v>
      </c>
      <c r="DW629">
        <v>0</v>
      </c>
      <c r="DX629">
        <v>0</v>
      </c>
      <c r="DY629">
        <v>0</v>
      </c>
      <c r="DZ629">
        <v>1</v>
      </c>
      <c r="EA629" s="143">
        <v>0</v>
      </c>
      <c r="EB629">
        <v>0</v>
      </c>
      <c r="EC629">
        <v>1</v>
      </c>
      <c r="ED629">
        <v>0</v>
      </c>
      <c r="EE629">
        <v>1</v>
      </c>
      <c r="EF629">
        <v>1</v>
      </c>
      <c r="EG629">
        <v>1</v>
      </c>
      <c r="EH629">
        <v>0</v>
      </c>
      <c r="EI629" s="2">
        <v>0</v>
      </c>
      <c r="EK629" t="str">
        <f t="shared" si="724"/>
        <v/>
      </c>
      <c r="EL629" t="str">
        <f t="shared" si="725"/>
        <v/>
      </c>
      <c r="EM629" s="2" t="str">
        <f t="shared" si="728"/>
        <v>Technology approach</v>
      </c>
      <c r="EP629" t="str">
        <f>IF(ISNUMBER(BU629),IF(ABS(BU629-[3]QC_indicators!$B$2)&gt;3*[3]QC_indicators!$C$2,"C ratio",IF(ISNUMBER(BY629),IF(ABS(BY629-[3]QC_indicators!$B$1)&gt;3*[3]QC_indicators!$C$1,"DF","no"))),IF(ISNUMBER(BY629),IF(ABS(BY629-[3]QC_indicators!$B$1)&gt;3*[3]QC_indicators!$C$1,"DF","no")))</f>
        <v>no</v>
      </c>
      <c r="ET629" s="264" t="s">
        <v>3272</v>
      </c>
    </row>
    <row r="630" spans="1:150" ht="15" hidden="1" customHeight="1">
      <c r="A630" s="1" t="s">
        <v>265</v>
      </c>
      <c r="B630" t="s">
        <v>1530</v>
      </c>
      <c r="C630" t="s">
        <v>1531</v>
      </c>
      <c r="D630" t="s">
        <v>1532</v>
      </c>
      <c r="E630" t="s">
        <v>1533</v>
      </c>
      <c r="F630" t="s">
        <v>1534</v>
      </c>
      <c r="G630" t="s">
        <v>271</v>
      </c>
      <c r="H630" t="s">
        <v>254</v>
      </c>
      <c r="I630">
        <v>2019</v>
      </c>
      <c r="J630">
        <v>26</v>
      </c>
      <c r="K630" t="s">
        <v>1535</v>
      </c>
      <c r="M630" t="str">
        <f t="shared" si="686"/>
        <v>Faraca_2019</v>
      </c>
      <c r="N630" t="s">
        <v>222</v>
      </c>
      <c r="O630" s="145" t="s">
        <v>274</v>
      </c>
      <c r="P630" s="180" t="s">
        <v>223</v>
      </c>
      <c r="Q630" t="s">
        <v>256</v>
      </c>
      <c r="R630" s="262" t="s">
        <v>223</v>
      </c>
      <c r="S630" s="263" t="s">
        <v>3119</v>
      </c>
      <c r="T630" t="s">
        <v>1542</v>
      </c>
      <c r="U630" t="s">
        <v>1544</v>
      </c>
      <c r="V630">
        <v>0</v>
      </c>
      <c r="W630">
        <v>0</v>
      </c>
      <c r="X630">
        <v>0</v>
      </c>
      <c r="Y630">
        <v>0</v>
      </c>
      <c r="Z630">
        <v>0</v>
      </c>
      <c r="AA630">
        <v>0</v>
      </c>
      <c r="AB630">
        <v>0</v>
      </c>
      <c r="AC630">
        <v>0</v>
      </c>
      <c r="AD630">
        <v>0</v>
      </c>
      <c r="AE630">
        <v>0</v>
      </c>
      <c r="AF630">
        <v>0</v>
      </c>
      <c r="AG630">
        <v>0</v>
      </c>
      <c r="AH630">
        <v>0</v>
      </c>
      <c r="AI630">
        <v>1</v>
      </c>
      <c r="AJ630">
        <v>0</v>
      </c>
      <c r="AK630">
        <v>0</v>
      </c>
      <c r="AL630">
        <v>0</v>
      </c>
      <c r="AM630">
        <v>0</v>
      </c>
      <c r="AN630">
        <v>0</v>
      </c>
      <c r="AO630">
        <v>0</v>
      </c>
      <c r="AP630">
        <v>0</v>
      </c>
      <c r="AQ630">
        <v>0</v>
      </c>
      <c r="AR630">
        <v>0</v>
      </c>
      <c r="AS630">
        <v>0</v>
      </c>
      <c r="AT630">
        <v>0</v>
      </c>
      <c r="AU630">
        <v>0</v>
      </c>
      <c r="AV630">
        <v>0</v>
      </c>
      <c r="AW630">
        <v>0</v>
      </c>
      <c r="AX630" s="141">
        <f t="shared" si="694"/>
        <v>1</v>
      </c>
      <c r="AY630" s="141">
        <f t="shared" si="695"/>
        <v>1</v>
      </c>
      <c r="AZ630">
        <f t="shared" si="696"/>
        <v>0</v>
      </c>
      <c r="BA630">
        <f t="shared" si="697"/>
        <v>1</v>
      </c>
      <c r="BB630">
        <f t="shared" si="698"/>
        <v>0</v>
      </c>
      <c r="BC630">
        <f t="shared" si="699"/>
        <v>0</v>
      </c>
      <c r="BD630">
        <f t="shared" si="700"/>
        <v>0</v>
      </c>
      <c r="BE630" t="str">
        <f t="array" ref="BE630">IF(AY630=1,INDEX($V$7:$AL$7,MATCH(TRUE,INDEX($V630:$AW630&lt;&gt;0,),0)),IF(AY630=0,INDEX($AM$7:$AW$7,MATCH(1,$AM630:$AW630,0)),IF(BF630="Multiple strategies","mixed drivers",IF(BF630="Supply chain","multiple supply","multiple silviculture"))))</f>
        <v>products lifespan</v>
      </c>
      <c r="BF630" s="2" t="str" cm="1">
        <f t="array" ref="BF630">IF(COUNTIF(AZ630:BB630,"&lt;&gt;0")=1,INDEX($V$4:$AW$4,MATCH(TRUE,INDEX($V630:$AW630&lt;&gt;0,),0)),IF(COUNTIF(AZ630:BB630,"&lt;&gt;0")=0,INDEX($AM$4:$AW$4,MATCH(1,$AM630:$AW630,0)),"Multiple strategies"))</f>
        <v>Supply chain</v>
      </c>
      <c r="BG630" s="1" t="s">
        <v>229</v>
      </c>
      <c r="BH630" t="s">
        <v>1547</v>
      </c>
      <c r="BI630" s="264" t="s">
        <v>3120</v>
      </c>
      <c r="BJ630" t="s">
        <v>345</v>
      </c>
      <c r="BK630">
        <v>478</v>
      </c>
      <c r="BL630">
        <v>922</v>
      </c>
      <c r="BM630">
        <f>BK630/BL630</f>
        <v>0.51843817787418656</v>
      </c>
      <c r="BN630">
        <f t="shared" si="701"/>
        <v>444</v>
      </c>
      <c r="BO630">
        <f t="shared" si="702"/>
        <v>0.90612244897959193</v>
      </c>
      <c r="BP630" t="s">
        <v>395</v>
      </c>
      <c r="BQ630" s="264" t="s">
        <v>426</v>
      </c>
      <c r="BR630" t="s">
        <v>728</v>
      </c>
      <c r="BS630">
        <v>-393.1</v>
      </c>
      <c r="BT630">
        <v>-10.3</v>
      </c>
      <c r="BU630" s="144">
        <f>IFERROR(BS630/BT630,"")</f>
        <v>38.165048543689323</v>
      </c>
      <c r="BV630">
        <f t="shared" si="726"/>
        <v>382.8</v>
      </c>
      <c r="BX630">
        <f t="shared" si="704"/>
        <v>0.38280000000000003</v>
      </c>
      <c r="BY630">
        <f t="shared" si="727"/>
        <v>0.42245945945945945</v>
      </c>
      <c r="BZ630">
        <v>0</v>
      </c>
      <c r="CA630">
        <v>0</v>
      </c>
      <c r="CB630">
        <v>0</v>
      </c>
      <c r="CC630">
        <v>0</v>
      </c>
      <c r="CD630">
        <v>0</v>
      </c>
      <c r="CE630">
        <v>0</v>
      </c>
      <c r="CF630">
        <v>0</v>
      </c>
      <c r="CG630">
        <v>0</v>
      </c>
      <c r="CH630">
        <v>0</v>
      </c>
      <c r="CI630">
        <v>0</v>
      </c>
      <c r="CJ630">
        <v>0</v>
      </c>
      <c r="CK630">
        <v>0</v>
      </c>
      <c r="CL630">
        <v>0</v>
      </c>
      <c r="CM630">
        <v>0</v>
      </c>
      <c r="CN630" t="str">
        <f t="shared" si="705"/>
        <v>refOK</v>
      </c>
      <c r="CO630">
        <f>IF($CN630="refNeedCorrection",BL630,BK630)</f>
        <v>478</v>
      </c>
      <c r="CP630">
        <f>IF($CN630="refNeedCorrection",BK630,BL630)</f>
        <v>922</v>
      </c>
      <c r="CQ630">
        <f t="shared" si="708"/>
        <v>0.90612244897959193</v>
      </c>
      <c r="CR630">
        <f t="shared" si="709"/>
        <v>393.1</v>
      </c>
      <c r="CS630">
        <f t="shared" si="731"/>
        <v>10.3</v>
      </c>
      <c r="CT630">
        <f t="shared" si="711"/>
        <v>-0.38280000000000003</v>
      </c>
      <c r="CU630">
        <f t="shared" si="712"/>
        <v>-0.42245945945945945</v>
      </c>
      <c r="CV630" s="2">
        <f t="shared" si="713"/>
        <v>-0.97379801577206815</v>
      </c>
      <c r="CW630" s="1" t="s">
        <v>1198</v>
      </c>
      <c r="CX630" t="str">
        <f t="shared" si="714"/>
        <v>reg</v>
      </c>
      <c r="CY630" t="s">
        <v>1539</v>
      </c>
      <c r="DB630">
        <v>100</v>
      </c>
      <c r="DC630" t="str">
        <f t="shared" si="715"/>
        <v>71-100</v>
      </c>
      <c r="DD630">
        <v>0</v>
      </c>
      <c r="DE630">
        <v>0</v>
      </c>
      <c r="DF630">
        <v>0</v>
      </c>
      <c r="DG630">
        <v>1</v>
      </c>
      <c r="DI630">
        <f t="shared" si="716"/>
        <v>1</v>
      </c>
      <c r="DJ630" t="str">
        <f t="shared" si="717"/>
        <v>TimberInput</v>
      </c>
      <c r="DK630">
        <f t="shared" si="718"/>
        <v>0</v>
      </c>
      <c r="DL630">
        <f t="shared" si="719"/>
        <v>0</v>
      </c>
      <c r="DM630">
        <f t="shared" si="720"/>
        <v>0</v>
      </c>
      <c r="DN630" t="str">
        <f t="shared" si="721"/>
        <v>Timber</v>
      </c>
      <c r="DO630">
        <v>0</v>
      </c>
      <c r="DP630">
        <v>1</v>
      </c>
      <c r="DQ630">
        <v>0</v>
      </c>
      <c r="DR630">
        <v>0</v>
      </c>
      <c r="DS630" t="s">
        <v>1540</v>
      </c>
      <c r="DT630">
        <f t="shared" si="722"/>
        <v>1</v>
      </c>
      <c r="DU630" s="143" t="str">
        <f t="shared" si="723"/>
        <v>external DF used</v>
      </c>
      <c r="DV630">
        <v>0</v>
      </c>
      <c r="DW630">
        <v>0</v>
      </c>
      <c r="DX630">
        <v>0</v>
      </c>
      <c r="DY630">
        <v>0</v>
      </c>
      <c r="DZ630">
        <v>1</v>
      </c>
      <c r="EA630" s="143">
        <v>1</v>
      </c>
      <c r="EB630">
        <v>0</v>
      </c>
      <c r="EC630">
        <v>1</v>
      </c>
      <c r="ED630">
        <v>0</v>
      </c>
      <c r="EE630">
        <v>1</v>
      </c>
      <c r="EF630">
        <v>1</v>
      </c>
      <c r="EG630">
        <v>1</v>
      </c>
      <c r="EH630">
        <v>0</v>
      </c>
      <c r="EI630" s="2">
        <v>0</v>
      </c>
      <c r="EK630" t="str">
        <f t="shared" si="724"/>
        <v/>
      </c>
      <c r="EL630" t="str">
        <f t="shared" si="725"/>
        <v/>
      </c>
      <c r="EM630" s="2" t="str">
        <f t="shared" si="728"/>
        <v>Technology approach</v>
      </c>
      <c r="EP630" t="str">
        <f>IF(ISNUMBER(BU630),IF(ABS(BU630-[3]QC_indicators!$B$2)&gt;3*[3]QC_indicators!$C$2,"C ratio",IF(ISNUMBER(BY630),IF(ABS(BY630-[3]QC_indicators!$B$1)&gt;3*[3]QC_indicators!$C$1,"DF","no"))),IF(ISNUMBER(BY630),IF(ABS(BY630-[3]QC_indicators!$B$1)&gt;3*[3]QC_indicators!$C$1,"DF","no")))</f>
        <v>C ratio</v>
      </c>
      <c r="ET630" s="264" t="s">
        <v>3272</v>
      </c>
    </row>
    <row r="631" spans="1:150" ht="15" hidden="1" customHeight="1">
      <c r="A631" s="1" t="s">
        <v>265</v>
      </c>
      <c r="B631" t="s">
        <v>1530</v>
      </c>
      <c r="C631" t="s">
        <v>1531</v>
      </c>
      <c r="D631" t="s">
        <v>1532</v>
      </c>
      <c r="E631" t="s">
        <v>1533</v>
      </c>
      <c r="F631" t="s">
        <v>1534</v>
      </c>
      <c r="G631" t="s">
        <v>271</v>
      </c>
      <c r="H631" t="s">
        <v>254</v>
      </c>
      <c r="I631">
        <v>2019</v>
      </c>
      <c r="J631">
        <v>26</v>
      </c>
      <c r="K631" t="s">
        <v>1535</v>
      </c>
      <c r="M631" t="str">
        <f t="shared" si="686"/>
        <v>Faraca_2019</v>
      </c>
      <c r="N631" t="s">
        <v>222</v>
      </c>
      <c r="O631" s="145" t="s">
        <v>274</v>
      </c>
      <c r="P631" s="180" t="s">
        <v>223</v>
      </c>
      <c r="Q631" t="s">
        <v>256</v>
      </c>
      <c r="R631" s="262" t="s">
        <v>223</v>
      </c>
      <c r="S631" s="1" t="s">
        <v>1541</v>
      </c>
      <c r="T631" t="s">
        <v>1542</v>
      </c>
      <c r="U631" t="s">
        <v>1543</v>
      </c>
      <c r="V631">
        <v>0</v>
      </c>
      <c r="W631">
        <v>0</v>
      </c>
      <c r="X631">
        <v>0</v>
      </c>
      <c r="Y631">
        <v>0</v>
      </c>
      <c r="Z631">
        <v>0</v>
      </c>
      <c r="AA631">
        <v>0</v>
      </c>
      <c r="AB631">
        <v>0</v>
      </c>
      <c r="AC631">
        <v>0</v>
      </c>
      <c r="AD631">
        <v>0</v>
      </c>
      <c r="AE631">
        <v>0</v>
      </c>
      <c r="AF631">
        <v>0</v>
      </c>
      <c r="AG631">
        <v>0</v>
      </c>
      <c r="AH631">
        <v>0</v>
      </c>
      <c r="AI631">
        <v>1</v>
      </c>
      <c r="AJ631">
        <v>0</v>
      </c>
      <c r="AK631">
        <v>0</v>
      </c>
      <c r="AL631">
        <v>0</v>
      </c>
      <c r="AM631">
        <v>0</v>
      </c>
      <c r="AN631">
        <v>0</v>
      </c>
      <c r="AO631">
        <v>0</v>
      </c>
      <c r="AP631">
        <v>0</v>
      </c>
      <c r="AQ631">
        <v>0</v>
      </c>
      <c r="AR631">
        <v>0</v>
      </c>
      <c r="AS631">
        <v>0</v>
      </c>
      <c r="AT631">
        <v>0</v>
      </c>
      <c r="AU631">
        <v>0</v>
      </c>
      <c r="AV631">
        <v>0</v>
      </c>
      <c r="AW631">
        <v>0</v>
      </c>
      <c r="AX631" s="141">
        <f t="shared" si="694"/>
        <v>1</v>
      </c>
      <c r="AY631" s="141">
        <f t="shared" si="695"/>
        <v>1</v>
      </c>
      <c r="AZ631">
        <f t="shared" si="696"/>
        <v>0</v>
      </c>
      <c r="BA631">
        <f t="shared" si="697"/>
        <v>1</v>
      </c>
      <c r="BB631">
        <f t="shared" si="698"/>
        <v>0</v>
      </c>
      <c r="BC631">
        <f t="shared" si="699"/>
        <v>0</v>
      </c>
      <c r="BD631">
        <f t="shared" si="700"/>
        <v>0</v>
      </c>
      <c r="BE631" t="str">
        <f t="array" ref="BE631">IF(AY631=1,INDEX($V$7:$AL$7,MATCH(TRUE,INDEX($V631:$AW631&lt;&gt;0,),0)),IF(AY631=0,INDEX($AM$7:$AW$7,MATCH(1,$AM631:$AW631,0)),IF(BF631="Multiple strategies","mixed drivers",IF(BF631="Supply chain","multiple supply","multiple silviculture"))))</f>
        <v>products lifespan</v>
      </c>
      <c r="BF631" s="2" t="str" cm="1">
        <f t="array" ref="BF631">IF(COUNTIF(AZ631:BB631,"&lt;&gt;0")=1,INDEX($V$4:$AW$4,MATCH(TRUE,INDEX($V631:$AW631&lt;&gt;0,),0)),IF(COUNTIF(AZ631:BB631,"&lt;&gt;0")=0,INDEX($AM$4:$AW$4,MATCH(1,$AM631:$AW631,0)),"Multiple strategies"))</f>
        <v>Supply chain</v>
      </c>
      <c r="BG631" s="1" t="s">
        <v>229</v>
      </c>
      <c r="BH631" t="s">
        <v>1547</v>
      </c>
      <c r="BI631" s="264" t="s">
        <v>3120</v>
      </c>
      <c r="BJ631" t="s">
        <v>345</v>
      </c>
      <c r="BK631">
        <v>478</v>
      </c>
      <c r="BL631">
        <v>638</v>
      </c>
      <c r="BM631">
        <v>1</v>
      </c>
      <c r="BN631">
        <f t="shared" si="701"/>
        <v>160</v>
      </c>
      <c r="BO631">
        <f t="shared" si="702"/>
        <v>0.32653061224489799</v>
      </c>
      <c r="BP631" t="s">
        <v>395</v>
      </c>
      <c r="BQ631" s="264" t="s">
        <v>429</v>
      </c>
      <c r="BR631" t="s">
        <v>728</v>
      </c>
      <c r="BS631">
        <v>-696.6</v>
      </c>
      <c r="BT631">
        <v>-548.29999999999995</v>
      </c>
      <c r="BU631" s="144">
        <v>-0.63186813186813184</v>
      </c>
      <c r="BV631">
        <f t="shared" si="726"/>
        <v>148.30000000000007</v>
      </c>
      <c r="BX631">
        <f t="shared" si="704"/>
        <v>0.14830000000000007</v>
      </c>
      <c r="BY631">
        <f t="shared" si="727"/>
        <v>0.45416875000000018</v>
      </c>
      <c r="BZ631">
        <v>0</v>
      </c>
      <c r="CA631">
        <v>0</v>
      </c>
      <c r="CB631">
        <v>0</v>
      </c>
      <c r="CC631">
        <v>0</v>
      </c>
      <c r="CD631">
        <v>0</v>
      </c>
      <c r="CE631">
        <v>0</v>
      </c>
      <c r="CF631">
        <v>0</v>
      </c>
      <c r="CG631">
        <v>0</v>
      </c>
      <c r="CH631">
        <v>0</v>
      </c>
      <c r="CI631">
        <v>0</v>
      </c>
      <c r="CJ631">
        <v>0</v>
      </c>
      <c r="CK631">
        <v>0</v>
      </c>
      <c r="CL631">
        <v>0</v>
      </c>
      <c r="CM631">
        <v>0</v>
      </c>
      <c r="CN631" t="str">
        <f t="shared" si="705"/>
        <v>refOK</v>
      </c>
      <c r="CO631">
        <f>IF($CN631="refNeedCorrection",BK631,BL631)</f>
        <v>638</v>
      </c>
      <c r="CP631">
        <f>IF($CN631="refNeedCorrection",BL631,BK631)</f>
        <v>478</v>
      </c>
      <c r="CQ631">
        <f t="shared" si="708"/>
        <v>0.32653061224489799</v>
      </c>
      <c r="CR631">
        <f t="shared" si="709"/>
        <v>696.6</v>
      </c>
      <c r="CS631">
        <f t="shared" si="731"/>
        <v>548.29999999999995</v>
      </c>
      <c r="CT631">
        <f t="shared" si="711"/>
        <v>-0.14830000000000007</v>
      </c>
      <c r="CU631">
        <f t="shared" si="712"/>
        <v>-0.45416875000000018</v>
      </c>
      <c r="CV631" s="2">
        <f t="shared" si="713"/>
        <v>-0.21289118575940291</v>
      </c>
      <c r="CW631" s="1" t="s">
        <v>1198</v>
      </c>
      <c r="CX631" t="str">
        <f t="shared" si="714"/>
        <v>reg</v>
      </c>
      <c r="CY631" t="s">
        <v>1539</v>
      </c>
      <c r="DB631">
        <v>100</v>
      </c>
      <c r="DC631" t="str">
        <f t="shared" si="715"/>
        <v>71-100</v>
      </c>
      <c r="DD631">
        <v>0</v>
      </c>
      <c r="DE631">
        <v>0</v>
      </c>
      <c r="DF631">
        <v>0</v>
      </c>
      <c r="DG631">
        <v>1</v>
      </c>
      <c r="DI631">
        <f t="shared" si="716"/>
        <v>1</v>
      </c>
      <c r="DJ631" t="str">
        <f t="shared" si="717"/>
        <v>TimberInput</v>
      </c>
      <c r="DK631">
        <f t="shared" si="718"/>
        <v>0</v>
      </c>
      <c r="DL631">
        <f t="shared" si="719"/>
        <v>0</v>
      </c>
      <c r="DM631">
        <f t="shared" si="720"/>
        <v>0</v>
      </c>
      <c r="DN631" t="str">
        <f t="shared" si="721"/>
        <v>Timber</v>
      </c>
      <c r="DO631">
        <v>0</v>
      </c>
      <c r="DP631">
        <v>1</v>
      </c>
      <c r="DQ631">
        <v>0</v>
      </c>
      <c r="DR631">
        <v>0</v>
      </c>
      <c r="DS631" t="s">
        <v>1540</v>
      </c>
      <c r="DT631">
        <f t="shared" si="722"/>
        <v>1</v>
      </c>
      <c r="DU631" s="143" t="str">
        <f t="shared" si="723"/>
        <v>external DF used</v>
      </c>
      <c r="DV631">
        <v>0</v>
      </c>
      <c r="DW631">
        <v>0</v>
      </c>
      <c r="DX631">
        <v>0</v>
      </c>
      <c r="DY631">
        <v>0</v>
      </c>
      <c r="DZ631">
        <v>1</v>
      </c>
      <c r="EA631" s="143">
        <v>1</v>
      </c>
      <c r="EB631">
        <v>0</v>
      </c>
      <c r="EC631">
        <v>1</v>
      </c>
      <c r="ED631">
        <v>0</v>
      </c>
      <c r="EE631">
        <v>1</v>
      </c>
      <c r="EF631">
        <v>1</v>
      </c>
      <c r="EG631">
        <v>1</v>
      </c>
      <c r="EH631">
        <v>1</v>
      </c>
      <c r="EI631" s="2">
        <v>0</v>
      </c>
      <c r="EK631" t="str">
        <f t="shared" si="724"/>
        <v/>
      </c>
      <c r="EL631" t="str">
        <f t="shared" si="725"/>
        <v/>
      </c>
      <c r="EM631" s="2" t="str">
        <f t="shared" si="728"/>
        <v>Technology approach</v>
      </c>
      <c r="EP631" t="str">
        <f>IF(ISNUMBER(BU631),IF(ABS(BU631-[3]QC_indicators!$B$2)&gt;3*[3]QC_indicators!$C$2,"C ratio",IF(ISNUMBER(BY631),IF(ABS(BY631-[3]QC_indicators!$B$1)&gt;3*[3]QC_indicators!$C$1,"DF","no"))),IF(ISNUMBER(BY631),IF(ABS(BY631-[3]QC_indicators!$B$1)&gt;3*[3]QC_indicators!$C$1,"DF","no")))</f>
        <v>no</v>
      </c>
      <c r="ET631" s="264" t="s">
        <v>3272</v>
      </c>
    </row>
    <row r="632" spans="1:150" ht="15" hidden="1" customHeight="1">
      <c r="A632" s="1" t="s">
        <v>265</v>
      </c>
      <c r="B632" t="s">
        <v>1530</v>
      </c>
      <c r="C632" t="s">
        <v>1531</v>
      </c>
      <c r="D632" t="s">
        <v>1532</v>
      </c>
      <c r="E632" t="s">
        <v>1533</v>
      </c>
      <c r="F632" t="s">
        <v>1534</v>
      </c>
      <c r="G632" t="s">
        <v>271</v>
      </c>
      <c r="H632" t="s">
        <v>254</v>
      </c>
      <c r="I632">
        <v>2019</v>
      </c>
      <c r="J632">
        <v>26</v>
      </c>
      <c r="K632" t="s">
        <v>1535</v>
      </c>
      <c r="M632" t="str">
        <f t="shared" si="686"/>
        <v>Faraca_2019</v>
      </c>
      <c r="N632" t="s">
        <v>222</v>
      </c>
      <c r="O632" s="145" t="s">
        <v>274</v>
      </c>
      <c r="P632" s="180" t="s">
        <v>223</v>
      </c>
      <c r="Q632" t="s">
        <v>256</v>
      </c>
      <c r="R632" s="262" t="s">
        <v>223</v>
      </c>
      <c r="S632" s="263" t="s">
        <v>3122</v>
      </c>
      <c r="T632" s="264" t="s">
        <v>3123</v>
      </c>
      <c r="U632" s="264" t="s">
        <v>3125</v>
      </c>
      <c r="V632">
        <v>0</v>
      </c>
      <c r="W632">
        <v>0</v>
      </c>
      <c r="X632">
        <v>0</v>
      </c>
      <c r="Y632">
        <v>0</v>
      </c>
      <c r="Z632">
        <v>0</v>
      </c>
      <c r="AA632">
        <v>0</v>
      </c>
      <c r="AB632">
        <v>0</v>
      </c>
      <c r="AC632">
        <v>0</v>
      </c>
      <c r="AD632">
        <v>0</v>
      </c>
      <c r="AE632">
        <v>0</v>
      </c>
      <c r="AF632">
        <v>0</v>
      </c>
      <c r="AG632">
        <v>0</v>
      </c>
      <c r="AH632">
        <v>0</v>
      </c>
      <c r="AI632">
        <v>1</v>
      </c>
      <c r="AJ632">
        <v>0</v>
      </c>
      <c r="AK632">
        <v>0</v>
      </c>
      <c r="AL632">
        <v>0</v>
      </c>
      <c r="AM632">
        <v>0</v>
      </c>
      <c r="AN632">
        <v>0</v>
      </c>
      <c r="AO632">
        <v>0</v>
      </c>
      <c r="AP632">
        <v>0</v>
      </c>
      <c r="AQ632">
        <v>0</v>
      </c>
      <c r="AR632">
        <v>0</v>
      </c>
      <c r="AS632">
        <v>0</v>
      </c>
      <c r="AT632">
        <v>0</v>
      </c>
      <c r="AU632">
        <v>0</v>
      </c>
      <c r="AV632">
        <v>0</v>
      </c>
      <c r="AW632">
        <v>0</v>
      </c>
      <c r="AX632" s="141">
        <f t="shared" si="694"/>
        <v>1</v>
      </c>
      <c r="AY632" s="141">
        <f t="shared" si="695"/>
        <v>1</v>
      </c>
      <c r="AZ632">
        <f t="shared" si="696"/>
        <v>0</v>
      </c>
      <c r="BA632">
        <f t="shared" si="697"/>
        <v>1</v>
      </c>
      <c r="BB632">
        <f t="shared" si="698"/>
        <v>0</v>
      </c>
      <c r="BC632">
        <f t="shared" si="699"/>
        <v>0</v>
      </c>
      <c r="BD632">
        <f t="shared" si="700"/>
        <v>0</v>
      </c>
      <c r="BE632" t="str">
        <f t="array" ref="BE632">IF(AY632=1,INDEX($V$7:$AL$7,MATCH(TRUE,INDEX($V632:$AW632&lt;&gt;0,),0)),IF(AY632=0,INDEX($AM$7:$AW$7,MATCH(1,$AM632:$AW632,0)),IF(BF632="Multiple strategies","mixed drivers",IF(BF632="Supply chain","multiple supply","multiple silviculture"))))</f>
        <v>products lifespan</v>
      </c>
      <c r="BF632" s="2" t="str" cm="1">
        <f t="array" ref="BF632">IF(COUNTIF(AZ632:BB632,"&lt;&gt;0")=1,INDEX($V$4:$AW$4,MATCH(TRUE,INDEX($V632:$AW632&lt;&gt;0,),0)),IF(COUNTIF(AZ632:BB632,"&lt;&gt;0")=0,INDEX($AM$4:$AW$4,MATCH(1,$AM632:$AW632,0)),"Multiple strategies"))</f>
        <v>Supply chain</v>
      </c>
      <c r="BG632" s="1" t="s">
        <v>229</v>
      </c>
      <c r="BH632" t="s">
        <v>1547</v>
      </c>
      <c r="BI632" s="264" t="s">
        <v>3120</v>
      </c>
      <c r="BJ632" t="s">
        <v>345</v>
      </c>
      <c r="BK632">
        <v>478</v>
      </c>
      <c r="BL632">
        <v>638</v>
      </c>
      <c r="BM632">
        <v>1</v>
      </c>
      <c r="BN632">
        <f t="shared" si="701"/>
        <v>160</v>
      </c>
      <c r="BO632">
        <f t="shared" si="702"/>
        <v>0.32653061224489799</v>
      </c>
      <c r="BP632" t="s">
        <v>395</v>
      </c>
      <c r="BQ632" t="s">
        <v>426</v>
      </c>
      <c r="BR632" t="s">
        <v>728</v>
      </c>
      <c r="BS632">
        <v>206.8</v>
      </c>
      <c r="BT632">
        <v>474.6</v>
      </c>
      <c r="BU632" s="144"/>
      <c r="BV632">
        <f t="shared" si="726"/>
        <v>267.8</v>
      </c>
      <c r="BX632">
        <f t="shared" si="704"/>
        <v>0.26780000000000004</v>
      </c>
      <c r="BY632">
        <f t="shared" si="727"/>
        <v>0.82013750000000007</v>
      </c>
      <c r="BZ632">
        <v>0</v>
      </c>
      <c r="CA632">
        <v>0</v>
      </c>
      <c r="CB632">
        <v>0</v>
      </c>
      <c r="CC632">
        <v>0</v>
      </c>
      <c r="CD632">
        <v>0</v>
      </c>
      <c r="CE632">
        <v>0</v>
      </c>
      <c r="CF632">
        <v>0</v>
      </c>
      <c r="CG632">
        <v>0</v>
      </c>
      <c r="CH632">
        <v>0</v>
      </c>
      <c r="CI632">
        <v>0</v>
      </c>
      <c r="CJ632">
        <v>0</v>
      </c>
      <c r="CK632">
        <v>0</v>
      </c>
      <c r="CL632">
        <v>0</v>
      </c>
      <c r="CM632">
        <v>0</v>
      </c>
      <c r="CN632" t="str">
        <f t="shared" si="705"/>
        <v>refOK</v>
      </c>
      <c r="CO632">
        <f>IF($CN632="refNeedCorrection",BK632,BL632)</f>
        <v>638</v>
      </c>
      <c r="CP632">
        <f>IF($CN632="refNeedCorrection",BL632,BK632)</f>
        <v>478</v>
      </c>
      <c r="CQ632">
        <f t="shared" si="708"/>
        <v>0.32653061224489799</v>
      </c>
      <c r="CR632">
        <f t="shared" si="709"/>
        <v>-206.8</v>
      </c>
      <c r="CS632">
        <f t="shared" si="731"/>
        <v>-474.6</v>
      </c>
      <c r="CT632">
        <f t="shared" si="711"/>
        <v>-0.26780000000000004</v>
      </c>
      <c r="CU632">
        <f t="shared" si="712"/>
        <v>-0.82013750000000007</v>
      </c>
      <c r="CV632" s="2">
        <f t="shared" si="713"/>
        <v>-1.2949709864603483</v>
      </c>
      <c r="CW632" s="1" t="s">
        <v>1198</v>
      </c>
      <c r="CX632" t="str">
        <f t="shared" si="714"/>
        <v>reg</v>
      </c>
      <c r="CY632" t="s">
        <v>1539</v>
      </c>
      <c r="DB632">
        <v>100</v>
      </c>
      <c r="DC632" t="str">
        <f t="shared" si="715"/>
        <v>71-100</v>
      </c>
      <c r="DD632">
        <v>0</v>
      </c>
      <c r="DE632">
        <v>0</v>
      </c>
      <c r="DF632">
        <v>0</v>
      </c>
      <c r="DG632">
        <v>1</v>
      </c>
      <c r="DI632">
        <f t="shared" si="716"/>
        <v>1</v>
      </c>
      <c r="DJ632" t="str">
        <f t="shared" si="717"/>
        <v>TimberInput</v>
      </c>
      <c r="DK632">
        <f t="shared" si="718"/>
        <v>0</v>
      </c>
      <c r="DL632">
        <f t="shared" si="719"/>
        <v>0</v>
      </c>
      <c r="DM632">
        <f t="shared" si="720"/>
        <v>0</v>
      </c>
      <c r="DN632" t="str">
        <f t="shared" si="721"/>
        <v>Timber</v>
      </c>
      <c r="DO632">
        <v>0</v>
      </c>
      <c r="DP632">
        <v>0</v>
      </c>
      <c r="DQ632">
        <v>0</v>
      </c>
      <c r="DR632">
        <v>0</v>
      </c>
      <c r="DS632">
        <v>0</v>
      </c>
      <c r="DT632">
        <f t="shared" si="722"/>
        <v>0</v>
      </c>
      <c r="DU632" s="143" t="str">
        <f t="shared" si="723"/>
        <v>explicit C balance</v>
      </c>
      <c r="DV632">
        <v>0</v>
      </c>
      <c r="DW632">
        <v>0</v>
      </c>
      <c r="DX632">
        <v>0</v>
      </c>
      <c r="DY632">
        <v>0</v>
      </c>
      <c r="DZ632">
        <v>1</v>
      </c>
      <c r="EA632" s="143">
        <v>0</v>
      </c>
      <c r="EB632">
        <v>0</v>
      </c>
      <c r="EC632">
        <v>1</v>
      </c>
      <c r="ED632">
        <v>0</v>
      </c>
      <c r="EE632">
        <v>1</v>
      </c>
      <c r="EF632">
        <v>1</v>
      </c>
      <c r="EG632">
        <v>1</v>
      </c>
      <c r="EH632">
        <v>0</v>
      </c>
      <c r="EI632" s="2">
        <v>0</v>
      </c>
      <c r="EK632" t="str">
        <f t="shared" si="724"/>
        <v/>
      </c>
      <c r="EL632" t="str">
        <f t="shared" si="725"/>
        <v/>
      </c>
      <c r="EM632" s="2" t="str">
        <f t="shared" si="728"/>
        <v>Technology approach</v>
      </c>
      <c r="EP632" t="str">
        <f>IF(ISNUMBER(BU632),IF(ABS(BU632-[3]QC_indicators!$B$2)&gt;3*[3]QC_indicators!$C$2,"C ratio",IF(ISNUMBER(BY632),IF(ABS(BY632-[3]QC_indicators!$B$1)&gt;3*[3]QC_indicators!$C$1,"DF","no"))),IF(ISNUMBER(BY632),IF(ABS(BY632-[3]QC_indicators!$B$1)&gt;3*[3]QC_indicators!$C$1,"DF","no")))</f>
        <v>no</v>
      </c>
      <c r="ET632" s="264" t="s">
        <v>3272</v>
      </c>
    </row>
    <row r="633" spans="1:150" ht="15" hidden="1" customHeight="1">
      <c r="A633" s="1" t="s">
        <v>265</v>
      </c>
      <c r="B633" t="s">
        <v>1530</v>
      </c>
      <c r="C633" t="s">
        <v>1531</v>
      </c>
      <c r="D633" t="s">
        <v>1532</v>
      </c>
      <c r="E633" t="s">
        <v>1533</v>
      </c>
      <c r="F633" t="s">
        <v>1534</v>
      </c>
      <c r="G633" t="s">
        <v>271</v>
      </c>
      <c r="H633" t="s">
        <v>254</v>
      </c>
      <c r="I633">
        <v>2019</v>
      </c>
      <c r="J633">
        <v>26</v>
      </c>
      <c r="K633" t="s">
        <v>1535</v>
      </c>
      <c r="M633" t="str">
        <f t="shared" si="686"/>
        <v>Faraca_2019</v>
      </c>
      <c r="N633" t="s">
        <v>222</v>
      </c>
      <c r="O633" s="145" t="s">
        <v>274</v>
      </c>
      <c r="P633" s="180" t="s">
        <v>223</v>
      </c>
      <c r="Q633" t="s">
        <v>256</v>
      </c>
      <c r="R633" s="262" t="s">
        <v>223</v>
      </c>
      <c r="S633" s="263" t="s">
        <v>3119</v>
      </c>
      <c r="T633" t="s">
        <v>1542</v>
      </c>
      <c r="U633" t="s">
        <v>1543</v>
      </c>
      <c r="V633">
        <v>0</v>
      </c>
      <c r="W633">
        <v>0</v>
      </c>
      <c r="X633">
        <v>0</v>
      </c>
      <c r="Y633">
        <v>0</v>
      </c>
      <c r="Z633">
        <v>0</v>
      </c>
      <c r="AA633">
        <v>0</v>
      </c>
      <c r="AB633">
        <v>0</v>
      </c>
      <c r="AC633">
        <v>0</v>
      </c>
      <c r="AD633">
        <v>0</v>
      </c>
      <c r="AE633">
        <v>0</v>
      </c>
      <c r="AF633">
        <v>0</v>
      </c>
      <c r="AG633">
        <v>0</v>
      </c>
      <c r="AH633">
        <v>0</v>
      </c>
      <c r="AI633">
        <v>1</v>
      </c>
      <c r="AJ633">
        <v>0</v>
      </c>
      <c r="AK633">
        <v>0</v>
      </c>
      <c r="AL633">
        <v>0</v>
      </c>
      <c r="AM633">
        <v>0</v>
      </c>
      <c r="AN633">
        <v>0</v>
      </c>
      <c r="AO633">
        <v>0</v>
      </c>
      <c r="AP633">
        <v>0</v>
      </c>
      <c r="AQ633">
        <v>0</v>
      </c>
      <c r="AR633">
        <v>0</v>
      </c>
      <c r="AS633">
        <v>0</v>
      </c>
      <c r="AT633">
        <v>0</v>
      </c>
      <c r="AU633">
        <v>0</v>
      </c>
      <c r="AV633">
        <v>0</v>
      </c>
      <c r="AW633">
        <v>0</v>
      </c>
      <c r="AX633" s="141">
        <f t="shared" si="694"/>
        <v>1</v>
      </c>
      <c r="AY633" s="141">
        <f t="shared" si="695"/>
        <v>1</v>
      </c>
      <c r="AZ633">
        <f t="shared" si="696"/>
        <v>0</v>
      </c>
      <c r="BA633">
        <f t="shared" si="697"/>
        <v>1</v>
      </c>
      <c r="BB633">
        <f t="shared" si="698"/>
        <v>0</v>
      </c>
      <c r="BC633">
        <f t="shared" si="699"/>
        <v>0</v>
      </c>
      <c r="BD633">
        <f t="shared" si="700"/>
        <v>0</v>
      </c>
      <c r="BE633" t="str">
        <f t="array" ref="BE633">IF(AY633=1,INDEX($V$7:$AL$7,MATCH(TRUE,INDEX($V633:$AW633&lt;&gt;0,),0)),IF(AY633=0,INDEX($AM$7:$AW$7,MATCH(1,$AM633:$AW633,0)),IF(BF633="Multiple strategies","mixed drivers",IF(BF633="Supply chain","multiple supply","multiple silviculture"))))</f>
        <v>products lifespan</v>
      </c>
      <c r="BF633" s="2" t="str" cm="1">
        <f t="array" ref="BF633">IF(COUNTIF(AZ633:BB633,"&lt;&gt;0")=1,INDEX($V$4:$AW$4,MATCH(TRUE,INDEX($V633:$AW633&lt;&gt;0,),0)),IF(COUNTIF(AZ633:BB633,"&lt;&gt;0")=0,INDEX($AM$4:$AW$4,MATCH(1,$AM633:$AW633,0)),"Multiple strategies"))</f>
        <v>Supply chain</v>
      </c>
      <c r="BG633" s="1" t="s">
        <v>229</v>
      </c>
      <c r="BH633" t="s">
        <v>1547</v>
      </c>
      <c r="BI633" s="264" t="s">
        <v>3120</v>
      </c>
      <c r="BJ633" t="s">
        <v>345</v>
      </c>
      <c r="BK633">
        <v>478</v>
      </c>
      <c r="BL633">
        <v>638</v>
      </c>
      <c r="BM633">
        <v>1</v>
      </c>
      <c r="BN633">
        <f t="shared" si="701"/>
        <v>160</v>
      </c>
      <c r="BO633">
        <f t="shared" si="702"/>
        <v>0.32653061224489799</v>
      </c>
      <c r="BP633" t="s">
        <v>395</v>
      </c>
      <c r="BQ633" s="264" t="s">
        <v>426</v>
      </c>
      <c r="BR633" t="s">
        <v>728</v>
      </c>
      <c r="BS633">
        <v>-393.1</v>
      </c>
      <c r="BT633">
        <v>-89.7</v>
      </c>
      <c r="BU633" s="144">
        <v>-0.63186813186813184</v>
      </c>
      <c r="BV633">
        <f t="shared" si="726"/>
        <v>303.40000000000003</v>
      </c>
      <c r="BX633">
        <f t="shared" si="704"/>
        <v>0.30340000000000006</v>
      </c>
      <c r="BY633">
        <f t="shared" si="727"/>
        <v>0.92916250000000011</v>
      </c>
      <c r="BZ633">
        <v>0</v>
      </c>
      <c r="CA633">
        <v>0</v>
      </c>
      <c r="CB633">
        <v>0</v>
      </c>
      <c r="CC633">
        <v>0</v>
      </c>
      <c r="CD633">
        <v>0</v>
      </c>
      <c r="CE633">
        <v>0</v>
      </c>
      <c r="CF633">
        <v>0</v>
      </c>
      <c r="CG633">
        <v>0</v>
      </c>
      <c r="CH633">
        <v>0</v>
      </c>
      <c r="CI633">
        <v>0</v>
      </c>
      <c r="CJ633">
        <v>0</v>
      </c>
      <c r="CK633">
        <v>0</v>
      </c>
      <c r="CL633">
        <v>0</v>
      </c>
      <c r="CM633">
        <v>0</v>
      </c>
      <c r="CN633" t="str">
        <f t="shared" si="705"/>
        <v>refOK</v>
      </c>
      <c r="CO633">
        <f>IF($CN633="refNeedCorrection",BK633,BL633)</f>
        <v>638</v>
      </c>
      <c r="CP633">
        <f>IF($CN633="refNeedCorrection",BL633,BK633)</f>
        <v>478</v>
      </c>
      <c r="CQ633">
        <f t="shared" si="708"/>
        <v>0.32653061224489799</v>
      </c>
      <c r="CR633">
        <f t="shared" si="709"/>
        <v>393.1</v>
      </c>
      <c r="CS633">
        <f t="shared" si="731"/>
        <v>89.7</v>
      </c>
      <c r="CT633">
        <f t="shared" si="711"/>
        <v>-0.30340000000000006</v>
      </c>
      <c r="CU633">
        <f t="shared" si="712"/>
        <v>-0.92916250000000011</v>
      </c>
      <c r="CV633" s="2">
        <f t="shared" si="713"/>
        <v>-0.77181378784024424</v>
      </c>
      <c r="CW633" s="1" t="s">
        <v>1198</v>
      </c>
      <c r="CX633" t="str">
        <f t="shared" si="714"/>
        <v>reg</v>
      </c>
      <c r="CY633" t="s">
        <v>1539</v>
      </c>
      <c r="DB633">
        <v>100</v>
      </c>
      <c r="DC633" t="str">
        <f t="shared" si="715"/>
        <v>71-100</v>
      </c>
      <c r="DD633">
        <v>0</v>
      </c>
      <c r="DE633">
        <v>0</v>
      </c>
      <c r="DF633">
        <v>0</v>
      </c>
      <c r="DG633">
        <v>1</v>
      </c>
      <c r="DI633">
        <f t="shared" si="716"/>
        <v>1</v>
      </c>
      <c r="DJ633" t="str">
        <f t="shared" si="717"/>
        <v>TimberInput</v>
      </c>
      <c r="DK633">
        <f t="shared" si="718"/>
        <v>0</v>
      </c>
      <c r="DL633">
        <f t="shared" si="719"/>
        <v>0</v>
      </c>
      <c r="DM633">
        <f t="shared" si="720"/>
        <v>0</v>
      </c>
      <c r="DN633" t="str">
        <f t="shared" si="721"/>
        <v>Timber</v>
      </c>
      <c r="DO633">
        <v>0</v>
      </c>
      <c r="DP633">
        <v>1</v>
      </c>
      <c r="DQ633">
        <v>0</v>
      </c>
      <c r="DR633">
        <v>0</v>
      </c>
      <c r="DS633" t="s">
        <v>1540</v>
      </c>
      <c r="DT633">
        <f t="shared" si="722"/>
        <v>1</v>
      </c>
      <c r="DU633" s="143" t="str">
        <f t="shared" si="723"/>
        <v>external DF used</v>
      </c>
      <c r="DV633">
        <v>0</v>
      </c>
      <c r="DW633">
        <v>0</v>
      </c>
      <c r="DX633">
        <v>0</v>
      </c>
      <c r="DY633">
        <v>0</v>
      </c>
      <c r="DZ633">
        <v>1</v>
      </c>
      <c r="EA633" s="143">
        <v>1</v>
      </c>
      <c r="EB633">
        <v>0</v>
      </c>
      <c r="EC633">
        <v>1</v>
      </c>
      <c r="ED633">
        <v>0</v>
      </c>
      <c r="EE633">
        <v>1</v>
      </c>
      <c r="EF633">
        <v>1</v>
      </c>
      <c r="EG633">
        <v>1</v>
      </c>
      <c r="EH633">
        <v>0</v>
      </c>
      <c r="EI633" s="2">
        <v>0</v>
      </c>
      <c r="EK633" t="str">
        <f t="shared" si="724"/>
        <v/>
      </c>
      <c r="EL633" t="str">
        <f t="shared" si="725"/>
        <v/>
      </c>
      <c r="EM633" s="2" t="str">
        <f t="shared" si="728"/>
        <v>Technology approach</v>
      </c>
      <c r="EP633" t="str">
        <f>IF(ISNUMBER(BU633),IF(ABS(BU633-[3]QC_indicators!$B$2)&gt;3*[3]QC_indicators!$C$2,"C ratio",IF(ISNUMBER(BY633),IF(ABS(BY633-[3]QC_indicators!$B$1)&gt;3*[3]QC_indicators!$C$1,"DF","no"))),IF(ISNUMBER(BY633),IF(ABS(BY633-[3]QC_indicators!$B$1)&gt;3*[3]QC_indicators!$C$1,"DF","no")))</f>
        <v>no</v>
      </c>
      <c r="ET633" s="264" t="s">
        <v>3272</v>
      </c>
    </row>
    <row r="634" spans="1:150" ht="15" hidden="1" customHeight="1">
      <c r="A634" s="1" t="s">
        <v>265</v>
      </c>
      <c r="B634" t="s">
        <v>1530</v>
      </c>
      <c r="C634" t="s">
        <v>1531</v>
      </c>
      <c r="D634" t="s">
        <v>1532</v>
      </c>
      <c r="E634" t="s">
        <v>1533</v>
      </c>
      <c r="F634" t="s">
        <v>1534</v>
      </c>
      <c r="G634" t="s">
        <v>271</v>
      </c>
      <c r="H634" t="s">
        <v>254</v>
      </c>
      <c r="I634">
        <v>2019</v>
      </c>
      <c r="J634">
        <v>26</v>
      </c>
      <c r="K634" t="s">
        <v>1535</v>
      </c>
      <c r="M634" t="str">
        <f t="shared" si="686"/>
        <v>Faraca_2019</v>
      </c>
      <c r="N634" t="s">
        <v>222</v>
      </c>
      <c r="O634" s="145" t="s">
        <v>274</v>
      </c>
      <c r="P634" s="180" t="s">
        <v>223</v>
      </c>
      <c r="Q634" t="s">
        <v>256</v>
      </c>
      <c r="R634" s="262" t="s">
        <v>223</v>
      </c>
      <c r="S634" s="263" t="s">
        <v>3129</v>
      </c>
      <c r="T634" t="s">
        <v>1537</v>
      </c>
      <c r="U634" t="s">
        <v>968</v>
      </c>
      <c r="V634">
        <v>0</v>
      </c>
      <c r="W634">
        <v>0</v>
      </c>
      <c r="X634">
        <v>0</v>
      </c>
      <c r="Y634">
        <v>0</v>
      </c>
      <c r="Z634">
        <v>0</v>
      </c>
      <c r="AA634">
        <v>0</v>
      </c>
      <c r="AB634">
        <v>0</v>
      </c>
      <c r="AC634">
        <v>0</v>
      </c>
      <c r="AD634">
        <v>0</v>
      </c>
      <c r="AE634">
        <v>0</v>
      </c>
      <c r="AF634">
        <v>0</v>
      </c>
      <c r="AG634">
        <v>0</v>
      </c>
      <c r="AH634">
        <v>0</v>
      </c>
      <c r="AI634">
        <v>0</v>
      </c>
      <c r="AJ634">
        <v>1</v>
      </c>
      <c r="AK634">
        <v>0</v>
      </c>
      <c r="AL634">
        <v>0</v>
      </c>
      <c r="AM634">
        <v>0</v>
      </c>
      <c r="AN634">
        <v>0</v>
      </c>
      <c r="AO634">
        <v>0</v>
      </c>
      <c r="AP634">
        <v>0</v>
      </c>
      <c r="AQ634">
        <v>0</v>
      </c>
      <c r="AR634">
        <v>0</v>
      </c>
      <c r="AS634">
        <v>0</v>
      </c>
      <c r="AT634">
        <v>0</v>
      </c>
      <c r="AU634">
        <v>0</v>
      </c>
      <c r="AV634">
        <v>0</v>
      </c>
      <c r="AW634">
        <v>0</v>
      </c>
      <c r="AX634" s="141">
        <f t="shared" si="694"/>
        <v>1</v>
      </c>
      <c r="AY634" s="141">
        <f t="shared" si="695"/>
        <v>1</v>
      </c>
      <c r="AZ634">
        <f t="shared" si="696"/>
        <v>0</v>
      </c>
      <c r="BA634">
        <f t="shared" si="697"/>
        <v>0</v>
      </c>
      <c r="BB634">
        <f t="shared" si="698"/>
        <v>1</v>
      </c>
      <c r="BC634">
        <f t="shared" si="699"/>
        <v>0</v>
      </c>
      <c r="BD634">
        <f t="shared" si="700"/>
        <v>0</v>
      </c>
      <c r="BE634" t="str">
        <f t="array" ref="BE634">IF(AY634=1,INDEX($V$7:$AL$7,MATCH(TRUE,INDEX($V634:$AW634&lt;&gt;0,),0)),IF(AY634=0,INDEX($AM$7:$AW$7,MATCH(1,$AM634:$AW634,0)),IF(BF634="Multiple strategies","mixed drivers",IF(BF634="Supply chain","multiple supply","multiple silviculture"))))</f>
        <v>efficiency improvement</v>
      </c>
      <c r="BF634" s="2" t="str" cm="1">
        <f t="array" ref="BF634">IF(COUNTIF(AZ634:BB634,"&lt;&gt;0")=1,INDEX($V$4:$AW$4,MATCH(TRUE,INDEX($V634:$AW634&lt;&gt;0,),0)),IF(COUNTIF(AZ634:BB634,"&lt;&gt;0")=0,INDEX($AM$4:$AW$4,MATCH(1,$AM634:$AW634,0)),"Multiple strategies"))</f>
        <v>Technology</v>
      </c>
      <c r="BG634" s="1" t="s">
        <v>229</v>
      </c>
      <c r="BH634" t="s">
        <v>1547</v>
      </c>
      <c r="BI634" s="264" t="s">
        <v>3120</v>
      </c>
      <c r="BJ634" t="s">
        <v>345</v>
      </c>
      <c r="BK634">
        <v>562</v>
      </c>
      <c r="BL634">
        <v>562</v>
      </c>
      <c r="BM634">
        <v>1</v>
      </c>
      <c r="BN634">
        <f t="shared" si="701"/>
        <v>0</v>
      </c>
      <c r="BO634">
        <f t="shared" si="702"/>
        <v>0</v>
      </c>
      <c r="BP634" s="264" t="s">
        <v>395</v>
      </c>
      <c r="BQ634" t="s">
        <v>426</v>
      </c>
      <c r="BR634" t="s">
        <v>728</v>
      </c>
      <c r="BS634">
        <v>515.29999999999995</v>
      </c>
      <c r="BT634">
        <v>474.6</v>
      </c>
      <c r="BU634" s="144"/>
      <c r="BV634">
        <f t="shared" si="726"/>
        <v>-40.699999999999932</v>
      </c>
      <c r="BX634">
        <f t="shared" si="704"/>
        <v>-4.0699999999999931E-2</v>
      </c>
      <c r="BY634" t="str">
        <f t="shared" si="727"/>
        <v/>
      </c>
      <c r="BZ634">
        <v>0</v>
      </c>
      <c r="CA634">
        <v>0</v>
      </c>
      <c r="CB634">
        <v>0</v>
      </c>
      <c r="CC634">
        <v>0</v>
      </c>
      <c r="CD634">
        <v>0</v>
      </c>
      <c r="CE634">
        <v>0</v>
      </c>
      <c r="CF634">
        <v>0</v>
      </c>
      <c r="CG634">
        <v>0</v>
      </c>
      <c r="CH634">
        <v>0</v>
      </c>
      <c r="CI634">
        <v>0</v>
      </c>
      <c r="CJ634">
        <v>0</v>
      </c>
      <c r="CK634">
        <v>0</v>
      </c>
      <c r="CL634">
        <v>0</v>
      </c>
      <c r="CM634">
        <v>0</v>
      </c>
      <c r="CN634" t="str">
        <f t="shared" si="705"/>
        <v>refOK</v>
      </c>
      <c r="CO634">
        <f>IF($CN634="refNeedCorrection",BL634,BK634)</f>
        <v>562</v>
      </c>
      <c r="CP634">
        <f>IF($CN634="refNeedCorrection",BK634,BL634)</f>
        <v>562</v>
      </c>
      <c r="CQ634">
        <f t="shared" si="708"/>
        <v>0</v>
      </c>
      <c r="CR634">
        <f t="shared" si="709"/>
        <v>-515.29999999999995</v>
      </c>
      <c r="CS634">
        <f t="shared" si="731"/>
        <v>-474.6</v>
      </c>
      <c r="CT634">
        <f t="shared" si="711"/>
        <v>4.0699999999999931E-2</v>
      </c>
      <c r="CU634" t="str">
        <f t="shared" si="712"/>
        <v/>
      </c>
      <c r="CV634" s="2">
        <f t="shared" si="713"/>
        <v>7.8983116631088562E-2</v>
      </c>
      <c r="CW634" s="1" t="s">
        <v>1198</v>
      </c>
      <c r="CX634" t="str">
        <f t="shared" si="714"/>
        <v>reg</v>
      </c>
      <c r="CY634" t="s">
        <v>1539</v>
      </c>
      <c r="DB634">
        <v>100</v>
      </c>
      <c r="DC634" t="str">
        <f t="shared" si="715"/>
        <v>71-100</v>
      </c>
      <c r="DD634">
        <v>0</v>
      </c>
      <c r="DE634">
        <v>0</v>
      </c>
      <c r="DF634">
        <v>0</v>
      </c>
      <c r="DG634">
        <v>1</v>
      </c>
      <c r="DI634">
        <f t="shared" si="716"/>
        <v>1</v>
      </c>
      <c r="DJ634" t="str">
        <f t="shared" si="717"/>
        <v>TimberInput</v>
      </c>
      <c r="DK634">
        <f t="shared" si="718"/>
        <v>0</v>
      </c>
      <c r="DL634">
        <f t="shared" si="719"/>
        <v>0</v>
      </c>
      <c r="DM634">
        <f t="shared" si="720"/>
        <v>0</v>
      </c>
      <c r="DN634" t="str">
        <f t="shared" si="721"/>
        <v>Timber</v>
      </c>
      <c r="DO634">
        <v>0</v>
      </c>
      <c r="DP634">
        <v>0</v>
      </c>
      <c r="DQ634">
        <v>0</v>
      </c>
      <c r="DR634">
        <v>0</v>
      </c>
      <c r="DS634">
        <v>0</v>
      </c>
      <c r="DT634">
        <f t="shared" si="722"/>
        <v>0</v>
      </c>
      <c r="DU634" s="143" t="str">
        <f t="shared" si="723"/>
        <v>explicit C balance</v>
      </c>
      <c r="DV634">
        <v>0</v>
      </c>
      <c r="DW634">
        <v>0</v>
      </c>
      <c r="DX634">
        <v>0</v>
      </c>
      <c r="DY634">
        <v>0</v>
      </c>
      <c r="DZ634">
        <v>1</v>
      </c>
      <c r="EA634" s="143">
        <v>0</v>
      </c>
      <c r="EB634">
        <v>0</v>
      </c>
      <c r="EC634">
        <v>1</v>
      </c>
      <c r="ED634">
        <v>0</v>
      </c>
      <c r="EE634">
        <v>1</v>
      </c>
      <c r="EF634">
        <v>1</v>
      </c>
      <c r="EG634">
        <v>1</v>
      </c>
      <c r="EH634">
        <v>0</v>
      </c>
      <c r="EI634" s="2">
        <v>0</v>
      </c>
      <c r="EK634" t="str">
        <f t="shared" si="724"/>
        <v/>
      </c>
      <c r="EL634" t="str">
        <f t="shared" si="725"/>
        <v/>
      </c>
      <c r="EM634" s="2" t="str">
        <f t="shared" si="728"/>
        <v>Technology approach</v>
      </c>
      <c r="EP634" t="b">
        <f>IF(ISNUMBER(BU634),IF(ABS(BU634-[3]QC_indicators!$B$2)&gt;3*[3]QC_indicators!$C$2,"C ratio",IF(ISNUMBER(BY634),IF(ABS(BY634-[3]QC_indicators!$B$1)&gt;3*[3]QC_indicators!$C$1,"DF","no"))),IF(ISNUMBER(BY634),IF(ABS(BY634-[3]QC_indicators!$B$1)&gt;3*[3]QC_indicators!$C$1,"DF","no")))</f>
        <v>0</v>
      </c>
      <c r="ET634" s="264" t="s">
        <v>3272</v>
      </c>
    </row>
    <row r="635" spans="1:150" hidden="1">
      <c r="A635" s="1" t="s">
        <v>265</v>
      </c>
      <c r="B635" t="s">
        <v>1530</v>
      </c>
      <c r="C635" t="s">
        <v>1531</v>
      </c>
      <c r="D635" t="s">
        <v>1532</v>
      </c>
      <c r="E635" t="s">
        <v>1533</v>
      </c>
      <c r="F635" t="s">
        <v>1534</v>
      </c>
      <c r="G635" t="s">
        <v>271</v>
      </c>
      <c r="H635" t="s">
        <v>254</v>
      </c>
      <c r="I635">
        <v>2019</v>
      </c>
      <c r="J635">
        <v>26</v>
      </c>
      <c r="K635" t="s">
        <v>1535</v>
      </c>
      <c r="M635" t="str">
        <f t="shared" si="686"/>
        <v>Faraca_2019</v>
      </c>
      <c r="N635" t="s">
        <v>222</v>
      </c>
      <c r="O635" s="145" t="s">
        <v>274</v>
      </c>
      <c r="P635" s="180" t="s">
        <v>223</v>
      </c>
      <c r="Q635" t="s">
        <v>256</v>
      </c>
      <c r="R635" s="262" t="s">
        <v>223</v>
      </c>
      <c r="S635" s="263" t="s">
        <v>3130</v>
      </c>
      <c r="T635" t="s">
        <v>1537</v>
      </c>
      <c r="U635" t="s">
        <v>968</v>
      </c>
      <c r="V635">
        <v>0</v>
      </c>
      <c r="W635">
        <v>0</v>
      </c>
      <c r="X635">
        <v>0</v>
      </c>
      <c r="Y635">
        <v>0</v>
      </c>
      <c r="Z635">
        <v>0</v>
      </c>
      <c r="AA635">
        <v>0</v>
      </c>
      <c r="AB635">
        <v>0</v>
      </c>
      <c r="AC635">
        <v>0</v>
      </c>
      <c r="AD635">
        <v>0</v>
      </c>
      <c r="AE635">
        <v>0</v>
      </c>
      <c r="AF635">
        <v>0</v>
      </c>
      <c r="AG635">
        <v>0</v>
      </c>
      <c r="AH635">
        <v>0</v>
      </c>
      <c r="AI635">
        <v>0</v>
      </c>
      <c r="AJ635">
        <v>1</v>
      </c>
      <c r="AK635">
        <v>0</v>
      </c>
      <c r="AL635">
        <v>0</v>
      </c>
      <c r="AM635">
        <v>0</v>
      </c>
      <c r="AN635">
        <v>0</v>
      </c>
      <c r="AO635">
        <v>0</v>
      </c>
      <c r="AP635">
        <v>0</v>
      </c>
      <c r="AQ635">
        <v>0</v>
      </c>
      <c r="AR635">
        <v>0</v>
      </c>
      <c r="AS635">
        <v>0</v>
      </c>
      <c r="AT635">
        <v>0</v>
      </c>
      <c r="AU635">
        <v>0</v>
      </c>
      <c r="AV635">
        <v>0</v>
      </c>
      <c r="AW635">
        <v>0</v>
      </c>
      <c r="AX635" s="141">
        <f t="shared" si="694"/>
        <v>1</v>
      </c>
      <c r="AY635" s="141">
        <f t="shared" si="695"/>
        <v>1</v>
      </c>
      <c r="AZ635">
        <f t="shared" si="696"/>
        <v>0</v>
      </c>
      <c r="BA635">
        <f t="shared" si="697"/>
        <v>0</v>
      </c>
      <c r="BB635">
        <f t="shared" si="698"/>
        <v>1</v>
      </c>
      <c r="BC635">
        <f t="shared" si="699"/>
        <v>0</v>
      </c>
      <c r="BD635">
        <f t="shared" si="700"/>
        <v>0</v>
      </c>
      <c r="BE635" t="str">
        <f t="array" ref="BE635">IF(AY635=1,INDEX($V$7:$AL$7,MATCH(TRUE,INDEX($V635:$AW635&lt;&gt;0,),0)),IF(AY635=0,INDEX($AM$7:$AW$7,MATCH(1,$AM635:$AW635,0)),IF(BF635="Multiple strategies","mixed drivers",IF(BF635="Supply chain","multiple supply","multiple silviculture"))))</f>
        <v>efficiency improvement</v>
      </c>
      <c r="BF635" s="2" t="str" cm="1">
        <f t="array" ref="BF635">IF(COUNTIF(AZ635:BB635,"&lt;&gt;0")=1,INDEX($V$4:$AW$4,MATCH(TRUE,INDEX($V635:$AW635&lt;&gt;0,),0)),IF(COUNTIF(AZ635:BB635,"&lt;&gt;0")=0,INDEX($AM$4:$AW$4,MATCH(1,$AM635:$AW635,0)),"Multiple strategies"))</f>
        <v>Technology</v>
      </c>
      <c r="BG635" s="1" t="s">
        <v>229</v>
      </c>
      <c r="BH635" t="s">
        <v>1547</v>
      </c>
      <c r="BI635" s="264" t="s">
        <v>3120</v>
      </c>
      <c r="BJ635" t="s">
        <v>345</v>
      </c>
      <c r="BK635">
        <v>562</v>
      </c>
      <c r="BL635">
        <v>562</v>
      </c>
      <c r="BM635">
        <v>1</v>
      </c>
      <c r="BN635">
        <f t="shared" si="701"/>
        <v>0</v>
      </c>
      <c r="BO635">
        <f t="shared" si="702"/>
        <v>0</v>
      </c>
      <c r="BP635" s="264" t="s">
        <v>395</v>
      </c>
      <c r="BQ635" t="s">
        <v>426</v>
      </c>
      <c r="BR635" t="s">
        <v>728</v>
      </c>
      <c r="BS635">
        <v>33.9</v>
      </c>
      <c r="BT635">
        <v>-40.700000000000003</v>
      </c>
      <c r="BU635" s="144">
        <v>1</v>
      </c>
      <c r="BV635">
        <f t="shared" si="726"/>
        <v>-74.599999999999994</v>
      </c>
      <c r="BX635">
        <f t="shared" si="704"/>
        <v>-7.46E-2</v>
      </c>
      <c r="BY635" t="str">
        <f t="shared" si="727"/>
        <v/>
      </c>
      <c r="BZ635">
        <v>0</v>
      </c>
      <c r="CA635">
        <v>0</v>
      </c>
      <c r="CB635">
        <v>0</v>
      </c>
      <c r="CC635">
        <v>0</v>
      </c>
      <c r="CD635">
        <v>0</v>
      </c>
      <c r="CE635">
        <v>0</v>
      </c>
      <c r="CF635">
        <v>0</v>
      </c>
      <c r="CG635">
        <v>0</v>
      </c>
      <c r="CH635">
        <v>0</v>
      </c>
      <c r="CI635">
        <v>0</v>
      </c>
      <c r="CJ635">
        <v>0</v>
      </c>
      <c r="CK635">
        <v>0</v>
      </c>
      <c r="CL635">
        <v>0</v>
      </c>
      <c r="CM635">
        <v>0</v>
      </c>
      <c r="CN635" t="str">
        <f t="shared" si="705"/>
        <v>refOK</v>
      </c>
      <c r="CO635">
        <f>IF($CN635="refNeedCorrection",BL635,BK635)</f>
        <v>562</v>
      </c>
      <c r="CP635">
        <f>IF($CN635="refNeedCorrection",BK635,BL635)</f>
        <v>562</v>
      </c>
      <c r="CQ635">
        <f t="shared" si="708"/>
        <v>0</v>
      </c>
      <c r="CR635">
        <f t="shared" si="709"/>
        <v>-33.9</v>
      </c>
      <c r="CS635">
        <f t="shared" si="731"/>
        <v>40.700000000000003</v>
      </c>
      <c r="CT635">
        <f t="shared" si="711"/>
        <v>7.46E-2</v>
      </c>
      <c r="CU635" t="str">
        <f t="shared" si="712"/>
        <v/>
      </c>
      <c r="CV635" s="2">
        <f t="shared" si="713"/>
        <v>2.2005899705014746</v>
      </c>
      <c r="CW635" s="1" t="s">
        <v>1198</v>
      </c>
      <c r="CX635" t="str">
        <f t="shared" si="714"/>
        <v>reg</v>
      </c>
      <c r="CY635" t="s">
        <v>1539</v>
      </c>
      <c r="DB635">
        <v>100</v>
      </c>
      <c r="DC635" t="str">
        <f t="shared" si="715"/>
        <v>71-100</v>
      </c>
      <c r="DD635">
        <v>0</v>
      </c>
      <c r="DE635">
        <v>0</v>
      </c>
      <c r="DF635">
        <v>0</v>
      </c>
      <c r="DG635">
        <v>1</v>
      </c>
      <c r="DI635">
        <f t="shared" si="716"/>
        <v>1</v>
      </c>
      <c r="DJ635" t="str">
        <f t="shared" si="717"/>
        <v>TimberInput</v>
      </c>
      <c r="DK635">
        <f t="shared" si="718"/>
        <v>0</v>
      </c>
      <c r="DL635">
        <f t="shared" si="719"/>
        <v>0</v>
      </c>
      <c r="DM635">
        <f t="shared" si="720"/>
        <v>0</v>
      </c>
      <c r="DN635" t="str">
        <f t="shared" si="721"/>
        <v>Timber</v>
      </c>
      <c r="DO635">
        <v>0</v>
      </c>
      <c r="DP635">
        <v>1</v>
      </c>
      <c r="DQ635">
        <v>0</v>
      </c>
      <c r="DR635">
        <v>0</v>
      </c>
      <c r="DS635" t="s">
        <v>1540</v>
      </c>
      <c r="DT635">
        <f t="shared" si="722"/>
        <v>1</v>
      </c>
      <c r="DU635" s="143" t="str">
        <f t="shared" si="723"/>
        <v>external DF used</v>
      </c>
      <c r="DV635">
        <v>0</v>
      </c>
      <c r="DW635">
        <v>0</v>
      </c>
      <c r="DX635">
        <v>0</v>
      </c>
      <c r="DY635">
        <v>0</v>
      </c>
      <c r="DZ635">
        <v>1</v>
      </c>
      <c r="EA635" s="143">
        <v>1</v>
      </c>
      <c r="EB635">
        <v>0</v>
      </c>
      <c r="EC635">
        <v>1</v>
      </c>
      <c r="ED635">
        <v>0</v>
      </c>
      <c r="EE635">
        <v>1</v>
      </c>
      <c r="EF635">
        <v>1</v>
      </c>
      <c r="EG635">
        <v>1</v>
      </c>
      <c r="EH635">
        <v>0</v>
      </c>
      <c r="EI635" s="2">
        <v>0</v>
      </c>
      <c r="EK635" t="str">
        <f t="shared" si="724"/>
        <v/>
      </c>
      <c r="EL635" t="str">
        <f t="shared" si="725"/>
        <v/>
      </c>
      <c r="EM635" s="2" t="str">
        <f t="shared" si="728"/>
        <v>Technology approach</v>
      </c>
      <c r="EP635" t="b">
        <f>IF(ISNUMBER(BU635),IF(ABS(BU635-[3]QC_indicators!$B$2)&gt;3*[3]QC_indicators!$C$2,"C ratio",IF(ISNUMBER(BY635),IF(ABS(BY635-[3]QC_indicators!$B$1)&gt;3*[3]QC_indicators!$C$1,"DF","no"))),IF(ISNUMBER(BY635),IF(ABS(BY635-[3]QC_indicators!$B$1)&gt;3*[3]QC_indicators!$C$1,"DF","no")))</f>
        <v>0</v>
      </c>
      <c r="ET635" s="264" t="s">
        <v>3272</v>
      </c>
    </row>
    <row r="636" spans="1:150" ht="15" hidden="1" customHeight="1">
      <c r="A636" s="1" t="s">
        <v>265</v>
      </c>
      <c r="B636" t="s">
        <v>1530</v>
      </c>
      <c r="C636" t="s">
        <v>1531</v>
      </c>
      <c r="D636" t="s">
        <v>1532</v>
      </c>
      <c r="E636" t="s">
        <v>1533</v>
      </c>
      <c r="F636" t="s">
        <v>1534</v>
      </c>
      <c r="G636" t="s">
        <v>271</v>
      </c>
      <c r="H636" t="s">
        <v>254</v>
      </c>
      <c r="I636">
        <v>2019</v>
      </c>
      <c r="J636">
        <v>26</v>
      </c>
      <c r="K636" t="s">
        <v>1535</v>
      </c>
      <c r="M636" t="str">
        <f t="shared" si="686"/>
        <v>Faraca_2019</v>
      </c>
      <c r="N636" t="s">
        <v>222</v>
      </c>
      <c r="O636" s="145" t="s">
        <v>274</v>
      </c>
      <c r="P636" s="180" t="s">
        <v>223</v>
      </c>
      <c r="Q636" t="s">
        <v>256</v>
      </c>
      <c r="R636" s="262" t="s">
        <v>223</v>
      </c>
      <c r="S636" s="1" t="s">
        <v>1536</v>
      </c>
      <c r="T636" t="s">
        <v>1537</v>
      </c>
      <c r="U636" t="s">
        <v>968</v>
      </c>
      <c r="V636">
        <v>0</v>
      </c>
      <c r="W636">
        <v>0</v>
      </c>
      <c r="X636">
        <v>0</v>
      </c>
      <c r="Y636">
        <v>0</v>
      </c>
      <c r="Z636">
        <v>0</v>
      </c>
      <c r="AA636">
        <v>0</v>
      </c>
      <c r="AB636">
        <v>0</v>
      </c>
      <c r="AC636">
        <v>0</v>
      </c>
      <c r="AD636">
        <v>0</v>
      </c>
      <c r="AE636">
        <v>0</v>
      </c>
      <c r="AF636">
        <v>0</v>
      </c>
      <c r="AG636">
        <v>0</v>
      </c>
      <c r="AH636">
        <v>0</v>
      </c>
      <c r="AI636">
        <v>0</v>
      </c>
      <c r="AJ636">
        <v>1</v>
      </c>
      <c r="AK636">
        <v>0</v>
      </c>
      <c r="AL636">
        <v>0</v>
      </c>
      <c r="AM636">
        <v>0</v>
      </c>
      <c r="AN636">
        <v>0</v>
      </c>
      <c r="AO636">
        <v>0</v>
      </c>
      <c r="AP636">
        <v>0</v>
      </c>
      <c r="AQ636">
        <v>0</v>
      </c>
      <c r="AR636">
        <v>0</v>
      </c>
      <c r="AS636">
        <v>0</v>
      </c>
      <c r="AT636">
        <v>0</v>
      </c>
      <c r="AU636">
        <v>0</v>
      </c>
      <c r="AV636">
        <v>0</v>
      </c>
      <c r="AW636">
        <v>0</v>
      </c>
      <c r="AX636" s="141">
        <f t="shared" si="694"/>
        <v>1</v>
      </c>
      <c r="AY636" s="141">
        <f t="shared" si="695"/>
        <v>1</v>
      </c>
      <c r="AZ636">
        <f t="shared" si="696"/>
        <v>0</v>
      </c>
      <c r="BA636">
        <f t="shared" si="697"/>
        <v>0</v>
      </c>
      <c r="BB636">
        <f t="shared" si="698"/>
        <v>1</v>
      </c>
      <c r="BC636">
        <f t="shared" si="699"/>
        <v>0</v>
      </c>
      <c r="BD636">
        <f t="shared" si="700"/>
        <v>0</v>
      </c>
      <c r="BE636" t="str">
        <f t="array" ref="BE636">IF(AY636=1,INDEX($V$7:$AL$7,MATCH(TRUE,INDEX($V636:$AW636&lt;&gt;0,),0)),IF(AY636=0,INDEX($AM$7:$AW$7,MATCH(1,$AM636:$AW636,0)),IF(BF636="Multiple strategies","mixed drivers",IF(BF636="Supply chain","multiple supply","multiple silviculture"))))</f>
        <v>efficiency improvement</v>
      </c>
      <c r="BF636" s="2" t="str" cm="1">
        <f t="array" ref="BF636">IF(COUNTIF(AZ636:BB636,"&lt;&gt;0")=1,INDEX($V$4:$AW$4,MATCH(TRUE,INDEX($V636:$AW636&lt;&gt;0,),0)),IF(COUNTIF(AZ636:BB636,"&lt;&gt;0")=0,INDEX($AM$4:$AW$4,MATCH(1,$AM636:$AW636,0)),"Multiple strategies"))</f>
        <v>Technology</v>
      </c>
      <c r="BG636" s="1" t="s">
        <v>229</v>
      </c>
      <c r="BH636" t="s">
        <v>1547</v>
      </c>
      <c r="BI636" s="264" t="s">
        <v>3120</v>
      </c>
      <c r="BJ636" t="s">
        <v>345</v>
      </c>
      <c r="BK636">
        <v>562</v>
      </c>
      <c r="BL636">
        <v>562</v>
      </c>
      <c r="BM636">
        <v>1</v>
      </c>
      <c r="BN636">
        <f t="shared" si="701"/>
        <v>0</v>
      </c>
      <c r="BO636">
        <f t="shared" si="702"/>
        <v>0</v>
      </c>
      <c r="BP636" s="264" t="s">
        <v>395</v>
      </c>
      <c r="BQ636" t="s">
        <v>426</v>
      </c>
      <c r="BR636" t="s">
        <v>728</v>
      </c>
      <c r="BS636">
        <v>-16.899999999999999</v>
      </c>
      <c r="BT636">
        <v>-84.7</v>
      </c>
      <c r="BU636" s="144"/>
      <c r="BV636">
        <f t="shared" si="726"/>
        <v>-67.800000000000011</v>
      </c>
      <c r="BX636">
        <f t="shared" si="704"/>
        <v>-6.7800000000000013E-2</v>
      </c>
      <c r="BY636" t="str">
        <f t="shared" si="727"/>
        <v/>
      </c>
      <c r="BZ636">
        <v>0</v>
      </c>
      <c r="CA636">
        <v>0</v>
      </c>
      <c r="CB636">
        <v>0</v>
      </c>
      <c r="CC636">
        <v>0</v>
      </c>
      <c r="CD636">
        <v>0</v>
      </c>
      <c r="CE636">
        <v>0</v>
      </c>
      <c r="CF636">
        <v>0</v>
      </c>
      <c r="CG636">
        <v>0</v>
      </c>
      <c r="CH636">
        <v>0</v>
      </c>
      <c r="CI636">
        <v>0</v>
      </c>
      <c r="CJ636">
        <v>0</v>
      </c>
      <c r="CK636">
        <v>0</v>
      </c>
      <c r="CL636">
        <v>0</v>
      </c>
      <c r="CM636">
        <v>0</v>
      </c>
      <c r="CN636" t="str">
        <f t="shared" si="705"/>
        <v>refOK</v>
      </c>
      <c r="CO636">
        <f>IF($CN636="refNeedCorrection",BL636,BK636)</f>
        <v>562</v>
      </c>
      <c r="CP636">
        <f>IF($CN636="refNeedCorrection",BK636,BL636)</f>
        <v>562</v>
      </c>
      <c r="CQ636">
        <f t="shared" si="708"/>
        <v>0</v>
      </c>
      <c r="CR636">
        <f t="shared" si="709"/>
        <v>16.899999999999999</v>
      </c>
      <c r="CS636">
        <f>IF($CN636="refOK",$BS636,#REF!)*IF($BP636="Emissions positive",-1,1)</f>
        <v>16.899999999999999</v>
      </c>
      <c r="CT636">
        <f t="shared" si="711"/>
        <v>6.7800000000000013E-2</v>
      </c>
      <c r="CU636" t="str">
        <f t="shared" si="712"/>
        <v/>
      </c>
      <c r="CV636" s="2">
        <f t="shared" si="713"/>
        <v>0</v>
      </c>
      <c r="CW636" s="1" t="s">
        <v>1198</v>
      </c>
      <c r="CX636" t="str">
        <f t="shared" si="714"/>
        <v>reg</v>
      </c>
      <c r="CY636" t="s">
        <v>1539</v>
      </c>
      <c r="DB636">
        <v>500</v>
      </c>
      <c r="DC636" t="str">
        <f t="shared" si="715"/>
        <v>+100</v>
      </c>
      <c r="DD636">
        <v>0</v>
      </c>
      <c r="DE636">
        <v>0</v>
      </c>
      <c r="DF636">
        <v>0</v>
      </c>
      <c r="DG636">
        <v>1</v>
      </c>
      <c r="DI636">
        <f t="shared" si="716"/>
        <v>1</v>
      </c>
      <c r="DJ636" t="str">
        <f t="shared" si="717"/>
        <v>TimberInput</v>
      </c>
      <c r="DK636">
        <f t="shared" si="718"/>
        <v>0</v>
      </c>
      <c r="DL636">
        <f t="shared" si="719"/>
        <v>0</v>
      </c>
      <c r="DM636">
        <f t="shared" si="720"/>
        <v>0</v>
      </c>
      <c r="DN636" t="str">
        <f t="shared" si="721"/>
        <v>Timber</v>
      </c>
      <c r="DO636">
        <v>0</v>
      </c>
      <c r="DP636">
        <v>0</v>
      </c>
      <c r="DQ636">
        <v>0</v>
      </c>
      <c r="DR636">
        <v>0</v>
      </c>
      <c r="DS636">
        <v>0</v>
      </c>
      <c r="DT636">
        <f t="shared" si="722"/>
        <v>0</v>
      </c>
      <c r="DU636" s="143" t="str">
        <f t="shared" si="723"/>
        <v>explicit C balance</v>
      </c>
      <c r="DV636">
        <v>0</v>
      </c>
      <c r="DW636">
        <v>0</v>
      </c>
      <c r="DX636">
        <v>0</v>
      </c>
      <c r="DY636">
        <v>0</v>
      </c>
      <c r="DZ636">
        <v>1</v>
      </c>
      <c r="EA636" s="143">
        <v>1</v>
      </c>
      <c r="EB636">
        <v>0</v>
      </c>
      <c r="EC636">
        <v>1</v>
      </c>
      <c r="ED636">
        <v>0</v>
      </c>
      <c r="EE636">
        <v>1</v>
      </c>
      <c r="EF636">
        <v>1</v>
      </c>
      <c r="EG636">
        <v>1</v>
      </c>
      <c r="EH636">
        <v>0</v>
      </c>
      <c r="EI636" s="2">
        <v>0</v>
      </c>
      <c r="EK636" t="str">
        <f t="shared" si="724"/>
        <v/>
      </c>
      <c r="EL636" t="str">
        <f t="shared" si="725"/>
        <v/>
      </c>
      <c r="EM636" s="2" t="str">
        <f t="shared" si="728"/>
        <v>Technology approach</v>
      </c>
      <c r="EP636" t="b">
        <f>IF(ISNUMBER(BU636),IF(ABS(BU636-[3]QC_indicators!$B$2)&gt;3*[3]QC_indicators!$C$2,"C ratio",IF(ISNUMBER(BY636),IF(ABS(BY636-[3]QC_indicators!$B$1)&gt;3*[3]QC_indicators!$C$1,"DF","no"))),IF(ISNUMBER(BY636),IF(ABS(BY636-[3]QC_indicators!$B$1)&gt;3*[3]QC_indicators!$C$1,"DF","no")))</f>
        <v>0</v>
      </c>
      <c r="ET636" s="264" t="s">
        <v>3272</v>
      </c>
    </row>
    <row r="637" spans="1:150" ht="15" hidden="1" customHeight="1">
      <c r="A637" s="1" t="s">
        <v>265</v>
      </c>
      <c r="B637" t="s">
        <v>1530</v>
      </c>
      <c r="C637" t="s">
        <v>1531</v>
      </c>
      <c r="D637" t="s">
        <v>1532</v>
      </c>
      <c r="E637" t="s">
        <v>1533</v>
      </c>
      <c r="F637" t="s">
        <v>1534</v>
      </c>
      <c r="G637" t="s">
        <v>271</v>
      </c>
      <c r="H637" t="s">
        <v>254</v>
      </c>
      <c r="I637">
        <v>2019</v>
      </c>
      <c r="J637">
        <v>26</v>
      </c>
      <c r="K637" t="s">
        <v>1535</v>
      </c>
      <c r="M637" t="str">
        <f t="shared" si="686"/>
        <v>Faraca_2019</v>
      </c>
      <c r="N637" t="s">
        <v>222</v>
      </c>
      <c r="O637" s="145" t="s">
        <v>274</v>
      </c>
      <c r="P637" s="180" t="s">
        <v>223</v>
      </c>
      <c r="Q637" t="s">
        <v>256</v>
      </c>
      <c r="R637" s="262" t="s">
        <v>223</v>
      </c>
      <c r="S637" s="1" t="s">
        <v>1536</v>
      </c>
      <c r="T637" t="s">
        <v>1537</v>
      </c>
      <c r="U637" t="s">
        <v>968</v>
      </c>
      <c r="V637">
        <v>0</v>
      </c>
      <c r="W637">
        <v>0</v>
      </c>
      <c r="X637">
        <v>0</v>
      </c>
      <c r="Y637">
        <v>0</v>
      </c>
      <c r="Z637">
        <v>0</v>
      </c>
      <c r="AA637">
        <v>0</v>
      </c>
      <c r="AB637">
        <v>0</v>
      </c>
      <c r="AC637">
        <v>0</v>
      </c>
      <c r="AD637">
        <v>0</v>
      </c>
      <c r="AE637">
        <v>0</v>
      </c>
      <c r="AF637">
        <v>0</v>
      </c>
      <c r="AG637">
        <v>0</v>
      </c>
      <c r="AH637">
        <v>0</v>
      </c>
      <c r="AI637">
        <v>0</v>
      </c>
      <c r="AJ637">
        <v>1</v>
      </c>
      <c r="AK637">
        <v>0</v>
      </c>
      <c r="AL637">
        <v>0</v>
      </c>
      <c r="AM637">
        <v>0</v>
      </c>
      <c r="AN637">
        <v>0</v>
      </c>
      <c r="AO637">
        <v>0</v>
      </c>
      <c r="AP637">
        <v>0</v>
      </c>
      <c r="AQ637">
        <v>0</v>
      </c>
      <c r="AR637">
        <v>0</v>
      </c>
      <c r="AS637">
        <v>0</v>
      </c>
      <c r="AT637">
        <v>0</v>
      </c>
      <c r="AU637">
        <v>0</v>
      </c>
      <c r="AV637">
        <v>0</v>
      </c>
      <c r="AW637">
        <v>0</v>
      </c>
      <c r="AX637" s="141">
        <f t="shared" si="694"/>
        <v>1</v>
      </c>
      <c r="AY637" s="141">
        <f t="shared" si="695"/>
        <v>1</v>
      </c>
      <c r="AZ637">
        <f t="shared" si="696"/>
        <v>0</v>
      </c>
      <c r="BA637">
        <f t="shared" si="697"/>
        <v>0</v>
      </c>
      <c r="BB637">
        <f t="shared" si="698"/>
        <v>1</v>
      </c>
      <c r="BC637">
        <f t="shared" si="699"/>
        <v>0</v>
      </c>
      <c r="BD637">
        <f t="shared" si="700"/>
        <v>0</v>
      </c>
      <c r="BE637" t="str">
        <f t="array" ref="BE637">IF(AY637=1,INDEX($V$7:$AL$7,MATCH(TRUE,INDEX($V637:$AW637&lt;&gt;0,),0)),IF(AY637=0,INDEX($AM$7:$AW$7,MATCH(1,$AM637:$AW637,0)),IF(BF637="Multiple strategies","mixed drivers",IF(BF637="Supply chain","multiple supply","multiple silviculture"))))</f>
        <v>efficiency improvement</v>
      </c>
      <c r="BF637" s="2" t="str" cm="1">
        <f t="array" ref="BF637">IF(COUNTIF(AZ637:BB637,"&lt;&gt;0")=1,INDEX($V$4:$AW$4,MATCH(TRUE,INDEX($V637:$AW637&lt;&gt;0,),0)),IF(COUNTIF(AZ637:BB637,"&lt;&gt;0")=0,INDEX($AM$4:$AW$4,MATCH(1,$AM637:$AW637,0)),"Multiple strategies"))</f>
        <v>Technology</v>
      </c>
      <c r="BG637" s="1" t="s">
        <v>229</v>
      </c>
      <c r="BH637" t="s">
        <v>1547</v>
      </c>
      <c r="BI637" s="264" t="s">
        <v>3120</v>
      </c>
      <c r="BJ637" t="s">
        <v>345</v>
      </c>
      <c r="BK637">
        <v>562</v>
      </c>
      <c r="BL637">
        <v>562</v>
      </c>
      <c r="BM637">
        <v>1</v>
      </c>
      <c r="BN637">
        <f t="shared" si="701"/>
        <v>0</v>
      </c>
      <c r="BO637">
        <f t="shared" si="702"/>
        <v>0</v>
      </c>
      <c r="BP637" s="264" t="s">
        <v>395</v>
      </c>
      <c r="BR637" t="s">
        <v>728</v>
      </c>
      <c r="BS637">
        <v>-462.1</v>
      </c>
      <c r="BT637">
        <v>-589.70000000000005</v>
      </c>
      <c r="BU637" s="144">
        <v>1</v>
      </c>
      <c r="BV637">
        <f t="shared" si="726"/>
        <v>-127.60000000000002</v>
      </c>
      <c r="BX637">
        <f t="shared" si="704"/>
        <v>-0.12760000000000002</v>
      </c>
      <c r="BY637" t="str">
        <f t="shared" si="727"/>
        <v/>
      </c>
      <c r="BZ637">
        <v>0</v>
      </c>
      <c r="CA637">
        <v>0</v>
      </c>
      <c r="CB637">
        <v>0</v>
      </c>
      <c r="CC637">
        <v>0</v>
      </c>
      <c r="CD637">
        <v>0</v>
      </c>
      <c r="CE637">
        <v>0</v>
      </c>
      <c r="CF637">
        <v>0</v>
      </c>
      <c r="CG637">
        <v>0</v>
      </c>
      <c r="CH637">
        <v>0</v>
      </c>
      <c r="CI637">
        <v>0</v>
      </c>
      <c r="CJ637">
        <v>0</v>
      </c>
      <c r="CK637">
        <v>0</v>
      </c>
      <c r="CL637">
        <v>0</v>
      </c>
      <c r="CM637">
        <v>0</v>
      </c>
      <c r="CN637" t="str">
        <f t="shared" si="705"/>
        <v>refOK</v>
      </c>
      <c r="CO637">
        <f>IF($CN637="refNeedCorrection",BL637,BK637)</f>
        <v>562</v>
      </c>
      <c r="CP637">
        <f>IF($CN637="refNeedCorrection",BK637,BL637)</f>
        <v>562</v>
      </c>
      <c r="CQ637">
        <f t="shared" si="708"/>
        <v>0</v>
      </c>
      <c r="CR637">
        <f t="shared" si="709"/>
        <v>462.1</v>
      </c>
      <c r="CS637">
        <f>IF($CN637="refOK",$BT637,$BS637)*IF($BP637="Emissions positive",-1,1)</f>
        <v>589.70000000000005</v>
      </c>
      <c r="CT637">
        <f t="shared" si="711"/>
        <v>0.12760000000000002</v>
      </c>
      <c r="CU637" t="str">
        <f t="shared" si="712"/>
        <v/>
      </c>
      <c r="CV637" s="2">
        <f t="shared" si="713"/>
        <v>0.27613070763903919</v>
      </c>
      <c r="CW637" s="1" t="s">
        <v>1198</v>
      </c>
      <c r="CX637" t="str">
        <f t="shared" si="714"/>
        <v>reg</v>
      </c>
      <c r="CY637" t="s">
        <v>1539</v>
      </c>
      <c r="DB637">
        <v>500</v>
      </c>
      <c r="DC637" t="str">
        <f t="shared" si="715"/>
        <v>+100</v>
      </c>
      <c r="DD637">
        <v>0</v>
      </c>
      <c r="DE637">
        <v>0</v>
      </c>
      <c r="DF637">
        <v>0</v>
      </c>
      <c r="DG637">
        <v>1</v>
      </c>
      <c r="DI637">
        <f t="shared" si="716"/>
        <v>1</v>
      </c>
      <c r="DJ637" t="str">
        <f t="shared" si="717"/>
        <v>TimberInput</v>
      </c>
      <c r="DK637">
        <f t="shared" si="718"/>
        <v>0</v>
      </c>
      <c r="DL637">
        <f t="shared" si="719"/>
        <v>0</v>
      </c>
      <c r="DM637">
        <f t="shared" si="720"/>
        <v>0</v>
      </c>
      <c r="DN637" t="str">
        <f t="shared" si="721"/>
        <v>Timber</v>
      </c>
      <c r="DO637">
        <v>0</v>
      </c>
      <c r="DP637">
        <v>1</v>
      </c>
      <c r="DQ637">
        <v>0</v>
      </c>
      <c r="DR637">
        <v>0</v>
      </c>
      <c r="DS637" t="s">
        <v>1540</v>
      </c>
      <c r="DT637">
        <f t="shared" si="722"/>
        <v>1</v>
      </c>
      <c r="DU637" s="143" t="str">
        <f t="shared" si="723"/>
        <v>external DF used</v>
      </c>
      <c r="DV637">
        <v>0</v>
      </c>
      <c r="DW637">
        <v>0</v>
      </c>
      <c r="DX637">
        <v>0</v>
      </c>
      <c r="DY637">
        <v>0</v>
      </c>
      <c r="DZ637">
        <v>1</v>
      </c>
      <c r="EA637" s="143">
        <v>1</v>
      </c>
      <c r="EB637">
        <v>0</v>
      </c>
      <c r="EC637">
        <v>1</v>
      </c>
      <c r="ED637">
        <v>0</v>
      </c>
      <c r="EE637">
        <v>1</v>
      </c>
      <c r="EF637">
        <v>1</v>
      </c>
      <c r="EG637">
        <v>1</v>
      </c>
      <c r="EH637">
        <v>1</v>
      </c>
      <c r="EI637" s="2">
        <v>0</v>
      </c>
      <c r="EK637" t="str">
        <f t="shared" si="724"/>
        <v/>
      </c>
      <c r="EL637" t="str">
        <f t="shared" si="725"/>
        <v/>
      </c>
      <c r="EM637" s="2" t="str">
        <f t="shared" si="728"/>
        <v>Technology approach</v>
      </c>
      <c r="EP637" t="b">
        <f>IF(ISNUMBER(BU637),IF(ABS(BU637-[3]QC_indicators!$B$2)&gt;3*[3]QC_indicators!$C$2,"C ratio",IF(ISNUMBER(BY637),IF(ABS(BY637-[3]QC_indicators!$B$1)&gt;3*[3]QC_indicators!$C$1,"DF","no"))),IF(ISNUMBER(BY637),IF(ABS(BY637-[3]QC_indicators!$B$1)&gt;3*[3]QC_indicators!$C$1,"DF","no")))</f>
        <v>0</v>
      </c>
      <c r="ET637" s="264" t="s">
        <v>3272</v>
      </c>
    </row>
    <row r="638" spans="1:150" ht="15" hidden="1" customHeight="1">
      <c r="A638" s="1" t="s">
        <v>656</v>
      </c>
      <c r="B638" t="s">
        <v>707</v>
      </c>
      <c r="C638" t="s">
        <v>544</v>
      </c>
      <c r="D638" t="s">
        <v>708</v>
      </c>
      <c r="E638" t="s">
        <v>709</v>
      </c>
      <c r="F638" t="s">
        <v>710</v>
      </c>
      <c r="G638" t="s">
        <v>662</v>
      </c>
      <c r="H638" t="s">
        <v>254</v>
      </c>
      <c r="I638">
        <v>2022</v>
      </c>
      <c r="J638">
        <v>4</v>
      </c>
      <c r="K638" t="s">
        <v>711</v>
      </c>
      <c r="M638" t="str">
        <f t="shared" si="686"/>
        <v>Felmer_2022</v>
      </c>
      <c r="N638" t="s">
        <v>222</v>
      </c>
      <c r="O638" s="145" t="s">
        <v>223</v>
      </c>
      <c r="Q638" s="264" t="s">
        <v>389</v>
      </c>
      <c r="R638" s="269" t="s">
        <v>1153</v>
      </c>
      <c r="S638" s="263" t="s">
        <v>712</v>
      </c>
      <c r="T638" s="264" t="s">
        <v>713</v>
      </c>
      <c r="U638" s="264" t="s">
        <v>714</v>
      </c>
      <c r="V638">
        <v>0</v>
      </c>
      <c r="W638">
        <v>0</v>
      </c>
      <c r="X638">
        <v>0</v>
      </c>
      <c r="Y638">
        <v>0</v>
      </c>
      <c r="Z638">
        <v>0</v>
      </c>
      <c r="AA638">
        <v>0</v>
      </c>
      <c r="AB638">
        <v>0</v>
      </c>
      <c r="AC638">
        <v>0</v>
      </c>
      <c r="AD638">
        <v>0</v>
      </c>
      <c r="AE638">
        <v>0</v>
      </c>
      <c r="AF638">
        <v>0</v>
      </c>
      <c r="AG638">
        <v>0</v>
      </c>
      <c r="AH638">
        <v>0</v>
      </c>
      <c r="AI638">
        <v>0</v>
      </c>
      <c r="AJ638">
        <v>0</v>
      </c>
      <c r="AK638">
        <v>1</v>
      </c>
      <c r="AL638">
        <v>0</v>
      </c>
      <c r="AM638">
        <v>0</v>
      </c>
      <c r="AN638">
        <v>0</v>
      </c>
      <c r="AO638">
        <v>0</v>
      </c>
      <c r="AP638">
        <v>0</v>
      </c>
      <c r="AQ638">
        <v>0</v>
      </c>
      <c r="AR638">
        <v>0</v>
      </c>
      <c r="AS638">
        <v>0</v>
      </c>
      <c r="AT638">
        <v>0</v>
      </c>
      <c r="AU638">
        <v>0</v>
      </c>
      <c r="AV638">
        <v>0</v>
      </c>
      <c r="AW638">
        <v>0</v>
      </c>
      <c r="AX638" s="141">
        <f t="shared" si="694"/>
        <v>1</v>
      </c>
      <c r="AY638" s="141">
        <f t="shared" si="695"/>
        <v>1</v>
      </c>
      <c r="AZ638">
        <f t="shared" si="696"/>
        <v>0</v>
      </c>
      <c r="BA638">
        <f t="shared" si="697"/>
        <v>0</v>
      </c>
      <c r="BB638">
        <f t="shared" si="698"/>
        <v>1</v>
      </c>
      <c r="BC638">
        <f t="shared" si="699"/>
        <v>0</v>
      </c>
      <c r="BD638">
        <f t="shared" si="700"/>
        <v>0</v>
      </c>
      <c r="BE638" t="str" cm="1">
        <f t="array" ref="BE638">IF(AY638=1,INDEX($V$7:$AL$7,MATCH(TRUE,INDEX($V638:$AW638&lt;&gt;0,),0)),IF(AY638=0,INDEX($AM$7:$AW$7,MATCH(1,$AM638:$AW638,0)),IF(BF638="Multiple strategies","mixed drivers",IF(BF638="Supply chain","multiple supply","multiple silviculture"))))</f>
        <v>technologies/design switch</v>
      </c>
      <c r="BF638" s="2" t="str" cm="1">
        <f t="array" ref="BF638">IF(COUNTIF(AZ638:BB638,"&lt;&gt;0")=1,INDEX($V$4:$AW$4,MATCH(TRUE,INDEX($V638:$AW638&lt;&gt;0,),0)),IF(COUNTIF(AZ638:BB638,"&lt;&gt;0")=0,INDEX($AM$4:$AW$4,MATCH(1,$AM638:$AW638,0)),"Multiple strategies"))</f>
        <v>Technology</v>
      </c>
      <c r="BG638" s="1" t="s">
        <v>229</v>
      </c>
      <c r="BH638" s="264" t="s">
        <v>715</v>
      </c>
      <c r="BI638" s="264" t="s">
        <v>716</v>
      </c>
      <c r="BK638">
        <v>0</v>
      </c>
      <c r="BL638">
        <f>45+153.9+97+212.6+18.2</f>
        <v>526.70000000000005</v>
      </c>
      <c r="BN638">
        <f t="shared" si="701"/>
        <v>526.70000000000005</v>
      </c>
      <c r="BO638">
        <f>BN638*t_to_m3</f>
        <v>1074.8979591836735</v>
      </c>
      <c r="BP638" s="264" t="s">
        <v>395</v>
      </c>
      <c r="BQ638" s="264" t="s">
        <v>689</v>
      </c>
      <c r="BR638" s="264" t="s">
        <v>717</v>
      </c>
      <c r="BS638">
        <f>234.2+262</f>
        <v>496.2</v>
      </c>
      <c r="BT638">
        <f>42.9+141.2</f>
        <v>184.1</v>
      </c>
      <c r="BU638" s="144">
        <f>IFERROR(BT638/BS638,"")</f>
        <v>0.37101975010076582</v>
      </c>
      <c r="BV638">
        <f t="shared" si="726"/>
        <v>-312.10000000000002</v>
      </c>
      <c r="BX638">
        <f>BV638</f>
        <v>-312.10000000000002</v>
      </c>
      <c r="BY638">
        <f t="shared" si="727"/>
        <v>-0.29035314220618952</v>
      </c>
      <c r="BZ638">
        <v>0</v>
      </c>
      <c r="CA638">
        <v>0</v>
      </c>
      <c r="CB638">
        <v>0</v>
      </c>
      <c r="CC638">
        <v>0</v>
      </c>
      <c r="CD638">
        <v>0</v>
      </c>
      <c r="CE638">
        <v>0</v>
      </c>
      <c r="CF638">
        <v>0</v>
      </c>
      <c r="CG638">
        <v>0</v>
      </c>
      <c r="CH638">
        <v>0</v>
      </c>
      <c r="CI638">
        <v>0</v>
      </c>
      <c r="CJ638">
        <v>0</v>
      </c>
      <c r="CK638">
        <v>0</v>
      </c>
      <c r="CL638">
        <v>0</v>
      </c>
      <c r="CM638">
        <v>0</v>
      </c>
      <c r="CN638" t="str">
        <f t="shared" si="705"/>
        <v>refOK</v>
      </c>
      <c r="CO638"/>
      <c r="CP638"/>
      <c r="CQ638">
        <f t="shared" si="708"/>
        <v>1074.8979591836735</v>
      </c>
      <c r="CR638">
        <f t="shared" si="709"/>
        <v>-496.2</v>
      </c>
      <c r="CS638">
        <f>IF($CN638="refOK",$BT638,$BS638)*IF($BP638="Emissions positive",-1,1)</f>
        <v>-184.1</v>
      </c>
      <c r="CT638">
        <f t="shared" si="711"/>
        <v>312.10000000000002</v>
      </c>
      <c r="CU638">
        <f t="shared" si="712"/>
        <v>0.29035314220618952</v>
      </c>
      <c r="CV638" s="2">
        <f t="shared" si="713"/>
        <v>0.62898024989923429</v>
      </c>
      <c r="CW638" s="263" t="s">
        <v>263</v>
      </c>
      <c r="CX638" s="264" t="str">
        <f t="shared" si="714"/>
        <v>loc</v>
      </c>
      <c r="CY638" s="264" t="s">
        <v>718</v>
      </c>
      <c r="DB638">
        <v>0</v>
      </c>
      <c r="DC638" t="str">
        <f t="shared" si="715"/>
        <v>0</v>
      </c>
      <c r="DD638">
        <v>0</v>
      </c>
      <c r="DE638">
        <v>0</v>
      </c>
      <c r="DF638">
        <v>0</v>
      </c>
      <c r="DG638">
        <v>1</v>
      </c>
      <c r="DH638">
        <v>0</v>
      </c>
      <c r="DI638">
        <f>SUM(DD638:DH638)</f>
        <v>1</v>
      </c>
      <c r="DJ638" t="str">
        <f t="shared" si="717"/>
        <v>TimberInput</v>
      </c>
      <c r="DK638">
        <f t="shared" si="718"/>
        <v>0</v>
      </c>
      <c r="DL638">
        <f t="shared" si="719"/>
        <v>0</v>
      </c>
      <c r="DM638">
        <f t="shared" si="720"/>
        <v>0</v>
      </c>
      <c r="DN638" t="str">
        <f t="shared" si="721"/>
        <v>Timber</v>
      </c>
      <c r="DO638">
        <v>0</v>
      </c>
      <c r="DP638">
        <v>0</v>
      </c>
      <c r="DQ638">
        <v>0</v>
      </c>
      <c r="DR638">
        <v>0</v>
      </c>
      <c r="DS638">
        <v>0</v>
      </c>
      <c r="DT638">
        <f t="shared" si="722"/>
        <v>0</v>
      </c>
      <c r="DU638" t="str">
        <f t="shared" si="723"/>
        <v>explicit C balance</v>
      </c>
      <c r="DV638">
        <v>0</v>
      </c>
      <c r="DW638">
        <v>0</v>
      </c>
      <c r="DX638">
        <v>0</v>
      </c>
      <c r="DY638">
        <v>0</v>
      </c>
      <c r="DZ638">
        <v>0</v>
      </c>
      <c r="EA638" s="143">
        <v>0</v>
      </c>
      <c r="EB638">
        <v>1</v>
      </c>
      <c r="EC638">
        <v>1</v>
      </c>
      <c r="ED638">
        <v>1</v>
      </c>
      <c r="EE638">
        <v>0</v>
      </c>
      <c r="EF638">
        <v>0</v>
      </c>
      <c r="EG638">
        <v>0</v>
      </c>
      <c r="EH638">
        <v>0</v>
      </c>
      <c r="EI638" s="2">
        <v>0</v>
      </c>
      <c r="EK638" t="str">
        <f t="shared" si="724"/>
        <v/>
      </c>
      <c r="EL638" t="str">
        <f t="shared" si="725"/>
        <v/>
      </c>
      <c r="EM638" s="2" t="str">
        <f t="shared" si="728"/>
        <v>Technology approach</v>
      </c>
      <c r="EP638" t="str">
        <f>IF(ISNUMBER(BU638),IF(ABS(BU638-[4]QC_indicators!$B$2)&gt;3*[4]QC_indicators!$C$2,"C ratio",IF(ISNUMBER(BY638),IF(ABS(BY638-[4]QC_indicators!$B$1)&gt;3*[4]QC_indicators!$C$1,"DF","no"))),IF(ISNUMBER(BY638),IF(ABS(BY638-[4]QC_indicators!$B$1)&gt;3*[4]QC_indicators!$C$1,"DF","no")))</f>
        <v>no</v>
      </c>
      <c r="ET638" s="264" t="s">
        <v>3406</v>
      </c>
    </row>
    <row r="639" spans="1:150" ht="15" hidden="1" customHeight="1">
      <c r="A639" s="1" t="s">
        <v>3617</v>
      </c>
      <c r="B639" t="s">
        <v>4494</v>
      </c>
      <c r="C639" t="s">
        <v>544</v>
      </c>
      <c r="D639" t="s">
        <v>4495</v>
      </c>
      <c r="E639" t="s">
        <v>4496</v>
      </c>
      <c r="F639" t="s">
        <v>4497</v>
      </c>
      <c r="G639" t="s">
        <v>3623</v>
      </c>
      <c r="H639" t="s">
        <v>254</v>
      </c>
      <c r="I639">
        <v>2014</v>
      </c>
      <c r="J639">
        <v>3</v>
      </c>
      <c r="K639" t="s">
        <v>4498</v>
      </c>
      <c r="M639" t="str">
        <f t="shared" si="686"/>
        <v>Fernandez_2014</v>
      </c>
      <c r="N639" t="s">
        <v>2582</v>
      </c>
      <c r="O639" s="145" t="s">
        <v>274</v>
      </c>
      <c r="Q639" s="311" t="s">
        <v>256</v>
      </c>
      <c r="R639" s="312"/>
      <c r="AX639" s="141"/>
      <c r="AY639" s="141"/>
      <c r="BE639"/>
      <c r="BF639" s="2"/>
      <c r="BU639" s="144"/>
      <c r="BY639" t="str">
        <f t="shared" si="727"/>
        <v/>
      </c>
      <c r="CN639"/>
      <c r="CO639"/>
      <c r="CP639"/>
      <c r="CQ639"/>
      <c r="CR639"/>
      <c r="CS639"/>
      <c r="CT639"/>
      <c r="CU639"/>
      <c r="CV639" s="2"/>
      <c r="CX639"/>
      <c r="DC639"/>
      <c r="DI639"/>
      <c r="DJ639"/>
      <c r="DK639"/>
      <c r="DL639"/>
      <c r="DM639"/>
      <c r="DN639"/>
      <c r="DT639"/>
      <c r="DU639" s="143"/>
      <c r="EK639" t="str">
        <f>IF(AND(AND(AND(OR($DX639=1,$DW639=1),OR($EC639=1,$EA639=1)),SUM($DV639:$DZ639,$EF639)&gt;=3),SUM($EA639:$EE639)&gt;=2),"Whole sector","")</f>
        <v/>
      </c>
      <c r="EL639" t="str">
        <f>IF(AND(AND(OR($DX639=1,$DW639=1),AND($EC639=0,$EA639=0)),SUM($DV639:$DZ639,$EF639)&gt;=3),"Ecosystem approach","")</f>
        <v/>
      </c>
      <c r="EM639" s="2" t="str">
        <f t="shared" si="728"/>
        <v/>
      </c>
      <c r="EO639" t="s">
        <v>450</v>
      </c>
      <c r="EP639" t="b">
        <f>IF(ISNUMBER(BU639),IF(ABS(BU639-[1]QC_indicators!$B$2)&gt;3*[1]QC_indicators!$C$2,"C ratio",IF(ISNUMBER(BY639),IF(ABS(BY639-[1]QC_indicators!$B$1)&gt;3*[1]QC_indicators!$C$1,"DF","no"))),IF(ISNUMBER(BY639),IF(ABS(BY639-[1]QC_indicators!$B$1)&gt;3*[1]QC_indicators!$C$1,"DF","no")))</f>
        <v>0</v>
      </c>
    </row>
    <row r="640" spans="1:150" ht="15" hidden="1" customHeight="1">
      <c r="A640" s="1" t="s">
        <v>4499</v>
      </c>
      <c r="B640" t="s">
        <v>4500</v>
      </c>
      <c r="C640" t="s">
        <v>544</v>
      </c>
      <c r="D640" t="s">
        <v>4501</v>
      </c>
      <c r="E640" t="s">
        <v>4502</v>
      </c>
      <c r="F640" t="s">
        <v>4503</v>
      </c>
      <c r="G640" t="s">
        <v>4504</v>
      </c>
      <c r="H640" t="s">
        <v>254</v>
      </c>
      <c r="I640">
        <v>2016</v>
      </c>
      <c r="J640">
        <v>7</v>
      </c>
      <c r="K640" t="s">
        <v>4505</v>
      </c>
      <c r="M640" t="str">
        <f t="shared" si="686"/>
        <v>Fernandez_2016</v>
      </c>
      <c r="N640" t="s">
        <v>2582</v>
      </c>
      <c r="O640" s="145" t="s">
        <v>274</v>
      </c>
      <c r="Q640" s="311" t="s">
        <v>256</v>
      </c>
      <c r="R640" s="312"/>
      <c r="AX640" s="141"/>
      <c r="AY640" s="141"/>
      <c r="BE640"/>
      <c r="BF640" s="2"/>
      <c r="BU640" s="144"/>
      <c r="BY640" t="str">
        <f t="shared" si="727"/>
        <v/>
      </c>
      <c r="CN640"/>
      <c r="CO640"/>
      <c r="CP640"/>
      <c r="CQ640"/>
      <c r="CR640"/>
      <c r="CS640"/>
      <c r="CT640"/>
      <c r="CU640"/>
      <c r="CV640" s="2"/>
      <c r="CX640"/>
      <c r="DC640"/>
      <c r="DI640"/>
      <c r="DJ640"/>
      <c r="DK640"/>
      <c r="DL640"/>
      <c r="DM640"/>
      <c r="DN640"/>
      <c r="DT640"/>
      <c r="DU640" s="143"/>
      <c r="EK640" t="str">
        <f>IF(AND(AND(AND(OR($DX640=1,$DW640=1),OR($EC640=1,$EA640=1)),SUM($DV640:$DZ640,$EF640)&gt;=3),SUM($EA640:$EE640)&gt;=2),"Whole sector","")</f>
        <v/>
      </c>
      <c r="EL640" t="str">
        <f>IF(AND(AND(OR($DX640=1,$DW640=1),AND($EC640=0,$EA640=0)),SUM($DV640:$DZ640,$EF640)&gt;=3),"Ecosystem approach","")</f>
        <v/>
      </c>
      <c r="EM640" s="2" t="str">
        <f t="shared" si="728"/>
        <v/>
      </c>
      <c r="EO640" t="s">
        <v>450</v>
      </c>
      <c r="EP640" t="b">
        <f>IF(ISNUMBER(BU640),IF(ABS(BU640-[1]QC_indicators!$B$2)&gt;3*[1]QC_indicators!$C$2,"C ratio",IF(ISNUMBER(BY640),IF(ABS(BY640-[1]QC_indicators!$B$1)&gt;3*[1]QC_indicators!$C$1,"DF","no"))),IF(ISNUMBER(BY640),IF(ABS(BY640-[1]QC_indicators!$B$1)&gt;3*[1]QC_indicators!$C$1,"DF","no")))</f>
        <v>0</v>
      </c>
    </row>
    <row r="641" spans="1:150" ht="15" hidden="1" customHeight="1">
      <c r="A641" s="1" t="s">
        <v>3959</v>
      </c>
      <c r="B641" t="s">
        <v>544</v>
      </c>
      <c r="C641" t="s">
        <v>544</v>
      </c>
      <c r="D641" t="s">
        <v>4974</v>
      </c>
      <c r="E641" t="s">
        <v>4975</v>
      </c>
      <c r="F641" s="311" t="s">
        <v>4976</v>
      </c>
      <c r="G641" t="s">
        <v>3963</v>
      </c>
      <c r="H641" t="s">
        <v>3964</v>
      </c>
      <c r="I641">
        <v>2019</v>
      </c>
      <c r="J641">
        <v>2</v>
      </c>
      <c r="K641" t="s">
        <v>4977</v>
      </c>
      <c r="M641" t="str">
        <f t="shared" ref="M641:M704" si="732">LEFT($D641,FIND(",",$D641)-1)&amp;"_"&amp;I641&amp;L641</f>
        <v>Forster_2019</v>
      </c>
      <c r="N641" s="311" t="s">
        <v>2583</v>
      </c>
      <c r="O641" s="171" t="s">
        <v>513</v>
      </c>
      <c r="P641" t="s">
        <v>223</v>
      </c>
      <c r="Q641" s="311" t="s">
        <v>389</v>
      </c>
      <c r="R641" s="312"/>
      <c r="AX641" s="141"/>
      <c r="AY641" s="141"/>
      <c r="BE641"/>
      <c r="BF641" s="2"/>
      <c r="BN641" s="158"/>
      <c r="BO641" s="159"/>
      <c r="BU641" s="144"/>
      <c r="BY641" t="str">
        <f t="shared" si="727"/>
        <v/>
      </c>
      <c r="CN641"/>
      <c r="CO641"/>
      <c r="CP641"/>
      <c r="CQ641"/>
      <c r="CR641"/>
      <c r="CS641"/>
      <c r="CT641"/>
      <c r="CU641"/>
      <c r="CV641" s="2"/>
      <c r="CX641"/>
      <c r="DC641"/>
      <c r="DI641"/>
      <c r="DJ641"/>
      <c r="DK641"/>
      <c r="DL641"/>
      <c r="DM641"/>
      <c r="DN641"/>
      <c r="DT641"/>
      <c r="DU641" s="143"/>
      <c r="DV641" s="143"/>
      <c r="DW641" s="143"/>
      <c r="DX641" s="143"/>
      <c r="DY641" s="143"/>
      <c r="ED641" s="143"/>
      <c r="EG641" s="143"/>
      <c r="EH641" s="143"/>
      <c r="EK641" t="str">
        <f>IF(AND(AND(AND(OR($DX641=1,$DW641=1),OR($EC641=1,$EA641=1)),SUM($DV641:$DZ641,$EF641)&gt;=3),SUM($EA641:$EE641)&gt;=2),"Whole sector","")</f>
        <v/>
      </c>
      <c r="EL641" t="str">
        <f>IF(AND(AND(OR($DX641=1,$DW641=1),AND($EC641=0,$EA641=0)),SUM($DV641:$DZ641,$EF641)&gt;=3),"Ecosystem approach","")</f>
        <v/>
      </c>
      <c r="EM641" s="2" t="str">
        <f t="shared" si="728"/>
        <v/>
      </c>
      <c r="EP641" t="b">
        <f>IF(ISNUMBER(BU641),IF(ABS(BU641-[1]QC_indicators!$B$2)&gt;3*[1]QC_indicators!$C$2,"C ratio",IF(ISNUMBER(BY641),IF(ABS(BY641-[1]QC_indicators!$B$1)&gt;3*[1]QC_indicators!$C$1,"DF","no"))),IF(ISNUMBER(BY641),IF(ABS(BY641-[1]QC_indicators!$B$1)&gt;3*[1]QC_indicators!$C$1,"DF","no")))</f>
        <v>0</v>
      </c>
    </row>
    <row r="642" spans="1:150" ht="15" hidden="1" customHeight="1">
      <c r="A642" s="1" t="s">
        <v>1359</v>
      </c>
      <c r="B642" t="s">
        <v>1552</v>
      </c>
      <c r="C642" t="s">
        <v>1553</v>
      </c>
      <c r="D642" t="s">
        <v>1554</v>
      </c>
      <c r="E642" t="s">
        <v>1555</v>
      </c>
      <c r="F642" t="s">
        <v>1556</v>
      </c>
      <c r="G642" t="s">
        <v>1365</v>
      </c>
      <c r="H642" t="s">
        <v>254</v>
      </c>
      <c r="I642">
        <v>2012</v>
      </c>
      <c r="J642">
        <v>38</v>
      </c>
      <c r="K642" t="s">
        <v>1557</v>
      </c>
      <c r="M642" t="str">
        <f t="shared" si="732"/>
        <v>Fortin_2012</v>
      </c>
      <c r="N642" t="s">
        <v>222</v>
      </c>
      <c r="O642" s="145" t="s">
        <v>225</v>
      </c>
      <c r="Q642" s="264" t="s">
        <v>256</v>
      </c>
      <c r="R642" s="269" t="s">
        <v>341</v>
      </c>
      <c r="S642" s="1" t="s">
        <v>1558</v>
      </c>
      <c r="T642" s="143" t="s">
        <v>1559</v>
      </c>
      <c r="U642" t="s">
        <v>1560</v>
      </c>
      <c r="V642">
        <v>0</v>
      </c>
      <c r="W642">
        <v>0</v>
      </c>
      <c r="X642">
        <v>0</v>
      </c>
      <c r="Y642">
        <v>1</v>
      </c>
      <c r="Z642">
        <v>0</v>
      </c>
      <c r="AA642">
        <v>0</v>
      </c>
      <c r="AB642">
        <v>0</v>
      </c>
      <c r="AC642">
        <v>0</v>
      </c>
      <c r="AD642">
        <v>0</v>
      </c>
      <c r="AE642">
        <v>0</v>
      </c>
      <c r="AF642">
        <v>0</v>
      </c>
      <c r="AG642">
        <v>0</v>
      </c>
      <c r="AH642">
        <v>0</v>
      </c>
      <c r="AI642">
        <v>0</v>
      </c>
      <c r="AJ642">
        <v>0</v>
      </c>
      <c r="AK642">
        <v>0</v>
      </c>
      <c r="AL642">
        <v>0</v>
      </c>
      <c r="AM642">
        <v>0</v>
      </c>
      <c r="AN642">
        <v>0</v>
      </c>
      <c r="AO642">
        <v>0</v>
      </c>
      <c r="AP642">
        <v>0</v>
      </c>
      <c r="AQ642">
        <v>0</v>
      </c>
      <c r="AR642">
        <v>0</v>
      </c>
      <c r="AS642">
        <v>0</v>
      </c>
      <c r="AT642">
        <v>0</v>
      </c>
      <c r="AU642">
        <v>0</v>
      </c>
      <c r="AV642">
        <v>0</v>
      </c>
      <c r="AW642">
        <v>0</v>
      </c>
      <c r="AX642" s="141">
        <f t="shared" ref="AX642:AX649" si="733">COUNTIF(V642:AW642,"&lt;&gt;0")</f>
        <v>1</v>
      </c>
      <c r="AY642" s="141">
        <f t="shared" ref="AY642:AY649" si="734">COUNTIF(V642:AL642,"&lt;&gt;0")</f>
        <v>1</v>
      </c>
      <c r="AZ642">
        <f t="shared" ref="AZ642:AZ648" si="735">COUNTIF(V642:AC642,"&lt;&gt;0")</f>
        <v>1</v>
      </c>
      <c r="BA642">
        <f t="shared" ref="BA642:BA648" si="736">COUNTIF(AD642:AI642,"&lt;&gt;0")</f>
        <v>0</v>
      </c>
      <c r="BB642">
        <f t="shared" ref="BB642:BB648" si="737">COUNTIF(AJ642:AL642,"&lt;&gt;0")</f>
        <v>0</v>
      </c>
      <c r="BC642">
        <f t="shared" ref="BC642:BC648" si="738">COUNTIF(AS642:AW642,"&lt;&gt;0")</f>
        <v>0</v>
      </c>
      <c r="BD642">
        <f t="shared" ref="BD642:BD648" si="739">COUNTIF(AM642:AR642,"&lt;&gt;0")</f>
        <v>0</v>
      </c>
      <c r="BE642" t="str" cm="1">
        <f t="array" ref="BE642">IF(AY642=1,INDEX($V$7:$AL$7,MATCH(TRUE,INDEX($V642:$AW642&lt;&gt;0,),0)),IF(AY642=0,INDEX($AM$7:$AW$7,MATCH(1,$AM642:$AW642,0)),IF(BF642="Multiple strategies","mixed drivers",IF(BF642="Supply chain","multiple supply","multiple silviculture"))))</f>
        <v xml:space="preserve">cutting intensity </v>
      </c>
      <c r="BF642" s="2" t="str" cm="1">
        <f t="array" ref="BF642">IF(COUNTIF(AZ642:BB642,"&lt;&gt;0")=1,INDEX($V$4:$AW$4,MATCH(TRUE,INDEX($V642:$AW642&lt;&gt;0,),0)),IF(COUNTIF(AZ642:BB642,"&lt;&gt;0")=0,INDEX($AM$4:$AW$4,MATCH(1,$AM642:$AW642,0)),"Multiple strategies"))</f>
        <v>Silviculture for removals</v>
      </c>
      <c r="BG642" s="142" t="s">
        <v>321</v>
      </c>
      <c r="BH642" s="305" t="s">
        <v>3411</v>
      </c>
      <c r="BI642" s="305" t="s">
        <v>1147</v>
      </c>
      <c r="BJ642" s="143" t="s">
        <v>1112</v>
      </c>
      <c r="BK642" s="143">
        <v>5.3</v>
      </c>
      <c r="BL642">
        <v>6.2</v>
      </c>
      <c r="BM642" s="264">
        <f>BL642/BK642</f>
        <v>1.1698113207547169</v>
      </c>
      <c r="BN642">
        <f t="shared" ref="BN642:BN648" si="740">BL642-BK642</f>
        <v>0.90000000000000036</v>
      </c>
      <c r="BO642" s="159">
        <f>BN642</f>
        <v>0.90000000000000036</v>
      </c>
      <c r="BP642" t="s">
        <v>232</v>
      </c>
      <c r="BQ642" s="306" t="s">
        <v>3412</v>
      </c>
      <c r="BR642" s="305" t="s">
        <v>1561</v>
      </c>
      <c r="BS642">
        <v>0.4</v>
      </c>
      <c r="BT642" s="143">
        <v>0.45</v>
      </c>
      <c r="BU642" s="144">
        <f t="shared" ref="BU642:BU648" si="741">IFERROR(BT642/BS642,"")</f>
        <v>1.125</v>
      </c>
      <c r="BV642">
        <f t="shared" ref="BV642:BV648" si="742">BT642-BS642</f>
        <v>4.9999999999999989E-2</v>
      </c>
      <c r="BX642">
        <f>BV642*C_to_CO2</f>
        <v>0.18349999999999997</v>
      </c>
      <c r="BY642">
        <f t="shared" si="727"/>
        <v>0.20388888888888879</v>
      </c>
      <c r="BZ642">
        <v>0</v>
      </c>
      <c r="CA642">
        <v>0</v>
      </c>
      <c r="CB642">
        <v>0</v>
      </c>
      <c r="CC642">
        <v>0</v>
      </c>
      <c r="CD642">
        <v>0</v>
      </c>
      <c r="CE642">
        <v>0</v>
      </c>
      <c r="CF642">
        <v>0</v>
      </c>
      <c r="CG642">
        <v>0</v>
      </c>
      <c r="CH642">
        <v>0</v>
      </c>
      <c r="CI642">
        <v>0</v>
      </c>
      <c r="CJ642">
        <v>0</v>
      </c>
      <c r="CK642">
        <v>0</v>
      </c>
      <c r="CL642">
        <v>0</v>
      </c>
      <c r="CM642">
        <v>0</v>
      </c>
      <c r="CN642" t="str">
        <f t="shared" ref="CN642:CN648" si="743">IF($BL642&lt;$BK642,"refNeedCorrection","refOK")</f>
        <v>refOK</v>
      </c>
      <c r="CO642">
        <f>IF($CN642="refNeedCorrection",BK642,BL642)</f>
        <v>6.2</v>
      </c>
      <c r="CP642">
        <f>IF($CN642="refNeedCorrection",BL642,BK642)</f>
        <v>5.3</v>
      </c>
      <c r="CQ642">
        <f t="shared" ref="CQ642:CQ648" si="744">IF($CN642="refOK",$BO642,-$BO642)</f>
        <v>0.90000000000000036</v>
      </c>
      <c r="CR642">
        <f t="shared" ref="CR642:CR648" si="745">IF($CN642="refOK",$BS642,$BT642)*IF($BP642="Emissions positive",-1,1)</f>
        <v>0.4</v>
      </c>
      <c r="CS642">
        <f t="shared" ref="CS642:CS648" si="746">IF($CN642="refOK",$BT642,$BS642)*IF($BP642="Emissions positive",-1,1)</f>
        <v>0.45</v>
      </c>
      <c r="CT642">
        <f t="shared" ref="CT642:CT648" si="747">IF($CN642="refNeedCorrection",-BX642,BX642)*IF($BP642="Emissions positive",-1,1)</f>
        <v>0.18349999999999997</v>
      </c>
      <c r="CU642">
        <f t="shared" ref="CU642:CU648" si="748">IFERROR(CT642/CQ642,"")</f>
        <v>0.20388888888888879</v>
      </c>
      <c r="CV642" s="2">
        <f t="shared" ref="CV642:CV648" si="749">IFERROR((CS642-CR642)/ABS(CR642),"")</f>
        <v>0.12499999999999997</v>
      </c>
      <c r="CW642" s="1" t="s">
        <v>1202</v>
      </c>
      <c r="CX642" s="264" t="str">
        <f t="shared" ref="CX642:CX648" si="750">IF(OR($CW642="prd",$CW642="std",$CW642="cit"),"loc",IF(OR($CW642="eur",$CW642="reg",$CW642="coy"),"reg",$CW642))</f>
        <v>reg</v>
      </c>
      <c r="CY642" t="s">
        <v>729</v>
      </c>
      <c r="DA642" s="143"/>
      <c r="DB642" s="143">
        <v>250</v>
      </c>
      <c r="DC642" t="str">
        <f t="shared" ref="DC642:DC648" si="751">IF(DB642=0,"0",IF(AND(DB642&gt;=1,DB642&lt;=30),"1-30",IF(AND(DB642&gt;30,DB642&lt;=70),"31-70",IF(AND(DB642&gt;70,DB642&lt;=100),"71-100",IF(DB642&gt;100,"+100")))))</f>
        <v>+100</v>
      </c>
      <c r="DD642">
        <v>0</v>
      </c>
      <c r="DE642">
        <v>1</v>
      </c>
      <c r="DF642">
        <v>1</v>
      </c>
      <c r="DG642">
        <v>1</v>
      </c>
      <c r="DH642">
        <v>0</v>
      </c>
      <c r="DI642">
        <f>SUM(DD642:DH642)</f>
        <v>3</v>
      </c>
      <c r="DJ642" t="str">
        <f t="shared" ref="DJ642:DJ648" si="752">IF(DI642=1,INDEX($DD$7:$DG$7,MATCH(1,$DD642:$DG642,0)),"mixedProduct")</f>
        <v>mixedProduct</v>
      </c>
      <c r="DK642">
        <f t="shared" ref="DK642:DN648" si="753">IF(DD642=1,DK$7,0)</f>
        <v>0</v>
      </c>
      <c r="DL642" t="str">
        <f t="shared" si="753"/>
        <v>Energy</v>
      </c>
      <c r="DM642" t="str">
        <f t="shared" si="753"/>
        <v>Pulp/Paper</v>
      </c>
      <c r="DN642" t="str">
        <f t="shared" si="753"/>
        <v>Timber</v>
      </c>
      <c r="DO642">
        <v>0</v>
      </c>
      <c r="DP642" s="143">
        <v>1</v>
      </c>
      <c r="DQ642" t="s">
        <v>1562</v>
      </c>
      <c r="DR642" s="143" t="s">
        <v>1563</v>
      </c>
      <c r="DS642" s="143">
        <v>0</v>
      </c>
      <c r="DT642">
        <f t="shared" ref="DT642:DT648" si="754">SUM(DO642:DP642)</f>
        <v>1</v>
      </c>
      <c r="DU642" s="143" t="str">
        <f t="shared" ref="DU642:DU648" si="755">IF(DO642=1,"self-calculated DF",IF(DP642=1,"external DF used","explicit C balance"))</f>
        <v>external DF used</v>
      </c>
      <c r="DV642" s="143">
        <v>1</v>
      </c>
      <c r="DW642" s="143">
        <v>1</v>
      </c>
      <c r="DX642" s="143">
        <v>1</v>
      </c>
      <c r="DY642" s="143">
        <v>1</v>
      </c>
      <c r="DZ642">
        <v>1</v>
      </c>
      <c r="EA642" s="143">
        <v>1</v>
      </c>
      <c r="EB642" s="143">
        <v>0</v>
      </c>
      <c r="EC642" s="143">
        <v>1</v>
      </c>
      <c r="ED642" s="143">
        <v>0</v>
      </c>
      <c r="EE642">
        <v>0</v>
      </c>
      <c r="EF642">
        <v>0</v>
      </c>
      <c r="EG642" s="143">
        <v>0</v>
      </c>
      <c r="EH642">
        <v>0</v>
      </c>
      <c r="EI642" s="2">
        <v>0</v>
      </c>
      <c r="EK642" t="str">
        <f t="shared" ref="EK642:EK648" si="756">IF(AND(AND(AND(OR($DX642=1,$DW642=1),OR($EC642=1,$EA642=1)),SUM($DV642:$DZ642,$EF642)&gt;=4),SUM($EA642:$EE642)&gt;=2),"Whole sector","")</f>
        <v>Whole sector</v>
      </c>
      <c r="EL642" t="str">
        <f t="shared" ref="EL642:EL648" si="757">IF(AND(AND(OR($DX642=1,$DW642=1),AND($EC642=0,$EA642=0)),SUM($DV642:$DZ642,$EF642)&gt;=4),"Ecosystem approach","")</f>
        <v/>
      </c>
      <c r="EM642" s="2" t="str">
        <f t="shared" si="728"/>
        <v/>
      </c>
      <c r="EP642" t="str">
        <f>IF(ISNUMBER(BU642),IF(ABS(BU642-[4]QC_indicators!$B$2)&gt;3*[4]QC_indicators!$C$2,"C ratio",IF(ISNUMBER(BY642),IF(ABS(BY642-[4]QC_indicators!$B$1)&gt;3*[4]QC_indicators!$C$1,"DF","no"))),IF(ISNUMBER(BY642),IF(ABS(BY642-[4]QC_indicators!$B$1)&gt;3*[4]QC_indicators!$C$1,"DF","no")))</f>
        <v>no</v>
      </c>
      <c r="ET642" s="305" t="s">
        <v>3413</v>
      </c>
    </row>
    <row r="643" spans="1:150" ht="15" hidden="1" customHeight="1">
      <c r="A643" s="1" t="s">
        <v>1359</v>
      </c>
      <c r="B643" t="s">
        <v>1552</v>
      </c>
      <c r="C643" t="s">
        <v>1553</v>
      </c>
      <c r="D643" t="s">
        <v>1554</v>
      </c>
      <c r="E643" t="s">
        <v>1555</v>
      </c>
      <c r="F643" t="s">
        <v>1556</v>
      </c>
      <c r="G643" t="s">
        <v>1365</v>
      </c>
      <c r="H643" t="s">
        <v>254</v>
      </c>
      <c r="I643">
        <v>2012</v>
      </c>
      <c r="J643">
        <v>38</v>
      </c>
      <c r="K643" t="s">
        <v>1557</v>
      </c>
      <c r="M643" t="str">
        <f t="shared" si="732"/>
        <v>Fortin_2012</v>
      </c>
      <c r="N643" t="s">
        <v>222</v>
      </c>
      <c r="O643" s="145" t="s">
        <v>225</v>
      </c>
      <c r="Q643" s="264" t="s">
        <v>256</v>
      </c>
      <c r="R643" s="269" t="s">
        <v>341</v>
      </c>
      <c r="S643" s="1" t="s">
        <v>1558</v>
      </c>
      <c r="T643" t="s">
        <v>1560</v>
      </c>
      <c r="U643" s="143" t="s">
        <v>1564</v>
      </c>
      <c r="V643">
        <v>0</v>
      </c>
      <c r="W643">
        <v>0</v>
      </c>
      <c r="X643">
        <v>0</v>
      </c>
      <c r="Y643">
        <v>1</v>
      </c>
      <c r="Z643">
        <v>0</v>
      </c>
      <c r="AA643">
        <v>0</v>
      </c>
      <c r="AB643">
        <v>0</v>
      </c>
      <c r="AC643">
        <v>0</v>
      </c>
      <c r="AD643">
        <v>0</v>
      </c>
      <c r="AE643">
        <v>0</v>
      </c>
      <c r="AF643">
        <v>0</v>
      </c>
      <c r="AG643">
        <v>0</v>
      </c>
      <c r="AH643">
        <v>0</v>
      </c>
      <c r="AI643">
        <v>0</v>
      </c>
      <c r="AJ643">
        <v>0</v>
      </c>
      <c r="AK643">
        <v>0</v>
      </c>
      <c r="AL643">
        <v>0</v>
      </c>
      <c r="AM643">
        <v>0</v>
      </c>
      <c r="AN643">
        <v>0</v>
      </c>
      <c r="AO643">
        <v>0</v>
      </c>
      <c r="AP643">
        <v>0</v>
      </c>
      <c r="AQ643">
        <v>0</v>
      </c>
      <c r="AR643">
        <v>0</v>
      </c>
      <c r="AS643">
        <v>0</v>
      </c>
      <c r="AT643">
        <v>0</v>
      </c>
      <c r="AU643">
        <v>0</v>
      </c>
      <c r="AV643">
        <v>0</v>
      </c>
      <c r="AW643">
        <v>0</v>
      </c>
      <c r="AX643" s="141">
        <f t="shared" si="733"/>
        <v>1</v>
      </c>
      <c r="AY643" s="141">
        <f t="shared" si="734"/>
        <v>1</v>
      </c>
      <c r="AZ643">
        <f t="shared" si="735"/>
        <v>1</v>
      </c>
      <c r="BA643">
        <f t="shared" si="736"/>
        <v>0</v>
      </c>
      <c r="BB643">
        <f t="shared" si="737"/>
        <v>0</v>
      </c>
      <c r="BC643">
        <f t="shared" si="738"/>
        <v>0</v>
      </c>
      <c r="BD643">
        <f t="shared" si="739"/>
        <v>0</v>
      </c>
      <c r="BE643" t="str" cm="1">
        <f t="array" ref="BE643">IF(AY643=1,INDEX($V$7:$AL$7,MATCH(TRUE,INDEX($V643:$AW643&lt;&gt;0,),0)),IF(AY643=0,INDEX($AM$7:$AW$7,MATCH(1,$AM643:$AW643,0)),IF(BF643="Multiple strategies","mixed drivers",IF(BF643="Supply chain","multiple supply","multiple silviculture"))))</f>
        <v xml:space="preserve">cutting intensity </v>
      </c>
      <c r="BF643" s="2" t="str" cm="1">
        <f t="array" ref="BF643">IF(COUNTIF(AZ643:BB643,"&lt;&gt;0")=1,INDEX($V$4:$AW$4,MATCH(TRUE,INDEX($V643:$AW643&lt;&gt;0,),0)),IF(COUNTIF(AZ643:BB643,"&lt;&gt;0")=0,INDEX($AM$4:$AW$4,MATCH(1,$AM643:$AW643,0)),"Multiple strategies"))</f>
        <v>Silviculture for removals</v>
      </c>
      <c r="BG643" s="142" t="s">
        <v>321</v>
      </c>
      <c r="BH643" s="305" t="s">
        <v>3411</v>
      </c>
      <c r="BI643" s="305" t="s">
        <v>1147</v>
      </c>
      <c r="BJ643" s="143" t="s">
        <v>1112</v>
      </c>
      <c r="BK643">
        <v>6.2</v>
      </c>
      <c r="BL643" s="143">
        <v>6.9</v>
      </c>
      <c r="BM643" s="163">
        <f>BL643/BK643</f>
        <v>1.1129032258064517</v>
      </c>
      <c r="BN643">
        <f t="shared" si="740"/>
        <v>0.70000000000000018</v>
      </c>
      <c r="BO643" s="159">
        <f>BN643</f>
        <v>0.70000000000000018</v>
      </c>
      <c r="BP643" t="s">
        <v>232</v>
      </c>
      <c r="BQ643" s="306" t="s">
        <v>3412</v>
      </c>
      <c r="BR643" s="264" t="s">
        <v>1561</v>
      </c>
      <c r="BS643" s="143">
        <v>0.45</v>
      </c>
      <c r="BT643">
        <v>0.49</v>
      </c>
      <c r="BU643" s="144">
        <f t="shared" si="741"/>
        <v>1.0888888888888888</v>
      </c>
      <c r="BV643">
        <f t="shared" si="742"/>
        <v>3.999999999999998E-2</v>
      </c>
      <c r="BX643">
        <f>BV643*C_to_CO2</f>
        <v>0.14679999999999993</v>
      </c>
      <c r="BY643">
        <f t="shared" si="727"/>
        <v>0.20971428571428558</v>
      </c>
      <c r="BZ643">
        <v>0</v>
      </c>
      <c r="CA643">
        <v>0</v>
      </c>
      <c r="CB643">
        <v>0</v>
      </c>
      <c r="CC643">
        <v>0</v>
      </c>
      <c r="CD643">
        <v>0</v>
      </c>
      <c r="CE643">
        <v>0</v>
      </c>
      <c r="CF643">
        <v>0</v>
      </c>
      <c r="CG643">
        <v>0</v>
      </c>
      <c r="CH643">
        <v>0</v>
      </c>
      <c r="CI643">
        <v>0</v>
      </c>
      <c r="CJ643">
        <v>0</v>
      </c>
      <c r="CK643">
        <v>0</v>
      </c>
      <c r="CL643">
        <v>0</v>
      </c>
      <c r="CM643">
        <v>0</v>
      </c>
      <c r="CN643" t="str">
        <f t="shared" si="743"/>
        <v>refOK</v>
      </c>
      <c r="CO643">
        <f t="shared" ref="CO643:CO648" si="758">IF($CN643="refNeedCorrection",BL643,BK643)</f>
        <v>6.2</v>
      </c>
      <c r="CP643">
        <f t="shared" ref="CP643:CP648" si="759">IF($CN643="refNeedCorrection",BK643,BL643)</f>
        <v>6.9</v>
      </c>
      <c r="CQ643">
        <f t="shared" si="744"/>
        <v>0.70000000000000018</v>
      </c>
      <c r="CR643">
        <f t="shared" si="745"/>
        <v>0.45</v>
      </c>
      <c r="CS643">
        <f t="shared" si="746"/>
        <v>0.49</v>
      </c>
      <c r="CT643">
        <f t="shared" si="747"/>
        <v>0.14679999999999993</v>
      </c>
      <c r="CU643">
        <f t="shared" si="748"/>
        <v>0.20971428571428558</v>
      </c>
      <c r="CV643" s="2">
        <f t="shared" si="749"/>
        <v>8.8888888888888837E-2</v>
      </c>
      <c r="CW643" s="1" t="s">
        <v>1202</v>
      </c>
      <c r="CX643" s="264" t="str">
        <f t="shared" si="750"/>
        <v>reg</v>
      </c>
      <c r="CY643" t="s">
        <v>729</v>
      </c>
      <c r="DA643" s="143"/>
      <c r="DB643" s="143">
        <v>250</v>
      </c>
      <c r="DC643" t="str">
        <f t="shared" si="751"/>
        <v>+100</v>
      </c>
      <c r="DD643">
        <v>0</v>
      </c>
      <c r="DE643">
        <v>1</v>
      </c>
      <c r="DF643">
        <v>1</v>
      </c>
      <c r="DG643">
        <v>1</v>
      </c>
      <c r="DH643">
        <v>0</v>
      </c>
      <c r="DI643">
        <f>SUM(DD643:DH643)</f>
        <v>3</v>
      </c>
      <c r="DJ643" t="str">
        <f t="shared" si="752"/>
        <v>mixedProduct</v>
      </c>
      <c r="DK643">
        <f t="shared" si="753"/>
        <v>0</v>
      </c>
      <c r="DL643" t="str">
        <f t="shared" si="753"/>
        <v>Energy</v>
      </c>
      <c r="DM643" t="str">
        <f t="shared" si="753"/>
        <v>Pulp/Paper</v>
      </c>
      <c r="DN643" t="str">
        <f t="shared" si="753"/>
        <v>Timber</v>
      </c>
      <c r="DO643">
        <v>0</v>
      </c>
      <c r="DP643" s="143">
        <v>1</v>
      </c>
      <c r="DQ643" t="s">
        <v>1562</v>
      </c>
      <c r="DR643" s="143" t="s">
        <v>1563</v>
      </c>
      <c r="DS643" s="143">
        <v>0</v>
      </c>
      <c r="DT643">
        <f t="shared" si="754"/>
        <v>1</v>
      </c>
      <c r="DU643" s="143" t="str">
        <f t="shared" si="755"/>
        <v>external DF used</v>
      </c>
      <c r="DV643" s="143">
        <v>1</v>
      </c>
      <c r="DW643" s="143">
        <v>1</v>
      </c>
      <c r="DX643" s="143">
        <v>1</v>
      </c>
      <c r="DY643" s="143">
        <v>1</v>
      </c>
      <c r="DZ643">
        <v>1</v>
      </c>
      <c r="EA643" s="143">
        <v>1</v>
      </c>
      <c r="EB643" s="143">
        <v>0</v>
      </c>
      <c r="EC643" s="143">
        <v>1</v>
      </c>
      <c r="ED643" s="143">
        <v>0</v>
      </c>
      <c r="EE643">
        <v>0</v>
      </c>
      <c r="EF643">
        <v>0</v>
      </c>
      <c r="EG643" s="143">
        <v>0</v>
      </c>
      <c r="EH643">
        <v>0</v>
      </c>
      <c r="EI643" s="2">
        <v>0</v>
      </c>
      <c r="EK643" t="str">
        <f t="shared" si="756"/>
        <v>Whole sector</v>
      </c>
      <c r="EL643" t="str">
        <f t="shared" si="757"/>
        <v/>
      </c>
      <c r="EM643" s="2" t="str">
        <f t="shared" si="728"/>
        <v/>
      </c>
      <c r="EP643" t="str">
        <f>IF(ISNUMBER(BU643),IF(ABS(BU643-[4]QC_indicators!$B$2)&gt;3*[4]QC_indicators!$C$2,"C ratio",IF(ISNUMBER(BY643),IF(ABS(BY643-[4]QC_indicators!$B$1)&gt;3*[4]QC_indicators!$C$1,"DF","no"))),IF(ISNUMBER(BY643),IF(ABS(BY643-[4]QC_indicators!$B$1)&gt;3*[4]QC_indicators!$C$1,"DF","no")))</f>
        <v>no</v>
      </c>
      <c r="ET643" s="305" t="s">
        <v>3413</v>
      </c>
    </row>
    <row r="644" spans="1:150" ht="15" hidden="1" customHeight="1">
      <c r="A644" s="1" t="s">
        <v>333</v>
      </c>
      <c r="B644" t="s">
        <v>719</v>
      </c>
      <c r="C644" t="s">
        <v>720</v>
      </c>
      <c r="D644" t="s">
        <v>721</v>
      </c>
      <c r="E644" t="s">
        <v>722</v>
      </c>
      <c r="F644" t="s">
        <v>723</v>
      </c>
      <c r="G644" t="s">
        <v>339</v>
      </c>
      <c r="H644" t="s">
        <v>254</v>
      </c>
      <c r="I644">
        <v>2015</v>
      </c>
      <c r="J644">
        <v>86</v>
      </c>
      <c r="K644" t="s">
        <v>724</v>
      </c>
      <c r="M644" t="str">
        <f t="shared" si="732"/>
        <v>Fouquet_2015</v>
      </c>
      <c r="N644" t="s">
        <v>222</v>
      </c>
      <c r="O644" s="145" t="s">
        <v>274</v>
      </c>
      <c r="Q644" t="s">
        <v>256</v>
      </c>
      <c r="R644" s="255" t="s">
        <v>225</v>
      </c>
      <c r="S644" s="1" t="s">
        <v>730</v>
      </c>
      <c r="T644" s="264" t="s">
        <v>3328</v>
      </c>
      <c r="U644" s="264" t="s">
        <v>3329</v>
      </c>
      <c r="V644">
        <v>0</v>
      </c>
      <c r="W644">
        <v>0</v>
      </c>
      <c r="X644">
        <v>0</v>
      </c>
      <c r="Y644">
        <v>0</v>
      </c>
      <c r="Z644">
        <v>0</v>
      </c>
      <c r="AA644">
        <v>0</v>
      </c>
      <c r="AB644">
        <v>0</v>
      </c>
      <c r="AC644">
        <v>0</v>
      </c>
      <c r="AD644">
        <v>0</v>
      </c>
      <c r="AE644">
        <v>0</v>
      </c>
      <c r="AF644">
        <v>0</v>
      </c>
      <c r="AG644">
        <v>0</v>
      </c>
      <c r="AH644">
        <v>0</v>
      </c>
      <c r="AI644">
        <v>0</v>
      </c>
      <c r="AJ644">
        <v>0</v>
      </c>
      <c r="AK644">
        <v>1</v>
      </c>
      <c r="AL644">
        <v>0</v>
      </c>
      <c r="AM644">
        <v>0</v>
      </c>
      <c r="AN644">
        <v>0</v>
      </c>
      <c r="AO644">
        <v>0</v>
      </c>
      <c r="AP644">
        <v>0</v>
      </c>
      <c r="AQ644">
        <v>0</v>
      </c>
      <c r="AR644">
        <v>0</v>
      </c>
      <c r="AS644">
        <v>0</v>
      </c>
      <c r="AT644">
        <v>0</v>
      </c>
      <c r="AU644">
        <v>0</v>
      </c>
      <c r="AV644">
        <v>0</v>
      </c>
      <c r="AW644">
        <v>0</v>
      </c>
      <c r="AX644" s="141">
        <f t="shared" si="733"/>
        <v>1</v>
      </c>
      <c r="AY644" s="141">
        <f t="shared" si="734"/>
        <v>1</v>
      </c>
      <c r="AZ644">
        <f t="shared" si="735"/>
        <v>0</v>
      </c>
      <c r="BA644">
        <f t="shared" si="736"/>
        <v>0</v>
      </c>
      <c r="BB644">
        <f t="shared" si="737"/>
        <v>1</v>
      </c>
      <c r="BC644">
        <f t="shared" si="738"/>
        <v>0</v>
      </c>
      <c r="BD644">
        <f t="shared" si="739"/>
        <v>0</v>
      </c>
      <c r="BE644" t="str">
        <f t="array" ref="BE644">IF(AY644=1,INDEX($V$7:$AL$7,MATCH(TRUE,INDEX($V644:$AW644&lt;&gt;0,),0)),IF(AY644=0,INDEX($AM$7:$AW$7,MATCH(1,$AM644:$AW644,0)),IF(BF644="Multiple strategies","mixed drivers",IF(BF644="Supply chain","multiple supply","multiple silviculture"))))</f>
        <v>technologies/design switch</v>
      </c>
      <c r="BF644" s="2" t="str" cm="1">
        <f t="array" ref="BF644">IF(COUNTIF(AZ644:BB644,"&lt;&gt;0")=1,INDEX($V$4:$AW$4,MATCH(TRUE,INDEX($V644:$AW644&lt;&gt;0,),0)),IF(COUNTIF(AZ644:BB644,"&lt;&gt;0")=0,INDEX($AM$4:$AW$4,MATCH(1,$AM644:$AW644,0)),"Multiple strategies"))</f>
        <v>Technology</v>
      </c>
      <c r="BG644" s="1" t="s">
        <v>229</v>
      </c>
      <c r="BH644" t="s">
        <v>727</v>
      </c>
      <c r="BI644" s="260" t="s">
        <v>3325</v>
      </c>
      <c r="BJ644" s="260" t="s">
        <v>345</v>
      </c>
      <c r="BK644" s="260">
        <v>477</v>
      </c>
      <c r="BL644" s="260">
        <f xml:space="preserve"> 5341+3892+7551+1439+923+477</f>
        <v>19623</v>
      </c>
      <c r="BN644">
        <f t="shared" si="740"/>
        <v>19146</v>
      </c>
      <c r="BO644" s="260">
        <f>BN644/1000*tC_to_m3</f>
        <v>83.135041250542784</v>
      </c>
      <c r="BP644" s="260" t="s">
        <v>395</v>
      </c>
      <c r="BQ644" s="260" t="s">
        <v>3326</v>
      </c>
      <c r="BR644" t="s">
        <v>397</v>
      </c>
      <c r="BS644" s="260">
        <v>176247</v>
      </c>
      <c r="BT644" s="260">
        <f>7475</f>
        <v>7475</v>
      </c>
      <c r="BU644" s="144">
        <f t="shared" si="741"/>
        <v>4.2412069425295185E-2</v>
      </c>
      <c r="BV644">
        <f t="shared" si="742"/>
        <v>-168772</v>
      </c>
      <c r="BX644">
        <f>BV644/1000</f>
        <v>-168.77199999999999</v>
      </c>
      <c r="BY644">
        <f t="shared" si="727"/>
        <v>-2.0300946202862211</v>
      </c>
      <c r="BZ644">
        <v>0</v>
      </c>
      <c r="CA644">
        <v>0</v>
      </c>
      <c r="CB644">
        <v>0</v>
      </c>
      <c r="CC644">
        <v>0</v>
      </c>
      <c r="CD644">
        <v>0</v>
      </c>
      <c r="CE644">
        <v>0</v>
      </c>
      <c r="CF644">
        <v>0</v>
      </c>
      <c r="CG644">
        <v>0</v>
      </c>
      <c r="CH644">
        <v>0</v>
      </c>
      <c r="CI644">
        <v>0</v>
      </c>
      <c r="CJ644">
        <v>0</v>
      </c>
      <c r="CK644">
        <v>0</v>
      </c>
      <c r="CL644">
        <v>0</v>
      </c>
      <c r="CM644">
        <v>0</v>
      </c>
      <c r="CN644" t="str">
        <f t="shared" si="743"/>
        <v>refOK</v>
      </c>
      <c r="CO644">
        <f t="shared" si="758"/>
        <v>477</v>
      </c>
      <c r="CP644">
        <f t="shared" si="759"/>
        <v>19623</v>
      </c>
      <c r="CQ644">
        <f t="shared" si="744"/>
        <v>83.135041250542784</v>
      </c>
      <c r="CR644">
        <f t="shared" si="745"/>
        <v>-176247</v>
      </c>
      <c r="CS644">
        <f t="shared" si="746"/>
        <v>-7475</v>
      </c>
      <c r="CT644">
        <f t="shared" si="747"/>
        <v>168.77199999999999</v>
      </c>
      <c r="CU644">
        <f t="shared" si="748"/>
        <v>2.0300946202862211</v>
      </c>
      <c r="CV644" s="2">
        <f t="shared" si="749"/>
        <v>0.95758793057470482</v>
      </c>
      <c r="CW644" s="1" t="s">
        <v>263</v>
      </c>
      <c r="CX644" t="str">
        <f t="shared" si="750"/>
        <v>loc</v>
      </c>
      <c r="CY644" t="s">
        <v>729</v>
      </c>
      <c r="DB644">
        <v>100</v>
      </c>
      <c r="DC644" t="str">
        <f t="shared" si="751"/>
        <v>71-100</v>
      </c>
      <c r="DD644">
        <v>0</v>
      </c>
      <c r="DE644">
        <v>0</v>
      </c>
      <c r="DF644">
        <v>0</v>
      </c>
      <c r="DG644">
        <v>1</v>
      </c>
      <c r="DI644">
        <f>SUM(DD644:DG644)</f>
        <v>1</v>
      </c>
      <c r="DJ644" t="str">
        <f t="shared" si="752"/>
        <v>TimberInput</v>
      </c>
      <c r="DK644">
        <f t="shared" si="753"/>
        <v>0</v>
      </c>
      <c r="DL644">
        <f t="shared" si="753"/>
        <v>0</v>
      </c>
      <c r="DM644">
        <f t="shared" si="753"/>
        <v>0</v>
      </c>
      <c r="DN644" t="str">
        <f t="shared" si="753"/>
        <v>Timber</v>
      </c>
      <c r="DO644">
        <v>0</v>
      </c>
      <c r="DP644">
        <v>0</v>
      </c>
      <c r="DQ644">
        <v>0</v>
      </c>
      <c r="DR644">
        <v>0</v>
      </c>
      <c r="DS644">
        <v>0</v>
      </c>
      <c r="DT644">
        <f t="shared" si="754"/>
        <v>0</v>
      </c>
      <c r="DU644" s="143" t="str">
        <f t="shared" si="755"/>
        <v>explicit C balance</v>
      </c>
      <c r="DV644">
        <v>0</v>
      </c>
      <c r="DW644">
        <v>0</v>
      </c>
      <c r="DX644">
        <v>0</v>
      </c>
      <c r="DY644">
        <v>1</v>
      </c>
      <c r="DZ644">
        <v>1</v>
      </c>
      <c r="EA644">
        <v>1</v>
      </c>
      <c r="EB644">
        <v>0</v>
      </c>
      <c r="EC644">
        <v>1</v>
      </c>
      <c r="ED644">
        <v>1</v>
      </c>
      <c r="EE644">
        <v>1</v>
      </c>
      <c r="EF644">
        <v>0</v>
      </c>
      <c r="EG644">
        <v>0</v>
      </c>
      <c r="EH644">
        <v>0</v>
      </c>
      <c r="EI644" s="2">
        <v>0</v>
      </c>
      <c r="EK644" t="str">
        <f t="shared" si="756"/>
        <v/>
      </c>
      <c r="EL644" t="str">
        <f t="shared" si="757"/>
        <v/>
      </c>
      <c r="EM644" s="2" t="str">
        <f t="shared" si="728"/>
        <v>Technology approach</v>
      </c>
      <c r="EP644" t="str">
        <f>IF(ISNUMBER(BU644),IF(ABS(BU644-[5]QC_indicators!$B$2)&gt;3*[5]QC_indicators!$C$2,"C ratio",IF(ISNUMBER(BY644),IF(ABS(BY644-[5]QC_indicators!$B$1)&gt;3*[5]QC_indicators!$C$1,"DF","no"))),IF(ISNUMBER(BY644),IF(ABS(BY644-[5]QC_indicators!$B$1)&gt;3*[5]QC_indicators!$C$1,"DF","no")))</f>
        <v>no</v>
      </c>
      <c r="ET644" s="264" t="s">
        <v>3272</v>
      </c>
    </row>
    <row r="645" spans="1:150" ht="15" hidden="1" customHeight="1">
      <c r="A645" s="1" t="s">
        <v>333</v>
      </c>
      <c r="B645" t="s">
        <v>719</v>
      </c>
      <c r="C645" t="s">
        <v>720</v>
      </c>
      <c r="D645" t="s">
        <v>721</v>
      </c>
      <c r="E645" t="s">
        <v>722</v>
      </c>
      <c r="F645" t="s">
        <v>723</v>
      </c>
      <c r="G645" t="s">
        <v>339</v>
      </c>
      <c r="H645" t="s">
        <v>254</v>
      </c>
      <c r="I645">
        <v>2015</v>
      </c>
      <c r="J645">
        <v>86</v>
      </c>
      <c r="K645" t="s">
        <v>724</v>
      </c>
      <c r="M645" t="str">
        <f t="shared" si="732"/>
        <v>Fouquet_2015</v>
      </c>
      <c r="N645" t="s">
        <v>222</v>
      </c>
      <c r="O645" s="145" t="s">
        <v>274</v>
      </c>
      <c r="Q645" t="s">
        <v>256</v>
      </c>
      <c r="R645" s="255" t="s">
        <v>225</v>
      </c>
      <c r="S645" s="1" t="s">
        <v>730</v>
      </c>
      <c r="T645" s="264" t="s">
        <v>3328</v>
      </c>
      <c r="U645" s="264" t="s">
        <v>3331</v>
      </c>
      <c r="V645">
        <v>0</v>
      </c>
      <c r="W645">
        <v>0</v>
      </c>
      <c r="X645">
        <v>0</v>
      </c>
      <c r="Y645">
        <v>0</v>
      </c>
      <c r="Z645">
        <v>0</v>
      </c>
      <c r="AA645">
        <v>0</v>
      </c>
      <c r="AB645">
        <v>0</v>
      </c>
      <c r="AC645">
        <v>0</v>
      </c>
      <c r="AD645">
        <v>0</v>
      </c>
      <c r="AE645">
        <v>0</v>
      </c>
      <c r="AF645">
        <v>0</v>
      </c>
      <c r="AG645">
        <v>0</v>
      </c>
      <c r="AH645">
        <v>0</v>
      </c>
      <c r="AI645">
        <v>0</v>
      </c>
      <c r="AJ645">
        <v>0</v>
      </c>
      <c r="AK645">
        <v>1</v>
      </c>
      <c r="AL645">
        <v>0</v>
      </c>
      <c r="AM645">
        <v>0</v>
      </c>
      <c r="AN645">
        <v>0</v>
      </c>
      <c r="AO645">
        <v>0</v>
      </c>
      <c r="AP645">
        <v>0</v>
      </c>
      <c r="AQ645">
        <v>0</v>
      </c>
      <c r="AR645">
        <v>0</v>
      </c>
      <c r="AS645">
        <v>0</v>
      </c>
      <c r="AT645">
        <v>0</v>
      </c>
      <c r="AU645">
        <v>0</v>
      </c>
      <c r="AV645">
        <v>0</v>
      </c>
      <c r="AW645">
        <v>0</v>
      </c>
      <c r="AX645" s="141">
        <f t="shared" si="733"/>
        <v>1</v>
      </c>
      <c r="AY645" s="141">
        <f t="shared" si="734"/>
        <v>1</v>
      </c>
      <c r="AZ645">
        <f t="shared" si="735"/>
        <v>0</v>
      </c>
      <c r="BA645">
        <f t="shared" si="736"/>
        <v>0</v>
      </c>
      <c r="BB645">
        <f t="shared" si="737"/>
        <v>1</v>
      </c>
      <c r="BC645">
        <f t="shared" si="738"/>
        <v>0</v>
      </c>
      <c r="BD645">
        <f t="shared" si="739"/>
        <v>0</v>
      </c>
      <c r="BE645" t="str">
        <f t="array" ref="BE645">IF(AY645=1,INDEX($V$7:$AL$7,MATCH(TRUE,INDEX($V645:$AW645&lt;&gt;0,),0)),IF(AY645=0,INDEX($AM$7:$AW$7,MATCH(1,$AM645:$AW645,0)),IF(BF645="Multiple strategies","mixed drivers",IF(BF645="Supply chain","multiple supply","multiple silviculture"))))</f>
        <v>technologies/design switch</v>
      </c>
      <c r="BF645" s="2" t="str" cm="1">
        <f t="array" ref="BF645">IF(COUNTIF(AZ645:BB645,"&lt;&gt;0")=1,INDEX($V$4:$AW$4,MATCH(TRUE,INDEX($V645:$AW645&lt;&gt;0,),0)),IF(COUNTIF(AZ645:BB645,"&lt;&gt;0")=0,INDEX($AM$4:$AW$4,MATCH(1,$AM645:$AW645,0)),"Multiple strategies"))</f>
        <v>Technology</v>
      </c>
      <c r="BG645" s="1" t="s">
        <v>229</v>
      </c>
      <c r="BH645" t="s">
        <v>727</v>
      </c>
      <c r="BI645" s="260" t="s">
        <v>3325</v>
      </c>
      <c r="BJ645" s="260" t="s">
        <v>345</v>
      </c>
      <c r="BK645" s="260">
        <v>477</v>
      </c>
      <c r="BL645" s="260">
        <f xml:space="preserve"> 5341+3892+7551+1439+923+477</f>
        <v>19623</v>
      </c>
      <c r="BN645">
        <f t="shared" si="740"/>
        <v>19146</v>
      </c>
      <c r="BO645" s="260">
        <f>BN645/1000*tC_to_m3</f>
        <v>83.135041250542784</v>
      </c>
      <c r="BP645" s="260" t="s">
        <v>395</v>
      </c>
      <c r="BQ645" s="260" t="s">
        <v>3326</v>
      </c>
      <c r="BR645" t="s">
        <v>397</v>
      </c>
      <c r="BS645" s="260">
        <v>176247</v>
      </c>
      <c r="BT645" s="260">
        <f>9761</f>
        <v>9761</v>
      </c>
      <c r="BU645" s="144">
        <f t="shared" si="741"/>
        <v>5.5382502964589471E-2</v>
      </c>
      <c r="BV645">
        <f t="shared" si="742"/>
        <v>-166486</v>
      </c>
      <c r="BX645">
        <f>BV645/1000</f>
        <v>-166.48599999999999</v>
      </c>
      <c r="BY645">
        <f t="shared" si="727"/>
        <v>-2.0025971900135793</v>
      </c>
      <c r="BZ645">
        <v>0</v>
      </c>
      <c r="CA645">
        <v>0</v>
      </c>
      <c r="CB645">
        <v>0</v>
      </c>
      <c r="CC645">
        <v>0</v>
      </c>
      <c r="CD645">
        <v>0</v>
      </c>
      <c r="CE645">
        <v>0</v>
      </c>
      <c r="CF645">
        <v>0</v>
      </c>
      <c r="CG645">
        <v>0</v>
      </c>
      <c r="CH645">
        <v>0</v>
      </c>
      <c r="CI645">
        <v>0</v>
      </c>
      <c r="CJ645">
        <v>0</v>
      </c>
      <c r="CK645">
        <v>0</v>
      </c>
      <c r="CL645">
        <v>0</v>
      </c>
      <c r="CM645">
        <v>0</v>
      </c>
      <c r="CN645" t="str">
        <f t="shared" si="743"/>
        <v>refOK</v>
      </c>
      <c r="CO645">
        <f t="shared" si="758"/>
        <v>477</v>
      </c>
      <c r="CP645">
        <f t="shared" si="759"/>
        <v>19623</v>
      </c>
      <c r="CQ645">
        <f t="shared" si="744"/>
        <v>83.135041250542784</v>
      </c>
      <c r="CR645">
        <f t="shared" si="745"/>
        <v>-176247</v>
      </c>
      <c r="CS645">
        <f t="shared" si="746"/>
        <v>-9761</v>
      </c>
      <c r="CT645">
        <f t="shared" si="747"/>
        <v>166.48599999999999</v>
      </c>
      <c r="CU645">
        <f t="shared" si="748"/>
        <v>2.0025971900135793</v>
      </c>
      <c r="CV645" s="2">
        <f t="shared" si="749"/>
        <v>0.94461749703541054</v>
      </c>
      <c r="CW645" s="1" t="s">
        <v>263</v>
      </c>
      <c r="CX645" t="str">
        <f t="shared" si="750"/>
        <v>loc</v>
      </c>
      <c r="CY645" t="s">
        <v>729</v>
      </c>
      <c r="DB645">
        <v>100</v>
      </c>
      <c r="DC645" t="str">
        <f t="shared" si="751"/>
        <v>71-100</v>
      </c>
      <c r="DD645">
        <v>0</v>
      </c>
      <c r="DE645">
        <v>0</v>
      </c>
      <c r="DF645">
        <v>0</v>
      </c>
      <c r="DG645">
        <v>1</v>
      </c>
      <c r="DI645">
        <f>SUM(DD645:DG645)</f>
        <v>1</v>
      </c>
      <c r="DJ645" t="str">
        <f t="shared" si="752"/>
        <v>TimberInput</v>
      </c>
      <c r="DK645">
        <f t="shared" si="753"/>
        <v>0</v>
      </c>
      <c r="DL645">
        <f t="shared" si="753"/>
        <v>0</v>
      </c>
      <c r="DM645">
        <f t="shared" si="753"/>
        <v>0</v>
      </c>
      <c r="DN645" t="str">
        <f t="shared" si="753"/>
        <v>Timber</v>
      </c>
      <c r="DO645">
        <v>0</v>
      </c>
      <c r="DP645">
        <v>0</v>
      </c>
      <c r="DQ645">
        <v>0</v>
      </c>
      <c r="DR645">
        <v>0</v>
      </c>
      <c r="DS645">
        <v>0</v>
      </c>
      <c r="DT645">
        <f t="shared" si="754"/>
        <v>0</v>
      </c>
      <c r="DU645" s="143" t="str">
        <f t="shared" si="755"/>
        <v>explicit C balance</v>
      </c>
      <c r="DV645">
        <v>0</v>
      </c>
      <c r="DW645">
        <v>0</v>
      </c>
      <c r="DX645">
        <v>0</v>
      </c>
      <c r="DY645">
        <v>1</v>
      </c>
      <c r="DZ645">
        <v>1</v>
      </c>
      <c r="EA645">
        <v>1</v>
      </c>
      <c r="EB645">
        <v>0</v>
      </c>
      <c r="EC645">
        <v>1</v>
      </c>
      <c r="ED645">
        <v>1</v>
      </c>
      <c r="EE645">
        <v>1</v>
      </c>
      <c r="EF645">
        <v>0</v>
      </c>
      <c r="EG645">
        <v>0</v>
      </c>
      <c r="EH645">
        <v>0</v>
      </c>
      <c r="EI645" s="2">
        <v>0</v>
      </c>
      <c r="EK645" t="str">
        <f t="shared" si="756"/>
        <v/>
      </c>
      <c r="EL645" t="str">
        <f t="shared" si="757"/>
        <v/>
      </c>
      <c r="EM645" s="2" t="str">
        <f t="shared" si="728"/>
        <v>Technology approach</v>
      </c>
      <c r="EP645" t="str">
        <f>IF(ISNUMBER(BU645),IF(ABS(BU645-[5]QC_indicators!$B$2)&gt;3*[5]QC_indicators!$C$2,"C ratio",IF(ISNUMBER(BY645),IF(ABS(BY645-[5]QC_indicators!$B$1)&gt;3*[5]QC_indicators!$C$1,"DF","no"))),IF(ISNUMBER(BY645),IF(ABS(BY645-[5]QC_indicators!$B$1)&gt;3*[5]QC_indicators!$C$1,"DF","no")))</f>
        <v>no</v>
      </c>
      <c r="ET645" s="264" t="s">
        <v>3272</v>
      </c>
    </row>
    <row r="646" spans="1:150" ht="15" hidden="1" customHeight="1">
      <c r="A646" s="1" t="s">
        <v>333</v>
      </c>
      <c r="B646" t="s">
        <v>719</v>
      </c>
      <c r="C646" t="s">
        <v>720</v>
      </c>
      <c r="D646" t="s">
        <v>721</v>
      </c>
      <c r="E646" t="s">
        <v>722</v>
      </c>
      <c r="F646" t="s">
        <v>723</v>
      </c>
      <c r="G646" t="s">
        <v>339</v>
      </c>
      <c r="H646" t="s">
        <v>254</v>
      </c>
      <c r="I646">
        <v>2015</v>
      </c>
      <c r="J646">
        <v>86</v>
      </c>
      <c r="K646" t="s">
        <v>724</v>
      </c>
      <c r="M646" t="str">
        <f t="shared" si="732"/>
        <v>Fouquet_2015</v>
      </c>
      <c r="N646" t="s">
        <v>222</v>
      </c>
      <c r="O646" s="145" t="s">
        <v>274</v>
      </c>
      <c r="Q646" t="s">
        <v>256</v>
      </c>
      <c r="R646" s="255" t="s">
        <v>225</v>
      </c>
      <c r="S646" s="1" t="s">
        <v>731</v>
      </c>
      <c r="T646" s="264" t="s">
        <v>3330</v>
      </c>
      <c r="U646" s="264" t="s">
        <v>3329</v>
      </c>
      <c r="V646">
        <v>0</v>
      </c>
      <c r="W646">
        <v>0</v>
      </c>
      <c r="X646">
        <v>0</v>
      </c>
      <c r="Y646">
        <v>0</v>
      </c>
      <c r="Z646">
        <v>0</v>
      </c>
      <c r="AA646">
        <v>0</v>
      </c>
      <c r="AB646">
        <v>0</v>
      </c>
      <c r="AC646">
        <v>0</v>
      </c>
      <c r="AD646">
        <v>0</v>
      </c>
      <c r="AE646">
        <v>0</v>
      </c>
      <c r="AF646">
        <v>0</v>
      </c>
      <c r="AG646">
        <v>0</v>
      </c>
      <c r="AH646">
        <v>0</v>
      </c>
      <c r="AI646">
        <v>0</v>
      </c>
      <c r="AJ646">
        <v>0</v>
      </c>
      <c r="AK646">
        <v>1</v>
      </c>
      <c r="AL646">
        <v>0</v>
      </c>
      <c r="AM646">
        <v>0</v>
      </c>
      <c r="AN646">
        <v>0</v>
      </c>
      <c r="AO646">
        <v>0</v>
      </c>
      <c r="AP646">
        <v>0</v>
      </c>
      <c r="AQ646">
        <v>0</v>
      </c>
      <c r="AR646">
        <v>0</v>
      </c>
      <c r="AS646">
        <v>0</v>
      </c>
      <c r="AT646">
        <v>0</v>
      </c>
      <c r="AU646">
        <v>0</v>
      </c>
      <c r="AV646">
        <v>0</v>
      </c>
      <c r="AW646">
        <v>0</v>
      </c>
      <c r="AX646" s="141">
        <f t="shared" si="733"/>
        <v>1</v>
      </c>
      <c r="AY646" s="141">
        <f t="shared" si="734"/>
        <v>1</v>
      </c>
      <c r="AZ646">
        <f t="shared" si="735"/>
        <v>0</v>
      </c>
      <c r="BA646">
        <f t="shared" si="736"/>
        <v>0</v>
      </c>
      <c r="BB646">
        <f t="shared" si="737"/>
        <v>1</v>
      </c>
      <c r="BC646">
        <f t="shared" si="738"/>
        <v>0</v>
      </c>
      <c r="BD646">
        <f t="shared" si="739"/>
        <v>0</v>
      </c>
      <c r="BE646" t="str">
        <f t="array" ref="BE646">IF(AY646=1,INDEX($V$7:$AL$7,MATCH(TRUE,INDEX($V646:$AW646&lt;&gt;0,),0)),IF(AY646=0,INDEX($AM$7:$AW$7,MATCH(1,$AM646:$AW646,0)),IF(BF646="Multiple strategies","mixed drivers",IF(BF646="Supply chain","multiple supply","multiple silviculture"))))</f>
        <v>technologies/design switch</v>
      </c>
      <c r="BF646" s="2" t="str" cm="1">
        <f t="array" ref="BF646">IF(COUNTIF(AZ646:BB646,"&lt;&gt;0")=1,INDEX($V$4:$AW$4,MATCH(TRUE,INDEX($V646:$AW646&lt;&gt;0,),0)),IF(COUNTIF(AZ646:BB646,"&lt;&gt;0")=0,INDEX($AM$4:$AW$4,MATCH(1,$AM646:$AW646,0)),"Multiple strategies"))</f>
        <v>Technology</v>
      </c>
      <c r="BG646" s="1" t="s">
        <v>229</v>
      </c>
      <c r="BH646" t="s">
        <v>727</v>
      </c>
      <c r="BI646" s="260" t="s">
        <v>3325</v>
      </c>
      <c r="BJ646" s="260" t="s">
        <v>345</v>
      </c>
      <c r="BK646" s="260">
        <v>477</v>
      </c>
      <c r="BL646" s="260">
        <f xml:space="preserve"> 5341+3892+7551+1439+923+477</f>
        <v>19623</v>
      </c>
      <c r="BN646">
        <f t="shared" si="740"/>
        <v>19146</v>
      </c>
      <c r="BO646" s="260">
        <f>BN646/1000*tC_to_m3</f>
        <v>83.135041250542784</v>
      </c>
      <c r="BP646" s="260" t="s">
        <v>395</v>
      </c>
      <c r="BQ646" s="260" t="s">
        <v>3326</v>
      </c>
      <c r="BR646" t="s">
        <v>397</v>
      </c>
      <c r="BS646" s="260">
        <v>154593</v>
      </c>
      <c r="BT646" s="260">
        <f>7475</f>
        <v>7475</v>
      </c>
      <c r="BU646" s="144">
        <f t="shared" si="741"/>
        <v>4.8352771470894541E-2</v>
      </c>
      <c r="BV646">
        <f t="shared" si="742"/>
        <v>-147118</v>
      </c>
      <c r="BX646">
        <f>BV646/1000</f>
        <v>-147.11799999999999</v>
      </c>
      <c r="BY646">
        <f t="shared" si="727"/>
        <v>-1.7696268358926144</v>
      </c>
      <c r="BZ646">
        <v>0</v>
      </c>
      <c r="CA646">
        <v>0</v>
      </c>
      <c r="CB646">
        <v>0</v>
      </c>
      <c r="CC646">
        <v>0</v>
      </c>
      <c r="CD646">
        <v>0</v>
      </c>
      <c r="CE646">
        <v>0</v>
      </c>
      <c r="CF646">
        <v>0</v>
      </c>
      <c r="CG646">
        <v>0</v>
      </c>
      <c r="CH646">
        <v>0</v>
      </c>
      <c r="CI646">
        <v>0</v>
      </c>
      <c r="CJ646">
        <v>0</v>
      </c>
      <c r="CK646">
        <v>0</v>
      </c>
      <c r="CL646">
        <v>0</v>
      </c>
      <c r="CM646">
        <v>0</v>
      </c>
      <c r="CN646" t="str">
        <f t="shared" si="743"/>
        <v>refOK</v>
      </c>
      <c r="CO646">
        <f t="shared" si="758"/>
        <v>477</v>
      </c>
      <c r="CP646">
        <f t="shared" si="759"/>
        <v>19623</v>
      </c>
      <c r="CQ646">
        <f t="shared" si="744"/>
        <v>83.135041250542784</v>
      </c>
      <c r="CR646">
        <f t="shared" si="745"/>
        <v>-154593</v>
      </c>
      <c r="CS646">
        <f t="shared" si="746"/>
        <v>-7475</v>
      </c>
      <c r="CT646">
        <f t="shared" si="747"/>
        <v>147.11799999999999</v>
      </c>
      <c r="CU646">
        <f t="shared" si="748"/>
        <v>1.7696268358926144</v>
      </c>
      <c r="CV646" s="2">
        <f t="shared" si="749"/>
        <v>0.95164722852910544</v>
      </c>
      <c r="CW646" s="1" t="s">
        <v>263</v>
      </c>
      <c r="CX646" t="str">
        <f t="shared" si="750"/>
        <v>loc</v>
      </c>
      <c r="CY646" t="s">
        <v>729</v>
      </c>
      <c r="DB646">
        <v>100</v>
      </c>
      <c r="DC646" t="str">
        <f t="shared" si="751"/>
        <v>71-100</v>
      </c>
      <c r="DD646">
        <v>0</v>
      </c>
      <c r="DE646">
        <v>0</v>
      </c>
      <c r="DF646">
        <v>0</v>
      </c>
      <c r="DG646">
        <v>1</v>
      </c>
      <c r="DI646">
        <f>SUM(DD646:DG646)</f>
        <v>1</v>
      </c>
      <c r="DJ646" t="str">
        <f t="shared" si="752"/>
        <v>TimberInput</v>
      </c>
      <c r="DK646">
        <f t="shared" si="753"/>
        <v>0</v>
      </c>
      <c r="DL646">
        <f t="shared" si="753"/>
        <v>0</v>
      </c>
      <c r="DM646">
        <f t="shared" si="753"/>
        <v>0</v>
      </c>
      <c r="DN646" t="str">
        <f t="shared" si="753"/>
        <v>Timber</v>
      </c>
      <c r="DO646">
        <v>0</v>
      </c>
      <c r="DP646">
        <v>0</v>
      </c>
      <c r="DQ646">
        <v>0</v>
      </c>
      <c r="DR646">
        <v>0</v>
      </c>
      <c r="DS646">
        <v>0</v>
      </c>
      <c r="DT646">
        <f t="shared" si="754"/>
        <v>0</v>
      </c>
      <c r="DU646" s="143" t="str">
        <f t="shared" si="755"/>
        <v>explicit C balance</v>
      </c>
      <c r="DV646">
        <v>0</v>
      </c>
      <c r="DW646">
        <v>0</v>
      </c>
      <c r="DX646">
        <v>0</v>
      </c>
      <c r="DY646">
        <v>1</v>
      </c>
      <c r="DZ646">
        <v>1</v>
      </c>
      <c r="EA646">
        <v>1</v>
      </c>
      <c r="EB646">
        <v>0</v>
      </c>
      <c r="EC646">
        <v>1</v>
      </c>
      <c r="ED646">
        <v>1</v>
      </c>
      <c r="EE646">
        <v>1</v>
      </c>
      <c r="EF646">
        <v>0</v>
      </c>
      <c r="EG646">
        <v>0</v>
      </c>
      <c r="EH646">
        <v>0</v>
      </c>
      <c r="EI646" s="2">
        <v>0</v>
      </c>
      <c r="EK646" t="str">
        <f t="shared" si="756"/>
        <v/>
      </c>
      <c r="EL646" t="str">
        <f t="shared" si="757"/>
        <v/>
      </c>
      <c r="EM646" s="2" t="str">
        <f t="shared" si="728"/>
        <v>Technology approach</v>
      </c>
      <c r="EP646" t="str">
        <f>IF(ISNUMBER(BU646),IF(ABS(BU646-[5]QC_indicators!$B$2)&gt;3*[5]QC_indicators!$C$2,"C ratio",IF(ISNUMBER(BY646),IF(ABS(BY646-[5]QC_indicators!$B$1)&gt;3*[5]QC_indicators!$C$1,"DF","no"))),IF(ISNUMBER(BY646),IF(ABS(BY646-[5]QC_indicators!$B$1)&gt;3*[5]QC_indicators!$C$1,"DF","no")))</f>
        <v>no</v>
      </c>
      <c r="ET646" s="264" t="s">
        <v>3272</v>
      </c>
    </row>
    <row r="647" spans="1:150" ht="15" hidden="1" customHeight="1">
      <c r="A647" s="1" t="s">
        <v>333</v>
      </c>
      <c r="B647" t="s">
        <v>719</v>
      </c>
      <c r="C647" t="s">
        <v>720</v>
      </c>
      <c r="D647" t="s">
        <v>721</v>
      </c>
      <c r="E647" t="s">
        <v>722</v>
      </c>
      <c r="F647" t="s">
        <v>723</v>
      </c>
      <c r="G647" t="s">
        <v>339</v>
      </c>
      <c r="H647" t="s">
        <v>254</v>
      </c>
      <c r="I647">
        <v>2015</v>
      </c>
      <c r="J647">
        <v>86</v>
      </c>
      <c r="K647" t="s">
        <v>724</v>
      </c>
      <c r="M647" t="str">
        <f t="shared" si="732"/>
        <v>Fouquet_2015</v>
      </c>
      <c r="N647" t="s">
        <v>222</v>
      </c>
      <c r="O647" s="145" t="s">
        <v>274</v>
      </c>
      <c r="Q647" t="s">
        <v>256</v>
      </c>
      <c r="R647" s="255" t="s">
        <v>225</v>
      </c>
      <c r="S647" s="1" t="s">
        <v>725</v>
      </c>
      <c r="T647" s="264" t="s">
        <v>3323</v>
      </c>
      <c r="U647" s="264" t="s">
        <v>3324</v>
      </c>
      <c r="V647">
        <v>0</v>
      </c>
      <c r="W647">
        <v>0</v>
      </c>
      <c r="X647">
        <v>0</v>
      </c>
      <c r="Y647">
        <v>0</v>
      </c>
      <c r="Z647">
        <v>0</v>
      </c>
      <c r="AA647">
        <v>0</v>
      </c>
      <c r="AB647">
        <v>0</v>
      </c>
      <c r="AC647">
        <v>0</v>
      </c>
      <c r="AD647">
        <v>0</v>
      </c>
      <c r="AE647">
        <v>0</v>
      </c>
      <c r="AF647">
        <v>0</v>
      </c>
      <c r="AG647">
        <v>0</v>
      </c>
      <c r="AH647">
        <v>1</v>
      </c>
      <c r="AI647">
        <v>0</v>
      </c>
      <c r="AJ647">
        <v>0</v>
      </c>
      <c r="AK647">
        <v>0</v>
      </c>
      <c r="AL647">
        <v>0</v>
      </c>
      <c r="AM647">
        <v>0</v>
      </c>
      <c r="AN647">
        <v>0</v>
      </c>
      <c r="AO647">
        <v>0</v>
      </c>
      <c r="AP647">
        <v>0</v>
      </c>
      <c r="AQ647">
        <v>0</v>
      </c>
      <c r="AR647">
        <v>0</v>
      </c>
      <c r="AS647">
        <v>0</v>
      </c>
      <c r="AT647">
        <v>0</v>
      </c>
      <c r="AU647">
        <v>0</v>
      </c>
      <c r="AV647">
        <v>0</v>
      </c>
      <c r="AW647">
        <v>0</v>
      </c>
      <c r="AX647" s="141">
        <f t="shared" si="733"/>
        <v>1</v>
      </c>
      <c r="AY647" s="141">
        <f t="shared" si="734"/>
        <v>1</v>
      </c>
      <c r="AZ647">
        <f t="shared" si="735"/>
        <v>0</v>
      </c>
      <c r="BA647">
        <f t="shared" si="736"/>
        <v>1</v>
      </c>
      <c r="BB647">
        <f t="shared" si="737"/>
        <v>0</v>
      </c>
      <c r="BC647">
        <f t="shared" si="738"/>
        <v>0</v>
      </c>
      <c r="BD647">
        <f t="shared" si="739"/>
        <v>0</v>
      </c>
      <c r="BE647" t="str">
        <f t="array" ref="BE647">IF(AY647=1,INDEX($V$7:$AL$7,MATCH(TRUE,INDEX($V647:$AW647&lt;&gt;0,),0)),IF(AY647=0,INDEX($AM$7:$AW$7,MATCH(1,$AM647:$AW647,0)),IF(BF647="Multiple strategies","mixed drivers",IF(BF647="Supply chain","multiple supply","multiple silviculture"))))</f>
        <v xml:space="preserve">end of life disposal </v>
      </c>
      <c r="BF647" s="2" t="str" cm="1">
        <f t="array" ref="BF647">IF(COUNTIF(AZ647:BB647,"&lt;&gt;0")=1,INDEX($V$4:$AW$4,MATCH(TRUE,INDEX($V647:$AW647&lt;&gt;0,),0)),IF(COUNTIF(AZ647:BB647,"&lt;&gt;0")=0,INDEX($AM$4:$AW$4,MATCH(1,$AM647:$AW647,0)),"Multiple strategies"))</f>
        <v>Supply chain</v>
      </c>
      <c r="BG647" s="1" t="s">
        <v>229</v>
      </c>
      <c r="BH647" t="s">
        <v>727</v>
      </c>
      <c r="BI647" s="260" t="s">
        <v>3325</v>
      </c>
      <c r="BJ647" s="264" t="s">
        <v>345</v>
      </c>
      <c r="BK647" s="260">
        <f xml:space="preserve"> 5341+3892+7551+1439+923+477</f>
        <v>19623</v>
      </c>
      <c r="BL647" s="260">
        <f xml:space="preserve"> 5341+3892+7551+1439+923+477</f>
        <v>19623</v>
      </c>
      <c r="BM647">
        <v>1</v>
      </c>
      <c r="BN647">
        <f t="shared" si="740"/>
        <v>0</v>
      </c>
      <c r="BO647">
        <v>0</v>
      </c>
      <c r="BP647" s="260" t="s">
        <v>395</v>
      </c>
      <c r="BQ647" s="260" t="s">
        <v>3326</v>
      </c>
      <c r="BR647" t="s">
        <v>397</v>
      </c>
      <c r="BS647" s="260">
        <f>7475</f>
        <v>7475</v>
      </c>
      <c r="BT647" s="260">
        <f>9761</f>
        <v>9761</v>
      </c>
      <c r="BU647" s="144">
        <f t="shared" si="741"/>
        <v>1.305819397993311</v>
      </c>
      <c r="BV647">
        <f t="shared" si="742"/>
        <v>2286</v>
      </c>
      <c r="BX647">
        <f>BV647/1000</f>
        <v>2.286</v>
      </c>
      <c r="BY647" t="str">
        <f t="shared" si="727"/>
        <v/>
      </c>
      <c r="BZ647">
        <v>0</v>
      </c>
      <c r="CA647">
        <v>0</v>
      </c>
      <c r="CB647">
        <v>0</v>
      </c>
      <c r="CC647">
        <v>0</v>
      </c>
      <c r="CD647">
        <v>0</v>
      </c>
      <c r="CE647">
        <v>0</v>
      </c>
      <c r="CF647">
        <v>0</v>
      </c>
      <c r="CG647">
        <v>0</v>
      </c>
      <c r="CH647">
        <v>0</v>
      </c>
      <c r="CI647">
        <v>0</v>
      </c>
      <c r="CJ647">
        <v>0</v>
      </c>
      <c r="CK647">
        <v>0</v>
      </c>
      <c r="CL647">
        <v>0</v>
      </c>
      <c r="CM647">
        <v>0</v>
      </c>
      <c r="CN647" t="str">
        <f t="shared" si="743"/>
        <v>refOK</v>
      </c>
      <c r="CO647">
        <f t="shared" si="758"/>
        <v>19623</v>
      </c>
      <c r="CP647">
        <f t="shared" si="759"/>
        <v>19623</v>
      </c>
      <c r="CQ647">
        <f t="shared" si="744"/>
        <v>0</v>
      </c>
      <c r="CR647">
        <f t="shared" si="745"/>
        <v>-7475</v>
      </c>
      <c r="CS647">
        <f t="shared" si="746"/>
        <v>-9761</v>
      </c>
      <c r="CT647">
        <f t="shared" si="747"/>
        <v>-2.286</v>
      </c>
      <c r="CU647" t="str">
        <f t="shared" si="748"/>
        <v/>
      </c>
      <c r="CV647" s="2">
        <f t="shared" si="749"/>
        <v>-0.30581939799331104</v>
      </c>
      <c r="CW647" s="1" t="s">
        <v>263</v>
      </c>
      <c r="CX647" t="str">
        <f t="shared" si="750"/>
        <v>loc</v>
      </c>
      <c r="CY647" t="s">
        <v>729</v>
      </c>
      <c r="DB647">
        <v>100</v>
      </c>
      <c r="DC647" t="str">
        <f t="shared" si="751"/>
        <v>71-100</v>
      </c>
      <c r="DD647">
        <v>0</v>
      </c>
      <c r="DE647">
        <v>0</v>
      </c>
      <c r="DF647">
        <v>0</v>
      </c>
      <c r="DG647">
        <v>1</v>
      </c>
      <c r="DI647">
        <f>SUM(DD647:DG647)</f>
        <v>1</v>
      </c>
      <c r="DJ647" t="str">
        <f t="shared" si="752"/>
        <v>TimberInput</v>
      </c>
      <c r="DK647">
        <f t="shared" si="753"/>
        <v>0</v>
      </c>
      <c r="DL647">
        <f t="shared" si="753"/>
        <v>0</v>
      </c>
      <c r="DM647">
        <f t="shared" si="753"/>
        <v>0</v>
      </c>
      <c r="DN647" t="str">
        <f t="shared" si="753"/>
        <v>Timber</v>
      </c>
      <c r="DO647">
        <v>0</v>
      </c>
      <c r="DP647">
        <v>0</v>
      </c>
      <c r="DQ647">
        <v>0</v>
      </c>
      <c r="DR647">
        <v>0</v>
      </c>
      <c r="DS647">
        <v>0</v>
      </c>
      <c r="DT647">
        <f t="shared" si="754"/>
        <v>0</v>
      </c>
      <c r="DU647" s="143" t="str">
        <f t="shared" si="755"/>
        <v>explicit C balance</v>
      </c>
      <c r="DV647">
        <v>0</v>
      </c>
      <c r="DW647">
        <v>0</v>
      </c>
      <c r="DX647">
        <v>0</v>
      </c>
      <c r="DY647">
        <v>1</v>
      </c>
      <c r="DZ647">
        <v>1</v>
      </c>
      <c r="EA647">
        <v>1</v>
      </c>
      <c r="EB647">
        <v>0</v>
      </c>
      <c r="EC647">
        <v>1</v>
      </c>
      <c r="ED647">
        <v>1</v>
      </c>
      <c r="EE647">
        <v>1</v>
      </c>
      <c r="EF647">
        <v>0</v>
      </c>
      <c r="EG647">
        <v>0</v>
      </c>
      <c r="EH647">
        <v>0</v>
      </c>
      <c r="EI647" s="2">
        <v>0</v>
      </c>
      <c r="EK647" t="str">
        <f t="shared" si="756"/>
        <v/>
      </c>
      <c r="EL647" t="str">
        <f t="shared" si="757"/>
        <v/>
      </c>
      <c r="EM647" s="2" t="str">
        <f t="shared" si="728"/>
        <v>Technology approach</v>
      </c>
      <c r="EP647" t="b">
        <f>IF(ISNUMBER(BU647),IF(ABS(BU647-[5]QC_indicators!$B$2)&gt;3*[5]QC_indicators!$C$2,"C ratio",IF(ISNUMBER(BY647),IF(ABS(BY647-[5]QC_indicators!$B$1)&gt;3*[5]QC_indicators!$C$1,"DF","no"))),IF(ISNUMBER(BY647),IF(ABS(BY647-[5]QC_indicators!$B$1)&gt;3*[5]QC_indicators!$C$1,"DF","no")))</f>
        <v>0</v>
      </c>
      <c r="ET647" s="264" t="s">
        <v>3272</v>
      </c>
    </row>
    <row r="648" spans="1:150" ht="15" hidden="1" customHeight="1">
      <c r="A648" s="1" t="s">
        <v>333</v>
      </c>
      <c r="B648" t="s">
        <v>719</v>
      </c>
      <c r="C648" t="s">
        <v>720</v>
      </c>
      <c r="D648" t="s">
        <v>721</v>
      </c>
      <c r="E648" t="s">
        <v>722</v>
      </c>
      <c r="F648" t="s">
        <v>723</v>
      </c>
      <c r="G648" t="s">
        <v>339</v>
      </c>
      <c r="H648" t="s">
        <v>254</v>
      </c>
      <c r="I648">
        <v>2015</v>
      </c>
      <c r="J648">
        <v>86</v>
      </c>
      <c r="K648" t="s">
        <v>724</v>
      </c>
      <c r="M648" t="str">
        <f t="shared" si="732"/>
        <v>Fouquet_2015</v>
      </c>
      <c r="N648" t="s">
        <v>222</v>
      </c>
      <c r="O648" s="145" t="s">
        <v>274</v>
      </c>
      <c r="Q648" t="s">
        <v>256</v>
      </c>
      <c r="R648" s="255" t="s">
        <v>225</v>
      </c>
      <c r="S648" s="1" t="s">
        <v>725</v>
      </c>
      <c r="T648" s="264" t="s">
        <v>3327</v>
      </c>
      <c r="U648" s="264" t="s">
        <v>3324</v>
      </c>
      <c r="V648">
        <v>0</v>
      </c>
      <c r="W648">
        <v>0</v>
      </c>
      <c r="X648">
        <v>0</v>
      </c>
      <c r="Y648">
        <v>0</v>
      </c>
      <c r="Z648">
        <v>0</v>
      </c>
      <c r="AA648">
        <v>0</v>
      </c>
      <c r="AB648">
        <v>0</v>
      </c>
      <c r="AC648">
        <v>0</v>
      </c>
      <c r="AD648">
        <v>0</v>
      </c>
      <c r="AE648">
        <v>0</v>
      </c>
      <c r="AF648">
        <v>0</v>
      </c>
      <c r="AG648">
        <v>0</v>
      </c>
      <c r="AH648">
        <v>1</v>
      </c>
      <c r="AI648">
        <v>0</v>
      </c>
      <c r="AJ648">
        <v>0</v>
      </c>
      <c r="AK648">
        <v>0</v>
      </c>
      <c r="AL648">
        <v>0</v>
      </c>
      <c r="AM648">
        <v>0</v>
      </c>
      <c r="AN648">
        <v>0</v>
      </c>
      <c r="AO648">
        <v>0</v>
      </c>
      <c r="AP648">
        <v>0</v>
      </c>
      <c r="AQ648">
        <v>0</v>
      </c>
      <c r="AR648">
        <v>0</v>
      </c>
      <c r="AS648">
        <v>0</v>
      </c>
      <c r="AT648">
        <v>0</v>
      </c>
      <c r="AU648">
        <v>0</v>
      </c>
      <c r="AV648">
        <v>0</v>
      </c>
      <c r="AW648">
        <v>0</v>
      </c>
      <c r="AX648" s="141">
        <f t="shared" si="733"/>
        <v>1</v>
      </c>
      <c r="AY648" s="141">
        <f t="shared" si="734"/>
        <v>1</v>
      </c>
      <c r="AZ648">
        <f t="shared" si="735"/>
        <v>0</v>
      </c>
      <c r="BA648">
        <f t="shared" si="736"/>
        <v>1</v>
      </c>
      <c r="BB648">
        <f t="shared" si="737"/>
        <v>0</v>
      </c>
      <c r="BC648">
        <f t="shared" si="738"/>
        <v>0</v>
      </c>
      <c r="BD648">
        <f t="shared" si="739"/>
        <v>0</v>
      </c>
      <c r="BE648" t="str">
        <f t="array" ref="BE648">IF(AY648=1,INDEX($V$7:$AL$7,MATCH(TRUE,INDEX($V648:$AW648&lt;&gt;0,),0)),IF(AY648=0,INDEX($AM$7:$AW$7,MATCH(1,$AM648:$AW648,0)),IF(BF648="Multiple strategies","mixed drivers",IF(BF648="Supply chain","multiple supply","multiple silviculture"))))</f>
        <v xml:space="preserve">end of life disposal </v>
      </c>
      <c r="BF648" s="2" t="str" cm="1">
        <f t="array" ref="BF648">IF(COUNTIF(AZ648:BB648,"&lt;&gt;0")=1,INDEX($V$4:$AW$4,MATCH(TRUE,INDEX($V648:$AW648&lt;&gt;0,),0)),IF(COUNTIF(AZ648:BB648,"&lt;&gt;0")=0,INDEX($AM$4:$AW$4,MATCH(1,$AM648:$AW648,0)),"Multiple strategies"))</f>
        <v>Supply chain</v>
      </c>
      <c r="BG648" s="1" t="s">
        <v>229</v>
      </c>
      <c r="BH648" t="s">
        <v>727</v>
      </c>
      <c r="BI648" s="260" t="s">
        <v>3325</v>
      </c>
      <c r="BJ648" s="260" t="s">
        <v>345</v>
      </c>
      <c r="BK648" s="260">
        <f xml:space="preserve"> 5341+3892+7551+1439+923+477</f>
        <v>19623</v>
      </c>
      <c r="BL648" s="260">
        <f xml:space="preserve"> 5341+3892+7551+1439+923+477</f>
        <v>19623</v>
      </c>
      <c r="BM648">
        <v>1</v>
      </c>
      <c r="BN648">
        <f t="shared" si="740"/>
        <v>0</v>
      </c>
      <c r="BO648">
        <v>0</v>
      </c>
      <c r="BP648" s="260" t="s">
        <v>395</v>
      </c>
      <c r="BQ648" s="260" t="s">
        <v>3326</v>
      </c>
      <c r="BR648" t="s">
        <v>397</v>
      </c>
      <c r="BS648" s="260">
        <v>13395</v>
      </c>
      <c r="BT648" s="260">
        <v>17696</v>
      </c>
      <c r="BU648" s="144">
        <f t="shared" si="741"/>
        <v>1.321089958939903</v>
      </c>
      <c r="BV648">
        <f t="shared" si="742"/>
        <v>4301</v>
      </c>
      <c r="BX648">
        <f>BV648/1000</f>
        <v>4.3010000000000002</v>
      </c>
      <c r="BY648" t="str">
        <f t="shared" si="727"/>
        <v/>
      </c>
      <c r="BZ648">
        <v>0</v>
      </c>
      <c r="CA648">
        <v>0</v>
      </c>
      <c r="CB648">
        <v>0</v>
      </c>
      <c r="CC648">
        <v>0</v>
      </c>
      <c r="CD648">
        <v>0</v>
      </c>
      <c r="CE648">
        <v>0</v>
      </c>
      <c r="CF648">
        <v>0</v>
      </c>
      <c r="CG648">
        <v>0</v>
      </c>
      <c r="CH648">
        <v>0</v>
      </c>
      <c r="CI648">
        <v>0</v>
      </c>
      <c r="CJ648">
        <v>0</v>
      </c>
      <c r="CK648">
        <v>0</v>
      </c>
      <c r="CL648">
        <v>0</v>
      </c>
      <c r="CM648">
        <v>0</v>
      </c>
      <c r="CN648" t="str">
        <f t="shared" si="743"/>
        <v>refOK</v>
      </c>
      <c r="CO648">
        <f t="shared" si="758"/>
        <v>19623</v>
      </c>
      <c r="CP648">
        <f t="shared" si="759"/>
        <v>19623</v>
      </c>
      <c r="CQ648">
        <f t="shared" si="744"/>
        <v>0</v>
      </c>
      <c r="CR648">
        <f t="shared" si="745"/>
        <v>-13395</v>
      </c>
      <c r="CS648">
        <f t="shared" si="746"/>
        <v>-17696</v>
      </c>
      <c r="CT648">
        <f t="shared" si="747"/>
        <v>-4.3010000000000002</v>
      </c>
      <c r="CU648" t="str">
        <f t="shared" si="748"/>
        <v/>
      </c>
      <c r="CV648" s="2">
        <f t="shared" si="749"/>
        <v>-0.32108995893990294</v>
      </c>
      <c r="CW648" s="1" t="s">
        <v>263</v>
      </c>
      <c r="CX648" t="str">
        <f t="shared" si="750"/>
        <v>loc</v>
      </c>
      <c r="CY648" t="s">
        <v>729</v>
      </c>
      <c r="DB648">
        <v>100</v>
      </c>
      <c r="DC648" t="str">
        <f t="shared" si="751"/>
        <v>71-100</v>
      </c>
      <c r="DD648">
        <v>0</v>
      </c>
      <c r="DE648">
        <v>0</v>
      </c>
      <c r="DF648">
        <v>0</v>
      </c>
      <c r="DG648">
        <v>1</v>
      </c>
      <c r="DI648">
        <f>SUM(DD648:DG648)</f>
        <v>1</v>
      </c>
      <c r="DJ648" t="str">
        <f t="shared" si="752"/>
        <v>TimberInput</v>
      </c>
      <c r="DK648">
        <f t="shared" si="753"/>
        <v>0</v>
      </c>
      <c r="DL648">
        <f t="shared" si="753"/>
        <v>0</v>
      </c>
      <c r="DM648">
        <f t="shared" si="753"/>
        <v>0</v>
      </c>
      <c r="DN648" t="str">
        <f t="shared" si="753"/>
        <v>Timber</v>
      </c>
      <c r="DO648">
        <v>0</v>
      </c>
      <c r="DP648">
        <v>0</v>
      </c>
      <c r="DQ648">
        <v>0</v>
      </c>
      <c r="DR648">
        <v>0</v>
      </c>
      <c r="DS648">
        <v>0</v>
      </c>
      <c r="DT648">
        <f t="shared" si="754"/>
        <v>0</v>
      </c>
      <c r="DU648" s="143" t="str">
        <f t="shared" si="755"/>
        <v>explicit C balance</v>
      </c>
      <c r="DV648">
        <v>0</v>
      </c>
      <c r="DW648">
        <v>0</v>
      </c>
      <c r="DX648">
        <v>0</v>
      </c>
      <c r="DY648">
        <v>0</v>
      </c>
      <c r="DZ648">
        <v>0</v>
      </c>
      <c r="EA648" s="143">
        <v>0</v>
      </c>
      <c r="EB648">
        <v>0</v>
      </c>
      <c r="EC648">
        <v>1</v>
      </c>
      <c r="ED648">
        <v>1</v>
      </c>
      <c r="EE648">
        <v>1</v>
      </c>
      <c r="EF648">
        <v>0</v>
      </c>
      <c r="EG648">
        <v>0</v>
      </c>
      <c r="EH648">
        <v>0</v>
      </c>
      <c r="EI648" s="2">
        <v>0</v>
      </c>
      <c r="EK648" t="str">
        <f t="shared" si="756"/>
        <v/>
      </c>
      <c r="EL648" t="str">
        <f t="shared" si="757"/>
        <v/>
      </c>
      <c r="EM648" s="2" t="str">
        <f t="shared" si="728"/>
        <v>Technology approach</v>
      </c>
      <c r="EP648" t="b">
        <f>IF(ISNUMBER(BU648),IF(ABS(BU648-[5]QC_indicators!$B$2)&gt;3*[5]QC_indicators!$C$2,"C ratio",IF(ISNUMBER(BY648),IF(ABS(BY648-[5]QC_indicators!$B$1)&gt;3*[5]QC_indicators!$C$1,"DF","no"))),IF(ISNUMBER(BY648),IF(ABS(BY648-[5]QC_indicators!$B$1)&gt;3*[5]QC_indicators!$C$1,"DF","no")))</f>
        <v>0</v>
      </c>
      <c r="ET648" s="264" t="s">
        <v>3272</v>
      </c>
    </row>
    <row r="649" spans="1:150" ht="15" hidden="1" customHeight="1">
      <c r="A649" s="1" t="s">
        <v>656</v>
      </c>
      <c r="B649" t="s">
        <v>4788</v>
      </c>
      <c r="C649" t="s">
        <v>4789</v>
      </c>
      <c r="D649" t="s">
        <v>4790</v>
      </c>
      <c r="E649" t="s">
        <v>4791</v>
      </c>
      <c r="F649" t="s">
        <v>4792</v>
      </c>
      <c r="G649" t="s">
        <v>662</v>
      </c>
      <c r="H649" t="s">
        <v>254</v>
      </c>
      <c r="I649">
        <v>2022</v>
      </c>
      <c r="J649">
        <v>2</v>
      </c>
      <c r="K649" t="s">
        <v>4793</v>
      </c>
      <c r="M649" t="str">
        <f t="shared" si="732"/>
        <v>Fregonara_2022</v>
      </c>
      <c r="N649" t="s">
        <v>1351</v>
      </c>
      <c r="AX649" s="141">
        <f t="shared" si="733"/>
        <v>28</v>
      </c>
      <c r="AY649">
        <f t="shared" si="734"/>
        <v>17</v>
      </c>
      <c r="BE649"/>
      <c r="BF649" s="2"/>
      <c r="BY649" t="str">
        <f t="shared" si="727"/>
        <v/>
      </c>
      <c r="CN649"/>
      <c r="CO649"/>
      <c r="CP649"/>
      <c r="CQ649"/>
      <c r="CR649"/>
      <c r="CS649"/>
      <c r="CT649"/>
      <c r="CU649"/>
      <c r="CV649" s="2"/>
      <c r="CX649"/>
      <c r="DC649"/>
      <c r="DI649"/>
      <c r="DJ649"/>
      <c r="DK649"/>
      <c r="DL649"/>
      <c r="DM649"/>
      <c r="DN649"/>
      <c r="DT649"/>
      <c r="DU649"/>
      <c r="EK649" t="str">
        <f>IF(AND(AND(AND(OR($DX649=1,$DW649=1),OR($EC649=1,$EA649=1)),SUM($DV649:$DZ649,$EF649)&gt;=3),SUM($EA649:$EE649)&gt;=2),"Whole sector","")</f>
        <v/>
      </c>
      <c r="EL649" t="str">
        <f>IF(AND(AND(OR($DX649=1,$DW649=1),AND($EC649=0,$EA649=0)),SUM($DV649:$DZ649,$EF649)&gt;=3),"Ecosystem approach","")</f>
        <v/>
      </c>
      <c r="EM649" s="2" t="str">
        <f t="shared" si="728"/>
        <v/>
      </c>
      <c r="EP649" t="b">
        <f>IF(ISNUMBER(BU649),IF(ABS(BU649-[1]QC_indicators!$B$2)&gt;3*[1]QC_indicators!$C$2,"C ratio",IF(ISNUMBER(BY649),IF(ABS(BY649-[1]QC_indicators!$B$1)&gt;3*[1]QC_indicators!$C$1,"DF","no"))),IF(ISNUMBER(BY649),IF(ABS(BY649-[1]QC_indicators!$B$1)&gt;3*[1]QC_indicators!$C$1,"DF","no")))</f>
        <v>0</v>
      </c>
    </row>
    <row r="650" spans="1:150" ht="15" hidden="1" customHeight="1">
      <c r="A650" s="1" t="s">
        <v>878</v>
      </c>
      <c r="B650" t="s">
        <v>4506</v>
      </c>
      <c r="C650" t="s">
        <v>544</v>
      </c>
      <c r="D650" t="s">
        <v>4507</v>
      </c>
      <c r="E650" t="s">
        <v>4508</v>
      </c>
      <c r="F650" t="s">
        <v>4509</v>
      </c>
      <c r="G650" t="s">
        <v>1183</v>
      </c>
      <c r="H650" t="s">
        <v>254</v>
      </c>
      <c r="I650">
        <v>2006</v>
      </c>
      <c r="J650">
        <v>53</v>
      </c>
      <c r="K650" t="s">
        <v>4510</v>
      </c>
      <c r="M650" t="str">
        <f t="shared" si="732"/>
        <v>Frey_2006</v>
      </c>
      <c r="N650" t="s">
        <v>2582</v>
      </c>
      <c r="O650" s="145" t="s">
        <v>274</v>
      </c>
      <c r="Q650" s="311" t="s">
        <v>256</v>
      </c>
      <c r="R650" s="312"/>
      <c r="AX650" s="141"/>
      <c r="AY650" s="141"/>
      <c r="BE650"/>
      <c r="BF650" s="2"/>
      <c r="BU650" s="144"/>
      <c r="BY650" t="str">
        <f t="shared" si="727"/>
        <v/>
      </c>
      <c r="CN650"/>
      <c r="CO650"/>
      <c r="CP650"/>
      <c r="CQ650"/>
      <c r="CR650"/>
      <c r="CS650"/>
      <c r="CT650"/>
      <c r="CU650"/>
      <c r="CV650" s="2"/>
      <c r="CX650"/>
      <c r="DC650"/>
      <c r="DI650"/>
      <c r="DJ650"/>
      <c r="DK650"/>
      <c r="DL650"/>
      <c r="DM650"/>
      <c r="DN650"/>
      <c r="DT650"/>
      <c r="DU650" s="143"/>
      <c r="EK650" t="str">
        <f>IF(AND(AND(AND(OR($DX650=1,$DW650=1),OR($EC650=1,$EA650=1)),SUM($DV650:$DZ650,$EF650)&gt;=3),SUM($EA650:$EE650)&gt;=2),"Whole sector","")</f>
        <v/>
      </c>
      <c r="EL650" t="str">
        <f>IF(AND(AND(OR($DX650=1,$DW650=1),AND($EC650=0,$EA650=0)),SUM($DV650:$DZ650,$EF650)&gt;=3),"Ecosystem approach","")</f>
        <v/>
      </c>
      <c r="EM650" s="2" t="str">
        <f t="shared" si="728"/>
        <v/>
      </c>
      <c r="EO650" t="s">
        <v>450</v>
      </c>
      <c r="EP650" t="b">
        <f>IF(ISNUMBER(BU650),IF(ABS(BU650-[1]QC_indicators!$B$2)&gt;3*[1]QC_indicators!$C$2,"C ratio",IF(ISNUMBER(BY650),IF(ABS(BY650-[1]QC_indicators!$B$1)&gt;3*[1]QC_indicators!$C$1,"DF","no"))),IF(ISNUMBER(BY650),IF(ABS(BY650-[1]QC_indicators!$B$1)&gt;3*[1]QC_indicators!$C$1,"DF","no")))</f>
        <v>0</v>
      </c>
    </row>
    <row r="651" spans="1:150" ht="15" hidden="1" customHeight="1">
      <c r="A651" s="1" t="s">
        <v>781</v>
      </c>
      <c r="B651" t="s">
        <v>1565</v>
      </c>
      <c r="C651" t="s">
        <v>1566</v>
      </c>
      <c r="D651" t="s">
        <v>1567</v>
      </c>
      <c r="E651" t="s">
        <v>1568</v>
      </c>
      <c r="F651" t="s">
        <v>1569</v>
      </c>
      <c r="G651" t="s">
        <v>1570</v>
      </c>
      <c r="H651" t="s">
        <v>254</v>
      </c>
      <c r="I651">
        <v>2010</v>
      </c>
      <c r="J651">
        <v>35</v>
      </c>
      <c r="K651" t="s">
        <v>1571</v>
      </c>
      <c r="M651" t="str">
        <f t="shared" si="732"/>
        <v>Froese_2010</v>
      </c>
      <c r="N651" t="s">
        <v>222</v>
      </c>
      <c r="O651" s="145" t="s">
        <v>274</v>
      </c>
      <c r="Q651" t="s">
        <v>256</v>
      </c>
      <c r="R651" s="262" t="s">
        <v>223</v>
      </c>
      <c r="S651" s="1" t="s">
        <v>1572</v>
      </c>
      <c r="T651" t="s">
        <v>798</v>
      </c>
      <c r="U651" t="s">
        <v>1573</v>
      </c>
      <c r="V651">
        <v>0</v>
      </c>
      <c r="W651">
        <v>0</v>
      </c>
      <c r="X651">
        <v>0</v>
      </c>
      <c r="Y651">
        <v>0</v>
      </c>
      <c r="Z651">
        <v>0</v>
      </c>
      <c r="AA651">
        <v>0</v>
      </c>
      <c r="AB651">
        <v>0</v>
      </c>
      <c r="AC651">
        <v>0</v>
      </c>
      <c r="AD651">
        <v>0</v>
      </c>
      <c r="AE651">
        <v>0</v>
      </c>
      <c r="AF651">
        <v>0</v>
      </c>
      <c r="AG651">
        <v>0</v>
      </c>
      <c r="AH651">
        <v>0</v>
      </c>
      <c r="AI651">
        <v>0</v>
      </c>
      <c r="AJ651">
        <v>0</v>
      </c>
      <c r="AK651">
        <v>1</v>
      </c>
      <c r="AL651">
        <v>0</v>
      </c>
      <c r="AM651">
        <v>0</v>
      </c>
      <c r="AN651">
        <v>0</v>
      </c>
      <c r="AO651">
        <v>0</v>
      </c>
      <c r="AP651">
        <v>0</v>
      </c>
      <c r="AQ651">
        <v>0</v>
      </c>
      <c r="AR651">
        <v>0</v>
      </c>
      <c r="AS651">
        <v>0</v>
      </c>
      <c r="AT651">
        <v>0</v>
      </c>
      <c r="AU651">
        <v>0</v>
      </c>
      <c r="AV651">
        <v>0</v>
      </c>
      <c r="AW651">
        <v>0</v>
      </c>
      <c r="AX651" s="141">
        <f t="shared" ref="AX651:AX661" si="760">COUNTIF(V651:AW651,"&lt;&gt;0")</f>
        <v>1</v>
      </c>
      <c r="AY651" s="141">
        <f t="shared" ref="AY651:AY661" si="761">COUNTIF(V651:AL651,"&lt;&gt;0")</f>
        <v>1</v>
      </c>
      <c r="AZ651">
        <f t="shared" ref="AZ651:AZ661" si="762">COUNTIF(V651:AC651,"&lt;&gt;0")</f>
        <v>0</v>
      </c>
      <c r="BA651">
        <f t="shared" ref="BA651:BA661" si="763">COUNTIF(AD651:AI651,"&lt;&gt;0")</f>
        <v>0</v>
      </c>
      <c r="BB651">
        <f t="shared" ref="BB651:BB661" si="764">COUNTIF(AJ651:AL651,"&lt;&gt;0")</f>
        <v>1</v>
      </c>
      <c r="BC651">
        <f t="shared" ref="BC651:BC661" si="765">COUNTIF(AS651:AW651,"&lt;&gt;0")</f>
        <v>0</v>
      </c>
      <c r="BD651">
        <f t="shared" ref="BD651:BD661" si="766">COUNTIF(AM651:AR651,"&lt;&gt;0")</f>
        <v>0</v>
      </c>
      <c r="BE651" t="str">
        <f t="array" ref="BE651">IF(AY651=1,INDEX($V$7:$AL$7,MATCH(TRUE,INDEX($V651:$AW651&lt;&gt;0,),0)),IF(AY651=0,INDEX($AM$7:$AW$7,MATCH(1,$AM651:$AW651,0)),IF(BF651="Multiple strategies","mixed drivers",IF(BF651="Supply chain","multiple supply","multiple silviculture"))))</f>
        <v>technologies/design switch</v>
      </c>
      <c r="BF651" s="2" t="str" cm="1">
        <f t="array" ref="BF651">IF(COUNTIF(AZ651:BB651,"&lt;&gt;0")=1,INDEX($V$4:$AW$4,MATCH(TRUE,INDEX($V651:$AW651&lt;&gt;0,),0)),IF(COUNTIF(AZ651:BB651,"&lt;&gt;0")=0,INDEX($AM$4:$AW$4,MATCH(1,$AM651:$AW651,0)),"Multiple strategies"))</f>
        <v>Technology</v>
      </c>
      <c r="BG651" s="1" t="s">
        <v>229</v>
      </c>
      <c r="BH651" t="s">
        <v>1574</v>
      </c>
      <c r="BJ651" s="264" t="s">
        <v>3138</v>
      </c>
      <c r="BK651">
        <v>0</v>
      </c>
      <c r="BL651">
        <f>1/(18.3*0.2778)</f>
        <v>0.1967055750294075</v>
      </c>
      <c r="BN651">
        <f>BL651-BK651</f>
        <v>0.1967055750294075</v>
      </c>
      <c r="BO651">
        <f>BN651*kg_to_m3</f>
        <v>4.0143994903960717E-4</v>
      </c>
      <c r="BP651" t="s">
        <v>232</v>
      </c>
      <c r="BQ651" s="153" t="s">
        <v>429</v>
      </c>
      <c r="BR651" t="s">
        <v>1575</v>
      </c>
      <c r="BS651">
        <v>-1.03</v>
      </c>
      <c r="BT651">
        <v>-0.82599999999999996</v>
      </c>
      <c r="BU651" s="144">
        <f>IFERROR(BT651/BS651,"")</f>
        <v>0.80194174757281544</v>
      </c>
      <c r="BV651">
        <f>BT651-BS651</f>
        <v>0.20400000000000007</v>
      </c>
      <c r="BX651">
        <f>BV651/1000</f>
        <v>2.0400000000000008E-4</v>
      </c>
      <c r="BY651">
        <f t="shared" si="727"/>
        <v>0.50817065040000009</v>
      </c>
      <c r="BZ651">
        <v>0</v>
      </c>
      <c r="CA651">
        <v>0</v>
      </c>
      <c r="CB651">
        <v>0</v>
      </c>
      <c r="CC651">
        <v>0</v>
      </c>
      <c r="CD651">
        <v>0</v>
      </c>
      <c r="CE651">
        <v>0</v>
      </c>
      <c r="CF651">
        <v>0</v>
      </c>
      <c r="CG651">
        <v>0</v>
      </c>
      <c r="CH651">
        <v>0</v>
      </c>
      <c r="CI651">
        <v>0</v>
      </c>
      <c r="CJ651">
        <v>0</v>
      </c>
      <c r="CK651">
        <v>0</v>
      </c>
      <c r="CL651">
        <v>0</v>
      </c>
      <c r="CM651">
        <v>0</v>
      </c>
      <c r="CN651" t="str">
        <f>IF($BL651&lt;$BK651,"refNeedCorrection","refOK")</f>
        <v>refOK</v>
      </c>
      <c r="CO651">
        <f>IF($CN651="refOK",$BK651,$BL651)</f>
        <v>0</v>
      </c>
      <c r="CP651">
        <f>IF($CN651="refOK",$BL651,$BK651)</f>
        <v>0.1967055750294075</v>
      </c>
      <c r="CQ651">
        <f>IF($CN651="refOK",$BO651,-$BO651)</f>
        <v>4.0143994903960717E-4</v>
      </c>
      <c r="CR651">
        <f t="shared" ref="CR651:CR661" si="767">IF($CN651="refOK",$BS651,$BT651)*IF($BP651="Emissions positive",-1,1)</f>
        <v>-1.03</v>
      </c>
      <c r="CS651">
        <f t="shared" ref="CS651:CS661" si="768">IF($CN651="refOK",$BT651,$BS651)*IF($BP651="Emissions positive",-1,1)</f>
        <v>-0.82599999999999996</v>
      </c>
      <c r="CT651">
        <f t="shared" ref="CT651:CT661" si="769">IF($CN651="refNeedCorrection",-BX651,BX651)*IF($BP651="Emissions positive",-1,1)</f>
        <v>2.0400000000000008E-4</v>
      </c>
      <c r="CU651">
        <f t="shared" ref="CU651:CU661" si="770">IFERROR(CT651/CQ651,"")</f>
        <v>0.50817065040000009</v>
      </c>
      <c r="CV651" s="2">
        <f t="shared" ref="CV651:CV661" si="771">IFERROR((CS651-CR651)/ABS(CR651),"")</f>
        <v>0.19805825242718453</v>
      </c>
      <c r="CW651" s="1" t="s">
        <v>1198</v>
      </c>
      <c r="CX651" t="str">
        <f t="shared" ref="CX651:CX661" si="772">IF(OR($CW651="prd",$CW651="std",$CW651="cit"),"loc",IF(OR($CW651="eur",$CW651="reg",$CW651="coy"),"reg",$CW651))</f>
        <v>reg</v>
      </c>
      <c r="CY651" t="s">
        <v>428</v>
      </c>
      <c r="CZ651">
        <v>2010</v>
      </c>
      <c r="DB651">
        <v>0</v>
      </c>
      <c r="DC651" t="str">
        <f t="shared" ref="DC651:DC661" si="773">IF(DB651=0,"0",IF(AND(DB651&gt;=1,DB651&lt;=30),"1-30",IF(AND(DB651&gt;30,DB651&lt;=70),"31-70",IF(AND(DB651&gt;70,DB651&lt;=100),"71-100",IF(DB651&gt;100,"+100")))))</f>
        <v>0</v>
      </c>
      <c r="DD651">
        <v>0</v>
      </c>
      <c r="DE651">
        <v>1</v>
      </c>
      <c r="DF651">
        <v>0</v>
      </c>
      <c r="DG651">
        <v>0</v>
      </c>
      <c r="DI651">
        <f>SUM(DD651:DG651)</f>
        <v>1</v>
      </c>
      <c r="DJ651" t="str">
        <f t="shared" ref="DJ651:DJ661" si="774">IF(DI651=1,INDEX($DD$7:$DG$7,MATCH(1,$DD651:$DG651,0)),"mixedProduct")</f>
        <v>EnergyInput</v>
      </c>
      <c r="DK651">
        <f t="shared" ref="DK651:DK661" si="775">IF(DD651=1,DK$7,0)</f>
        <v>0</v>
      </c>
      <c r="DL651" t="str">
        <f t="shared" ref="DL651:DL661" si="776">IF(DE651=1,DL$7,0)</f>
        <v>Energy</v>
      </c>
      <c r="DM651">
        <f t="shared" ref="DM651:DM661" si="777">IF(DF651=1,DM$7,0)</f>
        <v>0</v>
      </c>
      <c r="DN651">
        <f t="shared" ref="DN651:DN661" si="778">IF(DG651=1,DN$7,0)</f>
        <v>0</v>
      </c>
      <c r="DO651">
        <v>0</v>
      </c>
      <c r="DP651">
        <v>0</v>
      </c>
      <c r="DQ651">
        <v>0</v>
      </c>
      <c r="DR651">
        <v>0</v>
      </c>
      <c r="DS651">
        <v>0</v>
      </c>
      <c r="DT651">
        <f t="shared" ref="DT651:DT661" si="779">SUM(DO651:DP651)</f>
        <v>0</v>
      </c>
      <c r="DU651" s="143" t="str">
        <f t="shared" ref="DU651:DU661" si="780">IF(DO651=1,"self-calculated DF",IF(DP651=1,"external DF used","explicit C balance"))</f>
        <v>explicit C balance</v>
      </c>
      <c r="DV651">
        <v>0</v>
      </c>
      <c r="DW651">
        <v>0</v>
      </c>
      <c r="DX651">
        <v>0</v>
      </c>
      <c r="DY651">
        <v>0</v>
      </c>
      <c r="DZ651">
        <v>0</v>
      </c>
      <c r="EA651" s="143">
        <v>0</v>
      </c>
      <c r="EB651">
        <v>0</v>
      </c>
      <c r="EC651">
        <v>1</v>
      </c>
      <c r="ED651">
        <v>0</v>
      </c>
      <c r="EE651">
        <v>1</v>
      </c>
      <c r="EF651">
        <v>0</v>
      </c>
      <c r="EG651">
        <v>0</v>
      </c>
      <c r="EH651">
        <v>0</v>
      </c>
      <c r="EI651" s="2">
        <v>0</v>
      </c>
      <c r="EK651" t="str">
        <f>IF(AND(AND(AND(OR($DX651=1,$DW651=1),OR($EC651=1,$EA651=1)),SUM($DV651:$DZ651,$EF651)&gt;=4),SUM($EA651:$EE651)&gt;=2),"Whole sector","")</f>
        <v/>
      </c>
      <c r="EL651" t="str">
        <f>IF(AND(AND(OR($DX651=1,$DW651=1),AND($EC651=0,$EA651=0)),SUM($DV651:$DZ651,$EF651)&gt;=4),"Ecosystem approach","")</f>
        <v/>
      </c>
      <c r="EM651" s="2" t="str">
        <f t="shared" si="728"/>
        <v>Technology approach</v>
      </c>
      <c r="EN651" s="147" t="s">
        <v>3139</v>
      </c>
      <c r="EP651" t="str">
        <f>IF(ISNUMBER(BU651),IF(ABS(BU651-[3]QC_indicators!$B$2)&gt;3*[3]QC_indicators!$C$2,"C ratio",IF(ISNUMBER(BY651),IF(ABS(BY651-[3]QC_indicators!$B$1)&gt;3*[3]QC_indicators!$C$1,"DF","no"))),IF(ISNUMBER(BY651),IF(ABS(BY651-[3]QC_indicators!$B$1)&gt;3*[3]QC_indicators!$C$1,"DF","no")))</f>
        <v>no</v>
      </c>
      <c r="ER651" s="264" t="s">
        <v>1576</v>
      </c>
      <c r="ET651" s="264" t="s">
        <v>3140</v>
      </c>
    </row>
    <row r="652" spans="1:150" ht="15" hidden="1" customHeight="1">
      <c r="A652" s="1" t="s">
        <v>380</v>
      </c>
      <c r="B652" t="s">
        <v>3591</v>
      </c>
      <c r="C652" t="s">
        <v>544</v>
      </c>
      <c r="D652" t="s">
        <v>3592</v>
      </c>
      <c r="E652" t="s">
        <v>3593</v>
      </c>
      <c r="F652" t="s">
        <v>3594</v>
      </c>
      <c r="G652" t="s">
        <v>386</v>
      </c>
      <c r="H652" t="s">
        <v>254</v>
      </c>
      <c r="I652">
        <v>2003</v>
      </c>
      <c r="J652">
        <v>83</v>
      </c>
      <c r="K652" t="s">
        <v>3595</v>
      </c>
      <c r="M652" t="str">
        <f t="shared" si="732"/>
        <v>Fu_2003</v>
      </c>
      <c r="N652" s="311" t="s">
        <v>4382</v>
      </c>
      <c r="O652" s="181" t="s">
        <v>225</v>
      </c>
      <c r="Q652" s="311" t="s">
        <v>256</v>
      </c>
      <c r="R652" s="312"/>
      <c r="S652" s="1" t="s">
        <v>3596</v>
      </c>
      <c r="T652" t="s">
        <v>3597</v>
      </c>
      <c r="U652" t="s">
        <v>3598</v>
      </c>
      <c r="V652">
        <v>0</v>
      </c>
      <c r="W652">
        <v>0</v>
      </c>
      <c r="X652">
        <v>0</v>
      </c>
      <c r="Y652">
        <v>0</v>
      </c>
      <c r="Z652">
        <v>0</v>
      </c>
      <c r="AA652">
        <v>0</v>
      </c>
      <c r="AB652">
        <v>0</v>
      </c>
      <c r="AC652">
        <v>0</v>
      </c>
      <c r="AD652">
        <v>0</v>
      </c>
      <c r="AE652">
        <v>0</v>
      </c>
      <c r="AF652">
        <v>1</v>
      </c>
      <c r="AG652">
        <v>0</v>
      </c>
      <c r="AH652">
        <v>0</v>
      </c>
      <c r="AI652">
        <v>0</v>
      </c>
      <c r="AJ652">
        <v>0</v>
      </c>
      <c r="AK652">
        <v>0</v>
      </c>
      <c r="AL652">
        <v>0</v>
      </c>
      <c r="AM652">
        <v>0</v>
      </c>
      <c r="AN652">
        <v>0</v>
      </c>
      <c r="AO652">
        <v>0</v>
      </c>
      <c r="AP652">
        <v>0</v>
      </c>
      <c r="AQ652">
        <v>0</v>
      </c>
      <c r="AR652">
        <v>0</v>
      </c>
      <c r="AS652">
        <v>0</v>
      </c>
      <c r="AT652">
        <v>0</v>
      </c>
      <c r="AU652">
        <v>0</v>
      </c>
      <c r="AV652">
        <v>0</v>
      </c>
      <c r="AW652">
        <v>0</v>
      </c>
      <c r="AX652" s="141">
        <f t="shared" si="760"/>
        <v>1</v>
      </c>
      <c r="AY652" s="141">
        <f t="shared" si="761"/>
        <v>1</v>
      </c>
      <c r="AZ652">
        <f t="shared" si="762"/>
        <v>0</v>
      </c>
      <c r="BA652">
        <f t="shared" si="763"/>
        <v>1</v>
      </c>
      <c r="BB652">
        <f t="shared" si="764"/>
        <v>0</v>
      </c>
      <c r="BC652">
        <f t="shared" si="765"/>
        <v>0</v>
      </c>
      <c r="BD652">
        <f t="shared" si="766"/>
        <v>0</v>
      </c>
      <c r="BE652" t="str" cm="1">
        <f t="array" ref="BE652">IF(AY652=1,INDEX($V$7:$AL$7,MATCH(TRUE,INDEX($V652:$AW652&lt;&gt;0,),0)),IF(AY652=0,INDEX($AM$7:$AW$7,MATCH(1,$AM652:$AW652,0)),IF(BF652="Multiple strategies","mixed drivers",IF(BF652="Supply chain","multiple supply","multiple silviculture"))))</f>
        <v>supply chain organization</v>
      </c>
      <c r="BF652" s="2" t="str" cm="1">
        <f t="array" ref="BF652">IF(COUNTIF(AZ652:BB652,"&lt;&gt;0")=1,INDEX($V$4:$AW$4,MATCH(TRUE,INDEX($V652:$AW652&lt;&gt;0,),0)),IF(COUNTIF(AZ652:BB652,"&lt;&gt;0")=0,INDEX($AM$4:$AW$4,MATCH(1,$AM652:$AW652,0)),"Multiple strategies"))</f>
        <v>Supply chain</v>
      </c>
      <c r="BG652" s="164"/>
      <c r="BH652" s="165"/>
      <c r="BI652" s="165"/>
      <c r="BJ652" s="166"/>
      <c r="BK652" s="167"/>
      <c r="BL652" s="319"/>
      <c r="BM652" s="320"/>
      <c r="BN652" s="168"/>
      <c r="BP652" s="311" t="s">
        <v>232</v>
      </c>
      <c r="BQ652" s="311"/>
      <c r="BR652" t="s">
        <v>3599</v>
      </c>
      <c r="BS652">
        <v>-256</v>
      </c>
      <c r="BT652">
        <v>-255</v>
      </c>
      <c r="BU652" s="144">
        <v>0.99609375</v>
      </c>
      <c r="BV652">
        <v>1</v>
      </c>
      <c r="BX652">
        <f>BV652/10^6</f>
        <v>9.9999999999999995E-7</v>
      </c>
      <c r="BY652" t="str">
        <f t="shared" si="727"/>
        <v/>
      </c>
      <c r="BZ652">
        <v>1</v>
      </c>
      <c r="CA652">
        <v>0</v>
      </c>
      <c r="CB652">
        <v>0</v>
      </c>
      <c r="CC652">
        <v>0</v>
      </c>
      <c r="CD652">
        <v>0</v>
      </c>
      <c r="CE652">
        <v>0</v>
      </c>
      <c r="CF652">
        <v>0</v>
      </c>
      <c r="CG652">
        <v>0</v>
      </c>
      <c r="CH652">
        <v>0</v>
      </c>
      <c r="CI652">
        <v>0</v>
      </c>
      <c r="CJ652">
        <v>1</v>
      </c>
      <c r="CK652">
        <v>0</v>
      </c>
      <c r="CL652">
        <v>0</v>
      </c>
      <c r="CM652">
        <v>0</v>
      </c>
      <c r="CN652" t="str">
        <f>IF(BL652&lt;BK652,"refNeedCorrection","refOK")</f>
        <v>refOK</v>
      </c>
      <c r="CO652"/>
      <c r="CP652"/>
      <c r="CQ652">
        <f>IF($CN652="refOK",$BO652,-$BO652)</f>
        <v>0</v>
      </c>
      <c r="CR652">
        <f t="shared" si="767"/>
        <v>-256</v>
      </c>
      <c r="CS652">
        <f t="shared" si="768"/>
        <v>-255</v>
      </c>
      <c r="CT652">
        <f t="shared" si="769"/>
        <v>9.9999999999999995E-7</v>
      </c>
      <c r="CU652" t="str">
        <f t="shared" si="770"/>
        <v/>
      </c>
      <c r="CV652" s="2">
        <f t="shared" si="771"/>
        <v>3.90625E-3</v>
      </c>
      <c r="CW652" s="1" t="s">
        <v>1198</v>
      </c>
      <c r="CX652" s="311" t="str">
        <f t="shared" si="772"/>
        <v>reg</v>
      </c>
      <c r="CY652" t="s">
        <v>540</v>
      </c>
      <c r="CZ652">
        <v>2003</v>
      </c>
      <c r="DB652">
        <v>0</v>
      </c>
      <c r="DC652" t="str">
        <f t="shared" si="773"/>
        <v>0</v>
      </c>
      <c r="DD652">
        <v>0</v>
      </c>
      <c r="DE652">
        <v>1</v>
      </c>
      <c r="DF652">
        <v>0</v>
      </c>
      <c r="DG652">
        <v>0</v>
      </c>
      <c r="DI652">
        <f>SUM(DD652:DG652)</f>
        <v>1</v>
      </c>
      <c r="DJ652" t="str">
        <f t="shared" si="774"/>
        <v>EnergyInput</v>
      </c>
      <c r="DK652">
        <f t="shared" si="775"/>
        <v>0</v>
      </c>
      <c r="DL652" t="str">
        <f t="shared" si="776"/>
        <v>Energy</v>
      </c>
      <c r="DM652">
        <f t="shared" si="777"/>
        <v>0</v>
      </c>
      <c r="DN652">
        <f t="shared" si="778"/>
        <v>0</v>
      </c>
      <c r="DO652">
        <v>0</v>
      </c>
      <c r="DP652">
        <v>0</v>
      </c>
      <c r="DQ652">
        <v>0</v>
      </c>
      <c r="DR652">
        <v>0</v>
      </c>
      <c r="DS652">
        <v>0</v>
      </c>
      <c r="DT652">
        <f t="shared" si="779"/>
        <v>0</v>
      </c>
      <c r="DU652" s="143" t="str">
        <f t="shared" si="780"/>
        <v>explicit C balance</v>
      </c>
      <c r="DV652">
        <v>0</v>
      </c>
      <c r="DW652">
        <v>0</v>
      </c>
      <c r="DX652">
        <v>0</v>
      </c>
      <c r="DY652">
        <v>0</v>
      </c>
      <c r="DZ652">
        <v>0</v>
      </c>
      <c r="EA652" s="143">
        <v>0</v>
      </c>
      <c r="EB652">
        <v>0</v>
      </c>
      <c r="EC652">
        <v>1</v>
      </c>
      <c r="ED652">
        <v>0</v>
      </c>
      <c r="EE652">
        <v>1</v>
      </c>
      <c r="EF652">
        <v>0</v>
      </c>
      <c r="EG652">
        <v>0</v>
      </c>
      <c r="EH652">
        <v>0</v>
      </c>
      <c r="EI652" s="2">
        <v>0</v>
      </c>
      <c r="EK652" t="str">
        <f t="shared" ref="EK652:EK657" si="781">IF(AND(AND(AND(OR($DX652=1,$DW652=1),OR($EC652=1,$EA652=1)),SUM($DV652:$DZ652,$EF652)&gt;=3),SUM($EA652:$EE652)&gt;=2),"Whole sector","")</f>
        <v/>
      </c>
      <c r="EL652" t="str">
        <f t="shared" ref="EL652:EL657" si="782">IF(AND(AND(OR($DX652=1,$DW652=1),AND($EC652=0,$EA652=0)),SUM($DV652:$DZ652,$EF652)&gt;=3),"Ecosystem approach","")</f>
        <v/>
      </c>
      <c r="EM652" s="2" t="str">
        <f t="shared" si="728"/>
        <v>Technology approach</v>
      </c>
      <c r="EN652" t="s">
        <v>3600</v>
      </c>
      <c r="EP652" t="b">
        <f>IF(ISNUMBER(BU652),IF(ABS(BU652-[1]QC_indicators!$B$2)&gt;3*[1]QC_indicators!$C$2,"C ratio",IF(ISNUMBER(BY652),IF(ABS(BY652-[1]QC_indicators!$B$1)&gt;3*[1]QC_indicators!$C$1,"DF","no"))),IF(ISNUMBER(BY652),IF(ABS(BY652-[1]QC_indicators!$B$1)&gt;3*[1]QC_indicators!$C$1,"DF","no")))</f>
        <v>0</v>
      </c>
      <c r="ER652" s="313" t="s">
        <v>349</v>
      </c>
    </row>
    <row r="653" spans="1:150" ht="15" hidden="1" customHeight="1">
      <c r="A653" s="1" t="s">
        <v>380</v>
      </c>
      <c r="B653" t="s">
        <v>3591</v>
      </c>
      <c r="C653" t="s">
        <v>544</v>
      </c>
      <c r="D653" t="s">
        <v>3592</v>
      </c>
      <c r="E653" t="s">
        <v>3593</v>
      </c>
      <c r="F653" t="s">
        <v>3594</v>
      </c>
      <c r="G653" t="s">
        <v>386</v>
      </c>
      <c r="H653" t="s">
        <v>254</v>
      </c>
      <c r="I653">
        <v>2003</v>
      </c>
      <c r="J653">
        <v>83</v>
      </c>
      <c r="K653" t="s">
        <v>3595</v>
      </c>
      <c r="M653" t="str">
        <f t="shared" si="732"/>
        <v>Fu_2003</v>
      </c>
      <c r="N653" s="311" t="s">
        <v>4382</v>
      </c>
      <c r="O653" s="181" t="s">
        <v>225</v>
      </c>
      <c r="Q653" s="311" t="s">
        <v>256</v>
      </c>
      <c r="R653" s="312"/>
      <c r="S653" s="1" t="s">
        <v>3601</v>
      </c>
      <c r="T653" t="s">
        <v>3597</v>
      </c>
      <c r="U653" t="s">
        <v>3598</v>
      </c>
      <c r="V653">
        <v>0</v>
      </c>
      <c r="W653">
        <v>0</v>
      </c>
      <c r="X653">
        <v>0</v>
      </c>
      <c r="Y653">
        <v>0</v>
      </c>
      <c r="Z653">
        <v>0</v>
      </c>
      <c r="AA653">
        <v>0</v>
      </c>
      <c r="AB653">
        <v>0</v>
      </c>
      <c r="AC653">
        <v>0</v>
      </c>
      <c r="AD653">
        <v>0</v>
      </c>
      <c r="AE653">
        <v>0</v>
      </c>
      <c r="AF653">
        <v>1</v>
      </c>
      <c r="AG653">
        <v>0</v>
      </c>
      <c r="AH653">
        <v>0</v>
      </c>
      <c r="AI653">
        <v>0</v>
      </c>
      <c r="AJ653">
        <v>0</v>
      </c>
      <c r="AK653">
        <v>0</v>
      </c>
      <c r="AL653">
        <v>0</v>
      </c>
      <c r="AM653">
        <v>0</v>
      </c>
      <c r="AN653">
        <v>0</v>
      </c>
      <c r="AO653">
        <v>0</v>
      </c>
      <c r="AP653">
        <v>0</v>
      </c>
      <c r="AQ653">
        <v>0</v>
      </c>
      <c r="AR653">
        <v>0</v>
      </c>
      <c r="AS653">
        <v>0</v>
      </c>
      <c r="AT653">
        <v>0</v>
      </c>
      <c r="AU653">
        <v>0</v>
      </c>
      <c r="AV653">
        <v>0</v>
      </c>
      <c r="AW653">
        <v>0</v>
      </c>
      <c r="AX653" s="141">
        <f t="shared" si="760"/>
        <v>1</v>
      </c>
      <c r="AY653" s="141">
        <f t="shared" si="761"/>
        <v>1</v>
      </c>
      <c r="AZ653">
        <f t="shared" si="762"/>
        <v>0</v>
      </c>
      <c r="BA653">
        <f t="shared" si="763"/>
        <v>1</v>
      </c>
      <c r="BB653">
        <f t="shared" si="764"/>
        <v>0</v>
      </c>
      <c r="BC653">
        <f t="shared" si="765"/>
        <v>0</v>
      </c>
      <c r="BD653">
        <f t="shared" si="766"/>
        <v>0</v>
      </c>
      <c r="BE653" t="str" cm="1">
        <f t="array" ref="BE653">IF(AY653=1,INDEX($V$7:$AL$7,MATCH(TRUE,INDEX($V653:$AW653&lt;&gt;0,),0)),IF(AY653=0,INDEX($AM$7:$AW$7,MATCH(1,$AM653:$AW653,0)),IF(BF653="Multiple strategies","mixed drivers",IF(BF653="Supply chain","multiple supply","multiple silviculture"))))</f>
        <v>supply chain organization</v>
      </c>
      <c r="BF653" s="2" t="str" cm="1">
        <f t="array" ref="BF653">IF(COUNTIF(AZ653:BB653,"&lt;&gt;0")=1,INDEX($V$4:$AW$4,MATCH(TRUE,INDEX($V653:$AW653&lt;&gt;0,),0)),IF(COUNTIF(AZ653:BB653,"&lt;&gt;0")=0,INDEX($AM$4:$AW$4,MATCH(1,$AM653:$AW653,0)),"Multiple strategies"))</f>
        <v>Supply chain</v>
      </c>
      <c r="BP653" s="311" t="s">
        <v>232</v>
      </c>
      <c r="BQ653" s="311"/>
      <c r="BR653" t="s">
        <v>3599</v>
      </c>
      <c r="BS653">
        <v>-245</v>
      </c>
      <c r="BT653">
        <v>-244</v>
      </c>
      <c r="BU653" s="144">
        <v>0.99591836734693873</v>
      </c>
      <c r="BV653">
        <v>1</v>
      </c>
      <c r="BX653">
        <f>BV653/10^6</f>
        <v>9.9999999999999995E-7</v>
      </c>
      <c r="BY653" t="str">
        <f t="shared" si="727"/>
        <v/>
      </c>
      <c r="BZ653">
        <v>1</v>
      </c>
      <c r="CA653">
        <v>0</v>
      </c>
      <c r="CB653">
        <v>0</v>
      </c>
      <c r="CC653">
        <v>0</v>
      </c>
      <c r="CD653">
        <v>0</v>
      </c>
      <c r="CE653">
        <v>0</v>
      </c>
      <c r="CF653">
        <v>0</v>
      </c>
      <c r="CG653">
        <v>0</v>
      </c>
      <c r="CH653">
        <v>0</v>
      </c>
      <c r="CI653">
        <v>0</v>
      </c>
      <c r="CJ653">
        <v>1</v>
      </c>
      <c r="CK653">
        <v>0</v>
      </c>
      <c r="CL653">
        <v>0</v>
      </c>
      <c r="CM653">
        <v>0</v>
      </c>
      <c r="CN653" t="str">
        <f>IF(BL653&lt;BK653,"refNeedCorrection","refOK")</f>
        <v>refOK</v>
      </c>
      <c r="CO653"/>
      <c r="CP653"/>
      <c r="CQ653"/>
      <c r="CR653">
        <f t="shared" si="767"/>
        <v>-245</v>
      </c>
      <c r="CS653">
        <f t="shared" si="768"/>
        <v>-244</v>
      </c>
      <c r="CT653">
        <f t="shared" si="769"/>
        <v>9.9999999999999995E-7</v>
      </c>
      <c r="CU653" t="str">
        <f t="shared" si="770"/>
        <v/>
      </c>
      <c r="CV653" s="2">
        <f t="shared" si="771"/>
        <v>4.0816326530612249E-3</v>
      </c>
      <c r="CW653" s="1" t="s">
        <v>1198</v>
      </c>
      <c r="CX653" s="311" t="str">
        <f t="shared" si="772"/>
        <v>reg</v>
      </c>
      <c r="CY653" t="s">
        <v>540</v>
      </c>
      <c r="CZ653">
        <v>2003</v>
      </c>
      <c r="DB653">
        <v>0</v>
      </c>
      <c r="DC653" t="str">
        <f t="shared" si="773"/>
        <v>0</v>
      </c>
      <c r="DD653">
        <v>0</v>
      </c>
      <c r="DE653">
        <v>1</v>
      </c>
      <c r="DF653">
        <v>0</v>
      </c>
      <c r="DG653">
        <v>0</v>
      </c>
      <c r="DI653">
        <f>SUM(DD653:DG653)</f>
        <v>1</v>
      </c>
      <c r="DJ653" t="str">
        <f t="shared" si="774"/>
        <v>EnergyInput</v>
      </c>
      <c r="DK653">
        <f t="shared" si="775"/>
        <v>0</v>
      </c>
      <c r="DL653" t="str">
        <f t="shared" si="776"/>
        <v>Energy</v>
      </c>
      <c r="DM653">
        <f t="shared" si="777"/>
        <v>0</v>
      </c>
      <c r="DN653">
        <f t="shared" si="778"/>
        <v>0</v>
      </c>
      <c r="DO653">
        <v>0</v>
      </c>
      <c r="DP653">
        <v>0</v>
      </c>
      <c r="DQ653">
        <v>0</v>
      </c>
      <c r="DR653">
        <v>0</v>
      </c>
      <c r="DS653">
        <v>0</v>
      </c>
      <c r="DT653">
        <f t="shared" si="779"/>
        <v>0</v>
      </c>
      <c r="DU653" s="143" t="str">
        <f t="shared" si="780"/>
        <v>explicit C balance</v>
      </c>
      <c r="DV653">
        <v>0</v>
      </c>
      <c r="DW653">
        <v>0</v>
      </c>
      <c r="DX653">
        <v>0</v>
      </c>
      <c r="DY653">
        <v>0</v>
      </c>
      <c r="DZ653">
        <v>0</v>
      </c>
      <c r="EA653" s="143">
        <v>0</v>
      </c>
      <c r="EB653">
        <v>0</v>
      </c>
      <c r="EC653">
        <v>1</v>
      </c>
      <c r="ED653">
        <v>0</v>
      </c>
      <c r="EE653">
        <v>1</v>
      </c>
      <c r="EF653">
        <v>0</v>
      </c>
      <c r="EG653">
        <v>0</v>
      </c>
      <c r="EH653">
        <v>0</v>
      </c>
      <c r="EI653" s="2">
        <v>0</v>
      </c>
      <c r="EK653" t="str">
        <f t="shared" si="781"/>
        <v/>
      </c>
      <c r="EL653" t="str">
        <f t="shared" si="782"/>
        <v/>
      </c>
      <c r="EM653" s="2" t="str">
        <f t="shared" si="728"/>
        <v>Technology approach</v>
      </c>
      <c r="EN653" t="s">
        <v>3600</v>
      </c>
      <c r="EP653" t="b">
        <f>IF(ISNUMBER(BU653),IF(ABS(BU653-[1]QC_indicators!$B$2)&gt;3*[1]QC_indicators!$C$2,"C ratio",IF(ISNUMBER(BY653),IF(ABS(BY653-[1]QC_indicators!$B$1)&gt;3*[1]QC_indicators!$C$1,"DF","no"))),IF(ISNUMBER(BY653),IF(ABS(BY653-[1]QC_indicators!$B$1)&gt;3*[1]QC_indicators!$C$1,"DF","no")))</f>
        <v>0</v>
      </c>
      <c r="ER653" s="313" t="s">
        <v>349</v>
      </c>
    </row>
    <row r="654" spans="1:150" ht="15" hidden="1" customHeight="1">
      <c r="A654" s="1" t="s">
        <v>380</v>
      </c>
      <c r="B654" t="s">
        <v>3591</v>
      </c>
      <c r="C654" t="s">
        <v>544</v>
      </c>
      <c r="D654" t="s">
        <v>3592</v>
      </c>
      <c r="E654" t="s">
        <v>3593</v>
      </c>
      <c r="F654" t="s">
        <v>3594</v>
      </c>
      <c r="G654" t="s">
        <v>386</v>
      </c>
      <c r="H654" t="s">
        <v>254</v>
      </c>
      <c r="I654">
        <v>2003</v>
      </c>
      <c r="J654">
        <v>83</v>
      </c>
      <c r="K654" t="s">
        <v>3595</v>
      </c>
      <c r="M654" t="str">
        <f t="shared" si="732"/>
        <v>Fu_2003</v>
      </c>
      <c r="N654" s="311" t="s">
        <v>4382</v>
      </c>
      <c r="O654" s="181" t="s">
        <v>225</v>
      </c>
      <c r="Q654" s="311" t="s">
        <v>256</v>
      </c>
      <c r="R654" s="312"/>
      <c r="S654" s="1" t="s">
        <v>3602</v>
      </c>
      <c r="T654" t="s">
        <v>3603</v>
      </c>
      <c r="U654" t="s">
        <v>3598</v>
      </c>
      <c r="V654">
        <v>0</v>
      </c>
      <c r="W654">
        <v>0</v>
      </c>
      <c r="X654">
        <v>0</v>
      </c>
      <c r="Y654">
        <v>0</v>
      </c>
      <c r="Z654">
        <v>0</v>
      </c>
      <c r="AA654">
        <v>0</v>
      </c>
      <c r="AB654">
        <v>0</v>
      </c>
      <c r="AC654">
        <v>0</v>
      </c>
      <c r="AD654">
        <v>0</v>
      </c>
      <c r="AE654">
        <v>0</v>
      </c>
      <c r="AF654">
        <v>0</v>
      </c>
      <c r="AG654">
        <v>0</v>
      </c>
      <c r="AH654">
        <v>0</v>
      </c>
      <c r="AI654">
        <v>0</v>
      </c>
      <c r="AJ654">
        <v>0</v>
      </c>
      <c r="AK654">
        <v>1</v>
      </c>
      <c r="AL654">
        <v>0</v>
      </c>
      <c r="AM654">
        <v>0</v>
      </c>
      <c r="AN654">
        <v>0</v>
      </c>
      <c r="AO654">
        <v>0</v>
      </c>
      <c r="AP654">
        <v>0</v>
      </c>
      <c r="AQ654">
        <v>0</v>
      </c>
      <c r="AR654">
        <v>0</v>
      </c>
      <c r="AS654">
        <v>0</v>
      </c>
      <c r="AT654">
        <v>0</v>
      </c>
      <c r="AU654">
        <v>0</v>
      </c>
      <c r="AV654">
        <v>0</v>
      </c>
      <c r="AW654">
        <v>0</v>
      </c>
      <c r="AX654" s="141">
        <f t="shared" si="760"/>
        <v>1</v>
      </c>
      <c r="AY654" s="141">
        <f t="shared" si="761"/>
        <v>1</v>
      </c>
      <c r="AZ654">
        <f t="shared" si="762"/>
        <v>0</v>
      </c>
      <c r="BA654">
        <f t="shared" si="763"/>
        <v>0</v>
      </c>
      <c r="BB654">
        <f t="shared" si="764"/>
        <v>1</v>
      </c>
      <c r="BC654">
        <f t="shared" si="765"/>
        <v>0</v>
      </c>
      <c r="BD654">
        <f t="shared" si="766"/>
        <v>0</v>
      </c>
      <c r="BE654" t="str" cm="1">
        <f t="array" ref="BE654">IF(AY654=1,INDEX($V$7:$AL$7,MATCH(TRUE,INDEX($V654:$AW654&lt;&gt;0,),0)),IF(AY654=0,INDEX($AM$7:$AW$7,MATCH(1,$AM654:$AW654,0)),IF(BF654="Multiple strategies","mixed drivers",IF(BF654="Supply chain","multiple supply","multiple silviculture"))))</f>
        <v>technologies/design switch</v>
      </c>
      <c r="BF654" s="2" t="str" cm="1">
        <f t="array" ref="BF654">IF(COUNTIF(AZ654:BB654,"&lt;&gt;0")=1,INDEX($V$4:$AW$4,MATCH(TRUE,INDEX($V654:$AW654&lt;&gt;0,),0)),IF(COUNTIF(AZ654:BB654,"&lt;&gt;0")=0,INDEX($AM$4:$AW$4,MATCH(1,$AM654:$AW654,0)),"Multiple strategies"))</f>
        <v>Technology</v>
      </c>
      <c r="BP654" s="311" t="s">
        <v>232</v>
      </c>
      <c r="BQ654" s="311"/>
      <c r="BR654" t="s">
        <v>3599</v>
      </c>
      <c r="BS654">
        <v>-255</v>
      </c>
      <c r="BT654">
        <v>-244</v>
      </c>
      <c r="BU654" s="144">
        <v>0.95686274509803926</v>
      </c>
      <c r="BV654">
        <v>11</v>
      </c>
      <c r="BX654">
        <f>BV654/10^6</f>
        <v>1.1E-5</v>
      </c>
      <c r="BY654" t="str">
        <f t="shared" si="727"/>
        <v/>
      </c>
      <c r="BZ654">
        <v>1</v>
      </c>
      <c r="CA654">
        <v>0</v>
      </c>
      <c r="CB654">
        <v>0</v>
      </c>
      <c r="CC654">
        <v>0</v>
      </c>
      <c r="CD654">
        <v>0</v>
      </c>
      <c r="CE654">
        <v>0</v>
      </c>
      <c r="CF654">
        <v>0</v>
      </c>
      <c r="CG654">
        <v>0</v>
      </c>
      <c r="CH654">
        <v>0</v>
      </c>
      <c r="CI654">
        <v>0</v>
      </c>
      <c r="CJ654">
        <v>1</v>
      </c>
      <c r="CK654">
        <v>0</v>
      </c>
      <c r="CL654">
        <v>0</v>
      </c>
      <c r="CM654">
        <v>0</v>
      </c>
      <c r="CN654" t="str">
        <f>IF(BL654&lt;BK654,"refNeedCorrection","refOK")</f>
        <v>refOK</v>
      </c>
      <c r="CO654"/>
      <c r="CP654"/>
      <c r="CQ654"/>
      <c r="CR654">
        <f t="shared" si="767"/>
        <v>-255</v>
      </c>
      <c r="CS654">
        <f t="shared" si="768"/>
        <v>-244</v>
      </c>
      <c r="CT654">
        <f t="shared" si="769"/>
        <v>1.1E-5</v>
      </c>
      <c r="CU654" t="str">
        <f t="shared" si="770"/>
        <v/>
      </c>
      <c r="CV654" s="2">
        <f t="shared" si="771"/>
        <v>4.3137254901960784E-2</v>
      </c>
      <c r="CW654" s="1" t="s">
        <v>1198</v>
      </c>
      <c r="CX654" s="311" t="str">
        <f t="shared" si="772"/>
        <v>reg</v>
      </c>
      <c r="CY654" t="s">
        <v>540</v>
      </c>
      <c r="CZ654">
        <v>2003</v>
      </c>
      <c r="DB654">
        <v>0</v>
      </c>
      <c r="DC654" t="str">
        <f t="shared" si="773"/>
        <v>0</v>
      </c>
      <c r="DD654">
        <v>0</v>
      </c>
      <c r="DE654">
        <v>1</v>
      </c>
      <c r="DF654">
        <v>0</v>
      </c>
      <c r="DG654">
        <v>0</v>
      </c>
      <c r="DI654">
        <f>SUM(DD654:DG654)</f>
        <v>1</v>
      </c>
      <c r="DJ654" t="str">
        <f t="shared" si="774"/>
        <v>EnergyInput</v>
      </c>
      <c r="DK654">
        <f t="shared" si="775"/>
        <v>0</v>
      </c>
      <c r="DL654" t="str">
        <f t="shared" si="776"/>
        <v>Energy</v>
      </c>
      <c r="DM654">
        <f t="shared" si="777"/>
        <v>0</v>
      </c>
      <c r="DN654">
        <f t="shared" si="778"/>
        <v>0</v>
      </c>
      <c r="DO654">
        <v>0</v>
      </c>
      <c r="DP654">
        <v>0</v>
      </c>
      <c r="DQ654">
        <v>0</v>
      </c>
      <c r="DR654">
        <v>0</v>
      </c>
      <c r="DS654">
        <v>0</v>
      </c>
      <c r="DT654">
        <f t="shared" si="779"/>
        <v>0</v>
      </c>
      <c r="DU654" s="143" t="str">
        <f t="shared" si="780"/>
        <v>explicit C balance</v>
      </c>
      <c r="DV654">
        <v>0</v>
      </c>
      <c r="DW654">
        <v>0</v>
      </c>
      <c r="DX654">
        <v>0</v>
      </c>
      <c r="DY654">
        <v>0</v>
      </c>
      <c r="DZ654">
        <v>0</v>
      </c>
      <c r="EA654" s="143">
        <v>0</v>
      </c>
      <c r="EB654">
        <v>0</v>
      </c>
      <c r="EC654">
        <v>1</v>
      </c>
      <c r="ED654">
        <v>0</v>
      </c>
      <c r="EE654">
        <v>1</v>
      </c>
      <c r="EF654">
        <v>0</v>
      </c>
      <c r="EG654">
        <v>0</v>
      </c>
      <c r="EH654">
        <v>0</v>
      </c>
      <c r="EI654" s="2">
        <v>0</v>
      </c>
      <c r="EK654" t="str">
        <f t="shared" si="781"/>
        <v/>
      </c>
      <c r="EL654" t="str">
        <f t="shared" si="782"/>
        <v/>
      </c>
      <c r="EM654" s="2" t="str">
        <f t="shared" si="728"/>
        <v>Technology approach</v>
      </c>
      <c r="EN654" t="s">
        <v>3600</v>
      </c>
      <c r="EP654" t="b">
        <f>IF(ISNUMBER(BU654),IF(ABS(BU654-[1]QC_indicators!$B$2)&gt;3*[1]QC_indicators!$C$2,"C ratio",IF(ISNUMBER(BY654),IF(ABS(BY654-[1]QC_indicators!$B$1)&gt;3*[1]QC_indicators!$C$1,"DF","no"))),IF(ISNUMBER(BY654),IF(ABS(BY654-[1]QC_indicators!$B$1)&gt;3*[1]QC_indicators!$C$1,"DF","no")))</f>
        <v>0</v>
      </c>
      <c r="ER654" s="313" t="s">
        <v>3604</v>
      </c>
    </row>
    <row r="655" spans="1:150" ht="15" hidden="1" customHeight="1">
      <c r="A655" s="1" t="s">
        <v>380</v>
      </c>
      <c r="B655" t="s">
        <v>3591</v>
      </c>
      <c r="C655" t="s">
        <v>544</v>
      </c>
      <c r="D655" t="s">
        <v>3592</v>
      </c>
      <c r="E655" t="s">
        <v>3593</v>
      </c>
      <c r="F655" t="s">
        <v>3594</v>
      </c>
      <c r="G655" t="s">
        <v>386</v>
      </c>
      <c r="H655" t="s">
        <v>254</v>
      </c>
      <c r="I655">
        <v>2003</v>
      </c>
      <c r="J655">
        <v>83</v>
      </c>
      <c r="K655" t="s">
        <v>3595</v>
      </c>
      <c r="M655" t="str">
        <f t="shared" si="732"/>
        <v>Fu_2003</v>
      </c>
      <c r="N655" s="311" t="s">
        <v>4382</v>
      </c>
      <c r="O655" s="181" t="s">
        <v>225</v>
      </c>
      <c r="Q655" s="311" t="s">
        <v>256</v>
      </c>
      <c r="R655" s="312"/>
      <c r="S655" s="1" t="s">
        <v>3605</v>
      </c>
      <c r="T655" t="s">
        <v>3603</v>
      </c>
      <c r="U655" t="s">
        <v>3598</v>
      </c>
      <c r="V655">
        <v>0</v>
      </c>
      <c r="W655">
        <v>0</v>
      </c>
      <c r="X655">
        <v>0</v>
      </c>
      <c r="Y655">
        <v>0</v>
      </c>
      <c r="Z655">
        <v>0</v>
      </c>
      <c r="AA655">
        <v>0</v>
      </c>
      <c r="AB655">
        <v>0</v>
      </c>
      <c r="AC655">
        <v>0</v>
      </c>
      <c r="AD655">
        <v>0</v>
      </c>
      <c r="AE655">
        <v>0</v>
      </c>
      <c r="AF655">
        <v>0</v>
      </c>
      <c r="AG655">
        <v>0</v>
      </c>
      <c r="AH655">
        <v>0</v>
      </c>
      <c r="AI655">
        <v>0</v>
      </c>
      <c r="AJ655">
        <v>0</v>
      </c>
      <c r="AK655">
        <v>1</v>
      </c>
      <c r="AL655">
        <v>0</v>
      </c>
      <c r="AM655">
        <v>0</v>
      </c>
      <c r="AN655">
        <v>0</v>
      </c>
      <c r="AO655">
        <v>0</v>
      </c>
      <c r="AP655">
        <v>0</v>
      </c>
      <c r="AQ655">
        <v>0</v>
      </c>
      <c r="AR655">
        <v>0</v>
      </c>
      <c r="AS655">
        <v>0</v>
      </c>
      <c r="AT655">
        <v>0</v>
      </c>
      <c r="AU655">
        <v>0</v>
      </c>
      <c r="AV655">
        <v>0</v>
      </c>
      <c r="AW655">
        <v>0</v>
      </c>
      <c r="AX655" s="141">
        <f t="shared" si="760"/>
        <v>1</v>
      </c>
      <c r="AY655" s="141">
        <f t="shared" si="761"/>
        <v>1</v>
      </c>
      <c r="AZ655">
        <f t="shared" si="762"/>
        <v>0</v>
      </c>
      <c r="BA655">
        <f t="shared" si="763"/>
        <v>0</v>
      </c>
      <c r="BB655">
        <f t="shared" si="764"/>
        <v>1</v>
      </c>
      <c r="BC655">
        <f t="shared" si="765"/>
        <v>0</v>
      </c>
      <c r="BD655">
        <f t="shared" si="766"/>
        <v>0</v>
      </c>
      <c r="BE655" t="str" cm="1">
        <f t="array" ref="BE655">IF(AY655=1,INDEX($V$7:$AL$7,MATCH(TRUE,INDEX($V655:$AW655&lt;&gt;0,),0)),IF(AY655=0,INDEX($AM$7:$AW$7,MATCH(1,$AM655:$AW655,0)),IF(BF655="Multiple strategies","mixed drivers",IF(BF655="Supply chain","multiple supply","multiple silviculture"))))</f>
        <v>technologies/design switch</v>
      </c>
      <c r="BF655" s="2" t="str" cm="1">
        <f t="array" ref="BF655">IF(COUNTIF(AZ655:BB655,"&lt;&gt;0")=1,INDEX($V$4:$AW$4,MATCH(TRUE,INDEX($V655:$AW655&lt;&gt;0,),0)),IF(COUNTIF(AZ655:BB655,"&lt;&gt;0")=0,INDEX($AM$4:$AW$4,MATCH(1,$AM655:$AW655,0)),"Multiple strategies"))</f>
        <v>Technology</v>
      </c>
      <c r="BP655" s="311" t="s">
        <v>232</v>
      </c>
      <c r="BQ655" s="311"/>
      <c r="BR655" t="s">
        <v>3599</v>
      </c>
      <c r="BS655">
        <v>-256</v>
      </c>
      <c r="BT655">
        <v>-245</v>
      </c>
      <c r="BU655" s="144">
        <v>0.95703125</v>
      </c>
      <c r="BV655">
        <v>11</v>
      </c>
      <c r="BX655">
        <f>BV655/10^6</f>
        <v>1.1E-5</v>
      </c>
      <c r="BY655" t="str">
        <f t="shared" si="727"/>
        <v/>
      </c>
      <c r="BZ655">
        <v>1</v>
      </c>
      <c r="CA655">
        <v>0</v>
      </c>
      <c r="CB655">
        <v>0</v>
      </c>
      <c r="CC655">
        <v>0</v>
      </c>
      <c r="CD655">
        <v>0</v>
      </c>
      <c r="CE655">
        <v>0</v>
      </c>
      <c r="CF655">
        <v>0</v>
      </c>
      <c r="CG655">
        <v>0</v>
      </c>
      <c r="CH655">
        <v>0</v>
      </c>
      <c r="CI655">
        <v>0</v>
      </c>
      <c r="CJ655">
        <v>1</v>
      </c>
      <c r="CK655">
        <v>0</v>
      </c>
      <c r="CL655">
        <v>0</v>
      </c>
      <c r="CM655">
        <v>0</v>
      </c>
      <c r="CN655" t="str">
        <f>IF(BL655&lt;BK655,"refNeedCorrection","refOK")</f>
        <v>refOK</v>
      </c>
      <c r="CO655"/>
      <c r="CP655"/>
      <c r="CQ655"/>
      <c r="CR655">
        <f t="shared" si="767"/>
        <v>-256</v>
      </c>
      <c r="CS655">
        <f t="shared" si="768"/>
        <v>-245</v>
      </c>
      <c r="CT655">
        <f t="shared" si="769"/>
        <v>1.1E-5</v>
      </c>
      <c r="CU655" t="str">
        <f t="shared" si="770"/>
        <v/>
      </c>
      <c r="CV655" s="2">
        <f t="shared" si="771"/>
        <v>4.296875E-2</v>
      </c>
      <c r="CW655" s="1" t="s">
        <v>1198</v>
      </c>
      <c r="CX655" s="311" t="str">
        <f t="shared" si="772"/>
        <v>reg</v>
      </c>
      <c r="CY655" t="s">
        <v>540</v>
      </c>
      <c r="CZ655">
        <v>2003</v>
      </c>
      <c r="DB655">
        <v>0</v>
      </c>
      <c r="DC655" t="str">
        <f t="shared" si="773"/>
        <v>0</v>
      </c>
      <c r="DD655">
        <v>0</v>
      </c>
      <c r="DE655">
        <v>1</v>
      </c>
      <c r="DF655">
        <v>0</v>
      </c>
      <c r="DG655">
        <v>0</v>
      </c>
      <c r="DI655">
        <f>SUM(DD655:DG655)</f>
        <v>1</v>
      </c>
      <c r="DJ655" t="str">
        <f t="shared" si="774"/>
        <v>EnergyInput</v>
      </c>
      <c r="DK655">
        <f t="shared" si="775"/>
        <v>0</v>
      </c>
      <c r="DL655" t="str">
        <f t="shared" si="776"/>
        <v>Energy</v>
      </c>
      <c r="DM655">
        <f t="shared" si="777"/>
        <v>0</v>
      </c>
      <c r="DN655">
        <f t="shared" si="778"/>
        <v>0</v>
      </c>
      <c r="DO655">
        <v>0</v>
      </c>
      <c r="DP655">
        <v>0</v>
      </c>
      <c r="DQ655">
        <v>0</v>
      </c>
      <c r="DR655">
        <v>0</v>
      </c>
      <c r="DS655">
        <v>0</v>
      </c>
      <c r="DT655">
        <f t="shared" si="779"/>
        <v>0</v>
      </c>
      <c r="DU655" s="143" t="str">
        <f t="shared" si="780"/>
        <v>explicit C balance</v>
      </c>
      <c r="DV655">
        <v>0</v>
      </c>
      <c r="DW655">
        <v>0</v>
      </c>
      <c r="DX655">
        <v>0</v>
      </c>
      <c r="DY655">
        <v>0</v>
      </c>
      <c r="DZ655">
        <v>0</v>
      </c>
      <c r="EA655" s="143">
        <v>0</v>
      </c>
      <c r="EB655">
        <v>0</v>
      </c>
      <c r="EC655">
        <v>1</v>
      </c>
      <c r="ED655">
        <v>0</v>
      </c>
      <c r="EE655">
        <v>1</v>
      </c>
      <c r="EF655">
        <v>0</v>
      </c>
      <c r="EG655">
        <v>0</v>
      </c>
      <c r="EH655">
        <v>0</v>
      </c>
      <c r="EI655" s="2">
        <v>0</v>
      </c>
      <c r="EK655" t="str">
        <f t="shared" si="781"/>
        <v/>
      </c>
      <c r="EL655" t="str">
        <f t="shared" si="782"/>
        <v/>
      </c>
      <c r="EM655" s="2" t="str">
        <f t="shared" si="728"/>
        <v>Technology approach</v>
      </c>
      <c r="EN655" t="s">
        <v>3600</v>
      </c>
      <c r="EP655" t="b">
        <f>IF(ISNUMBER(BU655),IF(ABS(BU655-[1]QC_indicators!$B$2)&gt;3*[1]QC_indicators!$C$2,"C ratio",IF(ISNUMBER(BY655),IF(ABS(BY655-[1]QC_indicators!$B$1)&gt;3*[1]QC_indicators!$C$1,"DF","no"))),IF(ISNUMBER(BY655),IF(ABS(BY655-[1]QC_indicators!$B$1)&gt;3*[1]QC_indicators!$C$1,"DF","no")))</f>
        <v>0</v>
      </c>
      <c r="ER655" s="313" t="s">
        <v>3604</v>
      </c>
    </row>
    <row r="656" spans="1:150" ht="15" hidden="1" customHeight="1">
      <c r="A656" s="1" t="s">
        <v>430</v>
      </c>
      <c r="B656" t="s">
        <v>3606</v>
      </c>
      <c r="C656" t="s">
        <v>3607</v>
      </c>
      <c r="D656" t="s">
        <v>3608</v>
      </c>
      <c r="E656" t="s">
        <v>3609</v>
      </c>
      <c r="F656" t="s">
        <v>3610</v>
      </c>
      <c r="G656" t="s">
        <v>436</v>
      </c>
      <c r="H656" t="s">
        <v>254</v>
      </c>
      <c r="I656">
        <v>2015</v>
      </c>
      <c r="J656">
        <v>14</v>
      </c>
      <c r="K656" t="s">
        <v>3611</v>
      </c>
      <c r="M656" t="str">
        <f t="shared" si="732"/>
        <v>Galik_2015</v>
      </c>
      <c r="N656" s="311" t="s">
        <v>4382</v>
      </c>
      <c r="O656" s="171" t="s">
        <v>225</v>
      </c>
      <c r="P656" t="s">
        <v>341</v>
      </c>
      <c r="Q656" s="311" t="s">
        <v>389</v>
      </c>
      <c r="R656" s="312"/>
      <c r="S656" s="154" t="s">
        <v>3612</v>
      </c>
      <c r="T656" s="149" t="s">
        <v>798</v>
      </c>
      <c r="U656" t="s">
        <v>3613</v>
      </c>
      <c r="V656">
        <v>1</v>
      </c>
      <c r="W656">
        <v>0</v>
      </c>
      <c r="X656">
        <v>0</v>
      </c>
      <c r="Y656">
        <v>1</v>
      </c>
      <c r="Z656">
        <v>0</v>
      </c>
      <c r="AA656">
        <v>0</v>
      </c>
      <c r="AB656">
        <v>0</v>
      </c>
      <c r="AC656">
        <v>0</v>
      </c>
      <c r="AD656">
        <v>0</v>
      </c>
      <c r="AE656">
        <v>0</v>
      </c>
      <c r="AF656">
        <v>1</v>
      </c>
      <c r="AG656">
        <v>0</v>
      </c>
      <c r="AH656">
        <v>0</v>
      </c>
      <c r="AI656">
        <v>0</v>
      </c>
      <c r="AJ656">
        <v>0</v>
      </c>
      <c r="AK656">
        <v>0</v>
      </c>
      <c r="AL656">
        <v>0</v>
      </c>
      <c r="AM656">
        <v>0</v>
      </c>
      <c r="AN656">
        <v>0</v>
      </c>
      <c r="AO656">
        <v>0</v>
      </c>
      <c r="AP656">
        <v>0</v>
      </c>
      <c r="AQ656">
        <v>0</v>
      </c>
      <c r="AR656">
        <v>0</v>
      </c>
      <c r="AS656">
        <v>1</v>
      </c>
      <c r="AT656">
        <v>0</v>
      </c>
      <c r="AU656">
        <v>1</v>
      </c>
      <c r="AV656">
        <v>0</v>
      </c>
      <c r="AW656">
        <v>0</v>
      </c>
      <c r="AX656" s="141">
        <f t="shared" si="760"/>
        <v>5</v>
      </c>
      <c r="AY656" s="141">
        <f t="shared" si="761"/>
        <v>3</v>
      </c>
      <c r="AZ656">
        <f t="shared" si="762"/>
        <v>2</v>
      </c>
      <c r="BA656">
        <f t="shared" si="763"/>
        <v>1</v>
      </c>
      <c r="BB656">
        <f t="shared" si="764"/>
        <v>0</v>
      </c>
      <c r="BC656">
        <f t="shared" si="765"/>
        <v>2</v>
      </c>
      <c r="BD656">
        <f t="shared" si="766"/>
        <v>0</v>
      </c>
      <c r="BE656" t="str" cm="1">
        <f t="array" ref="BE656">IF(AY656=1,INDEX($V$7:$AL$7,MATCH(TRUE,INDEX($V656:$AW656&lt;&gt;0,),0)),IF(AY656=0,INDEX($AM$7:$AW$7,MATCH(1,$AM656:$AW656,0)),IF(BF656="Multiple strategies","mixed drivers",IF(BF656="Supply chain","multiple supply","multiple silviculture"))))</f>
        <v>mixed drivers</v>
      </c>
      <c r="BF656" s="2" t="str" cm="1">
        <f t="array" ref="BF656">IF(COUNTIF(AZ656:BB656,"&lt;&gt;0")=1,INDEX($V$4:$AW$4,MATCH(TRUE,INDEX($V656:$AW656&lt;&gt;0,),0)),IF(COUNTIF(AZ656:BB656,"&lt;&gt;0")=0,INDEX($AM$4:$AW$4,MATCH(1,$AM656:$AW656,0)),"Multiple strategies"))</f>
        <v>Multiple strategies</v>
      </c>
      <c r="BG656" s="142"/>
      <c r="BJ656" s="143"/>
      <c r="BL656" s="143"/>
      <c r="BM656" t="str">
        <f>IFERROR(BL656/BK656,"")</f>
        <v/>
      </c>
      <c r="BN656" s="158"/>
      <c r="BO656" s="143"/>
      <c r="BP656" s="155" t="s">
        <v>232</v>
      </c>
      <c r="BR656" s="155" t="s">
        <v>3614</v>
      </c>
      <c r="BU656" s="144"/>
      <c r="BV656">
        <v>410</v>
      </c>
      <c r="BY656" t="str">
        <f t="shared" si="727"/>
        <v/>
      </c>
      <c r="BZ656">
        <v>0</v>
      </c>
      <c r="CA656">
        <v>1</v>
      </c>
      <c r="CB656">
        <v>0</v>
      </c>
      <c r="CC656">
        <v>1</v>
      </c>
      <c r="CD656">
        <v>0</v>
      </c>
      <c r="CE656">
        <v>0</v>
      </c>
      <c r="CF656">
        <v>0</v>
      </c>
      <c r="CG656">
        <v>0</v>
      </c>
      <c r="CH656">
        <v>0</v>
      </c>
      <c r="CI656">
        <v>0</v>
      </c>
      <c r="CJ656">
        <v>0</v>
      </c>
      <c r="CK656">
        <v>0</v>
      </c>
      <c r="CL656">
        <v>0</v>
      </c>
      <c r="CM656">
        <v>0</v>
      </c>
      <c r="CN656" t="str">
        <f t="shared" ref="CN656:CN661" si="783">IF($BL656&lt;$BK656,"refNeedCorrection","refOK")</f>
        <v>refOK</v>
      </c>
      <c r="CO656"/>
      <c r="CP656"/>
      <c r="CQ656"/>
      <c r="CR656">
        <f t="shared" si="767"/>
        <v>0</v>
      </c>
      <c r="CS656">
        <f t="shared" si="768"/>
        <v>0</v>
      </c>
      <c r="CT656">
        <f t="shared" si="769"/>
        <v>0</v>
      </c>
      <c r="CU656" t="str">
        <f t="shared" si="770"/>
        <v/>
      </c>
      <c r="CV656" s="2" t="str">
        <f t="shared" si="771"/>
        <v/>
      </c>
      <c r="CW656" s="1" t="s">
        <v>1202</v>
      </c>
      <c r="CX656" s="311" t="str">
        <f t="shared" si="772"/>
        <v>reg</v>
      </c>
      <c r="CY656" s="317" t="s">
        <v>428</v>
      </c>
      <c r="CZ656">
        <v>2010</v>
      </c>
      <c r="DA656" s="143">
        <v>2045</v>
      </c>
      <c r="DB656" s="143">
        <v>35</v>
      </c>
      <c r="DC656" t="str">
        <f t="shared" si="773"/>
        <v>31-70</v>
      </c>
      <c r="DD656">
        <v>0</v>
      </c>
      <c r="DE656">
        <v>1</v>
      </c>
      <c r="DF656">
        <v>1</v>
      </c>
      <c r="DG656">
        <v>1</v>
      </c>
      <c r="DH656">
        <v>1</v>
      </c>
      <c r="DI656">
        <f>SUM(DD656:DH656)</f>
        <v>4</v>
      </c>
      <c r="DJ656" t="str">
        <f t="shared" si="774"/>
        <v>mixedProduct</v>
      </c>
      <c r="DK656">
        <f t="shared" si="775"/>
        <v>0</v>
      </c>
      <c r="DL656" t="str">
        <f t="shared" si="776"/>
        <v>Energy</v>
      </c>
      <c r="DM656" t="str">
        <f t="shared" si="777"/>
        <v>Pulp/Paper</v>
      </c>
      <c r="DN656" t="str">
        <f t="shared" si="778"/>
        <v>Timber</v>
      </c>
      <c r="DO656">
        <v>1</v>
      </c>
      <c r="DP656" s="143">
        <v>0</v>
      </c>
      <c r="DQ656" s="143">
        <v>0</v>
      </c>
      <c r="DR656">
        <v>0</v>
      </c>
      <c r="DS656" s="143">
        <v>0</v>
      </c>
      <c r="DT656">
        <f t="shared" si="779"/>
        <v>1</v>
      </c>
      <c r="DU656" s="143" t="str">
        <f t="shared" si="780"/>
        <v>self-calculated DF</v>
      </c>
      <c r="DV656" s="143">
        <v>1</v>
      </c>
      <c r="DW656" s="143">
        <v>1</v>
      </c>
      <c r="DX656" s="143">
        <v>1</v>
      </c>
      <c r="DY656" s="143">
        <v>1</v>
      </c>
      <c r="DZ656">
        <v>0</v>
      </c>
      <c r="EA656" s="143">
        <v>0</v>
      </c>
      <c r="EB656" s="143">
        <v>1</v>
      </c>
      <c r="EC656" s="143">
        <v>1</v>
      </c>
      <c r="ED656" s="143">
        <v>1</v>
      </c>
      <c r="EE656">
        <v>0</v>
      </c>
      <c r="EF656">
        <v>1</v>
      </c>
      <c r="EG656" s="143">
        <v>1</v>
      </c>
      <c r="EH656" s="143">
        <v>1</v>
      </c>
      <c r="EI656" s="2">
        <v>0</v>
      </c>
      <c r="EK656" t="str">
        <f t="shared" si="781"/>
        <v>Whole sector</v>
      </c>
      <c r="EL656" t="str">
        <f t="shared" si="782"/>
        <v/>
      </c>
      <c r="EM656" s="2" t="str">
        <f t="shared" si="728"/>
        <v/>
      </c>
      <c r="EP656" t="b">
        <f>IF(ISNUMBER(BU656),IF(ABS(BU656-[1]QC_indicators!$B$2)&gt;3*[1]QC_indicators!$C$2,"C ratio",IF(ISNUMBER(BY656),IF(ABS(BY656-[1]QC_indicators!$B$1)&gt;3*[1]QC_indicators!$C$1,"DF","no"))),IF(ISNUMBER(BY656),IF(ABS(BY656-[1]QC_indicators!$B$1)&gt;3*[1]QC_indicators!$C$1,"DF","no")))</f>
        <v>0</v>
      </c>
    </row>
    <row r="657" spans="1:150" ht="15" hidden="1" customHeight="1">
      <c r="A657" s="1" t="s">
        <v>430</v>
      </c>
      <c r="B657" t="s">
        <v>3606</v>
      </c>
      <c r="C657" t="s">
        <v>3607</v>
      </c>
      <c r="D657" t="s">
        <v>3608</v>
      </c>
      <c r="E657" t="s">
        <v>3609</v>
      </c>
      <c r="F657" t="s">
        <v>3610</v>
      </c>
      <c r="G657" t="s">
        <v>436</v>
      </c>
      <c r="H657" t="s">
        <v>254</v>
      </c>
      <c r="I657">
        <v>2015</v>
      </c>
      <c r="J657">
        <v>14</v>
      </c>
      <c r="K657" t="s">
        <v>3611</v>
      </c>
      <c r="M657" t="str">
        <f t="shared" si="732"/>
        <v>Galik_2015</v>
      </c>
      <c r="N657" s="311" t="s">
        <v>4382</v>
      </c>
      <c r="O657" s="171" t="s">
        <v>225</v>
      </c>
      <c r="P657" t="s">
        <v>341</v>
      </c>
      <c r="Q657" s="311" t="s">
        <v>389</v>
      </c>
      <c r="R657" s="312"/>
      <c r="S657" s="154" t="s">
        <v>3615</v>
      </c>
      <c r="T657" s="149" t="s">
        <v>3616</v>
      </c>
      <c r="U657" t="s">
        <v>3613</v>
      </c>
      <c r="V657">
        <v>1</v>
      </c>
      <c r="W657">
        <v>0</v>
      </c>
      <c r="X657">
        <v>0</v>
      </c>
      <c r="Y657">
        <v>1</v>
      </c>
      <c r="Z657">
        <v>0</v>
      </c>
      <c r="AA657">
        <v>0</v>
      </c>
      <c r="AB657">
        <v>0</v>
      </c>
      <c r="AC657">
        <v>0</v>
      </c>
      <c r="AD657">
        <v>0</v>
      </c>
      <c r="AE657">
        <v>0</v>
      </c>
      <c r="AF657">
        <v>1</v>
      </c>
      <c r="AG657">
        <v>0</v>
      </c>
      <c r="AH657">
        <v>0</v>
      </c>
      <c r="AI657">
        <v>0</v>
      </c>
      <c r="AJ657">
        <v>0</v>
      </c>
      <c r="AK657">
        <v>0</v>
      </c>
      <c r="AL657">
        <v>0</v>
      </c>
      <c r="AM657">
        <v>0</v>
      </c>
      <c r="AN657">
        <v>0</v>
      </c>
      <c r="AO657">
        <v>0</v>
      </c>
      <c r="AP657">
        <v>0</v>
      </c>
      <c r="AQ657">
        <v>0</v>
      </c>
      <c r="AR657">
        <v>0</v>
      </c>
      <c r="AS657">
        <v>1</v>
      </c>
      <c r="AT657">
        <v>0</v>
      </c>
      <c r="AU657">
        <v>1</v>
      </c>
      <c r="AV657">
        <v>0</v>
      </c>
      <c r="AW657">
        <v>0</v>
      </c>
      <c r="AX657" s="141">
        <f t="shared" si="760"/>
        <v>5</v>
      </c>
      <c r="AY657" s="141">
        <f t="shared" si="761"/>
        <v>3</v>
      </c>
      <c r="AZ657">
        <f t="shared" si="762"/>
        <v>2</v>
      </c>
      <c r="BA657">
        <f t="shared" si="763"/>
        <v>1</v>
      </c>
      <c r="BB657">
        <f t="shared" si="764"/>
        <v>0</v>
      </c>
      <c r="BC657">
        <f t="shared" si="765"/>
        <v>2</v>
      </c>
      <c r="BD657">
        <f t="shared" si="766"/>
        <v>0</v>
      </c>
      <c r="BE657" t="str" cm="1">
        <f t="array" ref="BE657">IF(AY657=1,INDEX($V$7:$AL$7,MATCH(TRUE,INDEX($V657:$AW657&lt;&gt;0,),0)),IF(AY657=0,INDEX($AM$7:$AW$7,MATCH(1,$AM657:$AW657,0)),IF(BF657="Multiple strategies","mixed drivers",IF(BF657="Supply chain","multiple supply","multiple silviculture"))))</f>
        <v>mixed drivers</v>
      </c>
      <c r="BF657" s="2" t="str" cm="1">
        <f t="array" ref="BF657">IF(COUNTIF(AZ657:BB657,"&lt;&gt;0")=1,INDEX($V$4:$AW$4,MATCH(TRUE,INDEX($V657:$AW657&lt;&gt;0,),0)),IF(COUNTIF(AZ657:BB657,"&lt;&gt;0")=0,INDEX($AM$4:$AW$4,MATCH(1,$AM657:$AW657,0)),"Multiple strategies"))</f>
        <v>Multiple strategies</v>
      </c>
      <c r="BG657" s="142"/>
      <c r="BJ657" s="143"/>
      <c r="BL657" s="143"/>
      <c r="BN657" s="158"/>
      <c r="BO657" s="143"/>
      <c r="BP657" s="155" t="s">
        <v>232</v>
      </c>
      <c r="BR657" s="155" t="s">
        <v>3614</v>
      </c>
      <c r="BU657" s="144"/>
      <c r="BV657">
        <v>200</v>
      </c>
      <c r="BY657" t="str">
        <f t="shared" si="727"/>
        <v/>
      </c>
      <c r="BZ657">
        <v>0</v>
      </c>
      <c r="CA657">
        <v>1</v>
      </c>
      <c r="CB657">
        <v>0</v>
      </c>
      <c r="CC657">
        <v>1</v>
      </c>
      <c r="CD657">
        <v>0</v>
      </c>
      <c r="CE657">
        <v>0</v>
      </c>
      <c r="CF657">
        <v>0</v>
      </c>
      <c r="CG657">
        <v>0</v>
      </c>
      <c r="CH657">
        <v>0</v>
      </c>
      <c r="CI657">
        <v>0</v>
      </c>
      <c r="CJ657">
        <v>0</v>
      </c>
      <c r="CK657">
        <v>0</v>
      </c>
      <c r="CL657">
        <v>0</v>
      </c>
      <c r="CM657">
        <v>0</v>
      </c>
      <c r="CN657" t="str">
        <f t="shared" si="783"/>
        <v>refOK</v>
      </c>
      <c r="CO657"/>
      <c r="CP657"/>
      <c r="CQ657"/>
      <c r="CR657">
        <f t="shared" si="767"/>
        <v>0</v>
      </c>
      <c r="CS657">
        <f t="shared" si="768"/>
        <v>0</v>
      </c>
      <c r="CT657">
        <f t="shared" si="769"/>
        <v>0</v>
      </c>
      <c r="CU657" t="str">
        <f t="shared" si="770"/>
        <v/>
      </c>
      <c r="CV657" s="2" t="str">
        <f t="shared" si="771"/>
        <v/>
      </c>
      <c r="CW657" s="1" t="s">
        <v>1202</v>
      </c>
      <c r="CX657" s="311" t="str">
        <f t="shared" si="772"/>
        <v>reg</v>
      </c>
      <c r="CY657" s="317" t="s">
        <v>428</v>
      </c>
      <c r="CZ657">
        <v>2010</v>
      </c>
      <c r="DA657" s="143">
        <v>2045</v>
      </c>
      <c r="DB657" s="143">
        <v>35</v>
      </c>
      <c r="DC657" t="str">
        <f t="shared" si="773"/>
        <v>31-70</v>
      </c>
      <c r="DD657">
        <v>0</v>
      </c>
      <c r="DE657">
        <v>1</v>
      </c>
      <c r="DF657">
        <v>1</v>
      </c>
      <c r="DG657">
        <v>1</v>
      </c>
      <c r="DH657">
        <v>1</v>
      </c>
      <c r="DI657">
        <f>SUM(DD657:DH657)</f>
        <v>4</v>
      </c>
      <c r="DJ657" t="str">
        <f t="shared" si="774"/>
        <v>mixedProduct</v>
      </c>
      <c r="DK657">
        <f t="shared" si="775"/>
        <v>0</v>
      </c>
      <c r="DL657" t="str">
        <f t="shared" si="776"/>
        <v>Energy</v>
      </c>
      <c r="DM657" t="str">
        <f t="shared" si="777"/>
        <v>Pulp/Paper</v>
      </c>
      <c r="DN657" t="str">
        <f t="shared" si="778"/>
        <v>Timber</v>
      </c>
      <c r="DO657">
        <v>1</v>
      </c>
      <c r="DP657" s="143">
        <v>0</v>
      </c>
      <c r="DQ657" s="143">
        <v>0</v>
      </c>
      <c r="DR657">
        <v>0</v>
      </c>
      <c r="DS657" s="143">
        <v>0</v>
      </c>
      <c r="DT657">
        <f t="shared" si="779"/>
        <v>1</v>
      </c>
      <c r="DU657" s="143" t="str">
        <f t="shared" si="780"/>
        <v>self-calculated DF</v>
      </c>
      <c r="DV657" s="143">
        <v>1</v>
      </c>
      <c r="DW657" s="143">
        <v>1</v>
      </c>
      <c r="DX657" s="143">
        <v>1</v>
      </c>
      <c r="DY657" s="143">
        <v>1</v>
      </c>
      <c r="DZ657">
        <v>0</v>
      </c>
      <c r="EA657" s="143">
        <v>0</v>
      </c>
      <c r="EB657" s="143">
        <v>1</v>
      </c>
      <c r="EC657" s="143">
        <v>1</v>
      </c>
      <c r="ED657" s="143">
        <v>1</v>
      </c>
      <c r="EE657">
        <v>0</v>
      </c>
      <c r="EF657">
        <v>1</v>
      </c>
      <c r="EG657" s="143">
        <v>1</v>
      </c>
      <c r="EH657" s="143">
        <v>1</v>
      </c>
      <c r="EI657" s="2">
        <v>0</v>
      </c>
      <c r="EK657" t="str">
        <f t="shared" si="781"/>
        <v>Whole sector</v>
      </c>
      <c r="EL657" t="str">
        <f t="shared" si="782"/>
        <v/>
      </c>
      <c r="EM657" s="2" t="str">
        <f t="shared" si="728"/>
        <v/>
      </c>
      <c r="EP657" t="b">
        <f>IF(ISNUMBER(BU657),IF(ABS(BU657-[1]QC_indicators!$B$2)&gt;3*[1]QC_indicators!$C$2,"C ratio",IF(ISNUMBER(BY657),IF(ABS(BY657-[1]QC_indicators!$B$1)&gt;3*[1]QC_indicators!$C$1,"DF","no"))),IF(ISNUMBER(BY657),IF(ABS(BY657-[1]QC_indicators!$B$1)&gt;3*[1]QC_indicators!$C$1,"DF","no")))</f>
        <v>0</v>
      </c>
    </row>
    <row r="658" spans="1:150" ht="15" hidden="1" customHeight="1">
      <c r="A658" s="1" t="s">
        <v>1137</v>
      </c>
      <c r="B658" t="s">
        <v>1577</v>
      </c>
      <c r="C658" t="s">
        <v>1578</v>
      </c>
      <c r="D658" t="s">
        <v>1579</v>
      </c>
      <c r="E658" t="s">
        <v>1580</v>
      </c>
      <c r="F658" t="s">
        <v>1581</v>
      </c>
      <c r="G658" t="s">
        <v>1138</v>
      </c>
      <c r="H658" t="s">
        <v>254</v>
      </c>
      <c r="I658">
        <v>2020</v>
      </c>
      <c r="J658">
        <v>4</v>
      </c>
      <c r="K658" t="s">
        <v>1582</v>
      </c>
      <c r="M658" t="str">
        <f t="shared" si="732"/>
        <v>Ganguly_2020</v>
      </c>
      <c r="N658" t="s">
        <v>222</v>
      </c>
      <c r="O658" s="145" t="s">
        <v>274</v>
      </c>
      <c r="Q658" s="264" t="s">
        <v>256</v>
      </c>
      <c r="R658" s="269" t="s">
        <v>341</v>
      </c>
      <c r="S658" s="1" t="s">
        <v>1583</v>
      </c>
      <c r="T658" t="s">
        <v>1584</v>
      </c>
      <c r="U658" t="s">
        <v>1585</v>
      </c>
      <c r="V658">
        <v>0</v>
      </c>
      <c r="W658">
        <v>0</v>
      </c>
      <c r="X658">
        <v>0</v>
      </c>
      <c r="Y658">
        <v>0</v>
      </c>
      <c r="Z658">
        <v>0</v>
      </c>
      <c r="AA658">
        <v>0</v>
      </c>
      <c r="AB658">
        <v>0</v>
      </c>
      <c r="AC658">
        <v>0</v>
      </c>
      <c r="AD658">
        <v>0</v>
      </c>
      <c r="AE658">
        <v>1</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s="141">
        <f t="shared" si="760"/>
        <v>1</v>
      </c>
      <c r="AY658" s="141">
        <f t="shared" si="761"/>
        <v>1</v>
      </c>
      <c r="AZ658">
        <f t="shared" si="762"/>
        <v>0</v>
      </c>
      <c r="BA658">
        <f t="shared" si="763"/>
        <v>1</v>
      </c>
      <c r="BB658">
        <f t="shared" si="764"/>
        <v>0</v>
      </c>
      <c r="BC658">
        <f t="shared" si="765"/>
        <v>0</v>
      </c>
      <c r="BD658">
        <f t="shared" si="766"/>
        <v>0</v>
      </c>
      <c r="BE658" t="str" cm="1">
        <f t="array" ref="BE658">IF(AY658=1,INDEX($V$7:$AL$7,MATCH(TRUE,INDEX($V658:$AW658&lt;&gt;0,),0)),IF(AY658=0,INDEX($AM$7:$AW$7,MATCH(1,$AM658:$AW658,0)),IF(BF658="Multiple strategies","mixed drivers",IF(BF658="Supply chain","multiple supply","multiple silviculture"))))</f>
        <v>location of industry</v>
      </c>
      <c r="BF658" s="2" t="str" cm="1">
        <f t="array" ref="BF658">IF(COUNTIF(AZ658:BB658,"&lt;&gt;0")=1,INDEX($V$4:$AW$4,MATCH(TRUE,INDEX($V658:$AW658&lt;&gt;0,),0)),IF(COUNTIF(AZ658:BB658,"&lt;&gt;0")=0,INDEX($AM$4:$AW$4,MATCH(1,$AM658:$AW658,0)),"Multiple strategies"))</f>
        <v>Supply chain</v>
      </c>
      <c r="BG658" s="1" t="s">
        <v>321</v>
      </c>
      <c r="BH658" s="264" t="s">
        <v>1586</v>
      </c>
      <c r="BI658" s="160" t="s">
        <v>1587</v>
      </c>
      <c r="BJ658" t="s">
        <v>1588</v>
      </c>
      <c r="BK658">
        <v>1329670</v>
      </c>
      <c r="BL658">
        <v>3760725</v>
      </c>
      <c r="BM658">
        <f>BL658/BK658</f>
        <v>2.8283145442102176</v>
      </c>
      <c r="BN658">
        <f>BL658-BK658</f>
        <v>2431055</v>
      </c>
      <c r="BO658">
        <f>BN658*t_to_m3</f>
        <v>4961336.7346938774</v>
      </c>
      <c r="BP658" t="s">
        <v>232</v>
      </c>
      <c r="BQ658" s="160" t="s">
        <v>1589</v>
      </c>
      <c r="BR658" t="s">
        <v>539</v>
      </c>
      <c r="BS658">
        <v>842957</v>
      </c>
      <c r="BT658">
        <v>736474</v>
      </c>
      <c r="BU658" s="144">
        <f>IFERROR(BT658/BS658,"")</f>
        <v>0.87367920309102365</v>
      </c>
      <c r="BV658">
        <f>BT658-BS658</f>
        <v>-106483</v>
      </c>
      <c r="BX658">
        <f>BV658</f>
        <v>-106483</v>
      </c>
      <c r="BY658">
        <f t="shared" si="727"/>
        <v>-2.1462562550004012E-2</v>
      </c>
      <c r="BZ658">
        <v>0</v>
      </c>
      <c r="CA658">
        <v>0</v>
      </c>
      <c r="CB658">
        <v>0</v>
      </c>
      <c r="CC658">
        <v>0</v>
      </c>
      <c r="CD658">
        <v>0</v>
      </c>
      <c r="CE658">
        <v>0</v>
      </c>
      <c r="CF658">
        <v>0</v>
      </c>
      <c r="CG658">
        <v>0</v>
      </c>
      <c r="CH658">
        <v>0</v>
      </c>
      <c r="CI658">
        <v>0</v>
      </c>
      <c r="CJ658">
        <v>0</v>
      </c>
      <c r="CK658">
        <v>0</v>
      </c>
      <c r="CL658">
        <v>0</v>
      </c>
      <c r="CM658">
        <v>0</v>
      </c>
      <c r="CN658" t="str">
        <f t="shared" si="783"/>
        <v>refOK</v>
      </c>
      <c r="CO658">
        <f>IF($CN658="refNeedCorrection",BL658,BK658)</f>
        <v>1329670</v>
      </c>
      <c r="CP658">
        <f>IF($CN658="refNeedCorrection",BK658,BL658)</f>
        <v>3760725</v>
      </c>
      <c r="CQ658">
        <f>IF($CN658="refOK",$BO658,-$BO658)</f>
        <v>4961336.7346938774</v>
      </c>
      <c r="CR658">
        <f t="shared" si="767"/>
        <v>842957</v>
      </c>
      <c r="CS658">
        <f t="shared" si="768"/>
        <v>736474</v>
      </c>
      <c r="CT658">
        <f t="shared" si="769"/>
        <v>-106483</v>
      </c>
      <c r="CU658">
        <f t="shared" si="770"/>
        <v>-2.1462562550004012E-2</v>
      </c>
      <c r="CV658" s="2">
        <f t="shared" si="771"/>
        <v>-0.12632079690897638</v>
      </c>
      <c r="CW658" s="1" t="s">
        <v>1198</v>
      </c>
      <c r="CX658" s="264" t="str">
        <f t="shared" si="772"/>
        <v>reg</v>
      </c>
      <c r="CY658" t="s">
        <v>428</v>
      </c>
      <c r="DB658">
        <v>100</v>
      </c>
      <c r="DC658" t="str">
        <f t="shared" si="773"/>
        <v>71-100</v>
      </c>
      <c r="DD658">
        <v>0</v>
      </c>
      <c r="DE658">
        <v>0</v>
      </c>
      <c r="DF658">
        <v>1</v>
      </c>
      <c r="DG658">
        <v>1</v>
      </c>
      <c r="DI658">
        <f>SUM(DD658:DG658)</f>
        <v>2</v>
      </c>
      <c r="DJ658" t="str">
        <f t="shared" si="774"/>
        <v>mixedProduct</v>
      </c>
      <c r="DK658">
        <f t="shared" si="775"/>
        <v>0</v>
      </c>
      <c r="DL658">
        <f t="shared" si="776"/>
        <v>0</v>
      </c>
      <c r="DM658" t="str">
        <f t="shared" si="777"/>
        <v>Pulp/Paper</v>
      </c>
      <c r="DN658" t="str">
        <f t="shared" si="778"/>
        <v>Timber</v>
      </c>
      <c r="DO658">
        <v>0</v>
      </c>
      <c r="DP658">
        <v>0</v>
      </c>
      <c r="DQ658">
        <v>0</v>
      </c>
      <c r="DR658">
        <v>0</v>
      </c>
      <c r="DS658">
        <v>0</v>
      </c>
      <c r="DT658">
        <f t="shared" si="779"/>
        <v>0</v>
      </c>
      <c r="DU658" s="143" t="str">
        <f t="shared" si="780"/>
        <v>explicit C balance</v>
      </c>
      <c r="DV658">
        <v>0</v>
      </c>
      <c r="DW658">
        <v>0</v>
      </c>
      <c r="DX658">
        <v>0</v>
      </c>
      <c r="DY658">
        <v>1</v>
      </c>
      <c r="DZ658">
        <v>0</v>
      </c>
      <c r="EA658" s="143">
        <v>0</v>
      </c>
      <c r="EB658">
        <v>0</v>
      </c>
      <c r="EC658">
        <v>0</v>
      </c>
      <c r="ED658">
        <v>0</v>
      </c>
      <c r="EE658">
        <v>0</v>
      </c>
      <c r="EF658">
        <v>0</v>
      </c>
      <c r="EG658">
        <v>1</v>
      </c>
      <c r="EH658">
        <v>0</v>
      </c>
      <c r="EI658" s="2">
        <v>0</v>
      </c>
      <c r="EK658" t="str">
        <f>IF(AND(AND(AND(OR($DX658=1,$DW658=1),OR($EC658=1,$EA658=1)),SUM($DV658:$DZ658,$EF658)&gt;=4),SUM($EA658:$EE658)&gt;=2),"Whole sector","")</f>
        <v/>
      </c>
      <c r="EL658" t="str">
        <f>IF(AND(AND(OR($DX658=1,$DW658=1),AND($EC658=0,$EA658=0)),SUM($DV658:$DZ658,$EF658)&gt;=4),"Ecosystem approach","")</f>
        <v/>
      </c>
      <c r="EM658" s="2" t="str">
        <f t="shared" si="728"/>
        <v/>
      </c>
      <c r="EP658" t="str">
        <f>IF(ISNUMBER(BU658),IF(ABS(BU658-[4]QC_indicators!$B$2)&gt;3*[4]QC_indicators!$C$2,"C ratio",IF(ISNUMBER(BY658),IF(ABS(BY658-[4]QC_indicators!$B$1)&gt;3*[4]QC_indicators!$C$1,"DF","no"))),IF(ISNUMBER(BY658),IF(ABS(BY658-[4]QC_indicators!$B$1)&gt;3*[4]QC_indicators!$C$1,"DF","no")))</f>
        <v>no</v>
      </c>
      <c r="ER658" t="s">
        <v>1590</v>
      </c>
      <c r="ET658" s="264" t="s">
        <v>3406</v>
      </c>
    </row>
    <row r="659" spans="1:150" ht="15" hidden="1" customHeight="1">
      <c r="A659" s="1" t="s">
        <v>1137</v>
      </c>
      <c r="B659" t="s">
        <v>1577</v>
      </c>
      <c r="C659" t="s">
        <v>1578</v>
      </c>
      <c r="D659" t="s">
        <v>1579</v>
      </c>
      <c r="E659" t="s">
        <v>1580</v>
      </c>
      <c r="F659" t="s">
        <v>1581</v>
      </c>
      <c r="G659" t="s">
        <v>1138</v>
      </c>
      <c r="H659" t="s">
        <v>254</v>
      </c>
      <c r="I659">
        <v>2020</v>
      </c>
      <c r="J659">
        <v>4</v>
      </c>
      <c r="K659" t="s">
        <v>1582</v>
      </c>
      <c r="M659" t="str">
        <f t="shared" si="732"/>
        <v>Ganguly_2020</v>
      </c>
      <c r="N659" t="s">
        <v>222</v>
      </c>
      <c r="O659" s="145" t="s">
        <v>274</v>
      </c>
      <c r="Q659" s="264" t="s">
        <v>256</v>
      </c>
      <c r="R659" s="269" t="s">
        <v>341</v>
      </c>
      <c r="S659" s="1" t="s">
        <v>1583</v>
      </c>
      <c r="T659" t="s">
        <v>1584</v>
      </c>
      <c r="U659" t="s">
        <v>1585</v>
      </c>
      <c r="V659">
        <v>0</v>
      </c>
      <c r="W659">
        <v>0</v>
      </c>
      <c r="X659">
        <v>0</v>
      </c>
      <c r="Y659">
        <v>0</v>
      </c>
      <c r="Z659">
        <v>0</v>
      </c>
      <c r="AA659">
        <v>0</v>
      </c>
      <c r="AB659">
        <v>0</v>
      </c>
      <c r="AC659">
        <v>0</v>
      </c>
      <c r="AD659">
        <v>0</v>
      </c>
      <c r="AE659">
        <v>1</v>
      </c>
      <c r="AF659">
        <v>0</v>
      </c>
      <c r="AG659">
        <v>0</v>
      </c>
      <c r="AH659">
        <v>0</v>
      </c>
      <c r="AI659">
        <v>0</v>
      </c>
      <c r="AJ659">
        <v>0</v>
      </c>
      <c r="AK659">
        <v>0</v>
      </c>
      <c r="AL659">
        <v>0</v>
      </c>
      <c r="AM659">
        <v>0</v>
      </c>
      <c r="AN659">
        <v>0</v>
      </c>
      <c r="AO659">
        <v>0</v>
      </c>
      <c r="AP659">
        <v>0</v>
      </c>
      <c r="AQ659">
        <v>0</v>
      </c>
      <c r="AR659">
        <v>0</v>
      </c>
      <c r="AS659">
        <v>0</v>
      </c>
      <c r="AT659">
        <v>0</v>
      </c>
      <c r="AU659">
        <v>0</v>
      </c>
      <c r="AV659">
        <v>0</v>
      </c>
      <c r="AW659">
        <v>0</v>
      </c>
      <c r="AX659" s="141">
        <f t="shared" si="760"/>
        <v>1</v>
      </c>
      <c r="AY659" s="141">
        <f t="shared" si="761"/>
        <v>1</v>
      </c>
      <c r="AZ659">
        <f t="shared" si="762"/>
        <v>0</v>
      </c>
      <c r="BA659">
        <f t="shared" si="763"/>
        <v>1</v>
      </c>
      <c r="BB659">
        <f t="shared" si="764"/>
        <v>0</v>
      </c>
      <c r="BC659">
        <f t="shared" si="765"/>
        <v>0</v>
      </c>
      <c r="BD659">
        <f t="shared" si="766"/>
        <v>0</v>
      </c>
      <c r="BE659" t="str" cm="1">
        <f t="array" ref="BE659">IF(AY659=1,INDEX($V$7:$AL$7,MATCH(TRUE,INDEX($V659:$AW659&lt;&gt;0,),0)),IF(AY659=0,INDEX($AM$7:$AW$7,MATCH(1,$AM659:$AW659,0)),IF(BF659="Multiple strategies","mixed drivers",IF(BF659="Supply chain","multiple supply","multiple silviculture"))))</f>
        <v>location of industry</v>
      </c>
      <c r="BF659" s="2" t="str" cm="1">
        <f t="array" ref="BF659">IF(COUNTIF(AZ659:BB659,"&lt;&gt;0")=1,INDEX($V$4:$AW$4,MATCH(TRUE,INDEX($V659:$AW659&lt;&gt;0,),0)),IF(COUNTIF(AZ659:BB659,"&lt;&gt;0")=0,INDEX($AM$4:$AW$4,MATCH(1,$AM659:$AW659,0)),"Multiple strategies"))</f>
        <v>Supply chain</v>
      </c>
      <c r="BG659" s="1" t="s">
        <v>321</v>
      </c>
      <c r="BH659" t="s">
        <v>1586</v>
      </c>
      <c r="BI659" s="160" t="s">
        <v>1587</v>
      </c>
      <c r="BJ659" t="s">
        <v>1588</v>
      </c>
      <c r="BK659">
        <v>1329670</v>
      </c>
      <c r="BL659">
        <v>3760725</v>
      </c>
      <c r="BM659">
        <f>BL659/BK659</f>
        <v>2.8283145442102176</v>
      </c>
      <c r="BN659">
        <f>BL659-BK659</f>
        <v>2431055</v>
      </c>
      <c r="BO659">
        <f>BN659*t_to_m3</f>
        <v>4961336.7346938774</v>
      </c>
      <c r="BP659" t="s">
        <v>232</v>
      </c>
      <c r="BQ659" s="160" t="s">
        <v>1589</v>
      </c>
      <c r="BR659" t="s">
        <v>539</v>
      </c>
      <c r="BS659">
        <v>448669</v>
      </c>
      <c r="BT659">
        <v>736474</v>
      </c>
      <c r="BU659" s="144">
        <f>IFERROR(BT659/BS659,"")</f>
        <v>1.641463974555853</v>
      </c>
      <c r="BV659">
        <f>BT659-BS659</f>
        <v>287805</v>
      </c>
      <c r="BX659">
        <f>BV659</f>
        <v>287805</v>
      </c>
      <c r="BY659">
        <f t="shared" si="727"/>
        <v>5.8009567862512365E-2</v>
      </c>
      <c r="BZ659">
        <v>0</v>
      </c>
      <c r="CA659">
        <v>0</v>
      </c>
      <c r="CB659">
        <v>0</v>
      </c>
      <c r="CC659">
        <v>0</v>
      </c>
      <c r="CD659">
        <v>0</v>
      </c>
      <c r="CE659">
        <v>0</v>
      </c>
      <c r="CF659">
        <v>0</v>
      </c>
      <c r="CG659">
        <v>0</v>
      </c>
      <c r="CH659">
        <v>0</v>
      </c>
      <c r="CI659">
        <v>0</v>
      </c>
      <c r="CJ659">
        <v>0</v>
      </c>
      <c r="CK659">
        <v>0</v>
      </c>
      <c r="CL659">
        <v>0</v>
      </c>
      <c r="CM659">
        <v>0</v>
      </c>
      <c r="CN659" t="str">
        <f t="shared" si="783"/>
        <v>refOK</v>
      </c>
      <c r="CO659">
        <f>IF($CN659="refNeedCorrection",BL659,BK659)</f>
        <v>1329670</v>
      </c>
      <c r="CP659">
        <f>IF($CN659="refNeedCorrection",BK659,BL659)</f>
        <v>3760725</v>
      </c>
      <c r="CQ659">
        <f>IF($CN659="refOK",$BO659,-$BO659)</f>
        <v>4961336.7346938774</v>
      </c>
      <c r="CR659">
        <f t="shared" si="767"/>
        <v>448669</v>
      </c>
      <c r="CS659">
        <f t="shared" si="768"/>
        <v>736474</v>
      </c>
      <c r="CT659">
        <f t="shared" si="769"/>
        <v>287805</v>
      </c>
      <c r="CU659">
        <f t="shared" si="770"/>
        <v>5.8009567862512365E-2</v>
      </c>
      <c r="CV659" s="2">
        <f t="shared" si="771"/>
        <v>0.64146397455585302</v>
      </c>
      <c r="CW659" s="1" t="s">
        <v>1198</v>
      </c>
      <c r="CX659" s="264" t="str">
        <f t="shared" si="772"/>
        <v>reg</v>
      </c>
      <c r="CY659" t="s">
        <v>428</v>
      </c>
      <c r="DB659">
        <v>100</v>
      </c>
      <c r="DC659" t="str">
        <f t="shared" si="773"/>
        <v>71-100</v>
      </c>
      <c r="DD659">
        <v>0</v>
      </c>
      <c r="DE659">
        <v>0</v>
      </c>
      <c r="DF659">
        <v>1</v>
      </c>
      <c r="DG659">
        <v>1</v>
      </c>
      <c r="DI659">
        <f>SUM(DD659:DG659)</f>
        <v>2</v>
      </c>
      <c r="DJ659" t="str">
        <f t="shared" si="774"/>
        <v>mixedProduct</v>
      </c>
      <c r="DK659">
        <f t="shared" si="775"/>
        <v>0</v>
      </c>
      <c r="DL659">
        <f t="shared" si="776"/>
        <v>0</v>
      </c>
      <c r="DM659" t="str">
        <f t="shared" si="777"/>
        <v>Pulp/Paper</v>
      </c>
      <c r="DN659" t="str">
        <f t="shared" si="778"/>
        <v>Timber</v>
      </c>
      <c r="DO659">
        <v>0</v>
      </c>
      <c r="DP659">
        <v>0</v>
      </c>
      <c r="DQ659">
        <v>0</v>
      </c>
      <c r="DR659">
        <v>0</v>
      </c>
      <c r="DS659">
        <v>0</v>
      </c>
      <c r="DT659">
        <f t="shared" si="779"/>
        <v>0</v>
      </c>
      <c r="DU659" s="143" t="str">
        <f t="shared" si="780"/>
        <v>explicit C balance</v>
      </c>
      <c r="DV659">
        <v>0</v>
      </c>
      <c r="DW659">
        <v>0</v>
      </c>
      <c r="DX659">
        <v>0</v>
      </c>
      <c r="DY659">
        <v>1</v>
      </c>
      <c r="DZ659">
        <v>0</v>
      </c>
      <c r="EA659" s="143">
        <v>0</v>
      </c>
      <c r="EB659">
        <v>1</v>
      </c>
      <c r="EC659">
        <v>1</v>
      </c>
      <c r="ED659">
        <v>0</v>
      </c>
      <c r="EE659">
        <v>0</v>
      </c>
      <c r="EF659">
        <v>0</v>
      </c>
      <c r="EG659">
        <v>1</v>
      </c>
      <c r="EH659">
        <v>0</v>
      </c>
      <c r="EI659" s="2">
        <v>0</v>
      </c>
      <c r="EK659" t="str">
        <f>IF(AND(AND(AND(OR($DX659=1,$DW659=1),OR($EC659=1,$EA659=1)),SUM($DV659:$DZ659,$EF659)&gt;=4),SUM($EA659:$EE659)&gt;=2),"Whole sector","")</f>
        <v/>
      </c>
      <c r="EL659" t="str">
        <f>IF(AND(AND(OR($DX659=1,$DW659=1),AND($EC659=0,$EA659=0)),SUM($DV659:$DZ659,$EF659)&gt;=4),"Ecosystem approach","")</f>
        <v/>
      </c>
      <c r="EM659" s="2" t="str">
        <f t="shared" si="728"/>
        <v>Technology approach</v>
      </c>
      <c r="EP659" t="str">
        <f>IF(ISNUMBER(BU659),IF(ABS(BU659-[4]QC_indicators!$B$2)&gt;3*[4]QC_indicators!$C$2,"C ratio",IF(ISNUMBER(BY659),IF(ABS(BY659-[4]QC_indicators!$B$1)&gt;3*[4]QC_indicators!$C$1,"DF","no"))),IF(ISNUMBER(BY659),IF(ABS(BY659-[4]QC_indicators!$B$1)&gt;3*[4]QC_indicators!$C$1,"DF","no")))</f>
        <v>no</v>
      </c>
      <c r="ER659" t="s">
        <v>1590</v>
      </c>
      <c r="ET659" s="264" t="s">
        <v>3406</v>
      </c>
    </row>
    <row r="660" spans="1:150" ht="15" hidden="1" customHeight="1">
      <c r="A660" s="1" t="s">
        <v>1137</v>
      </c>
      <c r="B660" t="s">
        <v>1577</v>
      </c>
      <c r="C660" t="s">
        <v>1578</v>
      </c>
      <c r="D660" t="s">
        <v>1579</v>
      </c>
      <c r="E660" t="s">
        <v>1580</v>
      </c>
      <c r="F660" t="s">
        <v>1581</v>
      </c>
      <c r="G660" t="s">
        <v>1138</v>
      </c>
      <c r="H660" t="s">
        <v>254</v>
      </c>
      <c r="I660">
        <v>2020</v>
      </c>
      <c r="J660">
        <v>4</v>
      </c>
      <c r="K660" t="s">
        <v>1582</v>
      </c>
      <c r="M660" t="str">
        <f t="shared" si="732"/>
        <v>Ganguly_2020</v>
      </c>
      <c r="N660" t="s">
        <v>222</v>
      </c>
      <c r="O660" s="145" t="s">
        <v>274</v>
      </c>
      <c r="Q660" s="264" t="s">
        <v>256</v>
      </c>
      <c r="R660" s="269" t="s">
        <v>341</v>
      </c>
      <c r="S660" s="1" t="s">
        <v>1583</v>
      </c>
      <c r="T660" t="s">
        <v>1591</v>
      </c>
      <c r="U660" t="s">
        <v>1585</v>
      </c>
      <c r="V660">
        <v>0</v>
      </c>
      <c r="W660">
        <v>0</v>
      </c>
      <c r="X660">
        <v>0</v>
      </c>
      <c r="Y660">
        <v>0</v>
      </c>
      <c r="Z660">
        <v>0</v>
      </c>
      <c r="AA660">
        <v>0</v>
      </c>
      <c r="AB660">
        <v>0</v>
      </c>
      <c r="AC660">
        <v>0</v>
      </c>
      <c r="AD660">
        <v>0</v>
      </c>
      <c r="AE660">
        <v>1</v>
      </c>
      <c r="AF660">
        <v>0</v>
      </c>
      <c r="AG660">
        <v>0</v>
      </c>
      <c r="AH660">
        <v>0</v>
      </c>
      <c r="AI660">
        <v>0</v>
      </c>
      <c r="AJ660">
        <v>0</v>
      </c>
      <c r="AK660">
        <v>0</v>
      </c>
      <c r="AL660">
        <v>0</v>
      </c>
      <c r="AM660">
        <v>0</v>
      </c>
      <c r="AN660">
        <v>0</v>
      </c>
      <c r="AO660">
        <v>0</v>
      </c>
      <c r="AP660">
        <v>0</v>
      </c>
      <c r="AQ660">
        <v>0</v>
      </c>
      <c r="AR660">
        <v>0</v>
      </c>
      <c r="AS660">
        <v>0</v>
      </c>
      <c r="AT660">
        <v>0</v>
      </c>
      <c r="AU660">
        <v>0</v>
      </c>
      <c r="AV660">
        <v>0</v>
      </c>
      <c r="AW660">
        <v>0</v>
      </c>
      <c r="AX660" s="141">
        <f t="shared" si="760"/>
        <v>1</v>
      </c>
      <c r="AY660" s="141">
        <f t="shared" si="761"/>
        <v>1</v>
      </c>
      <c r="AZ660">
        <f t="shared" si="762"/>
        <v>0</v>
      </c>
      <c r="BA660">
        <f t="shared" si="763"/>
        <v>1</v>
      </c>
      <c r="BB660">
        <f t="shared" si="764"/>
        <v>0</v>
      </c>
      <c r="BC660">
        <f t="shared" si="765"/>
        <v>0</v>
      </c>
      <c r="BD660">
        <f t="shared" si="766"/>
        <v>0</v>
      </c>
      <c r="BE660" t="str" cm="1">
        <f t="array" ref="BE660">IF(AY660=1,INDEX($V$7:$AL$7,MATCH(TRUE,INDEX($V660:$AW660&lt;&gt;0,),0)),IF(AY660=0,INDEX($AM$7:$AW$7,MATCH(1,$AM660:$AW660,0)),IF(BF660="Multiple strategies","mixed drivers",IF(BF660="Supply chain","multiple supply","multiple silviculture"))))</f>
        <v>location of industry</v>
      </c>
      <c r="BF660" s="2" t="str" cm="1">
        <f t="array" ref="BF660">IF(COUNTIF(AZ660:BB660,"&lt;&gt;0")=1,INDEX($V$4:$AW$4,MATCH(TRUE,INDEX($V660:$AW660&lt;&gt;0,),0)),IF(COUNTIF(AZ660:BB660,"&lt;&gt;0")=0,INDEX($AM$4:$AW$4,MATCH(1,$AM660:$AW660,0)),"Multiple strategies"))</f>
        <v>Supply chain</v>
      </c>
      <c r="BG660" s="1" t="s">
        <v>321</v>
      </c>
      <c r="BH660" t="s">
        <v>1586</v>
      </c>
      <c r="BI660" s="160" t="s">
        <v>1587</v>
      </c>
      <c r="BJ660" t="s">
        <v>1588</v>
      </c>
      <c r="BK660">
        <v>779369</v>
      </c>
      <c r="BL660">
        <v>3760725</v>
      </c>
      <c r="BM660">
        <f>BL660/BK660</f>
        <v>4.8253458887895206</v>
      </c>
      <c r="BN660">
        <f>BL660-BK660</f>
        <v>2981356</v>
      </c>
      <c r="BO660">
        <f>BN660*t_to_m3</f>
        <v>6084400</v>
      </c>
      <c r="BP660" t="s">
        <v>232</v>
      </c>
      <c r="BQ660" s="160" t="s">
        <v>1589</v>
      </c>
      <c r="BR660" t="s">
        <v>539</v>
      </c>
      <c r="BS660">
        <v>173114</v>
      </c>
      <c r="BT660">
        <v>736474</v>
      </c>
      <c r="BU660" s="144">
        <f>IFERROR(BT660/BS660,"")</f>
        <v>4.2542717515625545</v>
      </c>
      <c r="BV660">
        <f>BT660-BS660</f>
        <v>563360</v>
      </c>
      <c r="BX660">
        <f>BV660</f>
        <v>563360</v>
      </c>
      <c r="BY660">
        <f t="shared" si="727"/>
        <v>9.2590888173032668E-2</v>
      </c>
      <c r="BZ660">
        <v>0</v>
      </c>
      <c r="CA660">
        <v>0</v>
      </c>
      <c r="CB660">
        <v>0</v>
      </c>
      <c r="CC660">
        <v>0</v>
      </c>
      <c r="CD660">
        <v>0</v>
      </c>
      <c r="CE660">
        <v>0</v>
      </c>
      <c r="CF660">
        <v>0</v>
      </c>
      <c r="CG660">
        <v>0</v>
      </c>
      <c r="CH660">
        <v>0</v>
      </c>
      <c r="CI660">
        <v>0</v>
      </c>
      <c r="CJ660">
        <v>0</v>
      </c>
      <c r="CK660">
        <v>0</v>
      </c>
      <c r="CL660">
        <v>0</v>
      </c>
      <c r="CM660">
        <v>0</v>
      </c>
      <c r="CN660" t="str">
        <f t="shared" si="783"/>
        <v>refOK</v>
      </c>
      <c r="CO660">
        <f>IF($CN660="refNeedCorrection",BL660,BK660)</f>
        <v>779369</v>
      </c>
      <c r="CP660">
        <f>IF($CN660="refNeedCorrection",BK660,BL660)</f>
        <v>3760725</v>
      </c>
      <c r="CQ660">
        <f>IF($CN660="refOK",$BO660,-$BO660)</f>
        <v>6084400</v>
      </c>
      <c r="CR660">
        <f t="shared" si="767"/>
        <v>173114</v>
      </c>
      <c r="CS660">
        <f t="shared" si="768"/>
        <v>736474</v>
      </c>
      <c r="CT660">
        <f t="shared" si="769"/>
        <v>563360</v>
      </c>
      <c r="CU660">
        <f t="shared" si="770"/>
        <v>9.2590888173032668E-2</v>
      </c>
      <c r="CV660" s="2">
        <f t="shared" si="771"/>
        <v>3.2542717515625541</v>
      </c>
      <c r="CW660" s="1" t="s">
        <v>1198</v>
      </c>
      <c r="CX660" s="264" t="str">
        <f t="shared" si="772"/>
        <v>reg</v>
      </c>
      <c r="CY660" t="s">
        <v>428</v>
      </c>
      <c r="DB660">
        <v>100</v>
      </c>
      <c r="DC660" t="str">
        <f t="shared" si="773"/>
        <v>71-100</v>
      </c>
      <c r="DD660">
        <v>0</v>
      </c>
      <c r="DE660">
        <v>0</v>
      </c>
      <c r="DF660">
        <v>1</v>
      </c>
      <c r="DG660">
        <v>1</v>
      </c>
      <c r="DI660">
        <f>SUM(DD660:DG660)</f>
        <v>2</v>
      </c>
      <c r="DJ660" t="str">
        <f t="shared" si="774"/>
        <v>mixedProduct</v>
      </c>
      <c r="DK660">
        <f t="shared" si="775"/>
        <v>0</v>
      </c>
      <c r="DL660">
        <f t="shared" si="776"/>
        <v>0</v>
      </c>
      <c r="DM660" t="str">
        <f t="shared" si="777"/>
        <v>Pulp/Paper</v>
      </c>
      <c r="DN660" t="str">
        <f t="shared" si="778"/>
        <v>Timber</v>
      </c>
      <c r="DO660">
        <v>0</v>
      </c>
      <c r="DP660">
        <v>0</v>
      </c>
      <c r="DQ660">
        <v>0</v>
      </c>
      <c r="DR660">
        <v>0</v>
      </c>
      <c r="DS660">
        <v>0</v>
      </c>
      <c r="DT660">
        <f t="shared" si="779"/>
        <v>0</v>
      </c>
      <c r="DU660" s="143" t="str">
        <f t="shared" si="780"/>
        <v>explicit C balance</v>
      </c>
      <c r="DV660">
        <v>0</v>
      </c>
      <c r="DW660">
        <v>0</v>
      </c>
      <c r="DX660">
        <v>0</v>
      </c>
      <c r="DY660">
        <v>1</v>
      </c>
      <c r="DZ660">
        <v>0</v>
      </c>
      <c r="EA660" s="143">
        <v>0</v>
      </c>
      <c r="EB660">
        <v>1</v>
      </c>
      <c r="EC660">
        <v>1</v>
      </c>
      <c r="ED660">
        <v>0</v>
      </c>
      <c r="EE660">
        <v>0</v>
      </c>
      <c r="EF660">
        <v>0</v>
      </c>
      <c r="EG660">
        <v>1</v>
      </c>
      <c r="EH660">
        <v>0</v>
      </c>
      <c r="EI660" s="2">
        <v>0</v>
      </c>
      <c r="EK660" t="str">
        <f>IF(AND(AND(AND(OR($DX660=1,$DW660=1),OR($EC660=1,$EA660=1)),SUM($DV660:$DZ660,$EF660)&gt;=4),SUM($EA660:$EE660)&gt;=2),"Whole sector","")</f>
        <v/>
      </c>
      <c r="EL660" t="str">
        <f>IF(AND(AND(OR($DX660=1,$DW660=1),AND($EC660=0,$EA660=0)),SUM($DV660:$DZ660,$EF660)&gt;=4),"Ecosystem approach","")</f>
        <v/>
      </c>
      <c r="EM660" s="2" t="str">
        <f t="shared" si="728"/>
        <v>Technology approach</v>
      </c>
      <c r="EP660" t="str">
        <f>IF(ISNUMBER(BU660),IF(ABS(BU660-[4]QC_indicators!$B$2)&gt;3*[4]QC_indicators!$C$2,"C ratio",IF(ISNUMBER(BY660),IF(ABS(BY660-[4]QC_indicators!$B$1)&gt;3*[4]QC_indicators!$C$1,"DF","no"))),IF(ISNUMBER(BY660),IF(ABS(BY660-[4]QC_indicators!$B$1)&gt;3*[4]QC_indicators!$C$1,"DF","no")))</f>
        <v>no</v>
      </c>
      <c r="EQ660" t="s">
        <v>1163</v>
      </c>
      <c r="ER660" t="s">
        <v>1590</v>
      </c>
      <c r="ET660" s="264" t="s">
        <v>3406</v>
      </c>
    </row>
    <row r="661" spans="1:150" ht="15" hidden="1" customHeight="1">
      <c r="A661" s="1" t="s">
        <v>1137</v>
      </c>
      <c r="B661" t="s">
        <v>1577</v>
      </c>
      <c r="C661" t="s">
        <v>1578</v>
      </c>
      <c r="D661" t="s">
        <v>1579</v>
      </c>
      <c r="E661" t="s">
        <v>1580</v>
      </c>
      <c r="F661" t="s">
        <v>1581</v>
      </c>
      <c r="G661" t="s">
        <v>1138</v>
      </c>
      <c r="H661" t="s">
        <v>254</v>
      </c>
      <c r="I661">
        <v>2020</v>
      </c>
      <c r="J661">
        <v>4</v>
      </c>
      <c r="K661" t="s">
        <v>1582</v>
      </c>
      <c r="M661" t="str">
        <f t="shared" si="732"/>
        <v>Ganguly_2020</v>
      </c>
      <c r="N661" t="s">
        <v>222</v>
      </c>
      <c r="O661" s="145" t="s">
        <v>274</v>
      </c>
      <c r="Q661" s="264" t="s">
        <v>256</v>
      </c>
      <c r="R661" s="269" t="s">
        <v>341</v>
      </c>
      <c r="S661" s="1" t="s">
        <v>1583</v>
      </c>
      <c r="T661" t="s">
        <v>1591</v>
      </c>
      <c r="U661" t="s">
        <v>1585</v>
      </c>
      <c r="V661">
        <v>0</v>
      </c>
      <c r="W661">
        <v>0</v>
      </c>
      <c r="X661">
        <v>0</v>
      </c>
      <c r="Y661">
        <v>0</v>
      </c>
      <c r="Z661">
        <v>0</v>
      </c>
      <c r="AA661">
        <v>0</v>
      </c>
      <c r="AB661">
        <v>0</v>
      </c>
      <c r="AC661">
        <v>0</v>
      </c>
      <c r="AD661">
        <v>0</v>
      </c>
      <c r="AE661">
        <v>1</v>
      </c>
      <c r="AF661">
        <v>0</v>
      </c>
      <c r="AG661">
        <v>0</v>
      </c>
      <c r="AH661">
        <v>0</v>
      </c>
      <c r="AI661">
        <v>0</v>
      </c>
      <c r="AJ661">
        <v>0</v>
      </c>
      <c r="AK661">
        <v>0</v>
      </c>
      <c r="AL661">
        <v>0</v>
      </c>
      <c r="AM661">
        <v>0</v>
      </c>
      <c r="AN661">
        <v>0</v>
      </c>
      <c r="AO661">
        <v>0</v>
      </c>
      <c r="AP661">
        <v>0</v>
      </c>
      <c r="AQ661">
        <v>0</v>
      </c>
      <c r="AR661">
        <v>0</v>
      </c>
      <c r="AS661">
        <v>0</v>
      </c>
      <c r="AT661">
        <v>0</v>
      </c>
      <c r="AU661">
        <v>0</v>
      </c>
      <c r="AV661">
        <v>0</v>
      </c>
      <c r="AW661">
        <v>0</v>
      </c>
      <c r="AX661" s="141">
        <f t="shared" si="760"/>
        <v>1</v>
      </c>
      <c r="AY661" s="141">
        <f t="shared" si="761"/>
        <v>1</v>
      </c>
      <c r="AZ661">
        <f t="shared" si="762"/>
        <v>0</v>
      </c>
      <c r="BA661">
        <f t="shared" si="763"/>
        <v>1</v>
      </c>
      <c r="BB661">
        <f t="shared" si="764"/>
        <v>0</v>
      </c>
      <c r="BC661">
        <f t="shared" si="765"/>
        <v>0</v>
      </c>
      <c r="BD661">
        <f t="shared" si="766"/>
        <v>0</v>
      </c>
      <c r="BE661" t="str" cm="1">
        <f t="array" ref="BE661">IF(AY661=1,INDEX($V$7:$AL$7,MATCH(TRUE,INDEX($V661:$AW661&lt;&gt;0,),0)),IF(AY661=0,INDEX($AM$7:$AW$7,MATCH(1,$AM661:$AW661,0)),IF(BF661="Multiple strategies","mixed drivers",IF(BF661="Supply chain","multiple supply","multiple silviculture"))))</f>
        <v>location of industry</v>
      </c>
      <c r="BF661" s="2" t="str" cm="1">
        <f t="array" ref="BF661">IF(COUNTIF(AZ661:BB661,"&lt;&gt;0")=1,INDEX($V$4:$AW$4,MATCH(TRUE,INDEX($V661:$AW661&lt;&gt;0,),0)),IF(COUNTIF(AZ661:BB661,"&lt;&gt;0")=0,INDEX($AM$4:$AW$4,MATCH(1,$AM661:$AW661,0)),"Multiple strategies"))</f>
        <v>Supply chain</v>
      </c>
      <c r="BG661" s="1" t="s">
        <v>321</v>
      </c>
      <c r="BH661" t="s">
        <v>1586</v>
      </c>
      <c r="BI661" s="160" t="s">
        <v>1587</v>
      </c>
      <c r="BJ661" t="s">
        <v>1588</v>
      </c>
      <c r="BK661">
        <v>779369</v>
      </c>
      <c r="BL661">
        <v>3760725</v>
      </c>
      <c r="BM661">
        <f>BL661/BK661</f>
        <v>4.8253458887895206</v>
      </c>
      <c r="BN661">
        <f>BL661-BK661</f>
        <v>2981356</v>
      </c>
      <c r="BO661">
        <f>BN661*t_to_m3</f>
        <v>6084400</v>
      </c>
      <c r="BP661" t="s">
        <v>232</v>
      </c>
      <c r="BQ661" s="160" t="s">
        <v>1589</v>
      </c>
      <c r="BR661" t="s">
        <v>539</v>
      </c>
      <c r="BS661">
        <v>465273</v>
      </c>
      <c r="BT661">
        <v>2224329</v>
      </c>
      <c r="BU661" s="144">
        <f>IFERROR(BT661/BS661,"")</f>
        <v>4.7806964943162402</v>
      </c>
      <c r="BV661">
        <f>BT661-BS661</f>
        <v>1759056</v>
      </c>
      <c r="BX661">
        <f>BV661</f>
        <v>1759056</v>
      </c>
      <c r="BY661">
        <f t="shared" si="727"/>
        <v>0.28910919729143381</v>
      </c>
      <c r="BZ661">
        <v>0</v>
      </c>
      <c r="CA661">
        <v>0</v>
      </c>
      <c r="CB661">
        <v>0</v>
      </c>
      <c r="CC661">
        <v>0</v>
      </c>
      <c r="CD661">
        <v>0</v>
      </c>
      <c r="CE661">
        <v>0</v>
      </c>
      <c r="CF661">
        <v>0</v>
      </c>
      <c r="CG661">
        <v>0</v>
      </c>
      <c r="CH661">
        <v>0</v>
      </c>
      <c r="CI661">
        <v>0</v>
      </c>
      <c r="CJ661">
        <v>0</v>
      </c>
      <c r="CK661">
        <v>0</v>
      </c>
      <c r="CL661">
        <v>0</v>
      </c>
      <c r="CM661">
        <v>0</v>
      </c>
      <c r="CN661" t="str">
        <f t="shared" si="783"/>
        <v>refOK</v>
      </c>
      <c r="CO661">
        <f>IF($CN661="refNeedCorrection",BL661,BK661)</f>
        <v>779369</v>
      </c>
      <c r="CP661">
        <f>IF($CN661="refNeedCorrection",BK661,BL661)</f>
        <v>3760725</v>
      </c>
      <c r="CQ661">
        <f>IF($CN661="refOK",$BO661,-$BO661)</f>
        <v>6084400</v>
      </c>
      <c r="CR661">
        <f t="shared" si="767"/>
        <v>465273</v>
      </c>
      <c r="CS661">
        <f t="shared" si="768"/>
        <v>2224329</v>
      </c>
      <c r="CT661">
        <f t="shared" si="769"/>
        <v>1759056</v>
      </c>
      <c r="CU661">
        <f t="shared" si="770"/>
        <v>0.28910919729143381</v>
      </c>
      <c r="CV661" s="2">
        <f t="shared" si="771"/>
        <v>3.7806964943162402</v>
      </c>
      <c r="CW661" s="1" t="s">
        <v>1198</v>
      </c>
      <c r="CX661" s="264" t="str">
        <f t="shared" si="772"/>
        <v>reg</v>
      </c>
      <c r="CY661" t="s">
        <v>428</v>
      </c>
      <c r="DB661">
        <v>100</v>
      </c>
      <c r="DC661" t="str">
        <f t="shared" si="773"/>
        <v>71-100</v>
      </c>
      <c r="DD661">
        <v>0</v>
      </c>
      <c r="DE661">
        <v>0</v>
      </c>
      <c r="DF661">
        <v>1</v>
      </c>
      <c r="DG661">
        <v>1</v>
      </c>
      <c r="DI661">
        <f>SUM(DD661:DG661)</f>
        <v>2</v>
      </c>
      <c r="DJ661" t="str">
        <f t="shared" si="774"/>
        <v>mixedProduct</v>
      </c>
      <c r="DK661">
        <f t="shared" si="775"/>
        <v>0</v>
      </c>
      <c r="DL661">
        <f t="shared" si="776"/>
        <v>0</v>
      </c>
      <c r="DM661" t="str">
        <f t="shared" si="777"/>
        <v>Pulp/Paper</v>
      </c>
      <c r="DN661" t="str">
        <f t="shared" si="778"/>
        <v>Timber</v>
      </c>
      <c r="DO661">
        <v>0</v>
      </c>
      <c r="DP661">
        <v>0</v>
      </c>
      <c r="DQ661">
        <v>0</v>
      </c>
      <c r="DR661">
        <v>0</v>
      </c>
      <c r="DS661">
        <v>0</v>
      </c>
      <c r="DT661">
        <f t="shared" si="779"/>
        <v>0</v>
      </c>
      <c r="DU661" s="143" t="str">
        <f t="shared" si="780"/>
        <v>explicit C balance</v>
      </c>
      <c r="DV661">
        <v>0</v>
      </c>
      <c r="DW661">
        <v>0</v>
      </c>
      <c r="DX661">
        <v>0</v>
      </c>
      <c r="DY661">
        <v>1</v>
      </c>
      <c r="DZ661">
        <v>0</v>
      </c>
      <c r="EA661" s="143">
        <v>0</v>
      </c>
      <c r="EB661">
        <v>0</v>
      </c>
      <c r="EC661">
        <v>0</v>
      </c>
      <c r="ED661">
        <v>0</v>
      </c>
      <c r="EE661">
        <v>0</v>
      </c>
      <c r="EF661">
        <v>0</v>
      </c>
      <c r="EG661">
        <v>1</v>
      </c>
      <c r="EH661">
        <v>0</v>
      </c>
      <c r="EI661" s="2">
        <v>0</v>
      </c>
      <c r="EK661" t="str">
        <f>IF(AND(AND(AND(OR($DX661=1,$DW661=1),OR($EC661=1,$EA661=1)),SUM($DV661:$DZ661,$EF661)&gt;=4),SUM($EA661:$EE661)&gt;=2),"Whole sector","")</f>
        <v/>
      </c>
      <c r="EL661" t="str">
        <f>IF(AND(AND(OR($DX661=1,$DW661=1),AND($EC661=0,$EA661=0)),SUM($DV661:$DZ661,$EF661)&gt;=4),"Ecosystem approach","")</f>
        <v/>
      </c>
      <c r="EM661" s="2" t="str">
        <f t="shared" si="728"/>
        <v/>
      </c>
      <c r="EP661" t="str">
        <f>IF(ISNUMBER(BU661),IF(ABS(BU661-[4]QC_indicators!$B$2)&gt;3*[4]QC_indicators!$C$2,"C ratio",IF(ISNUMBER(BY661),IF(ABS(BY661-[4]QC_indicators!$B$1)&gt;3*[4]QC_indicators!$C$1,"DF","no"))),IF(ISNUMBER(BY661),IF(ABS(BY661-[4]QC_indicators!$B$1)&gt;3*[4]QC_indicators!$C$1,"DF","no")))</f>
        <v>no</v>
      </c>
      <c r="ER661" t="s">
        <v>1590</v>
      </c>
      <c r="ET661" s="264" t="s">
        <v>3406</v>
      </c>
    </row>
    <row r="662" spans="1:150" ht="15" hidden="1" customHeight="1">
      <c r="A662" s="1" t="s">
        <v>1422</v>
      </c>
      <c r="B662" t="s">
        <v>5098</v>
      </c>
      <c r="C662" t="s">
        <v>5099</v>
      </c>
      <c r="D662" t="s">
        <v>5100</v>
      </c>
      <c r="E662" t="s">
        <v>5101</v>
      </c>
      <c r="F662" t="s">
        <v>5102</v>
      </c>
      <c r="G662" t="s">
        <v>1428</v>
      </c>
      <c r="H662" t="s">
        <v>254</v>
      </c>
      <c r="I662">
        <v>2017</v>
      </c>
      <c r="J662">
        <v>50</v>
      </c>
      <c r="K662" t="s">
        <v>5103</v>
      </c>
      <c r="M662" t="str">
        <f t="shared" si="732"/>
        <v>Geng_2017</v>
      </c>
      <c r="N662" t="s">
        <v>2585</v>
      </c>
      <c r="O662" s="181" t="s">
        <v>225</v>
      </c>
      <c r="Q662" s="311" t="s">
        <v>256</v>
      </c>
      <c r="R662" s="312"/>
      <c r="AX662" s="141"/>
      <c r="AY662" s="141"/>
      <c r="BE662"/>
      <c r="BF662" s="2"/>
      <c r="BU662" s="144"/>
      <c r="BY662" t="str">
        <f t="shared" si="727"/>
        <v/>
      </c>
      <c r="CN662"/>
      <c r="CO662"/>
      <c r="CP662"/>
      <c r="CQ662"/>
      <c r="CR662"/>
      <c r="CS662"/>
      <c r="CT662"/>
      <c r="CU662"/>
      <c r="CV662" s="2"/>
      <c r="CX662"/>
      <c r="DC662"/>
      <c r="DI662"/>
      <c r="DJ662"/>
      <c r="DK662"/>
      <c r="DL662"/>
      <c r="DM662"/>
      <c r="DN662"/>
      <c r="DT662"/>
      <c r="DU662" s="143"/>
      <c r="EK662" t="str">
        <f>IF(AND(AND(AND(OR($DX662=1,$DW662=1),OR($EC662=1,$EA662=1)),SUM($DV662:$DZ662,$EF662)&gt;=3),SUM($EA662:$EE662)&gt;=2),"Whole sector","")</f>
        <v/>
      </c>
      <c r="EL662" t="str">
        <f>IF(AND(AND(OR($DX662=1,$DW662=1),AND($EC662=0,$EA662=0)),SUM($DV662:$DZ662,$EF662)&gt;=3),"Ecosystem approach","")</f>
        <v/>
      </c>
      <c r="EM662" s="2" t="str">
        <f t="shared" si="728"/>
        <v/>
      </c>
      <c r="EO662" t="s">
        <v>5104</v>
      </c>
      <c r="EP662" t="b">
        <f>IF(ISNUMBER(BU662),IF(ABS(BU662-[1]QC_indicators!$B$2)&gt;3*[1]QC_indicators!$C$2,"C ratio",IF(ISNUMBER(BY662),IF(ABS(BY662-[1]QC_indicators!$B$1)&gt;3*[1]QC_indicators!$C$1,"DF","no"))),IF(ISNUMBER(BY662),IF(ABS(BY662-[1]QC_indicators!$B$1)&gt;3*[1]QC_indicators!$C$1,"DF","no")))</f>
        <v>0</v>
      </c>
    </row>
    <row r="663" spans="1:150" ht="15" hidden="1" customHeight="1">
      <c r="A663" s="1" t="s">
        <v>1422</v>
      </c>
      <c r="B663" t="s">
        <v>5098</v>
      </c>
      <c r="C663" t="s">
        <v>5099</v>
      </c>
      <c r="D663" t="s">
        <v>5100</v>
      </c>
      <c r="E663" t="s">
        <v>5101</v>
      </c>
      <c r="F663" s="311" t="s">
        <v>5102</v>
      </c>
      <c r="G663" t="s">
        <v>1428</v>
      </c>
      <c r="H663" t="s">
        <v>254</v>
      </c>
      <c r="I663">
        <v>2017</v>
      </c>
      <c r="J663">
        <v>50</v>
      </c>
      <c r="K663" t="s">
        <v>5103</v>
      </c>
      <c r="M663" t="str">
        <f t="shared" si="732"/>
        <v>Geng_2017</v>
      </c>
      <c r="N663" s="311" t="s">
        <v>2585</v>
      </c>
      <c r="O663" s="171" t="s">
        <v>225</v>
      </c>
      <c r="P663" t="s">
        <v>223</v>
      </c>
      <c r="Q663" s="311" t="s">
        <v>389</v>
      </c>
      <c r="R663" s="312"/>
      <c r="U663" s="143"/>
      <c r="AX663" s="141"/>
      <c r="AY663" s="141"/>
      <c r="BE663"/>
      <c r="BF663" s="2"/>
      <c r="BJ663" s="143"/>
      <c r="BK663" s="143"/>
      <c r="BL663" s="143"/>
      <c r="BO663" s="143"/>
      <c r="BS663" s="143"/>
      <c r="BU663" s="144"/>
      <c r="BY663" t="str">
        <f t="shared" si="727"/>
        <v/>
      </c>
      <c r="CN663"/>
      <c r="CO663"/>
      <c r="CP663"/>
      <c r="CQ663"/>
      <c r="CR663"/>
      <c r="CS663"/>
      <c r="CT663"/>
      <c r="CU663"/>
      <c r="CV663" s="2"/>
      <c r="CX663"/>
      <c r="DA663" s="143"/>
      <c r="DB663" s="143"/>
      <c r="DC663"/>
      <c r="DI663"/>
      <c r="DJ663"/>
      <c r="DK663"/>
      <c r="DL663"/>
      <c r="DM663"/>
      <c r="DN663"/>
      <c r="DT663"/>
      <c r="DU663" s="143"/>
      <c r="DV663" s="143"/>
      <c r="DW663" s="143"/>
      <c r="DX663" s="143"/>
      <c r="DY663" s="143"/>
      <c r="EB663" s="143"/>
      <c r="EC663" s="143"/>
      <c r="ED663" s="143"/>
      <c r="EG663" s="143"/>
      <c r="EK663" t="str">
        <f>IF(AND(AND(AND(OR($DX663=1,$DW663=1),OR($EC663=1,$EA663=1)),SUM($DV663:$DZ663,$EF663)&gt;=3),SUM($EA663:$EE663)&gt;=2),"Whole sector","")</f>
        <v/>
      </c>
      <c r="EL663" t="str">
        <f>IF(AND(AND(OR($DX663=1,$DW663=1),AND($EC663=0,$EA663=0)),SUM($DV663:$DZ663,$EF663)&gt;=3),"Ecosystem approach","")</f>
        <v/>
      </c>
      <c r="EM663" s="2" t="str">
        <f t="shared" si="728"/>
        <v/>
      </c>
      <c r="EP663" t="b">
        <f>IF(ISNUMBER(BU663),IF(ABS(BU663-[1]QC_indicators!$B$2)&gt;3*[1]QC_indicators!$C$2,"C ratio",IF(ISNUMBER(BY663),IF(ABS(BY663-[1]QC_indicators!$B$1)&gt;3*[1]QC_indicators!$C$1,"DF","no"))),IF(ISNUMBER(BY663),IF(ABS(BY663-[1]QC_indicators!$B$1)&gt;3*[1]QC_indicators!$C$1,"DF","no")))</f>
        <v>0</v>
      </c>
      <c r="ER663" s="149"/>
    </row>
    <row r="664" spans="1:150" ht="15" hidden="1" customHeight="1">
      <c r="A664" s="1" t="s">
        <v>562</v>
      </c>
      <c r="B664" t="s">
        <v>544</v>
      </c>
      <c r="C664" t="s">
        <v>1592</v>
      </c>
      <c r="D664" t="s">
        <v>1593</v>
      </c>
      <c r="E664" t="s">
        <v>1594</v>
      </c>
      <c r="F664" t="s">
        <v>1595</v>
      </c>
      <c r="G664" t="s">
        <v>567</v>
      </c>
      <c r="H664" t="s">
        <v>254</v>
      </c>
      <c r="I664">
        <v>2019</v>
      </c>
      <c r="J664">
        <v>15</v>
      </c>
      <c r="K664" t="s">
        <v>1596</v>
      </c>
      <c r="M664" t="str">
        <f t="shared" si="732"/>
        <v>Geng_2019</v>
      </c>
      <c r="N664" t="s">
        <v>222</v>
      </c>
      <c r="O664" s="181" t="s">
        <v>225</v>
      </c>
      <c r="Q664" s="264" t="s">
        <v>256</v>
      </c>
      <c r="R664" s="269" t="s">
        <v>1153</v>
      </c>
      <c r="S664" s="1" t="s">
        <v>1597</v>
      </c>
      <c r="T664" t="s">
        <v>1598</v>
      </c>
      <c r="V664">
        <v>0</v>
      </c>
      <c r="W664">
        <v>0</v>
      </c>
      <c r="X664">
        <v>0</v>
      </c>
      <c r="Y664">
        <v>0</v>
      </c>
      <c r="Z664">
        <v>0</v>
      </c>
      <c r="AA664">
        <v>0</v>
      </c>
      <c r="AB664">
        <v>0</v>
      </c>
      <c r="AC664">
        <v>0</v>
      </c>
      <c r="AD664">
        <v>0</v>
      </c>
      <c r="AE664">
        <v>0</v>
      </c>
      <c r="AF664">
        <v>0</v>
      </c>
      <c r="AG664">
        <v>0</v>
      </c>
      <c r="AH664">
        <v>0</v>
      </c>
      <c r="AI664">
        <v>0</v>
      </c>
      <c r="AJ664">
        <v>0</v>
      </c>
      <c r="AK664">
        <v>1</v>
      </c>
      <c r="AL664">
        <v>0</v>
      </c>
      <c r="AM664">
        <v>0</v>
      </c>
      <c r="AN664">
        <v>0</v>
      </c>
      <c r="AO664">
        <v>0</v>
      </c>
      <c r="AP664">
        <v>0</v>
      </c>
      <c r="AQ664">
        <v>0</v>
      </c>
      <c r="AR664">
        <v>0</v>
      </c>
      <c r="AS664">
        <v>0</v>
      </c>
      <c r="AT664">
        <v>0</v>
      </c>
      <c r="AU664">
        <v>0</v>
      </c>
      <c r="AV664">
        <v>0</v>
      </c>
      <c r="AW664">
        <v>0</v>
      </c>
      <c r="AX664" s="141">
        <f t="shared" ref="AX664:AX709" si="784">COUNTIF(V664:AW664,"&lt;&gt;0")</f>
        <v>1</v>
      </c>
      <c r="AY664" s="141">
        <f t="shared" ref="AY664:AY709" si="785">COUNTIF(V664:AL664,"&lt;&gt;0")</f>
        <v>1</v>
      </c>
      <c r="AZ664">
        <f t="shared" ref="AZ664:AZ709" si="786">COUNTIF(V664:AC664,"&lt;&gt;0")</f>
        <v>0</v>
      </c>
      <c r="BA664">
        <f t="shared" ref="BA664:BA709" si="787">COUNTIF(AD664:AI664,"&lt;&gt;0")</f>
        <v>0</v>
      </c>
      <c r="BB664">
        <f t="shared" ref="BB664:BB709" si="788">COUNTIF(AJ664:AL664,"&lt;&gt;0")</f>
        <v>1</v>
      </c>
      <c r="BC664">
        <f t="shared" ref="BC664:BC709" si="789">COUNTIF(AS664:AW664,"&lt;&gt;0")</f>
        <v>0</v>
      </c>
      <c r="BD664">
        <f t="shared" ref="BD664:BD709" si="790">COUNTIF(AM664:AR664,"&lt;&gt;0")</f>
        <v>0</v>
      </c>
      <c r="BE664" t="str" cm="1">
        <f t="array" ref="BE664">IF(AY664=1,INDEX($V$7:$AL$7,MATCH(TRUE,INDEX($V664:$AW664&lt;&gt;0,),0)),IF(AY664=0,INDEX($AM$7:$AW$7,MATCH(1,$AM664:$AW664,0)),IF(BF664="Multiple strategies","mixed drivers",IF(BF664="Supply chain","multiple supply","multiple silviculture"))))</f>
        <v>technologies/design switch</v>
      </c>
      <c r="BF664" s="2" t="str" cm="1">
        <f t="array" ref="BF664">IF(COUNTIF(AZ664:BB664,"&lt;&gt;0")=1,INDEX($V$4:$AW$4,MATCH(TRUE,INDEX($V664:$AW664&lt;&gt;0,),0)),IF(COUNTIF(AZ664:BB664,"&lt;&gt;0")=0,INDEX($AM$4:$AW$4,MATCH(1,$AM664:$AW664,0)),"Multiple strategies"))</f>
        <v>Technology</v>
      </c>
      <c r="BG664" s="1" t="s">
        <v>229</v>
      </c>
      <c r="BH664" t="s">
        <v>1599</v>
      </c>
      <c r="BJ664" t="s">
        <v>1600</v>
      </c>
      <c r="BK664">
        <v>0</v>
      </c>
      <c r="BL664">
        <v>2.6</v>
      </c>
      <c r="BN664">
        <f t="shared" ref="BN664:BN679" si="791">BL664-BK664</f>
        <v>2.6</v>
      </c>
      <c r="BO664">
        <f t="shared" ref="BO664:BO679" si="792">BN664*kg_to_m3</f>
        <v>5.3061224489795921E-3</v>
      </c>
      <c r="BP664" t="s">
        <v>232</v>
      </c>
      <c r="BR664" t="s">
        <v>1601</v>
      </c>
      <c r="BU664" s="144" t="str">
        <f t="shared" ref="BU664:BU679" si="793">IFERROR(BT664/BS664,"")</f>
        <v/>
      </c>
      <c r="BV664">
        <v>-0.26</v>
      </c>
      <c r="BX664">
        <f>BV664/1000</f>
        <v>-2.6000000000000003E-4</v>
      </c>
      <c r="BY664">
        <f t="shared" si="727"/>
        <v>-4.9000000000000002E-2</v>
      </c>
      <c r="BZ664">
        <v>0</v>
      </c>
      <c r="CA664">
        <v>0</v>
      </c>
      <c r="CB664">
        <v>0</v>
      </c>
      <c r="CC664">
        <v>0</v>
      </c>
      <c r="CD664">
        <v>0</v>
      </c>
      <c r="CE664">
        <v>0</v>
      </c>
      <c r="CF664">
        <v>0</v>
      </c>
      <c r="CG664">
        <v>0</v>
      </c>
      <c r="CH664">
        <v>0</v>
      </c>
      <c r="CI664">
        <v>0</v>
      </c>
      <c r="CJ664">
        <v>0</v>
      </c>
      <c r="CK664">
        <v>0</v>
      </c>
      <c r="CL664">
        <v>0</v>
      </c>
      <c r="CM664">
        <v>0</v>
      </c>
      <c r="CN664" t="str">
        <f t="shared" ref="CN664:CN679" si="794">IF(BL664&lt;BK664,"refNeedCorrection","refOK")</f>
        <v>refOK</v>
      </c>
      <c r="CO664">
        <f t="shared" ref="CO664:CO679" si="795">IF($CN664="refOK",$BK664,$BL664)</f>
        <v>0</v>
      </c>
      <c r="CP664">
        <f t="shared" ref="CP664:CP679" si="796">IF($CN664="refOK",$BL664,$BK664)</f>
        <v>2.6</v>
      </c>
      <c r="CQ664">
        <f t="shared" ref="CQ664:CQ679" si="797">IF($CN664="refOK",$BO664,-$BO664)</f>
        <v>5.3061224489795921E-3</v>
      </c>
      <c r="CR664">
        <f t="shared" ref="CR664:CR709" si="798">IF($CN664="refOK",$BS664,$BT664)*IF($BP664="Emissions positive",-1,1)</f>
        <v>0</v>
      </c>
      <c r="CS664">
        <f t="shared" ref="CS664:CS709" si="799">IF($CN664="refOK",$BT664,$BS664)*IF($BP664="Emissions positive",-1,1)</f>
        <v>0</v>
      </c>
      <c r="CT664">
        <f t="shared" ref="CT664:CT709" si="800">IF($CN664="refNeedCorrection",-BX664,BX664)*IF($BP664="Emissions positive",-1,1)</f>
        <v>-2.6000000000000003E-4</v>
      </c>
      <c r="CU664">
        <f t="shared" ref="CU664:CU709" si="801">IFERROR(CT664/CQ664,"")</f>
        <v>-4.9000000000000002E-2</v>
      </c>
      <c r="CV664" s="2" t="str">
        <f t="shared" ref="CV664:CV709" si="802">IFERROR((CS664-CR664)/ABS(CR664),"")</f>
        <v/>
      </c>
      <c r="CW664" s="1" t="s">
        <v>1202</v>
      </c>
      <c r="CX664" s="264" t="str">
        <f t="shared" ref="CX664:CX709" si="803">IF(OR($CW664="prd",$CW664="std",$CW664="cit"),"loc",IF(OR($CW664="eur",$CW664="reg",$CW664="coy"),"reg",$CW664))</f>
        <v>reg</v>
      </c>
      <c r="CY664" t="s">
        <v>690</v>
      </c>
      <c r="CZ664">
        <v>2019</v>
      </c>
      <c r="DB664">
        <v>0</v>
      </c>
      <c r="DC664" t="str">
        <f t="shared" ref="DC664:DC709" si="804">IF(DB664=0,"0",IF(AND(DB664&gt;=1,DB664&lt;=30),"1-30",IF(AND(DB664&gt;30,DB664&lt;=70),"31-70",IF(AND(DB664&gt;70,DB664&lt;=100),"71-100",IF(DB664&gt;100,"+100")))))</f>
        <v>0</v>
      </c>
      <c r="DD664">
        <v>0</v>
      </c>
      <c r="DE664">
        <v>0</v>
      </c>
      <c r="DF664">
        <v>0</v>
      </c>
      <c r="DG664">
        <v>1</v>
      </c>
      <c r="DI664">
        <f t="shared" ref="DI664:DI687" si="805">SUM(DD664:DG664)</f>
        <v>1</v>
      </c>
      <c r="DJ664" t="str">
        <f t="shared" ref="DJ664:DJ709" si="806">IF(DI664=1,INDEX($DD$7:$DG$7,MATCH(1,$DD664:$DG664,0)),"mixedProduct")</f>
        <v>TimberInput</v>
      </c>
      <c r="DK664">
        <f t="shared" ref="DK664:DK709" si="807">IF(DD664=1,DK$7,0)</f>
        <v>0</v>
      </c>
      <c r="DL664">
        <f t="shared" ref="DL664:DL709" si="808">IF(DE664=1,DL$7,0)</f>
        <v>0</v>
      </c>
      <c r="DM664">
        <f t="shared" ref="DM664:DM709" si="809">IF(DF664=1,DM$7,0)</f>
        <v>0</v>
      </c>
      <c r="DN664" t="str">
        <f t="shared" ref="DN664:DN709" si="810">IF(DG664=1,DN$7,0)</f>
        <v>Timber</v>
      </c>
      <c r="DO664">
        <v>1</v>
      </c>
      <c r="DP664">
        <v>0</v>
      </c>
      <c r="DQ664">
        <v>0</v>
      </c>
      <c r="DR664">
        <v>0</v>
      </c>
      <c r="DS664">
        <v>0</v>
      </c>
      <c r="DT664">
        <f t="shared" ref="DT664:DT709" si="811">SUM(DO664:DP664)</f>
        <v>1</v>
      </c>
      <c r="DU664" s="143" t="str">
        <f t="shared" ref="DU664:DU709" si="812">IF(DO664=1,"self-calculated DF",IF(DP664=1,"external DF used","explicit C balance"))</f>
        <v>self-calculated DF</v>
      </c>
      <c r="DV664">
        <v>0</v>
      </c>
      <c r="DW664">
        <v>0</v>
      </c>
      <c r="DX664">
        <v>0</v>
      </c>
      <c r="DY664">
        <v>0</v>
      </c>
      <c r="DZ664">
        <v>0</v>
      </c>
      <c r="EA664" s="143">
        <v>1</v>
      </c>
      <c r="EB664">
        <v>0</v>
      </c>
      <c r="EC664">
        <v>1</v>
      </c>
      <c r="ED664">
        <v>0</v>
      </c>
      <c r="EE664">
        <v>0</v>
      </c>
      <c r="EF664">
        <v>0</v>
      </c>
      <c r="EG664">
        <v>0</v>
      </c>
      <c r="EH664">
        <v>0</v>
      </c>
      <c r="EI664" s="2">
        <v>0</v>
      </c>
      <c r="EK664" t="str">
        <f t="shared" ref="EK664:EK679" si="813">IF(AND(AND(AND(OR($DX664=1,$DW664=1),OR($EC664=1,$EA664=1)),SUM($DV664:$DZ664,$EF664)&gt;=4),SUM($EA664:$EE664)&gt;=2),"Whole sector","")</f>
        <v/>
      </c>
      <c r="EL664" t="str">
        <f t="shared" ref="EL664:EL679" si="814">IF(AND(AND(OR($DX664=1,$DW664=1),AND($EC664=0,$EA664=0)),SUM($DV664:$DZ664,$EF664)&gt;=4),"Ecosystem approach","")</f>
        <v/>
      </c>
      <c r="EM664" s="2" t="str">
        <f t="shared" si="728"/>
        <v/>
      </c>
      <c r="EN664" t="s">
        <v>1602</v>
      </c>
      <c r="EP664" t="str">
        <f>IF(ISNUMBER(BU664),IF(ABS(BU664-[4]QC_indicators!$B$2)&gt;3*[4]QC_indicators!$C$2,"C ratio",IF(ISNUMBER(BY664),IF(ABS(BY664-[4]QC_indicators!$B$1)&gt;3*[4]QC_indicators!$C$1,"DF","no"))),IF(ISNUMBER(BY664),IF(ABS(BY664-[4]QC_indicators!$B$1)&gt;3*[4]QC_indicators!$C$1,"DF","no")))</f>
        <v>no</v>
      </c>
      <c r="ER664" t="s">
        <v>1603</v>
      </c>
      <c r="ET664" s="264" t="s">
        <v>3406</v>
      </c>
    </row>
    <row r="665" spans="1:150" ht="15" hidden="1" customHeight="1">
      <c r="A665" s="1" t="s">
        <v>562</v>
      </c>
      <c r="B665" t="s">
        <v>544</v>
      </c>
      <c r="C665" t="s">
        <v>1592</v>
      </c>
      <c r="D665" t="s">
        <v>1593</v>
      </c>
      <c r="E665" t="s">
        <v>1594</v>
      </c>
      <c r="F665" t="s">
        <v>1595</v>
      </c>
      <c r="G665" t="s">
        <v>567</v>
      </c>
      <c r="H665" t="s">
        <v>254</v>
      </c>
      <c r="I665">
        <v>2019</v>
      </c>
      <c r="J665">
        <v>15</v>
      </c>
      <c r="K665" t="s">
        <v>1596</v>
      </c>
      <c r="M665" t="str">
        <f t="shared" si="732"/>
        <v>Geng_2019</v>
      </c>
      <c r="N665" t="s">
        <v>222</v>
      </c>
      <c r="O665" s="181" t="s">
        <v>225</v>
      </c>
      <c r="Q665" s="264" t="s">
        <v>256</v>
      </c>
      <c r="R665" s="269" t="s">
        <v>1153</v>
      </c>
      <c r="S665" s="1" t="s">
        <v>1597</v>
      </c>
      <c r="T665" t="s">
        <v>1604</v>
      </c>
      <c r="V665">
        <v>0</v>
      </c>
      <c r="W665">
        <v>0</v>
      </c>
      <c r="X665">
        <v>0</v>
      </c>
      <c r="Y665">
        <v>0</v>
      </c>
      <c r="Z665">
        <v>0</v>
      </c>
      <c r="AA665">
        <v>0</v>
      </c>
      <c r="AB665">
        <v>0</v>
      </c>
      <c r="AC665">
        <v>0</v>
      </c>
      <c r="AD665">
        <v>0</v>
      </c>
      <c r="AE665">
        <v>0</v>
      </c>
      <c r="AF665">
        <v>0</v>
      </c>
      <c r="AG665">
        <v>0</v>
      </c>
      <c r="AH665">
        <v>0</v>
      </c>
      <c r="AI665">
        <v>0</v>
      </c>
      <c r="AJ665">
        <v>0</v>
      </c>
      <c r="AK665">
        <v>1</v>
      </c>
      <c r="AL665">
        <v>0</v>
      </c>
      <c r="AM665">
        <v>0</v>
      </c>
      <c r="AN665">
        <v>0</v>
      </c>
      <c r="AO665">
        <v>0</v>
      </c>
      <c r="AP665">
        <v>0</v>
      </c>
      <c r="AQ665">
        <v>0</v>
      </c>
      <c r="AR665">
        <v>0</v>
      </c>
      <c r="AS665">
        <v>0</v>
      </c>
      <c r="AT665">
        <v>0</v>
      </c>
      <c r="AU665">
        <v>0</v>
      </c>
      <c r="AV665">
        <v>0</v>
      </c>
      <c r="AW665">
        <v>0</v>
      </c>
      <c r="AX665" s="141">
        <f t="shared" si="784"/>
        <v>1</v>
      </c>
      <c r="AY665" s="141">
        <f t="shared" si="785"/>
        <v>1</v>
      </c>
      <c r="AZ665">
        <f t="shared" si="786"/>
        <v>0</v>
      </c>
      <c r="BA665">
        <f t="shared" si="787"/>
        <v>0</v>
      </c>
      <c r="BB665">
        <f t="shared" si="788"/>
        <v>1</v>
      </c>
      <c r="BC665">
        <f t="shared" si="789"/>
        <v>0</v>
      </c>
      <c r="BD665">
        <f t="shared" si="790"/>
        <v>0</v>
      </c>
      <c r="BE665" t="str" cm="1">
        <f t="array" ref="BE665">IF(AY665=1,INDEX($V$7:$AL$7,MATCH(TRUE,INDEX($V665:$AW665&lt;&gt;0,),0)),IF(AY665=0,INDEX($AM$7:$AW$7,MATCH(1,$AM665:$AW665,0)),IF(BF665="Multiple strategies","mixed drivers",IF(BF665="Supply chain","multiple supply","multiple silviculture"))))</f>
        <v>technologies/design switch</v>
      </c>
      <c r="BF665" s="2" t="str" cm="1">
        <f t="array" ref="BF665">IF(COUNTIF(AZ665:BB665,"&lt;&gt;0")=1,INDEX($V$4:$AW$4,MATCH(TRUE,INDEX($V665:$AW665&lt;&gt;0,),0)),IF(COUNTIF(AZ665:BB665,"&lt;&gt;0")=0,INDEX($AM$4:$AW$4,MATCH(1,$AM665:$AW665,0)),"Multiple strategies"))</f>
        <v>Technology</v>
      </c>
      <c r="BG665" s="1" t="s">
        <v>229</v>
      </c>
      <c r="BH665" t="s">
        <v>1599</v>
      </c>
      <c r="BJ665" t="s">
        <v>1600</v>
      </c>
      <c r="BK665">
        <v>30.52</v>
      </c>
      <c r="BL665">
        <v>81.7</v>
      </c>
      <c r="BM665">
        <f t="shared" ref="BM665:BM679" si="815">BL665/BK665</f>
        <v>2.6769331585845348</v>
      </c>
      <c r="BN665">
        <f t="shared" si="791"/>
        <v>51.180000000000007</v>
      </c>
      <c r="BO665">
        <f t="shared" si="792"/>
        <v>0.10444897959183676</v>
      </c>
      <c r="BP665" t="s">
        <v>232</v>
      </c>
      <c r="BR665" t="s">
        <v>1601</v>
      </c>
      <c r="BU665" s="144" t="str">
        <f t="shared" si="793"/>
        <v/>
      </c>
      <c r="BV665">
        <v>10.02</v>
      </c>
      <c r="BX665">
        <f>BV665/1000</f>
        <v>1.0019999999999999E-2</v>
      </c>
      <c r="BY665">
        <f t="shared" si="727"/>
        <v>9.5932004689331746E-2</v>
      </c>
      <c r="BZ665">
        <v>0</v>
      </c>
      <c r="CA665">
        <v>0</v>
      </c>
      <c r="CB665">
        <v>0</v>
      </c>
      <c r="CC665">
        <v>0</v>
      </c>
      <c r="CD665">
        <v>0</v>
      </c>
      <c r="CE665">
        <v>0</v>
      </c>
      <c r="CF665">
        <v>0</v>
      </c>
      <c r="CG665">
        <v>0</v>
      </c>
      <c r="CH665">
        <v>0</v>
      </c>
      <c r="CI665">
        <v>0</v>
      </c>
      <c r="CJ665">
        <v>0</v>
      </c>
      <c r="CK665">
        <v>0</v>
      </c>
      <c r="CL665">
        <v>0</v>
      </c>
      <c r="CM665">
        <v>0</v>
      </c>
      <c r="CN665" t="str">
        <f t="shared" si="794"/>
        <v>refOK</v>
      </c>
      <c r="CO665">
        <f t="shared" si="795"/>
        <v>30.52</v>
      </c>
      <c r="CP665">
        <f t="shared" si="796"/>
        <v>81.7</v>
      </c>
      <c r="CQ665">
        <f t="shared" si="797"/>
        <v>0.10444897959183676</v>
      </c>
      <c r="CR665">
        <f t="shared" si="798"/>
        <v>0</v>
      </c>
      <c r="CS665">
        <f t="shared" si="799"/>
        <v>0</v>
      </c>
      <c r="CT665">
        <f t="shared" si="800"/>
        <v>1.0019999999999999E-2</v>
      </c>
      <c r="CU665">
        <f t="shared" si="801"/>
        <v>9.5932004689331746E-2</v>
      </c>
      <c r="CV665" s="2" t="str">
        <f t="shared" si="802"/>
        <v/>
      </c>
      <c r="CW665" s="1" t="s">
        <v>1202</v>
      </c>
      <c r="CX665" s="264" t="str">
        <f t="shared" si="803"/>
        <v>reg</v>
      </c>
      <c r="CY665" t="s">
        <v>690</v>
      </c>
      <c r="CZ665">
        <v>2019</v>
      </c>
      <c r="DB665">
        <v>0</v>
      </c>
      <c r="DC665" t="str">
        <f t="shared" si="804"/>
        <v>0</v>
      </c>
      <c r="DD665">
        <v>0</v>
      </c>
      <c r="DE665">
        <v>0</v>
      </c>
      <c r="DF665">
        <v>0</v>
      </c>
      <c r="DG665">
        <v>1</v>
      </c>
      <c r="DI665">
        <f t="shared" si="805"/>
        <v>1</v>
      </c>
      <c r="DJ665" t="str">
        <f t="shared" si="806"/>
        <v>TimberInput</v>
      </c>
      <c r="DK665">
        <f t="shared" si="807"/>
        <v>0</v>
      </c>
      <c r="DL665">
        <f t="shared" si="808"/>
        <v>0</v>
      </c>
      <c r="DM665">
        <f t="shared" si="809"/>
        <v>0</v>
      </c>
      <c r="DN665" t="str">
        <f t="shared" si="810"/>
        <v>Timber</v>
      </c>
      <c r="DO665">
        <v>1</v>
      </c>
      <c r="DP665">
        <v>0</v>
      </c>
      <c r="DQ665">
        <v>0</v>
      </c>
      <c r="DR665">
        <v>0</v>
      </c>
      <c r="DS665">
        <v>0</v>
      </c>
      <c r="DT665">
        <f t="shared" si="811"/>
        <v>1</v>
      </c>
      <c r="DU665" s="143" t="str">
        <f t="shared" si="812"/>
        <v>self-calculated DF</v>
      </c>
      <c r="DV665">
        <v>0</v>
      </c>
      <c r="DW665">
        <v>0</v>
      </c>
      <c r="DX665">
        <v>0</v>
      </c>
      <c r="DY665">
        <v>0</v>
      </c>
      <c r="DZ665">
        <v>0</v>
      </c>
      <c r="EA665" s="143">
        <v>1</v>
      </c>
      <c r="EB665">
        <v>0</v>
      </c>
      <c r="EC665">
        <v>1</v>
      </c>
      <c r="ED665">
        <v>0</v>
      </c>
      <c r="EE665">
        <v>0</v>
      </c>
      <c r="EF665">
        <v>0</v>
      </c>
      <c r="EG665">
        <v>0</v>
      </c>
      <c r="EH665">
        <v>0</v>
      </c>
      <c r="EI665" s="2">
        <v>0</v>
      </c>
      <c r="EK665" t="str">
        <f t="shared" si="813"/>
        <v/>
      </c>
      <c r="EL665" t="str">
        <f t="shared" si="814"/>
        <v/>
      </c>
      <c r="EM665" s="2" t="str">
        <f t="shared" si="728"/>
        <v/>
      </c>
      <c r="EN665" t="s">
        <v>1602</v>
      </c>
      <c r="EP665" t="str">
        <f>IF(ISNUMBER(BU665),IF(ABS(BU665-[4]QC_indicators!$B$2)&gt;3*[4]QC_indicators!$C$2,"C ratio",IF(ISNUMBER(BY665),IF(ABS(BY665-[4]QC_indicators!$B$1)&gt;3*[4]QC_indicators!$C$1,"DF","no"))),IF(ISNUMBER(BY665),IF(ABS(BY665-[4]QC_indicators!$B$1)&gt;3*[4]QC_indicators!$C$1,"DF","no")))</f>
        <v>no</v>
      </c>
      <c r="ER665" t="s">
        <v>1603</v>
      </c>
      <c r="ET665" s="264" t="s">
        <v>3406</v>
      </c>
    </row>
    <row r="666" spans="1:150" ht="15" hidden="1" customHeight="1">
      <c r="A666" s="1" t="s">
        <v>562</v>
      </c>
      <c r="B666" t="s">
        <v>544</v>
      </c>
      <c r="C666" t="s">
        <v>1592</v>
      </c>
      <c r="D666" t="s">
        <v>1593</v>
      </c>
      <c r="E666" t="s">
        <v>1594</v>
      </c>
      <c r="F666" t="s">
        <v>1595</v>
      </c>
      <c r="G666" t="s">
        <v>567</v>
      </c>
      <c r="H666" t="s">
        <v>254</v>
      </c>
      <c r="I666">
        <v>2019</v>
      </c>
      <c r="J666">
        <v>15</v>
      </c>
      <c r="K666" t="s">
        <v>1596</v>
      </c>
      <c r="M666" t="str">
        <f t="shared" si="732"/>
        <v>Geng_2019</v>
      </c>
      <c r="N666" t="s">
        <v>222</v>
      </c>
      <c r="O666" s="181" t="s">
        <v>225</v>
      </c>
      <c r="Q666" s="264" t="s">
        <v>256</v>
      </c>
      <c r="R666" s="269" t="s">
        <v>1153</v>
      </c>
      <c r="S666" s="1" t="s">
        <v>1597</v>
      </c>
      <c r="T666" t="s">
        <v>1605</v>
      </c>
      <c r="V666">
        <v>0</v>
      </c>
      <c r="W666">
        <v>0</v>
      </c>
      <c r="X666">
        <v>0</v>
      </c>
      <c r="Y666">
        <v>0</v>
      </c>
      <c r="Z666">
        <v>0</v>
      </c>
      <c r="AA666">
        <v>0</v>
      </c>
      <c r="AB666">
        <v>0</v>
      </c>
      <c r="AC666">
        <v>0</v>
      </c>
      <c r="AD666">
        <v>0</v>
      </c>
      <c r="AE666">
        <v>0</v>
      </c>
      <c r="AF666">
        <v>0</v>
      </c>
      <c r="AG666">
        <v>0</v>
      </c>
      <c r="AH666">
        <v>0</v>
      </c>
      <c r="AI666">
        <v>0</v>
      </c>
      <c r="AJ666">
        <v>0</v>
      </c>
      <c r="AK666">
        <v>1</v>
      </c>
      <c r="AL666">
        <v>0</v>
      </c>
      <c r="AM666">
        <v>0</v>
      </c>
      <c r="AN666">
        <v>0</v>
      </c>
      <c r="AO666">
        <v>0</v>
      </c>
      <c r="AP666">
        <v>0</v>
      </c>
      <c r="AQ666">
        <v>0</v>
      </c>
      <c r="AR666">
        <v>0</v>
      </c>
      <c r="AS666">
        <v>0</v>
      </c>
      <c r="AT666">
        <v>0</v>
      </c>
      <c r="AU666">
        <v>0</v>
      </c>
      <c r="AV666">
        <v>0</v>
      </c>
      <c r="AW666">
        <v>0</v>
      </c>
      <c r="AX666" s="141">
        <f t="shared" si="784"/>
        <v>1</v>
      </c>
      <c r="AY666" s="141">
        <f t="shared" si="785"/>
        <v>1</v>
      </c>
      <c r="AZ666">
        <f t="shared" si="786"/>
        <v>0</v>
      </c>
      <c r="BA666">
        <f t="shared" si="787"/>
        <v>0</v>
      </c>
      <c r="BB666">
        <f t="shared" si="788"/>
        <v>1</v>
      </c>
      <c r="BC666">
        <f t="shared" si="789"/>
        <v>0</v>
      </c>
      <c r="BD666">
        <f t="shared" si="790"/>
        <v>0</v>
      </c>
      <c r="BE666" t="str" cm="1">
        <f t="array" ref="BE666">IF(AY666=1,INDEX($V$7:$AL$7,MATCH(TRUE,INDEX($V666:$AW666&lt;&gt;0,),0)),IF(AY666=0,INDEX($AM$7:$AW$7,MATCH(1,$AM666:$AW666,0)),IF(BF666="Multiple strategies","mixed drivers",IF(BF666="Supply chain","multiple supply","multiple silviculture"))))</f>
        <v>technologies/design switch</v>
      </c>
      <c r="BF666" s="2" t="str" cm="1">
        <f t="array" ref="BF666">IF(COUNTIF(AZ666:BB666,"&lt;&gt;0")=1,INDEX($V$4:$AW$4,MATCH(TRUE,INDEX($V666:$AW666&lt;&gt;0,),0)),IF(COUNTIF(AZ666:BB666,"&lt;&gt;0")=0,INDEX($AM$4:$AW$4,MATCH(1,$AM666:$AW666,0)),"Multiple strategies"))</f>
        <v>Technology</v>
      </c>
      <c r="BG666" s="1" t="s">
        <v>229</v>
      </c>
      <c r="BH666" t="s">
        <v>1599</v>
      </c>
      <c r="BJ666" t="s">
        <v>1600</v>
      </c>
      <c r="BK666">
        <v>259.45</v>
      </c>
      <c r="BL666">
        <v>286.64999999999998</v>
      </c>
      <c r="BM666">
        <f t="shared" si="815"/>
        <v>1.104837155521295</v>
      </c>
      <c r="BN666">
        <f t="shared" si="791"/>
        <v>27.199999999999989</v>
      </c>
      <c r="BO666">
        <f t="shared" si="792"/>
        <v>5.5510204081632632E-2</v>
      </c>
      <c r="BP666" t="s">
        <v>232</v>
      </c>
      <c r="BR666" t="s">
        <v>1601</v>
      </c>
      <c r="BU666" s="144" t="str">
        <f t="shared" si="793"/>
        <v/>
      </c>
      <c r="BV666">
        <v>12.97</v>
      </c>
      <c r="BX666">
        <f>BV666/1000</f>
        <v>1.2970000000000001E-2</v>
      </c>
      <c r="BY666">
        <f t="shared" si="727"/>
        <v>0.23365073529411776</v>
      </c>
      <c r="BZ666">
        <v>0</v>
      </c>
      <c r="CA666">
        <v>0</v>
      </c>
      <c r="CB666">
        <v>0</v>
      </c>
      <c r="CC666">
        <v>0</v>
      </c>
      <c r="CD666">
        <v>0</v>
      </c>
      <c r="CE666">
        <v>0</v>
      </c>
      <c r="CF666">
        <v>0</v>
      </c>
      <c r="CG666">
        <v>0</v>
      </c>
      <c r="CH666">
        <v>0</v>
      </c>
      <c r="CI666">
        <v>0</v>
      </c>
      <c r="CJ666">
        <v>0</v>
      </c>
      <c r="CK666">
        <v>0</v>
      </c>
      <c r="CL666">
        <v>0</v>
      </c>
      <c r="CM666">
        <v>0</v>
      </c>
      <c r="CN666" t="str">
        <f t="shared" si="794"/>
        <v>refOK</v>
      </c>
      <c r="CO666">
        <f t="shared" si="795"/>
        <v>259.45</v>
      </c>
      <c r="CP666">
        <f t="shared" si="796"/>
        <v>286.64999999999998</v>
      </c>
      <c r="CQ666">
        <f t="shared" si="797"/>
        <v>5.5510204081632632E-2</v>
      </c>
      <c r="CR666">
        <f t="shared" si="798"/>
        <v>0</v>
      </c>
      <c r="CS666">
        <f t="shared" si="799"/>
        <v>0</v>
      </c>
      <c r="CT666">
        <f t="shared" si="800"/>
        <v>1.2970000000000001E-2</v>
      </c>
      <c r="CU666">
        <f t="shared" si="801"/>
        <v>0.23365073529411776</v>
      </c>
      <c r="CV666" s="2" t="str">
        <f t="shared" si="802"/>
        <v/>
      </c>
      <c r="CW666" s="1" t="s">
        <v>1202</v>
      </c>
      <c r="CX666" s="264" t="str">
        <f t="shared" si="803"/>
        <v>reg</v>
      </c>
      <c r="CY666" t="s">
        <v>690</v>
      </c>
      <c r="CZ666">
        <v>2019</v>
      </c>
      <c r="DB666">
        <v>0</v>
      </c>
      <c r="DC666" t="str">
        <f t="shared" si="804"/>
        <v>0</v>
      </c>
      <c r="DD666">
        <v>0</v>
      </c>
      <c r="DE666">
        <v>0</v>
      </c>
      <c r="DF666">
        <v>0</v>
      </c>
      <c r="DG666">
        <v>1</v>
      </c>
      <c r="DI666">
        <f t="shared" si="805"/>
        <v>1</v>
      </c>
      <c r="DJ666" t="str">
        <f t="shared" si="806"/>
        <v>TimberInput</v>
      </c>
      <c r="DK666">
        <f t="shared" si="807"/>
        <v>0</v>
      </c>
      <c r="DL666">
        <f t="shared" si="808"/>
        <v>0</v>
      </c>
      <c r="DM666">
        <f t="shared" si="809"/>
        <v>0</v>
      </c>
      <c r="DN666" t="str">
        <f t="shared" si="810"/>
        <v>Timber</v>
      </c>
      <c r="DO666">
        <v>1</v>
      </c>
      <c r="DP666">
        <v>0</v>
      </c>
      <c r="DQ666">
        <v>0</v>
      </c>
      <c r="DR666">
        <v>0</v>
      </c>
      <c r="DS666">
        <v>0</v>
      </c>
      <c r="DT666">
        <f t="shared" si="811"/>
        <v>1</v>
      </c>
      <c r="DU666" s="143" t="str">
        <f t="shared" si="812"/>
        <v>self-calculated DF</v>
      </c>
      <c r="DV666">
        <v>0</v>
      </c>
      <c r="DW666">
        <v>0</v>
      </c>
      <c r="DX666">
        <v>0</v>
      </c>
      <c r="DY666">
        <v>0</v>
      </c>
      <c r="DZ666">
        <v>0</v>
      </c>
      <c r="EA666" s="143">
        <v>1</v>
      </c>
      <c r="EB666">
        <v>0</v>
      </c>
      <c r="EC666">
        <v>1</v>
      </c>
      <c r="ED666">
        <v>0</v>
      </c>
      <c r="EE666">
        <v>0</v>
      </c>
      <c r="EF666">
        <v>0</v>
      </c>
      <c r="EG666">
        <v>0</v>
      </c>
      <c r="EH666">
        <v>0</v>
      </c>
      <c r="EI666" s="2">
        <v>0</v>
      </c>
      <c r="EK666" t="str">
        <f t="shared" si="813"/>
        <v/>
      </c>
      <c r="EL666" t="str">
        <f t="shared" si="814"/>
        <v/>
      </c>
      <c r="EM666" s="2" t="str">
        <f t="shared" si="728"/>
        <v/>
      </c>
      <c r="EN666" t="s">
        <v>1602</v>
      </c>
      <c r="EP666" t="str">
        <f>IF(ISNUMBER(BU666),IF(ABS(BU666-[4]QC_indicators!$B$2)&gt;3*[4]QC_indicators!$C$2,"C ratio",IF(ISNUMBER(BY666),IF(ABS(BY666-[4]QC_indicators!$B$1)&gt;3*[4]QC_indicators!$C$1,"DF","no"))),IF(ISNUMBER(BY666),IF(ABS(BY666-[4]QC_indicators!$B$1)&gt;3*[4]QC_indicators!$C$1,"DF","no")))</f>
        <v>no</v>
      </c>
      <c r="ER666" t="s">
        <v>1603</v>
      </c>
      <c r="ET666" s="264" t="s">
        <v>3406</v>
      </c>
    </row>
    <row r="667" spans="1:150" ht="15" hidden="1" customHeight="1">
      <c r="A667" s="1" t="s">
        <v>562</v>
      </c>
      <c r="B667" t="s">
        <v>544</v>
      </c>
      <c r="C667" t="s">
        <v>1592</v>
      </c>
      <c r="D667" t="s">
        <v>1593</v>
      </c>
      <c r="E667" t="s">
        <v>1594</v>
      </c>
      <c r="F667" t="s">
        <v>1595</v>
      </c>
      <c r="G667" t="s">
        <v>567</v>
      </c>
      <c r="H667" t="s">
        <v>254</v>
      </c>
      <c r="I667">
        <v>2019</v>
      </c>
      <c r="J667">
        <v>15</v>
      </c>
      <c r="K667" t="s">
        <v>1596</v>
      </c>
      <c r="M667" t="str">
        <f t="shared" si="732"/>
        <v>Geng_2019</v>
      </c>
      <c r="N667" t="s">
        <v>222</v>
      </c>
      <c r="O667" s="181" t="s">
        <v>225</v>
      </c>
      <c r="Q667" s="264" t="s">
        <v>256</v>
      </c>
      <c r="R667" s="269" t="s">
        <v>1153</v>
      </c>
      <c r="S667" s="1" t="s">
        <v>1597</v>
      </c>
      <c r="T667" t="s">
        <v>1606</v>
      </c>
      <c r="V667">
        <v>0</v>
      </c>
      <c r="W667">
        <v>0</v>
      </c>
      <c r="X667">
        <v>0</v>
      </c>
      <c r="Y667">
        <v>0</v>
      </c>
      <c r="Z667">
        <v>0</v>
      </c>
      <c r="AA667">
        <v>0</v>
      </c>
      <c r="AB667">
        <v>0</v>
      </c>
      <c r="AC667">
        <v>0</v>
      </c>
      <c r="AD667">
        <v>0</v>
      </c>
      <c r="AE667">
        <v>0</v>
      </c>
      <c r="AF667">
        <v>0</v>
      </c>
      <c r="AG667">
        <v>0</v>
      </c>
      <c r="AH667">
        <v>0</v>
      </c>
      <c r="AI667">
        <v>0</v>
      </c>
      <c r="AJ667">
        <v>0</v>
      </c>
      <c r="AK667">
        <v>1</v>
      </c>
      <c r="AL667">
        <v>0</v>
      </c>
      <c r="AM667">
        <v>0</v>
      </c>
      <c r="AN667">
        <v>0</v>
      </c>
      <c r="AO667">
        <v>0</v>
      </c>
      <c r="AP667">
        <v>0</v>
      </c>
      <c r="AQ667">
        <v>0</v>
      </c>
      <c r="AR667">
        <v>0</v>
      </c>
      <c r="AS667">
        <v>0</v>
      </c>
      <c r="AT667">
        <v>0</v>
      </c>
      <c r="AU667">
        <v>0</v>
      </c>
      <c r="AV667">
        <v>0</v>
      </c>
      <c r="AW667">
        <v>0</v>
      </c>
      <c r="AX667" s="141">
        <f t="shared" si="784"/>
        <v>1</v>
      </c>
      <c r="AY667" s="141">
        <f t="shared" si="785"/>
        <v>1</v>
      </c>
      <c r="AZ667">
        <f t="shared" si="786"/>
        <v>0</v>
      </c>
      <c r="BA667">
        <f t="shared" si="787"/>
        <v>0</v>
      </c>
      <c r="BB667">
        <f t="shared" si="788"/>
        <v>1</v>
      </c>
      <c r="BC667">
        <f t="shared" si="789"/>
        <v>0</v>
      </c>
      <c r="BD667">
        <f t="shared" si="790"/>
        <v>0</v>
      </c>
      <c r="BE667" t="str" cm="1">
        <f t="array" ref="BE667">IF(AY667=1,INDEX($V$7:$AL$7,MATCH(TRUE,INDEX($V667:$AW667&lt;&gt;0,),0)),IF(AY667=0,INDEX($AM$7:$AW$7,MATCH(1,$AM667:$AW667,0)),IF(BF667="Multiple strategies","mixed drivers",IF(BF667="Supply chain","multiple supply","multiple silviculture"))))</f>
        <v>technologies/design switch</v>
      </c>
      <c r="BF667" s="2" t="str" cm="1">
        <f t="array" ref="BF667">IF(COUNTIF(AZ667:BB667,"&lt;&gt;0")=1,INDEX($V$4:$AW$4,MATCH(TRUE,INDEX($V667:$AW667&lt;&gt;0,),0)),IF(COUNTIF(AZ667:BB667,"&lt;&gt;0")=0,INDEX($AM$4:$AW$4,MATCH(1,$AM667:$AW667,0)),"Multiple strategies"))</f>
        <v>Technology</v>
      </c>
      <c r="BG667" s="1" t="s">
        <v>229</v>
      </c>
      <c r="BH667" t="s">
        <v>1599</v>
      </c>
      <c r="BJ667" t="s">
        <v>1600</v>
      </c>
      <c r="BK667">
        <v>34.049999999999997</v>
      </c>
      <c r="BL667">
        <v>64.510000000000005</v>
      </c>
      <c r="BM667">
        <f t="shared" si="815"/>
        <v>1.894566813509545</v>
      </c>
      <c r="BN667">
        <f t="shared" si="791"/>
        <v>30.460000000000008</v>
      </c>
      <c r="BO667">
        <f t="shared" si="792"/>
        <v>6.216326530612247E-2</v>
      </c>
      <c r="BP667" t="s">
        <v>232</v>
      </c>
      <c r="BR667" t="s">
        <v>1601</v>
      </c>
      <c r="BU667" s="144" t="str">
        <f t="shared" si="793"/>
        <v/>
      </c>
      <c r="BV667">
        <v>47.38</v>
      </c>
      <c r="BX667">
        <f>BV667/1000</f>
        <v>4.7380000000000005E-2</v>
      </c>
      <c r="BY667">
        <f t="shared" si="727"/>
        <v>0.76218647406434648</v>
      </c>
      <c r="BZ667">
        <v>0</v>
      </c>
      <c r="CA667">
        <v>0</v>
      </c>
      <c r="CB667">
        <v>0</v>
      </c>
      <c r="CC667">
        <v>0</v>
      </c>
      <c r="CD667">
        <v>0</v>
      </c>
      <c r="CE667">
        <v>0</v>
      </c>
      <c r="CF667">
        <v>0</v>
      </c>
      <c r="CG667">
        <v>0</v>
      </c>
      <c r="CH667">
        <v>0</v>
      </c>
      <c r="CI667">
        <v>0</v>
      </c>
      <c r="CJ667">
        <v>0</v>
      </c>
      <c r="CK667">
        <v>0</v>
      </c>
      <c r="CL667">
        <v>0</v>
      </c>
      <c r="CM667">
        <v>0</v>
      </c>
      <c r="CN667" t="str">
        <f t="shared" si="794"/>
        <v>refOK</v>
      </c>
      <c r="CO667">
        <f t="shared" si="795"/>
        <v>34.049999999999997</v>
      </c>
      <c r="CP667">
        <f t="shared" si="796"/>
        <v>64.510000000000005</v>
      </c>
      <c r="CQ667">
        <f t="shared" si="797"/>
        <v>6.216326530612247E-2</v>
      </c>
      <c r="CR667">
        <f t="shared" si="798"/>
        <v>0</v>
      </c>
      <c r="CS667">
        <f t="shared" si="799"/>
        <v>0</v>
      </c>
      <c r="CT667">
        <f t="shared" si="800"/>
        <v>4.7380000000000005E-2</v>
      </c>
      <c r="CU667">
        <f t="shared" si="801"/>
        <v>0.76218647406434648</v>
      </c>
      <c r="CV667" s="2" t="str">
        <f t="shared" si="802"/>
        <v/>
      </c>
      <c r="CW667" s="1" t="s">
        <v>1202</v>
      </c>
      <c r="CX667" s="264" t="str">
        <f t="shared" si="803"/>
        <v>reg</v>
      </c>
      <c r="CY667" t="s">
        <v>690</v>
      </c>
      <c r="CZ667">
        <v>2019</v>
      </c>
      <c r="DB667">
        <v>0</v>
      </c>
      <c r="DC667" t="str">
        <f t="shared" si="804"/>
        <v>0</v>
      </c>
      <c r="DD667">
        <v>0</v>
      </c>
      <c r="DE667">
        <v>0</v>
      </c>
      <c r="DF667">
        <v>0</v>
      </c>
      <c r="DG667">
        <v>1</v>
      </c>
      <c r="DI667">
        <f t="shared" si="805"/>
        <v>1</v>
      </c>
      <c r="DJ667" t="str">
        <f t="shared" si="806"/>
        <v>TimberInput</v>
      </c>
      <c r="DK667">
        <f t="shared" si="807"/>
        <v>0</v>
      </c>
      <c r="DL667">
        <f t="shared" si="808"/>
        <v>0</v>
      </c>
      <c r="DM667">
        <f t="shared" si="809"/>
        <v>0</v>
      </c>
      <c r="DN667" t="str">
        <f t="shared" si="810"/>
        <v>Timber</v>
      </c>
      <c r="DO667">
        <v>1</v>
      </c>
      <c r="DP667">
        <v>0</v>
      </c>
      <c r="DQ667">
        <v>0</v>
      </c>
      <c r="DR667">
        <v>0</v>
      </c>
      <c r="DS667">
        <v>0</v>
      </c>
      <c r="DT667">
        <f t="shared" si="811"/>
        <v>1</v>
      </c>
      <c r="DU667" s="143" t="str">
        <f t="shared" si="812"/>
        <v>self-calculated DF</v>
      </c>
      <c r="DV667">
        <v>0</v>
      </c>
      <c r="DW667">
        <v>0</v>
      </c>
      <c r="DX667">
        <v>0</v>
      </c>
      <c r="DY667">
        <v>0</v>
      </c>
      <c r="DZ667">
        <v>0</v>
      </c>
      <c r="EA667" s="143">
        <v>1</v>
      </c>
      <c r="EB667">
        <v>0</v>
      </c>
      <c r="EC667">
        <v>1</v>
      </c>
      <c r="ED667">
        <v>0</v>
      </c>
      <c r="EE667">
        <v>0</v>
      </c>
      <c r="EF667">
        <v>0</v>
      </c>
      <c r="EG667">
        <v>0</v>
      </c>
      <c r="EH667">
        <v>0</v>
      </c>
      <c r="EI667" s="2">
        <v>0</v>
      </c>
      <c r="EK667" t="str">
        <f t="shared" si="813"/>
        <v/>
      </c>
      <c r="EL667" t="str">
        <f t="shared" si="814"/>
        <v/>
      </c>
      <c r="EM667" s="2" t="str">
        <f t="shared" si="728"/>
        <v/>
      </c>
      <c r="EN667" t="s">
        <v>1602</v>
      </c>
      <c r="EP667" t="str">
        <f>IF(ISNUMBER(BU667),IF(ABS(BU667-[4]QC_indicators!$B$2)&gt;3*[4]QC_indicators!$C$2,"C ratio",IF(ISNUMBER(BY667),IF(ABS(BY667-[4]QC_indicators!$B$1)&gt;3*[4]QC_indicators!$C$1,"DF","no"))),IF(ISNUMBER(BY667),IF(ABS(BY667-[4]QC_indicators!$B$1)&gt;3*[4]QC_indicators!$C$1,"DF","no")))</f>
        <v>no</v>
      </c>
      <c r="ER667" t="s">
        <v>1603</v>
      </c>
      <c r="ET667" s="264" t="s">
        <v>3406</v>
      </c>
    </row>
    <row r="668" spans="1:150" ht="15" hidden="1" customHeight="1">
      <c r="A668" s="1" t="s">
        <v>562</v>
      </c>
      <c r="B668" t="s">
        <v>544</v>
      </c>
      <c r="C668" t="s">
        <v>1592</v>
      </c>
      <c r="D668" t="s">
        <v>1593</v>
      </c>
      <c r="E668" t="s">
        <v>1594</v>
      </c>
      <c r="F668" t="s">
        <v>1595</v>
      </c>
      <c r="G668" t="s">
        <v>567</v>
      </c>
      <c r="H668" t="s">
        <v>254</v>
      </c>
      <c r="I668">
        <v>2019</v>
      </c>
      <c r="J668">
        <v>15</v>
      </c>
      <c r="K668" t="s">
        <v>1596</v>
      </c>
      <c r="M668" t="str">
        <f t="shared" si="732"/>
        <v>Geng_2019</v>
      </c>
      <c r="N668" t="s">
        <v>222</v>
      </c>
      <c r="O668" s="181" t="s">
        <v>225</v>
      </c>
      <c r="Q668" s="264" t="s">
        <v>256</v>
      </c>
      <c r="R668" s="269" t="s">
        <v>1153</v>
      </c>
      <c r="S668" s="1" t="s">
        <v>1597</v>
      </c>
      <c r="T668" t="s">
        <v>1607</v>
      </c>
      <c r="V668">
        <v>0</v>
      </c>
      <c r="W668">
        <v>0</v>
      </c>
      <c r="X668">
        <v>0</v>
      </c>
      <c r="Y668">
        <v>0</v>
      </c>
      <c r="Z668">
        <v>0</v>
      </c>
      <c r="AA668">
        <v>0</v>
      </c>
      <c r="AB668">
        <v>0</v>
      </c>
      <c r="AC668">
        <v>0</v>
      </c>
      <c r="AD668">
        <v>0</v>
      </c>
      <c r="AE668">
        <v>0</v>
      </c>
      <c r="AF668">
        <v>0</v>
      </c>
      <c r="AG668">
        <v>0</v>
      </c>
      <c r="AH668">
        <v>0</v>
      </c>
      <c r="AI668">
        <v>0</v>
      </c>
      <c r="AJ668">
        <v>0</v>
      </c>
      <c r="AK668">
        <v>1</v>
      </c>
      <c r="AL668">
        <v>0</v>
      </c>
      <c r="AM668">
        <v>0</v>
      </c>
      <c r="AN668">
        <v>0</v>
      </c>
      <c r="AO668">
        <v>0</v>
      </c>
      <c r="AP668">
        <v>0</v>
      </c>
      <c r="AQ668">
        <v>0</v>
      </c>
      <c r="AR668">
        <v>0</v>
      </c>
      <c r="AS668">
        <v>0</v>
      </c>
      <c r="AT668">
        <v>0</v>
      </c>
      <c r="AU668">
        <v>0</v>
      </c>
      <c r="AV668">
        <v>0</v>
      </c>
      <c r="AW668">
        <v>0</v>
      </c>
      <c r="AX668" s="141">
        <f t="shared" si="784"/>
        <v>1</v>
      </c>
      <c r="AY668" s="141">
        <f t="shared" si="785"/>
        <v>1</v>
      </c>
      <c r="AZ668">
        <f t="shared" si="786"/>
        <v>0</v>
      </c>
      <c r="BA668">
        <f t="shared" si="787"/>
        <v>0</v>
      </c>
      <c r="BB668">
        <f t="shared" si="788"/>
        <v>1</v>
      </c>
      <c r="BC668">
        <f t="shared" si="789"/>
        <v>0</v>
      </c>
      <c r="BD668">
        <f t="shared" si="790"/>
        <v>0</v>
      </c>
      <c r="BE668" t="str" cm="1">
        <f t="array" ref="BE668">IF(AY668=1,INDEX($V$7:$AL$7,MATCH(TRUE,INDEX($V668:$AW668&lt;&gt;0,),0)),IF(AY668=0,INDEX($AM$7:$AW$7,MATCH(1,$AM668:$AW668,0)),IF(BF668="Multiple strategies","mixed drivers",IF(BF668="Supply chain","multiple supply","multiple silviculture"))))</f>
        <v>technologies/design switch</v>
      </c>
      <c r="BF668" s="2" t="str" cm="1">
        <f t="array" ref="BF668">IF(COUNTIF(AZ668:BB668,"&lt;&gt;0")=1,INDEX($V$4:$AW$4,MATCH(TRUE,INDEX($V668:$AW668&lt;&gt;0,),0)),IF(COUNTIF(AZ668:BB668,"&lt;&gt;0")=0,INDEX($AM$4:$AW$4,MATCH(1,$AM668:$AW668,0)),"Multiple strategies"))</f>
        <v>Technology</v>
      </c>
      <c r="BG668" s="1" t="s">
        <v>229</v>
      </c>
      <c r="BH668" t="s">
        <v>1599</v>
      </c>
      <c r="BJ668" t="s">
        <v>261</v>
      </c>
      <c r="BK668">
        <v>24</v>
      </c>
      <c r="BL668">
        <v>85.25</v>
      </c>
      <c r="BM668">
        <f t="shared" si="815"/>
        <v>3.5520833333333335</v>
      </c>
      <c r="BN668">
        <f t="shared" si="791"/>
        <v>61.25</v>
      </c>
      <c r="BO668">
        <f t="shared" si="792"/>
        <v>0.125</v>
      </c>
      <c r="BP668" t="s">
        <v>232</v>
      </c>
      <c r="BR668" t="s">
        <v>1608</v>
      </c>
      <c r="BU668" s="144" t="str">
        <f t="shared" si="793"/>
        <v/>
      </c>
      <c r="BV668">
        <v>0.17</v>
      </c>
      <c r="BX668">
        <f t="shared" ref="BX668:BX673" si="816">BV668</f>
        <v>0.17</v>
      </c>
      <c r="BY668">
        <f t="shared" si="727"/>
        <v>1.36</v>
      </c>
      <c r="BZ668">
        <v>0</v>
      </c>
      <c r="CA668">
        <v>0</v>
      </c>
      <c r="CB668">
        <v>0</v>
      </c>
      <c r="CC668">
        <v>0</v>
      </c>
      <c r="CD668">
        <v>0</v>
      </c>
      <c r="CE668">
        <v>0</v>
      </c>
      <c r="CF668">
        <v>0</v>
      </c>
      <c r="CG668">
        <v>0</v>
      </c>
      <c r="CH668">
        <v>0</v>
      </c>
      <c r="CI668">
        <v>0</v>
      </c>
      <c r="CJ668">
        <v>0</v>
      </c>
      <c r="CK668">
        <v>0</v>
      </c>
      <c r="CL668">
        <v>0</v>
      </c>
      <c r="CM668">
        <v>0</v>
      </c>
      <c r="CN668" t="str">
        <f t="shared" si="794"/>
        <v>refOK</v>
      </c>
      <c r="CO668">
        <f t="shared" si="795"/>
        <v>24</v>
      </c>
      <c r="CP668">
        <f t="shared" si="796"/>
        <v>85.25</v>
      </c>
      <c r="CQ668">
        <f t="shared" si="797"/>
        <v>0.125</v>
      </c>
      <c r="CR668">
        <f t="shared" si="798"/>
        <v>0</v>
      </c>
      <c r="CS668">
        <f t="shared" si="799"/>
        <v>0</v>
      </c>
      <c r="CT668">
        <f t="shared" si="800"/>
        <v>0.17</v>
      </c>
      <c r="CU668">
        <f t="shared" si="801"/>
        <v>1.36</v>
      </c>
      <c r="CV668" s="2" t="str">
        <f t="shared" si="802"/>
        <v/>
      </c>
      <c r="CW668" s="1" t="s">
        <v>1202</v>
      </c>
      <c r="CX668" s="264" t="str">
        <f t="shared" si="803"/>
        <v>reg</v>
      </c>
      <c r="CY668" t="s">
        <v>690</v>
      </c>
      <c r="CZ668">
        <v>2019</v>
      </c>
      <c r="DB668">
        <v>0</v>
      </c>
      <c r="DC668" t="str">
        <f t="shared" si="804"/>
        <v>0</v>
      </c>
      <c r="DD668">
        <v>0</v>
      </c>
      <c r="DE668">
        <v>0</v>
      </c>
      <c r="DF668">
        <v>0</v>
      </c>
      <c r="DG668">
        <v>1</v>
      </c>
      <c r="DI668">
        <f t="shared" si="805"/>
        <v>1</v>
      </c>
      <c r="DJ668" t="str">
        <f t="shared" si="806"/>
        <v>TimberInput</v>
      </c>
      <c r="DK668">
        <f t="shared" si="807"/>
        <v>0</v>
      </c>
      <c r="DL668">
        <f t="shared" si="808"/>
        <v>0</v>
      </c>
      <c r="DM668">
        <f t="shared" si="809"/>
        <v>0</v>
      </c>
      <c r="DN668" t="str">
        <f t="shared" si="810"/>
        <v>Timber</v>
      </c>
      <c r="DO668">
        <v>1</v>
      </c>
      <c r="DP668">
        <v>0</v>
      </c>
      <c r="DQ668">
        <v>0</v>
      </c>
      <c r="DR668">
        <v>0</v>
      </c>
      <c r="DS668">
        <v>0</v>
      </c>
      <c r="DT668">
        <f t="shared" si="811"/>
        <v>1</v>
      </c>
      <c r="DU668" s="143" t="str">
        <f t="shared" si="812"/>
        <v>self-calculated DF</v>
      </c>
      <c r="DV668">
        <v>0</v>
      </c>
      <c r="DW668">
        <v>0</v>
      </c>
      <c r="DX668">
        <v>0</v>
      </c>
      <c r="DY668">
        <v>0</v>
      </c>
      <c r="DZ668">
        <v>0</v>
      </c>
      <c r="EA668" s="143">
        <v>1</v>
      </c>
      <c r="EB668">
        <v>0</v>
      </c>
      <c r="EC668">
        <v>1</v>
      </c>
      <c r="ED668">
        <v>0</v>
      </c>
      <c r="EE668">
        <v>0</v>
      </c>
      <c r="EF668">
        <v>0</v>
      </c>
      <c r="EG668">
        <v>0</v>
      </c>
      <c r="EH668">
        <v>0</v>
      </c>
      <c r="EI668" s="2">
        <v>0</v>
      </c>
      <c r="EK668" t="str">
        <f t="shared" si="813"/>
        <v/>
      </c>
      <c r="EL668" t="str">
        <f t="shared" si="814"/>
        <v/>
      </c>
      <c r="EM668" s="2" t="str">
        <f t="shared" si="728"/>
        <v/>
      </c>
      <c r="EN668" t="s">
        <v>1602</v>
      </c>
      <c r="EP668" t="str">
        <f>IF(ISNUMBER(BU668),IF(ABS(BU668-[4]QC_indicators!$B$2)&gt;3*[4]QC_indicators!$C$2,"C ratio",IF(ISNUMBER(BY668),IF(ABS(BY668-[4]QC_indicators!$B$1)&gt;3*[4]QC_indicators!$C$1,"DF","no"))),IF(ISNUMBER(BY668),IF(ABS(BY668-[4]QC_indicators!$B$1)&gt;3*[4]QC_indicators!$C$1,"DF","no")))</f>
        <v>no</v>
      </c>
      <c r="ER668" t="s">
        <v>1603</v>
      </c>
      <c r="ET668" s="264" t="s">
        <v>3406</v>
      </c>
    </row>
    <row r="669" spans="1:150" ht="15" hidden="1" customHeight="1">
      <c r="A669" s="1" t="s">
        <v>562</v>
      </c>
      <c r="B669" t="s">
        <v>544</v>
      </c>
      <c r="C669" t="s">
        <v>1592</v>
      </c>
      <c r="D669" t="s">
        <v>1593</v>
      </c>
      <c r="E669" t="s">
        <v>1594</v>
      </c>
      <c r="F669" t="s">
        <v>1595</v>
      </c>
      <c r="G669" t="s">
        <v>567</v>
      </c>
      <c r="H669" t="s">
        <v>254</v>
      </c>
      <c r="I669">
        <v>2019</v>
      </c>
      <c r="J669">
        <v>15</v>
      </c>
      <c r="K669" t="s">
        <v>1596</v>
      </c>
      <c r="M669" t="str">
        <f t="shared" si="732"/>
        <v>Geng_2019</v>
      </c>
      <c r="N669" t="s">
        <v>222</v>
      </c>
      <c r="O669" s="181" t="s">
        <v>225</v>
      </c>
      <c r="Q669" s="264" t="s">
        <v>256</v>
      </c>
      <c r="R669" s="269" t="s">
        <v>1153</v>
      </c>
      <c r="S669" s="1" t="s">
        <v>1597</v>
      </c>
      <c r="T669" t="s">
        <v>1609</v>
      </c>
      <c r="V669">
        <v>0</v>
      </c>
      <c r="W669">
        <v>0</v>
      </c>
      <c r="X669">
        <v>0</v>
      </c>
      <c r="Y669">
        <v>0</v>
      </c>
      <c r="Z669">
        <v>0</v>
      </c>
      <c r="AA669">
        <v>0</v>
      </c>
      <c r="AB669">
        <v>0</v>
      </c>
      <c r="AC669">
        <v>0</v>
      </c>
      <c r="AD669">
        <v>0</v>
      </c>
      <c r="AE669">
        <v>0</v>
      </c>
      <c r="AF669">
        <v>0</v>
      </c>
      <c r="AG669">
        <v>0</v>
      </c>
      <c r="AH669">
        <v>0</v>
      </c>
      <c r="AI669">
        <v>0</v>
      </c>
      <c r="AJ669">
        <v>0</v>
      </c>
      <c r="AK669">
        <v>1</v>
      </c>
      <c r="AL669">
        <v>0</v>
      </c>
      <c r="AM669">
        <v>0</v>
      </c>
      <c r="AN669">
        <v>0</v>
      </c>
      <c r="AO669">
        <v>0</v>
      </c>
      <c r="AP669">
        <v>0</v>
      </c>
      <c r="AQ669">
        <v>0</v>
      </c>
      <c r="AR669">
        <v>0</v>
      </c>
      <c r="AS669">
        <v>0</v>
      </c>
      <c r="AT669">
        <v>0</v>
      </c>
      <c r="AU669">
        <v>0</v>
      </c>
      <c r="AV669">
        <v>0</v>
      </c>
      <c r="AW669">
        <v>0</v>
      </c>
      <c r="AX669" s="141">
        <f t="shared" si="784"/>
        <v>1</v>
      </c>
      <c r="AY669" s="141">
        <f t="shared" si="785"/>
        <v>1</v>
      </c>
      <c r="AZ669">
        <f t="shared" si="786"/>
        <v>0</v>
      </c>
      <c r="BA669">
        <f t="shared" si="787"/>
        <v>0</v>
      </c>
      <c r="BB669">
        <f t="shared" si="788"/>
        <v>1</v>
      </c>
      <c r="BC669">
        <f t="shared" si="789"/>
        <v>0</v>
      </c>
      <c r="BD669">
        <f t="shared" si="790"/>
        <v>0</v>
      </c>
      <c r="BE669" t="str" cm="1">
        <f t="array" ref="BE669">IF(AY669=1,INDEX($V$7:$AL$7,MATCH(TRUE,INDEX($V669:$AW669&lt;&gt;0,),0)),IF(AY669=0,INDEX($AM$7:$AW$7,MATCH(1,$AM669:$AW669,0)),IF(BF669="Multiple strategies","mixed drivers",IF(BF669="Supply chain","multiple supply","multiple silviculture"))))</f>
        <v>technologies/design switch</v>
      </c>
      <c r="BF669" s="2" t="str" cm="1">
        <f t="array" ref="BF669">IF(COUNTIF(AZ669:BB669,"&lt;&gt;0")=1,INDEX($V$4:$AW$4,MATCH(TRUE,INDEX($V669:$AW669&lt;&gt;0,),0)),IF(COUNTIF(AZ669:BB669,"&lt;&gt;0")=0,INDEX($AM$4:$AW$4,MATCH(1,$AM669:$AW669,0)),"Multiple strategies"))</f>
        <v>Technology</v>
      </c>
      <c r="BG669" s="1" t="s">
        <v>229</v>
      </c>
      <c r="BH669" t="s">
        <v>1599</v>
      </c>
      <c r="BJ669" t="s">
        <v>261</v>
      </c>
      <c r="BK669">
        <v>24</v>
      </c>
      <c r="BL669">
        <v>85.25</v>
      </c>
      <c r="BM669">
        <f t="shared" si="815"/>
        <v>3.5520833333333335</v>
      </c>
      <c r="BN669">
        <f t="shared" si="791"/>
        <v>61.25</v>
      </c>
      <c r="BO669">
        <f t="shared" si="792"/>
        <v>0.125</v>
      </c>
      <c r="BP669" t="s">
        <v>232</v>
      </c>
      <c r="BR669" t="s">
        <v>1608</v>
      </c>
      <c r="BU669" s="144" t="str">
        <f t="shared" si="793"/>
        <v/>
      </c>
      <c r="BV669">
        <v>0.17</v>
      </c>
      <c r="BX669">
        <f t="shared" si="816"/>
        <v>0.17</v>
      </c>
      <c r="BY669">
        <f t="shared" si="727"/>
        <v>1.36</v>
      </c>
      <c r="BZ669">
        <v>0</v>
      </c>
      <c r="CA669">
        <v>0</v>
      </c>
      <c r="CB669">
        <v>0</v>
      </c>
      <c r="CC669">
        <v>0</v>
      </c>
      <c r="CD669">
        <v>0</v>
      </c>
      <c r="CE669">
        <v>0</v>
      </c>
      <c r="CF669">
        <v>0</v>
      </c>
      <c r="CG669">
        <v>0</v>
      </c>
      <c r="CH669">
        <v>0</v>
      </c>
      <c r="CI669">
        <v>0</v>
      </c>
      <c r="CJ669">
        <v>0</v>
      </c>
      <c r="CK669">
        <v>0</v>
      </c>
      <c r="CL669">
        <v>0</v>
      </c>
      <c r="CM669">
        <v>0</v>
      </c>
      <c r="CN669" t="str">
        <f t="shared" si="794"/>
        <v>refOK</v>
      </c>
      <c r="CO669">
        <f t="shared" si="795"/>
        <v>24</v>
      </c>
      <c r="CP669">
        <f t="shared" si="796"/>
        <v>85.25</v>
      </c>
      <c r="CQ669">
        <f t="shared" si="797"/>
        <v>0.125</v>
      </c>
      <c r="CR669">
        <f t="shared" si="798"/>
        <v>0</v>
      </c>
      <c r="CS669">
        <f t="shared" si="799"/>
        <v>0</v>
      </c>
      <c r="CT669">
        <f t="shared" si="800"/>
        <v>0.17</v>
      </c>
      <c r="CU669">
        <f t="shared" si="801"/>
        <v>1.36</v>
      </c>
      <c r="CV669" s="2" t="str">
        <f t="shared" si="802"/>
        <v/>
      </c>
      <c r="CW669" s="1" t="s">
        <v>1202</v>
      </c>
      <c r="CX669" s="264" t="str">
        <f t="shared" si="803"/>
        <v>reg</v>
      </c>
      <c r="CY669" t="s">
        <v>690</v>
      </c>
      <c r="CZ669">
        <v>2019</v>
      </c>
      <c r="DB669">
        <v>0</v>
      </c>
      <c r="DC669" t="str">
        <f t="shared" si="804"/>
        <v>0</v>
      </c>
      <c r="DD669">
        <v>0</v>
      </c>
      <c r="DE669">
        <v>0</v>
      </c>
      <c r="DF669">
        <v>0</v>
      </c>
      <c r="DG669">
        <v>1</v>
      </c>
      <c r="DI669">
        <f t="shared" si="805"/>
        <v>1</v>
      </c>
      <c r="DJ669" t="str">
        <f t="shared" si="806"/>
        <v>TimberInput</v>
      </c>
      <c r="DK669">
        <f t="shared" si="807"/>
        <v>0</v>
      </c>
      <c r="DL669">
        <f t="shared" si="808"/>
        <v>0</v>
      </c>
      <c r="DM669">
        <f t="shared" si="809"/>
        <v>0</v>
      </c>
      <c r="DN669" t="str">
        <f t="shared" si="810"/>
        <v>Timber</v>
      </c>
      <c r="DO669">
        <v>1</v>
      </c>
      <c r="DP669">
        <v>0</v>
      </c>
      <c r="DQ669">
        <v>0</v>
      </c>
      <c r="DR669">
        <v>0</v>
      </c>
      <c r="DS669">
        <v>0</v>
      </c>
      <c r="DT669">
        <f t="shared" si="811"/>
        <v>1</v>
      </c>
      <c r="DU669" s="143" t="str">
        <f t="shared" si="812"/>
        <v>self-calculated DF</v>
      </c>
      <c r="DV669">
        <v>0</v>
      </c>
      <c r="DW669">
        <v>0</v>
      </c>
      <c r="DX669">
        <v>0</v>
      </c>
      <c r="DY669">
        <v>0</v>
      </c>
      <c r="DZ669">
        <v>0</v>
      </c>
      <c r="EA669" s="143">
        <v>1</v>
      </c>
      <c r="EB669">
        <v>0</v>
      </c>
      <c r="EC669">
        <v>1</v>
      </c>
      <c r="ED669">
        <v>0</v>
      </c>
      <c r="EE669">
        <v>0</v>
      </c>
      <c r="EF669">
        <v>0</v>
      </c>
      <c r="EG669">
        <v>0</v>
      </c>
      <c r="EH669">
        <v>0</v>
      </c>
      <c r="EI669" s="2">
        <v>0</v>
      </c>
      <c r="EK669" t="str">
        <f t="shared" si="813"/>
        <v/>
      </c>
      <c r="EL669" t="str">
        <f t="shared" si="814"/>
        <v/>
      </c>
      <c r="EM669" s="2" t="str">
        <f t="shared" si="728"/>
        <v/>
      </c>
      <c r="EN669" t="s">
        <v>1602</v>
      </c>
      <c r="EP669" t="str">
        <f>IF(ISNUMBER(BU669),IF(ABS(BU669-[4]QC_indicators!$B$2)&gt;3*[4]QC_indicators!$C$2,"C ratio",IF(ISNUMBER(BY669),IF(ABS(BY669-[4]QC_indicators!$B$1)&gt;3*[4]QC_indicators!$C$1,"DF","no"))),IF(ISNUMBER(BY669),IF(ABS(BY669-[4]QC_indicators!$B$1)&gt;3*[4]QC_indicators!$C$1,"DF","no")))</f>
        <v>no</v>
      </c>
      <c r="ER669" t="s">
        <v>1603</v>
      </c>
      <c r="ET669" s="264" t="s">
        <v>3406</v>
      </c>
    </row>
    <row r="670" spans="1:150" ht="15" hidden="1" customHeight="1">
      <c r="A670" s="1" t="s">
        <v>562</v>
      </c>
      <c r="B670" t="s">
        <v>544</v>
      </c>
      <c r="C670" t="s">
        <v>1592</v>
      </c>
      <c r="D670" t="s">
        <v>1593</v>
      </c>
      <c r="E670" t="s">
        <v>1594</v>
      </c>
      <c r="F670" t="s">
        <v>1595</v>
      </c>
      <c r="G670" t="s">
        <v>567</v>
      </c>
      <c r="H670" t="s">
        <v>254</v>
      </c>
      <c r="I670">
        <v>2019</v>
      </c>
      <c r="J670">
        <v>15</v>
      </c>
      <c r="K670" t="s">
        <v>1596</v>
      </c>
      <c r="M670" t="str">
        <f t="shared" si="732"/>
        <v>Geng_2019</v>
      </c>
      <c r="N670" t="s">
        <v>222</v>
      </c>
      <c r="O670" s="181" t="s">
        <v>225</v>
      </c>
      <c r="Q670" s="264" t="s">
        <v>256</v>
      </c>
      <c r="R670" s="269" t="s">
        <v>1153</v>
      </c>
      <c r="S670" s="1" t="s">
        <v>1597</v>
      </c>
      <c r="T670" t="s">
        <v>1610</v>
      </c>
      <c r="V670">
        <v>0</v>
      </c>
      <c r="W670">
        <v>0</v>
      </c>
      <c r="X670">
        <v>0</v>
      </c>
      <c r="Y670">
        <v>0</v>
      </c>
      <c r="Z670">
        <v>0</v>
      </c>
      <c r="AA670">
        <v>0</v>
      </c>
      <c r="AB670">
        <v>0</v>
      </c>
      <c r="AC670">
        <v>0</v>
      </c>
      <c r="AD670">
        <v>0</v>
      </c>
      <c r="AE670">
        <v>0</v>
      </c>
      <c r="AF670">
        <v>0</v>
      </c>
      <c r="AG670">
        <v>0</v>
      </c>
      <c r="AH670">
        <v>0</v>
      </c>
      <c r="AI670">
        <v>0</v>
      </c>
      <c r="AJ670">
        <v>0</v>
      </c>
      <c r="AK670">
        <v>1</v>
      </c>
      <c r="AL670">
        <v>0</v>
      </c>
      <c r="AM670">
        <v>0</v>
      </c>
      <c r="AN670">
        <v>0</v>
      </c>
      <c r="AO670">
        <v>0</v>
      </c>
      <c r="AP670">
        <v>0</v>
      </c>
      <c r="AQ670">
        <v>0</v>
      </c>
      <c r="AR670">
        <v>0</v>
      </c>
      <c r="AS670">
        <v>0</v>
      </c>
      <c r="AT670">
        <v>0</v>
      </c>
      <c r="AU670">
        <v>0</v>
      </c>
      <c r="AV670">
        <v>0</v>
      </c>
      <c r="AW670">
        <v>0</v>
      </c>
      <c r="AX670" s="141">
        <f t="shared" si="784"/>
        <v>1</v>
      </c>
      <c r="AY670" s="141">
        <f t="shared" si="785"/>
        <v>1</v>
      </c>
      <c r="AZ670">
        <f t="shared" si="786"/>
        <v>0</v>
      </c>
      <c r="BA670">
        <f t="shared" si="787"/>
        <v>0</v>
      </c>
      <c r="BB670">
        <f t="shared" si="788"/>
        <v>1</v>
      </c>
      <c r="BC670">
        <f t="shared" si="789"/>
        <v>0</v>
      </c>
      <c r="BD670">
        <f t="shared" si="790"/>
        <v>0</v>
      </c>
      <c r="BE670" t="str" cm="1">
        <f t="array" ref="BE670">IF(AY670=1,INDEX($V$7:$AL$7,MATCH(TRUE,INDEX($V670:$AW670&lt;&gt;0,),0)),IF(AY670=0,INDEX($AM$7:$AW$7,MATCH(1,$AM670:$AW670,0)),IF(BF670="Multiple strategies","mixed drivers",IF(BF670="Supply chain","multiple supply","multiple silviculture"))))</f>
        <v>technologies/design switch</v>
      </c>
      <c r="BF670" s="2" t="str" cm="1">
        <f t="array" ref="BF670">IF(COUNTIF(AZ670:BB670,"&lt;&gt;0")=1,INDEX($V$4:$AW$4,MATCH(TRUE,INDEX($V670:$AW670&lt;&gt;0,),0)),IF(COUNTIF(AZ670:BB670,"&lt;&gt;0")=0,INDEX($AM$4:$AW$4,MATCH(1,$AM670:$AW670,0)),"Multiple strategies"))</f>
        <v>Technology</v>
      </c>
      <c r="BG670" s="1" t="s">
        <v>229</v>
      </c>
      <c r="BH670" t="s">
        <v>1599</v>
      </c>
      <c r="BJ670" t="s">
        <v>261</v>
      </c>
      <c r="BK670">
        <v>24</v>
      </c>
      <c r="BL670">
        <v>82.35</v>
      </c>
      <c r="BM670">
        <f t="shared" si="815"/>
        <v>3.4312499999999999</v>
      </c>
      <c r="BN670">
        <f t="shared" si="791"/>
        <v>58.349999999999994</v>
      </c>
      <c r="BO670">
        <f t="shared" si="792"/>
        <v>0.11908163265306122</v>
      </c>
      <c r="BP670" t="s">
        <v>232</v>
      </c>
      <c r="BR670" t="s">
        <v>1608</v>
      </c>
      <c r="BU670" s="144" t="str">
        <f t="shared" si="793"/>
        <v/>
      </c>
      <c r="BV670">
        <v>0.20399999999999999</v>
      </c>
      <c r="BX670">
        <f t="shared" si="816"/>
        <v>0.20399999999999999</v>
      </c>
      <c r="BY670">
        <f t="shared" si="727"/>
        <v>1.7131105398457582</v>
      </c>
      <c r="BZ670">
        <v>0</v>
      </c>
      <c r="CA670">
        <v>0</v>
      </c>
      <c r="CB670">
        <v>0</v>
      </c>
      <c r="CC670">
        <v>0</v>
      </c>
      <c r="CD670">
        <v>0</v>
      </c>
      <c r="CE670">
        <v>0</v>
      </c>
      <c r="CF670">
        <v>0</v>
      </c>
      <c r="CG670">
        <v>0</v>
      </c>
      <c r="CH670">
        <v>0</v>
      </c>
      <c r="CI670">
        <v>0</v>
      </c>
      <c r="CJ670">
        <v>0</v>
      </c>
      <c r="CK670">
        <v>0</v>
      </c>
      <c r="CL670">
        <v>0</v>
      </c>
      <c r="CM670">
        <v>0</v>
      </c>
      <c r="CN670" t="str">
        <f t="shared" si="794"/>
        <v>refOK</v>
      </c>
      <c r="CO670">
        <f t="shared" si="795"/>
        <v>24</v>
      </c>
      <c r="CP670">
        <f t="shared" si="796"/>
        <v>82.35</v>
      </c>
      <c r="CQ670">
        <f t="shared" si="797"/>
        <v>0.11908163265306122</v>
      </c>
      <c r="CR670">
        <f t="shared" si="798"/>
        <v>0</v>
      </c>
      <c r="CS670">
        <f t="shared" si="799"/>
        <v>0</v>
      </c>
      <c r="CT670">
        <f t="shared" si="800"/>
        <v>0.20399999999999999</v>
      </c>
      <c r="CU670">
        <f t="shared" si="801"/>
        <v>1.7131105398457582</v>
      </c>
      <c r="CV670" s="2" t="str">
        <f t="shared" si="802"/>
        <v/>
      </c>
      <c r="CW670" s="1" t="s">
        <v>1202</v>
      </c>
      <c r="CX670" s="264" t="str">
        <f t="shared" si="803"/>
        <v>reg</v>
      </c>
      <c r="CY670" t="s">
        <v>690</v>
      </c>
      <c r="CZ670">
        <v>2019</v>
      </c>
      <c r="DB670">
        <v>0</v>
      </c>
      <c r="DC670" t="str">
        <f t="shared" si="804"/>
        <v>0</v>
      </c>
      <c r="DD670">
        <v>0</v>
      </c>
      <c r="DE670">
        <v>0</v>
      </c>
      <c r="DF670">
        <v>0</v>
      </c>
      <c r="DG670">
        <v>1</v>
      </c>
      <c r="DI670">
        <f t="shared" si="805"/>
        <v>1</v>
      </c>
      <c r="DJ670" t="str">
        <f t="shared" si="806"/>
        <v>TimberInput</v>
      </c>
      <c r="DK670">
        <f t="shared" si="807"/>
        <v>0</v>
      </c>
      <c r="DL670">
        <f t="shared" si="808"/>
        <v>0</v>
      </c>
      <c r="DM670">
        <f t="shared" si="809"/>
        <v>0</v>
      </c>
      <c r="DN670" t="str">
        <f t="shared" si="810"/>
        <v>Timber</v>
      </c>
      <c r="DO670">
        <v>1</v>
      </c>
      <c r="DP670">
        <v>0</v>
      </c>
      <c r="DQ670">
        <v>0</v>
      </c>
      <c r="DR670">
        <v>0</v>
      </c>
      <c r="DS670">
        <v>0</v>
      </c>
      <c r="DT670">
        <f t="shared" si="811"/>
        <v>1</v>
      </c>
      <c r="DU670" s="143" t="str">
        <f t="shared" si="812"/>
        <v>self-calculated DF</v>
      </c>
      <c r="DV670">
        <v>0</v>
      </c>
      <c r="DW670">
        <v>0</v>
      </c>
      <c r="DX670">
        <v>0</v>
      </c>
      <c r="DY670">
        <v>0</v>
      </c>
      <c r="DZ670">
        <v>0</v>
      </c>
      <c r="EA670" s="143">
        <v>1</v>
      </c>
      <c r="EB670">
        <v>0</v>
      </c>
      <c r="EC670">
        <v>1</v>
      </c>
      <c r="ED670">
        <v>0</v>
      </c>
      <c r="EE670">
        <v>0</v>
      </c>
      <c r="EF670">
        <v>0</v>
      </c>
      <c r="EG670">
        <v>0</v>
      </c>
      <c r="EH670">
        <v>0</v>
      </c>
      <c r="EI670" s="2">
        <v>0</v>
      </c>
      <c r="EK670" t="str">
        <f t="shared" si="813"/>
        <v/>
      </c>
      <c r="EL670" t="str">
        <f t="shared" si="814"/>
        <v/>
      </c>
      <c r="EM670" s="2" t="str">
        <f t="shared" si="728"/>
        <v/>
      </c>
      <c r="EN670" t="s">
        <v>1602</v>
      </c>
      <c r="EP670" t="str">
        <f>IF(ISNUMBER(BU670),IF(ABS(BU670-[4]QC_indicators!$B$2)&gt;3*[4]QC_indicators!$C$2,"C ratio",IF(ISNUMBER(BY670),IF(ABS(BY670-[4]QC_indicators!$B$1)&gt;3*[4]QC_indicators!$C$1,"DF","no"))),IF(ISNUMBER(BY670),IF(ABS(BY670-[4]QC_indicators!$B$1)&gt;3*[4]QC_indicators!$C$1,"DF","no")))</f>
        <v>no</v>
      </c>
      <c r="ER670" t="s">
        <v>1603</v>
      </c>
      <c r="ET670" s="264" t="s">
        <v>3406</v>
      </c>
    </row>
    <row r="671" spans="1:150" ht="15" hidden="1" customHeight="1">
      <c r="A671" s="1" t="s">
        <v>562</v>
      </c>
      <c r="B671" t="s">
        <v>544</v>
      </c>
      <c r="C671" t="s">
        <v>1592</v>
      </c>
      <c r="D671" t="s">
        <v>1593</v>
      </c>
      <c r="E671" t="s">
        <v>1594</v>
      </c>
      <c r="F671" t="s">
        <v>1595</v>
      </c>
      <c r="G671" t="s">
        <v>567</v>
      </c>
      <c r="H671" t="s">
        <v>254</v>
      </c>
      <c r="I671">
        <v>2019</v>
      </c>
      <c r="J671">
        <v>15</v>
      </c>
      <c r="K671" t="s">
        <v>1596</v>
      </c>
      <c r="M671" t="str">
        <f t="shared" si="732"/>
        <v>Geng_2019</v>
      </c>
      <c r="N671" t="s">
        <v>222</v>
      </c>
      <c r="O671" s="181" t="s">
        <v>225</v>
      </c>
      <c r="Q671" s="264" t="s">
        <v>256</v>
      </c>
      <c r="R671" s="269" t="s">
        <v>1153</v>
      </c>
      <c r="S671" s="1" t="s">
        <v>1597</v>
      </c>
      <c r="T671" t="s">
        <v>1611</v>
      </c>
      <c r="V671">
        <v>0</v>
      </c>
      <c r="W671">
        <v>0</v>
      </c>
      <c r="X671">
        <v>0</v>
      </c>
      <c r="Y671">
        <v>0</v>
      </c>
      <c r="Z671">
        <v>0</v>
      </c>
      <c r="AA671">
        <v>0</v>
      </c>
      <c r="AB671">
        <v>0</v>
      </c>
      <c r="AC671">
        <v>0</v>
      </c>
      <c r="AD671">
        <v>0</v>
      </c>
      <c r="AE671">
        <v>0</v>
      </c>
      <c r="AF671">
        <v>0</v>
      </c>
      <c r="AG671">
        <v>0</v>
      </c>
      <c r="AH671">
        <v>0</v>
      </c>
      <c r="AI671">
        <v>0</v>
      </c>
      <c r="AJ671">
        <v>0</v>
      </c>
      <c r="AK671">
        <v>1</v>
      </c>
      <c r="AL671">
        <v>0</v>
      </c>
      <c r="AM671">
        <v>0</v>
      </c>
      <c r="AN671">
        <v>0</v>
      </c>
      <c r="AO671">
        <v>0</v>
      </c>
      <c r="AP671">
        <v>0</v>
      </c>
      <c r="AQ671">
        <v>0</v>
      </c>
      <c r="AR671">
        <v>0</v>
      </c>
      <c r="AS671">
        <v>0</v>
      </c>
      <c r="AT671">
        <v>0</v>
      </c>
      <c r="AU671">
        <v>0</v>
      </c>
      <c r="AV671">
        <v>0</v>
      </c>
      <c r="AW671">
        <v>0</v>
      </c>
      <c r="AX671" s="141">
        <f t="shared" si="784"/>
        <v>1</v>
      </c>
      <c r="AY671" s="141">
        <f t="shared" si="785"/>
        <v>1</v>
      </c>
      <c r="AZ671">
        <f t="shared" si="786"/>
        <v>0</v>
      </c>
      <c r="BA671">
        <f t="shared" si="787"/>
        <v>0</v>
      </c>
      <c r="BB671">
        <f t="shared" si="788"/>
        <v>1</v>
      </c>
      <c r="BC671">
        <f t="shared" si="789"/>
        <v>0</v>
      </c>
      <c r="BD671">
        <f t="shared" si="790"/>
        <v>0</v>
      </c>
      <c r="BE671" t="str" cm="1">
        <f t="array" ref="BE671">IF(AY671=1,INDEX($V$7:$AL$7,MATCH(TRUE,INDEX($V671:$AW671&lt;&gt;0,),0)),IF(AY671=0,INDEX($AM$7:$AW$7,MATCH(1,$AM671:$AW671,0)),IF(BF671="Multiple strategies","mixed drivers",IF(BF671="Supply chain","multiple supply","multiple silviculture"))))</f>
        <v>technologies/design switch</v>
      </c>
      <c r="BF671" s="2" t="str" cm="1">
        <f t="array" ref="BF671">IF(COUNTIF(AZ671:BB671,"&lt;&gt;0")=1,INDEX($V$4:$AW$4,MATCH(TRUE,INDEX($V671:$AW671&lt;&gt;0,),0)),IF(COUNTIF(AZ671:BB671,"&lt;&gt;0")=0,INDEX($AM$4:$AW$4,MATCH(1,$AM671:$AW671,0)),"Multiple strategies"))</f>
        <v>Technology</v>
      </c>
      <c r="BG671" s="1" t="s">
        <v>229</v>
      </c>
      <c r="BH671" t="s">
        <v>1599</v>
      </c>
      <c r="BJ671" t="s">
        <v>261</v>
      </c>
      <c r="BK671">
        <v>24</v>
      </c>
      <c r="BL671">
        <v>71.62</v>
      </c>
      <c r="BM671">
        <f t="shared" si="815"/>
        <v>2.9841666666666669</v>
      </c>
      <c r="BN671">
        <f t="shared" si="791"/>
        <v>47.620000000000005</v>
      </c>
      <c r="BO671">
        <f t="shared" si="792"/>
        <v>9.7183673469387777E-2</v>
      </c>
      <c r="BP671" t="s">
        <v>232</v>
      </c>
      <c r="BR671" t="s">
        <v>1608</v>
      </c>
      <c r="BU671" s="144" t="str">
        <f t="shared" si="793"/>
        <v/>
      </c>
      <c r="BV671">
        <v>0.189</v>
      </c>
      <c r="BX671">
        <f t="shared" si="816"/>
        <v>0.189</v>
      </c>
      <c r="BY671">
        <f t="shared" si="727"/>
        <v>1.9447711045779079</v>
      </c>
      <c r="BZ671">
        <v>0</v>
      </c>
      <c r="CA671">
        <v>0</v>
      </c>
      <c r="CB671">
        <v>0</v>
      </c>
      <c r="CC671">
        <v>0</v>
      </c>
      <c r="CD671">
        <v>0</v>
      </c>
      <c r="CE671">
        <v>0</v>
      </c>
      <c r="CF671">
        <v>0</v>
      </c>
      <c r="CG671">
        <v>0</v>
      </c>
      <c r="CH671">
        <v>0</v>
      </c>
      <c r="CI671">
        <v>0</v>
      </c>
      <c r="CJ671">
        <v>0</v>
      </c>
      <c r="CK671">
        <v>0</v>
      </c>
      <c r="CL671">
        <v>0</v>
      </c>
      <c r="CM671">
        <v>0</v>
      </c>
      <c r="CN671" t="str">
        <f t="shared" si="794"/>
        <v>refOK</v>
      </c>
      <c r="CO671">
        <f t="shared" si="795"/>
        <v>24</v>
      </c>
      <c r="CP671">
        <f t="shared" si="796"/>
        <v>71.62</v>
      </c>
      <c r="CQ671">
        <f t="shared" si="797"/>
        <v>9.7183673469387777E-2</v>
      </c>
      <c r="CR671">
        <f t="shared" si="798"/>
        <v>0</v>
      </c>
      <c r="CS671">
        <f t="shared" si="799"/>
        <v>0</v>
      </c>
      <c r="CT671">
        <f t="shared" si="800"/>
        <v>0.189</v>
      </c>
      <c r="CU671">
        <f t="shared" si="801"/>
        <v>1.9447711045779079</v>
      </c>
      <c r="CV671" s="2" t="str">
        <f t="shared" si="802"/>
        <v/>
      </c>
      <c r="CW671" s="1" t="s">
        <v>1202</v>
      </c>
      <c r="CX671" s="264" t="str">
        <f t="shared" si="803"/>
        <v>reg</v>
      </c>
      <c r="CY671" t="s">
        <v>690</v>
      </c>
      <c r="CZ671">
        <v>2019</v>
      </c>
      <c r="DB671">
        <v>0</v>
      </c>
      <c r="DC671" t="str">
        <f t="shared" si="804"/>
        <v>0</v>
      </c>
      <c r="DD671">
        <v>0</v>
      </c>
      <c r="DE671">
        <v>0</v>
      </c>
      <c r="DF671">
        <v>0</v>
      </c>
      <c r="DG671">
        <v>1</v>
      </c>
      <c r="DI671">
        <f t="shared" si="805"/>
        <v>1</v>
      </c>
      <c r="DJ671" t="str">
        <f t="shared" si="806"/>
        <v>TimberInput</v>
      </c>
      <c r="DK671">
        <f t="shared" si="807"/>
        <v>0</v>
      </c>
      <c r="DL671">
        <f t="shared" si="808"/>
        <v>0</v>
      </c>
      <c r="DM671">
        <f t="shared" si="809"/>
        <v>0</v>
      </c>
      <c r="DN671" t="str">
        <f t="shared" si="810"/>
        <v>Timber</v>
      </c>
      <c r="DO671">
        <v>1</v>
      </c>
      <c r="DP671">
        <v>0</v>
      </c>
      <c r="DQ671">
        <v>0</v>
      </c>
      <c r="DR671">
        <v>0</v>
      </c>
      <c r="DS671">
        <v>0</v>
      </c>
      <c r="DT671">
        <f t="shared" si="811"/>
        <v>1</v>
      </c>
      <c r="DU671" s="143" t="str">
        <f t="shared" si="812"/>
        <v>self-calculated DF</v>
      </c>
      <c r="DV671">
        <v>0</v>
      </c>
      <c r="DW671">
        <v>0</v>
      </c>
      <c r="DX671">
        <v>0</v>
      </c>
      <c r="DY671">
        <v>0</v>
      </c>
      <c r="DZ671">
        <v>0</v>
      </c>
      <c r="EA671" s="143">
        <v>1</v>
      </c>
      <c r="EB671">
        <v>0</v>
      </c>
      <c r="EC671">
        <v>1</v>
      </c>
      <c r="ED671">
        <v>0</v>
      </c>
      <c r="EE671">
        <v>0</v>
      </c>
      <c r="EF671">
        <v>0</v>
      </c>
      <c r="EG671">
        <v>0</v>
      </c>
      <c r="EH671">
        <v>0</v>
      </c>
      <c r="EI671" s="2">
        <v>0</v>
      </c>
      <c r="EK671" t="str">
        <f t="shared" si="813"/>
        <v/>
      </c>
      <c r="EL671" t="str">
        <f t="shared" si="814"/>
        <v/>
      </c>
      <c r="EM671" s="2" t="str">
        <f t="shared" si="728"/>
        <v/>
      </c>
      <c r="EN671" t="s">
        <v>1602</v>
      </c>
      <c r="EP671" t="str">
        <f>IF(ISNUMBER(BU671),IF(ABS(BU671-[4]QC_indicators!$B$2)&gt;3*[4]QC_indicators!$C$2,"C ratio",IF(ISNUMBER(BY671),IF(ABS(BY671-[4]QC_indicators!$B$1)&gt;3*[4]QC_indicators!$C$1,"DF","no"))),IF(ISNUMBER(BY671),IF(ABS(BY671-[4]QC_indicators!$B$1)&gt;3*[4]QC_indicators!$C$1,"DF","no")))</f>
        <v>no</v>
      </c>
      <c r="ER671" t="s">
        <v>1603</v>
      </c>
      <c r="ET671" s="264" t="s">
        <v>3406</v>
      </c>
    </row>
    <row r="672" spans="1:150" ht="15" hidden="1" customHeight="1">
      <c r="A672" s="1" t="s">
        <v>562</v>
      </c>
      <c r="B672" t="s">
        <v>544</v>
      </c>
      <c r="C672" t="s">
        <v>1592</v>
      </c>
      <c r="D672" t="s">
        <v>1593</v>
      </c>
      <c r="E672" t="s">
        <v>1594</v>
      </c>
      <c r="F672" t="s">
        <v>1595</v>
      </c>
      <c r="G672" t="s">
        <v>567</v>
      </c>
      <c r="H672" t="s">
        <v>254</v>
      </c>
      <c r="I672">
        <v>2019</v>
      </c>
      <c r="J672">
        <v>15</v>
      </c>
      <c r="K672" t="s">
        <v>1596</v>
      </c>
      <c r="M672" t="str">
        <f t="shared" si="732"/>
        <v>Geng_2019</v>
      </c>
      <c r="N672" t="s">
        <v>222</v>
      </c>
      <c r="O672" s="181" t="s">
        <v>225</v>
      </c>
      <c r="Q672" s="264" t="s">
        <v>256</v>
      </c>
      <c r="R672" s="269" t="s">
        <v>1153</v>
      </c>
      <c r="S672" s="1" t="s">
        <v>1597</v>
      </c>
      <c r="T672" t="s">
        <v>1612</v>
      </c>
      <c r="V672">
        <v>0</v>
      </c>
      <c r="W672">
        <v>0</v>
      </c>
      <c r="X672">
        <v>0</v>
      </c>
      <c r="Y672">
        <v>0</v>
      </c>
      <c r="Z672">
        <v>0</v>
      </c>
      <c r="AA672">
        <v>0</v>
      </c>
      <c r="AB672">
        <v>0</v>
      </c>
      <c r="AC672">
        <v>0</v>
      </c>
      <c r="AD672">
        <v>0</v>
      </c>
      <c r="AE672">
        <v>0</v>
      </c>
      <c r="AF672">
        <v>0</v>
      </c>
      <c r="AG672">
        <v>0</v>
      </c>
      <c r="AH672">
        <v>0</v>
      </c>
      <c r="AI672">
        <v>0</v>
      </c>
      <c r="AJ672">
        <v>0</v>
      </c>
      <c r="AK672">
        <v>1</v>
      </c>
      <c r="AL672">
        <v>0</v>
      </c>
      <c r="AM672">
        <v>0</v>
      </c>
      <c r="AN672">
        <v>0</v>
      </c>
      <c r="AO672">
        <v>0</v>
      </c>
      <c r="AP672">
        <v>0</v>
      </c>
      <c r="AQ672">
        <v>0</v>
      </c>
      <c r="AR672">
        <v>0</v>
      </c>
      <c r="AS672">
        <v>0</v>
      </c>
      <c r="AT672">
        <v>0</v>
      </c>
      <c r="AU672">
        <v>0</v>
      </c>
      <c r="AV672">
        <v>0</v>
      </c>
      <c r="AW672">
        <v>0</v>
      </c>
      <c r="AX672" s="141">
        <f t="shared" si="784"/>
        <v>1</v>
      </c>
      <c r="AY672" s="141">
        <f t="shared" si="785"/>
        <v>1</v>
      </c>
      <c r="AZ672">
        <f t="shared" si="786"/>
        <v>0</v>
      </c>
      <c r="BA672">
        <f t="shared" si="787"/>
        <v>0</v>
      </c>
      <c r="BB672">
        <f t="shared" si="788"/>
        <v>1</v>
      </c>
      <c r="BC672">
        <f t="shared" si="789"/>
        <v>0</v>
      </c>
      <c r="BD672">
        <f t="shared" si="790"/>
        <v>0</v>
      </c>
      <c r="BE672" t="str" cm="1">
        <f t="array" ref="BE672">IF(AY672=1,INDEX($V$7:$AL$7,MATCH(TRUE,INDEX($V672:$AW672&lt;&gt;0,),0)),IF(AY672=0,INDEX($AM$7:$AW$7,MATCH(1,$AM672:$AW672,0)),IF(BF672="Multiple strategies","mixed drivers",IF(BF672="Supply chain","multiple supply","multiple silviculture"))))</f>
        <v>technologies/design switch</v>
      </c>
      <c r="BF672" s="2" t="str" cm="1">
        <f t="array" ref="BF672">IF(COUNTIF(AZ672:BB672,"&lt;&gt;0")=1,INDEX($V$4:$AW$4,MATCH(TRUE,INDEX($V672:$AW672&lt;&gt;0,),0)),IF(COUNTIF(AZ672:BB672,"&lt;&gt;0")=0,INDEX($AM$4:$AW$4,MATCH(1,$AM672:$AW672,0)),"Multiple strategies"))</f>
        <v>Technology</v>
      </c>
      <c r="BG672" s="1" t="s">
        <v>229</v>
      </c>
      <c r="BH672" t="s">
        <v>1599</v>
      </c>
      <c r="BJ672" t="s">
        <v>261</v>
      </c>
      <c r="BK672">
        <v>24</v>
      </c>
      <c r="BL672">
        <v>71.62</v>
      </c>
      <c r="BM672">
        <f t="shared" si="815"/>
        <v>2.9841666666666669</v>
      </c>
      <c r="BN672">
        <f t="shared" si="791"/>
        <v>47.620000000000005</v>
      </c>
      <c r="BO672">
        <f t="shared" si="792"/>
        <v>9.7183673469387777E-2</v>
      </c>
      <c r="BP672" t="s">
        <v>232</v>
      </c>
      <c r="BR672" t="s">
        <v>1608</v>
      </c>
      <c r="BU672" s="144" t="str">
        <f t="shared" si="793"/>
        <v/>
      </c>
      <c r="BV672">
        <v>0.189</v>
      </c>
      <c r="BX672">
        <f t="shared" si="816"/>
        <v>0.189</v>
      </c>
      <c r="BY672">
        <f t="shared" si="727"/>
        <v>1.9447711045779079</v>
      </c>
      <c r="BZ672">
        <v>0</v>
      </c>
      <c r="CA672">
        <v>0</v>
      </c>
      <c r="CB672">
        <v>0</v>
      </c>
      <c r="CC672">
        <v>0</v>
      </c>
      <c r="CD672">
        <v>0</v>
      </c>
      <c r="CE672">
        <v>0</v>
      </c>
      <c r="CF672">
        <v>0</v>
      </c>
      <c r="CG672">
        <v>0</v>
      </c>
      <c r="CH672">
        <v>0</v>
      </c>
      <c r="CI672">
        <v>0</v>
      </c>
      <c r="CJ672">
        <v>0</v>
      </c>
      <c r="CK672">
        <v>0</v>
      </c>
      <c r="CL672">
        <v>0</v>
      </c>
      <c r="CM672">
        <v>0</v>
      </c>
      <c r="CN672" t="str">
        <f t="shared" si="794"/>
        <v>refOK</v>
      </c>
      <c r="CO672">
        <f t="shared" si="795"/>
        <v>24</v>
      </c>
      <c r="CP672">
        <f t="shared" si="796"/>
        <v>71.62</v>
      </c>
      <c r="CQ672">
        <f t="shared" si="797"/>
        <v>9.7183673469387777E-2</v>
      </c>
      <c r="CR672">
        <f t="shared" si="798"/>
        <v>0</v>
      </c>
      <c r="CS672">
        <f t="shared" si="799"/>
        <v>0</v>
      </c>
      <c r="CT672">
        <f t="shared" si="800"/>
        <v>0.189</v>
      </c>
      <c r="CU672">
        <f t="shared" si="801"/>
        <v>1.9447711045779079</v>
      </c>
      <c r="CV672" s="2" t="str">
        <f t="shared" si="802"/>
        <v/>
      </c>
      <c r="CW672" s="1" t="s">
        <v>1202</v>
      </c>
      <c r="CX672" s="264" t="str">
        <f t="shared" si="803"/>
        <v>reg</v>
      </c>
      <c r="CY672" t="s">
        <v>690</v>
      </c>
      <c r="CZ672">
        <v>2019</v>
      </c>
      <c r="DB672">
        <v>0</v>
      </c>
      <c r="DC672" t="str">
        <f t="shared" si="804"/>
        <v>0</v>
      </c>
      <c r="DD672">
        <v>0</v>
      </c>
      <c r="DE672">
        <v>0</v>
      </c>
      <c r="DF672">
        <v>0</v>
      </c>
      <c r="DG672">
        <v>1</v>
      </c>
      <c r="DI672">
        <f t="shared" si="805"/>
        <v>1</v>
      </c>
      <c r="DJ672" t="str">
        <f t="shared" si="806"/>
        <v>TimberInput</v>
      </c>
      <c r="DK672">
        <f t="shared" si="807"/>
        <v>0</v>
      </c>
      <c r="DL672">
        <f t="shared" si="808"/>
        <v>0</v>
      </c>
      <c r="DM672">
        <f t="shared" si="809"/>
        <v>0</v>
      </c>
      <c r="DN672" t="str">
        <f t="shared" si="810"/>
        <v>Timber</v>
      </c>
      <c r="DO672">
        <v>1</v>
      </c>
      <c r="DP672">
        <v>0</v>
      </c>
      <c r="DQ672">
        <v>0</v>
      </c>
      <c r="DR672">
        <v>0</v>
      </c>
      <c r="DS672">
        <v>0</v>
      </c>
      <c r="DT672">
        <f t="shared" si="811"/>
        <v>1</v>
      </c>
      <c r="DU672" s="143" t="str">
        <f t="shared" si="812"/>
        <v>self-calculated DF</v>
      </c>
      <c r="DV672">
        <v>0</v>
      </c>
      <c r="DW672">
        <v>0</v>
      </c>
      <c r="DX672">
        <v>0</v>
      </c>
      <c r="DY672">
        <v>0</v>
      </c>
      <c r="DZ672">
        <v>0</v>
      </c>
      <c r="EA672" s="143">
        <v>1</v>
      </c>
      <c r="EB672">
        <v>0</v>
      </c>
      <c r="EC672">
        <v>1</v>
      </c>
      <c r="ED672">
        <v>0</v>
      </c>
      <c r="EE672">
        <v>0</v>
      </c>
      <c r="EF672">
        <v>0</v>
      </c>
      <c r="EG672">
        <v>0</v>
      </c>
      <c r="EH672">
        <v>0</v>
      </c>
      <c r="EI672" s="2">
        <v>0</v>
      </c>
      <c r="EK672" t="str">
        <f t="shared" si="813"/>
        <v/>
      </c>
      <c r="EL672" t="str">
        <f t="shared" si="814"/>
        <v/>
      </c>
      <c r="EM672" s="2" t="str">
        <f t="shared" si="728"/>
        <v/>
      </c>
      <c r="EN672" t="s">
        <v>1602</v>
      </c>
      <c r="EP672" t="str">
        <f>IF(ISNUMBER(BU672),IF(ABS(BU672-[4]QC_indicators!$B$2)&gt;3*[4]QC_indicators!$C$2,"C ratio",IF(ISNUMBER(BY672),IF(ABS(BY672-[4]QC_indicators!$B$1)&gt;3*[4]QC_indicators!$C$1,"DF","no"))),IF(ISNUMBER(BY672),IF(ABS(BY672-[4]QC_indicators!$B$1)&gt;3*[4]QC_indicators!$C$1,"DF","no")))</f>
        <v>no</v>
      </c>
      <c r="ER672" t="s">
        <v>1603</v>
      </c>
      <c r="ET672" s="264" t="s">
        <v>3406</v>
      </c>
    </row>
    <row r="673" spans="1:150" ht="15" hidden="1" customHeight="1">
      <c r="A673" s="1" t="s">
        <v>562</v>
      </c>
      <c r="B673" t="s">
        <v>544</v>
      </c>
      <c r="C673" t="s">
        <v>1592</v>
      </c>
      <c r="D673" t="s">
        <v>1593</v>
      </c>
      <c r="E673" t="s">
        <v>1594</v>
      </c>
      <c r="F673" t="s">
        <v>1595</v>
      </c>
      <c r="G673" t="s">
        <v>567</v>
      </c>
      <c r="H673" t="s">
        <v>254</v>
      </c>
      <c r="I673">
        <v>2019</v>
      </c>
      <c r="J673">
        <v>15</v>
      </c>
      <c r="K673" t="s">
        <v>1596</v>
      </c>
      <c r="M673" t="str">
        <f t="shared" si="732"/>
        <v>Geng_2019</v>
      </c>
      <c r="N673" t="s">
        <v>222</v>
      </c>
      <c r="O673" s="181" t="s">
        <v>225</v>
      </c>
      <c r="Q673" s="264" t="s">
        <v>256</v>
      </c>
      <c r="R673" s="269" t="s">
        <v>1153</v>
      </c>
      <c r="S673" s="1" t="s">
        <v>1597</v>
      </c>
      <c r="T673" t="s">
        <v>1613</v>
      </c>
      <c r="V673">
        <v>0</v>
      </c>
      <c r="W673">
        <v>0</v>
      </c>
      <c r="X673">
        <v>0</v>
      </c>
      <c r="Y673">
        <v>0</v>
      </c>
      <c r="Z673">
        <v>0</v>
      </c>
      <c r="AA673">
        <v>0</v>
      </c>
      <c r="AB673">
        <v>0</v>
      </c>
      <c r="AC673">
        <v>0</v>
      </c>
      <c r="AD673">
        <v>0</v>
      </c>
      <c r="AE673">
        <v>0</v>
      </c>
      <c r="AF673">
        <v>0</v>
      </c>
      <c r="AG673">
        <v>0</v>
      </c>
      <c r="AH673">
        <v>0</v>
      </c>
      <c r="AI673">
        <v>0</v>
      </c>
      <c r="AJ673">
        <v>0</v>
      </c>
      <c r="AK673">
        <v>1</v>
      </c>
      <c r="AL673">
        <v>0</v>
      </c>
      <c r="AM673">
        <v>0</v>
      </c>
      <c r="AN673">
        <v>0</v>
      </c>
      <c r="AO673">
        <v>0</v>
      </c>
      <c r="AP673">
        <v>0</v>
      </c>
      <c r="AQ673">
        <v>0</v>
      </c>
      <c r="AR673">
        <v>0</v>
      </c>
      <c r="AS673">
        <v>0</v>
      </c>
      <c r="AT673">
        <v>0</v>
      </c>
      <c r="AU673">
        <v>0</v>
      </c>
      <c r="AV673">
        <v>0</v>
      </c>
      <c r="AW673">
        <v>0</v>
      </c>
      <c r="AX673" s="141">
        <f t="shared" si="784"/>
        <v>1</v>
      </c>
      <c r="AY673" s="141">
        <f t="shared" si="785"/>
        <v>1</v>
      </c>
      <c r="AZ673">
        <f t="shared" si="786"/>
        <v>0</v>
      </c>
      <c r="BA673">
        <f t="shared" si="787"/>
        <v>0</v>
      </c>
      <c r="BB673">
        <f t="shared" si="788"/>
        <v>1</v>
      </c>
      <c r="BC673">
        <f t="shared" si="789"/>
        <v>0</v>
      </c>
      <c r="BD673">
        <f t="shared" si="790"/>
        <v>0</v>
      </c>
      <c r="BE673" t="str" cm="1">
        <f t="array" ref="BE673">IF(AY673=1,INDEX($V$7:$AL$7,MATCH(TRUE,INDEX($V673:$AW673&lt;&gt;0,),0)),IF(AY673=0,INDEX($AM$7:$AW$7,MATCH(1,$AM673:$AW673,0)),IF(BF673="Multiple strategies","mixed drivers",IF(BF673="Supply chain","multiple supply","multiple silviculture"))))</f>
        <v>technologies/design switch</v>
      </c>
      <c r="BF673" s="2" t="str" cm="1">
        <f t="array" ref="BF673">IF(COUNTIF(AZ673:BB673,"&lt;&gt;0")=1,INDEX($V$4:$AW$4,MATCH(TRUE,INDEX($V673:$AW673&lt;&gt;0,),0)),IF(COUNTIF(AZ673:BB673,"&lt;&gt;0")=0,INDEX($AM$4:$AW$4,MATCH(1,$AM673:$AW673,0)),"Multiple strategies"))</f>
        <v>Technology</v>
      </c>
      <c r="BG673" s="1" t="s">
        <v>229</v>
      </c>
      <c r="BH673" t="s">
        <v>1599</v>
      </c>
      <c r="BJ673" t="s">
        <v>261</v>
      </c>
      <c r="BK673">
        <v>26</v>
      </c>
      <c r="BL673">
        <v>85.25</v>
      </c>
      <c r="BM673">
        <f t="shared" si="815"/>
        <v>3.2788461538461537</v>
      </c>
      <c r="BN673">
        <f t="shared" si="791"/>
        <v>59.25</v>
      </c>
      <c r="BO673">
        <f t="shared" si="792"/>
        <v>0.12091836734693878</v>
      </c>
      <c r="BP673" t="s">
        <v>232</v>
      </c>
      <c r="BR673" t="s">
        <v>1608</v>
      </c>
      <c r="BU673" s="144" t="str">
        <f t="shared" si="793"/>
        <v/>
      </c>
      <c r="BV673">
        <v>0.28000000000000003</v>
      </c>
      <c r="BX673">
        <f t="shared" si="816"/>
        <v>0.28000000000000003</v>
      </c>
      <c r="BY673">
        <f t="shared" si="727"/>
        <v>2.3156118143459916</v>
      </c>
      <c r="BZ673">
        <v>0</v>
      </c>
      <c r="CA673">
        <v>0</v>
      </c>
      <c r="CB673">
        <v>0</v>
      </c>
      <c r="CC673">
        <v>0</v>
      </c>
      <c r="CD673">
        <v>0</v>
      </c>
      <c r="CE673">
        <v>0</v>
      </c>
      <c r="CF673">
        <v>0</v>
      </c>
      <c r="CG673">
        <v>0</v>
      </c>
      <c r="CH673">
        <v>0</v>
      </c>
      <c r="CI673">
        <v>0</v>
      </c>
      <c r="CJ673">
        <v>0</v>
      </c>
      <c r="CK673">
        <v>0</v>
      </c>
      <c r="CL673">
        <v>0</v>
      </c>
      <c r="CM673">
        <v>0</v>
      </c>
      <c r="CN673" t="str">
        <f t="shared" si="794"/>
        <v>refOK</v>
      </c>
      <c r="CO673">
        <f t="shared" si="795"/>
        <v>26</v>
      </c>
      <c r="CP673">
        <f t="shared" si="796"/>
        <v>85.25</v>
      </c>
      <c r="CQ673">
        <f t="shared" si="797"/>
        <v>0.12091836734693878</v>
      </c>
      <c r="CR673">
        <f t="shared" si="798"/>
        <v>0</v>
      </c>
      <c r="CS673">
        <f t="shared" si="799"/>
        <v>0</v>
      </c>
      <c r="CT673">
        <f t="shared" si="800"/>
        <v>0.28000000000000003</v>
      </c>
      <c r="CU673">
        <f t="shared" si="801"/>
        <v>2.3156118143459916</v>
      </c>
      <c r="CV673" s="2" t="str">
        <f t="shared" si="802"/>
        <v/>
      </c>
      <c r="CW673" s="1" t="s">
        <v>1202</v>
      </c>
      <c r="CX673" s="264" t="str">
        <f t="shared" si="803"/>
        <v>reg</v>
      </c>
      <c r="CY673" t="s">
        <v>690</v>
      </c>
      <c r="CZ673">
        <v>2019</v>
      </c>
      <c r="DB673">
        <v>0</v>
      </c>
      <c r="DC673" t="str">
        <f t="shared" si="804"/>
        <v>0</v>
      </c>
      <c r="DD673">
        <v>0</v>
      </c>
      <c r="DE673">
        <v>0</v>
      </c>
      <c r="DF673">
        <v>0</v>
      </c>
      <c r="DG673">
        <v>1</v>
      </c>
      <c r="DI673">
        <f t="shared" si="805"/>
        <v>1</v>
      </c>
      <c r="DJ673" t="str">
        <f t="shared" si="806"/>
        <v>TimberInput</v>
      </c>
      <c r="DK673">
        <f t="shared" si="807"/>
        <v>0</v>
      </c>
      <c r="DL673">
        <f t="shared" si="808"/>
        <v>0</v>
      </c>
      <c r="DM673">
        <f t="shared" si="809"/>
        <v>0</v>
      </c>
      <c r="DN673" t="str">
        <f t="shared" si="810"/>
        <v>Timber</v>
      </c>
      <c r="DO673">
        <v>1</v>
      </c>
      <c r="DP673">
        <v>0</v>
      </c>
      <c r="DQ673">
        <v>0</v>
      </c>
      <c r="DR673">
        <v>0</v>
      </c>
      <c r="DS673">
        <v>0</v>
      </c>
      <c r="DT673">
        <f t="shared" si="811"/>
        <v>1</v>
      </c>
      <c r="DU673" s="143" t="str">
        <f t="shared" si="812"/>
        <v>self-calculated DF</v>
      </c>
      <c r="DV673">
        <v>0</v>
      </c>
      <c r="DW673">
        <v>0</v>
      </c>
      <c r="DX673">
        <v>0</v>
      </c>
      <c r="DY673">
        <v>0</v>
      </c>
      <c r="DZ673">
        <v>0</v>
      </c>
      <c r="EA673" s="143">
        <v>1</v>
      </c>
      <c r="EB673">
        <v>0</v>
      </c>
      <c r="EC673">
        <v>1</v>
      </c>
      <c r="ED673">
        <v>0</v>
      </c>
      <c r="EE673">
        <v>0</v>
      </c>
      <c r="EF673">
        <v>0</v>
      </c>
      <c r="EG673">
        <v>0</v>
      </c>
      <c r="EH673">
        <v>0</v>
      </c>
      <c r="EI673" s="2">
        <v>0</v>
      </c>
      <c r="EK673" t="str">
        <f t="shared" si="813"/>
        <v/>
      </c>
      <c r="EL673" t="str">
        <f t="shared" si="814"/>
        <v/>
      </c>
      <c r="EM673" s="2" t="str">
        <f t="shared" si="728"/>
        <v/>
      </c>
      <c r="EN673" t="s">
        <v>1602</v>
      </c>
      <c r="EP673" t="str">
        <f>IF(ISNUMBER(BU673),IF(ABS(BU673-[4]QC_indicators!$B$2)&gt;3*[4]QC_indicators!$C$2,"C ratio",IF(ISNUMBER(BY673),IF(ABS(BY673-[4]QC_indicators!$B$1)&gt;3*[4]QC_indicators!$C$1,"DF","no"))),IF(ISNUMBER(BY673),IF(ABS(BY673-[4]QC_indicators!$B$1)&gt;3*[4]QC_indicators!$C$1,"DF","no")))</f>
        <v>no</v>
      </c>
      <c r="ER673" t="s">
        <v>1603</v>
      </c>
      <c r="ET673" s="264" t="s">
        <v>3406</v>
      </c>
    </row>
    <row r="674" spans="1:150" ht="15" hidden="1" customHeight="1">
      <c r="A674" s="1" t="s">
        <v>562</v>
      </c>
      <c r="B674" t="s">
        <v>544</v>
      </c>
      <c r="C674" t="s">
        <v>1592</v>
      </c>
      <c r="D674" t="s">
        <v>1593</v>
      </c>
      <c r="E674" t="s">
        <v>1594</v>
      </c>
      <c r="F674" t="s">
        <v>1595</v>
      </c>
      <c r="G674" t="s">
        <v>567</v>
      </c>
      <c r="H674" t="s">
        <v>254</v>
      </c>
      <c r="I674">
        <v>2019</v>
      </c>
      <c r="J674">
        <v>15</v>
      </c>
      <c r="K674" t="s">
        <v>1596</v>
      </c>
      <c r="M674" t="str">
        <f t="shared" si="732"/>
        <v>Geng_2019</v>
      </c>
      <c r="N674" t="s">
        <v>222</v>
      </c>
      <c r="O674" s="181" t="s">
        <v>225</v>
      </c>
      <c r="Q674" s="264" t="s">
        <v>256</v>
      </c>
      <c r="R674" s="269" t="s">
        <v>1153</v>
      </c>
      <c r="S674" s="1" t="s">
        <v>1597</v>
      </c>
      <c r="T674" t="s">
        <v>1614</v>
      </c>
      <c r="V674">
        <v>0</v>
      </c>
      <c r="W674">
        <v>0</v>
      </c>
      <c r="X674">
        <v>0</v>
      </c>
      <c r="Y674">
        <v>0</v>
      </c>
      <c r="Z674">
        <v>0</v>
      </c>
      <c r="AA674">
        <v>0</v>
      </c>
      <c r="AB674">
        <v>0</v>
      </c>
      <c r="AC674">
        <v>0</v>
      </c>
      <c r="AD674">
        <v>0</v>
      </c>
      <c r="AE674">
        <v>0</v>
      </c>
      <c r="AF674">
        <v>0</v>
      </c>
      <c r="AG674">
        <v>0</v>
      </c>
      <c r="AH674">
        <v>0</v>
      </c>
      <c r="AI674">
        <v>0</v>
      </c>
      <c r="AJ674">
        <v>0</v>
      </c>
      <c r="AK674">
        <v>1</v>
      </c>
      <c r="AL674">
        <v>0</v>
      </c>
      <c r="AM674">
        <v>0</v>
      </c>
      <c r="AN674">
        <v>0</v>
      </c>
      <c r="AO674">
        <v>0</v>
      </c>
      <c r="AP674">
        <v>0</v>
      </c>
      <c r="AQ674">
        <v>0</v>
      </c>
      <c r="AR674">
        <v>0</v>
      </c>
      <c r="AS674">
        <v>0</v>
      </c>
      <c r="AT674">
        <v>0</v>
      </c>
      <c r="AU674">
        <v>0</v>
      </c>
      <c r="AV674">
        <v>0</v>
      </c>
      <c r="AW674">
        <v>0</v>
      </c>
      <c r="AX674" s="141">
        <f t="shared" si="784"/>
        <v>1</v>
      </c>
      <c r="AY674" s="141">
        <f t="shared" si="785"/>
        <v>1</v>
      </c>
      <c r="AZ674">
        <f t="shared" si="786"/>
        <v>0</v>
      </c>
      <c r="BA674">
        <f t="shared" si="787"/>
        <v>0</v>
      </c>
      <c r="BB674">
        <f t="shared" si="788"/>
        <v>1</v>
      </c>
      <c r="BC674">
        <f t="shared" si="789"/>
        <v>0</v>
      </c>
      <c r="BD674">
        <f t="shared" si="790"/>
        <v>0</v>
      </c>
      <c r="BE674" t="str" cm="1">
        <f t="array" ref="BE674">IF(AY674=1,INDEX($V$7:$AL$7,MATCH(TRUE,INDEX($V674:$AW674&lt;&gt;0,),0)),IF(AY674=0,INDEX($AM$7:$AW$7,MATCH(1,$AM674:$AW674,0)),IF(BF674="Multiple strategies","mixed drivers",IF(BF674="Supply chain","multiple supply","multiple silviculture"))))</f>
        <v>technologies/design switch</v>
      </c>
      <c r="BF674" s="2" t="str" cm="1">
        <f t="array" ref="BF674">IF(COUNTIF(AZ674:BB674,"&lt;&gt;0")=1,INDEX($V$4:$AW$4,MATCH(TRUE,INDEX($V674:$AW674&lt;&gt;0,),0)),IF(COUNTIF(AZ674:BB674,"&lt;&gt;0")=0,INDEX($AM$4:$AW$4,MATCH(1,$AM674:$AW674,0)),"Multiple strategies"))</f>
        <v>Technology</v>
      </c>
      <c r="BG674" s="1" t="s">
        <v>229</v>
      </c>
      <c r="BH674" t="s">
        <v>1599</v>
      </c>
      <c r="BJ674" t="s">
        <v>1600</v>
      </c>
      <c r="BK674">
        <v>5.61</v>
      </c>
      <c r="BL674">
        <v>6.38</v>
      </c>
      <c r="BM674">
        <f t="shared" si="815"/>
        <v>1.1372549019607843</v>
      </c>
      <c r="BN674">
        <f t="shared" si="791"/>
        <v>0.76999999999999957</v>
      </c>
      <c r="BO674">
        <f t="shared" si="792"/>
        <v>1.5714285714285706E-3</v>
      </c>
      <c r="BP674" t="s">
        <v>232</v>
      </c>
      <c r="BR674" t="s">
        <v>1601</v>
      </c>
      <c r="BU674" s="144" t="str">
        <f t="shared" si="793"/>
        <v/>
      </c>
      <c r="BV674">
        <v>3.9980000000000002</v>
      </c>
      <c r="BX674">
        <f>BV674/1000</f>
        <v>3.9979999999999998E-3</v>
      </c>
      <c r="BY674">
        <f t="shared" si="727"/>
        <v>2.5441818181818192</v>
      </c>
      <c r="BZ674">
        <v>0</v>
      </c>
      <c r="CA674">
        <v>0</v>
      </c>
      <c r="CB674">
        <v>0</v>
      </c>
      <c r="CC674">
        <v>0</v>
      </c>
      <c r="CD674">
        <v>0</v>
      </c>
      <c r="CE674">
        <v>0</v>
      </c>
      <c r="CF674">
        <v>0</v>
      </c>
      <c r="CG674">
        <v>0</v>
      </c>
      <c r="CH674">
        <v>0</v>
      </c>
      <c r="CI674">
        <v>0</v>
      </c>
      <c r="CJ674">
        <v>0</v>
      </c>
      <c r="CK674">
        <v>0</v>
      </c>
      <c r="CL674">
        <v>0</v>
      </c>
      <c r="CM674">
        <v>0</v>
      </c>
      <c r="CN674" t="str">
        <f t="shared" si="794"/>
        <v>refOK</v>
      </c>
      <c r="CO674">
        <f t="shared" si="795"/>
        <v>5.61</v>
      </c>
      <c r="CP674">
        <f t="shared" si="796"/>
        <v>6.38</v>
      </c>
      <c r="CQ674">
        <f t="shared" si="797"/>
        <v>1.5714285714285706E-3</v>
      </c>
      <c r="CR674">
        <f t="shared" si="798"/>
        <v>0</v>
      </c>
      <c r="CS674">
        <f t="shared" si="799"/>
        <v>0</v>
      </c>
      <c r="CT674">
        <f t="shared" si="800"/>
        <v>3.9979999999999998E-3</v>
      </c>
      <c r="CU674">
        <f t="shared" si="801"/>
        <v>2.5441818181818192</v>
      </c>
      <c r="CV674" s="2" t="str">
        <f t="shared" si="802"/>
        <v/>
      </c>
      <c r="CW674" s="1" t="s">
        <v>1202</v>
      </c>
      <c r="CX674" s="264" t="str">
        <f t="shared" si="803"/>
        <v>reg</v>
      </c>
      <c r="CY674" t="s">
        <v>690</v>
      </c>
      <c r="CZ674">
        <v>2019</v>
      </c>
      <c r="DB674">
        <v>0</v>
      </c>
      <c r="DC674" t="str">
        <f t="shared" si="804"/>
        <v>0</v>
      </c>
      <c r="DD674">
        <v>0</v>
      </c>
      <c r="DE674">
        <v>0</v>
      </c>
      <c r="DF674">
        <v>0</v>
      </c>
      <c r="DG674">
        <v>1</v>
      </c>
      <c r="DI674">
        <f t="shared" si="805"/>
        <v>1</v>
      </c>
      <c r="DJ674" t="str">
        <f t="shared" si="806"/>
        <v>TimberInput</v>
      </c>
      <c r="DK674">
        <f t="shared" si="807"/>
        <v>0</v>
      </c>
      <c r="DL674">
        <f t="shared" si="808"/>
        <v>0</v>
      </c>
      <c r="DM674">
        <f t="shared" si="809"/>
        <v>0</v>
      </c>
      <c r="DN674" t="str">
        <f t="shared" si="810"/>
        <v>Timber</v>
      </c>
      <c r="DO674">
        <v>1</v>
      </c>
      <c r="DP674">
        <v>0</v>
      </c>
      <c r="DQ674">
        <v>0</v>
      </c>
      <c r="DR674">
        <v>0</v>
      </c>
      <c r="DS674">
        <v>0</v>
      </c>
      <c r="DT674">
        <f t="shared" si="811"/>
        <v>1</v>
      </c>
      <c r="DU674" s="143" t="str">
        <f t="shared" si="812"/>
        <v>self-calculated DF</v>
      </c>
      <c r="DV674">
        <v>0</v>
      </c>
      <c r="DW674">
        <v>0</v>
      </c>
      <c r="DX674">
        <v>0</v>
      </c>
      <c r="DY674">
        <v>0</v>
      </c>
      <c r="DZ674">
        <v>0</v>
      </c>
      <c r="EA674" s="143">
        <v>1</v>
      </c>
      <c r="EB674">
        <v>0</v>
      </c>
      <c r="EC674">
        <v>1</v>
      </c>
      <c r="ED674">
        <v>0</v>
      </c>
      <c r="EE674">
        <v>0</v>
      </c>
      <c r="EF674">
        <v>0</v>
      </c>
      <c r="EG674">
        <v>0</v>
      </c>
      <c r="EH674">
        <v>0</v>
      </c>
      <c r="EI674" s="2">
        <v>0</v>
      </c>
      <c r="EK674" t="str">
        <f t="shared" si="813"/>
        <v/>
      </c>
      <c r="EL674" t="str">
        <f t="shared" si="814"/>
        <v/>
      </c>
      <c r="EM674" s="2" t="str">
        <f t="shared" si="728"/>
        <v/>
      </c>
      <c r="EN674" t="s">
        <v>1602</v>
      </c>
      <c r="EP674" t="str">
        <f>IF(ISNUMBER(BU674),IF(ABS(BU674-[4]QC_indicators!$B$2)&gt;3*[4]QC_indicators!$C$2,"C ratio",IF(ISNUMBER(BY674),IF(ABS(BY674-[4]QC_indicators!$B$1)&gt;3*[4]QC_indicators!$C$1,"DF","no"))),IF(ISNUMBER(BY674),IF(ABS(BY674-[4]QC_indicators!$B$1)&gt;3*[4]QC_indicators!$C$1,"DF","no")))</f>
        <v>no</v>
      </c>
      <c r="ER674" t="s">
        <v>1603</v>
      </c>
      <c r="ET674" s="264" t="s">
        <v>3406</v>
      </c>
    </row>
    <row r="675" spans="1:150" ht="15" hidden="1" customHeight="1">
      <c r="A675" s="1" t="s">
        <v>562</v>
      </c>
      <c r="B675" t="s">
        <v>544</v>
      </c>
      <c r="C675" t="s">
        <v>1592</v>
      </c>
      <c r="D675" t="s">
        <v>1593</v>
      </c>
      <c r="E675" t="s">
        <v>1594</v>
      </c>
      <c r="F675" t="s">
        <v>1595</v>
      </c>
      <c r="G675" t="s">
        <v>567</v>
      </c>
      <c r="H675" t="s">
        <v>254</v>
      </c>
      <c r="I675">
        <v>2019</v>
      </c>
      <c r="J675">
        <v>15</v>
      </c>
      <c r="K675" t="s">
        <v>1596</v>
      </c>
      <c r="M675" t="str">
        <f t="shared" si="732"/>
        <v>Geng_2019</v>
      </c>
      <c r="N675" t="s">
        <v>222</v>
      </c>
      <c r="O675" s="181" t="s">
        <v>225</v>
      </c>
      <c r="Q675" s="264" t="s">
        <v>256</v>
      </c>
      <c r="R675" s="269" t="s">
        <v>1153</v>
      </c>
      <c r="S675" s="1" t="s">
        <v>1597</v>
      </c>
      <c r="T675" t="s">
        <v>1615</v>
      </c>
      <c r="V675">
        <v>0</v>
      </c>
      <c r="W675">
        <v>0</v>
      </c>
      <c r="X675">
        <v>0</v>
      </c>
      <c r="Y675">
        <v>0</v>
      </c>
      <c r="Z675">
        <v>0</v>
      </c>
      <c r="AA675">
        <v>0</v>
      </c>
      <c r="AB675">
        <v>0</v>
      </c>
      <c r="AC675">
        <v>0</v>
      </c>
      <c r="AD675">
        <v>0</v>
      </c>
      <c r="AE675">
        <v>0</v>
      </c>
      <c r="AF675">
        <v>0</v>
      </c>
      <c r="AG675">
        <v>0</v>
      </c>
      <c r="AH675">
        <v>0</v>
      </c>
      <c r="AI675">
        <v>0</v>
      </c>
      <c r="AJ675">
        <v>0</v>
      </c>
      <c r="AK675">
        <v>1</v>
      </c>
      <c r="AL675">
        <v>0</v>
      </c>
      <c r="AM675">
        <v>0</v>
      </c>
      <c r="AN675">
        <v>0</v>
      </c>
      <c r="AO675">
        <v>0</v>
      </c>
      <c r="AP675">
        <v>0</v>
      </c>
      <c r="AQ675">
        <v>0</v>
      </c>
      <c r="AR675">
        <v>0</v>
      </c>
      <c r="AS675">
        <v>0</v>
      </c>
      <c r="AT675">
        <v>0</v>
      </c>
      <c r="AU675">
        <v>0</v>
      </c>
      <c r="AV675">
        <v>0</v>
      </c>
      <c r="AW675">
        <v>0</v>
      </c>
      <c r="AX675" s="141">
        <f t="shared" si="784"/>
        <v>1</v>
      </c>
      <c r="AY675" s="141">
        <f t="shared" si="785"/>
        <v>1</v>
      </c>
      <c r="AZ675">
        <f t="shared" si="786"/>
        <v>0</v>
      </c>
      <c r="BA675">
        <f t="shared" si="787"/>
        <v>0</v>
      </c>
      <c r="BB675">
        <f t="shared" si="788"/>
        <v>1</v>
      </c>
      <c r="BC675">
        <f t="shared" si="789"/>
        <v>0</v>
      </c>
      <c r="BD675">
        <f t="shared" si="790"/>
        <v>0</v>
      </c>
      <c r="BE675" t="str" cm="1">
        <f t="array" ref="BE675">IF(AY675=1,INDEX($V$7:$AL$7,MATCH(TRUE,INDEX($V675:$AW675&lt;&gt;0,),0)),IF(AY675=0,INDEX($AM$7:$AW$7,MATCH(1,$AM675:$AW675,0)),IF(BF675="Multiple strategies","mixed drivers",IF(BF675="Supply chain","multiple supply","multiple silviculture"))))</f>
        <v>technologies/design switch</v>
      </c>
      <c r="BF675" s="2" t="str" cm="1">
        <f t="array" ref="BF675">IF(COUNTIF(AZ675:BB675,"&lt;&gt;0")=1,INDEX($V$4:$AW$4,MATCH(TRUE,INDEX($V675:$AW675&lt;&gt;0,),0)),IF(COUNTIF(AZ675:BB675,"&lt;&gt;0")=0,INDEX($AM$4:$AW$4,MATCH(1,$AM675:$AW675,0)),"Multiple strategies"))</f>
        <v>Technology</v>
      </c>
      <c r="BG675" s="1" t="s">
        <v>229</v>
      </c>
      <c r="BH675" t="s">
        <v>1599</v>
      </c>
      <c r="BJ675" t="s">
        <v>261</v>
      </c>
      <c r="BK675">
        <v>34</v>
      </c>
      <c r="BL675">
        <v>66</v>
      </c>
      <c r="BM675">
        <f t="shared" si="815"/>
        <v>1.9411764705882353</v>
      </c>
      <c r="BN675">
        <f t="shared" si="791"/>
        <v>32</v>
      </c>
      <c r="BO675">
        <f t="shared" si="792"/>
        <v>6.5306122448979598E-2</v>
      </c>
      <c r="BP675" t="s">
        <v>232</v>
      </c>
      <c r="BR675" t="s">
        <v>1608</v>
      </c>
      <c r="BU675" s="144" t="str">
        <f t="shared" si="793"/>
        <v/>
      </c>
      <c r="BV675">
        <v>0.17599999999999999</v>
      </c>
      <c r="BX675">
        <f>BV675</f>
        <v>0.17599999999999999</v>
      </c>
      <c r="BY675">
        <f t="shared" si="727"/>
        <v>2.6949999999999994</v>
      </c>
      <c r="BZ675">
        <v>0</v>
      </c>
      <c r="CA675">
        <v>0</v>
      </c>
      <c r="CB675">
        <v>0</v>
      </c>
      <c r="CC675">
        <v>0</v>
      </c>
      <c r="CD675">
        <v>0</v>
      </c>
      <c r="CE675">
        <v>0</v>
      </c>
      <c r="CF675">
        <v>0</v>
      </c>
      <c r="CG675">
        <v>0</v>
      </c>
      <c r="CH675">
        <v>0</v>
      </c>
      <c r="CI675">
        <v>0</v>
      </c>
      <c r="CJ675">
        <v>0</v>
      </c>
      <c r="CK675">
        <v>0</v>
      </c>
      <c r="CL675">
        <v>0</v>
      </c>
      <c r="CM675">
        <v>0</v>
      </c>
      <c r="CN675" t="str">
        <f t="shared" si="794"/>
        <v>refOK</v>
      </c>
      <c r="CO675">
        <f t="shared" si="795"/>
        <v>34</v>
      </c>
      <c r="CP675">
        <f t="shared" si="796"/>
        <v>66</v>
      </c>
      <c r="CQ675">
        <f t="shared" si="797"/>
        <v>6.5306122448979598E-2</v>
      </c>
      <c r="CR675">
        <f t="shared" si="798"/>
        <v>0</v>
      </c>
      <c r="CS675">
        <f t="shared" si="799"/>
        <v>0</v>
      </c>
      <c r="CT675">
        <f t="shared" si="800"/>
        <v>0.17599999999999999</v>
      </c>
      <c r="CU675">
        <f t="shared" si="801"/>
        <v>2.6949999999999994</v>
      </c>
      <c r="CV675" s="2" t="str">
        <f t="shared" si="802"/>
        <v/>
      </c>
      <c r="CW675" s="1" t="s">
        <v>1202</v>
      </c>
      <c r="CX675" s="264" t="str">
        <f t="shared" si="803"/>
        <v>reg</v>
      </c>
      <c r="CY675" t="s">
        <v>690</v>
      </c>
      <c r="CZ675">
        <v>2019</v>
      </c>
      <c r="DB675">
        <v>0</v>
      </c>
      <c r="DC675" t="str">
        <f t="shared" si="804"/>
        <v>0</v>
      </c>
      <c r="DD675">
        <v>0</v>
      </c>
      <c r="DE675">
        <v>0</v>
      </c>
      <c r="DF675">
        <v>0</v>
      </c>
      <c r="DG675">
        <v>1</v>
      </c>
      <c r="DI675">
        <f t="shared" si="805"/>
        <v>1</v>
      </c>
      <c r="DJ675" t="str">
        <f t="shared" si="806"/>
        <v>TimberInput</v>
      </c>
      <c r="DK675">
        <f t="shared" si="807"/>
        <v>0</v>
      </c>
      <c r="DL675">
        <f t="shared" si="808"/>
        <v>0</v>
      </c>
      <c r="DM675">
        <f t="shared" si="809"/>
        <v>0</v>
      </c>
      <c r="DN675" t="str">
        <f t="shared" si="810"/>
        <v>Timber</v>
      </c>
      <c r="DO675">
        <v>1</v>
      </c>
      <c r="DP675">
        <v>0</v>
      </c>
      <c r="DQ675">
        <v>0</v>
      </c>
      <c r="DR675">
        <v>0</v>
      </c>
      <c r="DS675">
        <v>0</v>
      </c>
      <c r="DT675">
        <f t="shared" si="811"/>
        <v>1</v>
      </c>
      <c r="DU675" s="143" t="str">
        <f t="shared" si="812"/>
        <v>self-calculated DF</v>
      </c>
      <c r="DV675">
        <v>0</v>
      </c>
      <c r="DW675">
        <v>0</v>
      </c>
      <c r="DX675">
        <v>0</v>
      </c>
      <c r="DY675">
        <v>0</v>
      </c>
      <c r="DZ675">
        <v>0</v>
      </c>
      <c r="EA675" s="143">
        <v>1</v>
      </c>
      <c r="EB675">
        <v>0</v>
      </c>
      <c r="EC675">
        <v>1</v>
      </c>
      <c r="ED675">
        <v>0</v>
      </c>
      <c r="EE675">
        <v>0</v>
      </c>
      <c r="EF675">
        <v>0</v>
      </c>
      <c r="EG675">
        <v>0</v>
      </c>
      <c r="EH675">
        <v>0</v>
      </c>
      <c r="EI675" s="2">
        <v>0</v>
      </c>
      <c r="EK675" t="str">
        <f t="shared" si="813"/>
        <v/>
      </c>
      <c r="EL675" t="str">
        <f t="shared" si="814"/>
        <v/>
      </c>
      <c r="EM675" s="2" t="str">
        <f t="shared" si="728"/>
        <v/>
      </c>
      <c r="EN675" t="s">
        <v>1602</v>
      </c>
      <c r="EP675" t="str">
        <f>IF(ISNUMBER(BU675),IF(ABS(BU675-[4]QC_indicators!$B$2)&gt;3*[4]QC_indicators!$C$2,"C ratio",IF(ISNUMBER(BY675),IF(ABS(BY675-[4]QC_indicators!$B$1)&gt;3*[4]QC_indicators!$C$1,"DF","no"))),IF(ISNUMBER(BY675),IF(ABS(BY675-[4]QC_indicators!$B$1)&gt;3*[4]QC_indicators!$C$1,"DF","no")))</f>
        <v>no</v>
      </c>
      <c r="ER675" t="s">
        <v>1603</v>
      </c>
      <c r="ET675" s="264" t="s">
        <v>3406</v>
      </c>
    </row>
    <row r="676" spans="1:150" ht="15" hidden="1" customHeight="1">
      <c r="A676" s="1" t="s">
        <v>562</v>
      </c>
      <c r="B676" t="s">
        <v>544</v>
      </c>
      <c r="C676" t="s">
        <v>1592</v>
      </c>
      <c r="D676" t="s">
        <v>1593</v>
      </c>
      <c r="E676" t="s">
        <v>1594</v>
      </c>
      <c r="F676" t="s">
        <v>1595</v>
      </c>
      <c r="G676" t="s">
        <v>567</v>
      </c>
      <c r="H676" t="s">
        <v>254</v>
      </c>
      <c r="I676">
        <v>2019</v>
      </c>
      <c r="J676">
        <v>15</v>
      </c>
      <c r="K676" t="s">
        <v>1596</v>
      </c>
      <c r="M676" t="str">
        <f t="shared" si="732"/>
        <v>Geng_2019</v>
      </c>
      <c r="N676" t="s">
        <v>222</v>
      </c>
      <c r="O676" s="181" t="s">
        <v>225</v>
      </c>
      <c r="Q676" s="264" t="s">
        <v>256</v>
      </c>
      <c r="R676" s="269" t="s">
        <v>1153</v>
      </c>
      <c r="S676" s="1" t="s">
        <v>1597</v>
      </c>
      <c r="T676" t="s">
        <v>1616</v>
      </c>
      <c r="V676">
        <v>0</v>
      </c>
      <c r="W676">
        <v>0</v>
      </c>
      <c r="X676">
        <v>0</v>
      </c>
      <c r="Y676">
        <v>0</v>
      </c>
      <c r="Z676">
        <v>0</v>
      </c>
      <c r="AA676">
        <v>0</v>
      </c>
      <c r="AB676">
        <v>0</v>
      </c>
      <c r="AC676">
        <v>0</v>
      </c>
      <c r="AD676">
        <v>0</v>
      </c>
      <c r="AE676">
        <v>0</v>
      </c>
      <c r="AF676">
        <v>0</v>
      </c>
      <c r="AG676">
        <v>0</v>
      </c>
      <c r="AH676">
        <v>0</v>
      </c>
      <c r="AI676">
        <v>0</v>
      </c>
      <c r="AJ676">
        <v>0</v>
      </c>
      <c r="AK676">
        <v>1</v>
      </c>
      <c r="AL676">
        <v>0</v>
      </c>
      <c r="AM676">
        <v>0</v>
      </c>
      <c r="AN676">
        <v>0</v>
      </c>
      <c r="AO676">
        <v>0</v>
      </c>
      <c r="AP676">
        <v>0</v>
      </c>
      <c r="AQ676">
        <v>0</v>
      </c>
      <c r="AR676">
        <v>0</v>
      </c>
      <c r="AS676">
        <v>0</v>
      </c>
      <c r="AT676">
        <v>0</v>
      </c>
      <c r="AU676">
        <v>0</v>
      </c>
      <c r="AV676">
        <v>0</v>
      </c>
      <c r="AW676">
        <v>0</v>
      </c>
      <c r="AX676" s="141">
        <f t="shared" si="784"/>
        <v>1</v>
      </c>
      <c r="AY676" s="141">
        <f t="shared" si="785"/>
        <v>1</v>
      </c>
      <c r="AZ676">
        <f t="shared" si="786"/>
        <v>0</v>
      </c>
      <c r="BA676">
        <f t="shared" si="787"/>
        <v>0</v>
      </c>
      <c r="BB676">
        <f t="shared" si="788"/>
        <v>1</v>
      </c>
      <c r="BC676">
        <f t="shared" si="789"/>
        <v>0</v>
      </c>
      <c r="BD676">
        <f t="shared" si="790"/>
        <v>0</v>
      </c>
      <c r="BE676" t="str" cm="1">
        <f t="array" ref="BE676">IF(AY676=1,INDEX($V$7:$AL$7,MATCH(TRUE,INDEX($V676:$AW676&lt;&gt;0,),0)),IF(AY676=0,INDEX($AM$7:$AW$7,MATCH(1,$AM676:$AW676,0)),IF(BF676="Multiple strategies","mixed drivers",IF(BF676="Supply chain","multiple supply","multiple silviculture"))))</f>
        <v>technologies/design switch</v>
      </c>
      <c r="BF676" s="2" t="str" cm="1">
        <f t="array" ref="BF676">IF(COUNTIF(AZ676:BB676,"&lt;&gt;0")=1,INDEX($V$4:$AW$4,MATCH(TRUE,INDEX($V676:$AW676&lt;&gt;0,),0)),IF(COUNTIF(AZ676:BB676,"&lt;&gt;0")=0,INDEX($AM$4:$AW$4,MATCH(1,$AM676:$AW676,0)),"Multiple strategies"))</f>
        <v>Technology</v>
      </c>
      <c r="BG676" s="1" t="s">
        <v>229</v>
      </c>
      <c r="BH676" t="s">
        <v>1599</v>
      </c>
      <c r="BJ676" t="s">
        <v>261</v>
      </c>
      <c r="BK676">
        <v>26</v>
      </c>
      <c r="BL676">
        <v>82.35</v>
      </c>
      <c r="BM676">
        <f t="shared" si="815"/>
        <v>3.1673076923076922</v>
      </c>
      <c r="BN676">
        <f t="shared" si="791"/>
        <v>56.349999999999994</v>
      </c>
      <c r="BO676">
        <f t="shared" si="792"/>
        <v>0.115</v>
      </c>
      <c r="BP676" t="s">
        <v>232</v>
      </c>
      <c r="BR676" t="s">
        <v>1608</v>
      </c>
      <c r="BU676" s="144" t="str">
        <f t="shared" si="793"/>
        <v/>
      </c>
      <c r="BV676">
        <v>0.314</v>
      </c>
      <c r="BX676">
        <f>BV676</f>
        <v>0.314</v>
      </c>
      <c r="BY676">
        <f t="shared" si="727"/>
        <v>2.7304347826086954</v>
      </c>
      <c r="BZ676">
        <v>0</v>
      </c>
      <c r="CA676">
        <v>0</v>
      </c>
      <c r="CB676">
        <v>0</v>
      </c>
      <c r="CC676">
        <v>0</v>
      </c>
      <c r="CD676">
        <v>0</v>
      </c>
      <c r="CE676">
        <v>0</v>
      </c>
      <c r="CF676">
        <v>0</v>
      </c>
      <c r="CG676">
        <v>0</v>
      </c>
      <c r="CH676">
        <v>0</v>
      </c>
      <c r="CI676">
        <v>0</v>
      </c>
      <c r="CJ676">
        <v>0</v>
      </c>
      <c r="CK676">
        <v>0</v>
      </c>
      <c r="CL676">
        <v>0</v>
      </c>
      <c r="CM676">
        <v>0</v>
      </c>
      <c r="CN676" t="str">
        <f t="shared" si="794"/>
        <v>refOK</v>
      </c>
      <c r="CO676">
        <f t="shared" si="795"/>
        <v>26</v>
      </c>
      <c r="CP676">
        <f t="shared" si="796"/>
        <v>82.35</v>
      </c>
      <c r="CQ676">
        <f t="shared" si="797"/>
        <v>0.115</v>
      </c>
      <c r="CR676">
        <f t="shared" si="798"/>
        <v>0</v>
      </c>
      <c r="CS676">
        <f t="shared" si="799"/>
        <v>0</v>
      </c>
      <c r="CT676">
        <f t="shared" si="800"/>
        <v>0.314</v>
      </c>
      <c r="CU676">
        <f t="shared" si="801"/>
        <v>2.7304347826086954</v>
      </c>
      <c r="CV676" s="2" t="str">
        <f t="shared" si="802"/>
        <v/>
      </c>
      <c r="CW676" s="1" t="s">
        <v>1202</v>
      </c>
      <c r="CX676" s="264" t="str">
        <f t="shared" si="803"/>
        <v>reg</v>
      </c>
      <c r="CY676" t="s">
        <v>690</v>
      </c>
      <c r="CZ676">
        <v>2019</v>
      </c>
      <c r="DB676">
        <v>0</v>
      </c>
      <c r="DC676" t="str">
        <f t="shared" si="804"/>
        <v>0</v>
      </c>
      <c r="DD676">
        <v>0</v>
      </c>
      <c r="DE676">
        <v>0</v>
      </c>
      <c r="DF676">
        <v>0</v>
      </c>
      <c r="DG676">
        <v>1</v>
      </c>
      <c r="DI676">
        <f t="shared" si="805"/>
        <v>1</v>
      </c>
      <c r="DJ676" t="str">
        <f t="shared" si="806"/>
        <v>TimberInput</v>
      </c>
      <c r="DK676">
        <f t="shared" si="807"/>
        <v>0</v>
      </c>
      <c r="DL676">
        <f t="shared" si="808"/>
        <v>0</v>
      </c>
      <c r="DM676">
        <f t="shared" si="809"/>
        <v>0</v>
      </c>
      <c r="DN676" t="str">
        <f t="shared" si="810"/>
        <v>Timber</v>
      </c>
      <c r="DO676">
        <v>1</v>
      </c>
      <c r="DP676">
        <v>0</v>
      </c>
      <c r="DQ676">
        <v>0</v>
      </c>
      <c r="DR676">
        <v>0</v>
      </c>
      <c r="DS676">
        <v>0</v>
      </c>
      <c r="DT676">
        <f t="shared" si="811"/>
        <v>1</v>
      </c>
      <c r="DU676" s="143" t="str">
        <f t="shared" si="812"/>
        <v>self-calculated DF</v>
      </c>
      <c r="DV676">
        <v>0</v>
      </c>
      <c r="DW676">
        <v>0</v>
      </c>
      <c r="DX676">
        <v>0</v>
      </c>
      <c r="DY676">
        <v>0</v>
      </c>
      <c r="DZ676">
        <v>0</v>
      </c>
      <c r="EA676" s="143">
        <v>1</v>
      </c>
      <c r="EB676">
        <v>0</v>
      </c>
      <c r="EC676">
        <v>1</v>
      </c>
      <c r="ED676">
        <v>0</v>
      </c>
      <c r="EE676">
        <v>0</v>
      </c>
      <c r="EF676">
        <v>0</v>
      </c>
      <c r="EG676">
        <v>0</v>
      </c>
      <c r="EH676">
        <v>0</v>
      </c>
      <c r="EI676" s="2">
        <v>0</v>
      </c>
      <c r="EK676" t="str">
        <f t="shared" si="813"/>
        <v/>
      </c>
      <c r="EL676" t="str">
        <f t="shared" si="814"/>
        <v/>
      </c>
      <c r="EM676" s="2" t="str">
        <f t="shared" si="728"/>
        <v/>
      </c>
      <c r="EN676" t="s">
        <v>1602</v>
      </c>
      <c r="EP676" t="str">
        <f>IF(ISNUMBER(BU676),IF(ABS(BU676-[4]QC_indicators!$B$2)&gt;3*[4]QC_indicators!$C$2,"C ratio",IF(ISNUMBER(BY676),IF(ABS(BY676-[4]QC_indicators!$B$1)&gt;3*[4]QC_indicators!$C$1,"DF","no"))),IF(ISNUMBER(BY676),IF(ABS(BY676-[4]QC_indicators!$B$1)&gt;3*[4]QC_indicators!$C$1,"DF","no")))</f>
        <v>no</v>
      </c>
      <c r="ER676" t="s">
        <v>1603</v>
      </c>
      <c r="ET676" s="264" t="s">
        <v>3406</v>
      </c>
    </row>
    <row r="677" spans="1:150" ht="15" hidden="1" customHeight="1">
      <c r="A677" s="1" t="s">
        <v>562</v>
      </c>
      <c r="B677" t="s">
        <v>544</v>
      </c>
      <c r="C677" t="s">
        <v>1592</v>
      </c>
      <c r="D677" t="s">
        <v>1593</v>
      </c>
      <c r="E677" t="s">
        <v>1594</v>
      </c>
      <c r="F677" t="s">
        <v>1595</v>
      </c>
      <c r="G677" t="s">
        <v>567</v>
      </c>
      <c r="H677" t="s">
        <v>254</v>
      </c>
      <c r="I677">
        <v>2019</v>
      </c>
      <c r="J677">
        <v>15</v>
      </c>
      <c r="K677" t="s">
        <v>1596</v>
      </c>
      <c r="M677" t="str">
        <f t="shared" si="732"/>
        <v>Geng_2019</v>
      </c>
      <c r="N677" t="s">
        <v>222</v>
      </c>
      <c r="O677" s="181" t="s">
        <v>225</v>
      </c>
      <c r="Q677" s="264" t="s">
        <v>256</v>
      </c>
      <c r="R677" s="269" t="s">
        <v>1153</v>
      </c>
      <c r="S677" s="1" t="s">
        <v>1597</v>
      </c>
      <c r="T677" t="s">
        <v>1617</v>
      </c>
      <c r="V677">
        <v>0</v>
      </c>
      <c r="W677">
        <v>0</v>
      </c>
      <c r="X677">
        <v>0</v>
      </c>
      <c r="Y677">
        <v>0</v>
      </c>
      <c r="Z677">
        <v>0</v>
      </c>
      <c r="AA677">
        <v>0</v>
      </c>
      <c r="AB677">
        <v>0</v>
      </c>
      <c r="AC677">
        <v>0</v>
      </c>
      <c r="AD677">
        <v>0</v>
      </c>
      <c r="AE677">
        <v>0</v>
      </c>
      <c r="AF677">
        <v>0</v>
      </c>
      <c r="AG677">
        <v>0</v>
      </c>
      <c r="AH677">
        <v>0</v>
      </c>
      <c r="AI677">
        <v>0</v>
      </c>
      <c r="AJ677">
        <v>0</v>
      </c>
      <c r="AK677">
        <v>1</v>
      </c>
      <c r="AL677">
        <v>0</v>
      </c>
      <c r="AM677">
        <v>0</v>
      </c>
      <c r="AN677">
        <v>0</v>
      </c>
      <c r="AO677">
        <v>0</v>
      </c>
      <c r="AP677">
        <v>0</v>
      </c>
      <c r="AQ677">
        <v>0</v>
      </c>
      <c r="AR677">
        <v>0</v>
      </c>
      <c r="AS677">
        <v>0</v>
      </c>
      <c r="AT677">
        <v>0</v>
      </c>
      <c r="AU677">
        <v>0</v>
      </c>
      <c r="AV677">
        <v>0</v>
      </c>
      <c r="AW677">
        <v>0</v>
      </c>
      <c r="AX677" s="141">
        <f t="shared" si="784"/>
        <v>1</v>
      </c>
      <c r="AY677" s="141">
        <f t="shared" si="785"/>
        <v>1</v>
      </c>
      <c r="AZ677">
        <f t="shared" si="786"/>
        <v>0</v>
      </c>
      <c r="BA677">
        <f t="shared" si="787"/>
        <v>0</v>
      </c>
      <c r="BB677">
        <f t="shared" si="788"/>
        <v>1</v>
      </c>
      <c r="BC677">
        <f t="shared" si="789"/>
        <v>0</v>
      </c>
      <c r="BD677">
        <f t="shared" si="790"/>
        <v>0</v>
      </c>
      <c r="BE677" t="str" cm="1">
        <f t="array" ref="BE677">IF(AY677=1,INDEX($V$7:$AL$7,MATCH(TRUE,INDEX($V677:$AW677&lt;&gt;0,),0)),IF(AY677=0,INDEX($AM$7:$AW$7,MATCH(1,$AM677:$AW677,0)),IF(BF677="Multiple strategies","mixed drivers",IF(BF677="Supply chain","multiple supply","multiple silviculture"))))</f>
        <v>technologies/design switch</v>
      </c>
      <c r="BF677" s="2" t="str" cm="1">
        <f t="array" ref="BF677">IF(COUNTIF(AZ677:BB677,"&lt;&gt;0")=1,INDEX($V$4:$AW$4,MATCH(TRUE,INDEX($V677:$AW677&lt;&gt;0,),0)),IF(COUNTIF(AZ677:BB677,"&lt;&gt;0")=0,INDEX($AM$4:$AW$4,MATCH(1,$AM677:$AW677,0)),"Multiple strategies"))</f>
        <v>Technology</v>
      </c>
      <c r="BG677" s="1" t="s">
        <v>229</v>
      </c>
      <c r="BH677" t="s">
        <v>1599</v>
      </c>
      <c r="BJ677" t="s">
        <v>261</v>
      </c>
      <c r="BK677">
        <v>26</v>
      </c>
      <c r="BL677">
        <v>71.62</v>
      </c>
      <c r="BM677">
        <f t="shared" si="815"/>
        <v>2.7546153846153847</v>
      </c>
      <c r="BN677">
        <f t="shared" si="791"/>
        <v>45.620000000000005</v>
      </c>
      <c r="BO677">
        <f t="shared" si="792"/>
        <v>9.3102040816326545E-2</v>
      </c>
      <c r="BP677" t="s">
        <v>232</v>
      </c>
      <c r="BR677" t="s">
        <v>1608</v>
      </c>
      <c r="BU677" s="144" t="str">
        <f t="shared" si="793"/>
        <v/>
      </c>
      <c r="BV677">
        <v>0.29899999999999999</v>
      </c>
      <c r="BX677">
        <f>BV677</f>
        <v>0.29899999999999999</v>
      </c>
      <c r="BY677">
        <f t="shared" si="727"/>
        <v>3.2115300306882939</v>
      </c>
      <c r="BZ677">
        <v>0</v>
      </c>
      <c r="CA677">
        <v>0</v>
      </c>
      <c r="CB677">
        <v>0</v>
      </c>
      <c r="CC677">
        <v>0</v>
      </c>
      <c r="CD677">
        <v>0</v>
      </c>
      <c r="CE677">
        <v>0</v>
      </c>
      <c r="CF677">
        <v>0</v>
      </c>
      <c r="CG677">
        <v>0</v>
      </c>
      <c r="CH677">
        <v>0</v>
      </c>
      <c r="CI677">
        <v>0</v>
      </c>
      <c r="CJ677">
        <v>0</v>
      </c>
      <c r="CK677">
        <v>0</v>
      </c>
      <c r="CL677">
        <v>0</v>
      </c>
      <c r="CM677">
        <v>0</v>
      </c>
      <c r="CN677" t="str">
        <f t="shared" si="794"/>
        <v>refOK</v>
      </c>
      <c r="CO677">
        <f t="shared" si="795"/>
        <v>26</v>
      </c>
      <c r="CP677">
        <f t="shared" si="796"/>
        <v>71.62</v>
      </c>
      <c r="CQ677">
        <f t="shared" si="797"/>
        <v>9.3102040816326545E-2</v>
      </c>
      <c r="CR677">
        <f t="shared" si="798"/>
        <v>0</v>
      </c>
      <c r="CS677">
        <f t="shared" si="799"/>
        <v>0</v>
      </c>
      <c r="CT677">
        <f t="shared" si="800"/>
        <v>0.29899999999999999</v>
      </c>
      <c r="CU677">
        <f t="shared" si="801"/>
        <v>3.2115300306882939</v>
      </c>
      <c r="CV677" s="2" t="str">
        <f t="shared" si="802"/>
        <v/>
      </c>
      <c r="CW677" s="1" t="s">
        <v>1202</v>
      </c>
      <c r="CX677" s="264" t="str">
        <f t="shared" si="803"/>
        <v>reg</v>
      </c>
      <c r="CY677" t="s">
        <v>690</v>
      </c>
      <c r="CZ677">
        <v>2019</v>
      </c>
      <c r="DB677">
        <v>0</v>
      </c>
      <c r="DC677" t="str">
        <f t="shared" si="804"/>
        <v>0</v>
      </c>
      <c r="DD677">
        <v>0</v>
      </c>
      <c r="DE677">
        <v>0</v>
      </c>
      <c r="DF677">
        <v>0</v>
      </c>
      <c r="DG677">
        <v>1</v>
      </c>
      <c r="DI677">
        <f t="shared" si="805"/>
        <v>1</v>
      </c>
      <c r="DJ677" t="str">
        <f t="shared" si="806"/>
        <v>TimberInput</v>
      </c>
      <c r="DK677">
        <f t="shared" si="807"/>
        <v>0</v>
      </c>
      <c r="DL677">
        <f t="shared" si="808"/>
        <v>0</v>
      </c>
      <c r="DM677">
        <f t="shared" si="809"/>
        <v>0</v>
      </c>
      <c r="DN677" t="str">
        <f t="shared" si="810"/>
        <v>Timber</v>
      </c>
      <c r="DO677">
        <v>1</v>
      </c>
      <c r="DP677">
        <v>0</v>
      </c>
      <c r="DQ677">
        <v>0</v>
      </c>
      <c r="DR677">
        <v>0</v>
      </c>
      <c r="DS677">
        <v>0</v>
      </c>
      <c r="DT677">
        <f t="shared" si="811"/>
        <v>1</v>
      </c>
      <c r="DU677" s="143" t="str">
        <f t="shared" si="812"/>
        <v>self-calculated DF</v>
      </c>
      <c r="DV677">
        <v>0</v>
      </c>
      <c r="DW677">
        <v>0</v>
      </c>
      <c r="DX677">
        <v>0</v>
      </c>
      <c r="DY677">
        <v>0</v>
      </c>
      <c r="DZ677">
        <v>0</v>
      </c>
      <c r="EA677" s="143">
        <v>1</v>
      </c>
      <c r="EB677">
        <v>0</v>
      </c>
      <c r="EC677">
        <v>1</v>
      </c>
      <c r="ED677">
        <v>0</v>
      </c>
      <c r="EE677">
        <v>0</v>
      </c>
      <c r="EF677">
        <v>0</v>
      </c>
      <c r="EG677">
        <v>0</v>
      </c>
      <c r="EH677">
        <v>0</v>
      </c>
      <c r="EI677" s="2">
        <v>0</v>
      </c>
      <c r="EK677" t="str">
        <f t="shared" si="813"/>
        <v/>
      </c>
      <c r="EL677" t="str">
        <f t="shared" si="814"/>
        <v/>
      </c>
      <c r="EM677" s="2" t="str">
        <f t="shared" si="728"/>
        <v/>
      </c>
      <c r="EN677" t="s">
        <v>1602</v>
      </c>
      <c r="EP677" t="str">
        <f>IF(ISNUMBER(BU677),IF(ABS(BU677-[4]QC_indicators!$B$2)&gt;3*[4]QC_indicators!$C$2,"C ratio",IF(ISNUMBER(BY677),IF(ABS(BY677-[4]QC_indicators!$B$1)&gt;3*[4]QC_indicators!$C$1,"DF","no"))),IF(ISNUMBER(BY677),IF(ABS(BY677-[4]QC_indicators!$B$1)&gt;3*[4]QC_indicators!$C$1,"DF","no")))</f>
        <v>no</v>
      </c>
      <c r="ER677" t="s">
        <v>1603</v>
      </c>
      <c r="ET677" s="264" t="s">
        <v>3406</v>
      </c>
    </row>
    <row r="678" spans="1:150" ht="15" hidden="1" customHeight="1">
      <c r="A678" s="1" t="s">
        <v>562</v>
      </c>
      <c r="B678" t="s">
        <v>544</v>
      </c>
      <c r="C678" t="s">
        <v>1592</v>
      </c>
      <c r="D678" t="s">
        <v>1593</v>
      </c>
      <c r="E678" t="s">
        <v>1594</v>
      </c>
      <c r="F678" t="s">
        <v>1595</v>
      </c>
      <c r="G678" t="s">
        <v>567</v>
      </c>
      <c r="H678" t="s">
        <v>254</v>
      </c>
      <c r="I678">
        <v>2019</v>
      </c>
      <c r="J678">
        <v>15</v>
      </c>
      <c r="K678" t="s">
        <v>1596</v>
      </c>
      <c r="M678" t="str">
        <f t="shared" si="732"/>
        <v>Geng_2019</v>
      </c>
      <c r="N678" t="s">
        <v>222</v>
      </c>
      <c r="O678" s="181" t="s">
        <v>225</v>
      </c>
      <c r="Q678" s="264" t="s">
        <v>256</v>
      </c>
      <c r="R678" s="269" t="s">
        <v>1153</v>
      </c>
      <c r="S678" s="1" t="s">
        <v>1597</v>
      </c>
      <c r="T678" t="s">
        <v>1618</v>
      </c>
      <c r="V678">
        <v>0</v>
      </c>
      <c r="W678">
        <v>0</v>
      </c>
      <c r="X678">
        <v>0</v>
      </c>
      <c r="Y678">
        <v>0</v>
      </c>
      <c r="Z678">
        <v>0</v>
      </c>
      <c r="AA678">
        <v>0</v>
      </c>
      <c r="AB678">
        <v>0</v>
      </c>
      <c r="AC678">
        <v>0</v>
      </c>
      <c r="AD678">
        <v>0</v>
      </c>
      <c r="AE678">
        <v>0</v>
      </c>
      <c r="AF678">
        <v>0</v>
      </c>
      <c r="AG678">
        <v>0</v>
      </c>
      <c r="AH678">
        <v>0</v>
      </c>
      <c r="AI678">
        <v>0</v>
      </c>
      <c r="AJ678">
        <v>0</v>
      </c>
      <c r="AK678">
        <v>1</v>
      </c>
      <c r="AL678">
        <v>0</v>
      </c>
      <c r="AM678">
        <v>0</v>
      </c>
      <c r="AN678">
        <v>0</v>
      </c>
      <c r="AO678">
        <v>0</v>
      </c>
      <c r="AP678">
        <v>0</v>
      </c>
      <c r="AQ678">
        <v>0</v>
      </c>
      <c r="AR678">
        <v>0</v>
      </c>
      <c r="AS678">
        <v>0</v>
      </c>
      <c r="AT678">
        <v>0</v>
      </c>
      <c r="AU678">
        <v>0</v>
      </c>
      <c r="AV678">
        <v>0</v>
      </c>
      <c r="AW678">
        <v>0</v>
      </c>
      <c r="AX678" s="141">
        <f t="shared" si="784"/>
        <v>1</v>
      </c>
      <c r="AY678" s="141">
        <f t="shared" si="785"/>
        <v>1</v>
      </c>
      <c r="AZ678">
        <f t="shared" si="786"/>
        <v>0</v>
      </c>
      <c r="BA678">
        <f t="shared" si="787"/>
        <v>0</v>
      </c>
      <c r="BB678">
        <f t="shared" si="788"/>
        <v>1</v>
      </c>
      <c r="BC678">
        <f t="shared" si="789"/>
        <v>0</v>
      </c>
      <c r="BD678">
        <f t="shared" si="790"/>
        <v>0</v>
      </c>
      <c r="BE678" t="str" cm="1">
        <f t="array" ref="BE678">IF(AY678=1,INDEX($V$7:$AL$7,MATCH(TRUE,INDEX($V678:$AW678&lt;&gt;0,),0)),IF(AY678=0,INDEX($AM$7:$AW$7,MATCH(1,$AM678:$AW678,0)),IF(BF678="Multiple strategies","mixed drivers",IF(BF678="Supply chain","multiple supply","multiple silviculture"))))</f>
        <v>technologies/design switch</v>
      </c>
      <c r="BF678" s="2" t="str" cm="1">
        <f t="array" ref="BF678">IF(COUNTIF(AZ678:BB678,"&lt;&gt;0")=1,INDEX($V$4:$AW$4,MATCH(TRUE,INDEX($V678:$AW678&lt;&gt;0,),0)),IF(COUNTIF(AZ678:BB678,"&lt;&gt;0")=0,INDEX($AM$4:$AW$4,MATCH(1,$AM678:$AW678,0)),"Multiple strategies"))</f>
        <v>Technology</v>
      </c>
      <c r="BG678" s="1" t="s">
        <v>229</v>
      </c>
      <c r="BH678" t="s">
        <v>1599</v>
      </c>
      <c r="BJ678" t="s">
        <v>1600</v>
      </c>
      <c r="BK678">
        <v>16.46</v>
      </c>
      <c r="BL678">
        <v>74.150000000000006</v>
      </c>
      <c r="BM678">
        <f t="shared" si="815"/>
        <v>4.5048602673147027</v>
      </c>
      <c r="BN678">
        <f t="shared" si="791"/>
        <v>57.690000000000005</v>
      </c>
      <c r="BO678">
        <f t="shared" si="792"/>
        <v>0.11773469387755105</v>
      </c>
      <c r="BP678" t="s">
        <v>232</v>
      </c>
      <c r="BR678" t="s">
        <v>1601</v>
      </c>
      <c r="BU678" s="144" t="str">
        <f t="shared" si="793"/>
        <v/>
      </c>
      <c r="BV678">
        <v>655.01</v>
      </c>
      <c r="BX678">
        <f>BV678/1000</f>
        <v>0.65500999999999998</v>
      </c>
      <c r="BY678">
        <f t="shared" si="727"/>
        <v>5.5634408042988373</v>
      </c>
      <c r="BZ678">
        <v>0</v>
      </c>
      <c r="CA678">
        <v>0</v>
      </c>
      <c r="CB678">
        <v>0</v>
      </c>
      <c r="CC678">
        <v>0</v>
      </c>
      <c r="CD678">
        <v>0</v>
      </c>
      <c r="CE678">
        <v>0</v>
      </c>
      <c r="CF678">
        <v>0</v>
      </c>
      <c r="CG678">
        <v>0</v>
      </c>
      <c r="CH678">
        <v>0</v>
      </c>
      <c r="CI678">
        <v>0</v>
      </c>
      <c r="CJ678">
        <v>0</v>
      </c>
      <c r="CK678">
        <v>0</v>
      </c>
      <c r="CL678">
        <v>0</v>
      </c>
      <c r="CM678">
        <v>0</v>
      </c>
      <c r="CN678" t="str">
        <f t="shared" si="794"/>
        <v>refOK</v>
      </c>
      <c r="CO678">
        <f t="shared" si="795"/>
        <v>16.46</v>
      </c>
      <c r="CP678">
        <f t="shared" si="796"/>
        <v>74.150000000000006</v>
      </c>
      <c r="CQ678">
        <f t="shared" si="797"/>
        <v>0.11773469387755105</v>
      </c>
      <c r="CR678">
        <f t="shared" si="798"/>
        <v>0</v>
      </c>
      <c r="CS678">
        <f t="shared" si="799"/>
        <v>0</v>
      </c>
      <c r="CT678">
        <f t="shared" si="800"/>
        <v>0.65500999999999998</v>
      </c>
      <c r="CU678">
        <f t="shared" si="801"/>
        <v>5.5634408042988373</v>
      </c>
      <c r="CV678" s="2" t="str">
        <f t="shared" si="802"/>
        <v/>
      </c>
      <c r="CW678" s="1" t="s">
        <v>1202</v>
      </c>
      <c r="CX678" s="264" t="str">
        <f t="shared" si="803"/>
        <v>reg</v>
      </c>
      <c r="CY678" t="s">
        <v>690</v>
      </c>
      <c r="CZ678">
        <v>2019</v>
      </c>
      <c r="DB678">
        <v>0</v>
      </c>
      <c r="DC678" t="str">
        <f t="shared" si="804"/>
        <v>0</v>
      </c>
      <c r="DD678">
        <v>0</v>
      </c>
      <c r="DE678">
        <v>0</v>
      </c>
      <c r="DF678">
        <v>0</v>
      </c>
      <c r="DG678">
        <v>1</v>
      </c>
      <c r="DI678">
        <f t="shared" si="805"/>
        <v>1</v>
      </c>
      <c r="DJ678" t="str">
        <f t="shared" si="806"/>
        <v>TimberInput</v>
      </c>
      <c r="DK678">
        <f t="shared" si="807"/>
        <v>0</v>
      </c>
      <c r="DL678">
        <f t="shared" si="808"/>
        <v>0</v>
      </c>
      <c r="DM678">
        <f t="shared" si="809"/>
        <v>0</v>
      </c>
      <c r="DN678" t="str">
        <f t="shared" si="810"/>
        <v>Timber</v>
      </c>
      <c r="DO678">
        <v>1</v>
      </c>
      <c r="DP678">
        <v>0</v>
      </c>
      <c r="DQ678">
        <v>0</v>
      </c>
      <c r="DR678">
        <v>0</v>
      </c>
      <c r="DS678">
        <v>0</v>
      </c>
      <c r="DT678">
        <f t="shared" si="811"/>
        <v>1</v>
      </c>
      <c r="DU678" s="143" t="str">
        <f t="shared" si="812"/>
        <v>self-calculated DF</v>
      </c>
      <c r="DV678">
        <v>0</v>
      </c>
      <c r="DW678">
        <v>0</v>
      </c>
      <c r="DX678">
        <v>0</v>
      </c>
      <c r="DY678">
        <v>0</v>
      </c>
      <c r="DZ678">
        <v>0</v>
      </c>
      <c r="EA678" s="143">
        <v>1</v>
      </c>
      <c r="EB678">
        <v>0</v>
      </c>
      <c r="EC678">
        <v>1</v>
      </c>
      <c r="ED678">
        <v>0</v>
      </c>
      <c r="EE678">
        <v>0</v>
      </c>
      <c r="EF678">
        <v>0</v>
      </c>
      <c r="EG678">
        <v>0</v>
      </c>
      <c r="EH678">
        <v>0</v>
      </c>
      <c r="EI678" s="2">
        <v>0</v>
      </c>
      <c r="EK678" t="str">
        <f t="shared" si="813"/>
        <v/>
      </c>
      <c r="EL678" t="str">
        <f t="shared" si="814"/>
        <v/>
      </c>
      <c r="EM678" s="2" t="str">
        <f t="shared" si="728"/>
        <v/>
      </c>
      <c r="EN678" t="s">
        <v>1602</v>
      </c>
      <c r="EP678" t="str">
        <f>IF(ISNUMBER(BU678),IF(ABS(BU678-[4]QC_indicators!$B$2)&gt;3*[4]QC_indicators!$C$2,"C ratio",IF(ISNUMBER(BY678),IF(ABS(BY678-[4]QC_indicators!$B$1)&gt;3*[4]QC_indicators!$C$1,"DF","no"))),IF(ISNUMBER(BY678),IF(ABS(BY678-[4]QC_indicators!$B$1)&gt;3*[4]QC_indicators!$C$1,"DF","no")))</f>
        <v>no</v>
      </c>
      <c r="ER678" t="s">
        <v>1603</v>
      </c>
      <c r="ET678" s="264" t="s">
        <v>3406</v>
      </c>
    </row>
    <row r="679" spans="1:150" ht="15" hidden="1" customHeight="1">
      <c r="A679" s="1" t="s">
        <v>562</v>
      </c>
      <c r="B679" t="s">
        <v>544</v>
      </c>
      <c r="C679" t="s">
        <v>1592</v>
      </c>
      <c r="D679" t="s">
        <v>1593</v>
      </c>
      <c r="E679" t="s">
        <v>1594</v>
      </c>
      <c r="F679" t="s">
        <v>1595</v>
      </c>
      <c r="G679" t="s">
        <v>567</v>
      </c>
      <c r="H679" t="s">
        <v>254</v>
      </c>
      <c r="I679">
        <v>2019</v>
      </c>
      <c r="J679">
        <v>15</v>
      </c>
      <c r="K679" t="s">
        <v>1596</v>
      </c>
      <c r="M679" t="str">
        <f t="shared" si="732"/>
        <v>Geng_2019</v>
      </c>
      <c r="N679" t="s">
        <v>222</v>
      </c>
      <c r="O679" s="181" t="s">
        <v>225</v>
      </c>
      <c r="Q679" s="264" t="s">
        <v>256</v>
      </c>
      <c r="R679" s="269" t="s">
        <v>1153</v>
      </c>
      <c r="S679" s="1" t="s">
        <v>1597</v>
      </c>
      <c r="T679" t="s">
        <v>1619</v>
      </c>
      <c r="V679">
        <v>0</v>
      </c>
      <c r="W679">
        <v>0</v>
      </c>
      <c r="X679">
        <v>0</v>
      </c>
      <c r="Y679">
        <v>0</v>
      </c>
      <c r="Z679">
        <v>0</v>
      </c>
      <c r="AA679">
        <v>0</v>
      </c>
      <c r="AB679">
        <v>0</v>
      </c>
      <c r="AC679">
        <v>0</v>
      </c>
      <c r="AD679">
        <v>0</v>
      </c>
      <c r="AE679">
        <v>0</v>
      </c>
      <c r="AF679">
        <v>0</v>
      </c>
      <c r="AG679">
        <v>0</v>
      </c>
      <c r="AH679">
        <v>0</v>
      </c>
      <c r="AI679">
        <v>0</v>
      </c>
      <c r="AJ679">
        <v>0</v>
      </c>
      <c r="AK679">
        <v>1</v>
      </c>
      <c r="AL679">
        <v>0</v>
      </c>
      <c r="AM679">
        <v>0</v>
      </c>
      <c r="AN679">
        <v>0</v>
      </c>
      <c r="AO679">
        <v>0</v>
      </c>
      <c r="AP679">
        <v>0</v>
      </c>
      <c r="AQ679">
        <v>0</v>
      </c>
      <c r="AR679">
        <v>0</v>
      </c>
      <c r="AS679">
        <v>0</v>
      </c>
      <c r="AT679">
        <v>0</v>
      </c>
      <c r="AU679">
        <v>0</v>
      </c>
      <c r="AV679">
        <v>0</v>
      </c>
      <c r="AW679">
        <v>0</v>
      </c>
      <c r="AX679" s="141">
        <f t="shared" si="784"/>
        <v>1</v>
      </c>
      <c r="AY679" s="141">
        <f t="shared" si="785"/>
        <v>1</v>
      </c>
      <c r="AZ679">
        <f t="shared" si="786"/>
        <v>0</v>
      </c>
      <c r="BA679">
        <f t="shared" si="787"/>
        <v>0</v>
      </c>
      <c r="BB679">
        <f t="shared" si="788"/>
        <v>1</v>
      </c>
      <c r="BC679">
        <f t="shared" si="789"/>
        <v>0</v>
      </c>
      <c r="BD679">
        <f t="shared" si="790"/>
        <v>0</v>
      </c>
      <c r="BE679" t="str" cm="1">
        <f t="array" ref="BE679">IF(AY679=1,INDEX($V$7:$AL$7,MATCH(TRUE,INDEX($V679:$AW679&lt;&gt;0,),0)),IF(AY679=0,INDEX($AM$7:$AW$7,MATCH(1,$AM679:$AW679,0)),IF(BF679="Multiple strategies","mixed drivers",IF(BF679="Supply chain","multiple supply","multiple silviculture"))))</f>
        <v>technologies/design switch</v>
      </c>
      <c r="BF679" s="2" t="str" cm="1">
        <f t="array" ref="BF679">IF(COUNTIF(AZ679:BB679,"&lt;&gt;0")=1,INDEX($V$4:$AW$4,MATCH(TRUE,INDEX($V679:$AW679&lt;&gt;0,),0)),IF(COUNTIF(AZ679:BB679,"&lt;&gt;0")=0,INDEX($AM$4:$AW$4,MATCH(1,$AM679:$AW679,0)),"Multiple strategies"))</f>
        <v>Technology</v>
      </c>
      <c r="BG679" s="1" t="s">
        <v>229</v>
      </c>
      <c r="BH679" t="s">
        <v>1599</v>
      </c>
      <c r="BJ679" t="s">
        <v>261</v>
      </c>
      <c r="BK679">
        <v>27</v>
      </c>
      <c r="BL679">
        <v>66</v>
      </c>
      <c r="BM679">
        <f t="shared" si="815"/>
        <v>2.4444444444444446</v>
      </c>
      <c r="BN679">
        <f t="shared" si="791"/>
        <v>39</v>
      </c>
      <c r="BO679">
        <f t="shared" si="792"/>
        <v>7.9591836734693888E-2</v>
      </c>
      <c r="BP679" t="s">
        <v>232</v>
      </c>
      <c r="BR679" t="s">
        <v>1608</v>
      </c>
      <c r="BU679" s="144" t="str">
        <f t="shared" si="793"/>
        <v/>
      </c>
      <c r="BV679">
        <v>0.48699999999999999</v>
      </c>
      <c r="BX679">
        <f>BV679</f>
        <v>0.48699999999999999</v>
      </c>
      <c r="BY679">
        <f t="shared" si="727"/>
        <v>6.1187179487179479</v>
      </c>
      <c r="BZ679">
        <v>0</v>
      </c>
      <c r="CA679">
        <v>0</v>
      </c>
      <c r="CB679">
        <v>0</v>
      </c>
      <c r="CC679">
        <v>0</v>
      </c>
      <c r="CD679">
        <v>0</v>
      </c>
      <c r="CE679">
        <v>0</v>
      </c>
      <c r="CF679">
        <v>0</v>
      </c>
      <c r="CG679">
        <v>0</v>
      </c>
      <c r="CH679">
        <v>0</v>
      </c>
      <c r="CI679">
        <v>0</v>
      </c>
      <c r="CJ679">
        <v>0</v>
      </c>
      <c r="CK679">
        <v>0</v>
      </c>
      <c r="CL679">
        <v>0</v>
      </c>
      <c r="CM679">
        <v>0</v>
      </c>
      <c r="CN679" t="str">
        <f t="shared" si="794"/>
        <v>refOK</v>
      </c>
      <c r="CO679">
        <f t="shared" si="795"/>
        <v>27</v>
      </c>
      <c r="CP679">
        <f t="shared" si="796"/>
        <v>66</v>
      </c>
      <c r="CQ679">
        <f t="shared" si="797"/>
        <v>7.9591836734693888E-2</v>
      </c>
      <c r="CR679">
        <f t="shared" si="798"/>
        <v>0</v>
      </c>
      <c r="CS679">
        <f t="shared" si="799"/>
        <v>0</v>
      </c>
      <c r="CT679">
        <f t="shared" si="800"/>
        <v>0.48699999999999999</v>
      </c>
      <c r="CU679">
        <f t="shared" si="801"/>
        <v>6.1187179487179479</v>
      </c>
      <c r="CV679" s="2" t="str">
        <f t="shared" si="802"/>
        <v/>
      </c>
      <c r="CW679" s="1" t="s">
        <v>1202</v>
      </c>
      <c r="CX679" s="264" t="str">
        <f t="shared" si="803"/>
        <v>reg</v>
      </c>
      <c r="CY679" t="s">
        <v>690</v>
      </c>
      <c r="CZ679">
        <v>2019</v>
      </c>
      <c r="DB679">
        <v>0</v>
      </c>
      <c r="DC679" t="str">
        <f t="shared" si="804"/>
        <v>0</v>
      </c>
      <c r="DD679">
        <v>0</v>
      </c>
      <c r="DE679">
        <v>0</v>
      </c>
      <c r="DF679">
        <v>0</v>
      </c>
      <c r="DG679">
        <v>1</v>
      </c>
      <c r="DI679">
        <f t="shared" si="805"/>
        <v>1</v>
      </c>
      <c r="DJ679" t="str">
        <f t="shared" si="806"/>
        <v>TimberInput</v>
      </c>
      <c r="DK679">
        <f t="shared" si="807"/>
        <v>0</v>
      </c>
      <c r="DL679">
        <f t="shared" si="808"/>
        <v>0</v>
      </c>
      <c r="DM679">
        <f t="shared" si="809"/>
        <v>0</v>
      </c>
      <c r="DN679" t="str">
        <f t="shared" si="810"/>
        <v>Timber</v>
      </c>
      <c r="DO679">
        <v>1</v>
      </c>
      <c r="DP679">
        <v>0</v>
      </c>
      <c r="DQ679">
        <v>0</v>
      </c>
      <c r="DR679">
        <v>0</v>
      </c>
      <c r="DS679">
        <v>0</v>
      </c>
      <c r="DT679">
        <f t="shared" si="811"/>
        <v>1</v>
      </c>
      <c r="DU679" s="143" t="str">
        <f t="shared" si="812"/>
        <v>self-calculated DF</v>
      </c>
      <c r="DV679">
        <v>0</v>
      </c>
      <c r="DW679">
        <v>0</v>
      </c>
      <c r="DX679">
        <v>0</v>
      </c>
      <c r="DY679">
        <v>0</v>
      </c>
      <c r="DZ679">
        <v>0</v>
      </c>
      <c r="EA679" s="143">
        <v>1</v>
      </c>
      <c r="EB679">
        <v>0</v>
      </c>
      <c r="EC679">
        <v>1</v>
      </c>
      <c r="ED679">
        <v>0</v>
      </c>
      <c r="EE679">
        <v>0</v>
      </c>
      <c r="EF679">
        <v>0</v>
      </c>
      <c r="EG679">
        <v>0</v>
      </c>
      <c r="EH679">
        <v>0</v>
      </c>
      <c r="EI679" s="2">
        <v>0</v>
      </c>
      <c r="EK679" t="str">
        <f t="shared" si="813"/>
        <v/>
      </c>
      <c r="EL679" t="str">
        <f t="shared" si="814"/>
        <v/>
      </c>
      <c r="EM679" s="2" t="str">
        <f t="shared" si="728"/>
        <v/>
      </c>
      <c r="EN679" t="s">
        <v>1602</v>
      </c>
      <c r="EP679" t="str">
        <f>IF(ISNUMBER(BU679),IF(ABS(BU679-[4]QC_indicators!$B$2)&gt;3*[4]QC_indicators!$C$2,"C ratio",IF(ISNUMBER(BY679),IF(ABS(BY679-[4]QC_indicators!$B$1)&gt;3*[4]QC_indicators!$C$1,"DF","no"))),IF(ISNUMBER(BY679),IF(ABS(BY679-[4]QC_indicators!$B$1)&gt;3*[4]QC_indicators!$C$1,"DF","no")))</f>
        <v>DF</v>
      </c>
      <c r="ER679" t="s">
        <v>1603</v>
      </c>
      <c r="ET679" s="264" t="s">
        <v>3406</v>
      </c>
    </row>
    <row r="680" spans="1:150" ht="15" hidden="1" customHeight="1">
      <c r="A680" s="1" t="s">
        <v>3617</v>
      </c>
      <c r="B680" t="s">
        <v>3618</v>
      </c>
      <c r="C680" t="s">
        <v>3619</v>
      </c>
      <c r="D680" t="s">
        <v>3620</v>
      </c>
      <c r="E680" t="s">
        <v>3621</v>
      </c>
      <c r="F680" t="s">
        <v>3622</v>
      </c>
      <c r="G680" t="s">
        <v>3623</v>
      </c>
      <c r="H680" t="s">
        <v>254</v>
      </c>
      <c r="I680">
        <v>2017</v>
      </c>
      <c r="J680">
        <v>6</v>
      </c>
      <c r="K680" t="s">
        <v>3624</v>
      </c>
      <c r="M680" t="str">
        <f t="shared" si="732"/>
        <v>Gopalakrishnan_2017</v>
      </c>
      <c r="N680" s="311" t="s">
        <v>4382</v>
      </c>
      <c r="O680" s="171" t="s">
        <v>274</v>
      </c>
      <c r="P680" t="s">
        <v>341</v>
      </c>
      <c r="Q680" s="311" t="s">
        <v>389</v>
      </c>
      <c r="R680" s="312"/>
      <c r="S680" s="154" t="s">
        <v>3625</v>
      </c>
      <c r="T680" s="149" t="s">
        <v>726</v>
      </c>
      <c r="U680" t="s">
        <v>3626</v>
      </c>
      <c r="V680">
        <v>0</v>
      </c>
      <c r="W680">
        <v>0</v>
      </c>
      <c r="X680">
        <v>0</v>
      </c>
      <c r="Y680">
        <v>0</v>
      </c>
      <c r="Z680">
        <v>0</v>
      </c>
      <c r="AA680">
        <v>0</v>
      </c>
      <c r="AB680">
        <v>0</v>
      </c>
      <c r="AC680">
        <v>0</v>
      </c>
      <c r="AD680">
        <v>0</v>
      </c>
      <c r="AE680">
        <v>0</v>
      </c>
      <c r="AF680">
        <v>0</v>
      </c>
      <c r="AG680">
        <v>0</v>
      </c>
      <c r="AH680">
        <v>1</v>
      </c>
      <c r="AI680">
        <v>0</v>
      </c>
      <c r="AJ680">
        <v>0</v>
      </c>
      <c r="AK680">
        <v>0</v>
      </c>
      <c r="AL680">
        <v>0</v>
      </c>
      <c r="AM680">
        <v>0</v>
      </c>
      <c r="AN680">
        <v>0</v>
      </c>
      <c r="AO680">
        <v>0</v>
      </c>
      <c r="AP680">
        <v>0</v>
      </c>
      <c r="AQ680">
        <v>0</v>
      </c>
      <c r="AR680">
        <v>0</v>
      </c>
      <c r="AS680">
        <v>0</v>
      </c>
      <c r="AT680">
        <v>0</v>
      </c>
      <c r="AU680">
        <v>0</v>
      </c>
      <c r="AV680">
        <v>0</v>
      </c>
      <c r="AW680">
        <v>0</v>
      </c>
      <c r="AX680" s="141">
        <f t="shared" si="784"/>
        <v>1</v>
      </c>
      <c r="AY680" s="141">
        <f t="shared" si="785"/>
        <v>1</v>
      </c>
      <c r="AZ680">
        <f t="shared" si="786"/>
        <v>0</v>
      </c>
      <c r="BA680">
        <f t="shared" si="787"/>
        <v>1</v>
      </c>
      <c r="BB680">
        <f t="shared" si="788"/>
        <v>0</v>
      </c>
      <c r="BC680">
        <f t="shared" si="789"/>
        <v>0</v>
      </c>
      <c r="BD680">
        <f t="shared" si="790"/>
        <v>0</v>
      </c>
      <c r="BE680" t="str" cm="1">
        <f t="array" ref="BE680">IF(AY680=1,INDEX($V$7:$AL$7,MATCH(TRUE,INDEX($V680:$AW680&lt;&gt;0,),0)),IF(AY680=0,INDEX($AM$7:$AW$7,MATCH(1,$AM680:$AW680,0)),IF(BF680="Multiple strategies","mixed drivers",IF(BF680="Supply chain","multiple supply","multiple silviculture"))))</f>
        <v xml:space="preserve">end of life disposal </v>
      </c>
      <c r="BF680" s="2" t="str" cm="1">
        <f t="array" ref="BF680">IF(COUNTIF(AZ680:BB680,"&lt;&gt;0")=1,INDEX($V$4:$AW$4,MATCH(TRUE,INDEX($V680:$AW680&lt;&gt;0,),0)),IF(COUNTIF(AZ680:BB680,"&lt;&gt;0")=0,INDEX($AM$4:$AW$4,MATCH(1,$AM680:$AW680,0)),"Multiple strategies"))</f>
        <v>Supply chain</v>
      </c>
      <c r="BG680" s="142"/>
      <c r="BJ680" s="143"/>
      <c r="BL680" s="143"/>
      <c r="BM680" t="str">
        <f>IFERROR(BL680/BK680,"")</f>
        <v/>
      </c>
      <c r="BN680" s="158"/>
      <c r="BO680" s="143"/>
      <c r="BP680" s="155" t="s">
        <v>232</v>
      </c>
      <c r="BR680" s="155" t="s">
        <v>3627</v>
      </c>
      <c r="BS680">
        <v>-42808.988764044901</v>
      </c>
      <c r="BT680">
        <v>-36292.1348314606</v>
      </c>
      <c r="BU680" s="144"/>
      <c r="BY680" t="str">
        <f t="shared" si="727"/>
        <v/>
      </c>
      <c r="BZ680">
        <v>0</v>
      </c>
      <c r="CA680">
        <v>0</v>
      </c>
      <c r="CB680">
        <v>0</v>
      </c>
      <c r="CC680">
        <v>0</v>
      </c>
      <c r="CD680">
        <v>0</v>
      </c>
      <c r="CE680">
        <v>0</v>
      </c>
      <c r="CF680">
        <v>0</v>
      </c>
      <c r="CG680">
        <v>0</v>
      </c>
      <c r="CH680">
        <v>0</v>
      </c>
      <c r="CI680">
        <v>0</v>
      </c>
      <c r="CJ680">
        <v>0</v>
      </c>
      <c r="CK680">
        <v>0</v>
      </c>
      <c r="CL680">
        <v>0</v>
      </c>
      <c r="CM680">
        <v>0</v>
      </c>
      <c r="CN680" t="str">
        <f t="shared" ref="CN680:CN686" si="817">IF($BL680&lt;$BK680,"refNeedCorrection","refOK")</f>
        <v>refOK</v>
      </c>
      <c r="CO680"/>
      <c r="CP680"/>
      <c r="CQ680"/>
      <c r="CR680">
        <f t="shared" si="798"/>
        <v>-42808.988764044901</v>
      </c>
      <c r="CS680">
        <f t="shared" si="799"/>
        <v>-36292.1348314606</v>
      </c>
      <c r="CT680">
        <f t="shared" si="800"/>
        <v>0</v>
      </c>
      <c r="CU680" t="str">
        <f t="shared" si="801"/>
        <v/>
      </c>
      <c r="CV680" s="2">
        <f t="shared" si="802"/>
        <v>0.15223097112860981</v>
      </c>
      <c r="CW680" s="1" t="s">
        <v>1198</v>
      </c>
      <c r="CX680" s="311" t="str">
        <f t="shared" si="803"/>
        <v>reg</v>
      </c>
      <c r="CY680" s="317" t="s">
        <v>428</v>
      </c>
      <c r="CZ680">
        <v>2007</v>
      </c>
      <c r="DA680" s="143">
        <v>2009</v>
      </c>
      <c r="DB680" s="143">
        <v>2</v>
      </c>
      <c r="DC680" t="str">
        <f t="shared" si="804"/>
        <v>1-30</v>
      </c>
      <c r="DD680">
        <v>0</v>
      </c>
      <c r="DE680">
        <v>1</v>
      </c>
      <c r="DF680">
        <v>0</v>
      </c>
      <c r="DG680">
        <v>0</v>
      </c>
      <c r="DH680">
        <v>1</v>
      </c>
      <c r="DI680">
        <f t="shared" si="805"/>
        <v>1</v>
      </c>
      <c r="DJ680" t="str">
        <f t="shared" si="806"/>
        <v>EnergyInput</v>
      </c>
      <c r="DK680">
        <f t="shared" si="807"/>
        <v>0</v>
      </c>
      <c r="DL680" t="str">
        <f t="shared" si="808"/>
        <v>Energy</v>
      </c>
      <c r="DM680">
        <f t="shared" si="809"/>
        <v>0</v>
      </c>
      <c r="DN680">
        <f t="shared" si="810"/>
        <v>0</v>
      </c>
      <c r="DO680">
        <v>1</v>
      </c>
      <c r="DP680" s="143">
        <v>0</v>
      </c>
      <c r="DQ680" s="143">
        <v>0</v>
      </c>
      <c r="DR680">
        <v>0</v>
      </c>
      <c r="DS680" s="143">
        <v>0</v>
      </c>
      <c r="DT680">
        <f t="shared" si="811"/>
        <v>1</v>
      </c>
      <c r="DU680" s="143" t="str">
        <f t="shared" si="812"/>
        <v>self-calculated DF</v>
      </c>
      <c r="DV680" s="143">
        <v>0</v>
      </c>
      <c r="DW680">
        <v>0</v>
      </c>
      <c r="DX680" s="143">
        <v>1</v>
      </c>
      <c r="DY680" s="143">
        <v>0</v>
      </c>
      <c r="DZ680">
        <v>1</v>
      </c>
      <c r="EA680" s="143">
        <v>1</v>
      </c>
      <c r="EB680" s="143">
        <v>0</v>
      </c>
      <c r="EC680" s="143">
        <v>0</v>
      </c>
      <c r="ED680" s="143">
        <v>0</v>
      </c>
      <c r="EE680">
        <v>1</v>
      </c>
      <c r="EF680">
        <v>0</v>
      </c>
      <c r="EG680" s="143">
        <v>0</v>
      </c>
      <c r="EH680" s="143">
        <v>0</v>
      </c>
      <c r="EI680" s="2">
        <v>0</v>
      </c>
      <c r="EK680" t="str">
        <f t="shared" ref="EK680:EK686" si="818">IF(AND(AND(AND(OR($DX680=1,$DW680=1),OR($EC680=1,$EA680=1)),SUM($DV680:$DZ680,$EF680)&gt;=3),SUM($EA680:$EE680)&gt;=2),"Whole sector","")</f>
        <v/>
      </c>
      <c r="EL680" t="str">
        <f t="shared" ref="EL680:EL686" si="819">IF(AND(AND(OR($DX680=1,$DW680=1),AND($EC680=0,$EA680=0)),SUM($DV680:$DZ680,$EF680)&gt;=3),"Ecosystem approach","")</f>
        <v/>
      </c>
      <c r="EM680" s="2" t="str">
        <f t="shared" si="728"/>
        <v/>
      </c>
      <c r="EP680" t="b">
        <f>IF(ISNUMBER(BU680),IF(ABS(BU680-[1]QC_indicators!$B$2)&gt;3*[1]QC_indicators!$C$2,"C ratio",IF(ISNUMBER(BY680),IF(ABS(BY680-[1]QC_indicators!$B$1)&gt;3*[1]QC_indicators!$C$1,"DF","no"))),IF(ISNUMBER(BY680),IF(ABS(BY680-[1]QC_indicators!$B$1)&gt;3*[1]QC_indicators!$C$1,"DF","no")))</f>
        <v>0</v>
      </c>
    </row>
    <row r="681" spans="1:150" ht="15" hidden="1" customHeight="1">
      <c r="A681" s="1" t="s">
        <v>3617</v>
      </c>
      <c r="B681" t="s">
        <v>3618</v>
      </c>
      <c r="C681" t="s">
        <v>3619</v>
      </c>
      <c r="D681" t="s">
        <v>3620</v>
      </c>
      <c r="E681" t="s">
        <v>3621</v>
      </c>
      <c r="F681" t="s">
        <v>3622</v>
      </c>
      <c r="G681" t="s">
        <v>3623</v>
      </c>
      <c r="H681" t="s">
        <v>254</v>
      </c>
      <c r="I681">
        <v>2017</v>
      </c>
      <c r="J681">
        <v>6</v>
      </c>
      <c r="K681" t="s">
        <v>3624</v>
      </c>
      <c r="M681" t="str">
        <f t="shared" si="732"/>
        <v>Gopalakrishnan_2017</v>
      </c>
      <c r="N681" s="311" t="s">
        <v>4382</v>
      </c>
      <c r="O681" s="171" t="s">
        <v>274</v>
      </c>
      <c r="P681" t="s">
        <v>341</v>
      </c>
      <c r="Q681" s="311" t="s">
        <v>389</v>
      </c>
      <c r="R681" s="312"/>
      <c r="S681" s="154" t="s">
        <v>3625</v>
      </c>
      <c r="T681" s="149" t="s">
        <v>726</v>
      </c>
      <c r="U681" t="s">
        <v>3628</v>
      </c>
      <c r="V681">
        <v>0</v>
      </c>
      <c r="W681">
        <v>0</v>
      </c>
      <c r="X681">
        <v>0</v>
      </c>
      <c r="Y681">
        <v>0</v>
      </c>
      <c r="Z681">
        <v>0</v>
      </c>
      <c r="AA681">
        <v>0</v>
      </c>
      <c r="AB681">
        <v>0</v>
      </c>
      <c r="AC681">
        <v>0</v>
      </c>
      <c r="AD681">
        <v>0</v>
      </c>
      <c r="AE681">
        <v>0</v>
      </c>
      <c r="AF681">
        <v>0</v>
      </c>
      <c r="AG681">
        <v>0</v>
      </c>
      <c r="AH681">
        <v>1</v>
      </c>
      <c r="AI681">
        <v>0</v>
      </c>
      <c r="AJ681">
        <v>0</v>
      </c>
      <c r="AK681">
        <v>0</v>
      </c>
      <c r="AL681">
        <v>0</v>
      </c>
      <c r="AM681">
        <v>0</v>
      </c>
      <c r="AN681">
        <v>0</v>
      </c>
      <c r="AO681">
        <v>0</v>
      </c>
      <c r="AP681">
        <v>0</v>
      </c>
      <c r="AQ681">
        <v>0</v>
      </c>
      <c r="AR681">
        <v>0</v>
      </c>
      <c r="AS681">
        <v>0</v>
      </c>
      <c r="AT681">
        <v>0</v>
      </c>
      <c r="AU681">
        <v>0</v>
      </c>
      <c r="AV681">
        <v>0</v>
      </c>
      <c r="AW681">
        <v>0</v>
      </c>
      <c r="AX681" s="141">
        <f t="shared" si="784"/>
        <v>1</v>
      </c>
      <c r="AY681" s="141">
        <f t="shared" si="785"/>
        <v>1</v>
      </c>
      <c r="AZ681">
        <f t="shared" si="786"/>
        <v>0</v>
      </c>
      <c r="BA681">
        <f t="shared" si="787"/>
        <v>1</v>
      </c>
      <c r="BB681">
        <f t="shared" si="788"/>
        <v>0</v>
      </c>
      <c r="BC681">
        <f t="shared" si="789"/>
        <v>0</v>
      </c>
      <c r="BD681">
        <f t="shared" si="790"/>
        <v>0</v>
      </c>
      <c r="BE681" t="str" cm="1">
        <f t="array" ref="BE681">IF(AY681=1,INDEX($V$7:$AL$7,MATCH(TRUE,INDEX($V681:$AW681&lt;&gt;0,),0)),IF(AY681=0,INDEX($AM$7:$AW$7,MATCH(1,$AM681:$AW681,0)),IF(BF681="Multiple strategies","mixed drivers",IF(BF681="Supply chain","multiple supply","multiple silviculture"))))</f>
        <v xml:space="preserve">end of life disposal </v>
      </c>
      <c r="BF681" s="2" t="str" cm="1">
        <f t="array" ref="BF681">IF(COUNTIF(AZ681:BB681,"&lt;&gt;0")=1,INDEX($V$4:$AW$4,MATCH(TRUE,INDEX($V681:$AW681&lt;&gt;0,),0)),IF(COUNTIF(AZ681:BB681,"&lt;&gt;0")=0,INDEX($AM$4:$AW$4,MATCH(1,$AM681:$AW681,0)),"Multiple strategies"))</f>
        <v>Supply chain</v>
      </c>
      <c r="BG681" s="142"/>
      <c r="BJ681" s="143"/>
      <c r="BL681" s="143"/>
      <c r="BN681" s="158"/>
      <c r="BO681" s="143"/>
      <c r="BP681" s="155" t="s">
        <v>232</v>
      </c>
      <c r="BR681" s="155" t="s">
        <v>3627</v>
      </c>
      <c r="BS681">
        <v>-42808.988764044901</v>
      </c>
      <c r="BT681">
        <v>-23033.707865168501</v>
      </c>
      <c r="BU681" s="144"/>
      <c r="BY681" t="str">
        <f t="shared" si="727"/>
        <v/>
      </c>
      <c r="BZ681">
        <v>0</v>
      </c>
      <c r="CA681">
        <v>0</v>
      </c>
      <c r="CB681">
        <v>0</v>
      </c>
      <c r="CC681">
        <v>0</v>
      </c>
      <c r="CD681">
        <v>0</v>
      </c>
      <c r="CE681">
        <v>0</v>
      </c>
      <c r="CF681">
        <v>0</v>
      </c>
      <c r="CG681">
        <v>0</v>
      </c>
      <c r="CH681">
        <v>0</v>
      </c>
      <c r="CI681">
        <v>0</v>
      </c>
      <c r="CJ681">
        <v>0</v>
      </c>
      <c r="CK681">
        <v>0</v>
      </c>
      <c r="CL681">
        <v>0</v>
      </c>
      <c r="CM681">
        <v>0</v>
      </c>
      <c r="CN681" t="str">
        <f t="shared" si="817"/>
        <v>refOK</v>
      </c>
      <c r="CO681"/>
      <c r="CP681"/>
      <c r="CQ681"/>
      <c r="CR681">
        <f t="shared" si="798"/>
        <v>-42808.988764044901</v>
      </c>
      <c r="CS681">
        <f t="shared" si="799"/>
        <v>-23033.707865168501</v>
      </c>
      <c r="CT681">
        <f t="shared" si="800"/>
        <v>0</v>
      </c>
      <c r="CU681" t="str">
        <f t="shared" si="801"/>
        <v/>
      </c>
      <c r="CV681" s="2">
        <f t="shared" si="802"/>
        <v>0.46194225721784815</v>
      </c>
      <c r="CW681" s="1" t="s">
        <v>1198</v>
      </c>
      <c r="CX681" s="311" t="str">
        <f t="shared" si="803"/>
        <v>reg</v>
      </c>
      <c r="CY681" s="317" t="s">
        <v>428</v>
      </c>
      <c r="CZ681">
        <v>2007</v>
      </c>
      <c r="DA681" s="143">
        <v>2009</v>
      </c>
      <c r="DB681" s="143">
        <v>2</v>
      </c>
      <c r="DC681" t="str">
        <f t="shared" si="804"/>
        <v>1-30</v>
      </c>
      <c r="DD681">
        <v>0</v>
      </c>
      <c r="DE681">
        <v>1</v>
      </c>
      <c r="DF681">
        <v>0</v>
      </c>
      <c r="DG681">
        <v>0</v>
      </c>
      <c r="DH681">
        <v>1</v>
      </c>
      <c r="DI681">
        <f t="shared" si="805"/>
        <v>1</v>
      </c>
      <c r="DJ681" t="str">
        <f t="shared" si="806"/>
        <v>EnergyInput</v>
      </c>
      <c r="DK681">
        <f t="shared" si="807"/>
        <v>0</v>
      </c>
      <c r="DL681" t="str">
        <f t="shared" si="808"/>
        <v>Energy</v>
      </c>
      <c r="DM681">
        <f t="shared" si="809"/>
        <v>0</v>
      </c>
      <c r="DN681">
        <f t="shared" si="810"/>
        <v>0</v>
      </c>
      <c r="DO681">
        <v>1</v>
      </c>
      <c r="DP681" s="143">
        <v>0</v>
      </c>
      <c r="DQ681" s="143">
        <v>0</v>
      </c>
      <c r="DR681">
        <v>0</v>
      </c>
      <c r="DS681" s="143">
        <v>0</v>
      </c>
      <c r="DT681">
        <f t="shared" si="811"/>
        <v>1</v>
      </c>
      <c r="DU681" s="143" t="str">
        <f t="shared" si="812"/>
        <v>self-calculated DF</v>
      </c>
      <c r="DV681" s="143">
        <v>0</v>
      </c>
      <c r="DW681">
        <v>0</v>
      </c>
      <c r="DX681" s="143">
        <v>1</v>
      </c>
      <c r="DY681" s="143">
        <v>0</v>
      </c>
      <c r="DZ681">
        <v>1</v>
      </c>
      <c r="EA681" s="143">
        <v>1</v>
      </c>
      <c r="EB681" s="143">
        <v>0</v>
      </c>
      <c r="EC681" s="143">
        <v>0</v>
      </c>
      <c r="ED681" s="143">
        <v>0</v>
      </c>
      <c r="EE681">
        <v>1</v>
      </c>
      <c r="EF681">
        <v>0</v>
      </c>
      <c r="EG681" s="143">
        <v>0</v>
      </c>
      <c r="EH681" s="143">
        <v>0</v>
      </c>
      <c r="EI681" s="2">
        <v>0</v>
      </c>
      <c r="EK681" t="str">
        <f t="shared" si="818"/>
        <v/>
      </c>
      <c r="EL681" t="str">
        <f t="shared" si="819"/>
        <v/>
      </c>
      <c r="EM681" s="2" t="str">
        <f t="shared" si="728"/>
        <v/>
      </c>
      <c r="EP681" t="b">
        <f>IF(ISNUMBER(BU681),IF(ABS(BU681-[1]QC_indicators!$B$2)&gt;3*[1]QC_indicators!$C$2,"C ratio",IF(ISNUMBER(BY681),IF(ABS(BY681-[1]QC_indicators!$B$1)&gt;3*[1]QC_indicators!$C$1,"DF","no"))),IF(ISNUMBER(BY681),IF(ABS(BY681-[1]QC_indicators!$B$1)&gt;3*[1]QC_indicators!$C$1,"DF","no")))</f>
        <v>0</v>
      </c>
    </row>
    <row r="682" spans="1:150" ht="15" hidden="1" customHeight="1">
      <c r="A682" s="1" t="s">
        <v>3617</v>
      </c>
      <c r="B682" t="s">
        <v>3618</v>
      </c>
      <c r="C682" t="s">
        <v>3619</v>
      </c>
      <c r="D682" t="s">
        <v>3620</v>
      </c>
      <c r="E682" t="s">
        <v>3621</v>
      </c>
      <c r="F682" t="s">
        <v>3622</v>
      </c>
      <c r="G682" t="s">
        <v>3623</v>
      </c>
      <c r="H682" t="s">
        <v>254</v>
      </c>
      <c r="I682">
        <v>2017</v>
      </c>
      <c r="J682">
        <v>6</v>
      </c>
      <c r="K682" t="s">
        <v>3624</v>
      </c>
      <c r="M682" t="str">
        <f t="shared" si="732"/>
        <v>Gopalakrishnan_2017</v>
      </c>
      <c r="N682" s="311" t="s">
        <v>4382</v>
      </c>
      <c r="O682" s="171" t="s">
        <v>274</v>
      </c>
      <c r="P682" t="s">
        <v>341</v>
      </c>
      <c r="Q682" s="311" t="s">
        <v>389</v>
      </c>
      <c r="R682" s="312"/>
      <c r="S682" s="154" t="s">
        <v>3625</v>
      </c>
      <c r="T682" s="149" t="s">
        <v>726</v>
      </c>
      <c r="U682" t="s">
        <v>3629</v>
      </c>
      <c r="V682">
        <v>0</v>
      </c>
      <c r="W682">
        <v>0</v>
      </c>
      <c r="X682">
        <v>0</v>
      </c>
      <c r="Y682">
        <v>0</v>
      </c>
      <c r="Z682">
        <v>0</v>
      </c>
      <c r="AA682">
        <v>0</v>
      </c>
      <c r="AB682">
        <v>0</v>
      </c>
      <c r="AC682">
        <v>0</v>
      </c>
      <c r="AD682">
        <v>0</v>
      </c>
      <c r="AE682">
        <v>0</v>
      </c>
      <c r="AF682">
        <v>0</v>
      </c>
      <c r="AG682">
        <v>0</v>
      </c>
      <c r="AH682">
        <v>1</v>
      </c>
      <c r="AI682">
        <v>0</v>
      </c>
      <c r="AJ682">
        <v>0</v>
      </c>
      <c r="AK682">
        <v>0</v>
      </c>
      <c r="AL682">
        <v>0</v>
      </c>
      <c r="AM682">
        <v>0</v>
      </c>
      <c r="AN682">
        <v>0</v>
      </c>
      <c r="AO682">
        <v>0</v>
      </c>
      <c r="AP682">
        <v>0</v>
      </c>
      <c r="AQ682">
        <v>0</v>
      </c>
      <c r="AR682">
        <v>0</v>
      </c>
      <c r="AS682">
        <v>0</v>
      </c>
      <c r="AT682">
        <v>0</v>
      </c>
      <c r="AU682">
        <v>0</v>
      </c>
      <c r="AV682">
        <v>0</v>
      </c>
      <c r="AW682">
        <v>0</v>
      </c>
      <c r="AX682" s="141">
        <f t="shared" si="784"/>
        <v>1</v>
      </c>
      <c r="AY682" s="141">
        <f t="shared" si="785"/>
        <v>1</v>
      </c>
      <c r="AZ682">
        <f t="shared" si="786"/>
        <v>0</v>
      </c>
      <c r="BA682">
        <f t="shared" si="787"/>
        <v>1</v>
      </c>
      <c r="BB682">
        <f t="shared" si="788"/>
        <v>0</v>
      </c>
      <c r="BC682">
        <f t="shared" si="789"/>
        <v>0</v>
      </c>
      <c r="BD682">
        <f t="shared" si="790"/>
        <v>0</v>
      </c>
      <c r="BE682" t="str" cm="1">
        <f t="array" ref="BE682">IF(AY682=1,INDEX($V$7:$AL$7,MATCH(TRUE,INDEX($V682:$AW682&lt;&gt;0,),0)),IF(AY682=0,INDEX($AM$7:$AW$7,MATCH(1,$AM682:$AW682,0)),IF(BF682="Multiple strategies","mixed drivers",IF(BF682="Supply chain","multiple supply","multiple silviculture"))))</f>
        <v xml:space="preserve">end of life disposal </v>
      </c>
      <c r="BF682" s="2" t="str" cm="1">
        <f t="array" ref="BF682">IF(COUNTIF(AZ682:BB682,"&lt;&gt;0")=1,INDEX($V$4:$AW$4,MATCH(TRUE,INDEX($V682:$AW682&lt;&gt;0,),0)),IF(COUNTIF(AZ682:BB682,"&lt;&gt;0")=0,INDEX($AM$4:$AW$4,MATCH(1,$AM682:$AW682,0)),"Multiple strategies"))</f>
        <v>Supply chain</v>
      </c>
      <c r="BG682" s="142"/>
      <c r="BJ682" s="143"/>
      <c r="BL682" s="143"/>
      <c r="BN682" s="158"/>
      <c r="BO682" s="143"/>
      <c r="BP682" s="155" t="s">
        <v>232</v>
      </c>
      <c r="BR682" s="155" t="s">
        <v>3627</v>
      </c>
      <c r="BS682">
        <v>-42808.988764044901</v>
      </c>
      <c r="BT682">
        <v>-36629.213483145999</v>
      </c>
      <c r="BU682" s="144"/>
      <c r="BY682" t="str">
        <f t="shared" si="727"/>
        <v/>
      </c>
      <c r="BZ682">
        <v>0</v>
      </c>
      <c r="CA682">
        <v>0</v>
      </c>
      <c r="CB682">
        <v>0</v>
      </c>
      <c r="CC682">
        <v>0</v>
      </c>
      <c r="CD682">
        <v>0</v>
      </c>
      <c r="CE682">
        <v>0</v>
      </c>
      <c r="CF682">
        <v>0</v>
      </c>
      <c r="CG682">
        <v>0</v>
      </c>
      <c r="CH682">
        <v>0</v>
      </c>
      <c r="CI682">
        <v>0</v>
      </c>
      <c r="CJ682">
        <v>0</v>
      </c>
      <c r="CK682">
        <v>0</v>
      </c>
      <c r="CL682">
        <v>0</v>
      </c>
      <c r="CM682">
        <v>0</v>
      </c>
      <c r="CN682" t="str">
        <f t="shared" si="817"/>
        <v>refOK</v>
      </c>
      <c r="CO682"/>
      <c r="CP682"/>
      <c r="CQ682"/>
      <c r="CR682">
        <f t="shared" si="798"/>
        <v>-42808.988764044901</v>
      </c>
      <c r="CS682">
        <f t="shared" si="799"/>
        <v>-36629.213483145999</v>
      </c>
      <c r="CT682">
        <f t="shared" si="800"/>
        <v>0</v>
      </c>
      <c r="CU682" t="str">
        <f t="shared" si="801"/>
        <v/>
      </c>
      <c r="CV682" s="2">
        <f t="shared" si="802"/>
        <v>0.14435695538057819</v>
      </c>
      <c r="CW682" s="1" t="s">
        <v>1198</v>
      </c>
      <c r="CX682" s="311" t="str">
        <f t="shared" si="803"/>
        <v>reg</v>
      </c>
      <c r="CY682" s="317" t="s">
        <v>428</v>
      </c>
      <c r="CZ682">
        <v>2007</v>
      </c>
      <c r="DA682" s="143">
        <v>2009</v>
      </c>
      <c r="DB682" s="143">
        <v>2</v>
      </c>
      <c r="DC682" t="str">
        <f t="shared" si="804"/>
        <v>1-30</v>
      </c>
      <c r="DD682">
        <v>0</v>
      </c>
      <c r="DE682">
        <v>1</v>
      </c>
      <c r="DF682">
        <v>0</v>
      </c>
      <c r="DG682">
        <v>0</v>
      </c>
      <c r="DH682">
        <v>1</v>
      </c>
      <c r="DI682">
        <f t="shared" si="805"/>
        <v>1</v>
      </c>
      <c r="DJ682" t="str">
        <f t="shared" si="806"/>
        <v>EnergyInput</v>
      </c>
      <c r="DK682">
        <f t="shared" si="807"/>
        <v>0</v>
      </c>
      <c r="DL682" t="str">
        <f t="shared" si="808"/>
        <v>Energy</v>
      </c>
      <c r="DM682">
        <f t="shared" si="809"/>
        <v>0</v>
      </c>
      <c r="DN682">
        <f t="shared" si="810"/>
        <v>0</v>
      </c>
      <c r="DO682">
        <v>1</v>
      </c>
      <c r="DP682" s="143">
        <v>0</v>
      </c>
      <c r="DQ682" s="143">
        <v>0</v>
      </c>
      <c r="DR682">
        <v>0</v>
      </c>
      <c r="DS682" s="143">
        <v>0</v>
      </c>
      <c r="DT682">
        <f t="shared" si="811"/>
        <v>1</v>
      </c>
      <c r="DU682" s="143" t="str">
        <f t="shared" si="812"/>
        <v>self-calculated DF</v>
      </c>
      <c r="DV682" s="143">
        <v>0</v>
      </c>
      <c r="DW682">
        <v>0</v>
      </c>
      <c r="DX682" s="143">
        <v>1</v>
      </c>
      <c r="DY682" s="143">
        <v>0</v>
      </c>
      <c r="DZ682">
        <v>1</v>
      </c>
      <c r="EA682" s="143">
        <v>1</v>
      </c>
      <c r="EB682" s="143">
        <v>0</v>
      </c>
      <c r="EC682" s="143">
        <v>0</v>
      </c>
      <c r="ED682" s="143">
        <v>0</v>
      </c>
      <c r="EE682">
        <v>1</v>
      </c>
      <c r="EF682">
        <v>0</v>
      </c>
      <c r="EG682" s="143">
        <v>0</v>
      </c>
      <c r="EH682" s="143">
        <v>0</v>
      </c>
      <c r="EI682" s="2">
        <v>0</v>
      </c>
      <c r="EK682" t="str">
        <f t="shared" si="818"/>
        <v/>
      </c>
      <c r="EL682" t="str">
        <f t="shared" si="819"/>
        <v/>
      </c>
      <c r="EM682" s="2" t="str">
        <f t="shared" si="728"/>
        <v/>
      </c>
      <c r="EP682" t="b">
        <f>IF(ISNUMBER(BU682),IF(ABS(BU682-[1]QC_indicators!$B$2)&gt;3*[1]QC_indicators!$C$2,"C ratio",IF(ISNUMBER(BY682),IF(ABS(BY682-[1]QC_indicators!$B$1)&gt;3*[1]QC_indicators!$C$1,"DF","no"))),IF(ISNUMBER(BY682),IF(ABS(BY682-[1]QC_indicators!$B$1)&gt;3*[1]QC_indicators!$C$1,"DF","no")))</f>
        <v>0</v>
      </c>
    </row>
    <row r="683" spans="1:150" ht="15" hidden="1" customHeight="1">
      <c r="A683" s="1" t="s">
        <v>3617</v>
      </c>
      <c r="B683" t="s">
        <v>3618</v>
      </c>
      <c r="C683" t="s">
        <v>3619</v>
      </c>
      <c r="D683" t="s">
        <v>3620</v>
      </c>
      <c r="E683" s="311" t="s">
        <v>3621</v>
      </c>
      <c r="F683" t="s">
        <v>3622</v>
      </c>
      <c r="G683" t="s">
        <v>3623</v>
      </c>
      <c r="H683" t="s">
        <v>254</v>
      </c>
      <c r="I683">
        <v>2017</v>
      </c>
      <c r="J683">
        <v>6</v>
      </c>
      <c r="K683" t="s">
        <v>3624</v>
      </c>
      <c r="M683" t="str">
        <f t="shared" si="732"/>
        <v>Gopalakrishnan_2017</v>
      </c>
      <c r="N683" s="311" t="s">
        <v>4382</v>
      </c>
      <c r="O683" s="171" t="s">
        <v>274</v>
      </c>
      <c r="P683" t="s">
        <v>341</v>
      </c>
      <c r="Q683" s="311" t="s">
        <v>389</v>
      </c>
      <c r="R683" s="312"/>
      <c r="S683" s="154" t="s">
        <v>3625</v>
      </c>
      <c r="T683" s="149" t="s">
        <v>726</v>
      </c>
      <c r="U683" t="s">
        <v>3630</v>
      </c>
      <c r="V683">
        <v>0</v>
      </c>
      <c r="W683">
        <v>0</v>
      </c>
      <c r="X683">
        <v>0</v>
      </c>
      <c r="Y683">
        <v>0</v>
      </c>
      <c r="Z683">
        <v>0</v>
      </c>
      <c r="AA683">
        <v>0</v>
      </c>
      <c r="AB683">
        <v>0</v>
      </c>
      <c r="AC683">
        <v>0</v>
      </c>
      <c r="AD683">
        <v>0</v>
      </c>
      <c r="AE683">
        <v>0</v>
      </c>
      <c r="AF683">
        <v>0</v>
      </c>
      <c r="AG683">
        <v>0</v>
      </c>
      <c r="AH683">
        <v>1</v>
      </c>
      <c r="AI683">
        <v>0</v>
      </c>
      <c r="AJ683">
        <v>0</v>
      </c>
      <c r="AK683">
        <v>0</v>
      </c>
      <c r="AL683">
        <v>0</v>
      </c>
      <c r="AM683">
        <v>0</v>
      </c>
      <c r="AN683">
        <v>0</v>
      </c>
      <c r="AO683">
        <v>0</v>
      </c>
      <c r="AP683">
        <v>0</v>
      </c>
      <c r="AQ683">
        <v>0</v>
      </c>
      <c r="AR683">
        <v>0</v>
      </c>
      <c r="AS683">
        <v>0</v>
      </c>
      <c r="AT683">
        <v>0</v>
      </c>
      <c r="AU683">
        <v>0</v>
      </c>
      <c r="AV683">
        <v>0</v>
      </c>
      <c r="AW683">
        <v>0</v>
      </c>
      <c r="AX683" s="141">
        <f t="shared" si="784"/>
        <v>1</v>
      </c>
      <c r="AY683" s="141">
        <f t="shared" si="785"/>
        <v>1</v>
      </c>
      <c r="AZ683">
        <f t="shared" si="786"/>
        <v>0</v>
      </c>
      <c r="BA683">
        <f t="shared" si="787"/>
        <v>1</v>
      </c>
      <c r="BB683">
        <f t="shared" si="788"/>
        <v>0</v>
      </c>
      <c r="BC683">
        <f t="shared" si="789"/>
        <v>0</v>
      </c>
      <c r="BD683">
        <f t="shared" si="790"/>
        <v>0</v>
      </c>
      <c r="BE683" t="str" cm="1">
        <f t="array" ref="BE683">IF(AY683=1,INDEX($V$7:$AL$7,MATCH(TRUE,INDEX($V683:$AW683&lt;&gt;0,),0)),IF(AY683=0,INDEX($AM$7:$AW$7,MATCH(1,$AM683:$AW683,0)),IF(BF683="Multiple strategies","mixed drivers",IF(BF683="Supply chain","multiple supply","multiple silviculture"))))</f>
        <v xml:space="preserve">end of life disposal </v>
      </c>
      <c r="BF683" s="2" t="str" cm="1">
        <f t="array" ref="BF683">IF(COUNTIF(AZ683:BB683,"&lt;&gt;0")=1,INDEX($V$4:$AW$4,MATCH(TRUE,INDEX($V683:$AW683&lt;&gt;0,),0)),IF(COUNTIF(AZ683:BB683,"&lt;&gt;0")=0,INDEX($AM$4:$AW$4,MATCH(1,$AM683:$AW683,0)),"Multiple strategies"))</f>
        <v>Supply chain</v>
      </c>
      <c r="BG683" s="142"/>
      <c r="BJ683" s="143"/>
      <c r="BL683" s="143"/>
      <c r="BN683" s="158"/>
      <c r="BO683" s="143"/>
      <c r="BP683" s="155" t="s">
        <v>232</v>
      </c>
      <c r="BR683" s="155" t="s">
        <v>3627</v>
      </c>
      <c r="BS683">
        <v>-42808.988764044901</v>
      </c>
      <c r="BT683">
        <v>0</v>
      </c>
      <c r="BU683" s="144"/>
      <c r="BY683" t="str">
        <f t="shared" si="727"/>
        <v/>
      </c>
      <c r="BZ683">
        <v>0</v>
      </c>
      <c r="CA683">
        <v>0</v>
      </c>
      <c r="CB683">
        <v>0</v>
      </c>
      <c r="CC683">
        <v>0</v>
      </c>
      <c r="CD683">
        <v>0</v>
      </c>
      <c r="CE683">
        <v>0</v>
      </c>
      <c r="CF683">
        <v>0</v>
      </c>
      <c r="CG683">
        <v>0</v>
      </c>
      <c r="CH683">
        <v>0</v>
      </c>
      <c r="CI683">
        <v>0</v>
      </c>
      <c r="CJ683">
        <v>0</v>
      </c>
      <c r="CK683">
        <v>0</v>
      </c>
      <c r="CL683">
        <v>0</v>
      </c>
      <c r="CM683">
        <v>0</v>
      </c>
      <c r="CN683" t="str">
        <f t="shared" si="817"/>
        <v>refOK</v>
      </c>
      <c r="CO683"/>
      <c r="CP683"/>
      <c r="CQ683"/>
      <c r="CR683">
        <f t="shared" si="798"/>
        <v>-42808.988764044901</v>
      </c>
      <c r="CS683">
        <f t="shared" si="799"/>
        <v>0</v>
      </c>
      <c r="CT683">
        <f t="shared" si="800"/>
        <v>0</v>
      </c>
      <c r="CU683" t="str">
        <f t="shared" si="801"/>
        <v/>
      </c>
      <c r="CV683" s="2">
        <f t="shared" si="802"/>
        <v>1</v>
      </c>
      <c r="CW683" s="1" t="s">
        <v>1198</v>
      </c>
      <c r="CX683" s="311" t="str">
        <f t="shared" si="803"/>
        <v>reg</v>
      </c>
      <c r="CY683" s="317" t="s">
        <v>428</v>
      </c>
      <c r="CZ683">
        <v>2007</v>
      </c>
      <c r="DA683" s="143">
        <v>2009</v>
      </c>
      <c r="DB683" s="143">
        <v>2</v>
      </c>
      <c r="DC683" t="str">
        <f t="shared" si="804"/>
        <v>1-30</v>
      </c>
      <c r="DD683">
        <v>0</v>
      </c>
      <c r="DE683">
        <v>1</v>
      </c>
      <c r="DF683">
        <v>0</v>
      </c>
      <c r="DG683">
        <v>0</v>
      </c>
      <c r="DH683">
        <v>1</v>
      </c>
      <c r="DI683">
        <f t="shared" si="805"/>
        <v>1</v>
      </c>
      <c r="DJ683" t="str">
        <f t="shared" si="806"/>
        <v>EnergyInput</v>
      </c>
      <c r="DK683">
        <f t="shared" si="807"/>
        <v>0</v>
      </c>
      <c r="DL683" t="str">
        <f t="shared" si="808"/>
        <v>Energy</v>
      </c>
      <c r="DM683">
        <f t="shared" si="809"/>
        <v>0</v>
      </c>
      <c r="DN683">
        <f t="shared" si="810"/>
        <v>0</v>
      </c>
      <c r="DO683">
        <v>1</v>
      </c>
      <c r="DP683" s="143">
        <v>0</v>
      </c>
      <c r="DQ683" s="143">
        <v>0</v>
      </c>
      <c r="DR683">
        <v>0</v>
      </c>
      <c r="DS683" s="143">
        <v>0</v>
      </c>
      <c r="DT683">
        <f t="shared" si="811"/>
        <v>1</v>
      </c>
      <c r="DU683" s="143" t="str">
        <f t="shared" si="812"/>
        <v>self-calculated DF</v>
      </c>
      <c r="DV683" s="143">
        <v>0</v>
      </c>
      <c r="DW683">
        <v>0</v>
      </c>
      <c r="DX683" s="143">
        <v>1</v>
      </c>
      <c r="DY683" s="143">
        <v>0</v>
      </c>
      <c r="DZ683">
        <v>1</v>
      </c>
      <c r="EA683" s="143">
        <v>1</v>
      </c>
      <c r="EB683" s="143">
        <v>0</v>
      </c>
      <c r="EC683" s="143">
        <v>0</v>
      </c>
      <c r="ED683" s="143">
        <v>0</v>
      </c>
      <c r="EE683">
        <v>1</v>
      </c>
      <c r="EF683">
        <v>0</v>
      </c>
      <c r="EG683" s="143">
        <v>0</v>
      </c>
      <c r="EH683" s="143">
        <v>0</v>
      </c>
      <c r="EI683" s="2">
        <v>0</v>
      </c>
      <c r="EK683" t="str">
        <f t="shared" si="818"/>
        <v/>
      </c>
      <c r="EL683" t="str">
        <f t="shared" si="819"/>
        <v/>
      </c>
      <c r="EM683" s="2" t="str">
        <f t="shared" si="728"/>
        <v/>
      </c>
      <c r="EP683" t="b">
        <f>IF(ISNUMBER(BU683),IF(ABS(BU683-[1]QC_indicators!$B$2)&gt;3*[1]QC_indicators!$C$2,"C ratio",IF(ISNUMBER(BY683),IF(ABS(BY683-[1]QC_indicators!$B$1)&gt;3*[1]QC_indicators!$C$1,"DF","no"))),IF(ISNUMBER(BY683),IF(ABS(BY683-[1]QC_indicators!$B$1)&gt;3*[1]QC_indicators!$C$1,"DF","no")))</f>
        <v>0</v>
      </c>
    </row>
    <row r="684" spans="1:150" ht="15" hidden="1" customHeight="1">
      <c r="A684" s="1" t="s">
        <v>3617</v>
      </c>
      <c r="B684" t="s">
        <v>3618</v>
      </c>
      <c r="C684" t="s">
        <v>3619</v>
      </c>
      <c r="D684" t="s">
        <v>3620</v>
      </c>
      <c r="E684" t="s">
        <v>3621</v>
      </c>
      <c r="F684" t="s">
        <v>3622</v>
      </c>
      <c r="G684" t="s">
        <v>3623</v>
      </c>
      <c r="H684" t="s">
        <v>254</v>
      </c>
      <c r="I684">
        <v>2017</v>
      </c>
      <c r="J684">
        <v>6</v>
      </c>
      <c r="K684" t="s">
        <v>3624</v>
      </c>
      <c r="M684" t="str">
        <f t="shared" si="732"/>
        <v>Gopalakrishnan_2017</v>
      </c>
      <c r="N684" s="311" t="s">
        <v>4382</v>
      </c>
      <c r="O684" s="171" t="s">
        <v>274</v>
      </c>
      <c r="P684" t="s">
        <v>341</v>
      </c>
      <c r="Q684" s="311" t="s">
        <v>389</v>
      </c>
      <c r="R684" s="312"/>
      <c r="S684" s="154" t="s">
        <v>3625</v>
      </c>
      <c r="T684" s="149" t="s">
        <v>726</v>
      </c>
      <c r="U684" t="s">
        <v>3631</v>
      </c>
      <c r="V684">
        <v>0</v>
      </c>
      <c r="W684">
        <v>0</v>
      </c>
      <c r="X684">
        <v>0</v>
      </c>
      <c r="Y684">
        <v>0</v>
      </c>
      <c r="Z684">
        <v>0</v>
      </c>
      <c r="AA684">
        <v>0</v>
      </c>
      <c r="AB684">
        <v>0</v>
      </c>
      <c r="AC684">
        <v>0</v>
      </c>
      <c r="AD684">
        <v>0</v>
      </c>
      <c r="AE684">
        <v>0</v>
      </c>
      <c r="AF684">
        <v>0</v>
      </c>
      <c r="AG684">
        <v>0</v>
      </c>
      <c r="AH684">
        <v>1</v>
      </c>
      <c r="AI684">
        <v>0</v>
      </c>
      <c r="AJ684">
        <v>0</v>
      </c>
      <c r="AK684">
        <v>0</v>
      </c>
      <c r="AL684">
        <v>0</v>
      </c>
      <c r="AM684">
        <v>0</v>
      </c>
      <c r="AN684">
        <v>0</v>
      </c>
      <c r="AO684">
        <v>0</v>
      </c>
      <c r="AP684">
        <v>0</v>
      </c>
      <c r="AQ684">
        <v>0</v>
      </c>
      <c r="AR684">
        <v>0</v>
      </c>
      <c r="AS684">
        <v>0</v>
      </c>
      <c r="AT684">
        <v>0</v>
      </c>
      <c r="AU684">
        <v>0</v>
      </c>
      <c r="AV684">
        <v>0</v>
      </c>
      <c r="AW684">
        <v>0</v>
      </c>
      <c r="AX684" s="141">
        <f t="shared" si="784"/>
        <v>1</v>
      </c>
      <c r="AY684" s="141">
        <f t="shared" si="785"/>
        <v>1</v>
      </c>
      <c r="AZ684">
        <f t="shared" si="786"/>
        <v>0</v>
      </c>
      <c r="BA684">
        <f t="shared" si="787"/>
        <v>1</v>
      </c>
      <c r="BB684">
        <f t="shared" si="788"/>
        <v>0</v>
      </c>
      <c r="BC684">
        <f t="shared" si="789"/>
        <v>0</v>
      </c>
      <c r="BD684">
        <f t="shared" si="790"/>
        <v>0</v>
      </c>
      <c r="BE684" t="str" cm="1">
        <f t="array" ref="BE684">IF(AY684=1,INDEX($V$7:$AL$7,MATCH(TRUE,INDEX($V684:$AW684&lt;&gt;0,),0)),IF(AY684=0,INDEX($AM$7:$AW$7,MATCH(1,$AM684:$AW684,0)),IF(BF684="Multiple strategies","mixed drivers",IF(BF684="Supply chain","multiple supply","multiple silviculture"))))</f>
        <v xml:space="preserve">end of life disposal </v>
      </c>
      <c r="BF684" s="2" t="str" cm="1">
        <f t="array" ref="BF684">IF(COUNTIF(AZ684:BB684,"&lt;&gt;0")=1,INDEX($V$4:$AW$4,MATCH(TRUE,INDEX($V684:$AW684&lt;&gt;0,),0)),IF(COUNTIF(AZ684:BB684,"&lt;&gt;0")=0,INDEX($AM$4:$AW$4,MATCH(1,$AM684:$AW684,0)),"Multiple strategies"))</f>
        <v>Supply chain</v>
      </c>
      <c r="BG684" s="142"/>
      <c r="BJ684" s="143"/>
      <c r="BL684" s="143"/>
      <c r="BN684" s="158"/>
      <c r="BO684" s="143"/>
      <c r="BP684" s="155" t="s">
        <v>232</v>
      </c>
      <c r="BR684" s="155" t="s">
        <v>3627</v>
      </c>
      <c r="BS684">
        <v>-42808.988764044901</v>
      </c>
      <c r="BT684">
        <v>-36629.213483145999</v>
      </c>
      <c r="BU684" s="144"/>
      <c r="BY684" t="str">
        <f t="shared" ref="BY684:BY747" si="820">IFERROR(BX684/BO684,"")</f>
        <v/>
      </c>
      <c r="BZ684">
        <v>0</v>
      </c>
      <c r="CA684">
        <v>0</v>
      </c>
      <c r="CB684">
        <v>0</v>
      </c>
      <c r="CC684">
        <v>0</v>
      </c>
      <c r="CD684">
        <v>0</v>
      </c>
      <c r="CE684">
        <v>0</v>
      </c>
      <c r="CF684">
        <v>0</v>
      </c>
      <c r="CG684">
        <v>0</v>
      </c>
      <c r="CH684">
        <v>0</v>
      </c>
      <c r="CI684">
        <v>0</v>
      </c>
      <c r="CJ684">
        <v>0</v>
      </c>
      <c r="CK684">
        <v>0</v>
      </c>
      <c r="CL684">
        <v>0</v>
      </c>
      <c r="CM684">
        <v>0</v>
      </c>
      <c r="CN684" t="str">
        <f t="shared" si="817"/>
        <v>refOK</v>
      </c>
      <c r="CO684"/>
      <c r="CP684"/>
      <c r="CQ684"/>
      <c r="CR684">
        <f t="shared" si="798"/>
        <v>-42808.988764044901</v>
      </c>
      <c r="CS684">
        <f t="shared" si="799"/>
        <v>-36629.213483145999</v>
      </c>
      <c r="CT684">
        <f t="shared" si="800"/>
        <v>0</v>
      </c>
      <c r="CU684" t="str">
        <f t="shared" si="801"/>
        <v/>
      </c>
      <c r="CV684" s="2">
        <f t="shared" si="802"/>
        <v>0.14435695538057819</v>
      </c>
      <c r="CW684" s="1" t="s">
        <v>1198</v>
      </c>
      <c r="CX684" s="311" t="str">
        <f t="shared" si="803"/>
        <v>reg</v>
      </c>
      <c r="CY684" s="317" t="s">
        <v>428</v>
      </c>
      <c r="CZ684">
        <v>2007</v>
      </c>
      <c r="DA684" s="143">
        <v>2009</v>
      </c>
      <c r="DB684" s="143">
        <v>2</v>
      </c>
      <c r="DC684" t="str">
        <f t="shared" si="804"/>
        <v>1-30</v>
      </c>
      <c r="DD684">
        <v>0</v>
      </c>
      <c r="DE684">
        <v>1</v>
      </c>
      <c r="DF684">
        <v>0</v>
      </c>
      <c r="DG684">
        <v>0</v>
      </c>
      <c r="DH684">
        <v>1</v>
      </c>
      <c r="DI684">
        <f t="shared" si="805"/>
        <v>1</v>
      </c>
      <c r="DJ684" t="str">
        <f t="shared" si="806"/>
        <v>EnergyInput</v>
      </c>
      <c r="DK684">
        <f t="shared" si="807"/>
        <v>0</v>
      </c>
      <c r="DL684" t="str">
        <f t="shared" si="808"/>
        <v>Energy</v>
      </c>
      <c r="DM684">
        <f t="shared" si="809"/>
        <v>0</v>
      </c>
      <c r="DN684">
        <f t="shared" si="810"/>
        <v>0</v>
      </c>
      <c r="DO684">
        <v>1</v>
      </c>
      <c r="DP684" s="143">
        <v>0</v>
      </c>
      <c r="DQ684" s="143">
        <v>0</v>
      </c>
      <c r="DR684">
        <v>0</v>
      </c>
      <c r="DS684" s="143">
        <v>0</v>
      </c>
      <c r="DT684">
        <f t="shared" si="811"/>
        <v>1</v>
      </c>
      <c r="DU684" s="143" t="str">
        <f t="shared" si="812"/>
        <v>self-calculated DF</v>
      </c>
      <c r="DV684" s="143">
        <v>0</v>
      </c>
      <c r="DW684">
        <v>0</v>
      </c>
      <c r="DX684" s="143">
        <v>1</v>
      </c>
      <c r="DY684" s="143">
        <v>0</v>
      </c>
      <c r="DZ684">
        <v>1</v>
      </c>
      <c r="EA684" s="143">
        <v>1</v>
      </c>
      <c r="EB684" s="143">
        <v>0</v>
      </c>
      <c r="EC684" s="143">
        <v>0</v>
      </c>
      <c r="ED684" s="143">
        <v>0</v>
      </c>
      <c r="EE684">
        <v>1</v>
      </c>
      <c r="EF684">
        <v>0</v>
      </c>
      <c r="EG684" s="143">
        <v>0</v>
      </c>
      <c r="EH684" s="143">
        <v>0</v>
      </c>
      <c r="EI684" s="2">
        <v>0</v>
      </c>
      <c r="EK684" t="str">
        <f t="shared" si="818"/>
        <v/>
      </c>
      <c r="EL684" t="str">
        <f t="shared" si="819"/>
        <v/>
      </c>
      <c r="EM684" s="2" t="str">
        <f t="shared" ref="EM684:EM747" si="821">IF(AND(AND(AND($DX684=0,$DW684=0),OR($EC684=1,$EA684=1)),SUM($EB684:$EE684)&gt;=2),"Technology approach","")</f>
        <v/>
      </c>
      <c r="EP684" t="b">
        <f>IF(ISNUMBER(BU684),IF(ABS(BU684-[1]QC_indicators!$B$2)&gt;3*[1]QC_indicators!$C$2,"C ratio",IF(ISNUMBER(BY684),IF(ABS(BY684-[1]QC_indicators!$B$1)&gt;3*[1]QC_indicators!$C$1,"DF","no"))),IF(ISNUMBER(BY684),IF(ABS(BY684-[1]QC_indicators!$B$1)&gt;3*[1]QC_indicators!$C$1,"DF","no")))</f>
        <v>0</v>
      </c>
    </row>
    <row r="685" spans="1:150" ht="15" hidden="1" customHeight="1">
      <c r="A685" s="1" t="s">
        <v>3617</v>
      </c>
      <c r="B685" t="s">
        <v>3618</v>
      </c>
      <c r="C685" t="s">
        <v>3619</v>
      </c>
      <c r="D685" t="s">
        <v>3620</v>
      </c>
      <c r="E685" t="s">
        <v>3621</v>
      </c>
      <c r="F685" t="s">
        <v>3622</v>
      </c>
      <c r="G685" t="s">
        <v>3623</v>
      </c>
      <c r="H685" t="s">
        <v>254</v>
      </c>
      <c r="I685">
        <v>2017</v>
      </c>
      <c r="J685">
        <v>6</v>
      </c>
      <c r="K685" t="s">
        <v>3624</v>
      </c>
      <c r="M685" t="str">
        <f t="shared" si="732"/>
        <v>Gopalakrishnan_2017</v>
      </c>
      <c r="N685" s="311" t="s">
        <v>4382</v>
      </c>
      <c r="O685" s="171" t="s">
        <v>274</v>
      </c>
      <c r="P685" t="s">
        <v>341</v>
      </c>
      <c r="Q685" s="311" t="s">
        <v>389</v>
      </c>
      <c r="R685" s="312"/>
      <c r="S685" s="154" t="s">
        <v>3625</v>
      </c>
      <c r="T685" s="149" t="s">
        <v>726</v>
      </c>
      <c r="U685" t="s">
        <v>3632</v>
      </c>
      <c r="V685">
        <v>0</v>
      </c>
      <c r="W685">
        <v>0</v>
      </c>
      <c r="X685">
        <v>0</v>
      </c>
      <c r="Y685">
        <v>0</v>
      </c>
      <c r="Z685">
        <v>0</v>
      </c>
      <c r="AA685">
        <v>0</v>
      </c>
      <c r="AB685">
        <v>0</v>
      </c>
      <c r="AC685">
        <v>0</v>
      </c>
      <c r="AD685">
        <v>0</v>
      </c>
      <c r="AE685">
        <v>0</v>
      </c>
      <c r="AF685">
        <v>0</v>
      </c>
      <c r="AG685">
        <v>0</v>
      </c>
      <c r="AH685">
        <v>1</v>
      </c>
      <c r="AI685">
        <v>0</v>
      </c>
      <c r="AJ685">
        <v>0</v>
      </c>
      <c r="AK685">
        <v>0</v>
      </c>
      <c r="AL685">
        <v>0</v>
      </c>
      <c r="AM685">
        <v>0</v>
      </c>
      <c r="AN685">
        <v>0</v>
      </c>
      <c r="AO685">
        <v>0</v>
      </c>
      <c r="AP685">
        <v>0</v>
      </c>
      <c r="AQ685">
        <v>0</v>
      </c>
      <c r="AR685">
        <v>0</v>
      </c>
      <c r="AS685">
        <v>0</v>
      </c>
      <c r="AT685">
        <v>0</v>
      </c>
      <c r="AU685">
        <v>0</v>
      </c>
      <c r="AV685">
        <v>0</v>
      </c>
      <c r="AW685">
        <v>0</v>
      </c>
      <c r="AX685" s="141">
        <f t="shared" si="784"/>
        <v>1</v>
      </c>
      <c r="AY685" s="141">
        <f t="shared" si="785"/>
        <v>1</v>
      </c>
      <c r="AZ685">
        <f t="shared" si="786"/>
        <v>0</v>
      </c>
      <c r="BA685">
        <f t="shared" si="787"/>
        <v>1</v>
      </c>
      <c r="BB685">
        <f t="shared" si="788"/>
        <v>0</v>
      </c>
      <c r="BC685">
        <f t="shared" si="789"/>
        <v>0</v>
      </c>
      <c r="BD685">
        <f t="shared" si="790"/>
        <v>0</v>
      </c>
      <c r="BE685" t="str" cm="1">
        <f t="array" ref="BE685">IF(AY685=1,INDEX($V$7:$AL$7,MATCH(TRUE,INDEX($V685:$AW685&lt;&gt;0,),0)),IF(AY685=0,INDEX($AM$7:$AW$7,MATCH(1,$AM685:$AW685,0)),IF(BF685="Multiple strategies","mixed drivers",IF(BF685="Supply chain","multiple supply","multiple silviculture"))))</f>
        <v xml:space="preserve">end of life disposal </v>
      </c>
      <c r="BF685" s="2" t="str" cm="1">
        <f t="array" ref="BF685">IF(COUNTIF(AZ685:BB685,"&lt;&gt;0")=1,INDEX($V$4:$AW$4,MATCH(TRUE,INDEX($V685:$AW685&lt;&gt;0,),0)),IF(COUNTIF(AZ685:BB685,"&lt;&gt;0")=0,INDEX($AM$4:$AW$4,MATCH(1,$AM685:$AW685,0)),"Multiple strategies"))</f>
        <v>Supply chain</v>
      </c>
      <c r="BG685" s="142"/>
      <c r="BJ685" s="143"/>
      <c r="BL685" s="143"/>
      <c r="BN685" s="158"/>
      <c r="BO685" s="143"/>
      <c r="BP685" s="155" t="s">
        <v>232</v>
      </c>
      <c r="BR685" s="155" t="s">
        <v>3627</v>
      </c>
      <c r="BS685">
        <v>-42808.988764044901</v>
      </c>
      <c r="BT685">
        <v>2247.1910112359501</v>
      </c>
      <c r="BU685" s="144"/>
      <c r="BY685" t="str">
        <f t="shared" si="820"/>
        <v/>
      </c>
      <c r="BZ685">
        <v>0</v>
      </c>
      <c r="CA685">
        <v>0</v>
      </c>
      <c r="CB685">
        <v>0</v>
      </c>
      <c r="CC685">
        <v>0</v>
      </c>
      <c r="CD685">
        <v>0</v>
      </c>
      <c r="CE685">
        <v>0</v>
      </c>
      <c r="CF685">
        <v>0</v>
      </c>
      <c r="CG685">
        <v>0</v>
      </c>
      <c r="CH685">
        <v>0</v>
      </c>
      <c r="CI685">
        <v>0</v>
      </c>
      <c r="CJ685">
        <v>0</v>
      </c>
      <c r="CK685">
        <v>0</v>
      </c>
      <c r="CL685">
        <v>0</v>
      </c>
      <c r="CM685">
        <v>0</v>
      </c>
      <c r="CN685" t="str">
        <f t="shared" si="817"/>
        <v>refOK</v>
      </c>
      <c r="CO685"/>
      <c r="CP685"/>
      <c r="CQ685"/>
      <c r="CR685">
        <f t="shared" si="798"/>
        <v>-42808.988764044901</v>
      </c>
      <c r="CS685">
        <f t="shared" si="799"/>
        <v>2247.1910112359501</v>
      </c>
      <c r="CT685">
        <f t="shared" si="800"/>
        <v>0</v>
      </c>
      <c r="CU685" t="str">
        <f t="shared" si="801"/>
        <v/>
      </c>
      <c r="CV685" s="2">
        <f t="shared" si="802"/>
        <v>1.0524934383202098</v>
      </c>
      <c r="CW685" s="1" t="s">
        <v>1198</v>
      </c>
      <c r="CX685" s="311" t="str">
        <f t="shared" si="803"/>
        <v>reg</v>
      </c>
      <c r="CY685" s="317" t="s">
        <v>428</v>
      </c>
      <c r="CZ685">
        <v>2007</v>
      </c>
      <c r="DA685" s="143">
        <v>2009</v>
      </c>
      <c r="DB685" s="143">
        <v>2</v>
      </c>
      <c r="DC685" t="str">
        <f t="shared" si="804"/>
        <v>1-30</v>
      </c>
      <c r="DD685">
        <v>0</v>
      </c>
      <c r="DE685">
        <v>1</v>
      </c>
      <c r="DF685">
        <v>0</v>
      </c>
      <c r="DG685">
        <v>0</v>
      </c>
      <c r="DH685">
        <v>1</v>
      </c>
      <c r="DI685">
        <f t="shared" si="805"/>
        <v>1</v>
      </c>
      <c r="DJ685" t="str">
        <f t="shared" si="806"/>
        <v>EnergyInput</v>
      </c>
      <c r="DK685">
        <f t="shared" si="807"/>
        <v>0</v>
      </c>
      <c r="DL685" t="str">
        <f t="shared" si="808"/>
        <v>Energy</v>
      </c>
      <c r="DM685">
        <f t="shared" si="809"/>
        <v>0</v>
      </c>
      <c r="DN685">
        <f t="shared" si="810"/>
        <v>0</v>
      </c>
      <c r="DO685">
        <v>1</v>
      </c>
      <c r="DP685" s="143">
        <v>0</v>
      </c>
      <c r="DQ685" s="143">
        <v>0</v>
      </c>
      <c r="DR685">
        <v>0</v>
      </c>
      <c r="DS685" s="143">
        <v>0</v>
      </c>
      <c r="DT685">
        <f t="shared" si="811"/>
        <v>1</v>
      </c>
      <c r="DU685" s="143" t="str">
        <f t="shared" si="812"/>
        <v>self-calculated DF</v>
      </c>
      <c r="DV685" s="143">
        <v>0</v>
      </c>
      <c r="DW685">
        <v>0</v>
      </c>
      <c r="DX685" s="143">
        <v>1</v>
      </c>
      <c r="DY685" s="143">
        <v>0</v>
      </c>
      <c r="DZ685">
        <v>1</v>
      </c>
      <c r="EA685" s="143">
        <v>1</v>
      </c>
      <c r="EB685" s="143">
        <v>0</v>
      </c>
      <c r="EC685" s="143">
        <v>0</v>
      </c>
      <c r="ED685" s="143">
        <v>0</v>
      </c>
      <c r="EE685">
        <v>1</v>
      </c>
      <c r="EF685">
        <v>0</v>
      </c>
      <c r="EG685" s="143">
        <v>0</v>
      </c>
      <c r="EH685" s="143">
        <v>0</v>
      </c>
      <c r="EI685" s="2">
        <v>0</v>
      </c>
      <c r="EK685" t="str">
        <f t="shared" si="818"/>
        <v/>
      </c>
      <c r="EL685" t="str">
        <f t="shared" si="819"/>
        <v/>
      </c>
      <c r="EM685" s="2" t="str">
        <f t="shared" si="821"/>
        <v/>
      </c>
      <c r="EP685" t="b">
        <f>IF(ISNUMBER(BU685),IF(ABS(BU685-[1]QC_indicators!$B$2)&gt;3*[1]QC_indicators!$C$2,"C ratio",IF(ISNUMBER(BY685),IF(ABS(BY685-[1]QC_indicators!$B$1)&gt;3*[1]QC_indicators!$C$1,"DF","no"))),IF(ISNUMBER(BY685),IF(ABS(BY685-[1]QC_indicators!$B$1)&gt;3*[1]QC_indicators!$C$1,"DF","no")))</f>
        <v>0</v>
      </c>
    </row>
    <row r="686" spans="1:150" ht="15" hidden="1" customHeight="1">
      <c r="A686" s="1" t="s">
        <v>3617</v>
      </c>
      <c r="B686" t="s">
        <v>3618</v>
      </c>
      <c r="C686" t="s">
        <v>3619</v>
      </c>
      <c r="D686" t="s">
        <v>3620</v>
      </c>
      <c r="E686" t="s">
        <v>3621</v>
      </c>
      <c r="F686" t="s">
        <v>3622</v>
      </c>
      <c r="G686" t="s">
        <v>3623</v>
      </c>
      <c r="H686" t="s">
        <v>254</v>
      </c>
      <c r="I686">
        <v>2017</v>
      </c>
      <c r="J686">
        <v>6</v>
      </c>
      <c r="K686" t="s">
        <v>3624</v>
      </c>
      <c r="M686" t="str">
        <f t="shared" si="732"/>
        <v>Gopalakrishnan_2017</v>
      </c>
      <c r="N686" s="311" t="s">
        <v>4382</v>
      </c>
      <c r="O686" s="171" t="s">
        <v>274</v>
      </c>
      <c r="P686" t="s">
        <v>341</v>
      </c>
      <c r="Q686" s="311" t="s">
        <v>389</v>
      </c>
      <c r="R686" s="312"/>
      <c r="S686" s="154" t="s">
        <v>3625</v>
      </c>
      <c r="T686" s="149" t="s">
        <v>726</v>
      </c>
      <c r="U686" t="s">
        <v>3633</v>
      </c>
      <c r="V686">
        <v>0</v>
      </c>
      <c r="W686">
        <v>0</v>
      </c>
      <c r="X686">
        <v>0</v>
      </c>
      <c r="Y686">
        <v>0</v>
      </c>
      <c r="Z686">
        <v>0</v>
      </c>
      <c r="AA686">
        <v>0</v>
      </c>
      <c r="AB686">
        <v>0</v>
      </c>
      <c r="AC686">
        <v>0</v>
      </c>
      <c r="AD686">
        <v>0</v>
      </c>
      <c r="AE686">
        <v>0</v>
      </c>
      <c r="AF686">
        <v>0</v>
      </c>
      <c r="AG686">
        <v>0</v>
      </c>
      <c r="AH686">
        <v>1</v>
      </c>
      <c r="AI686">
        <v>0</v>
      </c>
      <c r="AJ686">
        <v>0</v>
      </c>
      <c r="AK686">
        <v>0</v>
      </c>
      <c r="AL686">
        <v>0</v>
      </c>
      <c r="AM686">
        <v>0</v>
      </c>
      <c r="AN686">
        <v>0</v>
      </c>
      <c r="AO686">
        <v>0</v>
      </c>
      <c r="AP686">
        <v>0</v>
      </c>
      <c r="AQ686">
        <v>0</v>
      </c>
      <c r="AR686">
        <v>0</v>
      </c>
      <c r="AS686">
        <v>0</v>
      </c>
      <c r="AT686">
        <v>0</v>
      </c>
      <c r="AU686">
        <v>0</v>
      </c>
      <c r="AV686">
        <v>0</v>
      </c>
      <c r="AW686">
        <v>0</v>
      </c>
      <c r="AX686" s="141">
        <f t="shared" si="784"/>
        <v>1</v>
      </c>
      <c r="AY686" s="141">
        <f t="shared" si="785"/>
        <v>1</v>
      </c>
      <c r="AZ686">
        <f t="shared" si="786"/>
        <v>0</v>
      </c>
      <c r="BA686">
        <f t="shared" si="787"/>
        <v>1</v>
      </c>
      <c r="BB686">
        <f t="shared" si="788"/>
        <v>0</v>
      </c>
      <c r="BC686">
        <f t="shared" si="789"/>
        <v>0</v>
      </c>
      <c r="BD686">
        <f t="shared" si="790"/>
        <v>0</v>
      </c>
      <c r="BE686" t="str" cm="1">
        <f t="array" ref="BE686">IF(AY686=1,INDEX($V$7:$AL$7,MATCH(TRUE,INDEX($V686:$AW686&lt;&gt;0,),0)),IF(AY686=0,INDEX($AM$7:$AW$7,MATCH(1,$AM686:$AW686,0)),IF(BF686="Multiple strategies","mixed drivers",IF(BF686="Supply chain","multiple supply","multiple silviculture"))))</f>
        <v xml:space="preserve">end of life disposal </v>
      </c>
      <c r="BF686" s="2" t="str" cm="1">
        <f t="array" ref="BF686">IF(COUNTIF(AZ686:BB686,"&lt;&gt;0")=1,INDEX($V$4:$AW$4,MATCH(TRUE,INDEX($V686:$AW686&lt;&gt;0,),0)),IF(COUNTIF(AZ686:BB686,"&lt;&gt;0")=0,INDEX($AM$4:$AW$4,MATCH(1,$AM686:$AW686,0)),"Multiple strategies"))</f>
        <v>Supply chain</v>
      </c>
      <c r="BG686" s="142"/>
      <c r="BJ686" s="143"/>
      <c r="BL686" s="143"/>
      <c r="BN686" s="158"/>
      <c r="BO686" s="143"/>
      <c r="BP686" s="155" t="s">
        <v>232</v>
      </c>
      <c r="BR686" s="155" t="s">
        <v>3627</v>
      </c>
      <c r="BS686">
        <v>-42808.988764044901</v>
      </c>
      <c r="BT686">
        <v>-2247.1910112359501</v>
      </c>
      <c r="BU686" s="144"/>
      <c r="BY686" t="str">
        <f t="shared" si="820"/>
        <v/>
      </c>
      <c r="BZ686">
        <v>0</v>
      </c>
      <c r="CA686">
        <v>0</v>
      </c>
      <c r="CB686">
        <v>0</v>
      </c>
      <c r="CC686">
        <v>0</v>
      </c>
      <c r="CD686">
        <v>0</v>
      </c>
      <c r="CE686">
        <v>0</v>
      </c>
      <c r="CF686">
        <v>0</v>
      </c>
      <c r="CG686">
        <v>0</v>
      </c>
      <c r="CH686">
        <v>0</v>
      </c>
      <c r="CI686">
        <v>0</v>
      </c>
      <c r="CJ686">
        <v>0</v>
      </c>
      <c r="CK686">
        <v>0</v>
      </c>
      <c r="CL686">
        <v>0</v>
      </c>
      <c r="CM686">
        <v>0</v>
      </c>
      <c r="CN686" t="str">
        <f t="shared" si="817"/>
        <v>refOK</v>
      </c>
      <c r="CO686"/>
      <c r="CP686"/>
      <c r="CQ686"/>
      <c r="CR686">
        <f t="shared" si="798"/>
        <v>-42808.988764044901</v>
      </c>
      <c r="CS686">
        <f t="shared" si="799"/>
        <v>-2247.1910112359501</v>
      </c>
      <c r="CT686">
        <f t="shared" si="800"/>
        <v>0</v>
      </c>
      <c r="CU686" t="str">
        <f t="shared" si="801"/>
        <v/>
      </c>
      <c r="CV686" s="2">
        <f t="shared" si="802"/>
        <v>0.94750656167979019</v>
      </c>
      <c r="CW686" s="1" t="s">
        <v>1198</v>
      </c>
      <c r="CX686" s="311" t="str">
        <f t="shared" si="803"/>
        <v>reg</v>
      </c>
      <c r="CY686" s="317" t="s">
        <v>428</v>
      </c>
      <c r="CZ686">
        <v>2007</v>
      </c>
      <c r="DA686" s="143">
        <v>2009</v>
      </c>
      <c r="DB686" s="143">
        <v>2</v>
      </c>
      <c r="DC686" t="str">
        <f t="shared" si="804"/>
        <v>1-30</v>
      </c>
      <c r="DD686">
        <v>0</v>
      </c>
      <c r="DE686">
        <v>1</v>
      </c>
      <c r="DF686">
        <v>0</v>
      </c>
      <c r="DG686">
        <v>0</v>
      </c>
      <c r="DH686">
        <v>1</v>
      </c>
      <c r="DI686">
        <f t="shared" si="805"/>
        <v>1</v>
      </c>
      <c r="DJ686" t="str">
        <f t="shared" si="806"/>
        <v>EnergyInput</v>
      </c>
      <c r="DK686">
        <f t="shared" si="807"/>
        <v>0</v>
      </c>
      <c r="DL686" t="str">
        <f t="shared" si="808"/>
        <v>Energy</v>
      </c>
      <c r="DM686">
        <f t="shared" si="809"/>
        <v>0</v>
      </c>
      <c r="DN686">
        <f t="shared" si="810"/>
        <v>0</v>
      </c>
      <c r="DO686">
        <v>1</v>
      </c>
      <c r="DP686" s="143">
        <v>0</v>
      </c>
      <c r="DQ686" s="143">
        <v>0</v>
      </c>
      <c r="DR686">
        <v>0</v>
      </c>
      <c r="DS686" s="143">
        <v>0</v>
      </c>
      <c r="DT686">
        <f t="shared" si="811"/>
        <v>1</v>
      </c>
      <c r="DU686" s="143" t="str">
        <f t="shared" si="812"/>
        <v>self-calculated DF</v>
      </c>
      <c r="DV686" s="143">
        <v>0</v>
      </c>
      <c r="DW686">
        <v>0</v>
      </c>
      <c r="DX686" s="143">
        <v>1</v>
      </c>
      <c r="DY686" s="143">
        <v>0</v>
      </c>
      <c r="DZ686">
        <v>1</v>
      </c>
      <c r="EA686" s="143">
        <v>1</v>
      </c>
      <c r="EB686" s="143">
        <v>0</v>
      </c>
      <c r="EC686" s="143">
        <v>0</v>
      </c>
      <c r="ED686" s="143">
        <v>0</v>
      </c>
      <c r="EE686">
        <v>1</v>
      </c>
      <c r="EF686">
        <v>0</v>
      </c>
      <c r="EG686" s="143">
        <v>0</v>
      </c>
      <c r="EH686" s="143">
        <v>0</v>
      </c>
      <c r="EI686" s="2">
        <v>0</v>
      </c>
      <c r="EK686" t="str">
        <f t="shared" si="818"/>
        <v/>
      </c>
      <c r="EL686" t="str">
        <f t="shared" si="819"/>
        <v/>
      </c>
      <c r="EM686" s="2" t="str">
        <f t="shared" si="821"/>
        <v/>
      </c>
      <c r="EP686" t="b">
        <f>IF(ISNUMBER(BU686),IF(ABS(BU686-[1]QC_indicators!$B$2)&gt;3*[1]QC_indicators!$C$2,"C ratio",IF(ISNUMBER(BY686),IF(ABS(BY686-[1]QC_indicators!$B$1)&gt;3*[1]QC_indicators!$C$1,"DF","no"))),IF(ISNUMBER(BY686),IF(ABS(BY686-[1]QC_indicators!$B$1)&gt;3*[1]QC_indicators!$C$1,"DF","no")))</f>
        <v>0</v>
      </c>
    </row>
    <row r="687" spans="1:150" ht="15" hidden="1" customHeight="1">
      <c r="A687" s="1" t="s">
        <v>1620</v>
      </c>
      <c r="B687" t="s">
        <v>1621</v>
      </c>
      <c r="C687" t="s">
        <v>1622</v>
      </c>
      <c r="D687" t="s">
        <v>1623</v>
      </c>
      <c r="E687" t="s">
        <v>1624</v>
      </c>
      <c r="F687" t="s">
        <v>1625</v>
      </c>
      <c r="G687" t="s">
        <v>1626</v>
      </c>
      <c r="H687" t="s">
        <v>1627</v>
      </c>
      <c r="I687">
        <v>2003</v>
      </c>
      <c r="J687">
        <v>9</v>
      </c>
      <c r="K687" t="s">
        <v>1628</v>
      </c>
      <c r="M687" t="str">
        <f t="shared" si="732"/>
        <v>Graham_2003</v>
      </c>
      <c r="N687" t="s">
        <v>222</v>
      </c>
      <c r="O687" s="181" t="s">
        <v>225</v>
      </c>
      <c r="Q687" s="264" t="s">
        <v>256</v>
      </c>
      <c r="R687" s="269" t="s">
        <v>1153</v>
      </c>
      <c r="S687" s="1" t="s">
        <v>1629</v>
      </c>
      <c r="T687" t="s">
        <v>1630</v>
      </c>
      <c r="U687" t="s">
        <v>1631</v>
      </c>
      <c r="V687">
        <v>1</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0</v>
      </c>
      <c r="AQ687">
        <v>0</v>
      </c>
      <c r="AR687">
        <v>0</v>
      </c>
      <c r="AS687">
        <v>0</v>
      </c>
      <c r="AT687">
        <v>0</v>
      </c>
      <c r="AU687">
        <v>0</v>
      </c>
      <c r="AV687">
        <v>0</v>
      </c>
      <c r="AW687">
        <v>0</v>
      </c>
      <c r="AX687" s="141">
        <f t="shared" si="784"/>
        <v>1</v>
      </c>
      <c r="AY687" s="141">
        <f t="shared" si="785"/>
        <v>1</v>
      </c>
      <c r="AZ687">
        <f t="shared" si="786"/>
        <v>1</v>
      </c>
      <c r="BA687">
        <f t="shared" si="787"/>
        <v>0</v>
      </c>
      <c r="BB687">
        <f t="shared" si="788"/>
        <v>0</v>
      </c>
      <c r="BC687">
        <f t="shared" si="789"/>
        <v>0</v>
      </c>
      <c r="BD687">
        <f t="shared" si="790"/>
        <v>0</v>
      </c>
      <c r="BE687" t="str" cm="1">
        <f t="array" ref="BE687">IF(AY687=1,INDEX($V$7:$AL$7,MATCH(TRUE,INDEX($V687:$AW687&lt;&gt;0,),0)),IF(AY687=0,INDEX($AM$7:$AW$7,MATCH(1,$AM687:$AW687,0)),IF(BF687="Multiple strategies","mixed drivers",IF(BF687="Supply chain","multiple supply","multiple silviculture"))))</f>
        <v>area subject to harvest</v>
      </c>
      <c r="BF687" s="2" t="str" cm="1">
        <f t="array" ref="BF687">IF(COUNTIF(AZ687:BB687,"&lt;&gt;0")=1,INDEX($V$4:$AW$4,MATCH(TRUE,INDEX($V687:$AW687&lt;&gt;0,),0)),IF(COUNTIF(AZ687:BB687,"&lt;&gt;0")=0,INDEX($AM$4:$AW$4,MATCH(1,$AM687:$AW687,0)),"Multiple strategies"))</f>
        <v>Silviculture for removals</v>
      </c>
      <c r="BG687" s="1" t="s">
        <v>229</v>
      </c>
      <c r="BH687" t="s">
        <v>3405</v>
      </c>
      <c r="BJ687" t="s">
        <v>498</v>
      </c>
      <c r="BN687">
        <v>967000</v>
      </c>
      <c r="BO687">
        <f>BN687</f>
        <v>967000</v>
      </c>
      <c r="BP687" t="s">
        <v>232</v>
      </c>
      <c r="BR687" t="s">
        <v>1632</v>
      </c>
      <c r="BU687" s="144" t="str">
        <f>IFERROR(BT687/BS687,"")</f>
        <v/>
      </c>
      <c r="BX687">
        <v>349000</v>
      </c>
      <c r="BY687">
        <f t="shared" si="820"/>
        <v>0.36091003102378488</v>
      </c>
      <c r="BZ687">
        <v>0</v>
      </c>
      <c r="CA687">
        <v>0</v>
      </c>
      <c r="CB687">
        <v>0</v>
      </c>
      <c r="CC687">
        <v>0</v>
      </c>
      <c r="CD687">
        <v>0</v>
      </c>
      <c r="CE687">
        <v>0</v>
      </c>
      <c r="CF687">
        <v>0</v>
      </c>
      <c r="CG687">
        <v>0</v>
      </c>
      <c r="CH687">
        <v>0</v>
      </c>
      <c r="CI687">
        <v>0</v>
      </c>
      <c r="CJ687">
        <v>0</v>
      </c>
      <c r="CK687">
        <v>0</v>
      </c>
      <c r="CL687">
        <v>0</v>
      </c>
      <c r="CM687">
        <v>1</v>
      </c>
      <c r="CN687" t="str">
        <f>IF(BL687&lt;BK687,"refNeedCorrection","refOK")</f>
        <v>refOK</v>
      </c>
      <c r="CO687"/>
      <c r="CP687"/>
      <c r="CQ687">
        <f>IF($CN687="refNeedCorrection",-BO687,BO687)</f>
        <v>967000</v>
      </c>
      <c r="CR687">
        <f t="shared" si="798"/>
        <v>0</v>
      </c>
      <c r="CS687">
        <f t="shared" si="799"/>
        <v>0</v>
      </c>
      <c r="CT687">
        <f t="shared" si="800"/>
        <v>349000</v>
      </c>
      <c r="CU687">
        <f t="shared" si="801"/>
        <v>0.36091003102378488</v>
      </c>
      <c r="CV687" s="2" t="str">
        <f t="shared" si="802"/>
        <v/>
      </c>
      <c r="CW687" s="1" t="s">
        <v>1198</v>
      </c>
      <c r="CX687" s="264" t="str">
        <f t="shared" si="803"/>
        <v>reg</v>
      </c>
      <c r="CY687" t="s">
        <v>540</v>
      </c>
      <c r="CZ687">
        <v>2008</v>
      </c>
      <c r="DA687">
        <f>CZ687+DB687</f>
        <v>2044</v>
      </c>
      <c r="DB687">
        <v>36</v>
      </c>
      <c r="DC687" t="str">
        <f t="shared" si="804"/>
        <v>31-70</v>
      </c>
      <c r="DD687">
        <v>0</v>
      </c>
      <c r="DE687">
        <v>1</v>
      </c>
      <c r="DF687">
        <v>0</v>
      </c>
      <c r="DG687">
        <v>0</v>
      </c>
      <c r="DI687">
        <f t="shared" si="805"/>
        <v>1</v>
      </c>
      <c r="DJ687" t="str">
        <f t="shared" si="806"/>
        <v>EnergyInput</v>
      </c>
      <c r="DK687">
        <f t="shared" si="807"/>
        <v>0</v>
      </c>
      <c r="DL687" t="str">
        <f t="shared" si="808"/>
        <v>Energy</v>
      </c>
      <c r="DM687">
        <f t="shared" si="809"/>
        <v>0</v>
      </c>
      <c r="DN687">
        <f t="shared" si="810"/>
        <v>0</v>
      </c>
      <c r="DO687">
        <v>0</v>
      </c>
      <c r="DP687">
        <v>1</v>
      </c>
      <c r="DQ687" t="s">
        <v>1633</v>
      </c>
      <c r="DR687">
        <v>0</v>
      </c>
      <c r="DS687">
        <v>0</v>
      </c>
      <c r="DT687">
        <f t="shared" si="811"/>
        <v>1</v>
      </c>
      <c r="DU687" s="143" t="str">
        <f t="shared" si="812"/>
        <v>external DF used</v>
      </c>
      <c r="DV687">
        <v>1</v>
      </c>
      <c r="DW687">
        <v>0</v>
      </c>
      <c r="DX687">
        <v>1</v>
      </c>
      <c r="DY687">
        <v>0</v>
      </c>
      <c r="DZ687">
        <v>0</v>
      </c>
      <c r="EA687">
        <v>1</v>
      </c>
      <c r="EB687">
        <v>1</v>
      </c>
      <c r="EC687">
        <v>0</v>
      </c>
      <c r="ED687">
        <v>0</v>
      </c>
      <c r="EE687">
        <v>0</v>
      </c>
      <c r="EF687">
        <v>0</v>
      </c>
      <c r="EG687">
        <v>0</v>
      </c>
      <c r="EH687">
        <v>0</v>
      </c>
      <c r="EI687" s="2">
        <v>0</v>
      </c>
      <c r="EK687" t="str">
        <f>IF(AND(AND(AND(OR($DX687=1,$DW687=1),OR($EC687=1,$EA687=1)),SUM($DV687:$DZ687,$EF687)&gt;=4),SUM($EA687:$EE687)&gt;=2),"Whole sector","")</f>
        <v/>
      </c>
      <c r="EL687" t="str">
        <f>IF(AND(AND(OR($DX687=1,$DW687=1),AND($EC687=0,$EA687=0)),SUM($DV687:$DZ687,$EF687)&gt;=4),"Ecosystem approach","")</f>
        <v/>
      </c>
      <c r="EM687" s="2" t="str">
        <f t="shared" si="821"/>
        <v/>
      </c>
      <c r="EP687" t="str">
        <f>IF(ISNUMBER(BU687),IF(ABS(BU687-[4]QC_indicators!$B$2)&gt;3*[4]QC_indicators!$C$2,"C ratio",IF(ISNUMBER(BY687),IF(ABS(BY687-[4]QC_indicators!$B$1)&gt;3*[4]QC_indicators!$C$1,"DF","no"))),IF(ISNUMBER(BY687),IF(ABS(BY687-[4]QC_indicators!$B$1)&gt;3*[4]QC_indicators!$C$1,"DF","no")))</f>
        <v>no</v>
      </c>
      <c r="EQ687" t="s">
        <v>1163</v>
      </c>
      <c r="ER687" t="s">
        <v>1634</v>
      </c>
      <c r="ET687" s="264" t="s">
        <v>3406</v>
      </c>
    </row>
    <row r="688" spans="1:150" ht="15" hidden="1" customHeight="1">
      <c r="A688" s="1" t="s">
        <v>3634</v>
      </c>
      <c r="B688" t="s">
        <v>544</v>
      </c>
      <c r="C688" t="s">
        <v>3635</v>
      </c>
      <c r="D688" t="s">
        <v>3636</v>
      </c>
      <c r="E688" t="s">
        <v>3637</v>
      </c>
      <c r="F688" t="s">
        <v>3638</v>
      </c>
      <c r="G688" t="s">
        <v>3639</v>
      </c>
      <c r="H688" t="s">
        <v>254</v>
      </c>
      <c r="I688">
        <v>2020</v>
      </c>
      <c r="J688">
        <v>9</v>
      </c>
      <c r="K688" t="s">
        <v>3640</v>
      </c>
      <c r="M688" t="str">
        <f t="shared" si="732"/>
        <v>Graves_2020</v>
      </c>
      <c r="N688" s="311" t="s">
        <v>4382</v>
      </c>
      <c r="O688" s="171" t="s">
        <v>341</v>
      </c>
      <c r="P688" t="s">
        <v>223</v>
      </c>
      <c r="Q688" s="311" t="s">
        <v>389</v>
      </c>
      <c r="R688" s="312"/>
      <c r="S688" s="321" t="s">
        <v>3641</v>
      </c>
      <c r="T688" s="313" t="s">
        <v>3642</v>
      </c>
      <c r="U688" s="311" t="s">
        <v>3643</v>
      </c>
      <c r="V688">
        <v>1</v>
      </c>
      <c r="W688">
        <v>0</v>
      </c>
      <c r="X688">
        <v>0</v>
      </c>
      <c r="Y688">
        <v>0</v>
      </c>
      <c r="Z688">
        <v>0</v>
      </c>
      <c r="AA688">
        <v>0</v>
      </c>
      <c r="AB688">
        <v>0</v>
      </c>
      <c r="AC688">
        <v>0</v>
      </c>
      <c r="AD688">
        <v>0</v>
      </c>
      <c r="AE688">
        <v>0</v>
      </c>
      <c r="AF688">
        <v>0</v>
      </c>
      <c r="AG688">
        <v>0</v>
      </c>
      <c r="AH688">
        <v>0</v>
      </c>
      <c r="AI688">
        <v>0</v>
      </c>
      <c r="AJ688">
        <v>0</v>
      </c>
      <c r="AK688">
        <v>0</v>
      </c>
      <c r="AL688">
        <v>0</v>
      </c>
      <c r="AM688">
        <v>0</v>
      </c>
      <c r="AN688">
        <v>0</v>
      </c>
      <c r="AO688">
        <v>0</v>
      </c>
      <c r="AP688">
        <v>0</v>
      </c>
      <c r="AQ688">
        <v>0</v>
      </c>
      <c r="AR688">
        <v>0</v>
      </c>
      <c r="AS688">
        <v>0</v>
      </c>
      <c r="AT688">
        <v>0</v>
      </c>
      <c r="AU688">
        <v>0</v>
      </c>
      <c r="AV688">
        <v>0</v>
      </c>
      <c r="AW688">
        <v>0</v>
      </c>
      <c r="AX688" s="141">
        <f t="shared" si="784"/>
        <v>1</v>
      </c>
      <c r="AY688" s="141">
        <f t="shared" si="785"/>
        <v>1</v>
      </c>
      <c r="AZ688">
        <f t="shared" si="786"/>
        <v>1</v>
      </c>
      <c r="BA688">
        <f t="shared" si="787"/>
        <v>0</v>
      </c>
      <c r="BB688">
        <f t="shared" si="788"/>
        <v>0</v>
      </c>
      <c r="BC688">
        <f t="shared" si="789"/>
        <v>0</v>
      </c>
      <c r="BD688">
        <f t="shared" si="790"/>
        <v>0</v>
      </c>
      <c r="BE688" t="str" cm="1">
        <f t="array" ref="BE688">IF(AY688=1,INDEX($V$7:$AL$7,MATCH(TRUE,INDEX($V688:$AW688&lt;&gt;0,),0)),IF(AY688=0,INDEX($AM$7:$AW$7,MATCH(1,$AM688:$AW688,0)),IF(BF688="Multiple strategies","mixed drivers",IF(BF688="Supply chain","multiple supply","multiple silviculture"))))</f>
        <v>area subject to harvest</v>
      </c>
      <c r="BF688" s="2" t="str" cm="1">
        <f t="array" ref="BF688">IF(COUNTIF(AZ688:BB688,"&lt;&gt;0")=1,INDEX($V$4:$AW$4,MATCH(TRUE,INDEX($V688:$AW688&lt;&gt;0,),0)),IF(COUNTIF(AZ688:BB688,"&lt;&gt;0")=0,INDEX($AM$4:$AW$4,MATCH(1,$AM688:$AW688,0)),"Multiple strategies"))</f>
        <v>Silviculture for removals</v>
      </c>
      <c r="BP688" s="155" t="s">
        <v>395</v>
      </c>
      <c r="BQ688" s="155" t="s">
        <v>3644</v>
      </c>
      <c r="BR688" s="141" t="s">
        <v>3645</v>
      </c>
      <c r="BS688">
        <f>BT688-0.24</f>
        <v>63.76</v>
      </c>
      <c r="BT688" s="151">
        <v>64</v>
      </c>
      <c r="BU688" s="144">
        <f t="shared" ref="BU688:BU699" si="822">BT688/BS688</f>
        <v>1.0037641154328734</v>
      </c>
      <c r="BV688">
        <f t="shared" ref="BV688:BV709" si="823">BT688-BS688</f>
        <v>0.24000000000000199</v>
      </c>
      <c r="BX688">
        <f t="shared" ref="BX688:BX699" si="824">BV688</f>
        <v>0.24000000000000199</v>
      </c>
      <c r="BY688" t="str">
        <f t="shared" si="820"/>
        <v/>
      </c>
      <c r="BZ688">
        <v>0</v>
      </c>
      <c r="CA688">
        <v>0</v>
      </c>
      <c r="CB688">
        <v>0</v>
      </c>
      <c r="CC688">
        <v>0</v>
      </c>
      <c r="CD688">
        <v>0</v>
      </c>
      <c r="CE688">
        <v>0</v>
      </c>
      <c r="CF688">
        <v>0</v>
      </c>
      <c r="CG688">
        <v>0</v>
      </c>
      <c r="CH688">
        <v>0</v>
      </c>
      <c r="CI688">
        <v>0</v>
      </c>
      <c r="CJ688">
        <v>0</v>
      </c>
      <c r="CK688">
        <v>0</v>
      </c>
      <c r="CL688">
        <v>0</v>
      </c>
      <c r="CM688">
        <v>0</v>
      </c>
      <c r="CN688" t="str">
        <f t="shared" ref="CN688:CN709" si="825">IF($BL688&lt;$BK688,"refNeedCorrection","refOK")</f>
        <v>refOK</v>
      </c>
      <c r="CO688"/>
      <c r="CP688"/>
      <c r="CQ688"/>
      <c r="CR688">
        <f t="shared" si="798"/>
        <v>-63.76</v>
      </c>
      <c r="CS688">
        <f t="shared" si="799"/>
        <v>-64</v>
      </c>
      <c r="CT688">
        <f t="shared" si="800"/>
        <v>-0.24000000000000199</v>
      </c>
      <c r="CU688" t="str">
        <f t="shared" si="801"/>
        <v/>
      </c>
      <c r="CV688" s="2">
        <f t="shared" si="802"/>
        <v>-3.7641154328733059E-3</v>
      </c>
      <c r="CW688" s="318" t="s">
        <v>1198</v>
      </c>
      <c r="CX688" s="311" t="str">
        <f t="shared" si="803"/>
        <v>reg</v>
      </c>
      <c r="CY688" s="317" t="s">
        <v>428</v>
      </c>
      <c r="CZ688">
        <v>2020</v>
      </c>
      <c r="DA688">
        <v>2035</v>
      </c>
      <c r="DB688">
        <f t="shared" ref="DB688:DB709" si="826">DA688-CZ688</f>
        <v>15</v>
      </c>
      <c r="DC688" t="str">
        <f t="shared" si="804"/>
        <v>1-30</v>
      </c>
      <c r="DD688">
        <v>1</v>
      </c>
      <c r="DE688">
        <v>1</v>
      </c>
      <c r="DF688">
        <v>1</v>
      </c>
      <c r="DG688">
        <v>1</v>
      </c>
      <c r="DH688">
        <v>0</v>
      </c>
      <c r="DI688">
        <f t="shared" ref="DI688:DI699" si="827">SUM(DD688:DH688)</f>
        <v>4</v>
      </c>
      <c r="DJ688" t="str">
        <f t="shared" si="806"/>
        <v>mixedProduct</v>
      </c>
      <c r="DK688" t="str">
        <f t="shared" si="807"/>
        <v>Upstream</v>
      </c>
      <c r="DL688" t="str">
        <f t="shared" si="808"/>
        <v>Energy</v>
      </c>
      <c r="DM688" t="str">
        <f t="shared" si="809"/>
        <v>Pulp/Paper</v>
      </c>
      <c r="DN688" t="str">
        <f t="shared" si="810"/>
        <v>Timber</v>
      </c>
      <c r="DO688">
        <v>0</v>
      </c>
      <c r="DP688" s="143">
        <v>0</v>
      </c>
      <c r="DQ688" s="143">
        <v>0</v>
      </c>
      <c r="DR688">
        <v>0</v>
      </c>
      <c r="DS688">
        <v>0</v>
      </c>
      <c r="DT688">
        <f t="shared" si="811"/>
        <v>0</v>
      </c>
      <c r="DU688" s="143" t="str">
        <f t="shared" si="812"/>
        <v>explicit C balance</v>
      </c>
      <c r="DV688" s="143">
        <v>0</v>
      </c>
      <c r="DW688" s="143">
        <v>1</v>
      </c>
      <c r="DX688" s="143">
        <v>1</v>
      </c>
      <c r="DY688" s="143">
        <v>1</v>
      </c>
      <c r="DZ688">
        <v>1</v>
      </c>
      <c r="EA688" s="143">
        <v>0</v>
      </c>
      <c r="EB688" s="143">
        <v>0</v>
      </c>
      <c r="EC688" s="143">
        <v>0</v>
      </c>
      <c r="ED688" s="143">
        <v>0</v>
      </c>
      <c r="EE688">
        <v>0</v>
      </c>
      <c r="EF688">
        <v>1</v>
      </c>
      <c r="EG688" s="143">
        <v>0</v>
      </c>
      <c r="EH688" s="143">
        <v>0</v>
      </c>
      <c r="EI688" s="2">
        <v>0</v>
      </c>
      <c r="EK688" t="str">
        <f t="shared" ref="EK688:EK699" si="828">IF(AND(AND(AND(OR($DX688=1,$DW688=1),OR($EC688=1,$EA688=1)),SUM($DV688:$DZ688,$EF688)&gt;=3),SUM($EA688:$EE688)&gt;=2),"Whole sector","")</f>
        <v/>
      </c>
      <c r="EL688" t="str">
        <f t="shared" ref="EL688:EL699" si="829">IF(AND(AND(OR($DX688=1,$DW688=1),AND($EC688=0,$EA688=0)),SUM($DV688:$DZ688,$EF688)&gt;=3),"Ecosystem approach","")</f>
        <v>Ecosystem approach</v>
      </c>
      <c r="EM688" s="2" t="str">
        <f t="shared" si="821"/>
        <v/>
      </c>
      <c r="EP688" t="b">
        <f>IF(ISNUMBER(BU688),IF(ABS(BU688-[1]QC_indicators!$B$2)&gt;3*[1]QC_indicators!$C$2,"C ratio",IF(ISNUMBER(BY688),IF(ABS(BY688-[1]QC_indicators!$B$1)&gt;3*[1]QC_indicators!$C$1,"DF","no"))),IF(ISNUMBER(BY688),IF(ABS(BY688-[1]QC_indicators!$B$1)&gt;3*[1]QC_indicators!$C$1,"DF","no")))</f>
        <v>0</v>
      </c>
    </row>
    <row r="689" spans="1:150" ht="15" hidden="1" customHeight="1">
      <c r="A689" s="1" t="s">
        <v>3634</v>
      </c>
      <c r="B689" t="s">
        <v>544</v>
      </c>
      <c r="C689" t="s">
        <v>3635</v>
      </c>
      <c r="D689" t="s">
        <v>3636</v>
      </c>
      <c r="E689" t="s">
        <v>3637</v>
      </c>
      <c r="F689" t="s">
        <v>3638</v>
      </c>
      <c r="G689" t="s">
        <v>3639</v>
      </c>
      <c r="H689" t="s">
        <v>254</v>
      </c>
      <c r="I689">
        <v>2020</v>
      </c>
      <c r="J689">
        <v>9</v>
      </c>
      <c r="K689" t="s">
        <v>3640</v>
      </c>
      <c r="M689" t="str">
        <f t="shared" si="732"/>
        <v>Graves_2020</v>
      </c>
      <c r="N689" s="311" t="s">
        <v>4382</v>
      </c>
      <c r="O689" s="171" t="s">
        <v>341</v>
      </c>
      <c r="P689" t="s">
        <v>223</v>
      </c>
      <c r="Q689" s="311" t="s">
        <v>389</v>
      </c>
      <c r="R689" s="312"/>
      <c r="S689" s="321" t="s">
        <v>3641</v>
      </c>
      <c r="T689" s="313" t="s">
        <v>3642</v>
      </c>
      <c r="U689" s="311" t="s">
        <v>3643</v>
      </c>
      <c r="V689">
        <v>1</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v>
      </c>
      <c r="AQ689">
        <v>0</v>
      </c>
      <c r="AR689">
        <v>0</v>
      </c>
      <c r="AS689">
        <v>0</v>
      </c>
      <c r="AT689">
        <v>0</v>
      </c>
      <c r="AU689">
        <v>0</v>
      </c>
      <c r="AV689">
        <v>0</v>
      </c>
      <c r="AW689">
        <v>0</v>
      </c>
      <c r="AX689" s="141">
        <f t="shared" si="784"/>
        <v>1</v>
      </c>
      <c r="AY689" s="141">
        <f t="shared" si="785"/>
        <v>1</v>
      </c>
      <c r="AZ689">
        <f t="shared" si="786"/>
        <v>1</v>
      </c>
      <c r="BA689">
        <f t="shared" si="787"/>
        <v>0</v>
      </c>
      <c r="BB689">
        <f t="shared" si="788"/>
        <v>0</v>
      </c>
      <c r="BC689">
        <f t="shared" si="789"/>
        <v>0</v>
      </c>
      <c r="BD689">
        <f t="shared" si="790"/>
        <v>0</v>
      </c>
      <c r="BE689" t="str" cm="1">
        <f t="array" ref="BE689">IF(AY689=1,INDEX($V$7:$AL$7,MATCH(TRUE,INDEX($V689:$AW689&lt;&gt;0,),0)),IF(AY689=0,INDEX($AM$7:$AW$7,MATCH(1,$AM689:$AW689,0)),IF(BF689="Multiple strategies","mixed drivers",IF(BF689="Supply chain","multiple supply","multiple silviculture"))))</f>
        <v>area subject to harvest</v>
      </c>
      <c r="BF689" s="2" t="str" cm="1">
        <f t="array" ref="BF689">IF(COUNTIF(AZ689:BB689,"&lt;&gt;0")=1,INDEX($V$4:$AW$4,MATCH(TRUE,INDEX($V689:$AW689&lt;&gt;0,),0)),IF(COUNTIF(AZ689:BB689,"&lt;&gt;0")=0,INDEX($AM$4:$AW$4,MATCH(1,$AM689:$AW689,0)),"Multiple strategies"))</f>
        <v>Silviculture for removals</v>
      </c>
      <c r="BP689" s="155" t="s">
        <v>395</v>
      </c>
      <c r="BQ689" s="155" t="s">
        <v>3644</v>
      </c>
      <c r="BR689" s="141" t="s">
        <v>3645</v>
      </c>
      <c r="BS689">
        <f>BT689-0.26</f>
        <v>63.74</v>
      </c>
      <c r="BT689" s="151">
        <v>64</v>
      </c>
      <c r="BU689" s="144">
        <f t="shared" si="822"/>
        <v>1.004079071226859</v>
      </c>
      <c r="BV689">
        <f t="shared" si="823"/>
        <v>0.25999999999999801</v>
      </c>
      <c r="BX689">
        <f t="shared" si="824"/>
        <v>0.25999999999999801</v>
      </c>
      <c r="BY689" t="str">
        <f t="shared" si="820"/>
        <v/>
      </c>
      <c r="BZ689">
        <v>0</v>
      </c>
      <c r="CA689">
        <v>0</v>
      </c>
      <c r="CB689">
        <v>0</v>
      </c>
      <c r="CC689">
        <v>0</v>
      </c>
      <c r="CD689">
        <v>0</v>
      </c>
      <c r="CE689">
        <v>0</v>
      </c>
      <c r="CF689">
        <v>0</v>
      </c>
      <c r="CG689">
        <v>0</v>
      </c>
      <c r="CH689">
        <v>0</v>
      </c>
      <c r="CI689">
        <v>0</v>
      </c>
      <c r="CJ689">
        <v>0</v>
      </c>
      <c r="CK689">
        <v>0</v>
      </c>
      <c r="CL689">
        <v>0</v>
      </c>
      <c r="CM689">
        <v>0</v>
      </c>
      <c r="CN689" t="str">
        <f t="shared" si="825"/>
        <v>refOK</v>
      </c>
      <c r="CO689"/>
      <c r="CP689"/>
      <c r="CQ689"/>
      <c r="CR689">
        <f t="shared" si="798"/>
        <v>-63.74</v>
      </c>
      <c r="CS689">
        <f t="shared" si="799"/>
        <v>-64</v>
      </c>
      <c r="CT689">
        <f t="shared" si="800"/>
        <v>-0.25999999999999801</v>
      </c>
      <c r="CU689" t="str">
        <f t="shared" si="801"/>
        <v/>
      </c>
      <c r="CV689" s="2">
        <f t="shared" si="802"/>
        <v>-4.0790712268590837E-3</v>
      </c>
      <c r="CW689" s="318" t="s">
        <v>1198</v>
      </c>
      <c r="CX689" s="311" t="str">
        <f t="shared" si="803"/>
        <v>reg</v>
      </c>
      <c r="CY689" s="317" t="s">
        <v>428</v>
      </c>
      <c r="CZ689">
        <v>2020</v>
      </c>
      <c r="DA689">
        <v>2050</v>
      </c>
      <c r="DB689">
        <f t="shared" si="826"/>
        <v>30</v>
      </c>
      <c r="DC689" t="str">
        <f t="shared" si="804"/>
        <v>1-30</v>
      </c>
      <c r="DD689">
        <v>1</v>
      </c>
      <c r="DE689">
        <v>1</v>
      </c>
      <c r="DF689">
        <v>1</v>
      </c>
      <c r="DG689">
        <v>1</v>
      </c>
      <c r="DH689">
        <v>0</v>
      </c>
      <c r="DI689">
        <f t="shared" si="827"/>
        <v>4</v>
      </c>
      <c r="DJ689" t="str">
        <f t="shared" si="806"/>
        <v>mixedProduct</v>
      </c>
      <c r="DK689" t="str">
        <f t="shared" si="807"/>
        <v>Upstream</v>
      </c>
      <c r="DL689" t="str">
        <f t="shared" si="808"/>
        <v>Energy</v>
      </c>
      <c r="DM689" t="str">
        <f t="shared" si="809"/>
        <v>Pulp/Paper</v>
      </c>
      <c r="DN689" t="str">
        <f t="shared" si="810"/>
        <v>Timber</v>
      </c>
      <c r="DO689">
        <v>0</v>
      </c>
      <c r="DP689" s="143">
        <v>0</v>
      </c>
      <c r="DQ689" s="143">
        <v>0</v>
      </c>
      <c r="DR689">
        <v>0</v>
      </c>
      <c r="DS689">
        <v>0</v>
      </c>
      <c r="DT689">
        <f t="shared" si="811"/>
        <v>0</v>
      </c>
      <c r="DU689" s="143" t="str">
        <f t="shared" si="812"/>
        <v>explicit C balance</v>
      </c>
      <c r="DV689" s="143">
        <v>0</v>
      </c>
      <c r="DW689" s="143">
        <v>1</v>
      </c>
      <c r="DX689" s="143">
        <v>1</v>
      </c>
      <c r="DY689" s="143">
        <v>1</v>
      </c>
      <c r="DZ689">
        <v>1</v>
      </c>
      <c r="EA689" s="143">
        <v>0</v>
      </c>
      <c r="EB689" s="143">
        <v>0</v>
      </c>
      <c r="EC689" s="143">
        <v>0</v>
      </c>
      <c r="ED689" s="143">
        <v>0</v>
      </c>
      <c r="EE689">
        <v>0</v>
      </c>
      <c r="EF689">
        <v>1</v>
      </c>
      <c r="EG689" s="143">
        <v>0</v>
      </c>
      <c r="EH689" s="143">
        <v>0</v>
      </c>
      <c r="EI689" s="2">
        <v>0</v>
      </c>
      <c r="EK689" t="str">
        <f t="shared" si="828"/>
        <v/>
      </c>
      <c r="EL689" t="str">
        <f t="shared" si="829"/>
        <v>Ecosystem approach</v>
      </c>
      <c r="EM689" s="2" t="str">
        <f t="shared" si="821"/>
        <v/>
      </c>
      <c r="EP689" t="b">
        <f>IF(ISNUMBER(BU689),IF(ABS(BU689-[1]QC_indicators!$B$2)&gt;3*[1]QC_indicators!$C$2,"C ratio",IF(ISNUMBER(BY689),IF(ABS(BY689-[1]QC_indicators!$B$1)&gt;3*[1]QC_indicators!$C$1,"DF","no"))),IF(ISNUMBER(BY689),IF(ABS(BY689-[1]QC_indicators!$B$1)&gt;3*[1]QC_indicators!$C$1,"DF","no")))</f>
        <v>0</v>
      </c>
    </row>
    <row r="690" spans="1:150" ht="15" hidden="1" customHeight="1">
      <c r="A690" s="1" t="s">
        <v>3634</v>
      </c>
      <c r="B690" t="s">
        <v>544</v>
      </c>
      <c r="C690" t="s">
        <v>3635</v>
      </c>
      <c r="D690" t="s">
        <v>3636</v>
      </c>
      <c r="E690" t="s">
        <v>3637</v>
      </c>
      <c r="F690" t="s">
        <v>3638</v>
      </c>
      <c r="G690" t="s">
        <v>3639</v>
      </c>
      <c r="H690" t="s">
        <v>254</v>
      </c>
      <c r="I690">
        <v>2020</v>
      </c>
      <c r="J690">
        <v>9</v>
      </c>
      <c r="K690" t="s">
        <v>3640</v>
      </c>
      <c r="M690" t="str">
        <f t="shared" si="732"/>
        <v>Graves_2020</v>
      </c>
      <c r="N690" s="311" t="s">
        <v>4382</v>
      </c>
      <c r="O690" s="171" t="s">
        <v>341</v>
      </c>
      <c r="P690" t="s">
        <v>223</v>
      </c>
      <c r="Q690" s="311" t="s">
        <v>389</v>
      </c>
      <c r="R690" s="312"/>
      <c r="S690" s="321" t="s">
        <v>3641</v>
      </c>
      <c r="T690" s="313" t="s">
        <v>3642</v>
      </c>
      <c r="U690" s="311" t="s">
        <v>3643</v>
      </c>
      <c r="V690">
        <v>1</v>
      </c>
      <c r="W690">
        <v>0</v>
      </c>
      <c r="X690">
        <v>0</v>
      </c>
      <c r="Y690">
        <v>0</v>
      </c>
      <c r="Z690">
        <v>0</v>
      </c>
      <c r="AA690">
        <v>0</v>
      </c>
      <c r="AB690">
        <v>0</v>
      </c>
      <c r="AC690">
        <v>0</v>
      </c>
      <c r="AD690">
        <v>0</v>
      </c>
      <c r="AE690">
        <v>0</v>
      </c>
      <c r="AF690">
        <v>0</v>
      </c>
      <c r="AG690">
        <v>0</v>
      </c>
      <c r="AH690">
        <v>0</v>
      </c>
      <c r="AI690">
        <v>0</v>
      </c>
      <c r="AJ690">
        <v>0</v>
      </c>
      <c r="AK690">
        <v>0</v>
      </c>
      <c r="AL690">
        <v>0</v>
      </c>
      <c r="AM690">
        <v>0</v>
      </c>
      <c r="AN690">
        <v>0</v>
      </c>
      <c r="AO690">
        <v>0</v>
      </c>
      <c r="AP690">
        <v>0</v>
      </c>
      <c r="AQ690">
        <v>0</v>
      </c>
      <c r="AR690">
        <v>0</v>
      </c>
      <c r="AS690">
        <v>0</v>
      </c>
      <c r="AT690">
        <v>0</v>
      </c>
      <c r="AU690">
        <v>0</v>
      </c>
      <c r="AV690">
        <v>0</v>
      </c>
      <c r="AW690">
        <v>0</v>
      </c>
      <c r="AX690" s="141">
        <f t="shared" si="784"/>
        <v>1</v>
      </c>
      <c r="AY690" s="141">
        <f t="shared" si="785"/>
        <v>1</v>
      </c>
      <c r="AZ690">
        <f t="shared" si="786"/>
        <v>1</v>
      </c>
      <c r="BA690">
        <f t="shared" si="787"/>
        <v>0</v>
      </c>
      <c r="BB690">
        <f t="shared" si="788"/>
        <v>0</v>
      </c>
      <c r="BC690">
        <f t="shared" si="789"/>
        <v>0</v>
      </c>
      <c r="BD690">
        <f t="shared" si="790"/>
        <v>0</v>
      </c>
      <c r="BE690" t="str" cm="1">
        <f t="array" ref="BE690">IF(AY690=1,INDEX($V$7:$AL$7,MATCH(TRUE,INDEX($V690:$AW690&lt;&gt;0,),0)),IF(AY690=0,INDEX($AM$7:$AW$7,MATCH(1,$AM690:$AW690,0)),IF(BF690="Multiple strategies","mixed drivers",IF(BF690="Supply chain","multiple supply","multiple silviculture"))))</f>
        <v>area subject to harvest</v>
      </c>
      <c r="BF690" s="2" t="str" cm="1">
        <f t="array" ref="BF690">IF(COUNTIF(AZ690:BB690,"&lt;&gt;0")=1,INDEX($V$4:$AW$4,MATCH(TRUE,INDEX($V690:$AW690&lt;&gt;0,),0)),IF(COUNTIF(AZ690:BB690,"&lt;&gt;0")=0,INDEX($AM$4:$AW$4,MATCH(1,$AM690:$AW690,0)),"Multiple strategies"))</f>
        <v>Silviculture for removals</v>
      </c>
      <c r="BN690" s="158"/>
      <c r="BO690" s="159"/>
      <c r="BP690" s="155" t="s">
        <v>395</v>
      </c>
      <c r="BQ690" s="155" t="s">
        <v>3644</v>
      </c>
      <c r="BR690" s="141" t="s">
        <v>3645</v>
      </c>
      <c r="BS690">
        <f>BT690-0.48</f>
        <v>63.52</v>
      </c>
      <c r="BT690" s="151">
        <v>64</v>
      </c>
      <c r="BU690" s="144">
        <f t="shared" si="822"/>
        <v>1.0075566750629723</v>
      </c>
      <c r="BV690">
        <f t="shared" si="823"/>
        <v>0.47999999999999687</v>
      </c>
      <c r="BX690">
        <f t="shared" si="824"/>
        <v>0.47999999999999687</v>
      </c>
      <c r="BY690" t="str">
        <f t="shared" si="820"/>
        <v/>
      </c>
      <c r="BZ690">
        <v>0</v>
      </c>
      <c r="CA690">
        <v>0</v>
      </c>
      <c r="CB690">
        <v>0</v>
      </c>
      <c r="CC690">
        <v>0</v>
      </c>
      <c r="CD690">
        <v>0</v>
      </c>
      <c r="CE690">
        <v>0</v>
      </c>
      <c r="CF690">
        <v>0</v>
      </c>
      <c r="CG690">
        <v>0</v>
      </c>
      <c r="CH690">
        <v>0</v>
      </c>
      <c r="CI690">
        <v>0</v>
      </c>
      <c r="CJ690">
        <v>0</v>
      </c>
      <c r="CK690">
        <v>0</v>
      </c>
      <c r="CL690">
        <v>0</v>
      </c>
      <c r="CM690">
        <v>0</v>
      </c>
      <c r="CN690" t="str">
        <f t="shared" si="825"/>
        <v>refOK</v>
      </c>
      <c r="CO690"/>
      <c r="CP690"/>
      <c r="CQ690"/>
      <c r="CR690">
        <f t="shared" si="798"/>
        <v>-63.52</v>
      </c>
      <c r="CS690">
        <f t="shared" si="799"/>
        <v>-64</v>
      </c>
      <c r="CT690">
        <f t="shared" si="800"/>
        <v>-0.47999999999999687</v>
      </c>
      <c r="CU690" t="str">
        <f t="shared" si="801"/>
        <v/>
      </c>
      <c r="CV690" s="2">
        <f t="shared" si="802"/>
        <v>-7.5566750629722425E-3</v>
      </c>
      <c r="CW690" s="318" t="s">
        <v>1198</v>
      </c>
      <c r="CX690" s="311" t="str">
        <f t="shared" si="803"/>
        <v>reg</v>
      </c>
      <c r="CY690" s="317" t="s">
        <v>428</v>
      </c>
      <c r="CZ690">
        <v>2020</v>
      </c>
      <c r="DA690">
        <v>2035</v>
      </c>
      <c r="DB690">
        <f t="shared" si="826"/>
        <v>15</v>
      </c>
      <c r="DC690" t="str">
        <f t="shared" si="804"/>
        <v>1-30</v>
      </c>
      <c r="DD690">
        <v>1</v>
      </c>
      <c r="DE690">
        <v>1</v>
      </c>
      <c r="DF690">
        <v>1</v>
      </c>
      <c r="DG690">
        <v>1</v>
      </c>
      <c r="DH690">
        <v>0</v>
      </c>
      <c r="DI690">
        <f t="shared" si="827"/>
        <v>4</v>
      </c>
      <c r="DJ690" t="str">
        <f t="shared" si="806"/>
        <v>mixedProduct</v>
      </c>
      <c r="DK690" t="str">
        <f t="shared" si="807"/>
        <v>Upstream</v>
      </c>
      <c r="DL690" t="str">
        <f t="shared" si="808"/>
        <v>Energy</v>
      </c>
      <c r="DM690" t="str">
        <f t="shared" si="809"/>
        <v>Pulp/Paper</v>
      </c>
      <c r="DN690" t="str">
        <f t="shared" si="810"/>
        <v>Timber</v>
      </c>
      <c r="DO690">
        <v>0</v>
      </c>
      <c r="DP690" s="143">
        <v>0</v>
      </c>
      <c r="DQ690" s="143">
        <v>0</v>
      </c>
      <c r="DR690">
        <v>0</v>
      </c>
      <c r="DS690">
        <v>0</v>
      </c>
      <c r="DT690">
        <f t="shared" si="811"/>
        <v>0</v>
      </c>
      <c r="DU690" s="143" t="str">
        <f t="shared" si="812"/>
        <v>explicit C balance</v>
      </c>
      <c r="DV690" s="143">
        <v>0</v>
      </c>
      <c r="DW690" s="143">
        <v>1</v>
      </c>
      <c r="DX690" s="143">
        <v>1</v>
      </c>
      <c r="DY690" s="143">
        <v>1</v>
      </c>
      <c r="DZ690">
        <v>1</v>
      </c>
      <c r="EA690" s="143">
        <v>0</v>
      </c>
      <c r="EB690" s="143">
        <v>0</v>
      </c>
      <c r="EC690" s="143">
        <v>0</v>
      </c>
      <c r="ED690" s="143">
        <v>0</v>
      </c>
      <c r="EE690">
        <v>0</v>
      </c>
      <c r="EF690">
        <v>1</v>
      </c>
      <c r="EG690" s="143">
        <v>0</v>
      </c>
      <c r="EH690" s="143">
        <v>0</v>
      </c>
      <c r="EI690" s="2">
        <v>0</v>
      </c>
      <c r="EK690" t="str">
        <f t="shared" si="828"/>
        <v/>
      </c>
      <c r="EL690" t="str">
        <f t="shared" si="829"/>
        <v>Ecosystem approach</v>
      </c>
      <c r="EM690" s="2" t="str">
        <f t="shared" si="821"/>
        <v/>
      </c>
      <c r="EP690" t="b">
        <f>IF(ISNUMBER(BU690),IF(ABS(BU690-[1]QC_indicators!$B$2)&gt;3*[1]QC_indicators!$C$2,"C ratio",IF(ISNUMBER(BY690),IF(ABS(BY690-[1]QC_indicators!$B$1)&gt;3*[1]QC_indicators!$C$1,"DF","no"))),IF(ISNUMBER(BY690),IF(ABS(BY690-[1]QC_indicators!$B$1)&gt;3*[1]QC_indicators!$C$1,"DF","no")))</f>
        <v>0</v>
      </c>
    </row>
    <row r="691" spans="1:150" ht="15" hidden="1" customHeight="1">
      <c r="A691" s="1" t="s">
        <v>3634</v>
      </c>
      <c r="B691" t="s">
        <v>544</v>
      </c>
      <c r="C691" t="s">
        <v>3635</v>
      </c>
      <c r="D691" t="s">
        <v>3636</v>
      </c>
      <c r="E691" t="s">
        <v>3637</v>
      </c>
      <c r="F691" t="s">
        <v>3638</v>
      </c>
      <c r="G691" t="s">
        <v>3639</v>
      </c>
      <c r="H691" t="s">
        <v>254</v>
      </c>
      <c r="I691">
        <v>2020</v>
      </c>
      <c r="J691">
        <v>9</v>
      </c>
      <c r="K691" t="s">
        <v>3640</v>
      </c>
      <c r="M691" t="str">
        <f t="shared" si="732"/>
        <v>Graves_2020</v>
      </c>
      <c r="N691" s="311" t="s">
        <v>4382</v>
      </c>
      <c r="O691" s="171" t="s">
        <v>341</v>
      </c>
      <c r="P691" t="s">
        <v>223</v>
      </c>
      <c r="Q691" s="311" t="s">
        <v>389</v>
      </c>
      <c r="R691" s="312"/>
      <c r="S691" s="321" t="s">
        <v>3641</v>
      </c>
      <c r="T691" s="313" t="s">
        <v>3642</v>
      </c>
      <c r="U691" s="311" t="s">
        <v>3643</v>
      </c>
      <c r="V691">
        <v>1</v>
      </c>
      <c r="W691">
        <v>0</v>
      </c>
      <c r="X691">
        <v>0</v>
      </c>
      <c r="Y691">
        <v>0</v>
      </c>
      <c r="Z691">
        <v>0</v>
      </c>
      <c r="AA691">
        <v>0</v>
      </c>
      <c r="AB691">
        <v>0</v>
      </c>
      <c r="AC691">
        <v>0</v>
      </c>
      <c r="AD691">
        <v>0</v>
      </c>
      <c r="AE691">
        <v>0</v>
      </c>
      <c r="AF691">
        <v>0</v>
      </c>
      <c r="AG691">
        <v>0</v>
      </c>
      <c r="AH691">
        <v>0</v>
      </c>
      <c r="AI691">
        <v>0</v>
      </c>
      <c r="AJ691">
        <v>0</v>
      </c>
      <c r="AK691">
        <v>0</v>
      </c>
      <c r="AL691">
        <v>0</v>
      </c>
      <c r="AM691">
        <v>0</v>
      </c>
      <c r="AN691">
        <v>0</v>
      </c>
      <c r="AO691">
        <v>0</v>
      </c>
      <c r="AP691">
        <v>0</v>
      </c>
      <c r="AQ691">
        <v>0</v>
      </c>
      <c r="AR691">
        <v>0</v>
      </c>
      <c r="AS691">
        <v>0</v>
      </c>
      <c r="AT691">
        <v>0</v>
      </c>
      <c r="AU691">
        <v>0</v>
      </c>
      <c r="AV691">
        <v>0</v>
      </c>
      <c r="AW691">
        <v>0</v>
      </c>
      <c r="AX691" s="141">
        <f t="shared" si="784"/>
        <v>1</v>
      </c>
      <c r="AY691" s="141">
        <f t="shared" si="785"/>
        <v>1</v>
      </c>
      <c r="AZ691">
        <f t="shared" si="786"/>
        <v>1</v>
      </c>
      <c r="BA691">
        <f t="shared" si="787"/>
        <v>0</v>
      </c>
      <c r="BB691">
        <f t="shared" si="788"/>
        <v>0</v>
      </c>
      <c r="BC691">
        <f t="shared" si="789"/>
        <v>0</v>
      </c>
      <c r="BD691">
        <f t="shared" si="790"/>
        <v>0</v>
      </c>
      <c r="BE691" t="str" cm="1">
        <f t="array" ref="BE691">IF(AY691=1,INDEX($V$7:$AL$7,MATCH(TRUE,INDEX($V691:$AW691&lt;&gt;0,),0)),IF(AY691=0,INDEX($AM$7:$AW$7,MATCH(1,$AM691:$AW691,0)),IF(BF691="Multiple strategies","mixed drivers",IF(BF691="Supply chain","multiple supply","multiple silviculture"))))</f>
        <v>area subject to harvest</v>
      </c>
      <c r="BF691" s="2" t="str" cm="1">
        <f t="array" ref="BF691">IF(COUNTIF(AZ691:BB691,"&lt;&gt;0")=1,INDEX($V$4:$AW$4,MATCH(TRUE,INDEX($V691:$AW691&lt;&gt;0,),0)),IF(COUNTIF(AZ691:BB691,"&lt;&gt;0")=0,INDEX($AM$4:$AW$4,MATCH(1,$AM691:$AW691,0)),"Multiple strategies"))</f>
        <v>Silviculture for removals</v>
      </c>
      <c r="BN691" s="158"/>
      <c r="BO691" s="159"/>
      <c r="BP691" s="155" t="s">
        <v>395</v>
      </c>
      <c r="BQ691" s="155" t="s">
        <v>3644</v>
      </c>
      <c r="BR691" s="141" t="s">
        <v>3645</v>
      </c>
      <c r="BS691">
        <f>BT691-0.52</f>
        <v>63.48</v>
      </c>
      <c r="BT691" s="151">
        <v>64</v>
      </c>
      <c r="BU691" s="144">
        <f t="shared" si="822"/>
        <v>1.0081915563957153</v>
      </c>
      <c r="BV691">
        <f t="shared" si="823"/>
        <v>0.52000000000000313</v>
      </c>
      <c r="BX691">
        <f t="shared" si="824"/>
        <v>0.52000000000000313</v>
      </c>
      <c r="BY691" t="str">
        <f t="shared" si="820"/>
        <v/>
      </c>
      <c r="BZ691">
        <v>0</v>
      </c>
      <c r="CA691">
        <v>0</v>
      </c>
      <c r="CB691">
        <v>0</v>
      </c>
      <c r="CC691">
        <v>0</v>
      </c>
      <c r="CD691">
        <v>0</v>
      </c>
      <c r="CE691">
        <v>0</v>
      </c>
      <c r="CF691">
        <v>0</v>
      </c>
      <c r="CG691">
        <v>0</v>
      </c>
      <c r="CH691">
        <v>0</v>
      </c>
      <c r="CI691">
        <v>0</v>
      </c>
      <c r="CJ691">
        <v>0</v>
      </c>
      <c r="CK691">
        <v>0</v>
      </c>
      <c r="CL691">
        <v>0</v>
      </c>
      <c r="CM691">
        <v>0</v>
      </c>
      <c r="CN691" t="str">
        <f t="shared" si="825"/>
        <v>refOK</v>
      </c>
      <c r="CO691"/>
      <c r="CP691"/>
      <c r="CQ691"/>
      <c r="CR691">
        <f t="shared" si="798"/>
        <v>-63.48</v>
      </c>
      <c r="CS691">
        <f t="shared" si="799"/>
        <v>-64</v>
      </c>
      <c r="CT691">
        <f t="shared" si="800"/>
        <v>-0.52000000000000313</v>
      </c>
      <c r="CU691" t="str">
        <f t="shared" si="801"/>
        <v/>
      </c>
      <c r="CV691" s="2">
        <f t="shared" si="802"/>
        <v>-8.1915563957152358E-3</v>
      </c>
      <c r="CW691" s="318" t="s">
        <v>1198</v>
      </c>
      <c r="CX691" s="311" t="str">
        <f t="shared" si="803"/>
        <v>reg</v>
      </c>
      <c r="CY691" s="317" t="s">
        <v>428</v>
      </c>
      <c r="CZ691">
        <v>2020</v>
      </c>
      <c r="DA691">
        <v>2050</v>
      </c>
      <c r="DB691">
        <f t="shared" si="826"/>
        <v>30</v>
      </c>
      <c r="DC691" t="str">
        <f t="shared" si="804"/>
        <v>1-30</v>
      </c>
      <c r="DD691">
        <v>1</v>
      </c>
      <c r="DE691">
        <v>1</v>
      </c>
      <c r="DF691">
        <v>1</v>
      </c>
      <c r="DG691">
        <v>1</v>
      </c>
      <c r="DH691">
        <v>0</v>
      </c>
      <c r="DI691">
        <f t="shared" si="827"/>
        <v>4</v>
      </c>
      <c r="DJ691" t="str">
        <f t="shared" si="806"/>
        <v>mixedProduct</v>
      </c>
      <c r="DK691" t="str">
        <f t="shared" si="807"/>
        <v>Upstream</v>
      </c>
      <c r="DL691" t="str">
        <f t="shared" si="808"/>
        <v>Energy</v>
      </c>
      <c r="DM691" t="str">
        <f t="shared" si="809"/>
        <v>Pulp/Paper</v>
      </c>
      <c r="DN691" t="str">
        <f t="shared" si="810"/>
        <v>Timber</v>
      </c>
      <c r="DO691">
        <v>0</v>
      </c>
      <c r="DP691" s="143">
        <v>0</v>
      </c>
      <c r="DQ691" s="143">
        <v>0</v>
      </c>
      <c r="DR691">
        <v>0</v>
      </c>
      <c r="DS691">
        <v>0</v>
      </c>
      <c r="DT691">
        <f t="shared" si="811"/>
        <v>0</v>
      </c>
      <c r="DU691" s="143" t="str">
        <f t="shared" si="812"/>
        <v>explicit C balance</v>
      </c>
      <c r="DV691" s="143">
        <v>0</v>
      </c>
      <c r="DW691" s="143">
        <v>1</v>
      </c>
      <c r="DX691" s="143">
        <v>1</v>
      </c>
      <c r="DY691" s="143">
        <v>1</v>
      </c>
      <c r="DZ691">
        <v>1</v>
      </c>
      <c r="EA691" s="143">
        <v>0</v>
      </c>
      <c r="EB691" s="143">
        <v>0</v>
      </c>
      <c r="EC691" s="143">
        <v>0</v>
      </c>
      <c r="ED691" s="143">
        <v>0</v>
      </c>
      <c r="EE691">
        <v>0</v>
      </c>
      <c r="EF691">
        <v>1</v>
      </c>
      <c r="EG691" s="143">
        <v>0</v>
      </c>
      <c r="EH691" s="143">
        <v>0</v>
      </c>
      <c r="EI691" s="2">
        <v>0</v>
      </c>
      <c r="EK691" t="str">
        <f t="shared" si="828"/>
        <v/>
      </c>
      <c r="EL691" t="str">
        <f t="shared" si="829"/>
        <v>Ecosystem approach</v>
      </c>
      <c r="EM691" s="2" t="str">
        <f t="shared" si="821"/>
        <v/>
      </c>
      <c r="EP691" t="b">
        <f>IF(ISNUMBER(BU691),IF(ABS(BU691-[1]QC_indicators!$B$2)&gt;3*[1]QC_indicators!$C$2,"C ratio",IF(ISNUMBER(BY691),IF(ABS(BY691-[1]QC_indicators!$B$1)&gt;3*[1]QC_indicators!$C$1,"DF","no"))),IF(ISNUMBER(BY691),IF(ABS(BY691-[1]QC_indicators!$B$1)&gt;3*[1]QC_indicators!$C$1,"DF","no")))</f>
        <v>0</v>
      </c>
    </row>
    <row r="692" spans="1:150" ht="15" hidden="1" customHeight="1">
      <c r="A692" s="1" t="s">
        <v>3634</v>
      </c>
      <c r="B692" t="s">
        <v>544</v>
      </c>
      <c r="C692" t="s">
        <v>3635</v>
      </c>
      <c r="D692" t="s">
        <v>3636</v>
      </c>
      <c r="E692" t="s">
        <v>3637</v>
      </c>
      <c r="F692" t="s">
        <v>3638</v>
      </c>
      <c r="G692" t="s">
        <v>3639</v>
      </c>
      <c r="H692" t="s">
        <v>254</v>
      </c>
      <c r="I692">
        <v>2020</v>
      </c>
      <c r="J692">
        <v>9</v>
      </c>
      <c r="K692" s="311" t="s">
        <v>3640</v>
      </c>
      <c r="M692" t="str">
        <f t="shared" si="732"/>
        <v>Graves_2020</v>
      </c>
      <c r="N692" s="311" t="s">
        <v>4382</v>
      </c>
      <c r="O692" s="171" t="s">
        <v>341</v>
      </c>
      <c r="P692" t="s">
        <v>223</v>
      </c>
      <c r="Q692" s="311" t="s">
        <v>389</v>
      </c>
      <c r="R692" s="312"/>
      <c r="S692" s="321" t="s">
        <v>3646</v>
      </c>
      <c r="T692" s="313" t="s">
        <v>3647</v>
      </c>
      <c r="U692" s="311" t="s">
        <v>3648</v>
      </c>
      <c r="V692">
        <v>0</v>
      </c>
      <c r="W692">
        <v>0</v>
      </c>
      <c r="X692">
        <v>0</v>
      </c>
      <c r="Y692">
        <v>0</v>
      </c>
      <c r="Z692">
        <v>0</v>
      </c>
      <c r="AA692">
        <v>1</v>
      </c>
      <c r="AB692">
        <v>0</v>
      </c>
      <c r="AC692">
        <v>0</v>
      </c>
      <c r="AD692">
        <v>0</v>
      </c>
      <c r="AE692">
        <v>0</v>
      </c>
      <c r="AF692">
        <v>0</v>
      </c>
      <c r="AG692">
        <v>0</v>
      </c>
      <c r="AH692">
        <v>0</v>
      </c>
      <c r="AI692">
        <v>0</v>
      </c>
      <c r="AJ692">
        <v>0</v>
      </c>
      <c r="AK692">
        <v>0</v>
      </c>
      <c r="AL692">
        <v>0</v>
      </c>
      <c r="AM692">
        <v>0</v>
      </c>
      <c r="AN692">
        <v>0</v>
      </c>
      <c r="AO692">
        <v>0</v>
      </c>
      <c r="AP692">
        <v>0</v>
      </c>
      <c r="AQ692">
        <v>0</v>
      </c>
      <c r="AR692">
        <v>0</v>
      </c>
      <c r="AS692">
        <v>0</v>
      </c>
      <c r="AT692">
        <v>0</v>
      </c>
      <c r="AU692">
        <v>0</v>
      </c>
      <c r="AV692">
        <v>0</v>
      </c>
      <c r="AW692">
        <v>0</v>
      </c>
      <c r="AX692" s="141">
        <f t="shared" si="784"/>
        <v>1</v>
      </c>
      <c r="AY692" s="141">
        <f t="shared" si="785"/>
        <v>1</v>
      </c>
      <c r="AZ692">
        <f t="shared" si="786"/>
        <v>1</v>
      </c>
      <c r="BA692">
        <f t="shared" si="787"/>
        <v>0</v>
      </c>
      <c r="BB692">
        <f t="shared" si="788"/>
        <v>0</v>
      </c>
      <c r="BC692">
        <f t="shared" si="789"/>
        <v>0</v>
      </c>
      <c r="BD692">
        <f t="shared" si="790"/>
        <v>0</v>
      </c>
      <c r="BE692" t="str" cm="1">
        <f t="array" ref="BE692">IF(AY692=1,INDEX($V$7:$AL$7,MATCH(TRUE,INDEX($V692:$AW692&lt;&gt;0,),0)),IF(AY692=0,INDEX($AM$7:$AW$7,MATCH(1,$AM692:$AW692,0)),IF(BF692="Multiple strategies","mixed drivers",IF(BF692="Supply chain","multiple supply","multiple silviculture"))))</f>
        <v>plantation density</v>
      </c>
      <c r="BF692" s="2" t="str" cm="1">
        <f t="array" ref="BF692">IF(COUNTIF(AZ692:BB692,"&lt;&gt;0")=1,INDEX($V$4:$AW$4,MATCH(TRUE,INDEX($V692:$AW692&lt;&gt;0,),0)),IF(COUNTIF(AZ692:BB692,"&lt;&gt;0")=0,INDEX($AM$4:$AW$4,MATCH(1,$AM692:$AW692,0)),"Multiple strategies"))</f>
        <v>Silviculture for productivity</v>
      </c>
      <c r="BP692" s="155" t="s">
        <v>395</v>
      </c>
      <c r="BQ692" s="155" t="s">
        <v>3644</v>
      </c>
      <c r="BR692" s="141" t="s">
        <v>3645</v>
      </c>
      <c r="BS692">
        <f>BT692-0.12</f>
        <v>63.88</v>
      </c>
      <c r="BT692" s="151">
        <v>64</v>
      </c>
      <c r="BU692" s="144">
        <f t="shared" si="822"/>
        <v>1.0018785222291797</v>
      </c>
      <c r="BV692">
        <f t="shared" si="823"/>
        <v>0.11999999999999744</v>
      </c>
      <c r="BX692">
        <f t="shared" si="824"/>
        <v>0.11999999999999744</v>
      </c>
      <c r="BY692" t="str">
        <f t="shared" si="820"/>
        <v/>
      </c>
      <c r="BZ692">
        <v>0</v>
      </c>
      <c r="CA692">
        <v>0</v>
      </c>
      <c r="CB692">
        <v>0</v>
      </c>
      <c r="CC692">
        <v>0</v>
      </c>
      <c r="CD692">
        <v>0</v>
      </c>
      <c r="CE692">
        <v>0</v>
      </c>
      <c r="CF692">
        <v>0</v>
      </c>
      <c r="CG692">
        <v>0</v>
      </c>
      <c r="CH692">
        <v>0</v>
      </c>
      <c r="CI692">
        <v>0</v>
      </c>
      <c r="CJ692">
        <v>0</v>
      </c>
      <c r="CK692">
        <v>0</v>
      </c>
      <c r="CL692">
        <v>0</v>
      </c>
      <c r="CM692">
        <v>0</v>
      </c>
      <c r="CN692" t="str">
        <f t="shared" si="825"/>
        <v>refOK</v>
      </c>
      <c r="CO692"/>
      <c r="CP692"/>
      <c r="CQ692"/>
      <c r="CR692">
        <f t="shared" si="798"/>
        <v>-63.88</v>
      </c>
      <c r="CS692">
        <f t="shared" si="799"/>
        <v>-64</v>
      </c>
      <c r="CT692">
        <f t="shared" si="800"/>
        <v>-0.11999999999999744</v>
      </c>
      <c r="CU692" t="str">
        <f t="shared" si="801"/>
        <v/>
      </c>
      <c r="CV692" s="2">
        <f t="shared" si="802"/>
        <v>-1.8785222291796719E-3</v>
      </c>
      <c r="CW692" s="318" t="s">
        <v>1198</v>
      </c>
      <c r="CX692" s="311" t="str">
        <f t="shared" si="803"/>
        <v>reg</v>
      </c>
      <c r="CY692" s="317" t="s">
        <v>428</v>
      </c>
      <c r="CZ692">
        <v>2020</v>
      </c>
      <c r="DA692">
        <v>2035</v>
      </c>
      <c r="DB692">
        <f t="shared" si="826"/>
        <v>15</v>
      </c>
      <c r="DC692" t="str">
        <f t="shared" si="804"/>
        <v>1-30</v>
      </c>
      <c r="DD692">
        <v>1</v>
      </c>
      <c r="DE692">
        <v>1</v>
      </c>
      <c r="DF692">
        <v>1</v>
      </c>
      <c r="DG692">
        <v>1</v>
      </c>
      <c r="DH692">
        <v>0</v>
      </c>
      <c r="DI692">
        <f t="shared" si="827"/>
        <v>4</v>
      </c>
      <c r="DJ692" t="str">
        <f t="shared" si="806"/>
        <v>mixedProduct</v>
      </c>
      <c r="DK692" t="str">
        <f t="shared" si="807"/>
        <v>Upstream</v>
      </c>
      <c r="DL692" t="str">
        <f t="shared" si="808"/>
        <v>Energy</v>
      </c>
      <c r="DM692" t="str">
        <f t="shared" si="809"/>
        <v>Pulp/Paper</v>
      </c>
      <c r="DN692" t="str">
        <f t="shared" si="810"/>
        <v>Timber</v>
      </c>
      <c r="DO692">
        <v>0</v>
      </c>
      <c r="DP692" s="143">
        <v>0</v>
      </c>
      <c r="DQ692" s="143">
        <v>0</v>
      </c>
      <c r="DR692">
        <v>0</v>
      </c>
      <c r="DS692">
        <v>0</v>
      </c>
      <c r="DT692">
        <f t="shared" si="811"/>
        <v>0</v>
      </c>
      <c r="DU692" s="143" t="str">
        <f t="shared" si="812"/>
        <v>explicit C balance</v>
      </c>
      <c r="DV692" s="143">
        <v>0</v>
      </c>
      <c r="DW692" s="143">
        <v>1</v>
      </c>
      <c r="DX692" s="143">
        <v>1</v>
      </c>
      <c r="DY692" s="143">
        <v>1</v>
      </c>
      <c r="DZ692">
        <v>1</v>
      </c>
      <c r="EA692" s="143">
        <v>0</v>
      </c>
      <c r="EB692" s="143">
        <v>0</v>
      </c>
      <c r="EC692" s="143">
        <v>0</v>
      </c>
      <c r="ED692" s="143">
        <v>0</v>
      </c>
      <c r="EE692">
        <v>0</v>
      </c>
      <c r="EF692">
        <v>1</v>
      </c>
      <c r="EG692" s="143">
        <v>0</v>
      </c>
      <c r="EH692" s="143">
        <v>0</v>
      </c>
      <c r="EI692" s="2">
        <v>0</v>
      </c>
      <c r="EK692" t="str">
        <f t="shared" si="828"/>
        <v/>
      </c>
      <c r="EL692" t="str">
        <f t="shared" si="829"/>
        <v>Ecosystem approach</v>
      </c>
      <c r="EM692" s="2" t="str">
        <f t="shared" si="821"/>
        <v/>
      </c>
      <c r="EP692" t="b">
        <f>IF(ISNUMBER(BU692),IF(ABS(BU692-[1]QC_indicators!$B$2)&gt;3*[1]QC_indicators!$C$2,"C ratio",IF(ISNUMBER(BY692),IF(ABS(BY692-[1]QC_indicators!$B$1)&gt;3*[1]QC_indicators!$C$1,"DF","no"))),IF(ISNUMBER(BY692),IF(ABS(BY692-[1]QC_indicators!$B$1)&gt;3*[1]QC_indicators!$C$1,"DF","no")))</f>
        <v>0</v>
      </c>
    </row>
    <row r="693" spans="1:150" ht="15" hidden="1" customHeight="1">
      <c r="A693" s="1" t="s">
        <v>3634</v>
      </c>
      <c r="B693" t="s">
        <v>544</v>
      </c>
      <c r="C693" t="s">
        <v>3635</v>
      </c>
      <c r="D693" t="s">
        <v>3636</v>
      </c>
      <c r="E693" t="s">
        <v>3637</v>
      </c>
      <c r="F693" t="s">
        <v>3638</v>
      </c>
      <c r="G693" t="s">
        <v>3639</v>
      </c>
      <c r="H693" t="s">
        <v>254</v>
      </c>
      <c r="I693">
        <v>2020</v>
      </c>
      <c r="J693">
        <v>9</v>
      </c>
      <c r="K693" t="s">
        <v>3640</v>
      </c>
      <c r="M693" t="str">
        <f t="shared" si="732"/>
        <v>Graves_2020</v>
      </c>
      <c r="N693" s="311" t="s">
        <v>4382</v>
      </c>
      <c r="O693" s="171" t="s">
        <v>341</v>
      </c>
      <c r="P693" t="s">
        <v>223</v>
      </c>
      <c r="Q693" s="311" t="s">
        <v>389</v>
      </c>
      <c r="R693" s="312"/>
      <c r="S693" s="321" t="s">
        <v>3646</v>
      </c>
      <c r="T693" s="313" t="s">
        <v>3647</v>
      </c>
      <c r="U693" s="311" t="s">
        <v>3648</v>
      </c>
      <c r="V693">
        <v>0</v>
      </c>
      <c r="W693">
        <v>0</v>
      </c>
      <c r="X693">
        <v>0</v>
      </c>
      <c r="Y693">
        <v>0</v>
      </c>
      <c r="Z693">
        <v>0</v>
      </c>
      <c r="AA693">
        <v>1</v>
      </c>
      <c r="AB693">
        <v>0</v>
      </c>
      <c r="AC693">
        <v>0</v>
      </c>
      <c r="AD693">
        <v>0</v>
      </c>
      <c r="AE693">
        <v>0</v>
      </c>
      <c r="AF693">
        <v>0</v>
      </c>
      <c r="AG693">
        <v>0</v>
      </c>
      <c r="AH693">
        <v>0</v>
      </c>
      <c r="AI693">
        <v>0</v>
      </c>
      <c r="AJ693">
        <v>0</v>
      </c>
      <c r="AK693">
        <v>0</v>
      </c>
      <c r="AL693">
        <v>0</v>
      </c>
      <c r="AM693">
        <v>0</v>
      </c>
      <c r="AN693">
        <v>0</v>
      </c>
      <c r="AO693">
        <v>0</v>
      </c>
      <c r="AP693">
        <v>0</v>
      </c>
      <c r="AQ693">
        <v>0</v>
      </c>
      <c r="AR693">
        <v>0</v>
      </c>
      <c r="AS693">
        <v>0</v>
      </c>
      <c r="AT693">
        <v>0</v>
      </c>
      <c r="AU693">
        <v>0</v>
      </c>
      <c r="AV693">
        <v>0</v>
      </c>
      <c r="AW693">
        <v>0</v>
      </c>
      <c r="AX693" s="141">
        <f t="shared" si="784"/>
        <v>1</v>
      </c>
      <c r="AY693" s="141">
        <f t="shared" si="785"/>
        <v>1</v>
      </c>
      <c r="AZ693">
        <f t="shared" si="786"/>
        <v>1</v>
      </c>
      <c r="BA693">
        <f t="shared" si="787"/>
        <v>0</v>
      </c>
      <c r="BB693">
        <f t="shared" si="788"/>
        <v>0</v>
      </c>
      <c r="BC693">
        <f t="shared" si="789"/>
        <v>0</v>
      </c>
      <c r="BD693">
        <f t="shared" si="790"/>
        <v>0</v>
      </c>
      <c r="BE693" t="str" cm="1">
        <f t="array" ref="BE693">IF(AY693=1,INDEX($V$7:$AL$7,MATCH(TRUE,INDEX($V693:$AW693&lt;&gt;0,),0)),IF(AY693=0,INDEX($AM$7:$AW$7,MATCH(1,$AM693:$AW693,0)),IF(BF693="Multiple strategies","mixed drivers",IF(BF693="Supply chain","multiple supply","multiple silviculture"))))</f>
        <v>plantation density</v>
      </c>
      <c r="BF693" s="2" t="str" cm="1">
        <f t="array" ref="BF693">IF(COUNTIF(AZ693:BB693,"&lt;&gt;0")=1,INDEX($V$4:$AW$4,MATCH(TRUE,INDEX($V693:$AW693&lt;&gt;0,),0)),IF(COUNTIF(AZ693:BB693,"&lt;&gt;0")=0,INDEX($AM$4:$AW$4,MATCH(1,$AM693:$AW693,0)),"Multiple strategies"))</f>
        <v>Silviculture for productivity</v>
      </c>
      <c r="BP693" s="155" t="s">
        <v>395</v>
      </c>
      <c r="BQ693" s="155" t="s">
        <v>3644</v>
      </c>
      <c r="BR693" s="141" t="s">
        <v>3645</v>
      </c>
      <c r="BS693">
        <f>BT693-0.22</f>
        <v>63.78</v>
      </c>
      <c r="BT693" s="151">
        <v>64</v>
      </c>
      <c r="BU693" s="144">
        <f t="shared" si="822"/>
        <v>1.0034493571652556</v>
      </c>
      <c r="BV693">
        <f t="shared" si="823"/>
        <v>0.21999999999999886</v>
      </c>
      <c r="BX693">
        <f t="shared" si="824"/>
        <v>0.21999999999999886</v>
      </c>
      <c r="BY693" t="str">
        <f t="shared" si="820"/>
        <v/>
      </c>
      <c r="BZ693">
        <v>0</v>
      </c>
      <c r="CA693">
        <v>0</v>
      </c>
      <c r="CB693">
        <v>0</v>
      </c>
      <c r="CC693">
        <v>0</v>
      </c>
      <c r="CD693">
        <v>0</v>
      </c>
      <c r="CE693">
        <v>0</v>
      </c>
      <c r="CF693">
        <v>0</v>
      </c>
      <c r="CG693">
        <v>0</v>
      </c>
      <c r="CH693">
        <v>0</v>
      </c>
      <c r="CI693">
        <v>0</v>
      </c>
      <c r="CJ693">
        <v>0</v>
      </c>
      <c r="CK693">
        <v>0</v>
      </c>
      <c r="CL693">
        <v>0</v>
      </c>
      <c r="CM693">
        <v>0</v>
      </c>
      <c r="CN693" t="str">
        <f t="shared" si="825"/>
        <v>refOK</v>
      </c>
      <c r="CO693"/>
      <c r="CP693"/>
      <c r="CQ693"/>
      <c r="CR693">
        <f t="shared" si="798"/>
        <v>-63.78</v>
      </c>
      <c r="CS693">
        <f t="shared" si="799"/>
        <v>-64</v>
      </c>
      <c r="CT693">
        <f t="shared" si="800"/>
        <v>-0.21999999999999886</v>
      </c>
      <c r="CU693" t="str">
        <f t="shared" si="801"/>
        <v/>
      </c>
      <c r="CV693" s="2">
        <f t="shared" si="802"/>
        <v>-3.4493571652555481E-3</v>
      </c>
      <c r="CW693" s="318" t="s">
        <v>1198</v>
      </c>
      <c r="CX693" s="311" t="str">
        <f t="shared" si="803"/>
        <v>reg</v>
      </c>
      <c r="CY693" s="317" t="s">
        <v>428</v>
      </c>
      <c r="CZ693">
        <v>2020</v>
      </c>
      <c r="DA693">
        <v>2035</v>
      </c>
      <c r="DB693">
        <f t="shared" si="826"/>
        <v>15</v>
      </c>
      <c r="DC693" t="str">
        <f t="shared" si="804"/>
        <v>1-30</v>
      </c>
      <c r="DD693">
        <v>1</v>
      </c>
      <c r="DE693">
        <v>1</v>
      </c>
      <c r="DF693">
        <v>1</v>
      </c>
      <c r="DG693">
        <v>1</v>
      </c>
      <c r="DH693">
        <v>0</v>
      </c>
      <c r="DI693">
        <f t="shared" si="827"/>
        <v>4</v>
      </c>
      <c r="DJ693" t="str">
        <f t="shared" si="806"/>
        <v>mixedProduct</v>
      </c>
      <c r="DK693" t="str">
        <f t="shared" si="807"/>
        <v>Upstream</v>
      </c>
      <c r="DL693" t="str">
        <f t="shared" si="808"/>
        <v>Energy</v>
      </c>
      <c r="DM693" t="str">
        <f t="shared" si="809"/>
        <v>Pulp/Paper</v>
      </c>
      <c r="DN693" t="str">
        <f t="shared" si="810"/>
        <v>Timber</v>
      </c>
      <c r="DO693">
        <v>0</v>
      </c>
      <c r="DP693" s="143">
        <v>0</v>
      </c>
      <c r="DQ693" s="143">
        <v>0</v>
      </c>
      <c r="DR693">
        <v>0</v>
      </c>
      <c r="DS693">
        <v>0</v>
      </c>
      <c r="DT693">
        <f t="shared" si="811"/>
        <v>0</v>
      </c>
      <c r="DU693" s="143" t="str">
        <f t="shared" si="812"/>
        <v>explicit C balance</v>
      </c>
      <c r="DV693" s="143">
        <v>0</v>
      </c>
      <c r="DW693" s="143">
        <v>1</v>
      </c>
      <c r="DX693" s="143">
        <v>1</v>
      </c>
      <c r="DY693" s="143">
        <v>1</v>
      </c>
      <c r="DZ693">
        <v>1</v>
      </c>
      <c r="EA693" s="143">
        <v>0</v>
      </c>
      <c r="EB693" s="143">
        <v>0</v>
      </c>
      <c r="EC693" s="143">
        <v>0</v>
      </c>
      <c r="ED693" s="143">
        <v>0</v>
      </c>
      <c r="EE693">
        <v>0</v>
      </c>
      <c r="EF693">
        <v>1</v>
      </c>
      <c r="EG693" s="143">
        <v>0</v>
      </c>
      <c r="EH693" s="143">
        <v>0</v>
      </c>
      <c r="EI693" s="2">
        <v>0</v>
      </c>
      <c r="EK693" t="str">
        <f t="shared" si="828"/>
        <v/>
      </c>
      <c r="EL693" t="str">
        <f t="shared" si="829"/>
        <v>Ecosystem approach</v>
      </c>
      <c r="EM693" s="2" t="str">
        <f t="shared" si="821"/>
        <v/>
      </c>
      <c r="EP693" t="b">
        <f>IF(ISNUMBER(BU693),IF(ABS(BU693-[1]QC_indicators!$B$2)&gt;3*[1]QC_indicators!$C$2,"C ratio",IF(ISNUMBER(BY693),IF(ABS(BY693-[1]QC_indicators!$B$1)&gt;3*[1]QC_indicators!$C$1,"DF","no"))),IF(ISNUMBER(BY693),IF(ABS(BY693-[1]QC_indicators!$B$1)&gt;3*[1]QC_indicators!$C$1,"DF","no")))</f>
        <v>0</v>
      </c>
    </row>
    <row r="694" spans="1:150" ht="15" hidden="1" customHeight="1">
      <c r="A694" s="1" t="s">
        <v>3634</v>
      </c>
      <c r="B694" t="s">
        <v>544</v>
      </c>
      <c r="C694" t="s">
        <v>3635</v>
      </c>
      <c r="D694" t="s">
        <v>3636</v>
      </c>
      <c r="E694" t="s">
        <v>3637</v>
      </c>
      <c r="F694" t="s">
        <v>3638</v>
      </c>
      <c r="G694" t="s">
        <v>3639</v>
      </c>
      <c r="H694" t="s">
        <v>254</v>
      </c>
      <c r="I694">
        <v>2020</v>
      </c>
      <c r="J694">
        <v>9</v>
      </c>
      <c r="K694" t="s">
        <v>3640</v>
      </c>
      <c r="M694" t="str">
        <f t="shared" si="732"/>
        <v>Graves_2020</v>
      </c>
      <c r="N694" s="311" t="s">
        <v>4382</v>
      </c>
      <c r="O694" s="171" t="s">
        <v>341</v>
      </c>
      <c r="P694" t="s">
        <v>223</v>
      </c>
      <c r="Q694" s="311" t="s">
        <v>389</v>
      </c>
      <c r="R694" s="312"/>
      <c r="S694" s="321" t="s">
        <v>3646</v>
      </c>
      <c r="T694" s="313" t="s">
        <v>3647</v>
      </c>
      <c r="U694" s="311" t="s">
        <v>3648</v>
      </c>
      <c r="V694">
        <v>0</v>
      </c>
      <c r="W694">
        <v>0</v>
      </c>
      <c r="X694">
        <v>0</v>
      </c>
      <c r="Y694">
        <v>0</v>
      </c>
      <c r="Z694">
        <v>0</v>
      </c>
      <c r="AA694">
        <v>1</v>
      </c>
      <c r="AB694">
        <v>0</v>
      </c>
      <c r="AC694">
        <v>0</v>
      </c>
      <c r="AD694">
        <v>0</v>
      </c>
      <c r="AE694">
        <v>0</v>
      </c>
      <c r="AF694">
        <v>0</v>
      </c>
      <c r="AG694">
        <v>0</v>
      </c>
      <c r="AH694">
        <v>0</v>
      </c>
      <c r="AI694">
        <v>0</v>
      </c>
      <c r="AJ694">
        <v>0</v>
      </c>
      <c r="AK694">
        <v>0</v>
      </c>
      <c r="AL694">
        <v>0</v>
      </c>
      <c r="AM694">
        <v>0</v>
      </c>
      <c r="AN694">
        <v>0</v>
      </c>
      <c r="AO694">
        <v>0</v>
      </c>
      <c r="AP694">
        <v>0</v>
      </c>
      <c r="AQ694">
        <v>0</v>
      </c>
      <c r="AR694">
        <v>0</v>
      </c>
      <c r="AS694">
        <v>0</v>
      </c>
      <c r="AT694">
        <v>0</v>
      </c>
      <c r="AU694">
        <v>0</v>
      </c>
      <c r="AV694">
        <v>0</v>
      </c>
      <c r="AW694">
        <v>0</v>
      </c>
      <c r="AX694" s="141">
        <f t="shared" si="784"/>
        <v>1</v>
      </c>
      <c r="AY694" s="141">
        <f t="shared" si="785"/>
        <v>1</v>
      </c>
      <c r="AZ694">
        <f t="shared" si="786"/>
        <v>1</v>
      </c>
      <c r="BA694">
        <f t="shared" si="787"/>
        <v>0</v>
      </c>
      <c r="BB694">
        <f t="shared" si="788"/>
        <v>0</v>
      </c>
      <c r="BC694">
        <f t="shared" si="789"/>
        <v>0</v>
      </c>
      <c r="BD694">
        <f t="shared" si="790"/>
        <v>0</v>
      </c>
      <c r="BE694" t="str" cm="1">
        <f t="array" ref="BE694">IF(AY694=1,INDEX($V$7:$AL$7,MATCH(TRUE,INDEX($V694:$AW694&lt;&gt;0,),0)),IF(AY694=0,INDEX($AM$7:$AW$7,MATCH(1,$AM694:$AW694,0)),IF(BF694="Multiple strategies","mixed drivers",IF(BF694="Supply chain","multiple supply","multiple silviculture"))))</f>
        <v>plantation density</v>
      </c>
      <c r="BF694" s="2" t="str" cm="1">
        <f t="array" ref="BF694">IF(COUNTIF(AZ694:BB694,"&lt;&gt;0")=1,INDEX($V$4:$AW$4,MATCH(TRUE,INDEX($V694:$AW694&lt;&gt;0,),0)),IF(COUNTIF(AZ694:BB694,"&lt;&gt;0")=0,INDEX($AM$4:$AW$4,MATCH(1,$AM694:$AW694,0)),"Multiple strategies"))</f>
        <v>Silviculture for productivity</v>
      </c>
      <c r="BP694" s="155" t="s">
        <v>395</v>
      </c>
      <c r="BQ694" s="155" t="s">
        <v>3644</v>
      </c>
      <c r="BR694" s="141" t="s">
        <v>3645</v>
      </c>
      <c r="BS694">
        <f>BT694-0.24</f>
        <v>63.76</v>
      </c>
      <c r="BT694" s="151">
        <v>64</v>
      </c>
      <c r="BU694" s="144">
        <f t="shared" si="822"/>
        <v>1.0037641154328734</v>
      </c>
      <c r="BV694">
        <f t="shared" si="823"/>
        <v>0.24000000000000199</v>
      </c>
      <c r="BX694">
        <f t="shared" si="824"/>
        <v>0.24000000000000199</v>
      </c>
      <c r="BY694" t="str">
        <f t="shared" si="820"/>
        <v/>
      </c>
      <c r="BZ694">
        <v>0</v>
      </c>
      <c r="CA694">
        <v>0</v>
      </c>
      <c r="CB694">
        <v>0</v>
      </c>
      <c r="CC694">
        <v>0</v>
      </c>
      <c r="CD694">
        <v>0</v>
      </c>
      <c r="CE694">
        <v>0</v>
      </c>
      <c r="CF694">
        <v>0</v>
      </c>
      <c r="CG694">
        <v>0</v>
      </c>
      <c r="CH694">
        <v>0</v>
      </c>
      <c r="CI694">
        <v>0</v>
      </c>
      <c r="CJ694">
        <v>0</v>
      </c>
      <c r="CK694">
        <v>0</v>
      </c>
      <c r="CL694">
        <v>0</v>
      </c>
      <c r="CM694">
        <v>0</v>
      </c>
      <c r="CN694" t="str">
        <f t="shared" si="825"/>
        <v>refOK</v>
      </c>
      <c r="CO694"/>
      <c r="CP694"/>
      <c r="CQ694"/>
      <c r="CR694">
        <f t="shared" si="798"/>
        <v>-63.76</v>
      </c>
      <c r="CS694">
        <f t="shared" si="799"/>
        <v>-64</v>
      </c>
      <c r="CT694">
        <f t="shared" si="800"/>
        <v>-0.24000000000000199</v>
      </c>
      <c r="CU694" t="str">
        <f t="shared" si="801"/>
        <v/>
      </c>
      <c r="CV694" s="2">
        <f t="shared" si="802"/>
        <v>-3.7641154328733059E-3</v>
      </c>
      <c r="CW694" s="318" t="s">
        <v>1198</v>
      </c>
      <c r="CX694" s="311" t="str">
        <f t="shared" si="803"/>
        <v>reg</v>
      </c>
      <c r="CY694" s="317" t="s">
        <v>428</v>
      </c>
      <c r="CZ694">
        <v>2020</v>
      </c>
      <c r="DA694">
        <v>2050</v>
      </c>
      <c r="DB694">
        <f t="shared" si="826"/>
        <v>30</v>
      </c>
      <c r="DC694" t="str">
        <f t="shared" si="804"/>
        <v>1-30</v>
      </c>
      <c r="DD694">
        <v>1</v>
      </c>
      <c r="DE694">
        <v>1</v>
      </c>
      <c r="DF694">
        <v>1</v>
      </c>
      <c r="DG694">
        <v>1</v>
      </c>
      <c r="DH694">
        <v>0</v>
      </c>
      <c r="DI694">
        <f t="shared" si="827"/>
        <v>4</v>
      </c>
      <c r="DJ694" t="str">
        <f t="shared" si="806"/>
        <v>mixedProduct</v>
      </c>
      <c r="DK694" t="str">
        <f t="shared" si="807"/>
        <v>Upstream</v>
      </c>
      <c r="DL694" t="str">
        <f t="shared" si="808"/>
        <v>Energy</v>
      </c>
      <c r="DM694" t="str">
        <f t="shared" si="809"/>
        <v>Pulp/Paper</v>
      </c>
      <c r="DN694" t="str">
        <f t="shared" si="810"/>
        <v>Timber</v>
      </c>
      <c r="DO694">
        <v>0</v>
      </c>
      <c r="DP694" s="143">
        <v>0</v>
      </c>
      <c r="DQ694" s="143">
        <v>0</v>
      </c>
      <c r="DR694">
        <v>0</v>
      </c>
      <c r="DS694">
        <v>0</v>
      </c>
      <c r="DT694">
        <f t="shared" si="811"/>
        <v>0</v>
      </c>
      <c r="DU694" s="143" t="str">
        <f t="shared" si="812"/>
        <v>explicit C balance</v>
      </c>
      <c r="DV694" s="143">
        <v>0</v>
      </c>
      <c r="DW694" s="143">
        <v>1</v>
      </c>
      <c r="DX694" s="143">
        <v>1</v>
      </c>
      <c r="DY694" s="143">
        <v>1</v>
      </c>
      <c r="DZ694">
        <v>1</v>
      </c>
      <c r="EA694" s="143">
        <v>0</v>
      </c>
      <c r="EB694" s="143">
        <v>0</v>
      </c>
      <c r="EC694" s="143">
        <v>0</v>
      </c>
      <c r="ED694" s="143">
        <v>0</v>
      </c>
      <c r="EE694">
        <v>0</v>
      </c>
      <c r="EF694">
        <v>1</v>
      </c>
      <c r="EG694" s="143">
        <v>0</v>
      </c>
      <c r="EH694" s="143">
        <v>0</v>
      </c>
      <c r="EI694" s="2">
        <v>0</v>
      </c>
      <c r="EK694" t="str">
        <f t="shared" si="828"/>
        <v/>
      </c>
      <c r="EL694" t="str">
        <f t="shared" si="829"/>
        <v>Ecosystem approach</v>
      </c>
      <c r="EM694" s="2" t="str">
        <f t="shared" si="821"/>
        <v/>
      </c>
      <c r="EP694" t="b">
        <f>IF(ISNUMBER(BU694),IF(ABS(BU694-[1]QC_indicators!$B$2)&gt;3*[1]QC_indicators!$C$2,"C ratio",IF(ISNUMBER(BY694),IF(ABS(BY694-[1]QC_indicators!$B$1)&gt;3*[1]QC_indicators!$C$1,"DF","no"))),IF(ISNUMBER(BY694),IF(ABS(BY694-[1]QC_indicators!$B$1)&gt;3*[1]QC_indicators!$C$1,"DF","no")))</f>
        <v>0</v>
      </c>
    </row>
    <row r="695" spans="1:150" ht="15" hidden="1" customHeight="1">
      <c r="A695" s="1" t="s">
        <v>3634</v>
      </c>
      <c r="B695" t="s">
        <v>544</v>
      </c>
      <c r="C695" t="s">
        <v>3635</v>
      </c>
      <c r="D695" t="s">
        <v>3636</v>
      </c>
      <c r="E695" t="s">
        <v>3637</v>
      </c>
      <c r="F695" t="s">
        <v>3638</v>
      </c>
      <c r="G695" t="s">
        <v>3639</v>
      </c>
      <c r="H695" t="s">
        <v>254</v>
      </c>
      <c r="I695">
        <v>2020</v>
      </c>
      <c r="J695">
        <v>9</v>
      </c>
      <c r="K695" t="s">
        <v>3640</v>
      </c>
      <c r="M695" t="str">
        <f t="shared" si="732"/>
        <v>Graves_2020</v>
      </c>
      <c r="N695" s="311" t="s">
        <v>4382</v>
      </c>
      <c r="O695" s="171" t="s">
        <v>341</v>
      </c>
      <c r="P695" t="s">
        <v>223</v>
      </c>
      <c r="Q695" s="311" t="s">
        <v>389</v>
      </c>
      <c r="R695" s="312"/>
      <c r="S695" s="321" t="s">
        <v>3646</v>
      </c>
      <c r="T695" s="313" t="s">
        <v>3647</v>
      </c>
      <c r="U695" s="311" t="s">
        <v>3648</v>
      </c>
      <c r="V695">
        <v>0</v>
      </c>
      <c r="W695">
        <v>0</v>
      </c>
      <c r="X695">
        <v>0</v>
      </c>
      <c r="Y695">
        <v>0</v>
      </c>
      <c r="Z695">
        <v>0</v>
      </c>
      <c r="AA695">
        <v>1</v>
      </c>
      <c r="AB695">
        <v>0</v>
      </c>
      <c r="AC695">
        <v>0</v>
      </c>
      <c r="AD695">
        <v>0</v>
      </c>
      <c r="AE695">
        <v>0</v>
      </c>
      <c r="AF695">
        <v>0</v>
      </c>
      <c r="AG695">
        <v>0</v>
      </c>
      <c r="AH695">
        <v>0</v>
      </c>
      <c r="AI695">
        <v>0</v>
      </c>
      <c r="AJ695">
        <v>0</v>
      </c>
      <c r="AK695">
        <v>0</v>
      </c>
      <c r="AL695">
        <v>0</v>
      </c>
      <c r="AM695">
        <v>0</v>
      </c>
      <c r="AN695">
        <v>0</v>
      </c>
      <c r="AO695">
        <v>0</v>
      </c>
      <c r="AP695">
        <v>0</v>
      </c>
      <c r="AQ695">
        <v>0</v>
      </c>
      <c r="AR695">
        <v>0</v>
      </c>
      <c r="AS695">
        <v>0</v>
      </c>
      <c r="AT695">
        <v>0</v>
      </c>
      <c r="AU695">
        <v>0</v>
      </c>
      <c r="AV695">
        <v>0</v>
      </c>
      <c r="AW695">
        <v>0</v>
      </c>
      <c r="AX695" s="141">
        <f t="shared" si="784"/>
        <v>1</v>
      </c>
      <c r="AY695" s="141">
        <f t="shared" si="785"/>
        <v>1</v>
      </c>
      <c r="AZ695">
        <f t="shared" si="786"/>
        <v>1</v>
      </c>
      <c r="BA695">
        <f t="shared" si="787"/>
        <v>0</v>
      </c>
      <c r="BB695">
        <f t="shared" si="788"/>
        <v>0</v>
      </c>
      <c r="BC695">
        <f t="shared" si="789"/>
        <v>0</v>
      </c>
      <c r="BD695">
        <f t="shared" si="790"/>
        <v>0</v>
      </c>
      <c r="BE695" t="str" cm="1">
        <f t="array" ref="BE695">IF(AY695=1,INDEX($V$7:$AL$7,MATCH(TRUE,INDEX($V695:$AW695&lt;&gt;0,),0)),IF(AY695=0,INDEX($AM$7:$AW$7,MATCH(1,$AM695:$AW695,0)),IF(BF695="Multiple strategies","mixed drivers",IF(BF695="Supply chain","multiple supply","multiple silviculture"))))</f>
        <v>plantation density</v>
      </c>
      <c r="BF695" s="2" t="str" cm="1">
        <f t="array" ref="BF695">IF(COUNTIF(AZ695:BB695,"&lt;&gt;0")=1,INDEX($V$4:$AW$4,MATCH(TRUE,INDEX($V695:$AW695&lt;&gt;0,),0)),IF(COUNTIF(AZ695:BB695,"&lt;&gt;0")=0,INDEX($AM$4:$AW$4,MATCH(1,$AM695:$AW695,0)),"Multiple strategies"))</f>
        <v>Silviculture for productivity</v>
      </c>
      <c r="BP695" s="155" t="s">
        <v>395</v>
      </c>
      <c r="BQ695" s="155" t="s">
        <v>3644</v>
      </c>
      <c r="BR695" s="141" t="s">
        <v>3645</v>
      </c>
      <c r="BS695">
        <f>BT695-0.45</f>
        <v>63.55</v>
      </c>
      <c r="BT695" s="151">
        <v>64</v>
      </c>
      <c r="BU695" s="144">
        <f t="shared" si="822"/>
        <v>1.007081038552321</v>
      </c>
      <c r="BV695">
        <f t="shared" si="823"/>
        <v>0.45000000000000284</v>
      </c>
      <c r="BX695">
        <f t="shared" si="824"/>
        <v>0.45000000000000284</v>
      </c>
      <c r="BY695" t="str">
        <f t="shared" si="820"/>
        <v/>
      </c>
      <c r="BZ695">
        <v>0</v>
      </c>
      <c r="CA695">
        <v>0</v>
      </c>
      <c r="CB695">
        <v>0</v>
      </c>
      <c r="CC695">
        <v>0</v>
      </c>
      <c r="CD695">
        <v>0</v>
      </c>
      <c r="CE695">
        <v>0</v>
      </c>
      <c r="CF695">
        <v>0</v>
      </c>
      <c r="CG695">
        <v>0</v>
      </c>
      <c r="CH695">
        <v>0</v>
      </c>
      <c r="CI695">
        <v>0</v>
      </c>
      <c r="CJ695">
        <v>0</v>
      </c>
      <c r="CK695">
        <v>0</v>
      </c>
      <c r="CL695">
        <v>0</v>
      </c>
      <c r="CM695">
        <v>0</v>
      </c>
      <c r="CN695" t="str">
        <f t="shared" si="825"/>
        <v>refOK</v>
      </c>
      <c r="CO695"/>
      <c r="CP695"/>
      <c r="CQ695"/>
      <c r="CR695">
        <f t="shared" si="798"/>
        <v>-63.55</v>
      </c>
      <c r="CS695">
        <f t="shared" si="799"/>
        <v>-64</v>
      </c>
      <c r="CT695">
        <f t="shared" si="800"/>
        <v>-0.45000000000000284</v>
      </c>
      <c r="CU695" t="str">
        <f t="shared" si="801"/>
        <v/>
      </c>
      <c r="CV695" s="2">
        <f t="shared" si="802"/>
        <v>-7.0810385523210522E-3</v>
      </c>
      <c r="CW695" s="318" t="s">
        <v>1198</v>
      </c>
      <c r="CX695" s="311" t="str">
        <f t="shared" si="803"/>
        <v>reg</v>
      </c>
      <c r="CY695" s="317" t="s">
        <v>428</v>
      </c>
      <c r="CZ695">
        <v>2020</v>
      </c>
      <c r="DA695">
        <v>2050</v>
      </c>
      <c r="DB695">
        <f t="shared" si="826"/>
        <v>30</v>
      </c>
      <c r="DC695" t="str">
        <f t="shared" si="804"/>
        <v>1-30</v>
      </c>
      <c r="DD695">
        <v>1</v>
      </c>
      <c r="DE695">
        <v>1</v>
      </c>
      <c r="DF695">
        <v>1</v>
      </c>
      <c r="DG695">
        <v>1</v>
      </c>
      <c r="DH695">
        <v>0</v>
      </c>
      <c r="DI695">
        <f t="shared" si="827"/>
        <v>4</v>
      </c>
      <c r="DJ695" t="str">
        <f t="shared" si="806"/>
        <v>mixedProduct</v>
      </c>
      <c r="DK695" t="str">
        <f t="shared" si="807"/>
        <v>Upstream</v>
      </c>
      <c r="DL695" t="str">
        <f t="shared" si="808"/>
        <v>Energy</v>
      </c>
      <c r="DM695" t="str">
        <f t="shared" si="809"/>
        <v>Pulp/Paper</v>
      </c>
      <c r="DN695" t="str">
        <f t="shared" si="810"/>
        <v>Timber</v>
      </c>
      <c r="DO695">
        <v>0</v>
      </c>
      <c r="DP695" s="143">
        <v>0</v>
      </c>
      <c r="DQ695" s="143">
        <v>0</v>
      </c>
      <c r="DR695">
        <v>0</v>
      </c>
      <c r="DS695">
        <v>0</v>
      </c>
      <c r="DT695">
        <f t="shared" si="811"/>
        <v>0</v>
      </c>
      <c r="DU695" s="143" t="str">
        <f t="shared" si="812"/>
        <v>explicit C balance</v>
      </c>
      <c r="DV695" s="143">
        <v>0</v>
      </c>
      <c r="DW695" s="143">
        <v>1</v>
      </c>
      <c r="DX695" s="143">
        <v>1</v>
      </c>
      <c r="DY695" s="143">
        <v>1</v>
      </c>
      <c r="DZ695">
        <v>1</v>
      </c>
      <c r="EA695" s="143">
        <v>0</v>
      </c>
      <c r="EB695" s="143">
        <v>0</v>
      </c>
      <c r="EC695" s="143">
        <v>0</v>
      </c>
      <c r="ED695" s="143">
        <v>0</v>
      </c>
      <c r="EE695">
        <v>0</v>
      </c>
      <c r="EF695">
        <v>1</v>
      </c>
      <c r="EG695" s="143">
        <v>0</v>
      </c>
      <c r="EH695" s="143">
        <v>0</v>
      </c>
      <c r="EI695" s="2">
        <v>0</v>
      </c>
      <c r="EK695" t="str">
        <f t="shared" si="828"/>
        <v/>
      </c>
      <c r="EL695" t="str">
        <f t="shared" si="829"/>
        <v>Ecosystem approach</v>
      </c>
      <c r="EM695" s="2" t="str">
        <f t="shared" si="821"/>
        <v/>
      </c>
      <c r="EP695" t="b">
        <f>IF(ISNUMBER(BU695),IF(ABS(BU695-[1]QC_indicators!$B$2)&gt;3*[1]QC_indicators!$C$2,"C ratio",IF(ISNUMBER(BY695),IF(ABS(BY695-[1]QC_indicators!$B$1)&gt;3*[1]QC_indicators!$C$1,"DF","no"))),IF(ISNUMBER(BY695),IF(ABS(BY695-[1]QC_indicators!$B$1)&gt;3*[1]QC_indicators!$C$1,"DF","no")))</f>
        <v>0</v>
      </c>
    </row>
    <row r="696" spans="1:150" ht="15" hidden="1" customHeight="1">
      <c r="A696" s="1" t="s">
        <v>3634</v>
      </c>
      <c r="B696" t="s">
        <v>544</v>
      </c>
      <c r="C696" t="s">
        <v>3635</v>
      </c>
      <c r="D696" t="s">
        <v>3636</v>
      </c>
      <c r="E696" t="s">
        <v>3637</v>
      </c>
      <c r="F696" t="s">
        <v>3638</v>
      </c>
      <c r="G696" t="s">
        <v>3639</v>
      </c>
      <c r="H696" t="s">
        <v>254</v>
      </c>
      <c r="I696">
        <v>2020</v>
      </c>
      <c r="J696">
        <v>9</v>
      </c>
      <c r="K696" t="s">
        <v>3640</v>
      </c>
      <c r="M696" t="str">
        <f t="shared" si="732"/>
        <v>Graves_2020</v>
      </c>
      <c r="N696" s="311" t="s">
        <v>4382</v>
      </c>
      <c r="O696" s="171" t="s">
        <v>341</v>
      </c>
      <c r="P696" t="s">
        <v>223</v>
      </c>
      <c r="Q696" s="311" t="s">
        <v>389</v>
      </c>
      <c r="R696" s="312"/>
      <c r="S696" s="154" t="s">
        <v>3649</v>
      </c>
      <c r="T696" s="313" t="s">
        <v>3650</v>
      </c>
      <c r="U696" s="311" t="s">
        <v>3651</v>
      </c>
      <c r="V696">
        <v>0</v>
      </c>
      <c r="W696">
        <v>0</v>
      </c>
      <c r="X696">
        <v>1</v>
      </c>
      <c r="Y696">
        <v>0</v>
      </c>
      <c r="Z696">
        <v>0</v>
      </c>
      <c r="AA696">
        <v>0</v>
      </c>
      <c r="AB696">
        <v>0</v>
      </c>
      <c r="AC696">
        <v>0</v>
      </c>
      <c r="AD696">
        <v>0</v>
      </c>
      <c r="AE696">
        <v>0</v>
      </c>
      <c r="AF696">
        <v>0</v>
      </c>
      <c r="AG696">
        <v>0</v>
      </c>
      <c r="AH696">
        <v>0</v>
      </c>
      <c r="AI696">
        <v>0</v>
      </c>
      <c r="AJ696">
        <v>0</v>
      </c>
      <c r="AK696">
        <v>0</v>
      </c>
      <c r="AL696">
        <v>0</v>
      </c>
      <c r="AM696">
        <v>0</v>
      </c>
      <c r="AN696">
        <v>0</v>
      </c>
      <c r="AO696">
        <v>0</v>
      </c>
      <c r="AP696">
        <v>0</v>
      </c>
      <c r="AQ696">
        <v>0</v>
      </c>
      <c r="AR696">
        <v>0</v>
      </c>
      <c r="AS696">
        <v>0</v>
      </c>
      <c r="AT696">
        <v>0</v>
      </c>
      <c r="AU696">
        <v>0</v>
      </c>
      <c r="AV696">
        <v>0</v>
      </c>
      <c r="AW696">
        <v>0</v>
      </c>
      <c r="AX696" s="141">
        <f t="shared" si="784"/>
        <v>1</v>
      </c>
      <c r="AY696" s="141">
        <f t="shared" si="785"/>
        <v>1</v>
      </c>
      <c r="AZ696">
        <f t="shared" si="786"/>
        <v>1</v>
      </c>
      <c r="BA696">
        <f t="shared" si="787"/>
        <v>0</v>
      </c>
      <c r="BB696">
        <f t="shared" si="788"/>
        <v>0</v>
      </c>
      <c r="BC696">
        <f t="shared" si="789"/>
        <v>0</v>
      </c>
      <c r="BD696">
        <f t="shared" si="790"/>
        <v>0</v>
      </c>
      <c r="BE696" t="str" cm="1">
        <f t="array" ref="BE696">IF(AY696=1,INDEX($V$7:$AL$7,MATCH(TRUE,INDEX($V696:$AW696&lt;&gt;0,),0)),IF(AY696=0,INDEX($AM$7:$AW$7,MATCH(1,$AM696:$AW696,0)),IF(BF696="Multiple strategies","mixed drivers",IF(BF696="Supply chain","multiple supply","multiple silviculture"))))</f>
        <v>rotation length</v>
      </c>
      <c r="BF696" s="2" t="str" cm="1">
        <f t="array" ref="BF696">IF(COUNTIF(AZ696:BB696,"&lt;&gt;0")=1,INDEX($V$4:$AW$4,MATCH(TRUE,INDEX($V696:$AW696&lt;&gt;0,),0)),IF(COUNTIF(AZ696:BB696,"&lt;&gt;0")=0,INDEX($AM$4:$AW$4,MATCH(1,$AM696:$AW696,0)),"Multiple strategies"))</f>
        <v>Silviculture for removals</v>
      </c>
      <c r="BM696" t="str">
        <f>IFERROR(BL696/BK696,"")</f>
        <v/>
      </c>
      <c r="BN696" s="158"/>
      <c r="BO696" s="159"/>
      <c r="BP696" s="155" t="s">
        <v>395</v>
      </c>
      <c r="BQ696" s="155" t="s">
        <v>3644</v>
      </c>
      <c r="BR696" s="141" t="s">
        <v>3645</v>
      </c>
      <c r="BS696">
        <f>BT696-5.03</f>
        <v>58.97</v>
      </c>
      <c r="BT696" s="151">
        <v>64</v>
      </c>
      <c r="BU696" s="144">
        <f t="shared" si="822"/>
        <v>1.0852976089537052</v>
      </c>
      <c r="BV696">
        <f t="shared" si="823"/>
        <v>5.0300000000000011</v>
      </c>
      <c r="BX696">
        <f t="shared" si="824"/>
        <v>5.0300000000000011</v>
      </c>
      <c r="BY696" t="str">
        <f t="shared" si="820"/>
        <v/>
      </c>
      <c r="BZ696">
        <v>0</v>
      </c>
      <c r="CA696">
        <v>0</v>
      </c>
      <c r="CB696">
        <v>0</v>
      </c>
      <c r="CC696">
        <v>0</v>
      </c>
      <c r="CD696">
        <v>0</v>
      </c>
      <c r="CE696">
        <v>0</v>
      </c>
      <c r="CF696">
        <v>0</v>
      </c>
      <c r="CG696">
        <v>0</v>
      </c>
      <c r="CH696">
        <v>0</v>
      </c>
      <c r="CI696">
        <v>0</v>
      </c>
      <c r="CJ696">
        <v>0</v>
      </c>
      <c r="CK696">
        <v>0</v>
      </c>
      <c r="CL696">
        <v>0</v>
      </c>
      <c r="CM696">
        <v>0</v>
      </c>
      <c r="CN696" t="str">
        <f t="shared" si="825"/>
        <v>refOK</v>
      </c>
      <c r="CO696"/>
      <c r="CP696"/>
      <c r="CQ696"/>
      <c r="CR696">
        <f t="shared" si="798"/>
        <v>-58.97</v>
      </c>
      <c r="CS696">
        <f t="shared" si="799"/>
        <v>-64</v>
      </c>
      <c r="CT696">
        <f t="shared" si="800"/>
        <v>-5.0300000000000011</v>
      </c>
      <c r="CU696" t="str">
        <f t="shared" si="801"/>
        <v/>
      </c>
      <c r="CV696" s="2">
        <f t="shared" si="802"/>
        <v>-8.5297608953705292E-2</v>
      </c>
      <c r="CW696" s="318" t="s">
        <v>1198</v>
      </c>
      <c r="CX696" s="311" t="str">
        <f t="shared" si="803"/>
        <v>reg</v>
      </c>
      <c r="CY696" s="317" t="s">
        <v>428</v>
      </c>
      <c r="CZ696">
        <v>2020</v>
      </c>
      <c r="DA696">
        <v>2035</v>
      </c>
      <c r="DB696">
        <f t="shared" si="826"/>
        <v>15</v>
      </c>
      <c r="DC696" t="str">
        <f t="shared" si="804"/>
        <v>1-30</v>
      </c>
      <c r="DD696">
        <v>1</v>
      </c>
      <c r="DE696">
        <v>1</v>
      </c>
      <c r="DF696">
        <v>1</v>
      </c>
      <c r="DG696">
        <v>1</v>
      </c>
      <c r="DH696">
        <v>0</v>
      </c>
      <c r="DI696">
        <f t="shared" si="827"/>
        <v>4</v>
      </c>
      <c r="DJ696" t="str">
        <f t="shared" si="806"/>
        <v>mixedProduct</v>
      </c>
      <c r="DK696" t="str">
        <f t="shared" si="807"/>
        <v>Upstream</v>
      </c>
      <c r="DL696" t="str">
        <f t="shared" si="808"/>
        <v>Energy</v>
      </c>
      <c r="DM696" t="str">
        <f t="shared" si="809"/>
        <v>Pulp/Paper</v>
      </c>
      <c r="DN696" t="str">
        <f t="shared" si="810"/>
        <v>Timber</v>
      </c>
      <c r="DO696">
        <v>0</v>
      </c>
      <c r="DP696" s="143">
        <v>0</v>
      </c>
      <c r="DQ696" s="143">
        <v>0</v>
      </c>
      <c r="DR696">
        <v>0</v>
      </c>
      <c r="DS696">
        <v>0</v>
      </c>
      <c r="DT696">
        <f t="shared" si="811"/>
        <v>0</v>
      </c>
      <c r="DU696" s="143" t="str">
        <f t="shared" si="812"/>
        <v>explicit C balance</v>
      </c>
      <c r="DV696" s="143">
        <v>0</v>
      </c>
      <c r="DW696" s="143">
        <v>1</v>
      </c>
      <c r="DX696" s="143">
        <v>1</v>
      </c>
      <c r="DY696" s="143">
        <v>1</v>
      </c>
      <c r="DZ696">
        <v>1</v>
      </c>
      <c r="EA696" s="143">
        <v>0</v>
      </c>
      <c r="EB696" s="143">
        <v>0</v>
      </c>
      <c r="EC696" s="143">
        <v>0</v>
      </c>
      <c r="ED696" s="143">
        <v>0</v>
      </c>
      <c r="EE696">
        <v>0</v>
      </c>
      <c r="EF696">
        <v>1</v>
      </c>
      <c r="EG696" s="143">
        <v>0</v>
      </c>
      <c r="EH696" s="143">
        <v>0</v>
      </c>
      <c r="EI696" s="2">
        <v>0</v>
      </c>
      <c r="EK696" t="str">
        <f t="shared" si="828"/>
        <v/>
      </c>
      <c r="EL696" t="str">
        <f t="shared" si="829"/>
        <v>Ecosystem approach</v>
      </c>
      <c r="EM696" s="2" t="str">
        <f t="shared" si="821"/>
        <v/>
      </c>
      <c r="EP696" t="b">
        <f>IF(ISNUMBER(BU696),IF(ABS(BU696-[1]QC_indicators!$B$2)&gt;3*[1]QC_indicators!$C$2,"C ratio",IF(ISNUMBER(BY696),IF(ABS(BY696-[1]QC_indicators!$B$1)&gt;3*[1]QC_indicators!$C$1,"DF","no"))),IF(ISNUMBER(BY696),IF(ABS(BY696-[1]QC_indicators!$B$1)&gt;3*[1]QC_indicators!$C$1,"DF","no")))</f>
        <v>0</v>
      </c>
    </row>
    <row r="697" spans="1:150" ht="15" hidden="1" customHeight="1">
      <c r="A697" s="1" t="s">
        <v>3634</v>
      </c>
      <c r="B697" t="s">
        <v>544</v>
      </c>
      <c r="C697" t="s">
        <v>3635</v>
      </c>
      <c r="D697" t="s">
        <v>3636</v>
      </c>
      <c r="E697" t="s">
        <v>3637</v>
      </c>
      <c r="F697" t="s">
        <v>3638</v>
      </c>
      <c r="G697" t="s">
        <v>3639</v>
      </c>
      <c r="H697" t="s">
        <v>254</v>
      </c>
      <c r="I697">
        <v>2020</v>
      </c>
      <c r="J697">
        <v>9</v>
      </c>
      <c r="K697" t="s">
        <v>3640</v>
      </c>
      <c r="M697" t="str">
        <f t="shared" si="732"/>
        <v>Graves_2020</v>
      </c>
      <c r="N697" s="311" t="s">
        <v>4382</v>
      </c>
      <c r="O697" s="171" t="s">
        <v>341</v>
      </c>
      <c r="P697" t="s">
        <v>223</v>
      </c>
      <c r="Q697" s="311" t="s">
        <v>389</v>
      </c>
      <c r="R697" s="312"/>
      <c r="S697" s="154" t="s">
        <v>3649</v>
      </c>
      <c r="T697" s="313" t="s">
        <v>3650</v>
      </c>
      <c r="U697" s="311" t="s">
        <v>3651</v>
      </c>
      <c r="V697">
        <v>0</v>
      </c>
      <c r="W697">
        <v>0</v>
      </c>
      <c r="X697">
        <v>1</v>
      </c>
      <c r="Y697">
        <v>0</v>
      </c>
      <c r="Z697">
        <v>0</v>
      </c>
      <c r="AA697">
        <v>0</v>
      </c>
      <c r="AB697">
        <v>0</v>
      </c>
      <c r="AC697">
        <v>0</v>
      </c>
      <c r="AD697">
        <v>0</v>
      </c>
      <c r="AE697">
        <v>0</v>
      </c>
      <c r="AF697">
        <v>0</v>
      </c>
      <c r="AG697">
        <v>0</v>
      </c>
      <c r="AH697">
        <v>0</v>
      </c>
      <c r="AI697">
        <v>0</v>
      </c>
      <c r="AJ697">
        <v>0</v>
      </c>
      <c r="AK697">
        <v>0</v>
      </c>
      <c r="AL697">
        <v>0</v>
      </c>
      <c r="AM697">
        <v>0</v>
      </c>
      <c r="AN697">
        <v>0</v>
      </c>
      <c r="AO697">
        <v>0</v>
      </c>
      <c r="AP697">
        <v>0</v>
      </c>
      <c r="AQ697">
        <v>0</v>
      </c>
      <c r="AR697">
        <v>0</v>
      </c>
      <c r="AS697">
        <v>0</v>
      </c>
      <c r="AT697">
        <v>0</v>
      </c>
      <c r="AU697">
        <v>0</v>
      </c>
      <c r="AV697">
        <v>0</v>
      </c>
      <c r="AW697">
        <v>0</v>
      </c>
      <c r="AX697" s="141">
        <f t="shared" si="784"/>
        <v>1</v>
      </c>
      <c r="AY697" s="141">
        <f t="shared" si="785"/>
        <v>1</v>
      </c>
      <c r="AZ697">
        <f t="shared" si="786"/>
        <v>1</v>
      </c>
      <c r="BA697">
        <f t="shared" si="787"/>
        <v>0</v>
      </c>
      <c r="BB697">
        <f t="shared" si="788"/>
        <v>0</v>
      </c>
      <c r="BC697">
        <f t="shared" si="789"/>
        <v>0</v>
      </c>
      <c r="BD697">
        <f t="shared" si="790"/>
        <v>0</v>
      </c>
      <c r="BE697" t="str" cm="1">
        <f t="array" ref="BE697">IF(AY697=1,INDEX($V$7:$AL$7,MATCH(TRUE,INDEX($V697:$AW697&lt;&gt;0,),0)),IF(AY697=0,INDEX($AM$7:$AW$7,MATCH(1,$AM697:$AW697,0)),IF(BF697="Multiple strategies","mixed drivers",IF(BF697="Supply chain","multiple supply","multiple silviculture"))))</f>
        <v>rotation length</v>
      </c>
      <c r="BF697" s="2" t="str" cm="1">
        <f t="array" ref="BF697">IF(COUNTIF(AZ697:BB697,"&lt;&gt;0")=1,INDEX($V$4:$AW$4,MATCH(TRUE,INDEX($V697:$AW697&lt;&gt;0,),0)),IF(COUNTIF(AZ697:BB697,"&lt;&gt;0")=0,INDEX($AM$4:$AW$4,MATCH(1,$AM697:$AW697,0)),"Multiple strategies"))</f>
        <v>Silviculture for removals</v>
      </c>
      <c r="BM697" t="str">
        <f>IFERROR(BL697/BK697,"")</f>
        <v/>
      </c>
      <c r="BN697" s="158"/>
      <c r="BO697" s="159"/>
      <c r="BP697" s="155" t="s">
        <v>395</v>
      </c>
      <c r="BQ697" s="155" t="s">
        <v>3644</v>
      </c>
      <c r="BR697" s="141" t="s">
        <v>3645</v>
      </c>
      <c r="BS697">
        <f>BT697-5.2</f>
        <v>58.8</v>
      </c>
      <c r="BT697" s="151">
        <v>64</v>
      </c>
      <c r="BU697" s="144">
        <f t="shared" si="822"/>
        <v>1.08843537414966</v>
      </c>
      <c r="BV697">
        <f t="shared" si="823"/>
        <v>5.2000000000000028</v>
      </c>
      <c r="BX697">
        <f t="shared" si="824"/>
        <v>5.2000000000000028</v>
      </c>
      <c r="BY697" t="str">
        <f t="shared" si="820"/>
        <v/>
      </c>
      <c r="BZ697">
        <v>0</v>
      </c>
      <c r="CA697">
        <v>0</v>
      </c>
      <c r="CB697">
        <v>0</v>
      </c>
      <c r="CC697">
        <v>0</v>
      </c>
      <c r="CD697">
        <v>0</v>
      </c>
      <c r="CE697">
        <v>0</v>
      </c>
      <c r="CF697">
        <v>0</v>
      </c>
      <c r="CG697">
        <v>0</v>
      </c>
      <c r="CH697">
        <v>0</v>
      </c>
      <c r="CI697">
        <v>0</v>
      </c>
      <c r="CJ697">
        <v>0</v>
      </c>
      <c r="CK697">
        <v>0</v>
      </c>
      <c r="CL697">
        <v>0</v>
      </c>
      <c r="CM697">
        <v>0</v>
      </c>
      <c r="CN697" t="str">
        <f t="shared" si="825"/>
        <v>refOK</v>
      </c>
      <c r="CO697"/>
      <c r="CP697"/>
      <c r="CQ697"/>
      <c r="CR697">
        <f t="shared" si="798"/>
        <v>-58.8</v>
      </c>
      <c r="CS697">
        <f t="shared" si="799"/>
        <v>-64</v>
      </c>
      <c r="CT697">
        <f t="shared" si="800"/>
        <v>-5.2000000000000028</v>
      </c>
      <c r="CU697" t="str">
        <f t="shared" si="801"/>
        <v/>
      </c>
      <c r="CV697" s="2">
        <f t="shared" si="802"/>
        <v>-8.843537414965992E-2</v>
      </c>
      <c r="CW697" s="318" t="s">
        <v>1198</v>
      </c>
      <c r="CX697" s="311" t="str">
        <f t="shared" si="803"/>
        <v>reg</v>
      </c>
      <c r="CY697" s="317" t="s">
        <v>428</v>
      </c>
      <c r="CZ697">
        <v>2020</v>
      </c>
      <c r="DA697">
        <v>2050</v>
      </c>
      <c r="DB697">
        <f t="shared" si="826"/>
        <v>30</v>
      </c>
      <c r="DC697" t="str">
        <f t="shared" si="804"/>
        <v>1-30</v>
      </c>
      <c r="DD697">
        <v>1</v>
      </c>
      <c r="DE697">
        <v>1</v>
      </c>
      <c r="DF697">
        <v>1</v>
      </c>
      <c r="DG697">
        <v>1</v>
      </c>
      <c r="DH697">
        <v>0</v>
      </c>
      <c r="DI697">
        <f t="shared" si="827"/>
        <v>4</v>
      </c>
      <c r="DJ697" t="str">
        <f t="shared" si="806"/>
        <v>mixedProduct</v>
      </c>
      <c r="DK697" t="str">
        <f t="shared" si="807"/>
        <v>Upstream</v>
      </c>
      <c r="DL697" t="str">
        <f t="shared" si="808"/>
        <v>Energy</v>
      </c>
      <c r="DM697" t="str">
        <f t="shared" si="809"/>
        <v>Pulp/Paper</v>
      </c>
      <c r="DN697" t="str">
        <f t="shared" si="810"/>
        <v>Timber</v>
      </c>
      <c r="DO697">
        <v>0</v>
      </c>
      <c r="DP697" s="143">
        <v>0</v>
      </c>
      <c r="DQ697" s="143">
        <v>0</v>
      </c>
      <c r="DR697">
        <v>0</v>
      </c>
      <c r="DS697">
        <v>0</v>
      </c>
      <c r="DT697">
        <f t="shared" si="811"/>
        <v>0</v>
      </c>
      <c r="DU697" s="143" t="str">
        <f t="shared" si="812"/>
        <v>explicit C balance</v>
      </c>
      <c r="DV697" s="143">
        <v>0</v>
      </c>
      <c r="DW697" s="143">
        <v>1</v>
      </c>
      <c r="DX697" s="143">
        <v>1</v>
      </c>
      <c r="DY697" s="143">
        <v>1</v>
      </c>
      <c r="DZ697">
        <v>1</v>
      </c>
      <c r="EA697" s="143">
        <v>0</v>
      </c>
      <c r="EB697" s="143">
        <v>0</v>
      </c>
      <c r="EC697" s="143">
        <v>0</v>
      </c>
      <c r="ED697" s="143">
        <v>0</v>
      </c>
      <c r="EE697">
        <v>0</v>
      </c>
      <c r="EF697">
        <v>1</v>
      </c>
      <c r="EG697" s="143">
        <v>0</v>
      </c>
      <c r="EH697" s="143">
        <v>0</v>
      </c>
      <c r="EI697" s="2">
        <v>0</v>
      </c>
      <c r="EK697" t="str">
        <f t="shared" si="828"/>
        <v/>
      </c>
      <c r="EL697" t="str">
        <f t="shared" si="829"/>
        <v>Ecosystem approach</v>
      </c>
      <c r="EM697" s="2" t="str">
        <f t="shared" si="821"/>
        <v/>
      </c>
      <c r="EP697" t="b">
        <f>IF(ISNUMBER(BU697),IF(ABS(BU697-[1]QC_indicators!$B$2)&gt;3*[1]QC_indicators!$C$2,"C ratio",IF(ISNUMBER(BY697),IF(ABS(BY697-[1]QC_indicators!$B$1)&gt;3*[1]QC_indicators!$C$1,"DF","no"))),IF(ISNUMBER(BY697),IF(ABS(BY697-[1]QC_indicators!$B$1)&gt;3*[1]QC_indicators!$C$1,"DF","no")))</f>
        <v>0</v>
      </c>
    </row>
    <row r="698" spans="1:150" ht="15" hidden="1" customHeight="1">
      <c r="A698" s="1" t="s">
        <v>3634</v>
      </c>
      <c r="B698" t="s">
        <v>544</v>
      </c>
      <c r="C698" t="s">
        <v>3635</v>
      </c>
      <c r="D698" t="s">
        <v>3636</v>
      </c>
      <c r="E698" t="s">
        <v>3637</v>
      </c>
      <c r="F698" t="s">
        <v>3638</v>
      </c>
      <c r="G698" t="s">
        <v>3639</v>
      </c>
      <c r="H698" t="s">
        <v>254</v>
      </c>
      <c r="I698">
        <v>2020</v>
      </c>
      <c r="J698">
        <v>9</v>
      </c>
      <c r="K698" t="s">
        <v>3640</v>
      </c>
      <c r="M698" t="str">
        <f t="shared" si="732"/>
        <v>Graves_2020</v>
      </c>
      <c r="N698" s="311" t="s">
        <v>4382</v>
      </c>
      <c r="O698" s="171" t="s">
        <v>341</v>
      </c>
      <c r="P698" t="s">
        <v>223</v>
      </c>
      <c r="Q698" s="311" t="s">
        <v>389</v>
      </c>
      <c r="R698" s="312"/>
      <c r="S698" s="154" t="s">
        <v>3649</v>
      </c>
      <c r="T698" s="313" t="s">
        <v>3652</v>
      </c>
      <c r="U698" s="311" t="s">
        <v>3651</v>
      </c>
      <c r="V698">
        <v>0</v>
      </c>
      <c r="W698">
        <v>0</v>
      </c>
      <c r="X698">
        <v>1</v>
      </c>
      <c r="Y698">
        <v>0</v>
      </c>
      <c r="Z698">
        <v>0</v>
      </c>
      <c r="AA698">
        <v>0</v>
      </c>
      <c r="AB698">
        <v>0</v>
      </c>
      <c r="AC698">
        <v>0</v>
      </c>
      <c r="AD698">
        <v>0</v>
      </c>
      <c r="AE698">
        <v>0</v>
      </c>
      <c r="AF698">
        <v>0</v>
      </c>
      <c r="AG698">
        <v>0</v>
      </c>
      <c r="AH698">
        <v>0</v>
      </c>
      <c r="AI698">
        <v>0</v>
      </c>
      <c r="AJ698">
        <v>0</v>
      </c>
      <c r="AK698">
        <v>0</v>
      </c>
      <c r="AL698">
        <v>0</v>
      </c>
      <c r="AM698">
        <v>0</v>
      </c>
      <c r="AN698">
        <v>0</v>
      </c>
      <c r="AO698">
        <v>0</v>
      </c>
      <c r="AP698">
        <v>0</v>
      </c>
      <c r="AQ698">
        <v>0</v>
      </c>
      <c r="AR698">
        <v>0</v>
      </c>
      <c r="AS698">
        <v>0</v>
      </c>
      <c r="AT698">
        <v>0</v>
      </c>
      <c r="AU698">
        <v>0</v>
      </c>
      <c r="AV698">
        <v>0</v>
      </c>
      <c r="AW698">
        <v>0</v>
      </c>
      <c r="AX698" s="141">
        <f t="shared" si="784"/>
        <v>1</v>
      </c>
      <c r="AY698" s="141">
        <f t="shared" si="785"/>
        <v>1</v>
      </c>
      <c r="AZ698">
        <f t="shared" si="786"/>
        <v>1</v>
      </c>
      <c r="BA698">
        <f t="shared" si="787"/>
        <v>0</v>
      </c>
      <c r="BB698">
        <f t="shared" si="788"/>
        <v>0</v>
      </c>
      <c r="BC698">
        <f t="shared" si="789"/>
        <v>0</v>
      </c>
      <c r="BD698">
        <f t="shared" si="790"/>
        <v>0</v>
      </c>
      <c r="BE698" t="str" cm="1">
        <f t="array" ref="BE698">IF(AY698=1,INDEX($V$7:$AL$7,MATCH(TRUE,INDEX($V698:$AW698&lt;&gt;0,),0)),IF(AY698=0,INDEX($AM$7:$AW$7,MATCH(1,$AM698:$AW698,0)),IF(BF698="Multiple strategies","mixed drivers",IF(BF698="Supply chain","multiple supply","multiple silviculture"))))</f>
        <v>rotation length</v>
      </c>
      <c r="BF698" s="2" t="str" cm="1">
        <f t="array" ref="BF698">IF(COUNTIF(AZ698:BB698,"&lt;&gt;0")=1,INDEX($V$4:$AW$4,MATCH(TRUE,INDEX($V698:$AW698&lt;&gt;0,),0)),IF(COUNTIF(AZ698:BB698,"&lt;&gt;0")=0,INDEX($AM$4:$AW$4,MATCH(1,$AM698:$AW698,0)),"Multiple strategies"))</f>
        <v>Silviculture for removals</v>
      </c>
      <c r="BN698" s="158"/>
      <c r="BO698" s="159"/>
      <c r="BP698" s="155" t="s">
        <v>395</v>
      </c>
      <c r="BQ698" s="155" t="s">
        <v>3644</v>
      </c>
      <c r="BR698" s="141" t="s">
        <v>3645</v>
      </c>
      <c r="BS698">
        <f>BT698-3.36</f>
        <v>60.64</v>
      </c>
      <c r="BT698" s="151">
        <v>64</v>
      </c>
      <c r="BU698" s="144">
        <f t="shared" si="822"/>
        <v>1.0554089709762533</v>
      </c>
      <c r="BV698">
        <f t="shared" si="823"/>
        <v>3.3599999999999994</v>
      </c>
      <c r="BX698">
        <f t="shared" si="824"/>
        <v>3.3599999999999994</v>
      </c>
      <c r="BY698" t="str">
        <f t="shared" si="820"/>
        <v/>
      </c>
      <c r="BZ698">
        <v>0</v>
      </c>
      <c r="CA698">
        <v>0</v>
      </c>
      <c r="CB698">
        <v>0</v>
      </c>
      <c r="CC698">
        <v>0</v>
      </c>
      <c r="CD698">
        <v>0</v>
      </c>
      <c r="CE698">
        <v>0</v>
      </c>
      <c r="CF698">
        <v>0</v>
      </c>
      <c r="CG698">
        <v>0</v>
      </c>
      <c r="CH698">
        <v>0</v>
      </c>
      <c r="CI698">
        <v>0</v>
      </c>
      <c r="CJ698">
        <v>0</v>
      </c>
      <c r="CK698">
        <v>0</v>
      </c>
      <c r="CL698">
        <v>0</v>
      </c>
      <c r="CM698">
        <v>0</v>
      </c>
      <c r="CN698" t="str">
        <f t="shared" si="825"/>
        <v>refOK</v>
      </c>
      <c r="CO698"/>
      <c r="CP698"/>
      <c r="CQ698"/>
      <c r="CR698">
        <f t="shared" si="798"/>
        <v>-60.64</v>
      </c>
      <c r="CS698">
        <f t="shared" si="799"/>
        <v>-64</v>
      </c>
      <c r="CT698">
        <f t="shared" si="800"/>
        <v>-3.3599999999999994</v>
      </c>
      <c r="CU698" t="str">
        <f t="shared" si="801"/>
        <v/>
      </c>
      <c r="CV698" s="2">
        <f t="shared" si="802"/>
        <v>-5.5408970976253288E-2</v>
      </c>
      <c r="CW698" s="318" t="s">
        <v>1198</v>
      </c>
      <c r="CX698" s="311" t="str">
        <f t="shared" si="803"/>
        <v>reg</v>
      </c>
      <c r="CY698" s="317" t="s">
        <v>428</v>
      </c>
      <c r="CZ698">
        <v>2020</v>
      </c>
      <c r="DA698">
        <v>2035</v>
      </c>
      <c r="DB698">
        <f t="shared" si="826"/>
        <v>15</v>
      </c>
      <c r="DC698" t="str">
        <f t="shared" si="804"/>
        <v>1-30</v>
      </c>
      <c r="DD698">
        <v>1</v>
      </c>
      <c r="DE698">
        <v>1</v>
      </c>
      <c r="DF698">
        <v>1</v>
      </c>
      <c r="DG698">
        <v>1</v>
      </c>
      <c r="DH698">
        <v>0</v>
      </c>
      <c r="DI698">
        <f t="shared" si="827"/>
        <v>4</v>
      </c>
      <c r="DJ698" t="str">
        <f t="shared" si="806"/>
        <v>mixedProduct</v>
      </c>
      <c r="DK698" t="str">
        <f t="shared" si="807"/>
        <v>Upstream</v>
      </c>
      <c r="DL698" t="str">
        <f t="shared" si="808"/>
        <v>Energy</v>
      </c>
      <c r="DM698" t="str">
        <f t="shared" si="809"/>
        <v>Pulp/Paper</v>
      </c>
      <c r="DN698" t="str">
        <f t="shared" si="810"/>
        <v>Timber</v>
      </c>
      <c r="DO698">
        <v>0</v>
      </c>
      <c r="DP698" s="143">
        <v>0</v>
      </c>
      <c r="DQ698" s="143">
        <v>0</v>
      </c>
      <c r="DR698">
        <v>0</v>
      </c>
      <c r="DS698">
        <v>0</v>
      </c>
      <c r="DT698">
        <f t="shared" si="811"/>
        <v>0</v>
      </c>
      <c r="DU698" s="143" t="str">
        <f t="shared" si="812"/>
        <v>explicit C balance</v>
      </c>
      <c r="DV698" s="143">
        <v>0</v>
      </c>
      <c r="DW698" s="143">
        <v>1</v>
      </c>
      <c r="DX698" s="143">
        <v>1</v>
      </c>
      <c r="DY698" s="143">
        <v>1</v>
      </c>
      <c r="DZ698">
        <v>1</v>
      </c>
      <c r="EA698" s="143">
        <v>0</v>
      </c>
      <c r="EB698" s="143">
        <v>0</v>
      </c>
      <c r="EC698" s="143">
        <v>0</v>
      </c>
      <c r="ED698" s="143">
        <v>0</v>
      </c>
      <c r="EE698">
        <v>0</v>
      </c>
      <c r="EF698">
        <v>1</v>
      </c>
      <c r="EG698" s="143">
        <v>0</v>
      </c>
      <c r="EH698" s="143">
        <v>0</v>
      </c>
      <c r="EI698" s="2">
        <v>0</v>
      </c>
      <c r="EK698" t="str">
        <f t="shared" si="828"/>
        <v/>
      </c>
      <c r="EL698" t="str">
        <f t="shared" si="829"/>
        <v>Ecosystem approach</v>
      </c>
      <c r="EM698" s="2" t="str">
        <f t="shared" si="821"/>
        <v/>
      </c>
      <c r="EP698" t="b">
        <f>IF(ISNUMBER(BU698),IF(ABS(BU698-[1]QC_indicators!$B$2)&gt;3*[1]QC_indicators!$C$2,"C ratio",IF(ISNUMBER(BY698),IF(ABS(BY698-[1]QC_indicators!$B$1)&gt;3*[1]QC_indicators!$C$1,"DF","no"))),IF(ISNUMBER(BY698),IF(ABS(BY698-[1]QC_indicators!$B$1)&gt;3*[1]QC_indicators!$C$1,"DF","no")))</f>
        <v>0</v>
      </c>
    </row>
    <row r="699" spans="1:150" ht="15" hidden="1" customHeight="1">
      <c r="A699" s="1" t="s">
        <v>3634</v>
      </c>
      <c r="B699" t="s">
        <v>544</v>
      </c>
      <c r="C699" t="s">
        <v>3635</v>
      </c>
      <c r="D699" t="s">
        <v>3636</v>
      </c>
      <c r="E699" t="s">
        <v>3637</v>
      </c>
      <c r="F699" t="s">
        <v>3638</v>
      </c>
      <c r="G699" t="s">
        <v>3639</v>
      </c>
      <c r="H699" t="s">
        <v>254</v>
      </c>
      <c r="I699">
        <v>2020</v>
      </c>
      <c r="J699">
        <v>9</v>
      </c>
      <c r="K699" t="s">
        <v>3640</v>
      </c>
      <c r="M699" t="str">
        <f t="shared" si="732"/>
        <v>Graves_2020</v>
      </c>
      <c r="N699" s="311" t="s">
        <v>4382</v>
      </c>
      <c r="O699" s="171" t="s">
        <v>341</v>
      </c>
      <c r="P699" t="s">
        <v>223</v>
      </c>
      <c r="Q699" s="311" t="s">
        <v>389</v>
      </c>
      <c r="R699" s="312"/>
      <c r="S699" s="154" t="s">
        <v>3649</v>
      </c>
      <c r="T699" s="313" t="s">
        <v>3652</v>
      </c>
      <c r="U699" s="311" t="s">
        <v>3651</v>
      </c>
      <c r="V699">
        <v>0</v>
      </c>
      <c r="W699">
        <v>0</v>
      </c>
      <c r="X699">
        <v>1</v>
      </c>
      <c r="Y699">
        <v>0</v>
      </c>
      <c r="Z699">
        <v>0</v>
      </c>
      <c r="AA699">
        <v>0</v>
      </c>
      <c r="AB699">
        <v>0</v>
      </c>
      <c r="AC699">
        <v>0</v>
      </c>
      <c r="AD699">
        <v>0</v>
      </c>
      <c r="AE699">
        <v>0</v>
      </c>
      <c r="AF699">
        <v>0</v>
      </c>
      <c r="AG699">
        <v>0</v>
      </c>
      <c r="AH699">
        <v>0</v>
      </c>
      <c r="AI699">
        <v>0</v>
      </c>
      <c r="AJ699">
        <v>0</v>
      </c>
      <c r="AK699">
        <v>0</v>
      </c>
      <c r="AL699">
        <v>0</v>
      </c>
      <c r="AM699">
        <v>0</v>
      </c>
      <c r="AN699">
        <v>0</v>
      </c>
      <c r="AO699">
        <v>0</v>
      </c>
      <c r="AP699">
        <v>0</v>
      </c>
      <c r="AQ699">
        <v>0</v>
      </c>
      <c r="AR699">
        <v>0</v>
      </c>
      <c r="AS699">
        <v>0</v>
      </c>
      <c r="AT699">
        <v>0</v>
      </c>
      <c r="AU699">
        <v>0</v>
      </c>
      <c r="AV699">
        <v>0</v>
      </c>
      <c r="AW699">
        <v>0</v>
      </c>
      <c r="AX699" s="141">
        <f t="shared" si="784"/>
        <v>1</v>
      </c>
      <c r="AY699" s="141">
        <f t="shared" si="785"/>
        <v>1</v>
      </c>
      <c r="AZ699">
        <f t="shared" si="786"/>
        <v>1</v>
      </c>
      <c r="BA699">
        <f t="shared" si="787"/>
        <v>0</v>
      </c>
      <c r="BB699">
        <f t="shared" si="788"/>
        <v>0</v>
      </c>
      <c r="BC699">
        <f t="shared" si="789"/>
        <v>0</v>
      </c>
      <c r="BD699">
        <f t="shared" si="790"/>
        <v>0</v>
      </c>
      <c r="BE699" t="str" cm="1">
        <f t="array" ref="BE699">IF(AY699=1,INDEX($V$7:$AL$7,MATCH(TRUE,INDEX($V699:$AW699&lt;&gt;0,),0)),IF(AY699=0,INDEX($AM$7:$AW$7,MATCH(1,$AM699:$AW699,0)),IF(BF699="Multiple strategies","mixed drivers",IF(BF699="Supply chain","multiple supply","multiple silviculture"))))</f>
        <v>rotation length</v>
      </c>
      <c r="BF699" s="2" t="str" cm="1">
        <f t="array" ref="BF699">IF(COUNTIF(AZ699:BB699,"&lt;&gt;0")=1,INDEX($V$4:$AW$4,MATCH(TRUE,INDEX($V699:$AW699&lt;&gt;0,),0)),IF(COUNTIF(AZ699:BB699,"&lt;&gt;0")=0,INDEX($AM$4:$AW$4,MATCH(1,$AM699:$AW699,0)),"Multiple strategies"))</f>
        <v>Silviculture for removals</v>
      </c>
      <c r="BN699" s="158"/>
      <c r="BO699" s="159"/>
      <c r="BP699" s="155" t="s">
        <v>395</v>
      </c>
      <c r="BQ699" s="155" t="s">
        <v>3644</v>
      </c>
      <c r="BR699" s="141" t="s">
        <v>3645</v>
      </c>
      <c r="BS699">
        <f>BT699-3.45</f>
        <v>60.55</v>
      </c>
      <c r="BT699" s="151">
        <v>64</v>
      </c>
      <c r="BU699" s="144">
        <f t="shared" si="822"/>
        <v>1.0569777043765483</v>
      </c>
      <c r="BV699">
        <f t="shared" si="823"/>
        <v>3.4500000000000028</v>
      </c>
      <c r="BX699">
        <f t="shared" si="824"/>
        <v>3.4500000000000028</v>
      </c>
      <c r="BY699" t="str">
        <f t="shared" si="820"/>
        <v/>
      </c>
      <c r="BZ699">
        <v>0</v>
      </c>
      <c r="CA699">
        <v>0</v>
      </c>
      <c r="CB699">
        <v>0</v>
      </c>
      <c r="CC699">
        <v>0</v>
      </c>
      <c r="CD699">
        <v>0</v>
      </c>
      <c r="CE699">
        <v>0</v>
      </c>
      <c r="CF699">
        <v>0</v>
      </c>
      <c r="CG699">
        <v>0</v>
      </c>
      <c r="CH699">
        <v>0</v>
      </c>
      <c r="CI699">
        <v>0</v>
      </c>
      <c r="CJ699">
        <v>0</v>
      </c>
      <c r="CK699">
        <v>0</v>
      </c>
      <c r="CL699">
        <v>0</v>
      </c>
      <c r="CM699">
        <v>0</v>
      </c>
      <c r="CN699" t="str">
        <f t="shared" si="825"/>
        <v>refOK</v>
      </c>
      <c r="CO699"/>
      <c r="CP699"/>
      <c r="CQ699"/>
      <c r="CR699">
        <f t="shared" si="798"/>
        <v>-60.55</v>
      </c>
      <c r="CS699">
        <f t="shared" si="799"/>
        <v>-64</v>
      </c>
      <c r="CT699">
        <f t="shared" si="800"/>
        <v>-3.4500000000000028</v>
      </c>
      <c r="CU699" t="str">
        <f t="shared" si="801"/>
        <v/>
      </c>
      <c r="CV699" s="2">
        <f t="shared" si="802"/>
        <v>-5.6977704376548359E-2</v>
      </c>
      <c r="CW699" s="318" t="s">
        <v>1198</v>
      </c>
      <c r="CX699" s="311" t="str">
        <f t="shared" si="803"/>
        <v>reg</v>
      </c>
      <c r="CY699" s="317" t="s">
        <v>428</v>
      </c>
      <c r="CZ699">
        <v>2020</v>
      </c>
      <c r="DA699">
        <v>2050</v>
      </c>
      <c r="DB699">
        <f t="shared" si="826"/>
        <v>30</v>
      </c>
      <c r="DC699" t="str">
        <f t="shared" si="804"/>
        <v>1-30</v>
      </c>
      <c r="DD699">
        <v>1</v>
      </c>
      <c r="DE699">
        <v>1</v>
      </c>
      <c r="DF699">
        <v>1</v>
      </c>
      <c r="DG699">
        <v>1</v>
      </c>
      <c r="DH699">
        <v>0</v>
      </c>
      <c r="DI699">
        <f t="shared" si="827"/>
        <v>4</v>
      </c>
      <c r="DJ699" t="str">
        <f t="shared" si="806"/>
        <v>mixedProduct</v>
      </c>
      <c r="DK699" t="str">
        <f t="shared" si="807"/>
        <v>Upstream</v>
      </c>
      <c r="DL699" t="str">
        <f t="shared" si="808"/>
        <v>Energy</v>
      </c>
      <c r="DM699" t="str">
        <f t="shared" si="809"/>
        <v>Pulp/Paper</v>
      </c>
      <c r="DN699" t="str">
        <f t="shared" si="810"/>
        <v>Timber</v>
      </c>
      <c r="DO699">
        <v>0</v>
      </c>
      <c r="DP699" s="143">
        <v>0</v>
      </c>
      <c r="DQ699" s="143">
        <v>0</v>
      </c>
      <c r="DR699">
        <v>0</v>
      </c>
      <c r="DS699">
        <v>0</v>
      </c>
      <c r="DT699">
        <f t="shared" si="811"/>
        <v>0</v>
      </c>
      <c r="DU699" s="143" t="str">
        <f t="shared" si="812"/>
        <v>explicit C balance</v>
      </c>
      <c r="DV699" s="143">
        <v>0</v>
      </c>
      <c r="DW699" s="143">
        <v>1</v>
      </c>
      <c r="DX699" s="143">
        <v>1</v>
      </c>
      <c r="DY699" s="143">
        <v>1</v>
      </c>
      <c r="DZ699">
        <v>1</v>
      </c>
      <c r="EA699" s="143">
        <v>0</v>
      </c>
      <c r="EB699" s="143">
        <v>0</v>
      </c>
      <c r="EC699" s="143">
        <v>0</v>
      </c>
      <c r="ED699" s="143">
        <v>0</v>
      </c>
      <c r="EE699">
        <v>0</v>
      </c>
      <c r="EF699">
        <v>1</v>
      </c>
      <c r="EG699" s="143">
        <v>0</v>
      </c>
      <c r="EH699" s="143">
        <v>0</v>
      </c>
      <c r="EI699" s="2">
        <v>0</v>
      </c>
      <c r="EK699" t="str">
        <f t="shared" si="828"/>
        <v/>
      </c>
      <c r="EL699" t="str">
        <f t="shared" si="829"/>
        <v>Ecosystem approach</v>
      </c>
      <c r="EM699" s="2" t="str">
        <f t="shared" si="821"/>
        <v/>
      </c>
      <c r="EP699" t="b">
        <f>IF(ISNUMBER(BU699),IF(ABS(BU699-[1]QC_indicators!$B$2)&gt;3*[1]QC_indicators!$C$2,"C ratio",IF(ISNUMBER(BY699),IF(ABS(BY699-[1]QC_indicators!$B$1)&gt;3*[1]QC_indicators!$C$1,"DF","no"))),IF(ISNUMBER(BY699),IF(ABS(BY699-[1]QC_indicators!$B$1)&gt;3*[1]QC_indicators!$C$1,"DF","no")))</f>
        <v>0</v>
      </c>
    </row>
    <row r="700" spans="1:150" ht="15" hidden="1" customHeight="1">
      <c r="A700" s="1" t="s">
        <v>1635</v>
      </c>
      <c r="B700" t="s">
        <v>1636</v>
      </c>
      <c r="C700" t="s">
        <v>1637</v>
      </c>
      <c r="D700" t="s">
        <v>1638</v>
      </c>
      <c r="E700" t="s">
        <v>1639</v>
      </c>
      <c r="F700" t="s">
        <v>1640</v>
      </c>
      <c r="G700" t="s">
        <v>1641</v>
      </c>
      <c r="H700" t="s">
        <v>254</v>
      </c>
      <c r="I700">
        <v>2022</v>
      </c>
      <c r="J700">
        <v>0</v>
      </c>
      <c r="K700" t="s">
        <v>1642</v>
      </c>
      <c r="M700" t="str">
        <f t="shared" si="732"/>
        <v>Gregor_2022</v>
      </c>
      <c r="N700" t="s">
        <v>222</v>
      </c>
      <c r="O700" s="161" t="s">
        <v>223</v>
      </c>
      <c r="Q700" s="264" t="s">
        <v>389</v>
      </c>
      <c r="R700" s="269" t="s">
        <v>1153</v>
      </c>
      <c r="S700" s="154" t="s">
        <v>1643</v>
      </c>
      <c r="T700" s="294" t="s">
        <v>1645</v>
      </c>
      <c r="U700" s="264" t="s">
        <v>1652</v>
      </c>
      <c r="V700">
        <v>0</v>
      </c>
      <c r="W700">
        <v>0</v>
      </c>
      <c r="X700">
        <v>0</v>
      </c>
      <c r="Y700">
        <v>0</v>
      </c>
      <c r="Z700">
        <v>1</v>
      </c>
      <c r="AA700">
        <v>0</v>
      </c>
      <c r="AB700">
        <v>0</v>
      </c>
      <c r="AC700">
        <v>0</v>
      </c>
      <c r="AD700">
        <v>0</v>
      </c>
      <c r="AE700">
        <v>0</v>
      </c>
      <c r="AF700">
        <v>2</v>
      </c>
      <c r="AG700">
        <v>0</v>
      </c>
      <c r="AH700">
        <v>0</v>
      </c>
      <c r="AI700">
        <v>0</v>
      </c>
      <c r="AJ700">
        <v>0</v>
      </c>
      <c r="AK700">
        <v>0</v>
      </c>
      <c r="AL700">
        <v>0</v>
      </c>
      <c r="AM700">
        <v>0</v>
      </c>
      <c r="AN700">
        <v>2</v>
      </c>
      <c r="AO700">
        <v>2</v>
      </c>
      <c r="AP700">
        <v>2</v>
      </c>
      <c r="AQ700">
        <v>2</v>
      </c>
      <c r="AR700">
        <v>0</v>
      </c>
      <c r="AS700">
        <v>0</v>
      </c>
      <c r="AT700">
        <v>0</v>
      </c>
      <c r="AU700">
        <v>0</v>
      </c>
      <c r="AV700">
        <v>0</v>
      </c>
      <c r="AW700">
        <v>0</v>
      </c>
      <c r="AX700" s="141">
        <f t="shared" si="784"/>
        <v>6</v>
      </c>
      <c r="AY700" s="141">
        <f t="shared" si="785"/>
        <v>2</v>
      </c>
      <c r="AZ700">
        <f t="shared" si="786"/>
        <v>1</v>
      </c>
      <c r="BA700">
        <f t="shared" si="787"/>
        <v>1</v>
      </c>
      <c r="BB700">
        <f t="shared" si="788"/>
        <v>0</v>
      </c>
      <c r="BC700">
        <f t="shared" si="789"/>
        <v>0</v>
      </c>
      <c r="BD700">
        <f t="shared" si="790"/>
        <v>4</v>
      </c>
      <c r="BE700" t="str" cm="1">
        <f t="array" ref="BE700">IF(AY700=1,INDEX($V$7:$AL$7,MATCH(TRUE,INDEX($V700:$AW700&lt;&gt;0,),0)),IF(AY700=0,INDEX($AM$7:$AW$7,MATCH(1,$AM700:$AW700,0)),IF(BF700="Multiple strategies","mixed drivers",IF(BF700="Supply chain","multiple supply","multiple silviculture"))))</f>
        <v>mixed drivers</v>
      </c>
      <c r="BF700" s="2" t="str" cm="1">
        <f t="array" ref="BF700">IF(COUNTIF(AZ700:BB700,"&lt;&gt;0")=1,INDEX($V$4:$AW$4,MATCH(TRUE,INDEX($V700:$AW700&lt;&gt;0,),0)),IF(COUNTIF(AZ700:BB700,"&lt;&gt;0")=0,INDEX($AM$4:$AW$4,MATCH(1,$AM700:$AW700,0)),"Multiple strategies"))</f>
        <v>Multiple strategies</v>
      </c>
      <c r="BG700" s="1" t="s">
        <v>321</v>
      </c>
      <c r="BH700" s="264" t="s">
        <v>1646</v>
      </c>
      <c r="BI700" s="264" t="s">
        <v>688</v>
      </c>
      <c r="BJ700" s="264" t="s">
        <v>1647</v>
      </c>
      <c r="BK700">
        <f>2.99*(2115-2020)</f>
        <v>284.05</v>
      </c>
      <c r="BL700">
        <f>3.2*(2115-2020)</f>
        <v>304</v>
      </c>
      <c r="BN700">
        <f t="shared" ref="BN700:BN709" si="830">BL700-BK700</f>
        <v>19.949999999999989</v>
      </c>
      <c r="BO700">
        <f t="shared" ref="BO700:BO709" si="831">BL700-BK700</f>
        <v>19.949999999999989</v>
      </c>
      <c r="BP700" s="264" t="s">
        <v>232</v>
      </c>
      <c r="BQ700" s="264" t="s">
        <v>1651</v>
      </c>
      <c r="BR700" s="264" t="s">
        <v>1649</v>
      </c>
      <c r="BS700" s="264">
        <f>9.8*10000</f>
        <v>98000</v>
      </c>
      <c r="BT700" s="264">
        <f>9.7*10000</f>
        <v>97000</v>
      </c>
      <c r="BV700">
        <f t="shared" si="823"/>
        <v>-1000</v>
      </c>
      <c r="BX700">
        <f t="shared" ref="BX700:BX709" si="832">BV700/1000*C_to_CO2</f>
        <v>-3.67</v>
      </c>
      <c r="BY700">
        <f t="shared" si="820"/>
        <v>-0.18395989974937355</v>
      </c>
      <c r="BZ700">
        <v>0</v>
      </c>
      <c r="CA700">
        <v>0</v>
      </c>
      <c r="CB700">
        <v>0</v>
      </c>
      <c r="CC700">
        <v>0</v>
      </c>
      <c r="CD700">
        <v>0</v>
      </c>
      <c r="CE700">
        <v>0</v>
      </c>
      <c r="CF700">
        <v>0</v>
      </c>
      <c r="CG700">
        <v>0</v>
      </c>
      <c r="CH700">
        <v>0</v>
      </c>
      <c r="CI700">
        <v>0</v>
      </c>
      <c r="CJ700">
        <v>0</v>
      </c>
      <c r="CK700">
        <v>0</v>
      </c>
      <c r="CL700">
        <v>0</v>
      </c>
      <c r="CM700">
        <v>0</v>
      </c>
      <c r="CN700" t="str">
        <f t="shared" si="825"/>
        <v>refOK</v>
      </c>
      <c r="CO700">
        <f t="shared" ref="CO700:CO709" si="833">IF($CN700="refOK",$BK700,$BL700)</f>
        <v>284.05</v>
      </c>
      <c r="CP700">
        <f t="shared" ref="CP700:CP709" si="834">IF($CN700="refOK",$BL700,$BK700)</f>
        <v>304</v>
      </c>
      <c r="CQ700">
        <f t="shared" ref="CQ700:CQ709" si="835">IF($CN700="refOK",$BO700,-$BO700)</f>
        <v>19.949999999999989</v>
      </c>
      <c r="CR700">
        <f t="shared" si="798"/>
        <v>98000</v>
      </c>
      <c r="CS700">
        <f t="shared" si="799"/>
        <v>97000</v>
      </c>
      <c r="CT700">
        <f t="shared" si="800"/>
        <v>-3.67</v>
      </c>
      <c r="CU700">
        <f t="shared" si="801"/>
        <v>-0.18395989974937355</v>
      </c>
      <c r="CV700" s="2">
        <f t="shared" si="802"/>
        <v>-1.020408163265306E-2</v>
      </c>
      <c r="CW700" s="162" t="s">
        <v>1461</v>
      </c>
      <c r="CX700" s="264" t="str">
        <f t="shared" si="803"/>
        <v>reg</v>
      </c>
      <c r="CY700" s="155" t="s">
        <v>743</v>
      </c>
      <c r="CZ700">
        <v>2010</v>
      </c>
      <c r="DA700">
        <v>2115</v>
      </c>
      <c r="DB700">
        <f t="shared" si="826"/>
        <v>105</v>
      </c>
      <c r="DC700" t="str">
        <f t="shared" si="804"/>
        <v>+100</v>
      </c>
      <c r="DD700">
        <v>0</v>
      </c>
      <c r="DE700">
        <v>1</v>
      </c>
      <c r="DF700">
        <v>1</v>
      </c>
      <c r="DG700">
        <v>1</v>
      </c>
      <c r="DH700">
        <v>0</v>
      </c>
      <c r="DI700">
        <f t="shared" ref="DI700:DI709" si="836">SUM(DD700:DG700)</f>
        <v>3</v>
      </c>
      <c r="DJ700" t="str">
        <f t="shared" si="806"/>
        <v>mixedProduct</v>
      </c>
      <c r="DK700">
        <f t="shared" si="807"/>
        <v>0</v>
      </c>
      <c r="DL700" t="str">
        <f t="shared" si="808"/>
        <v>Energy</v>
      </c>
      <c r="DM700" t="str">
        <f t="shared" si="809"/>
        <v>Pulp/Paper</v>
      </c>
      <c r="DN700" t="str">
        <f t="shared" si="810"/>
        <v>Timber</v>
      </c>
      <c r="DO700">
        <v>0</v>
      </c>
      <c r="DP700">
        <v>1</v>
      </c>
      <c r="DQ700" s="264" t="s">
        <v>1650</v>
      </c>
      <c r="DR700" s="264" t="s">
        <v>1650</v>
      </c>
      <c r="DS700" s="264" t="s">
        <v>1650</v>
      </c>
      <c r="DT700">
        <f t="shared" si="811"/>
        <v>1</v>
      </c>
      <c r="DU700" s="143" t="str">
        <f t="shared" si="812"/>
        <v>external DF used</v>
      </c>
      <c r="DV700">
        <v>1</v>
      </c>
      <c r="DW700">
        <v>1</v>
      </c>
      <c r="DX700">
        <v>1</v>
      </c>
      <c r="DY700">
        <v>1</v>
      </c>
      <c r="DZ700">
        <v>0</v>
      </c>
      <c r="EA700">
        <v>0</v>
      </c>
      <c r="EB700">
        <v>0</v>
      </c>
      <c r="EC700">
        <v>0</v>
      </c>
      <c r="ED700">
        <v>0</v>
      </c>
      <c r="EE700">
        <v>0</v>
      </c>
      <c r="EF700">
        <v>1</v>
      </c>
      <c r="EG700">
        <v>0</v>
      </c>
      <c r="EH700">
        <v>1</v>
      </c>
      <c r="EI700" s="2">
        <v>0</v>
      </c>
      <c r="EK700" t="str">
        <f t="shared" ref="EK700:EK709" si="837">IF(AND(AND(AND(OR($DX700=1,$DW700=1),OR($EC700=1,$EA700=1)),SUM($DV700:$DZ700,$EF700)&gt;=4),SUM($EA700:$EE700)&gt;=2),"Whole sector","")</f>
        <v/>
      </c>
      <c r="EL700" t="str">
        <f t="shared" ref="EL700:EL709" si="838">IF(AND(AND(OR($DX700=1,$DW700=1),AND($EC700=0,$EA700=0)),SUM($DV700:$DZ700,$EF700)&gt;=4),"Ecosystem approach","")</f>
        <v>Ecosystem approach</v>
      </c>
      <c r="EM700" s="2" t="str">
        <f t="shared" si="821"/>
        <v/>
      </c>
      <c r="EP700" t="str">
        <f>IF(ISNUMBER(BU700),IF(ABS(BU700-[4]QC_indicators!$B$2)&gt;3*[4]QC_indicators!$C$2,"C ratio",IF(ISNUMBER(BY700),IF(ABS(BY700-[4]QC_indicators!$B$1)&gt;3*[4]QC_indicators!$C$1,"DF","no"))),IF(ISNUMBER(BY700),IF(ABS(BY700-[4]QC_indicators!$B$1)&gt;3*[4]QC_indicators!$C$1,"DF","no")))</f>
        <v>no</v>
      </c>
      <c r="ET700" s="264" t="s">
        <v>3406</v>
      </c>
    </row>
    <row r="701" spans="1:150" ht="15" hidden="1" customHeight="1">
      <c r="A701" s="1" t="s">
        <v>1635</v>
      </c>
      <c r="B701" t="s">
        <v>1636</v>
      </c>
      <c r="C701" t="s">
        <v>1637</v>
      </c>
      <c r="D701" t="s">
        <v>1638</v>
      </c>
      <c r="E701" t="s">
        <v>1639</v>
      </c>
      <c r="F701" t="s">
        <v>1640</v>
      </c>
      <c r="G701" t="s">
        <v>1641</v>
      </c>
      <c r="H701" t="s">
        <v>254</v>
      </c>
      <c r="I701">
        <v>2022</v>
      </c>
      <c r="J701">
        <v>0</v>
      </c>
      <c r="K701" t="s">
        <v>1642</v>
      </c>
      <c r="M701" t="str">
        <f t="shared" si="732"/>
        <v>Gregor_2022</v>
      </c>
      <c r="N701" t="s">
        <v>222</v>
      </c>
      <c r="O701" s="161" t="s">
        <v>223</v>
      </c>
      <c r="Q701" s="264" t="s">
        <v>389</v>
      </c>
      <c r="R701" s="269" t="s">
        <v>1153</v>
      </c>
      <c r="S701" s="154" t="s">
        <v>1643</v>
      </c>
      <c r="T701" s="294" t="s">
        <v>1653</v>
      </c>
      <c r="U701" s="264" t="s">
        <v>1645</v>
      </c>
      <c r="V701">
        <v>0</v>
      </c>
      <c r="W701">
        <v>0</v>
      </c>
      <c r="X701">
        <v>0</v>
      </c>
      <c r="Y701">
        <v>0</v>
      </c>
      <c r="Z701">
        <v>1</v>
      </c>
      <c r="AA701">
        <v>0</v>
      </c>
      <c r="AB701">
        <v>0</v>
      </c>
      <c r="AC701">
        <v>0</v>
      </c>
      <c r="AD701">
        <v>0</v>
      </c>
      <c r="AE701">
        <v>0</v>
      </c>
      <c r="AF701">
        <v>2</v>
      </c>
      <c r="AG701">
        <v>0</v>
      </c>
      <c r="AH701">
        <v>0</v>
      </c>
      <c r="AI701">
        <v>0</v>
      </c>
      <c r="AJ701">
        <v>0</v>
      </c>
      <c r="AK701">
        <v>0</v>
      </c>
      <c r="AL701">
        <v>0</v>
      </c>
      <c r="AM701">
        <v>0</v>
      </c>
      <c r="AN701">
        <v>2</v>
      </c>
      <c r="AO701">
        <v>2</v>
      </c>
      <c r="AP701">
        <v>2</v>
      </c>
      <c r="AQ701">
        <v>2</v>
      </c>
      <c r="AR701">
        <v>0</v>
      </c>
      <c r="AS701">
        <v>0</v>
      </c>
      <c r="AT701">
        <v>0</v>
      </c>
      <c r="AU701">
        <v>0</v>
      </c>
      <c r="AV701">
        <v>0</v>
      </c>
      <c r="AW701">
        <v>0</v>
      </c>
      <c r="AX701" s="141">
        <f t="shared" si="784"/>
        <v>6</v>
      </c>
      <c r="AY701" s="141">
        <f t="shared" si="785"/>
        <v>2</v>
      </c>
      <c r="AZ701">
        <f t="shared" si="786"/>
        <v>1</v>
      </c>
      <c r="BA701">
        <f t="shared" si="787"/>
        <v>1</v>
      </c>
      <c r="BB701">
        <f t="shared" si="788"/>
        <v>0</v>
      </c>
      <c r="BC701">
        <f t="shared" si="789"/>
        <v>0</v>
      </c>
      <c r="BD701">
        <f t="shared" si="790"/>
        <v>4</v>
      </c>
      <c r="BE701" t="str" cm="1">
        <f t="array" ref="BE701">IF(AY701=1,INDEX($V$7:$AL$7,MATCH(TRUE,INDEX($V701:$AW701&lt;&gt;0,),0)),IF(AY701=0,INDEX($AM$7:$AW$7,MATCH(1,$AM701:$AW701,0)),IF(BF701="Multiple strategies","mixed drivers",IF(BF701="Supply chain","multiple supply","multiple silviculture"))))</f>
        <v>mixed drivers</v>
      </c>
      <c r="BF701" s="2" t="str" cm="1">
        <f t="array" ref="BF701">IF(COUNTIF(AZ701:BB701,"&lt;&gt;0")=1,INDEX($V$4:$AW$4,MATCH(TRUE,INDEX($V701:$AW701&lt;&gt;0,),0)),IF(COUNTIF(AZ701:BB701,"&lt;&gt;0")=0,INDEX($AM$4:$AW$4,MATCH(1,$AM701:$AW701,0)),"Multiple strategies"))</f>
        <v>Multiple strategies</v>
      </c>
      <c r="BG701" s="1" t="s">
        <v>321</v>
      </c>
      <c r="BH701" s="264" t="s">
        <v>1646</v>
      </c>
      <c r="BI701" s="264" t="s">
        <v>688</v>
      </c>
      <c r="BJ701" s="264" t="s">
        <v>1647</v>
      </c>
      <c r="BK701">
        <f>0.78*(2115-2020)</f>
        <v>74.100000000000009</v>
      </c>
      <c r="BL701">
        <f>2.99*(2115-2020)</f>
        <v>284.05</v>
      </c>
      <c r="BN701">
        <f t="shared" si="830"/>
        <v>209.95</v>
      </c>
      <c r="BO701">
        <f t="shared" si="831"/>
        <v>209.95</v>
      </c>
      <c r="BP701" s="264" t="s">
        <v>232</v>
      </c>
      <c r="BQ701" s="264" t="s">
        <v>1651</v>
      </c>
      <c r="BR701" s="264" t="s">
        <v>1649</v>
      </c>
      <c r="BS701" s="264">
        <f>10.1*10000</f>
        <v>101000</v>
      </c>
      <c r="BT701" s="264">
        <f>9.8*10000</f>
        <v>98000</v>
      </c>
      <c r="BV701">
        <f t="shared" si="823"/>
        <v>-3000</v>
      </c>
      <c r="BX701">
        <f t="shared" si="832"/>
        <v>-11.01</v>
      </c>
      <c r="BY701">
        <f t="shared" si="820"/>
        <v>-5.2441057394617768E-2</v>
      </c>
      <c r="BZ701">
        <v>0</v>
      </c>
      <c r="CA701">
        <v>0</v>
      </c>
      <c r="CB701">
        <v>0</v>
      </c>
      <c r="CC701">
        <v>0</v>
      </c>
      <c r="CD701">
        <v>0</v>
      </c>
      <c r="CE701">
        <v>0</v>
      </c>
      <c r="CF701">
        <v>0</v>
      </c>
      <c r="CG701">
        <v>0</v>
      </c>
      <c r="CH701">
        <v>0</v>
      </c>
      <c r="CI701">
        <v>0</v>
      </c>
      <c r="CJ701">
        <v>0</v>
      </c>
      <c r="CK701">
        <v>0</v>
      </c>
      <c r="CL701">
        <v>0</v>
      </c>
      <c r="CM701">
        <v>0</v>
      </c>
      <c r="CN701" t="str">
        <f t="shared" si="825"/>
        <v>refOK</v>
      </c>
      <c r="CO701">
        <f t="shared" si="833"/>
        <v>74.100000000000009</v>
      </c>
      <c r="CP701">
        <f t="shared" si="834"/>
        <v>284.05</v>
      </c>
      <c r="CQ701">
        <f t="shared" si="835"/>
        <v>209.95</v>
      </c>
      <c r="CR701">
        <f t="shared" si="798"/>
        <v>101000</v>
      </c>
      <c r="CS701">
        <f t="shared" si="799"/>
        <v>98000</v>
      </c>
      <c r="CT701">
        <f t="shared" si="800"/>
        <v>-11.01</v>
      </c>
      <c r="CU701">
        <f t="shared" si="801"/>
        <v>-5.2441057394617768E-2</v>
      </c>
      <c r="CV701" s="2">
        <f t="shared" si="802"/>
        <v>-2.9702970297029702E-2</v>
      </c>
      <c r="CW701" s="162" t="s">
        <v>1461</v>
      </c>
      <c r="CX701" s="264" t="str">
        <f t="shared" si="803"/>
        <v>reg</v>
      </c>
      <c r="CY701" s="155" t="s">
        <v>743</v>
      </c>
      <c r="CZ701">
        <v>2010</v>
      </c>
      <c r="DA701">
        <v>2115</v>
      </c>
      <c r="DB701">
        <f t="shared" si="826"/>
        <v>105</v>
      </c>
      <c r="DC701" t="str">
        <f t="shared" si="804"/>
        <v>+100</v>
      </c>
      <c r="DD701">
        <v>0</v>
      </c>
      <c r="DE701">
        <v>1</v>
      </c>
      <c r="DF701">
        <v>1</v>
      </c>
      <c r="DG701">
        <v>1</v>
      </c>
      <c r="DH701">
        <v>0</v>
      </c>
      <c r="DI701">
        <f t="shared" si="836"/>
        <v>3</v>
      </c>
      <c r="DJ701" t="str">
        <f t="shared" si="806"/>
        <v>mixedProduct</v>
      </c>
      <c r="DK701">
        <f t="shared" si="807"/>
        <v>0</v>
      </c>
      <c r="DL701" t="str">
        <f t="shared" si="808"/>
        <v>Energy</v>
      </c>
      <c r="DM701" t="str">
        <f t="shared" si="809"/>
        <v>Pulp/Paper</v>
      </c>
      <c r="DN701" t="str">
        <f t="shared" si="810"/>
        <v>Timber</v>
      </c>
      <c r="DO701">
        <v>0</v>
      </c>
      <c r="DP701">
        <v>1</v>
      </c>
      <c r="DQ701" s="264" t="s">
        <v>1650</v>
      </c>
      <c r="DR701" s="264" t="s">
        <v>1650</v>
      </c>
      <c r="DS701" s="264" t="s">
        <v>1650</v>
      </c>
      <c r="DT701">
        <f t="shared" si="811"/>
        <v>1</v>
      </c>
      <c r="DU701" s="143" t="str">
        <f t="shared" si="812"/>
        <v>external DF used</v>
      </c>
      <c r="DV701">
        <v>1</v>
      </c>
      <c r="DW701">
        <v>1</v>
      </c>
      <c r="DX701">
        <v>1</v>
      </c>
      <c r="DY701">
        <v>1</v>
      </c>
      <c r="DZ701">
        <v>0</v>
      </c>
      <c r="EA701">
        <v>0</v>
      </c>
      <c r="EB701">
        <v>0</v>
      </c>
      <c r="EC701">
        <v>0</v>
      </c>
      <c r="ED701">
        <v>0</v>
      </c>
      <c r="EE701">
        <v>0</v>
      </c>
      <c r="EF701">
        <v>1</v>
      </c>
      <c r="EG701">
        <v>0</v>
      </c>
      <c r="EH701">
        <v>1</v>
      </c>
      <c r="EI701" s="2">
        <v>0</v>
      </c>
      <c r="EK701" t="str">
        <f t="shared" si="837"/>
        <v/>
      </c>
      <c r="EL701" t="str">
        <f t="shared" si="838"/>
        <v>Ecosystem approach</v>
      </c>
      <c r="EM701" s="2" t="str">
        <f t="shared" si="821"/>
        <v/>
      </c>
      <c r="EP701" t="str">
        <f>IF(ISNUMBER(BU701),IF(ABS(BU701-[4]QC_indicators!$B$2)&gt;3*[4]QC_indicators!$C$2,"C ratio",IF(ISNUMBER(BY701),IF(ABS(BY701-[4]QC_indicators!$B$1)&gt;3*[4]QC_indicators!$C$1,"DF","no"))),IF(ISNUMBER(BY701),IF(ABS(BY701-[4]QC_indicators!$B$1)&gt;3*[4]QC_indicators!$C$1,"DF","no")))</f>
        <v>no</v>
      </c>
      <c r="ET701" s="264" t="s">
        <v>3406</v>
      </c>
    </row>
    <row r="702" spans="1:150" ht="15" hidden="1" customHeight="1">
      <c r="A702" s="1" t="s">
        <v>1635</v>
      </c>
      <c r="B702" t="s">
        <v>1636</v>
      </c>
      <c r="C702" t="s">
        <v>1637</v>
      </c>
      <c r="D702" t="s">
        <v>1638</v>
      </c>
      <c r="E702" t="s">
        <v>1639</v>
      </c>
      <c r="F702" t="s">
        <v>1640</v>
      </c>
      <c r="G702" t="s">
        <v>1641</v>
      </c>
      <c r="H702" t="s">
        <v>254</v>
      </c>
      <c r="I702">
        <v>2022</v>
      </c>
      <c r="J702">
        <v>0</v>
      </c>
      <c r="K702" t="s">
        <v>1642</v>
      </c>
      <c r="M702" t="str">
        <f t="shared" si="732"/>
        <v>Gregor_2022</v>
      </c>
      <c r="N702" t="s">
        <v>222</v>
      </c>
      <c r="O702" s="161" t="s">
        <v>223</v>
      </c>
      <c r="Q702" s="264" t="s">
        <v>389</v>
      </c>
      <c r="R702" s="269" t="s">
        <v>1153</v>
      </c>
      <c r="S702" s="154" t="s">
        <v>1643</v>
      </c>
      <c r="T702" s="149" t="s">
        <v>1644</v>
      </c>
      <c r="U702" s="264" t="s">
        <v>1645</v>
      </c>
      <c r="V702">
        <v>1</v>
      </c>
      <c r="W702">
        <v>0</v>
      </c>
      <c r="X702">
        <v>0</v>
      </c>
      <c r="Y702">
        <v>0</v>
      </c>
      <c r="Z702">
        <v>0</v>
      </c>
      <c r="AA702">
        <v>0</v>
      </c>
      <c r="AB702">
        <v>0</v>
      </c>
      <c r="AC702">
        <v>0</v>
      </c>
      <c r="AD702">
        <v>0</v>
      </c>
      <c r="AE702">
        <v>0</v>
      </c>
      <c r="AF702">
        <v>0</v>
      </c>
      <c r="AG702">
        <v>0</v>
      </c>
      <c r="AH702">
        <v>0</v>
      </c>
      <c r="AI702">
        <v>0</v>
      </c>
      <c r="AJ702">
        <v>0</v>
      </c>
      <c r="AK702">
        <v>0</v>
      </c>
      <c r="AL702">
        <v>0</v>
      </c>
      <c r="AM702">
        <v>0</v>
      </c>
      <c r="AN702">
        <v>2</v>
      </c>
      <c r="AO702">
        <v>2</v>
      </c>
      <c r="AP702">
        <v>2</v>
      </c>
      <c r="AQ702">
        <v>2</v>
      </c>
      <c r="AR702">
        <v>0</v>
      </c>
      <c r="AS702">
        <v>0</v>
      </c>
      <c r="AT702">
        <v>0</v>
      </c>
      <c r="AU702">
        <v>0</v>
      </c>
      <c r="AV702">
        <v>0</v>
      </c>
      <c r="AW702">
        <v>0</v>
      </c>
      <c r="AX702" s="141">
        <f t="shared" si="784"/>
        <v>5</v>
      </c>
      <c r="AY702" s="141">
        <f t="shared" si="785"/>
        <v>1</v>
      </c>
      <c r="AZ702">
        <f t="shared" si="786"/>
        <v>1</v>
      </c>
      <c r="BA702">
        <f t="shared" si="787"/>
        <v>0</v>
      </c>
      <c r="BB702">
        <f t="shared" si="788"/>
        <v>0</v>
      </c>
      <c r="BC702">
        <f t="shared" si="789"/>
        <v>0</v>
      </c>
      <c r="BD702">
        <f t="shared" si="790"/>
        <v>4</v>
      </c>
      <c r="BE702" t="str" cm="1">
        <f t="array" ref="BE702">IF(AY702=1,INDEX($V$7:$AL$7,MATCH(TRUE,INDEX($V702:$AW702&lt;&gt;0,),0)),IF(AY702=0,INDEX($AM$7:$AW$7,MATCH(1,$AM702:$AW702,0)),IF(BF702="Multiple strategies","mixed drivers",IF(BF702="Supply chain","multiple supply","multiple silviculture"))))</f>
        <v>area subject to harvest</v>
      </c>
      <c r="BF702" s="2" t="str" cm="1">
        <f t="array" ref="BF702">IF(COUNTIF(AZ702:BB702,"&lt;&gt;0")=1,INDEX($V$4:$AW$4,MATCH(TRUE,INDEX($V702:$AW702&lt;&gt;0,),0)),IF(COUNTIF(AZ702:BB702,"&lt;&gt;0")=0,INDEX($AM$4:$AW$4,MATCH(1,$AM702:$AW702,0)),"Multiple strategies"))</f>
        <v>Silviculture for removals</v>
      </c>
      <c r="BG702" s="1" t="s">
        <v>321</v>
      </c>
      <c r="BH702" s="264" t="s">
        <v>1646</v>
      </c>
      <c r="BI702" s="264" t="s">
        <v>688</v>
      </c>
      <c r="BJ702" s="264" t="s">
        <v>1647</v>
      </c>
      <c r="BK702">
        <f>0.08*(2115-2020)</f>
        <v>7.6000000000000005</v>
      </c>
      <c r="BL702">
        <f>2.99*(2115-2020)</f>
        <v>284.05</v>
      </c>
      <c r="BN702">
        <f t="shared" si="830"/>
        <v>276.45</v>
      </c>
      <c r="BO702">
        <f t="shared" si="831"/>
        <v>276.45</v>
      </c>
      <c r="BP702" s="264" t="s">
        <v>232</v>
      </c>
      <c r="BQ702" s="264" t="s">
        <v>1648</v>
      </c>
      <c r="BR702" s="264" t="s">
        <v>1649</v>
      </c>
      <c r="BS702" s="264">
        <f>1.8*10000</f>
        <v>18000</v>
      </c>
      <c r="BT702" s="264">
        <f>1.7*10000</f>
        <v>17000</v>
      </c>
      <c r="BV702">
        <f t="shared" si="823"/>
        <v>-1000</v>
      </c>
      <c r="BX702">
        <f t="shared" si="832"/>
        <v>-3.67</v>
      </c>
      <c r="BY702">
        <f t="shared" si="820"/>
        <v>-1.3275456682944475E-2</v>
      </c>
      <c r="BZ702">
        <v>0</v>
      </c>
      <c r="CA702">
        <v>0</v>
      </c>
      <c r="CB702">
        <v>0</v>
      </c>
      <c r="CC702">
        <v>0</v>
      </c>
      <c r="CD702">
        <v>0</v>
      </c>
      <c r="CE702">
        <v>0</v>
      </c>
      <c r="CF702">
        <v>0</v>
      </c>
      <c r="CG702">
        <v>0</v>
      </c>
      <c r="CH702">
        <v>0</v>
      </c>
      <c r="CI702">
        <v>0</v>
      </c>
      <c r="CJ702">
        <v>0</v>
      </c>
      <c r="CK702">
        <v>0</v>
      </c>
      <c r="CL702">
        <v>0</v>
      </c>
      <c r="CM702">
        <v>0</v>
      </c>
      <c r="CN702" t="str">
        <f t="shared" si="825"/>
        <v>refOK</v>
      </c>
      <c r="CO702">
        <f t="shared" si="833"/>
        <v>7.6000000000000005</v>
      </c>
      <c r="CP702">
        <f t="shared" si="834"/>
        <v>284.05</v>
      </c>
      <c r="CQ702">
        <f t="shared" si="835"/>
        <v>276.45</v>
      </c>
      <c r="CR702">
        <f t="shared" si="798"/>
        <v>18000</v>
      </c>
      <c r="CS702">
        <f t="shared" si="799"/>
        <v>17000</v>
      </c>
      <c r="CT702">
        <f t="shared" si="800"/>
        <v>-3.67</v>
      </c>
      <c r="CU702">
        <f t="shared" si="801"/>
        <v>-1.3275456682944475E-2</v>
      </c>
      <c r="CV702" s="2">
        <f t="shared" si="802"/>
        <v>-5.5555555555555552E-2</v>
      </c>
      <c r="CW702" s="162" t="s">
        <v>1461</v>
      </c>
      <c r="CX702" s="264" t="str">
        <f t="shared" si="803"/>
        <v>reg</v>
      </c>
      <c r="CY702" s="155" t="s">
        <v>743</v>
      </c>
      <c r="CZ702">
        <v>2010</v>
      </c>
      <c r="DA702">
        <v>2115</v>
      </c>
      <c r="DB702">
        <f t="shared" si="826"/>
        <v>105</v>
      </c>
      <c r="DC702" t="str">
        <f t="shared" si="804"/>
        <v>+100</v>
      </c>
      <c r="DD702">
        <v>0</v>
      </c>
      <c r="DE702">
        <v>1</v>
      </c>
      <c r="DF702">
        <v>1</v>
      </c>
      <c r="DG702">
        <v>1</v>
      </c>
      <c r="DH702">
        <v>0</v>
      </c>
      <c r="DI702">
        <f t="shared" si="836"/>
        <v>3</v>
      </c>
      <c r="DJ702" t="str">
        <f t="shared" si="806"/>
        <v>mixedProduct</v>
      </c>
      <c r="DK702">
        <f t="shared" si="807"/>
        <v>0</v>
      </c>
      <c r="DL702" t="str">
        <f t="shared" si="808"/>
        <v>Energy</v>
      </c>
      <c r="DM702" t="str">
        <f t="shared" si="809"/>
        <v>Pulp/Paper</v>
      </c>
      <c r="DN702" t="str">
        <f t="shared" si="810"/>
        <v>Timber</v>
      </c>
      <c r="DO702">
        <v>0</v>
      </c>
      <c r="DP702">
        <v>1</v>
      </c>
      <c r="DQ702" s="264" t="s">
        <v>1650</v>
      </c>
      <c r="DR702" s="264" t="s">
        <v>1650</v>
      </c>
      <c r="DS702" s="264" t="s">
        <v>1650</v>
      </c>
      <c r="DT702">
        <f t="shared" si="811"/>
        <v>1</v>
      </c>
      <c r="DU702" s="143" t="str">
        <f t="shared" si="812"/>
        <v>external DF used</v>
      </c>
      <c r="DV702">
        <v>1</v>
      </c>
      <c r="DW702">
        <v>1</v>
      </c>
      <c r="DX702">
        <v>1</v>
      </c>
      <c r="DY702">
        <v>1</v>
      </c>
      <c r="DZ702">
        <v>1</v>
      </c>
      <c r="EA702">
        <v>1</v>
      </c>
      <c r="EB702">
        <v>1</v>
      </c>
      <c r="EC702">
        <v>1</v>
      </c>
      <c r="ED702">
        <v>0</v>
      </c>
      <c r="EE702">
        <v>0</v>
      </c>
      <c r="EF702">
        <v>1</v>
      </c>
      <c r="EG702">
        <v>0</v>
      </c>
      <c r="EH702">
        <v>1</v>
      </c>
      <c r="EI702" s="2">
        <v>0</v>
      </c>
      <c r="EK702" t="str">
        <f t="shared" si="837"/>
        <v>Whole sector</v>
      </c>
      <c r="EL702" t="str">
        <f t="shared" si="838"/>
        <v/>
      </c>
      <c r="EM702" s="2" t="str">
        <f t="shared" si="821"/>
        <v/>
      </c>
      <c r="EP702" t="str">
        <f>IF(ISNUMBER(BU702),IF(ABS(BU702-[4]QC_indicators!$B$2)&gt;3*[4]QC_indicators!$C$2,"C ratio",IF(ISNUMBER(BY702),IF(ABS(BY702-[4]QC_indicators!$B$1)&gt;3*[4]QC_indicators!$C$1,"DF","no"))),IF(ISNUMBER(BY702),IF(ABS(BY702-[4]QC_indicators!$B$1)&gt;3*[4]QC_indicators!$C$1,"DF","no")))</f>
        <v>no</v>
      </c>
      <c r="ET702" s="264" t="s">
        <v>3406</v>
      </c>
    </row>
    <row r="703" spans="1:150" ht="15" hidden="1" customHeight="1">
      <c r="A703" s="1" t="s">
        <v>1635</v>
      </c>
      <c r="B703" t="s">
        <v>1636</v>
      </c>
      <c r="C703" t="s">
        <v>1637</v>
      </c>
      <c r="D703" t="s">
        <v>1638</v>
      </c>
      <c r="E703" t="s">
        <v>1639</v>
      </c>
      <c r="F703" t="s">
        <v>1640</v>
      </c>
      <c r="G703" t="s">
        <v>1641</v>
      </c>
      <c r="H703" t="s">
        <v>254</v>
      </c>
      <c r="I703">
        <v>2022</v>
      </c>
      <c r="J703">
        <v>0</v>
      </c>
      <c r="K703" t="s">
        <v>1642</v>
      </c>
      <c r="M703" t="str">
        <f t="shared" si="732"/>
        <v>Gregor_2022</v>
      </c>
      <c r="N703" t="s">
        <v>222</v>
      </c>
      <c r="O703" s="161" t="s">
        <v>223</v>
      </c>
      <c r="Q703" s="264" t="s">
        <v>389</v>
      </c>
      <c r="R703" s="269" t="s">
        <v>1153</v>
      </c>
      <c r="S703" s="154" t="s">
        <v>1643</v>
      </c>
      <c r="T703" s="294" t="s">
        <v>1645</v>
      </c>
      <c r="U703" s="264" t="s">
        <v>1652</v>
      </c>
      <c r="V703">
        <v>0</v>
      </c>
      <c r="W703">
        <v>0</v>
      </c>
      <c r="X703">
        <v>0</v>
      </c>
      <c r="Y703">
        <v>0</v>
      </c>
      <c r="Z703">
        <v>1</v>
      </c>
      <c r="AA703">
        <v>0</v>
      </c>
      <c r="AB703">
        <v>0</v>
      </c>
      <c r="AC703">
        <v>0</v>
      </c>
      <c r="AD703">
        <v>0</v>
      </c>
      <c r="AE703">
        <v>0</v>
      </c>
      <c r="AF703">
        <v>2</v>
      </c>
      <c r="AG703">
        <v>0</v>
      </c>
      <c r="AH703">
        <v>0</v>
      </c>
      <c r="AI703">
        <v>0</v>
      </c>
      <c r="AJ703">
        <v>0</v>
      </c>
      <c r="AK703">
        <v>0</v>
      </c>
      <c r="AL703">
        <v>0</v>
      </c>
      <c r="AM703">
        <v>0</v>
      </c>
      <c r="AN703">
        <v>2</v>
      </c>
      <c r="AO703">
        <v>2</v>
      </c>
      <c r="AP703">
        <v>2</v>
      </c>
      <c r="AQ703">
        <v>2</v>
      </c>
      <c r="AR703">
        <v>0</v>
      </c>
      <c r="AS703">
        <v>0</v>
      </c>
      <c r="AT703">
        <v>0</v>
      </c>
      <c r="AU703">
        <v>0</v>
      </c>
      <c r="AV703">
        <v>0</v>
      </c>
      <c r="AW703">
        <v>0</v>
      </c>
      <c r="AX703" s="141">
        <f t="shared" si="784"/>
        <v>6</v>
      </c>
      <c r="AY703" s="141">
        <f t="shared" si="785"/>
        <v>2</v>
      </c>
      <c r="AZ703">
        <f t="shared" si="786"/>
        <v>1</v>
      </c>
      <c r="BA703">
        <f t="shared" si="787"/>
        <v>1</v>
      </c>
      <c r="BB703">
        <f t="shared" si="788"/>
        <v>0</v>
      </c>
      <c r="BC703">
        <f t="shared" si="789"/>
        <v>0</v>
      </c>
      <c r="BD703">
        <f t="shared" si="790"/>
        <v>4</v>
      </c>
      <c r="BE703" t="str" cm="1">
        <f t="array" ref="BE703">IF(AY703=1,INDEX($V$7:$AL$7,MATCH(TRUE,INDEX($V703:$AW703&lt;&gt;0,),0)),IF(AY703=0,INDEX($AM$7:$AW$7,MATCH(1,$AM703:$AW703,0)),IF(BF703="Multiple strategies","mixed drivers",IF(BF703="Supply chain","multiple supply","multiple silviculture"))))</f>
        <v>mixed drivers</v>
      </c>
      <c r="BF703" s="2" t="str" cm="1">
        <f t="array" ref="BF703">IF(COUNTIF(AZ703:BB703,"&lt;&gt;0")=1,INDEX($V$4:$AW$4,MATCH(TRUE,INDEX($V703:$AW703&lt;&gt;0,),0)),IF(COUNTIF(AZ703:BB703,"&lt;&gt;0")=0,INDEX($AM$4:$AW$4,MATCH(1,$AM703:$AW703,0)),"Multiple strategies"))</f>
        <v>Multiple strategies</v>
      </c>
      <c r="BG703" s="1" t="s">
        <v>321</v>
      </c>
      <c r="BH703" s="264" t="s">
        <v>1646</v>
      </c>
      <c r="BI703" s="264" t="s">
        <v>688</v>
      </c>
      <c r="BJ703" s="264" t="s">
        <v>1647</v>
      </c>
      <c r="BK703">
        <f>2.99*(2115-2020)</f>
        <v>284.05</v>
      </c>
      <c r="BL703">
        <f>3.2*(2115-2020)</f>
        <v>304</v>
      </c>
      <c r="BN703">
        <f t="shared" si="830"/>
        <v>19.949999999999989</v>
      </c>
      <c r="BO703">
        <f t="shared" si="831"/>
        <v>19.949999999999989</v>
      </c>
      <c r="BP703" s="264" t="s">
        <v>232</v>
      </c>
      <c r="BQ703" s="264" t="s">
        <v>1648</v>
      </c>
      <c r="BR703" s="264" t="s">
        <v>1649</v>
      </c>
      <c r="BS703" s="264">
        <f>1.7*10000</f>
        <v>17000</v>
      </c>
      <c r="BT703" s="264">
        <f>1.7*10000</f>
        <v>17000</v>
      </c>
      <c r="BV703">
        <f t="shared" si="823"/>
        <v>0</v>
      </c>
      <c r="BX703">
        <f t="shared" si="832"/>
        <v>0</v>
      </c>
      <c r="BY703">
        <f t="shared" si="820"/>
        <v>0</v>
      </c>
      <c r="BZ703">
        <v>0</v>
      </c>
      <c r="CA703">
        <v>0</v>
      </c>
      <c r="CB703">
        <v>0</v>
      </c>
      <c r="CC703">
        <v>0</v>
      </c>
      <c r="CD703">
        <v>0</v>
      </c>
      <c r="CE703">
        <v>0</v>
      </c>
      <c r="CF703">
        <v>0</v>
      </c>
      <c r="CG703">
        <v>0</v>
      </c>
      <c r="CH703">
        <v>0</v>
      </c>
      <c r="CI703">
        <v>0</v>
      </c>
      <c r="CJ703">
        <v>0</v>
      </c>
      <c r="CK703">
        <v>0</v>
      </c>
      <c r="CL703">
        <v>0</v>
      </c>
      <c r="CM703">
        <v>0</v>
      </c>
      <c r="CN703" t="str">
        <f t="shared" si="825"/>
        <v>refOK</v>
      </c>
      <c r="CO703">
        <f t="shared" si="833"/>
        <v>284.05</v>
      </c>
      <c r="CP703">
        <f t="shared" si="834"/>
        <v>304</v>
      </c>
      <c r="CQ703">
        <f t="shared" si="835"/>
        <v>19.949999999999989</v>
      </c>
      <c r="CR703">
        <f t="shared" si="798"/>
        <v>17000</v>
      </c>
      <c r="CS703">
        <f t="shared" si="799"/>
        <v>17000</v>
      </c>
      <c r="CT703">
        <f t="shared" si="800"/>
        <v>0</v>
      </c>
      <c r="CU703">
        <f t="shared" si="801"/>
        <v>0</v>
      </c>
      <c r="CV703" s="2">
        <f t="shared" si="802"/>
        <v>0</v>
      </c>
      <c r="CW703" s="162" t="s">
        <v>1461</v>
      </c>
      <c r="CX703" s="264" t="str">
        <f t="shared" si="803"/>
        <v>reg</v>
      </c>
      <c r="CY703" s="155" t="s">
        <v>743</v>
      </c>
      <c r="CZ703">
        <v>2010</v>
      </c>
      <c r="DA703">
        <v>2115</v>
      </c>
      <c r="DB703">
        <f t="shared" si="826"/>
        <v>105</v>
      </c>
      <c r="DC703" t="str">
        <f t="shared" si="804"/>
        <v>+100</v>
      </c>
      <c r="DD703">
        <v>0</v>
      </c>
      <c r="DE703">
        <v>1</v>
      </c>
      <c r="DF703">
        <v>1</v>
      </c>
      <c r="DG703">
        <v>1</v>
      </c>
      <c r="DH703">
        <v>0</v>
      </c>
      <c r="DI703">
        <f t="shared" si="836"/>
        <v>3</v>
      </c>
      <c r="DJ703" t="str">
        <f t="shared" si="806"/>
        <v>mixedProduct</v>
      </c>
      <c r="DK703">
        <f t="shared" si="807"/>
        <v>0</v>
      </c>
      <c r="DL703" t="str">
        <f t="shared" si="808"/>
        <v>Energy</v>
      </c>
      <c r="DM703" t="str">
        <f t="shared" si="809"/>
        <v>Pulp/Paper</v>
      </c>
      <c r="DN703" t="str">
        <f t="shared" si="810"/>
        <v>Timber</v>
      </c>
      <c r="DO703">
        <v>0</v>
      </c>
      <c r="DP703">
        <v>1</v>
      </c>
      <c r="DQ703" s="264" t="s">
        <v>1650</v>
      </c>
      <c r="DR703" s="264" t="s">
        <v>1650</v>
      </c>
      <c r="DS703" s="264" t="s">
        <v>1650</v>
      </c>
      <c r="DT703">
        <f t="shared" si="811"/>
        <v>1</v>
      </c>
      <c r="DU703" s="143" t="str">
        <f t="shared" si="812"/>
        <v>external DF used</v>
      </c>
      <c r="DV703">
        <v>1</v>
      </c>
      <c r="DW703">
        <v>1</v>
      </c>
      <c r="DX703">
        <v>1</v>
      </c>
      <c r="DY703">
        <v>1</v>
      </c>
      <c r="DZ703">
        <v>1</v>
      </c>
      <c r="EA703">
        <v>1</v>
      </c>
      <c r="EB703">
        <v>1</v>
      </c>
      <c r="EC703">
        <v>1</v>
      </c>
      <c r="ED703">
        <v>0</v>
      </c>
      <c r="EE703">
        <v>0</v>
      </c>
      <c r="EF703">
        <v>1</v>
      </c>
      <c r="EG703">
        <v>0</v>
      </c>
      <c r="EH703">
        <v>1</v>
      </c>
      <c r="EI703" s="2">
        <v>0</v>
      </c>
      <c r="EK703" t="str">
        <f t="shared" si="837"/>
        <v>Whole sector</v>
      </c>
      <c r="EL703" t="str">
        <f t="shared" si="838"/>
        <v/>
      </c>
      <c r="EM703" s="2" t="str">
        <f t="shared" si="821"/>
        <v/>
      </c>
      <c r="EP703" t="str">
        <f>IF(ISNUMBER(BU703),IF(ABS(BU703-[4]QC_indicators!$B$2)&gt;3*[4]QC_indicators!$C$2,"C ratio",IF(ISNUMBER(BY703),IF(ABS(BY703-[4]QC_indicators!$B$1)&gt;3*[4]QC_indicators!$C$1,"DF","no"))),IF(ISNUMBER(BY703),IF(ABS(BY703-[4]QC_indicators!$B$1)&gt;3*[4]QC_indicators!$C$1,"DF","no")))</f>
        <v>no</v>
      </c>
      <c r="ET703" s="264" t="s">
        <v>3406</v>
      </c>
    </row>
    <row r="704" spans="1:150" ht="15" hidden="1" customHeight="1">
      <c r="A704" s="1" t="s">
        <v>1635</v>
      </c>
      <c r="B704" t="s">
        <v>1636</v>
      </c>
      <c r="C704" t="s">
        <v>1637</v>
      </c>
      <c r="D704" t="s">
        <v>1638</v>
      </c>
      <c r="E704" t="s">
        <v>1639</v>
      </c>
      <c r="F704" t="s">
        <v>1640</v>
      </c>
      <c r="G704" t="s">
        <v>1641</v>
      </c>
      <c r="H704" t="s">
        <v>254</v>
      </c>
      <c r="I704">
        <v>2022</v>
      </c>
      <c r="J704">
        <v>0</v>
      </c>
      <c r="K704" t="s">
        <v>1642</v>
      </c>
      <c r="M704" t="str">
        <f t="shared" si="732"/>
        <v>Gregor_2022</v>
      </c>
      <c r="N704" t="s">
        <v>222</v>
      </c>
      <c r="O704" s="161" t="s">
        <v>223</v>
      </c>
      <c r="Q704" s="264" t="s">
        <v>389</v>
      </c>
      <c r="R704" s="269" t="s">
        <v>1153</v>
      </c>
      <c r="S704" s="154" t="s">
        <v>1643</v>
      </c>
      <c r="T704" s="294" t="s">
        <v>1654</v>
      </c>
      <c r="U704" s="264" t="s">
        <v>1655</v>
      </c>
      <c r="V704">
        <v>0</v>
      </c>
      <c r="W704">
        <v>0</v>
      </c>
      <c r="X704">
        <v>0</v>
      </c>
      <c r="Y704">
        <v>0</v>
      </c>
      <c r="Z704">
        <v>0</v>
      </c>
      <c r="AA704">
        <v>0</v>
      </c>
      <c r="AB704">
        <v>0</v>
      </c>
      <c r="AC704">
        <v>0</v>
      </c>
      <c r="AD704">
        <v>0</v>
      </c>
      <c r="AE704">
        <v>0</v>
      </c>
      <c r="AF704">
        <v>0</v>
      </c>
      <c r="AG704">
        <v>0</v>
      </c>
      <c r="AH704">
        <v>0</v>
      </c>
      <c r="AI704">
        <v>0</v>
      </c>
      <c r="AJ704">
        <v>0</v>
      </c>
      <c r="AK704">
        <v>0</v>
      </c>
      <c r="AL704">
        <v>0</v>
      </c>
      <c r="AM704">
        <v>0</v>
      </c>
      <c r="AN704">
        <v>1</v>
      </c>
      <c r="AO704">
        <v>2</v>
      </c>
      <c r="AP704">
        <v>2</v>
      </c>
      <c r="AQ704">
        <v>2</v>
      </c>
      <c r="AR704">
        <v>0</v>
      </c>
      <c r="AS704">
        <v>0</v>
      </c>
      <c r="AT704">
        <v>0</v>
      </c>
      <c r="AU704">
        <v>0</v>
      </c>
      <c r="AV704">
        <v>0</v>
      </c>
      <c r="AW704">
        <v>0</v>
      </c>
      <c r="AX704" s="141">
        <f t="shared" si="784"/>
        <v>4</v>
      </c>
      <c r="AY704">
        <f t="shared" si="785"/>
        <v>0</v>
      </c>
      <c r="AZ704">
        <f t="shared" si="786"/>
        <v>0</v>
      </c>
      <c r="BA704">
        <f t="shared" si="787"/>
        <v>0</v>
      </c>
      <c r="BB704">
        <f t="shared" si="788"/>
        <v>0</v>
      </c>
      <c r="BC704">
        <f t="shared" si="789"/>
        <v>0</v>
      </c>
      <c r="BD704">
        <f t="shared" si="790"/>
        <v>4</v>
      </c>
      <c r="BE704" t="str" cm="1">
        <f t="array" ref="BE704">IF(AY704=1,INDEX($V$7:$AL$7,MATCH(TRUE,INDEX($V704:$AW704&lt;&gt;0,),0)),IF(AY704=0,INDEX($AM$7:$AW$7,MATCH(1,$AM704:$AW704,0)),IF(BF704="Multiple strategies","mixed drivers",IF(BF704="Supply chain","multiple supply","multiple silviculture"))))</f>
        <v>Temperature</v>
      </c>
      <c r="BF704" s="2" t="str" cm="1">
        <f t="array" ref="BF704">IF(COUNTIF(AZ704:BB704,"&lt;&gt;0")=1,INDEX($V$4:$AW$4,MATCH(TRUE,INDEX($V704:$AW704&lt;&gt;0,),0)),IF(COUNTIF(AZ704:BB704,"&lt;&gt;0")=0,INDEX($AM$4:$AW$4,MATCH(1,$AM704:$AW704,0)),"Multiple strategies"))</f>
        <v>Environmental change</v>
      </c>
      <c r="BG704" s="1" t="s">
        <v>321</v>
      </c>
      <c r="BH704" s="264" t="s">
        <v>1646</v>
      </c>
      <c r="BI704" s="264" t="s">
        <v>1656</v>
      </c>
      <c r="BJ704" s="264" t="s">
        <v>1647</v>
      </c>
      <c r="BK704">
        <f>2.84*(2115-2020)</f>
        <v>269.8</v>
      </c>
      <c r="BL704">
        <f>3.25*(2115-2020)</f>
        <v>308.75</v>
      </c>
      <c r="BN704">
        <f t="shared" si="830"/>
        <v>38.949999999999989</v>
      </c>
      <c r="BO704">
        <f t="shared" si="831"/>
        <v>38.949999999999989</v>
      </c>
      <c r="BP704" s="264" t="s">
        <v>232</v>
      </c>
      <c r="BQ704" s="264" t="s">
        <v>1651</v>
      </c>
      <c r="BR704" s="264" t="s">
        <v>1649</v>
      </c>
      <c r="BS704" s="264">
        <f>9.8*10000</f>
        <v>98000</v>
      </c>
      <c r="BT704" s="264">
        <f>9.9*10000</f>
        <v>99000</v>
      </c>
      <c r="BV704">
        <f t="shared" si="823"/>
        <v>1000</v>
      </c>
      <c r="BX704">
        <f t="shared" si="832"/>
        <v>3.67</v>
      </c>
      <c r="BY704">
        <f t="shared" si="820"/>
        <v>9.4223363286264461E-2</v>
      </c>
      <c r="BZ704">
        <v>0</v>
      </c>
      <c r="CA704">
        <v>0</v>
      </c>
      <c r="CB704">
        <v>0</v>
      </c>
      <c r="CC704">
        <v>0</v>
      </c>
      <c r="CD704">
        <v>0</v>
      </c>
      <c r="CE704">
        <v>0</v>
      </c>
      <c r="CF704">
        <v>0</v>
      </c>
      <c r="CG704">
        <v>0</v>
      </c>
      <c r="CH704">
        <v>0</v>
      </c>
      <c r="CI704">
        <v>0</v>
      </c>
      <c r="CJ704">
        <v>0</v>
      </c>
      <c r="CK704">
        <v>0</v>
      </c>
      <c r="CL704">
        <v>0</v>
      </c>
      <c r="CM704">
        <v>0</v>
      </c>
      <c r="CN704" t="str">
        <f t="shared" si="825"/>
        <v>refOK</v>
      </c>
      <c r="CO704">
        <f t="shared" si="833"/>
        <v>269.8</v>
      </c>
      <c r="CP704">
        <f t="shared" si="834"/>
        <v>308.75</v>
      </c>
      <c r="CQ704">
        <f t="shared" si="835"/>
        <v>38.949999999999989</v>
      </c>
      <c r="CR704">
        <f t="shared" si="798"/>
        <v>98000</v>
      </c>
      <c r="CS704">
        <f t="shared" si="799"/>
        <v>99000</v>
      </c>
      <c r="CT704">
        <f t="shared" si="800"/>
        <v>3.67</v>
      </c>
      <c r="CU704">
        <f t="shared" si="801"/>
        <v>9.4223363286264461E-2</v>
      </c>
      <c r="CV704" s="2">
        <f t="shared" si="802"/>
        <v>1.020408163265306E-2</v>
      </c>
      <c r="CW704" s="162" t="s">
        <v>1461</v>
      </c>
      <c r="CX704" s="264" t="str">
        <f t="shared" si="803"/>
        <v>reg</v>
      </c>
      <c r="CY704" s="155" t="s">
        <v>743</v>
      </c>
      <c r="CZ704">
        <v>2010</v>
      </c>
      <c r="DA704">
        <v>2115</v>
      </c>
      <c r="DB704">
        <f t="shared" si="826"/>
        <v>105</v>
      </c>
      <c r="DC704" t="str">
        <f t="shared" si="804"/>
        <v>+100</v>
      </c>
      <c r="DD704">
        <v>0</v>
      </c>
      <c r="DE704">
        <v>1</v>
      </c>
      <c r="DF704">
        <v>1</v>
      </c>
      <c r="DG704">
        <v>1</v>
      </c>
      <c r="DH704">
        <v>0</v>
      </c>
      <c r="DI704">
        <f t="shared" si="836"/>
        <v>3</v>
      </c>
      <c r="DJ704" t="str">
        <f t="shared" si="806"/>
        <v>mixedProduct</v>
      </c>
      <c r="DK704">
        <f t="shared" si="807"/>
        <v>0</v>
      </c>
      <c r="DL704" t="str">
        <f t="shared" si="808"/>
        <v>Energy</v>
      </c>
      <c r="DM704" t="str">
        <f t="shared" si="809"/>
        <v>Pulp/Paper</v>
      </c>
      <c r="DN704" t="str">
        <f t="shared" si="810"/>
        <v>Timber</v>
      </c>
      <c r="DO704">
        <v>0</v>
      </c>
      <c r="DP704">
        <v>1</v>
      </c>
      <c r="DQ704" s="264" t="s">
        <v>1650</v>
      </c>
      <c r="DR704" s="264" t="s">
        <v>1650</v>
      </c>
      <c r="DS704" s="264" t="s">
        <v>1650</v>
      </c>
      <c r="DT704">
        <f t="shared" si="811"/>
        <v>1</v>
      </c>
      <c r="DU704" s="143" t="str">
        <f t="shared" si="812"/>
        <v>external DF used</v>
      </c>
      <c r="DV704">
        <v>1</v>
      </c>
      <c r="DW704">
        <v>1</v>
      </c>
      <c r="DX704">
        <v>1</v>
      </c>
      <c r="DY704">
        <v>1</v>
      </c>
      <c r="DZ704">
        <v>0</v>
      </c>
      <c r="EA704">
        <v>0</v>
      </c>
      <c r="EB704">
        <v>0</v>
      </c>
      <c r="EC704">
        <v>0</v>
      </c>
      <c r="ED704">
        <v>0</v>
      </c>
      <c r="EE704">
        <v>0</v>
      </c>
      <c r="EF704">
        <v>1</v>
      </c>
      <c r="EG704">
        <v>0</v>
      </c>
      <c r="EH704">
        <v>1</v>
      </c>
      <c r="EI704" s="2">
        <v>0</v>
      </c>
      <c r="EK704" t="str">
        <f t="shared" si="837"/>
        <v/>
      </c>
      <c r="EL704" t="str">
        <f t="shared" si="838"/>
        <v>Ecosystem approach</v>
      </c>
      <c r="EM704" s="2" t="str">
        <f t="shared" si="821"/>
        <v/>
      </c>
      <c r="EP704" t="str">
        <f>IF(ISNUMBER(BU704),IF(ABS(BU704-[4]QC_indicators!$B$2)&gt;3*[4]QC_indicators!$C$2,"C ratio",IF(ISNUMBER(BY704),IF(ABS(BY704-[4]QC_indicators!$B$1)&gt;3*[4]QC_indicators!$C$1,"DF","no"))),IF(ISNUMBER(BY704),IF(ABS(BY704-[4]QC_indicators!$B$1)&gt;3*[4]QC_indicators!$C$1,"DF","no")))</f>
        <v>no</v>
      </c>
      <c r="ET704" s="264" t="s">
        <v>3406</v>
      </c>
    </row>
    <row r="705" spans="1:150" ht="15" hidden="1" customHeight="1">
      <c r="A705" s="1" t="s">
        <v>1635</v>
      </c>
      <c r="B705" t="s">
        <v>1636</v>
      </c>
      <c r="C705" t="s">
        <v>1637</v>
      </c>
      <c r="D705" t="s">
        <v>1638</v>
      </c>
      <c r="E705" t="s">
        <v>1639</v>
      </c>
      <c r="F705" t="s">
        <v>1640</v>
      </c>
      <c r="G705" t="s">
        <v>1641</v>
      </c>
      <c r="H705" t="s">
        <v>254</v>
      </c>
      <c r="I705">
        <v>2022</v>
      </c>
      <c r="J705">
        <v>0</v>
      </c>
      <c r="K705" t="s">
        <v>1642</v>
      </c>
      <c r="M705" t="str">
        <f t="shared" ref="M705:M768" si="839">LEFT($D705,FIND(",",$D705)-1)&amp;"_"&amp;I705&amp;L705</f>
        <v>Gregor_2022</v>
      </c>
      <c r="N705" t="s">
        <v>222</v>
      </c>
      <c r="O705" s="161" t="s">
        <v>223</v>
      </c>
      <c r="Q705" s="264" t="s">
        <v>389</v>
      </c>
      <c r="R705" s="269" t="s">
        <v>1153</v>
      </c>
      <c r="S705" s="154" t="s">
        <v>1643</v>
      </c>
      <c r="T705" s="294" t="s">
        <v>1653</v>
      </c>
      <c r="U705" s="264" t="s">
        <v>1645</v>
      </c>
      <c r="V705">
        <v>0</v>
      </c>
      <c r="W705">
        <v>0</v>
      </c>
      <c r="X705">
        <v>0</v>
      </c>
      <c r="Y705">
        <v>0</v>
      </c>
      <c r="Z705">
        <v>1</v>
      </c>
      <c r="AA705">
        <v>0</v>
      </c>
      <c r="AB705">
        <v>0</v>
      </c>
      <c r="AC705">
        <v>0</v>
      </c>
      <c r="AD705">
        <v>0</v>
      </c>
      <c r="AE705">
        <v>0</v>
      </c>
      <c r="AF705">
        <v>2</v>
      </c>
      <c r="AG705">
        <v>0</v>
      </c>
      <c r="AH705">
        <v>0</v>
      </c>
      <c r="AI705">
        <v>0</v>
      </c>
      <c r="AJ705">
        <v>0</v>
      </c>
      <c r="AK705">
        <v>0</v>
      </c>
      <c r="AL705">
        <v>0</v>
      </c>
      <c r="AM705">
        <v>0</v>
      </c>
      <c r="AN705">
        <v>2</v>
      </c>
      <c r="AO705">
        <v>2</v>
      </c>
      <c r="AP705">
        <v>2</v>
      </c>
      <c r="AQ705">
        <v>2</v>
      </c>
      <c r="AR705">
        <v>0</v>
      </c>
      <c r="AS705">
        <v>0</v>
      </c>
      <c r="AT705">
        <v>0</v>
      </c>
      <c r="AU705">
        <v>0</v>
      </c>
      <c r="AV705">
        <v>0</v>
      </c>
      <c r="AW705">
        <v>0</v>
      </c>
      <c r="AX705" s="141">
        <f t="shared" si="784"/>
        <v>6</v>
      </c>
      <c r="AY705" s="141">
        <f t="shared" si="785"/>
        <v>2</v>
      </c>
      <c r="AZ705">
        <f t="shared" si="786"/>
        <v>1</v>
      </c>
      <c r="BA705">
        <f t="shared" si="787"/>
        <v>1</v>
      </c>
      <c r="BB705">
        <f t="shared" si="788"/>
        <v>0</v>
      </c>
      <c r="BC705">
        <f t="shared" si="789"/>
        <v>0</v>
      </c>
      <c r="BD705">
        <f t="shared" si="790"/>
        <v>4</v>
      </c>
      <c r="BE705" t="str" cm="1">
        <f t="array" ref="BE705">IF(AY705=1,INDEX($V$7:$AL$7,MATCH(TRUE,INDEX($V705:$AW705&lt;&gt;0,),0)),IF(AY705=0,INDEX($AM$7:$AW$7,MATCH(1,$AM705:$AW705,0)),IF(BF705="Multiple strategies","mixed drivers",IF(BF705="Supply chain","multiple supply","multiple silviculture"))))</f>
        <v>mixed drivers</v>
      </c>
      <c r="BF705" s="2" t="str" cm="1">
        <f t="array" ref="BF705">IF(COUNTIF(AZ705:BB705,"&lt;&gt;0")=1,INDEX($V$4:$AW$4,MATCH(TRUE,INDEX($V705:$AW705&lt;&gt;0,),0)),IF(COUNTIF(AZ705:BB705,"&lt;&gt;0")=0,INDEX($AM$4:$AW$4,MATCH(1,$AM705:$AW705,0)),"Multiple strategies"))</f>
        <v>Multiple strategies</v>
      </c>
      <c r="BG705" s="1" t="s">
        <v>321</v>
      </c>
      <c r="BH705" s="264" t="s">
        <v>1646</v>
      </c>
      <c r="BI705" s="264" t="s">
        <v>688</v>
      </c>
      <c r="BJ705" s="264" t="s">
        <v>1647</v>
      </c>
      <c r="BK705">
        <f>0.78*(2115-2020)</f>
        <v>74.100000000000009</v>
      </c>
      <c r="BL705">
        <f>2.99*(2115-2020)</f>
        <v>284.05</v>
      </c>
      <c r="BN705">
        <f t="shared" si="830"/>
        <v>209.95</v>
      </c>
      <c r="BO705">
        <f t="shared" si="831"/>
        <v>209.95</v>
      </c>
      <c r="BP705" s="264" t="s">
        <v>232</v>
      </c>
      <c r="BQ705" s="264" t="s">
        <v>1648</v>
      </c>
      <c r="BR705" s="264" t="s">
        <v>1649</v>
      </c>
      <c r="BS705" s="264">
        <f>0.5*10000</f>
        <v>5000</v>
      </c>
      <c r="BT705" s="264">
        <f>1.7*10000</f>
        <v>17000</v>
      </c>
      <c r="BV705">
        <f t="shared" si="823"/>
        <v>12000</v>
      </c>
      <c r="BX705">
        <f t="shared" si="832"/>
        <v>44.04</v>
      </c>
      <c r="BY705">
        <f t="shared" si="820"/>
        <v>0.20976422957847107</v>
      </c>
      <c r="BZ705">
        <v>0</v>
      </c>
      <c r="CA705">
        <v>0</v>
      </c>
      <c r="CB705">
        <v>0</v>
      </c>
      <c r="CC705">
        <v>0</v>
      </c>
      <c r="CD705">
        <v>0</v>
      </c>
      <c r="CE705">
        <v>0</v>
      </c>
      <c r="CF705">
        <v>0</v>
      </c>
      <c r="CG705">
        <v>0</v>
      </c>
      <c r="CH705">
        <v>0</v>
      </c>
      <c r="CI705">
        <v>0</v>
      </c>
      <c r="CJ705">
        <v>0</v>
      </c>
      <c r="CK705">
        <v>0</v>
      </c>
      <c r="CL705">
        <v>0</v>
      </c>
      <c r="CM705">
        <v>0</v>
      </c>
      <c r="CN705" t="str">
        <f t="shared" si="825"/>
        <v>refOK</v>
      </c>
      <c r="CO705">
        <f t="shared" si="833"/>
        <v>74.100000000000009</v>
      </c>
      <c r="CP705">
        <f t="shared" si="834"/>
        <v>284.05</v>
      </c>
      <c r="CQ705">
        <f t="shared" si="835"/>
        <v>209.95</v>
      </c>
      <c r="CR705">
        <f t="shared" si="798"/>
        <v>5000</v>
      </c>
      <c r="CS705">
        <f t="shared" si="799"/>
        <v>17000</v>
      </c>
      <c r="CT705">
        <f t="shared" si="800"/>
        <v>44.04</v>
      </c>
      <c r="CU705">
        <f t="shared" si="801"/>
        <v>0.20976422957847107</v>
      </c>
      <c r="CV705" s="2">
        <f t="shared" si="802"/>
        <v>2.4</v>
      </c>
      <c r="CW705" s="162" t="s">
        <v>1461</v>
      </c>
      <c r="CX705" s="264" t="str">
        <f t="shared" si="803"/>
        <v>reg</v>
      </c>
      <c r="CY705" s="155" t="s">
        <v>743</v>
      </c>
      <c r="CZ705">
        <v>2010</v>
      </c>
      <c r="DA705">
        <v>2115</v>
      </c>
      <c r="DB705">
        <f t="shared" si="826"/>
        <v>105</v>
      </c>
      <c r="DC705" t="str">
        <f t="shared" si="804"/>
        <v>+100</v>
      </c>
      <c r="DD705">
        <v>0</v>
      </c>
      <c r="DE705">
        <v>1</v>
      </c>
      <c r="DF705">
        <v>1</v>
      </c>
      <c r="DG705">
        <v>1</v>
      </c>
      <c r="DH705">
        <v>0</v>
      </c>
      <c r="DI705">
        <f t="shared" si="836"/>
        <v>3</v>
      </c>
      <c r="DJ705" t="str">
        <f t="shared" si="806"/>
        <v>mixedProduct</v>
      </c>
      <c r="DK705">
        <f t="shared" si="807"/>
        <v>0</v>
      </c>
      <c r="DL705" t="str">
        <f t="shared" si="808"/>
        <v>Energy</v>
      </c>
      <c r="DM705" t="str">
        <f t="shared" si="809"/>
        <v>Pulp/Paper</v>
      </c>
      <c r="DN705" t="str">
        <f t="shared" si="810"/>
        <v>Timber</v>
      </c>
      <c r="DO705">
        <v>0</v>
      </c>
      <c r="DP705">
        <v>1</v>
      </c>
      <c r="DQ705" s="264" t="s">
        <v>1650</v>
      </c>
      <c r="DR705" s="264" t="s">
        <v>1650</v>
      </c>
      <c r="DS705" s="264" t="s">
        <v>1650</v>
      </c>
      <c r="DT705">
        <f t="shared" si="811"/>
        <v>1</v>
      </c>
      <c r="DU705" s="143" t="str">
        <f t="shared" si="812"/>
        <v>external DF used</v>
      </c>
      <c r="DV705">
        <v>1</v>
      </c>
      <c r="DW705">
        <v>1</v>
      </c>
      <c r="DX705">
        <v>1</v>
      </c>
      <c r="DY705">
        <v>1</v>
      </c>
      <c r="DZ705">
        <v>1</v>
      </c>
      <c r="EA705">
        <v>1</v>
      </c>
      <c r="EB705">
        <v>1</v>
      </c>
      <c r="EC705">
        <v>1</v>
      </c>
      <c r="ED705">
        <v>0</v>
      </c>
      <c r="EE705">
        <v>0</v>
      </c>
      <c r="EF705">
        <v>1</v>
      </c>
      <c r="EG705">
        <v>0</v>
      </c>
      <c r="EH705">
        <v>1</v>
      </c>
      <c r="EI705" s="2">
        <v>0</v>
      </c>
      <c r="EK705" t="str">
        <f t="shared" si="837"/>
        <v>Whole sector</v>
      </c>
      <c r="EL705" t="str">
        <f t="shared" si="838"/>
        <v/>
      </c>
      <c r="EM705" s="2" t="str">
        <f t="shared" si="821"/>
        <v/>
      </c>
      <c r="EP705" t="str">
        <f>IF(ISNUMBER(BU705),IF(ABS(BU705-[4]QC_indicators!$B$2)&gt;3*[4]QC_indicators!$C$2,"C ratio",IF(ISNUMBER(BY705),IF(ABS(BY705-[4]QC_indicators!$B$1)&gt;3*[4]QC_indicators!$C$1,"DF","no"))),IF(ISNUMBER(BY705),IF(ABS(BY705-[4]QC_indicators!$B$1)&gt;3*[4]QC_indicators!$C$1,"DF","no")))</f>
        <v>no</v>
      </c>
      <c r="ET705" s="264" t="s">
        <v>3406</v>
      </c>
    </row>
    <row r="706" spans="1:150" ht="15" hidden="1" customHeight="1">
      <c r="A706" s="1" t="s">
        <v>1635</v>
      </c>
      <c r="B706" t="s">
        <v>1636</v>
      </c>
      <c r="C706" t="s">
        <v>1637</v>
      </c>
      <c r="D706" t="s">
        <v>1638</v>
      </c>
      <c r="E706" t="s">
        <v>1639</v>
      </c>
      <c r="F706" t="s">
        <v>1640</v>
      </c>
      <c r="G706" t="s">
        <v>1641</v>
      </c>
      <c r="H706" t="s">
        <v>254</v>
      </c>
      <c r="I706">
        <v>2022</v>
      </c>
      <c r="J706">
        <v>0</v>
      </c>
      <c r="K706" t="s">
        <v>1642</v>
      </c>
      <c r="M706" t="str">
        <f t="shared" si="839"/>
        <v>Gregor_2022</v>
      </c>
      <c r="N706" t="s">
        <v>222</v>
      </c>
      <c r="O706" s="161" t="s">
        <v>223</v>
      </c>
      <c r="Q706" s="264" t="s">
        <v>389</v>
      </c>
      <c r="R706" s="269" t="s">
        <v>1153</v>
      </c>
      <c r="S706" s="154" t="s">
        <v>1643</v>
      </c>
      <c r="T706" s="149" t="s">
        <v>1644</v>
      </c>
      <c r="U706" s="264" t="s">
        <v>1645</v>
      </c>
      <c r="V706">
        <v>1</v>
      </c>
      <c r="W706">
        <v>0</v>
      </c>
      <c r="X706">
        <v>0</v>
      </c>
      <c r="Y706">
        <v>0</v>
      </c>
      <c r="Z706">
        <v>0</v>
      </c>
      <c r="AA706">
        <v>0</v>
      </c>
      <c r="AB706">
        <v>0</v>
      </c>
      <c r="AC706">
        <v>0</v>
      </c>
      <c r="AD706">
        <v>0</v>
      </c>
      <c r="AE706">
        <v>0</v>
      </c>
      <c r="AF706">
        <v>0</v>
      </c>
      <c r="AG706">
        <v>0</v>
      </c>
      <c r="AH706">
        <v>0</v>
      </c>
      <c r="AI706">
        <v>0</v>
      </c>
      <c r="AJ706">
        <v>0</v>
      </c>
      <c r="AK706">
        <v>0</v>
      </c>
      <c r="AL706">
        <v>0</v>
      </c>
      <c r="AM706">
        <v>0</v>
      </c>
      <c r="AN706">
        <v>2</v>
      </c>
      <c r="AO706">
        <v>2</v>
      </c>
      <c r="AP706">
        <v>2</v>
      </c>
      <c r="AQ706">
        <v>2</v>
      </c>
      <c r="AR706">
        <v>0</v>
      </c>
      <c r="AS706">
        <v>0</v>
      </c>
      <c r="AT706">
        <v>0</v>
      </c>
      <c r="AU706">
        <v>0</v>
      </c>
      <c r="AV706">
        <v>0</v>
      </c>
      <c r="AW706">
        <v>0</v>
      </c>
      <c r="AX706" s="141">
        <f t="shared" si="784"/>
        <v>5</v>
      </c>
      <c r="AY706" s="141">
        <f t="shared" si="785"/>
        <v>1</v>
      </c>
      <c r="AZ706">
        <f t="shared" si="786"/>
        <v>1</v>
      </c>
      <c r="BA706">
        <f t="shared" si="787"/>
        <v>0</v>
      </c>
      <c r="BB706">
        <f t="shared" si="788"/>
        <v>0</v>
      </c>
      <c r="BC706">
        <f t="shared" si="789"/>
        <v>0</v>
      </c>
      <c r="BD706">
        <f t="shared" si="790"/>
        <v>4</v>
      </c>
      <c r="BE706" t="str" cm="1">
        <f t="array" ref="BE706">IF(AY706=1,INDEX($V$7:$AL$7,MATCH(TRUE,INDEX($V706:$AW706&lt;&gt;0,),0)),IF(AY706=0,INDEX($AM$7:$AW$7,MATCH(1,$AM706:$AW706,0)),IF(BF706="Multiple strategies","mixed drivers",IF(BF706="Supply chain","multiple supply","multiple silviculture"))))</f>
        <v>area subject to harvest</v>
      </c>
      <c r="BF706" s="2" t="str" cm="1">
        <f t="array" ref="BF706">IF(COUNTIF(AZ706:BB706,"&lt;&gt;0")=1,INDEX($V$4:$AW$4,MATCH(TRUE,INDEX($V706:$AW706&lt;&gt;0,),0)),IF(COUNTIF(AZ706:BB706,"&lt;&gt;0")=0,INDEX($AM$4:$AW$4,MATCH(1,$AM706:$AW706,0)),"Multiple strategies"))</f>
        <v>Silviculture for removals</v>
      </c>
      <c r="BG706" s="1" t="s">
        <v>321</v>
      </c>
      <c r="BH706" s="264" t="s">
        <v>1646</v>
      </c>
      <c r="BI706" s="264" t="s">
        <v>688</v>
      </c>
      <c r="BJ706" s="264" t="s">
        <v>1647</v>
      </c>
      <c r="BK706">
        <f>0.08*(2115-2020)</f>
        <v>7.6000000000000005</v>
      </c>
      <c r="BL706">
        <f>2.99*(2115-2020)</f>
        <v>284.05</v>
      </c>
      <c r="BN706">
        <f t="shared" si="830"/>
        <v>276.45</v>
      </c>
      <c r="BO706">
        <f t="shared" si="831"/>
        <v>276.45</v>
      </c>
      <c r="BP706" s="264" t="s">
        <v>232</v>
      </c>
      <c r="BQ706" s="264" t="s">
        <v>1651</v>
      </c>
      <c r="BR706" s="264" t="s">
        <v>1649</v>
      </c>
      <c r="BS706" s="264">
        <f>9.8*10000</f>
        <v>98000</v>
      </c>
      <c r="BT706" s="264">
        <f>12.2*10000</f>
        <v>122000</v>
      </c>
      <c r="BV706">
        <f t="shared" si="823"/>
        <v>24000</v>
      </c>
      <c r="BX706">
        <f t="shared" si="832"/>
        <v>88.08</v>
      </c>
      <c r="BY706">
        <f t="shared" si="820"/>
        <v>0.31861096039066739</v>
      </c>
      <c r="BZ706">
        <v>0</v>
      </c>
      <c r="CA706">
        <v>0</v>
      </c>
      <c r="CB706">
        <v>0</v>
      </c>
      <c r="CC706">
        <v>0</v>
      </c>
      <c r="CD706">
        <v>0</v>
      </c>
      <c r="CE706">
        <v>0</v>
      </c>
      <c r="CF706">
        <v>0</v>
      </c>
      <c r="CG706">
        <v>0</v>
      </c>
      <c r="CH706">
        <v>0</v>
      </c>
      <c r="CI706">
        <v>0</v>
      </c>
      <c r="CJ706">
        <v>0</v>
      </c>
      <c r="CK706">
        <v>0</v>
      </c>
      <c r="CL706">
        <v>0</v>
      </c>
      <c r="CM706">
        <v>0</v>
      </c>
      <c r="CN706" t="str">
        <f t="shared" si="825"/>
        <v>refOK</v>
      </c>
      <c r="CO706">
        <f t="shared" si="833"/>
        <v>7.6000000000000005</v>
      </c>
      <c r="CP706">
        <f t="shared" si="834"/>
        <v>284.05</v>
      </c>
      <c r="CQ706">
        <f t="shared" si="835"/>
        <v>276.45</v>
      </c>
      <c r="CR706">
        <f t="shared" si="798"/>
        <v>98000</v>
      </c>
      <c r="CS706">
        <f t="shared" si="799"/>
        <v>122000</v>
      </c>
      <c r="CT706">
        <f t="shared" si="800"/>
        <v>88.08</v>
      </c>
      <c r="CU706">
        <f t="shared" si="801"/>
        <v>0.31861096039066739</v>
      </c>
      <c r="CV706" s="2">
        <f t="shared" si="802"/>
        <v>0.24489795918367346</v>
      </c>
      <c r="CW706" s="162" t="s">
        <v>1461</v>
      </c>
      <c r="CX706" s="264" t="str">
        <f t="shared" si="803"/>
        <v>reg</v>
      </c>
      <c r="CY706" s="155" t="s">
        <v>743</v>
      </c>
      <c r="CZ706">
        <v>2020</v>
      </c>
      <c r="DA706">
        <v>2115</v>
      </c>
      <c r="DB706">
        <f t="shared" si="826"/>
        <v>95</v>
      </c>
      <c r="DC706" t="str">
        <f t="shared" si="804"/>
        <v>71-100</v>
      </c>
      <c r="DD706">
        <v>0</v>
      </c>
      <c r="DE706">
        <v>1</v>
      </c>
      <c r="DF706">
        <v>1</v>
      </c>
      <c r="DG706">
        <v>1</v>
      </c>
      <c r="DH706">
        <v>0</v>
      </c>
      <c r="DI706">
        <f t="shared" si="836"/>
        <v>3</v>
      </c>
      <c r="DJ706" t="str">
        <f t="shared" si="806"/>
        <v>mixedProduct</v>
      </c>
      <c r="DK706">
        <f t="shared" si="807"/>
        <v>0</v>
      </c>
      <c r="DL706" t="str">
        <f t="shared" si="808"/>
        <v>Energy</v>
      </c>
      <c r="DM706" t="str">
        <f t="shared" si="809"/>
        <v>Pulp/Paper</v>
      </c>
      <c r="DN706" t="str">
        <f t="shared" si="810"/>
        <v>Timber</v>
      </c>
      <c r="DO706">
        <v>0</v>
      </c>
      <c r="DP706">
        <v>1</v>
      </c>
      <c r="DQ706" s="264" t="s">
        <v>1650</v>
      </c>
      <c r="DR706" s="264" t="s">
        <v>1650</v>
      </c>
      <c r="DS706" s="264" t="s">
        <v>1650</v>
      </c>
      <c r="DT706">
        <f t="shared" si="811"/>
        <v>1</v>
      </c>
      <c r="DU706" s="143" t="str">
        <f t="shared" si="812"/>
        <v>external DF used</v>
      </c>
      <c r="DV706">
        <v>1</v>
      </c>
      <c r="DW706">
        <v>1</v>
      </c>
      <c r="DX706">
        <v>1</v>
      </c>
      <c r="DY706">
        <v>1</v>
      </c>
      <c r="DZ706">
        <v>0</v>
      </c>
      <c r="EA706">
        <v>0</v>
      </c>
      <c r="EB706">
        <v>0</v>
      </c>
      <c r="EC706">
        <v>0</v>
      </c>
      <c r="ED706">
        <v>0</v>
      </c>
      <c r="EE706">
        <v>0</v>
      </c>
      <c r="EF706">
        <v>1</v>
      </c>
      <c r="EG706">
        <v>0</v>
      </c>
      <c r="EH706">
        <v>1</v>
      </c>
      <c r="EI706" s="2">
        <v>0</v>
      </c>
      <c r="EK706" t="str">
        <f t="shared" si="837"/>
        <v/>
      </c>
      <c r="EL706" t="str">
        <f t="shared" si="838"/>
        <v>Ecosystem approach</v>
      </c>
      <c r="EM706" s="2" t="str">
        <f t="shared" si="821"/>
        <v/>
      </c>
      <c r="EP706" t="str">
        <f>IF(ISNUMBER(BU706),IF(ABS(BU706-[4]QC_indicators!$B$2)&gt;3*[4]QC_indicators!$C$2,"C ratio",IF(ISNUMBER(BY706),IF(ABS(BY706-[4]QC_indicators!$B$1)&gt;3*[4]QC_indicators!$C$1,"DF","no"))),IF(ISNUMBER(BY706),IF(ABS(BY706-[4]QC_indicators!$B$1)&gt;3*[4]QC_indicators!$C$1,"DF","no")))</f>
        <v>no</v>
      </c>
      <c r="ET706" s="264" t="s">
        <v>3406</v>
      </c>
    </row>
    <row r="707" spans="1:150" ht="15" hidden="1" customHeight="1">
      <c r="A707" s="1" t="s">
        <v>1635</v>
      </c>
      <c r="B707" t="s">
        <v>1636</v>
      </c>
      <c r="C707" t="s">
        <v>1637</v>
      </c>
      <c r="D707" t="s">
        <v>1638</v>
      </c>
      <c r="E707" t="s">
        <v>1639</v>
      </c>
      <c r="F707" t="s">
        <v>1640</v>
      </c>
      <c r="G707" t="s">
        <v>1641</v>
      </c>
      <c r="H707" t="s">
        <v>254</v>
      </c>
      <c r="I707">
        <v>2022</v>
      </c>
      <c r="J707">
        <v>0</v>
      </c>
      <c r="K707" t="s">
        <v>1642</v>
      </c>
      <c r="M707" t="str">
        <f t="shared" si="839"/>
        <v>Gregor_2022</v>
      </c>
      <c r="N707" t="s">
        <v>222</v>
      </c>
      <c r="O707" s="161" t="s">
        <v>223</v>
      </c>
      <c r="Q707" s="264" t="s">
        <v>389</v>
      </c>
      <c r="R707" s="269" t="s">
        <v>1153</v>
      </c>
      <c r="S707" s="154" t="s">
        <v>1643</v>
      </c>
      <c r="T707" s="294" t="s">
        <v>1654</v>
      </c>
      <c r="U707" s="264" t="s">
        <v>1655</v>
      </c>
      <c r="V707">
        <v>0</v>
      </c>
      <c r="W707">
        <v>0</v>
      </c>
      <c r="X707">
        <v>0</v>
      </c>
      <c r="Y707">
        <v>0</v>
      </c>
      <c r="Z707">
        <v>0</v>
      </c>
      <c r="AA707">
        <v>0</v>
      </c>
      <c r="AB707">
        <v>0</v>
      </c>
      <c r="AC707">
        <v>0</v>
      </c>
      <c r="AD707">
        <v>0</v>
      </c>
      <c r="AE707">
        <v>0</v>
      </c>
      <c r="AF707">
        <v>0</v>
      </c>
      <c r="AG707">
        <v>0</v>
      </c>
      <c r="AH707">
        <v>0</v>
      </c>
      <c r="AI707">
        <v>0</v>
      </c>
      <c r="AJ707">
        <v>0</v>
      </c>
      <c r="AK707">
        <v>0</v>
      </c>
      <c r="AL707">
        <v>0</v>
      </c>
      <c r="AM707">
        <v>0</v>
      </c>
      <c r="AN707">
        <v>1</v>
      </c>
      <c r="AO707">
        <v>2</v>
      </c>
      <c r="AP707">
        <v>2</v>
      </c>
      <c r="AQ707">
        <v>2</v>
      </c>
      <c r="AR707">
        <v>0</v>
      </c>
      <c r="AS707">
        <v>0</v>
      </c>
      <c r="AT707">
        <v>0</v>
      </c>
      <c r="AU707">
        <v>0</v>
      </c>
      <c r="AV707">
        <v>0</v>
      </c>
      <c r="AW707">
        <v>0</v>
      </c>
      <c r="AX707" s="141">
        <f t="shared" si="784"/>
        <v>4</v>
      </c>
      <c r="AY707">
        <f t="shared" si="785"/>
        <v>0</v>
      </c>
      <c r="AZ707">
        <f t="shared" si="786"/>
        <v>0</v>
      </c>
      <c r="BA707">
        <f t="shared" si="787"/>
        <v>0</v>
      </c>
      <c r="BB707">
        <f t="shared" si="788"/>
        <v>0</v>
      </c>
      <c r="BC707">
        <f t="shared" si="789"/>
        <v>0</v>
      </c>
      <c r="BD707">
        <f t="shared" si="790"/>
        <v>4</v>
      </c>
      <c r="BE707" t="str" cm="1">
        <f t="array" ref="BE707">IF(AY707=1,INDEX($V$7:$AL$7,MATCH(TRUE,INDEX($V707:$AW707&lt;&gt;0,),0)),IF(AY707=0,INDEX($AM$7:$AW$7,MATCH(1,$AM707:$AW707,0)),IF(BF707="Multiple strategies","mixed drivers",IF(BF707="Supply chain","multiple supply","multiple silviculture"))))</f>
        <v>Temperature</v>
      </c>
      <c r="BF707" s="2" t="str" cm="1">
        <f t="array" ref="BF707">IF(COUNTIF(AZ707:BB707,"&lt;&gt;0")=1,INDEX($V$4:$AW$4,MATCH(TRUE,INDEX($V707:$AW707&lt;&gt;0,),0)),IF(COUNTIF(AZ707:BB707,"&lt;&gt;0")=0,INDEX($AM$4:$AW$4,MATCH(1,$AM707:$AW707,0)),"Multiple strategies"))</f>
        <v>Environmental change</v>
      </c>
      <c r="BG707" s="1" t="s">
        <v>321</v>
      </c>
      <c r="BH707" s="264" t="s">
        <v>1646</v>
      </c>
      <c r="BI707" s="264" t="s">
        <v>1656</v>
      </c>
      <c r="BJ707" s="264" t="s">
        <v>1647</v>
      </c>
      <c r="BK707">
        <f>2.84*(2115-2020)</f>
        <v>269.8</v>
      </c>
      <c r="BL707">
        <f>3.25*(2115-2020)</f>
        <v>308.75</v>
      </c>
      <c r="BN707">
        <f t="shared" si="830"/>
        <v>38.949999999999989</v>
      </c>
      <c r="BO707">
        <f t="shared" si="831"/>
        <v>38.949999999999989</v>
      </c>
      <c r="BP707" s="264" t="s">
        <v>232</v>
      </c>
      <c r="BQ707" s="264" t="s">
        <v>1657</v>
      </c>
      <c r="BR707" s="264" t="s">
        <v>1649</v>
      </c>
      <c r="BS707" s="264">
        <f>1.5*10000</f>
        <v>15000</v>
      </c>
      <c r="BT707" s="264">
        <f>2.1*10000</f>
        <v>21000</v>
      </c>
      <c r="BV707">
        <f t="shared" si="823"/>
        <v>6000</v>
      </c>
      <c r="BX707">
        <f t="shared" si="832"/>
        <v>22.02</v>
      </c>
      <c r="BY707">
        <f t="shared" si="820"/>
        <v>0.56534017971758677</v>
      </c>
      <c r="BZ707">
        <v>0</v>
      </c>
      <c r="CA707">
        <v>0</v>
      </c>
      <c r="CB707">
        <v>0</v>
      </c>
      <c r="CC707">
        <v>0</v>
      </c>
      <c r="CD707">
        <v>0</v>
      </c>
      <c r="CE707">
        <v>0</v>
      </c>
      <c r="CF707">
        <v>0</v>
      </c>
      <c r="CG707">
        <v>0</v>
      </c>
      <c r="CH707">
        <v>0</v>
      </c>
      <c r="CI707">
        <v>0</v>
      </c>
      <c r="CJ707">
        <v>0</v>
      </c>
      <c r="CK707">
        <v>0</v>
      </c>
      <c r="CL707">
        <v>0</v>
      </c>
      <c r="CM707">
        <v>0</v>
      </c>
      <c r="CN707" t="str">
        <f t="shared" si="825"/>
        <v>refOK</v>
      </c>
      <c r="CO707">
        <f t="shared" si="833"/>
        <v>269.8</v>
      </c>
      <c r="CP707">
        <f t="shared" si="834"/>
        <v>308.75</v>
      </c>
      <c r="CQ707">
        <f t="shared" si="835"/>
        <v>38.949999999999989</v>
      </c>
      <c r="CR707">
        <f t="shared" si="798"/>
        <v>15000</v>
      </c>
      <c r="CS707">
        <f t="shared" si="799"/>
        <v>21000</v>
      </c>
      <c r="CT707">
        <f t="shared" si="800"/>
        <v>22.02</v>
      </c>
      <c r="CU707">
        <f t="shared" si="801"/>
        <v>0.56534017971758677</v>
      </c>
      <c r="CV707" s="2">
        <f t="shared" si="802"/>
        <v>0.4</v>
      </c>
      <c r="CW707" s="162" t="s">
        <v>1461</v>
      </c>
      <c r="CX707" s="264" t="str">
        <f t="shared" si="803"/>
        <v>reg</v>
      </c>
      <c r="CY707" s="155" t="s">
        <v>743</v>
      </c>
      <c r="CZ707">
        <v>2010</v>
      </c>
      <c r="DA707">
        <v>2115</v>
      </c>
      <c r="DB707">
        <f t="shared" si="826"/>
        <v>105</v>
      </c>
      <c r="DC707" t="str">
        <f t="shared" si="804"/>
        <v>+100</v>
      </c>
      <c r="DD707">
        <v>0</v>
      </c>
      <c r="DE707">
        <v>1</v>
      </c>
      <c r="DF707">
        <v>1</v>
      </c>
      <c r="DG707">
        <v>1</v>
      </c>
      <c r="DH707">
        <v>0</v>
      </c>
      <c r="DI707">
        <f t="shared" si="836"/>
        <v>3</v>
      </c>
      <c r="DJ707" t="str">
        <f t="shared" si="806"/>
        <v>mixedProduct</v>
      </c>
      <c r="DK707">
        <f t="shared" si="807"/>
        <v>0</v>
      </c>
      <c r="DL707" t="str">
        <f t="shared" si="808"/>
        <v>Energy</v>
      </c>
      <c r="DM707" t="str">
        <f t="shared" si="809"/>
        <v>Pulp/Paper</v>
      </c>
      <c r="DN707" t="str">
        <f t="shared" si="810"/>
        <v>Timber</v>
      </c>
      <c r="DO707">
        <v>0</v>
      </c>
      <c r="DP707">
        <v>1</v>
      </c>
      <c r="DQ707" s="264" t="s">
        <v>1650</v>
      </c>
      <c r="DR707" s="264" t="s">
        <v>1650</v>
      </c>
      <c r="DS707" s="264" t="s">
        <v>1650</v>
      </c>
      <c r="DT707">
        <f t="shared" si="811"/>
        <v>1</v>
      </c>
      <c r="DU707" s="143" t="str">
        <f t="shared" si="812"/>
        <v>external DF used</v>
      </c>
      <c r="DV707">
        <v>1</v>
      </c>
      <c r="DW707">
        <v>1</v>
      </c>
      <c r="DX707">
        <v>1</v>
      </c>
      <c r="DY707">
        <v>1</v>
      </c>
      <c r="DZ707">
        <v>1</v>
      </c>
      <c r="EA707">
        <v>1</v>
      </c>
      <c r="EB707">
        <v>1</v>
      </c>
      <c r="EC707">
        <v>1</v>
      </c>
      <c r="ED707">
        <v>0</v>
      </c>
      <c r="EE707">
        <v>0</v>
      </c>
      <c r="EF707">
        <v>1</v>
      </c>
      <c r="EG707">
        <v>0</v>
      </c>
      <c r="EH707">
        <v>1</v>
      </c>
      <c r="EI707" s="2">
        <v>0</v>
      </c>
      <c r="EK707" t="str">
        <f t="shared" si="837"/>
        <v>Whole sector</v>
      </c>
      <c r="EL707" t="str">
        <f t="shared" si="838"/>
        <v/>
      </c>
      <c r="EM707" s="2" t="str">
        <f t="shared" si="821"/>
        <v/>
      </c>
      <c r="EP707" t="str">
        <f>IF(ISNUMBER(BU707),IF(ABS(BU707-[4]QC_indicators!$B$2)&gt;3*[4]QC_indicators!$C$2,"C ratio",IF(ISNUMBER(BY707),IF(ABS(BY707-[4]QC_indicators!$B$1)&gt;3*[4]QC_indicators!$C$1,"DF","no"))),IF(ISNUMBER(BY707),IF(ABS(BY707-[4]QC_indicators!$B$1)&gt;3*[4]QC_indicators!$C$1,"DF","no")))</f>
        <v>no</v>
      </c>
      <c r="ET707" s="264" t="s">
        <v>3406</v>
      </c>
    </row>
    <row r="708" spans="1:150" ht="15" hidden="1" customHeight="1">
      <c r="A708" s="1" t="s">
        <v>1635</v>
      </c>
      <c r="B708" t="s">
        <v>1636</v>
      </c>
      <c r="C708" t="s">
        <v>1637</v>
      </c>
      <c r="D708" t="s">
        <v>1638</v>
      </c>
      <c r="E708" t="s">
        <v>1639</v>
      </c>
      <c r="F708" t="s">
        <v>1640</v>
      </c>
      <c r="G708" t="s">
        <v>1641</v>
      </c>
      <c r="H708" t="s">
        <v>254</v>
      </c>
      <c r="I708">
        <v>2022</v>
      </c>
      <c r="J708">
        <v>0</v>
      </c>
      <c r="K708" t="s">
        <v>1642</v>
      </c>
      <c r="M708" t="str">
        <f t="shared" si="839"/>
        <v>Gregor_2022</v>
      </c>
      <c r="N708" t="s">
        <v>222</v>
      </c>
      <c r="O708" s="161" t="s">
        <v>223</v>
      </c>
      <c r="Q708" s="264" t="s">
        <v>389</v>
      </c>
      <c r="R708" s="269" t="s">
        <v>1153</v>
      </c>
      <c r="S708" s="154" t="s">
        <v>1643</v>
      </c>
      <c r="T708" s="294" t="s">
        <v>1658</v>
      </c>
      <c r="U708" s="264" t="s">
        <v>1659</v>
      </c>
      <c r="V708">
        <v>0</v>
      </c>
      <c r="W708">
        <v>0</v>
      </c>
      <c r="X708">
        <v>0</v>
      </c>
      <c r="Y708">
        <v>0</v>
      </c>
      <c r="Z708">
        <v>0</v>
      </c>
      <c r="AA708">
        <v>0</v>
      </c>
      <c r="AB708">
        <v>0</v>
      </c>
      <c r="AC708">
        <v>0</v>
      </c>
      <c r="AD708">
        <v>0</v>
      </c>
      <c r="AE708">
        <v>0</v>
      </c>
      <c r="AF708">
        <v>0</v>
      </c>
      <c r="AG708">
        <v>0</v>
      </c>
      <c r="AH708">
        <v>0</v>
      </c>
      <c r="AI708">
        <v>0</v>
      </c>
      <c r="AJ708">
        <v>0</v>
      </c>
      <c r="AK708">
        <v>0</v>
      </c>
      <c r="AL708">
        <v>0</v>
      </c>
      <c r="AM708">
        <v>0</v>
      </c>
      <c r="AN708">
        <v>1</v>
      </c>
      <c r="AO708">
        <v>2</v>
      </c>
      <c r="AP708">
        <v>2</v>
      </c>
      <c r="AQ708">
        <v>2</v>
      </c>
      <c r="AR708">
        <v>0</v>
      </c>
      <c r="AS708">
        <v>0</v>
      </c>
      <c r="AT708">
        <v>0</v>
      </c>
      <c r="AU708">
        <v>0</v>
      </c>
      <c r="AV708">
        <v>0</v>
      </c>
      <c r="AW708">
        <v>0</v>
      </c>
      <c r="AX708" s="141">
        <f t="shared" si="784"/>
        <v>4</v>
      </c>
      <c r="AY708">
        <f t="shared" si="785"/>
        <v>0</v>
      </c>
      <c r="AZ708">
        <f t="shared" si="786"/>
        <v>0</v>
      </c>
      <c r="BA708">
        <f t="shared" si="787"/>
        <v>0</v>
      </c>
      <c r="BB708">
        <f t="shared" si="788"/>
        <v>0</v>
      </c>
      <c r="BC708">
        <f t="shared" si="789"/>
        <v>0</v>
      </c>
      <c r="BD708">
        <f t="shared" si="790"/>
        <v>4</v>
      </c>
      <c r="BE708" t="str" cm="1">
        <f t="array" ref="BE708">IF(AY708=1,INDEX($V$7:$AL$7,MATCH(TRUE,INDEX($V708:$AW708&lt;&gt;0,),0)),IF(AY708=0,INDEX($AM$7:$AW$7,MATCH(1,$AM708:$AW708,0)),IF(BF708="Multiple strategies","mixed drivers",IF(BF708="Supply chain","multiple supply","multiple silviculture"))))</f>
        <v>Temperature</v>
      </c>
      <c r="BF708" s="2" t="str" cm="1">
        <f t="array" ref="BF708">IF(COUNTIF(AZ708:BB708,"&lt;&gt;0")=1,INDEX($V$4:$AW$4,MATCH(TRUE,INDEX($V708:$AW708&lt;&gt;0,),0)),IF(COUNTIF(AZ708:BB708,"&lt;&gt;0")=0,INDEX($AM$4:$AW$4,MATCH(1,$AM708:$AW708,0)),"Multiple strategies"))</f>
        <v>Environmental change</v>
      </c>
      <c r="BG708" s="1" t="s">
        <v>321</v>
      </c>
      <c r="BH708" s="264" t="s">
        <v>1646</v>
      </c>
      <c r="BI708" s="264" t="s">
        <v>1656</v>
      </c>
      <c r="BJ708" s="264" t="s">
        <v>1647</v>
      </c>
      <c r="BK708">
        <f>0.07*(2115-2020)</f>
        <v>6.65</v>
      </c>
      <c r="BL708">
        <f>0.08*(2115-2020)</f>
        <v>7.6000000000000005</v>
      </c>
      <c r="BN708">
        <f t="shared" si="830"/>
        <v>0.95000000000000018</v>
      </c>
      <c r="BO708">
        <f t="shared" si="831"/>
        <v>0.95000000000000018</v>
      </c>
      <c r="BP708" s="264" t="s">
        <v>232</v>
      </c>
      <c r="BQ708" s="264" t="s">
        <v>1657</v>
      </c>
      <c r="BR708" s="264" t="s">
        <v>1649</v>
      </c>
      <c r="BS708" s="264">
        <f>1.8*10000</f>
        <v>18000</v>
      </c>
      <c r="BT708" s="264">
        <f>2*10000</f>
        <v>20000</v>
      </c>
      <c r="BV708">
        <f t="shared" si="823"/>
        <v>2000</v>
      </c>
      <c r="BX708">
        <f t="shared" si="832"/>
        <v>7.34</v>
      </c>
      <c r="BY708">
        <f t="shared" si="820"/>
        <v>7.7263157894736825</v>
      </c>
      <c r="BZ708">
        <v>0</v>
      </c>
      <c r="CA708">
        <v>0</v>
      </c>
      <c r="CB708">
        <v>0</v>
      </c>
      <c r="CC708">
        <v>0</v>
      </c>
      <c r="CD708">
        <v>0</v>
      </c>
      <c r="CE708">
        <v>0</v>
      </c>
      <c r="CF708">
        <v>0</v>
      </c>
      <c r="CG708">
        <v>0</v>
      </c>
      <c r="CH708">
        <v>0</v>
      </c>
      <c r="CI708">
        <v>0</v>
      </c>
      <c r="CJ708">
        <v>0</v>
      </c>
      <c r="CK708">
        <v>0</v>
      </c>
      <c r="CL708">
        <v>0</v>
      </c>
      <c r="CM708">
        <v>0</v>
      </c>
      <c r="CN708" t="str">
        <f t="shared" si="825"/>
        <v>refOK</v>
      </c>
      <c r="CO708">
        <f t="shared" si="833"/>
        <v>6.65</v>
      </c>
      <c r="CP708">
        <f t="shared" si="834"/>
        <v>7.6000000000000005</v>
      </c>
      <c r="CQ708">
        <f t="shared" si="835"/>
        <v>0.95000000000000018</v>
      </c>
      <c r="CR708">
        <f t="shared" si="798"/>
        <v>18000</v>
      </c>
      <c r="CS708">
        <f t="shared" si="799"/>
        <v>20000</v>
      </c>
      <c r="CT708">
        <f t="shared" si="800"/>
        <v>7.34</v>
      </c>
      <c r="CU708">
        <f t="shared" si="801"/>
        <v>7.7263157894736825</v>
      </c>
      <c r="CV708" s="2">
        <f t="shared" si="802"/>
        <v>0.1111111111111111</v>
      </c>
      <c r="CW708" s="162" t="s">
        <v>1461</v>
      </c>
      <c r="CX708" s="264" t="str">
        <f t="shared" si="803"/>
        <v>reg</v>
      </c>
      <c r="CY708" s="155" t="s">
        <v>743</v>
      </c>
      <c r="CZ708">
        <v>2010</v>
      </c>
      <c r="DA708">
        <v>2115</v>
      </c>
      <c r="DB708">
        <f t="shared" si="826"/>
        <v>105</v>
      </c>
      <c r="DC708" t="str">
        <f t="shared" si="804"/>
        <v>+100</v>
      </c>
      <c r="DD708">
        <v>0</v>
      </c>
      <c r="DE708">
        <v>1</v>
      </c>
      <c r="DF708">
        <v>1</v>
      </c>
      <c r="DG708">
        <v>1</v>
      </c>
      <c r="DH708">
        <v>0</v>
      </c>
      <c r="DI708">
        <f t="shared" si="836"/>
        <v>3</v>
      </c>
      <c r="DJ708" t="str">
        <f t="shared" si="806"/>
        <v>mixedProduct</v>
      </c>
      <c r="DK708">
        <f t="shared" si="807"/>
        <v>0</v>
      </c>
      <c r="DL708" t="str">
        <f t="shared" si="808"/>
        <v>Energy</v>
      </c>
      <c r="DM708" t="str">
        <f t="shared" si="809"/>
        <v>Pulp/Paper</v>
      </c>
      <c r="DN708" t="str">
        <f t="shared" si="810"/>
        <v>Timber</v>
      </c>
      <c r="DO708">
        <v>0</v>
      </c>
      <c r="DP708">
        <v>1</v>
      </c>
      <c r="DQ708" s="264" t="s">
        <v>1650</v>
      </c>
      <c r="DR708" s="264" t="s">
        <v>1650</v>
      </c>
      <c r="DS708" s="264" t="s">
        <v>1650</v>
      </c>
      <c r="DT708">
        <f t="shared" si="811"/>
        <v>1</v>
      </c>
      <c r="DU708" s="143" t="str">
        <f t="shared" si="812"/>
        <v>external DF used</v>
      </c>
      <c r="DV708">
        <v>1</v>
      </c>
      <c r="DW708">
        <v>1</v>
      </c>
      <c r="DX708">
        <v>1</v>
      </c>
      <c r="DY708">
        <v>1</v>
      </c>
      <c r="DZ708">
        <v>1</v>
      </c>
      <c r="EA708">
        <v>1</v>
      </c>
      <c r="EB708">
        <v>1</v>
      </c>
      <c r="EC708">
        <v>1</v>
      </c>
      <c r="ED708">
        <v>0</v>
      </c>
      <c r="EE708">
        <v>0</v>
      </c>
      <c r="EF708">
        <v>1</v>
      </c>
      <c r="EG708">
        <v>0</v>
      </c>
      <c r="EH708">
        <v>1</v>
      </c>
      <c r="EI708" s="2">
        <v>0</v>
      </c>
      <c r="EK708" t="str">
        <f t="shared" si="837"/>
        <v>Whole sector</v>
      </c>
      <c r="EL708" t="str">
        <f t="shared" si="838"/>
        <v/>
      </c>
      <c r="EM708" s="2" t="str">
        <f t="shared" si="821"/>
        <v/>
      </c>
      <c r="EP708" t="str">
        <f>IF(ISNUMBER(BU708),IF(ABS(BU708-[4]QC_indicators!$B$2)&gt;3*[4]QC_indicators!$C$2,"C ratio",IF(ISNUMBER(BY708),IF(ABS(BY708-[4]QC_indicators!$B$1)&gt;3*[4]QC_indicators!$C$1,"DF","no"))),IF(ISNUMBER(BY708),IF(ABS(BY708-[4]QC_indicators!$B$1)&gt;3*[4]QC_indicators!$C$1,"DF","no")))</f>
        <v>DF</v>
      </c>
      <c r="ET708" s="264" t="s">
        <v>3406</v>
      </c>
    </row>
    <row r="709" spans="1:150" ht="15" hidden="1" customHeight="1">
      <c r="A709" s="1" t="s">
        <v>1635</v>
      </c>
      <c r="B709" t="s">
        <v>1636</v>
      </c>
      <c r="C709" t="s">
        <v>1637</v>
      </c>
      <c r="D709" t="s">
        <v>1638</v>
      </c>
      <c r="E709" t="s">
        <v>1639</v>
      </c>
      <c r="F709" t="s">
        <v>1640</v>
      </c>
      <c r="G709" t="s">
        <v>1641</v>
      </c>
      <c r="H709" t="s">
        <v>254</v>
      </c>
      <c r="I709">
        <v>2022</v>
      </c>
      <c r="J709">
        <v>0</v>
      </c>
      <c r="K709" t="s">
        <v>1642</v>
      </c>
      <c r="M709" t="str">
        <f t="shared" si="839"/>
        <v>Gregor_2022</v>
      </c>
      <c r="N709" t="s">
        <v>222</v>
      </c>
      <c r="O709" s="161" t="s">
        <v>223</v>
      </c>
      <c r="Q709" s="264" t="s">
        <v>389</v>
      </c>
      <c r="R709" s="269" t="s">
        <v>1153</v>
      </c>
      <c r="S709" s="154" t="s">
        <v>1643</v>
      </c>
      <c r="T709" s="294" t="s">
        <v>1658</v>
      </c>
      <c r="U709" s="264" t="s">
        <v>1659</v>
      </c>
      <c r="V709">
        <v>0</v>
      </c>
      <c r="W709">
        <v>0</v>
      </c>
      <c r="X709">
        <v>0</v>
      </c>
      <c r="Y709">
        <v>0</v>
      </c>
      <c r="Z709">
        <v>0</v>
      </c>
      <c r="AA709">
        <v>0</v>
      </c>
      <c r="AB709">
        <v>0</v>
      </c>
      <c r="AC709">
        <v>0</v>
      </c>
      <c r="AD709">
        <v>0</v>
      </c>
      <c r="AE709">
        <v>0</v>
      </c>
      <c r="AF709">
        <v>0</v>
      </c>
      <c r="AG709">
        <v>0</v>
      </c>
      <c r="AH709">
        <v>0</v>
      </c>
      <c r="AI709">
        <v>0</v>
      </c>
      <c r="AJ709">
        <v>0</v>
      </c>
      <c r="AK709">
        <v>0</v>
      </c>
      <c r="AL709">
        <v>0</v>
      </c>
      <c r="AM709">
        <v>0</v>
      </c>
      <c r="AN709">
        <v>1</v>
      </c>
      <c r="AO709">
        <v>2</v>
      </c>
      <c r="AP709">
        <v>2</v>
      </c>
      <c r="AQ709">
        <v>2</v>
      </c>
      <c r="AR709">
        <v>0</v>
      </c>
      <c r="AS709">
        <v>0</v>
      </c>
      <c r="AT709">
        <v>0</v>
      </c>
      <c r="AU709">
        <v>0</v>
      </c>
      <c r="AV709">
        <v>0</v>
      </c>
      <c r="AW709">
        <v>0</v>
      </c>
      <c r="AX709" s="141">
        <f t="shared" si="784"/>
        <v>4</v>
      </c>
      <c r="AY709">
        <f t="shared" si="785"/>
        <v>0</v>
      </c>
      <c r="AZ709">
        <f t="shared" si="786"/>
        <v>0</v>
      </c>
      <c r="BA709">
        <f t="shared" si="787"/>
        <v>0</v>
      </c>
      <c r="BB709">
        <f t="shared" si="788"/>
        <v>0</v>
      </c>
      <c r="BC709">
        <f t="shared" si="789"/>
        <v>0</v>
      </c>
      <c r="BD709">
        <f t="shared" si="790"/>
        <v>4</v>
      </c>
      <c r="BE709" t="str" cm="1">
        <f t="array" ref="BE709">IF(AY709=1,INDEX($V$7:$AL$7,MATCH(TRUE,INDEX($V709:$AW709&lt;&gt;0,),0)),IF(AY709=0,INDEX($AM$7:$AW$7,MATCH(1,$AM709:$AW709,0)),IF(BF709="Multiple strategies","mixed drivers",IF(BF709="Supply chain","multiple supply","multiple silviculture"))))</f>
        <v>Temperature</v>
      </c>
      <c r="BF709" s="2" t="str" cm="1">
        <f t="array" ref="BF709">IF(COUNTIF(AZ709:BB709,"&lt;&gt;0")=1,INDEX($V$4:$AW$4,MATCH(TRUE,INDEX($V709:$AW709&lt;&gt;0,),0)),IF(COUNTIF(AZ709:BB709,"&lt;&gt;0")=0,INDEX($AM$4:$AW$4,MATCH(1,$AM709:$AW709,0)),"Multiple strategies"))</f>
        <v>Environmental change</v>
      </c>
      <c r="BG709" s="1" t="s">
        <v>321</v>
      </c>
      <c r="BH709" s="264" t="s">
        <v>1646</v>
      </c>
      <c r="BI709" s="264" t="s">
        <v>1656</v>
      </c>
      <c r="BJ709" s="264" t="s">
        <v>1647</v>
      </c>
      <c r="BK709">
        <f>0.07*(2115-2020)</f>
        <v>6.65</v>
      </c>
      <c r="BL709">
        <f>0.08*(2115-2020)</f>
        <v>7.6000000000000005</v>
      </c>
      <c r="BN709">
        <f t="shared" si="830"/>
        <v>0.95000000000000018</v>
      </c>
      <c r="BO709">
        <f t="shared" si="831"/>
        <v>0.95000000000000018</v>
      </c>
      <c r="BP709" s="264" t="s">
        <v>232</v>
      </c>
      <c r="BQ709" s="264" t="s">
        <v>1651</v>
      </c>
      <c r="BR709" s="264" t="s">
        <v>1649</v>
      </c>
      <c r="BS709" s="264">
        <f>12.1*10000</f>
        <v>121000</v>
      </c>
      <c r="BT709" s="264">
        <f>12.4*10000</f>
        <v>124000</v>
      </c>
      <c r="BV709">
        <f t="shared" si="823"/>
        <v>3000</v>
      </c>
      <c r="BX709">
        <f t="shared" si="832"/>
        <v>11.01</v>
      </c>
      <c r="BY709">
        <f t="shared" si="820"/>
        <v>11.589473684210525</v>
      </c>
      <c r="BZ709">
        <v>0</v>
      </c>
      <c r="CA709">
        <v>0</v>
      </c>
      <c r="CB709">
        <v>0</v>
      </c>
      <c r="CC709">
        <v>0</v>
      </c>
      <c r="CD709">
        <v>0</v>
      </c>
      <c r="CE709">
        <v>0</v>
      </c>
      <c r="CF709">
        <v>0</v>
      </c>
      <c r="CG709">
        <v>0</v>
      </c>
      <c r="CH709">
        <v>0</v>
      </c>
      <c r="CI709">
        <v>0</v>
      </c>
      <c r="CJ709">
        <v>0</v>
      </c>
      <c r="CK709">
        <v>0</v>
      </c>
      <c r="CL709">
        <v>0</v>
      </c>
      <c r="CM709">
        <v>0</v>
      </c>
      <c r="CN709" t="str">
        <f t="shared" si="825"/>
        <v>refOK</v>
      </c>
      <c r="CO709">
        <f t="shared" si="833"/>
        <v>6.65</v>
      </c>
      <c r="CP709">
        <f t="shared" si="834"/>
        <v>7.6000000000000005</v>
      </c>
      <c r="CQ709">
        <f t="shared" si="835"/>
        <v>0.95000000000000018</v>
      </c>
      <c r="CR709">
        <f t="shared" si="798"/>
        <v>121000</v>
      </c>
      <c r="CS709">
        <f t="shared" si="799"/>
        <v>124000</v>
      </c>
      <c r="CT709">
        <f t="shared" si="800"/>
        <v>11.01</v>
      </c>
      <c r="CU709">
        <f t="shared" si="801"/>
        <v>11.589473684210525</v>
      </c>
      <c r="CV709" s="2">
        <f t="shared" si="802"/>
        <v>2.4793388429752067E-2</v>
      </c>
      <c r="CW709" s="162" t="s">
        <v>1461</v>
      </c>
      <c r="CX709" s="264" t="str">
        <f t="shared" si="803"/>
        <v>reg</v>
      </c>
      <c r="CY709" s="155" t="s">
        <v>743</v>
      </c>
      <c r="CZ709">
        <v>2010</v>
      </c>
      <c r="DA709">
        <v>2115</v>
      </c>
      <c r="DB709">
        <f t="shared" si="826"/>
        <v>105</v>
      </c>
      <c r="DC709" t="str">
        <f t="shared" si="804"/>
        <v>+100</v>
      </c>
      <c r="DD709">
        <v>0</v>
      </c>
      <c r="DE709">
        <v>1</v>
      </c>
      <c r="DF709">
        <v>1</v>
      </c>
      <c r="DG709">
        <v>1</v>
      </c>
      <c r="DH709">
        <v>0</v>
      </c>
      <c r="DI709">
        <f t="shared" si="836"/>
        <v>3</v>
      </c>
      <c r="DJ709" t="str">
        <f t="shared" si="806"/>
        <v>mixedProduct</v>
      </c>
      <c r="DK709">
        <f t="shared" si="807"/>
        <v>0</v>
      </c>
      <c r="DL709" t="str">
        <f t="shared" si="808"/>
        <v>Energy</v>
      </c>
      <c r="DM709" t="str">
        <f t="shared" si="809"/>
        <v>Pulp/Paper</v>
      </c>
      <c r="DN709" t="str">
        <f t="shared" si="810"/>
        <v>Timber</v>
      </c>
      <c r="DO709">
        <v>0</v>
      </c>
      <c r="DP709">
        <v>1</v>
      </c>
      <c r="DQ709" s="264" t="s">
        <v>1650</v>
      </c>
      <c r="DR709" s="264" t="s">
        <v>1650</v>
      </c>
      <c r="DS709" s="264" t="s">
        <v>1650</v>
      </c>
      <c r="DT709">
        <f t="shared" si="811"/>
        <v>1</v>
      </c>
      <c r="DU709" s="143" t="str">
        <f t="shared" si="812"/>
        <v>external DF used</v>
      </c>
      <c r="DV709">
        <v>1</v>
      </c>
      <c r="DW709">
        <v>1</v>
      </c>
      <c r="DX709">
        <v>1</v>
      </c>
      <c r="DY709">
        <v>1</v>
      </c>
      <c r="DZ709">
        <v>0</v>
      </c>
      <c r="EA709">
        <v>0</v>
      </c>
      <c r="EB709">
        <v>0</v>
      </c>
      <c r="EC709">
        <v>0</v>
      </c>
      <c r="ED709">
        <v>0</v>
      </c>
      <c r="EE709">
        <v>0</v>
      </c>
      <c r="EF709">
        <v>1</v>
      </c>
      <c r="EG709">
        <v>0</v>
      </c>
      <c r="EH709">
        <v>1</v>
      </c>
      <c r="EI709" s="2">
        <v>0</v>
      </c>
      <c r="EK709" t="str">
        <f t="shared" si="837"/>
        <v/>
      </c>
      <c r="EL709" t="str">
        <f t="shared" si="838"/>
        <v>Ecosystem approach</v>
      </c>
      <c r="EM709" s="2" t="str">
        <f t="shared" si="821"/>
        <v/>
      </c>
      <c r="EP709" t="str">
        <f>IF(ISNUMBER(BU709),IF(ABS(BU709-[4]QC_indicators!$B$2)&gt;3*[4]QC_indicators!$C$2,"C ratio",IF(ISNUMBER(BY709),IF(ABS(BY709-[4]QC_indicators!$B$1)&gt;3*[4]QC_indicators!$C$1,"DF","no"))),IF(ISNUMBER(BY709),IF(ABS(BY709-[4]QC_indicators!$B$1)&gt;3*[4]QC_indicators!$C$1,"DF","no")))</f>
        <v>DF</v>
      </c>
      <c r="ET709" s="264" t="s">
        <v>3406</v>
      </c>
    </row>
    <row r="710" spans="1:150" ht="15" hidden="1" customHeight="1">
      <c r="A710" s="1" t="s">
        <v>656</v>
      </c>
      <c r="B710" t="s">
        <v>5105</v>
      </c>
      <c r="C710" t="s">
        <v>544</v>
      </c>
      <c r="D710" t="s">
        <v>5106</v>
      </c>
      <c r="E710" t="s">
        <v>5107</v>
      </c>
      <c r="F710" t="s">
        <v>5108</v>
      </c>
      <c r="G710" t="s">
        <v>662</v>
      </c>
      <c r="H710" t="s">
        <v>254</v>
      </c>
      <c r="I710">
        <v>2021</v>
      </c>
      <c r="J710">
        <v>0</v>
      </c>
      <c r="K710" t="s">
        <v>5109</v>
      </c>
      <c r="M710" t="str">
        <f t="shared" si="839"/>
        <v>Gu_2021</v>
      </c>
      <c r="N710" t="s">
        <v>2585</v>
      </c>
      <c r="O710" s="181" t="s">
        <v>341</v>
      </c>
      <c r="Q710" s="311" t="s">
        <v>256</v>
      </c>
      <c r="R710" s="312"/>
      <c r="AX710" s="141"/>
      <c r="AY710" s="141"/>
      <c r="BE710"/>
      <c r="BF710" s="2"/>
      <c r="BU710" s="144"/>
      <c r="BY710" t="str">
        <f t="shared" si="820"/>
        <v/>
      </c>
      <c r="CN710"/>
      <c r="CO710"/>
      <c r="CP710"/>
      <c r="CQ710"/>
      <c r="CR710"/>
      <c r="CS710"/>
      <c r="CT710"/>
      <c r="CU710"/>
      <c r="CV710" s="2"/>
      <c r="CX710"/>
      <c r="DC710"/>
      <c r="DI710"/>
      <c r="DJ710"/>
      <c r="DK710"/>
      <c r="DL710"/>
      <c r="DM710"/>
      <c r="DN710"/>
      <c r="DT710"/>
      <c r="DU710" s="143"/>
      <c r="EK710" t="str">
        <f t="shared" ref="EK710:EK719" si="840">IF(AND(AND(AND(OR($DX710=1,$DW710=1),OR($EC710=1,$EA710=1)),SUM($DV710:$DZ710,$EF710)&gt;=3),SUM($EA710:$EE710)&gt;=2),"Whole sector","")</f>
        <v/>
      </c>
      <c r="EL710" t="str">
        <f t="shared" ref="EL710:EL719" si="841">IF(AND(AND(OR($DX710=1,$DW710=1),AND($EC710=0,$EA710=0)),SUM($DV710:$DZ710,$EF710)&gt;=3),"Ecosystem approach","")</f>
        <v/>
      </c>
      <c r="EM710" s="2" t="str">
        <f t="shared" si="821"/>
        <v/>
      </c>
      <c r="EO710" t="s">
        <v>450</v>
      </c>
      <c r="EP710" t="b">
        <f>IF(ISNUMBER(BU710),IF(ABS(BU710-[1]QC_indicators!$B$2)&gt;3*[1]QC_indicators!$C$2,"C ratio",IF(ISNUMBER(BY710),IF(ABS(BY710-[1]QC_indicators!$B$1)&gt;3*[1]QC_indicators!$C$1,"DF","no"))),IF(ISNUMBER(BY710),IF(ABS(BY710-[1]QC_indicators!$B$1)&gt;3*[1]QC_indicators!$C$1,"DF","no")))</f>
        <v>0</v>
      </c>
    </row>
    <row r="711" spans="1:150" ht="15" hidden="1" customHeight="1">
      <c r="A711" s="1" t="s">
        <v>3653</v>
      </c>
      <c r="B711" t="s">
        <v>3654</v>
      </c>
      <c r="C711" t="s">
        <v>3655</v>
      </c>
      <c r="D711" t="s">
        <v>3656</v>
      </c>
      <c r="E711" s="311" t="s">
        <v>3657</v>
      </c>
      <c r="F711" t="s">
        <v>3658</v>
      </c>
      <c r="G711" t="s">
        <v>3659</v>
      </c>
      <c r="H711" t="s">
        <v>254</v>
      </c>
      <c r="I711">
        <v>2015</v>
      </c>
      <c r="J711">
        <v>19</v>
      </c>
      <c r="K711" t="s">
        <v>3660</v>
      </c>
      <c r="M711" t="str">
        <f t="shared" si="839"/>
        <v>Guo_2015</v>
      </c>
      <c r="N711" s="311" t="s">
        <v>4382</v>
      </c>
      <c r="O711" s="311" t="s">
        <v>223</v>
      </c>
      <c r="Q711" s="311" t="s">
        <v>389</v>
      </c>
      <c r="R711" s="312"/>
      <c r="S711" s="154" t="s">
        <v>3661</v>
      </c>
      <c r="T711" s="313" t="s">
        <v>3662</v>
      </c>
      <c r="U711" s="311" t="s">
        <v>3663</v>
      </c>
      <c r="V711">
        <v>0</v>
      </c>
      <c r="W711">
        <v>0</v>
      </c>
      <c r="X711">
        <v>1</v>
      </c>
      <c r="Y711">
        <v>0</v>
      </c>
      <c r="Z711">
        <v>0</v>
      </c>
      <c r="AA711">
        <v>0</v>
      </c>
      <c r="AB711">
        <v>0</v>
      </c>
      <c r="AC711">
        <v>0</v>
      </c>
      <c r="AD711">
        <v>0</v>
      </c>
      <c r="AE711">
        <v>0</v>
      </c>
      <c r="AF711">
        <v>0</v>
      </c>
      <c r="AG711">
        <v>0</v>
      </c>
      <c r="AH711">
        <v>0</v>
      </c>
      <c r="AI711">
        <v>0</v>
      </c>
      <c r="AJ711">
        <v>0</v>
      </c>
      <c r="AK711">
        <v>0</v>
      </c>
      <c r="AL711">
        <v>0</v>
      </c>
      <c r="AM711">
        <v>0</v>
      </c>
      <c r="AN711">
        <v>0</v>
      </c>
      <c r="AO711">
        <v>0</v>
      </c>
      <c r="AP711">
        <v>0</v>
      </c>
      <c r="AQ711">
        <v>0</v>
      </c>
      <c r="AR711">
        <v>0</v>
      </c>
      <c r="AS711">
        <v>0</v>
      </c>
      <c r="AT711">
        <v>0</v>
      </c>
      <c r="AU711">
        <v>0</v>
      </c>
      <c r="AV711">
        <v>0</v>
      </c>
      <c r="AW711">
        <v>0</v>
      </c>
      <c r="AX711" s="141">
        <f t="shared" ref="AX711:AX717" si="842">COUNTIF(V711:AW711,"&lt;&gt;0")</f>
        <v>1</v>
      </c>
      <c r="AY711" s="141">
        <f t="shared" ref="AY711:AY717" si="843">COUNTIF(V711:AL711,"&lt;&gt;0")</f>
        <v>1</v>
      </c>
      <c r="AZ711">
        <f t="shared" ref="AZ711:AZ717" si="844">COUNTIF(V711:AC711,"&lt;&gt;0")</f>
        <v>1</v>
      </c>
      <c r="BA711">
        <f t="shared" ref="BA711:BA717" si="845">COUNTIF(AD711:AI711,"&lt;&gt;0")</f>
        <v>0</v>
      </c>
      <c r="BB711">
        <f t="shared" ref="BB711:BB717" si="846">COUNTIF(AJ711:AL711,"&lt;&gt;0")</f>
        <v>0</v>
      </c>
      <c r="BC711">
        <f t="shared" ref="BC711:BC717" si="847">COUNTIF(AS711:AW711,"&lt;&gt;0")</f>
        <v>0</v>
      </c>
      <c r="BD711">
        <f t="shared" ref="BD711:BD717" si="848">COUNTIF(AM711:AR711,"&lt;&gt;0")</f>
        <v>0</v>
      </c>
      <c r="BE711" t="str" cm="1">
        <f t="array" ref="BE711">IF(AY711=1,INDEX($V$7:$AL$7,MATCH(TRUE,INDEX($V711:$AW711&lt;&gt;0,),0)),IF(AY711=0,INDEX($AM$7:$AW$7,MATCH(1,$AM711:$AW711,0)),IF(BF711="Multiple strategies","mixed drivers",IF(BF711="Supply chain","multiple supply","multiple silviculture"))))</f>
        <v>rotation length</v>
      </c>
      <c r="BF711" s="2" t="str" cm="1">
        <f t="array" ref="BF711">IF(COUNTIF(AZ711:BB711,"&lt;&gt;0")=1,INDEX($V$4:$AW$4,MATCH(TRUE,INDEX($V711:$AW711&lt;&gt;0,),0)),IF(COUNTIF(AZ711:BB711,"&lt;&gt;0")=0,INDEX($AM$4:$AW$4,MATCH(1,$AM711:$AW711,0)),"Multiple strategies"))</f>
        <v>Silviculture for removals</v>
      </c>
      <c r="BG711" s="1" t="s">
        <v>321</v>
      </c>
      <c r="BH711" s="311" t="s">
        <v>3664</v>
      </c>
      <c r="BI711" s="311"/>
      <c r="BJ711" s="311" t="s">
        <v>345</v>
      </c>
      <c r="BK711">
        <v>1</v>
      </c>
      <c r="BL711">
        <v>1</v>
      </c>
      <c r="BN711">
        <f t="shared" ref="BN711:BN717" si="849">BL711-BK711</f>
        <v>0</v>
      </c>
      <c r="BO711">
        <f t="shared" ref="BO711:BO717" si="850">BN711*10^6</f>
        <v>0</v>
      </c>
      <c r="BP711" s="311" t="s">
        <v>232</v>
      </c>
      <c r="BQ711" s="311" t="s">
        <v>3665</v>
      </c>
      <c r="BR711" s="311" t="s">
        <v>397</v>
      </c>
      <c r="BS711">
        <v>4.6500000000000004</v>
      </c>
      <c r="BT711">
        <v>5.8</v>
      </c>
      <c r="BU711" s="144">
        <f>BT711/BS711</f>
        <v>1.247311827956989</v>
      </c>
      <c r="BV711">
        <f t="shared" ref="BV711:BV717" si="851">BT711-BS711</f>
        <v>1.1499999999999995</v>
      </c>
      <c r="BX711">
        <f t="shared" ref="BX711:BX717" si="852">BV711/1000</f>
        <v>1.1499999999999995E-3</v>
      </c>
      <c r="BY711" t="str">
        <f t="shared" si="820"/>
        <v/>
      </c>
      <c r="BZ711">
        <v>1</v>
      </c>
      <c r="CN711" t="str">
        <f t="shared" ref="CN711:CN717" si="853">IF($BL711&lt;$BK711,"refNeedCorrection","refOK")</f>
        <v>refOK</v>
      </c>
      <c r="CO711">
        <f t="shared" ref="CO711:CO717" si="854">IF($CN711="refOK",$BK711,$BL711)</f>
        <v>1</v>
      </c>
      <c r="CP711">
        <f t="shared" ref="CP711:CP717" si="855">IF($CN711="refOK",$BL711,$BK711)</f>
        <v>1</v>
      </c>
      <c r="CQ711">
        <f t="shared" ref="CQ711:CQ717" si="856">IF($CN711="refOK",$BO711,-$BO711)</f>
        <v>0</v>
      </c>
      <c r="CR711">
        <f t="shared" ref="CR711:CR717" si="857">IF($CN711="refOK",$BS711,$BT711)*IF($BP711="Emissions positive",-1,1)</f>
        <v>4.6500000000000004</v>
      </c>
      <c r="CS711">
        <f t="shared" ref="CS711:CS717" si="858">IF($CN711="refOK",$BT711,$BS711)*IF($BP711="Emissions positive",-1,1)</f>
        <v>5.8</v>
      </c>
      <c r="CT711">
        <f t="shared" ref="CT711:CT717" si="859">IF($CN711="refNeedCorrection",-BX711,BX711)*IF($BP711="Emissions positive",-1,1)</f>
        <v>1.1499999999999995E-3</v>
      </c>
      <c r="CU711" t="str">
        <f t="shared" ref="CU711:CU717" si="860">IFERROR(CT711/CQ711,"")</f>
        <v/>
      </c>
      <c r="CV711" s="2">
        <f t="shared" ref="CV711:CV717" si="861">IFERROR((CS711-CR711)/ABS(CR711),"")</f>
        <v>0.24731182795698911</v>
      </c>
      <c r="CW711" s="318" t="s">
        <v>263</v>
      </c>
      <c r="CX711" s="311" t="str">
        <f t="shared" ref="CX711:CX717" si="862">IF(OR($CW711="prd",$CW711="std",$CW711="cit"),"loc",IF(OR($CW711="eur",$CW711="reg",$CW711="coy"),"reg",$CW711))</f>
        <v>loc</v>
      </c>
      <c r="CY711" s="317" t="s">
        <v>732</v>
      </c>
      <c r="DB711">
        <v>3</v>
      </c>
      <c r="DC711" t="str">
        <f t="shared" ref="DC711:DC717" si="863">IF(DB711=0,"0",IF(AND(DB711&gt;=1,DB711&lt;=30),"1-30",IF(AND(DB711&gt;30,DB711&lt;=70),"31-70",IF(AND(DB711&gt;70,DB711&lt;=100),"71-100",IF(DB711&gt;100,"+100")))))</f>
        <v>1-30</v>
      </c>
      <c r="DD711">
        <v>0</v>
      </c>
      <c r="DE711">
        <v>1</v>
      </c>
      <c r="DF711">
        <v>0</v>
      </c>
      <c r="DG711">
        <v>0</v>
      </c>
      <c r="DH711">
        <v>0</v>
      </c>
      <c r="DI711">
        <f t="shared" ref="DI711:DI717" si="864">SUM(DD711:DH711)</f>
        <v>1</v>
      </c>
      <c r="DJ711" t="str">
        <f t="shared" ref="DJ711:DJ717" si="865">IF(DI711=1,INDEX($DD$7:$DG$7,MATCH(1,$DD711:$DG711,0)),"mixedProduct")</f>
        <v>EnergyInput</v>
      </c>
      <c r="DK711">
        <f t="shared" ref="DK711:DN717" si="866">IF(DD711=1,DK$7,0)</f>
        <v>0</v>
      </c>
      <c r="DL711" t="str">
        <f t="shared" si="866"/>
        <v>Energy</v>
      </c>
      <c r="DM711">
        <f t="shared" si="866"/>
        <v>0</v>
      </c>
      <c r="DN711">
        <f t="shared" si="866"/>
        <v>0</v>
      </c>
      <c r="DO711">
        <v>0</v>
      </c>
      <c r="DP711">
        <v>0</v>
      </c>
      <c r="DQ711">
        <v>0</v>
      </c>
      <c r="DR711">
        <v>0</v>
      </c>
      <c r="DS711">
        <v>0</v>
      </c>
      <c r="DT711"/>
      <c r="DU711" t="str">
        <f t="shared" ref="DU711:DU717" si="867">IF(DO711=1,"self-calculated DF",IF(DP711=1,"external DF used","explicit C balance"))</f>
        <v>explicit C balance</v>
      </c>
      <c r="DV711">
        <v>1</v>
      </c>
      <c r="DW711">
        <v>0</v>
      </c>
      <c r="DX711">
        <v>0</v>
      </c>
      <c r="DY711">
        <v>1</v>
      </c>
      <c r="DZ711">
        <v>0</v>
      </c>
      <c r="EA711">
        <v>0</v>
      </c>
      <c r="EB711">
        <v>0</v>
      </c>
      <c r="EC711">
        <v>0</v>
      </c>
      <c r="ED711">
        <v>0</v>
      </c>
      <c r="EE711">
        <v>0</v>
      </c>
      <c r="EF711">
        <v>0</v>
      </c>
      <c r="EG711">
        <v>0</v>
      </c>
      <c r="EH711">
        <v>0</v>
      </c>
      <c r="EI711" s="2">
        <v>0</v>
      </c>
      <c r="EK711" t="str">
        <f t="shared" si="840"/>
        <v/>
      </c>
      <c r="EL711" t="str">
        <f t="shared" si="841"/>
        <v/>
      </c>
      <c r="EM711" s="2" t="str">
        <f t="shared" si="821"/>
        <v/>
      </c>
      <c r="EP711" t="b">
        <f>IF(ISNUMBER(BU711),IF(ABS(BU711-[1]QC_indicators!$B$2)&gt;3*[1]QC_indicators!$C$2,"C ratio",IF(ISNUMBER(BY711),IF(ABS(BY711-[1]QC_indicators!$B$1)&gt;3*[1]QC_indicators!$C$1,"DF","no"))),IF(ISNUMBER(BY711),IF(ABS(BY711-[1]QC_indicators!$B$1)&gt;3*[1]QC_indicators!$C$1,"DF","no")))</f>
        <v>0</v>
      </c>
    </row>
    <row r="712" spans="1:150" ht="15" hidden="1" customHeight="1">
      <c r="A712" s="1" t="s">
        <v>3653</v>
      </c>
      <c r="B712" t="s">
        <v>3654</v>
      </c>
      <c r="C712" t="s">
        <v>3655</v>
      </c>
      <c r="D712" t="s">
        <v>3656</v>
      </c>
      <c r="E712" s="311" t="s">
        <v>3657</v>
      </c>
      <c r="F712" t="s">
        <v>3658</v>
      </c>
      <c r="G712" t="s">
        <v>3659</v>
      </c>
      <c r="H712" t="s">
        <v>254</v>
      </c>
      <c r="I712">
        <v>2015</v>
      </c>
      <c r="J712">
        <v>19</v>
      </c>
      <c r="K712" t="s">
        <v>3660</v>
      </c>
      <c r="M712" t="str">
        <f t="shared" si="839"/>
        <v>Guo_2015</v>
      </c>
      <c r="N712" s="311" t="s">
        <v>4382</v>
      </c>
      <c r="O712" s="311" t="s">
        <v>223</v>
      </c>
      <c r="Q712" s="311" t="s">
        <v>389</v>
      </c>
      <c r="R712" s="312"/>
      <c r="S712" s="154" t="s">
        <v>3661</v>
      </c>
      <c r="T712" s="313" t="s">
        <v>3662</v>
      </c>
      <c r="U712" s="311" t="s">
        <v>3663</v>
      </c>
      <c r="V712">
        <v>0</v>
      </c>
      <c r="W712">
        <v>0</v>
      </c>
      <c r="X712">
        <v>1</v>
      </c>
      <c r="Y712">
        <v>0</v>
      </c>
      <c r="Z712">
        <v>0</v>
      </c>
      <c r="AA712">
        <v>0</v>
      </c>
      <c r="AB712">
        <v>0</v>
      </c>
      <c r="AC712">
        <v>0</v>
      </c>
      <c r="AD712">
        <v>0</v>
      </c>
      <c r="AE712">
        <v>0</v>
      </c>
      <c r="AF712">
        <v>0</v>
      </c>
      <c r="AG712">
        <v>0</v>
      </c>
      <c r="AH712">
        <v>0</v>
      </c>
      <c r="AI712">
        <v>0</v>
      </c>
      <c r="AJ712">
        <v>0</v>
      </c>
      <c r="AK712">
        <v>0</v>
      </c>
      <c r="AL712">
        <v>0</v>
      </c>
      <c r="AM712">
        <v>0</v>
      </c>
      <c r="AN712">
        <v>0</v>
      </c>
      <c r="AO712">
        <v>0</v>
      </c>
      <c r="AP712">
        <v>0</v>
      </c>
      <c r="AQ712">
        <v>0</v>
      </c>
      <c r="AR712">
        <v>0</v>
      </c>
      <c r="AS712">
        <v>0</v>
      </c>
      <c r="AT712">
        <v>0</v>
      </c>
      <c r="AU712">
        <v>0</v>
      </c>
      <c r="AV712">
        <v>0</v>
      </c>
      <c r="AW712">
        <v>0</v>
      </c>
      <c r="AX712" s="141">
        <f t="shared" si="842"/>
        <v>1</v>
      </c>
      <c r="AY712" s="141">
        <f t="shared" si="843"/>
        <v>1</v>
      </c>
      <c r="AZ712">
        <f t="shared" si="844"/>
        <v>1</v>
      </c>
      <c r="BA712">
        <f t="shared" si="845"/>
        <v>0</v>
      </c>
      <c r="BB712">
        <f t="shared" si="846"/>
        <v>0</v>
      </c>
      <c r="BC712">
        <f t="shared" si="847"/>
        <v>0</v>
      </c>
      <c r="BD712">
        <f t="shared" si="848"/>
        <v>0</v>
      </c>
      <c r="BE712" t="str" cm="1">
        <f t="array" ref="BE712">IF(AY712=1,INDEX($V$7:$AL$7,MATCH(TRUE,INDEX($V712:$AW712&lt;&gt;0,),0)),IF(AY712=0,INDEX($AM$7:$AW$7,MATCH(1,$AM712:$AW712,0)),IF(BF712="Multiple strategies","mixed drivers",IF(BF712="Supply chain","multiple supply","multiple silviculture"))))</f>
        <v>rotation length</v>
      </c>
      <c r="BF712" s="2" t="str" cm="1">
        <f t="array" ref="BF712">IF(COUNTIF(AZ712:BB712,"&lt;&gt;0")=1,INDEX($V$4:$AW$4,MATCH(TRUE,INDEX($V712:$AW712&lt;&gt;0,),0)),IF(COUNTIF(AZ712:BB712,"&lt;&gt;0")=0,INDEX($AM$4:$AW$4,MATCH(1,$AM712:$AW712,0)),"Multiple strategies"))</f>
        <v>Silviculture for removals</v>
      </c>
      <c r="BG712" s="1" t="s">
        <v>321</v>
      </c>
      <c r="BH712" s="311" t="s">
        <v>3664</v>
      </c>
      <c r="BI712" s="311"/>
      <c r="BJ712" s="311" t="s">
        <v>345</v>
      </c>
      <c r="BK712">
        <v>1</v>
      </c>
      <c r="BL712">
        <v>1</v>
      </c>
      <c r="BN712">
        <f t="shared" si="849"/>
        <v>0</v>
      </c>
      <c r="BO712">
        <f t="shared" si="850"/>
        <v>0</v>
      </c>
      <c r="BP712" s="311" t="s">
        <v>395</v>
      </c>
      <c r="BQ712" s="311" t="s">
        <v>3665</v>
      </c>
      <c r="BR712" s="311" t="s">
        <v>397</v>
      </c>
      <c r="BS712">
        <f>-2.1+2.74+1.91</f>
        <v>2.5499999999999998</v>
      </c>
      <c r="BT712">
        <f>-3.19+3.89+1.91</f>
        <v>2.6100000000000003</v>
      </c>
      <c r="BV712">
        <f t="shared" si="851"/>
        <v>6.0000000000000497E-2</v>
      </c>
      <c r="BX712">
        <f t="shared" si="852"/>
        <v>6.0000000000000496E-5</v>
      </c>
      <c r="BY712" t="str">
        <f t="shared" si="820"/>
        <v/>
      </c>
      <c r="BZ712">
        <v>1</v>
      </c>
      <c r="CN712" t="str">
        <f t="shared" si="853"/>
        <v>refOK</v>
      </c>
      <c r="CO712">
        <f t="shared" si="854"/>
        <v>1</v>
      </c>
      <c r="CP712">
        <f t="shared" si="855"/>
        <v>1</v>
      </c>
      <c r="CQ712">
        <f t="shared" si="856"/>
        <v>0</v>
      </c>
      <c r="CR712">
        <f t="shared" si="857"/>
        <v>-2.5499999999999998</v>
      </c>
      <c r="CS712">
        <f t="shared" si="858"/>
        <v>-2.6100000000000003</v>
      </c>
      <c r="CT712">
        <f t="shared" si="859"/>
        <v>-6.0000000000000496E-5</v>
      </c>
      <c r="CU712" t="str">
        <f t="shared" si="860"/>
        <v/>
      </c>
      <c r="CV712" s="2">
        <f t="shared" si="861"/>
        <v>-2.352941176470608E-2</v>
      </c>
      <c r="CW712" s="318" t="s">
        <v>263</v>
      </c>
      <c r="CX712" s="311" t="str">
        <f t="shared" si="862"/>
        <v>loc</v>
      </c>
      <c r="CY712" s="317" t="s">
        <v>732</v>
      </c>
      <c r="DB712">
        <v>3</v>
      </c>
      <c r="DC712" t="str">
        <f t="shared" si="863"/>
        <v>1-30</v>
      </c>
      <c r="DD712">
        <v>0</v>
      </c>
      <c r="DE712">
        <v>1</v>
      </c>
      <c r="DF712">
        <v>0</v>
      </c>
      <c r="DG712">
        <v>0</v>
      </c>
      <c r="DH712">
        <v>0</v>
      </c>
      <c r="DI712">
        <f t="shared" si="864"/>
        <v>1</v>
      </c>
      <c r="DJ712" t="str">
        <f t="shared" si="865"/>
        <v>EnergyInput</v>
      </c>
      <c r="DK712">
        <f t="shared" si="866"/>
        <v>0</v>
      </c>
      <c r="DL712" t="str">
        <f t="shared" si="866"/>
        <v>Energy</v>
      </c>
      <c r="DM712">
        <f t="shared" si="866"/>
        <v>0</v>
      </c>
      <c r="DN712">
        <f t="shared" si="866"/>
        <v>0</v>
      </c>
      <c r="DO712">
        <v>0</v>
      </c>
      <c r="DP712">
        <v>0</v>
      </c>
      <c r="DQ712">
        <v>0</v>
      </c>
      <c r="DR712">
        <v>0</v>
      </c>
      <c r="DS712">
        <v>0</v>
      </c>
      <c r="DT712"/>
      <c r="DU712" t="str">
        <f t="shared" si="867"/>
        <v>explicit C balance</v>
      </c>
      <c r="DV712">
        <v>0</v>
      </c>
      <c r="DW712">
        <v>0</v>
      </c>
      <c r="DX712">
        <v>0</v>
      </c>
      <c r="DY712">
        <v>0</v>
      </c>
      <c r="DZ712">
        <v>0</v>
      </c>
      <c r="EA712">
        <v>0</v>
      </c>
      <c r="EB712">
        <v>1</v>
      </c>
      <c r="EC712">
        <v>1</v>
      </c>
      <c r="ED712">
        <v>0</v>
      </c>
      <c r="EE712">
        <v>0</v>
      </c>
      <c r="EF712">
        <v>0</v>
      </c>
      <c r="EG712">
        <v>0</v>
      </c>
      <c r="EH712">
        <v>0</v>
      </c>
      <c r="EI712" s="2">
        <v>0</v>
      </c>
      <c r="EK712" t="str">
        <f t="shared" si="840"/>
        <v/>
      </c>
      <c r="EL712" t="str">
        <f t="shared" si="841"/>
        <v/>
      </c>
      <c r="EM712" s="2" t="str">
        <f t="shared" si="821"/>
        <v>Technology approach</v>
      </c>
      <c r="EP712" t="b">
        <f>IF(ISNUMBER(BU712),IF(ABS(BU712-[1]QC_indicators!$B$2)&gt;3*[1]QC_indicators!$C$2,"C ratio",IF(ISNUMBER(BY712),IF(ABS(BY712-[1]QC_indicators!$B$1)&gt;3*[1]QC_indicators!$C$1,"DF","no"))),IF(ISNUMBER(BY712),IF(ABS(BY712-[1]QC_indicators!$B$1)&gt;3*[1]QC_indicators!$C$1,"DF","no")))</f>
        <v>0</v>
      </c>
    </row>
    <row r="713" spans="1:150" ht="15" hidden="1" customHeight="1">
      <c r="A713" s="1" t="s">
        <v>3653</v>
      </c>
      <c r="B713" t="s">
        <v>3654</v>
      </c>
      <c r="C713" t="s">
        <v>3655</v>
      </c>
      <c r="D713" t="s">
        <v>3656</v>
      </c>
      <c r="E713" s="311" t="s">
        <v>3657</v>
      </c>
      <c r="F713" t="s">
        <v>3658</v>
      </c>
      <c r="G713" t="s">
        <v>3659</v>
      </c>
      <c r="H713" t="s">
        <v>254</v>
      </c>
      <c r="I713">
        <v>2015</v>
      </c>
      <c r="J713">
        <v>19</v>
      </c>
      <c r="K713" t="s">
        <v>3660</v>
      </c>
      <c r="M713" t="str">
        <f t="shared" si="839"/>
        <v>Guo_2015</v>
      </c>
      <c r="N713" s="311" t="s">
        <v>4382</v>
      </c>
      <c r="O713" s="311" t="s">
        <v>223</v>
      </c>
      <c r="Q713" s="311" t="s">
        <v>389</v>
      </c>
      <c r="R713" s="312"/>
      <c r="S713" s="154" t="s">
        <v>3661</v>
      </c>
      <c r="T713" s="313" t="s">
        <v>3666</v>
      </c>
      <c r="U713" s="311" t="s">
        <v>3667</v>
      </c>
      <c r="V713">
        <v>0</v>
      </c>
      <c r="W713">
        <v>0</v>
      </c>
      <c r="X713">
        <v>1</v>
      </c>
      <c r="Y713">
        <v>0</v>
      </c>
      <c r="Z713">
        <v>0</v>
      </c>
      <c r="AA713">
        <v>0</v>
      </c>
      <c r="AB713">
        <v>0</v>
      </c>
      <c r="AC713">
        <v>0</v>
      </c>
      <c r="AD713">
        <v>0</v>
      </c>
      <c r="AE713">
        <v>0</v>
      </c>
      <c r="AF713">
        <v>0</v>
      </c>
      <c r="AG713">
        <v>0</v>
      </c>
      <c r="AH713">
        <v>0</v>
      </c>
      <c r="AI713">
        <v>0</v>
      </c>
      <c r="AJ713">
        <v>0</v>
      </c>
      <c r="AK713">
        <v>0</v>
      </c>
      <c r="AL713">
        <v>0</v>
      </c>
      <c r="AM713">
        <v>0</v>
      </c>
      <c r="AN713">
        <v>0</v>
      </c>
      <c r="AO713">
        <v>0</v>
      </c>
      <c r="AP713">
        <v>0</v>
      </c>
      <c r="AQ713">
        <v>0</v>
      </c>
      <c r="AR713">
        <v>0</v>
      </c>
      <c r="AS713">
        <v>0</v>
      </c>
      <c r="AT713">
        <v>0</v>
      </c>
      <c r="AU713">
        <v>0</v>
      </c>
      <c r="AV713">
        <v>0</v>
      </c>
      <c r="AW713">
        <v>0</v>
      </c>
      <c r="AX713" s="141">
        <f t="shared" si="842"/>
        <v>1</v>
      </c>
      <c r="AY713" s="141">
        <f t="shared" si="843"/>
        <v>1</v>
      </c>
      <c r="AZ713">
        <f t="shared" si="844"/>
        <v>1</v>
      </c>
      <c r="BA713">
        <f t="shared" si="845"/>
        <v>0</v>
      </c>
      <c r="BB713">
        <f t="shared" si="846"/>
        <v>0</v>
      </c>
      <c r="BC713">
        <f t="shared" si="847"/>
        <v>0</v>
      </c>
      <c r="BD713">
        <f t="shared" si="848"/>
        <v>0</v>
      </c>
      <c r="BE713" t="str" cm="1">
        <f t="array" ref="BE713">IF(AY713=1,INDEX($V$7:$AL$7,MATCH(TRUE,INDEX($V713:$AW713&lt;&gt;0,),0)),IF(AY713=0,INDEX($AM$7:$AW$7,MATCH(1,$AM713:$AW713,0)),IF(BF713="Multiple strategies","mixed drivers",IF(BF713="Supply chain","multiple supply","multiple silviculture"))))</f>
        <v>rotation length</v>
      </c>
      <c r="BF713" s="2" t="str" cm="1">
        <f t="array" ref="BF713">IF(COUNTIF(AZ713:BB713,"&lt;&gt;0")=1,INDEX($V$4:$AW$4,MATCH(TRUE,INDEX($V713:$AW713&lt;&gt;0,),0)),IF(COUNTIF(AZ713:BB713,"&lt;&gt;0")=0,INDEX($AM$4:$AW$4,MATCH(1,$AM713:$AW713,0)),"Multiple strategies"))</f>
        <v>Silviculture for removals</v>
      </c>
      <c r="BG713" s="1" t="s">
        <v>321</v>
      </c>
      <c r="BH713" s="311" t="s">
        <v>3664</v>
      </c>
      <c r="BI713" s="311"/>
      <c r="BJ713" s="311" t="s">
        <v>345</v>
      </c>
      <c r="BK713">
        <v>1</v>
      </c>
      <c r="BL713">
        <v>1</v>
      </c>
      <c r="BN713">
        <f t="shared" si="849"/>
        <v>0</v>
      </c>
      <c r="BO713">
        <f t="shared" si="850"/>
        <v>0</v>
      </c>
      <c r="BP713" s="311" t="s">
        <v>232</v>
      </c>
      <c r="BQ713" s="311" t="s">
        <v>3665</v>
      </c>
      <c r="BR713" s="311" t="s">
        <v>397</v>
      </c>
      <c r="BS713">
        <v>2.87</v>
      </c>
      <c r="BT713">
        <v>4.2699999999999996</v>
      </c>
      <c r="BU713" s="144">
        <f>BT713/BS713</f>
        <v>1.4878048780487803</v>
      </c>
      <c r="BV713">
        <f t="shared" si="851"/>
        <v>1.3999999999999995</v>
      </c>
      <c r="BX713">
        <f t="shared" si="852"/>
        <v>1.3999999999999996E-3</v>
      </c>
      <c r="BY713" t="str">
        <f t="shared" si="820"/>
        <v/>
      </c>
      <c r="BZ713">
        <v>1</v>
      </c>
      <c r="CN713" t="str">
        <f t="shared" si="853"/>
        <v>refOK</v>
      </c>
      <c r="CO713">
        <f t="shared" si="854"/>
        <v>1</v>
      </c>
      <c r="CP713">
        <f t="shared" si="855"/>
        <v>1</v>
      </c>
      <c r="CQ713">
        <f t="shared" si="856"/>
        <v>0</v>
      </c>
      <c r="CR713">
        <f t="shared" si="857"/>
        <v>2.87</v>
      </c>
      <c r="CS713">
        <f t="shared" si="858"/>
        <v>4.2699999999999996</v>
      </c>
      <c r="CT713">
        <f t="shared" si="859"/>
        <v>1.3999999999999996E-3</v>
      </c>
      <c r="CU713" t="str">
        <f t="shared" si="860"/>
        <v/>
      </c>
      <c r="CV713" s="2">
        <f t="shared" si="861"/>
        <v>0.48780487804878031</v>
      </c>
      <c r="CW713" s="318" t="s">
        <v>263</v>
      </c>
      <c r="CX713" s="311" t="str">
        <f t="shared" si="862"/>
        <v>loc</v>
      </c>
      <c r="CY713" s="317" t="s">
        <v>732</v>
      </c>
      <c r="DB713">
        <v>3</v>
      </c>
      <c r="DC713" t="str">
        <f t="shared" si="863"/>
        <v>1-30</v>
      </c>
      <c r="DD713">
        <v>0</v>
      </c>
      <c r="DE713">
        <v>1</v>
      </c>
      <c r="DF713">
        <v>0</v>
      </c>
      <c r="DG713">
        <v>0</v>
      </c>
      <c r="DH713">
        <v>0</v>
      </c>
      <c r="DI713">
        <f t="shared" si="864"/>
        <v>1</v>
      </c>
      <c r="DJ713" t="str">
        <f t="shared" si="865"/>
        <v>EnergyInput</v>
      </c>
      <c r="DK713">
        <f t="shared" si="866"/>
        <v>0</v>
      </c>
      <c r="DL713" t="str">
        <f t="shared" si="866"/>
        <v>Energy</v>
      </c>
      <c r="DM713">
        <f t="shared" si="866"/>
        <v>0</v>
      </c>
      <c r="DN713">
        <f t="shared" si="866"/>
        <v>0</v>
      </c>
      <c r="DO713">
        <v>0</v>
      </c>
      <c r="DP713">
        <v>0</v>
      </c>
      <c r="DQ713">
        <v>0</v>
      </c>
      <c r="DR713">
        <v>0</v>
      </c>
      <c r="DS713">
        <v>0</v>
      </c>
      <c r="DT713"/>
      <c r="DU713" t="str">
        <f t="shared" si="867"/>
        <v>explicit C balance</v>
      </c>
      <c r="DV713">
        <v>1</v>
      </c>
      <c r="DW713">
        <v>0</v>
      </c>
      <c r="DX713">
        <v>0</v>
      </c>
      <c r="DY713">
        <v>1</v>
      </c>
      <c r="DZ713">
        <v>0</v>
      </c>
      <c r="EA713">
        <v>0</v>
      </c>
      <c r="EB713">
        <v>1</v>
      </c>
      <c r="EC713">
        <v>1</v>
      </c>
      <c r="ED713">
        <v>0</v>
      </c>
      <c r="EE713">
        <v>0</v>
      </c>
      <c r="EF713">
        <v>0</v>
      </c>
      <c r="EG713">
        <v>0</v>
      </c>
      <c r="EH713">
        <v>0</v>
      </c>
      <c r="EI713" s="2">
        <v>0</v>
      </c>
      <c r="EK713" t="str">
        <f t="shared" si="840"/>
        <v/>
      </c>
      <c r="EL713" t="str">
        <f t="shared" si="841"/>
        <v/>
      </c>
      <c r="EM713" s="2" t="str">
        <f t="shared" si="821"/>
        <v>Technology approach</v>
      </c>
      <c r="EP713" t="b">
        <f>IF(ISNUMBER(BU713),IF(ABS(BU713-[1]QC_indicators!$B$2)&gt;3*[1]QC_indicators!$C$2,"C ratio",IF(ISNUMBER(BY713),IF(ABS(BY713-[1]QC_indicators!$B$1)&gt;3*[1]QC_indicators!$C$1,"DF","no"))),IF(ISNUMBER(BY713),IF(ABS(BY713-[1]QC_indicators!$B$1)&gt;3*[1]QC_indicators!$C$1,"DF","no")))</f>
        <v>0</v>
      </c>
    </row>
    <row r="714" spans="1:150" ht="15" hidden="1" customHeight="1">
      <c r="A714" s="1" t="s">
        <v>3653</v>
      </c>
      <c r="B714" t="s">
        <v>3654</v>
      </c>
      <c r="C714" t="s">
        <v>3655</v>
      </c>
      <c r="D714" t="s">
        <v>3656</v>
      </c>
      <c r="E714" s="311" t="s">
        <v>3657</v>
      </c>
      <c r="F714" t="s">
        <v>3658</v>
      </c>
      <c r="G714" t="s">
        <v>3659</v>
      </c>
      <c r="H714" t="s">
        <v>254</v>
      </c>
      <c r="I714">
        <v>2015</v>
      </c>
      <c r="J714">
        <v>19</v>
      </c>
      <c r="K714" t="s">
        <v>3660</v>
      </c>
      <c r="M714" t="str">
        <f t="shared" si="839"/>
        <v>Guo_2015</v>
      </c>
      <c r="N714" s="311" t="s">
        <v>4382</v>
      </c>
      <c r="O714" s="311" t="s">
        <v>223</v>
      </c>
      <c r="Q714" s="311" t="s">
        <v>389</v>
      </c>
      <c r="R714" s="312"/>
      <c r="S714" s="154" t="s">
        <v>3661</v>
      </c>
      <c r="T714" s="313" t="s">
        <v>3666</v>
      </c>
      <c r="U714" s="311" t="s">
        <v>3667</v>
      </c>
      <c r="V714">
        <v>0</v>
      </c>
      <c r="W714">
        <v>0</v>
      </c>
      <c r="X714">
        <v>1</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s="141">
        <f t="shared" si="842"/>
        <v>1</v>
      </c>
      <c r="AY714" s="141">
        <f t="shared" si="843"/>
        <v>1</v>
      </c>
      <c r="AZ714">
        <f t="shared" si="844"/>
        <v>1</v>
      </c>
      <c r="BA714">
        <f t="shared" si="845"/>
        <v>0</v>
      </c>
      <c r="BB714">
        <f t="shared" si="846"/>
        <v>0</v>
      </c>
      <c r="BC714">
        <f t="shared" si="847"/>
        <v>0</v>
      </c>
      <c r="BD714">
        <f t="shared" si="848"/>
        <v>0</v>
      </c>
      <c r="BE714" t="str" cm="1">
        <f t="array" ref="BE714">IF(AY714=1,INDEX($V$7:$AL$7,MATCH(TRUE,INDEX($V714:$AW714&lt;&gt;0,),0)),IF(AY714=0,INDEX($AM$7:$AW$7,MATCH(1,$AM714:$AW714,0)),IF(BF714="Multiple strategies","mixed drivers",IF(BF714="Supply chain","multiple supply","multiple silviculture"))))</f>
        <v>rotation length</v>
      </c>
      <c r="BF714" s="2" t="str" cm="1">
        <f t="array" ref="BF714">IF(COUNTIF(AZ714:BB714,"&lt;&gt;0")=1,INDEX($V$4:$AW$4,MATCH(TRUE,INDEX($V714:$AW714&lt;&gt;0,),0)),IF(COUNTIF(AZ714:BB714,"&lt;&gt;0")=0,INDEX($AM$4:$AW$4,MATCH(1,$AM714:$AW714,0)),"Multiple strategies"))</f>
        <v>Silviculture for removals</v>
      </c>
      <c r="BG714" s="1" t="s">
        <v>321</v>
      </c>
      <c r="BH714" s="311" t="s">
        <v>3664</v>
      </c>
      <c r="BI714" s="311"/>
      <c r="BJ714" s="311" t="s">
        <v>345</v>
      </c>
      <c r="BK714">
        <v>1</v>
      </c>
      <c r="BL714">
        <v>1</v>
      </c>
      <c r="BN714">
        <f t="shared" si="849"/>
        <v>0</v>
      </c>
      <c r="BO714">
        <f t="shared" si="850"/>
        <v>0</v>
      </c>
      <c r="BP714" s="311" t="s">
        <v>232</v>
      </c>
      <c r="BR714" s="311" t="s">
        <v>397</v>
      </c>
      <c r="BS714">
        <f>3.5+1.91</f>
        <v>5.41</v>
      </c>
      <c r="BT714">
        <f>4.99+1.91</f>
        <v>6.9</v>
      </c>
      <c r="BU714" s="144">
        <f>BT714/BS714</f>
        <v>1.2754158964879851</v>
      </c>
      <c r="BV714">
        <f t="shared" si="851"/>
        <v>1.4900000000000002</v>
      </c>
      <c r="BX714">
        <f t="shared" si="852"/>
        <v>1.4900000000000002E-3</v>
      </c>
      <c r="BY714" t="str">
        <f t="shared" si="820"/>
        <v/>
      </c>
      <c r="BZ714">
        <v>1</v>
      </c>
      <c r="CN714" t="str">
        <f t="shared" si="853"/>
        <v>refOK</v>
      </c>
      <c r="CO714">
        <f t="shared" si="854"/>
        <v>1</v>
      </c>
      <c r="CP714">
        <f t="shared" si="855"/>
        <v>1</v>
      </c>
      <c r="CQ714">
        <f t="shared" si="856"/>
        <v>0</v>
      </c>
      <c r="CR714">
        <f t="shared" si="857"/>
        <v>5.41</v>
      </c>
      <c r="CS714">
        <f t="shared" si="858"/>
        <v>6.9</v>
      </c>
      <c r="CT714">
        <f t="shared" si="859"/>
        <v>1.4900000000000002E-3</v>
      </c>
      <c r="CU714" t="str">
        <f t="shared" si="860"/>
        <v/>
      </c>
      <c r="CV714" s="2">
        <f t="shared" si="861"/>
        <v>0.27541589648798526</v>
      </c>
      <c r="CW714" s="318" t="s">
        <v>263</v>
      </c>
      <c r="CX714" s="311" t="str">
        <f t="shared" si="862"/>
        <v>loc</v>
      </c>
      <c r="CY714" s="317" t="s">
        <v>732</v>
      </c>
      <c r="DB714">
        <v>3</v>
      </c>
      <c r="DC714" t="str">
        <f t="shared" si="863"/>
        <v>1-30</v>
      </c>
      <c r="DD714">
        <v>0</v>
      </c>
      <c r="DE714">
        <v>1</v>
      </c>
      <c r="DF714">
        <v>0</v>
      </c>
      <c r="DG714">
        <v>0</v>
      </c>
      <c r="DH714">
        <v>0</v>
      </c>
      <c r="DI714">
        <f t="shared" si="864"/>
        <v>1</v>
      </c>
      <c r="DJ714" t="str">
        <f t="shared" si="865"/>
        <v>EnergyInput</v>
      </c>
      <c r="DK714">
        <f t="shared" si="866"/>
        <v>0</v>
      </c>
      <c r="DL714" t="str">
        <f t="shared" si="866"/>
        <v>Energy</v>
      </c>
      <c r="DM714">
        <f t="shared" si="866"/>
        <v>0</v>
      </c>
      <c r="DN714">
        <f t="shared" si="866"/>
        <v>0</v>
      </c>
      <c r="DO714">
        <v>0</v>
      </c>
      <c r="DP714">
        <v>0</v>
      </c>
      <c r="DQ714">
        <v>0</v>
      </c>
      <c r="DR714">
        <v>0</v>
      </c>
      <c r="DS714">
        <v>0</v>
      </c>
      <c r="DT714"/>
      <c r="DU714" t="str">
        <f t="shared" si="867"/>
        <v>explicit C balance</v>
      </c>
      <c r="DV714">
        <v>1</v>
      </c>
      <c r="DW714">
        <v>0</v>
      </c>
      <c r="DX714">
        <v>0</v>
      </c>
      <c r="DY714">
        <v>1</v>
      </c>
      <c r="DZ714">
        <v>0</v>
      </c>
      <c r="EA714">
        <v>0</v>
      </c>
      <c r="EB714">
        <v>0</v>
      </c>
      <c r="EC714">
        <v>0</v>
      </c>
      <c r="ED714">
        <v>0</v>
      </c>
      <c r="EE714">
        <v>0</v>
      </c>
      <c r="EF714">
        <v>0</v>
      </c>
      <c r="EG714">
        <v>0</v>
      </c>
      <c r="EH714">
        <v>0</v>
      </c>
      <c r="EI714" s="2">
        <v>0</v>
      </c>
      <c r="EK714" t="str">
        <f t="shared" si="840"/>
        <v/>
      </c>
      <c r="EL714" t="str">
        <f t="shared" si="841"/>
        <v/>
      </c>
      <c r="EM714" s="2" t="str">
        <f t="shared" si="821"/>
        <v/>
      </c>
      <c r="EP714" t="b">
        <f>IF(ISNUMBER(BU714),IF(ABS(BU714-[1]QC_indicators!$B$2)&gt;3*[1]QC_indicators!$C$2,"C ratio",IF(ISNUMBER(BY714),IF(ABS(BY714-[1]QC_indicators!$B$1)&gt;3*[1]QC_indicators!$C$1,"DF","no"))),IF(ISNUMBER(BY714),IF(ABS(BY714-[1]QC_indicators!$B$1)&gt;3*[1]QC_indicators!$C$1,"DF","no")))</f>
        <v>0</v>
      </c>
    </row>
    <row r="715" spans="1:150" ht="15" hidden="1" customHeight="1">
      <c r="A715" s="1" t="s">
        <v>3653</v>
      </c>
      <c r="B715" t="s">
        <v>3654</v>
      </c>
      <c r="C715" t="s">
        <v>3655</v>
      </c>
      <c r="D715" t="s">
        <v>3656</v>
      </c>
      <c r="E715" s="311" t="s">
        <v>3657</v>
      </c>
      <c r="F715" t="s">
        <v>3658</v>
      </c>
      <c r="G715" t="s">
        <v>3659</v>
      </c>
      <c r="H715" t="s">
        <v>254</v>
      </c>
      <c r="I715">
        <v>2015</v>
      </c>
      <c r="J715">
        <v>19</v>
      </c>
      <c r="K715" t="s">
        <v>3660</v>
      </c>
      <c r="M715" t="str">
        <f t="shared" si="839"/>
        <v>Guo_2015</v>
      </c>
      <c r="N715" s="311" t="s">
        <v>4382</v>
      </c>
      <c r="O715" s="311" t="s">
        <v>223</v>
      </c>
      <c r="Q715" s="311" t="s">
        <v>389</v>
      </c>
      <c r="R715" s="312"/>
      <c r="S715" s="154" t="s">
        <v>3661</v>
      </c>
      <c r="T715" s="313" t="s">
        <v>3662</v>
      </c>
      <c r="U715" s="311" t="s">
        <v>3668</v>
      </c>
      <c r="V715">
        <v>0</v>
      </c>
      <c r="W715">
        <v>0</v>
      </c>
      <c r="X715">
        <v>1</v>
      </c>
      <c r="Y715">
        <v>0</v>
      </c>
      <c r="Z715">
        <v>0</v>
      </c>
      <c r="AA715">
        <v>0</v>
      </c>
      <c r="AB715">
        <v>0</v>
      </c>
      <c r="AC715">
        <v>0</v>
      </c>
      <c r="AD715">
        <v>0</v>
      </c>
      <c r="AE715">
        <v>0</v>
      </c>
      <c r="AF715">
        <v>0</v>
      </c>
      <c r="AG715">
        <v>0</v>
      </c>
      <c r="AH715">
        <v>0</v>
      </c>
      <c r="AI715">
        <v>0</v>
      </c>
      <c r="AJ715">
        <v>0</v>
      </c>
      <c r="AK715">
        <v>0</v>
      </c>
      <c r="AL715">
        <v>0</v>
      </c>
      <c r="AM715">
        <v>0</v>
      </c>
      <c r="AN715">
        <v>0</v>
      </c>
      <c r="AO715">
        <v>0</v>
      </c>
      <c r="AP715">
        <v>0</v>
      </c>
      <c r="AQ715">
        <v>0</v>
      </c>
      <c r="AR715">
        <v>0</v>
      </c>
      <c r="AS715">
        <v>0</v>
      </c>
      <c r="AT715">
        <v>0</v>
      </c>
      <c r="AU715">
        <v>0</v>
      </c>
      <c r="AV715">
        <v>0</v>
      </c>
      <c r="AW715">
        <v>0</v>
      </c>
      <c r="AX715" s="141">
        <f t="shared" si="842"/>
        <v>1</v>
      </c>
      <c r="AY715" s="141">
        <f t="shared" si="843"/>
        <v>1</v>
      </c>
      <c r="AZ715">
        <f t="shared" si="844"/>
        <v>1</v>
      </c>
      <c r="BA715">
        <f t="shared" si="845"/>
        <v>0</v>
      </c>
      <c r="BB715">
        <f t="shared" si="846"/>
        <v>0</v>
      </c>
      <c r="BC715">
        <f t="shared" si="847"/>
        <v>0</v>
      </c>
      <c r="BD715">
        <f t="shared" si="848"/>
        <v>0</v>
      </c>
      <c r="BE715" t="str" cm="1">
        <f t="array" ref="BE715">IF(AY715=1,INDEX($V$7:$AL$7,MATCH(TRUE,INDEX($V715:$AW715&lt;&gt;0,),0)),IF(AY715=0,INDEX($AM$7:$AW$7,MATCH(1,$AM715:$AW715,0)),IF(BF715="Multiple strategies","mixed drivers",IF(BF715="Supply chain","multiple supply","multiple silviculture"))))</f>
        <v>rotation length</v>
      </c>
      <c r="BF715" s="2" t="str" cm="1">
        <f t="array" ref="BF715">IF(COUNTIF(AZ715:BB715,"&lt;&gt;0")=1,INDEX($V$4:$AW$4,MATCH(TRUE,INDEX($V715:$AW715&lt;&gt;0,),0)),IF(COUNTIF(AZ715:BB715,"&lt;&gt;0")=0,INDEX($AM$4:$AW$4,MATCH(1,$AM715:$AW715,0)),"Multiple strategies"))</f>
        <v>Silviculture for removals</v>
      </c>
      <c r="BG715" s="1" t="s">
        <v>321</v>
      </c>
      <c r="BH715" s="311" t="s">
        <v>3664</v>
      </c>
      <c r="BI715" s="311"/>
      <c r="BJ715" s="311" t="s">
        <v>345</v>
      </c>
      <c r="BK715">
        <v>1</v>
      </c>
      <c r="BL715">
        <v>1</v>
      </c>
      <c r="BN715">
        <f t="shared" si="849"/>
        <v>0</v>
      </c>
      <c r="BO715">
        <f t="shared" si="850"/>
        <v>0</v>
      </c>
      <c r="BP715" s="311" t="s">
        <v>395</v>
      </c>
      <c r="BR715" s="311" t="s">
        <v>397</v>
      </c>
      <c r="BS715">
        <f>-2.1</f>
        <v>-2.1</v>
      </c>
      <c r="BT715">
        <v>-3.19</v>
      </c>
      <c r="BV715">
        <f t="shared" si="851"/>
        <v>-1.0899999999999999</v>
      </c>
      <c r="BX715">
        <f t="shared" si="852"/>
        <v>-1.0899999999999998E-3</v>
      </c>
      <c r="BY715" t="str">
        <f t="shared" si="820"/>
        <v/>
      </c>
      <c r="BZ715">
        <v>1</v>
      </c>
      <c r="CN715" t="str">
        <f t="shared" si="853"/>
        <v>refOK</v>
      </c>
      <c r="CO715">
        <f t="shared" si="854"/>
        <v>1</v>
      </c>
      <c r="CP715">
        <f t="shared" si="855"/>
        <v>1</v>
      </c>
      <c r="CQ715">
        <f t="shared" si="856"/>
        <v>0</v>
      </c>
      <c r="CR715">
        <f t="shared" si="857"/>
        <v>2.1</v>
      </c>
      <c r="CS715">
        <f t="shared" si="858"/>
        <v>3.19</v>
      </c>
      <c r="CT715">
        <f t="shared" si="859"/>
        <v>1.0899999999999998E-3</v>
      </c>
      <c r="CU715" t="str">
        <f t="shared" si="860"/>
        <v/>
      </c>
      <c r="CV715" s="2">
        <f t="shared" si="861"/>
        <v>0.51904761904761898</v>
      </c>
      <c r="CW715" s="318" t="s">
        <v>263</v>
      </c>
      <c r="CX715" s="311" t="str">
        <f t="shared" si="862"/>
        <v>loc</v>
      </c>
      <c r="CY715" s="317" t="s">
        <v>732</v>
      </c>
      <c r="DB715">
        <v>3</v>
      </c>
      <c r="DC715" t="str">
        <f t="shared" si="863"/>
        <v>1-30</v>
      </c>
      <c r="DD715">
        <v>0</v>
      </c>
      <c r="DE715">
        <v>1</v>
      </c>
      <c r="DF715">
        <v>0</v>
      </c>
      <c r="DG715">
        <v>0</v>
      </c>
      <c r="DH715">
        <v>0</v>
      </c>
      <c r="DI715">
        <f t="shared" si="864"/>
        <v>1</v>
      </c>
      <c r="DJ715" t="str">
        <f t="shared" si="865"/>
        <v>EnergyInput</v>
      </c>
      <c r="DK715">
        <f t="shared" si="866"/>
        <v>0</v>
      </c>
      <c r="DL715" t="str">
        <f t="shared" si="866"/>
        <v>Energy</v>
      </c>
      <c r="DM715">
        <f t="shared" si="866"/>
        <v>0</v>
      </c>
      <c r="DN715">
        <f t="shared" si="866"/>
        <v>0</v>
      </c>
      <c r="DO715">
        <v>0</v>
      </c>
      <c r="DP715">
        <v>0</v>
      </c>
      <c r="DQ715">
        <v>0</v>
      </c>
      <c r="DR715">
        <v>0</v>
      </c>
      <c r="DS715">
        <v>0</v>
      </c>
      <c r="DT715"/>
      <c r="DU715" t="str">
        <f t="shared" si="867"/>
        <v>explicit C balance</v>
      </c>
      <c r="DV715">
        <v>1</v>
      </c>
      <c r="DW715">
        <v>0</v>
      </c>
      <c r="DX715">
        <v>0</v>
      </c>
      <c r="DY715">
        <v>1</v>
      </c>
      <c r="DZ715">
        <v>0</v>
      </c>
      <c r="EA715">
        <v>0</v>
      </c>
      <c r="EB715">
        <v>1</v>
      </c>
      <c r="EC715">
        <v>1</v>
      </c>
      <c r="ED715">
        <v>0</v>
      </c>
      <c r="EE715">
        <v>0</v>
      </c>
      <c r="EF715">
        <v>0</v>
      </c>
      <c r="EG715">
        <v>0</v>
      </c>
      <c r="EH715">
        <v>0</v>
      </c>
      <c r="EI715" s="2">
        <v>0</v>
      </c>
      <c r="EK715" t="str">
        <f t="shared" si="840"/>
        <v/>
      </c>
      <c r="EL715" t="str">
        <f t="shared" si="841"/>
        <v/>
      </c>
      <c r="EM715" s="2" t="str">
        <f t="shared" si="821"/>
        <v>Technology approach</v>
      </c>
      <c r="EP715" t="b">
        <f>IF(ISNUMBER(BU715),IF(ABS(BU715-[1]QC_indicators!$B$2)&gt;3*[1]QC_indicators!$C$2,"C ratio",IF(ISNUMBER(BY715),IF(ABS(BY715-[1]QC_indicators!$B$1)&gt;3*[1]QC_indicators!$C$1,"DF","no"))),IF(ISNUMBER(BY715),IF(ABS(BY715-[1]QC_indicators!$B$1)&gt;3*[1]QC_indicators!$C$1,"DF","no")))</f>
        <v>0</v>
      </c>
    </row>
    <row r="716" spans="1:150" ht="15" hidden="1" customHeight="1">
      <c r="A716" s="1" t="s">
        <v>3653</v>
      </c>
      <c r="B716" t="s">
        <v>3654</v>
      </c>
      <c r="C716" t="s">
        <v>3655</v>
      </c>
      <c r="D716" t="s">
        <v>3656</v>
      </c>
      <c r="E716" s="311" t="s">
        <v>3657</v>
      </c>
      <c r="F716" t="s">
        <v>3658</v>
      </c>
      <c r="G716" t="s">
        <v>3659</v>
      </c>
      <c r="H716" t="s">
        <v>254</v>
      </c>
      <c r="I716">
        <v>2015</v>
      </c>
      <c r="J716">
        <v>19</v>
      </c>
      <c r="K716" t="s">
        <v>3660</v>
      </c>
      <c r="M716" t="str">
        <f t="shared" si="839"/>
        <v>Guo_2015</v>
      </c>
      <c r="N716" s="311" t="s">
        <v>4382</v>
      </c>
      <c r="O716" s="311" t="s">
        <v>223</v>
      </c>
      <c r="Q716" s="311" t="s">
        <v>389</v>
      </c>
      <c r="R716" s="312"/>
      <c r="S716" s="154" t="s">
        <v>3669</v>
      </c>
      <c r="T716" s="313" t="s">
        <v>3670</v>
      </c>
      <c r="U716" s="311" t="s">
        <v>3671</v>
      </c>
      <c r="V716">
        <v>0</v>
      </c>
      <c r="W716">
        <v>0</v>
      </c>
      <c r="X716">
        <v>0</v>
      </c>
      <c r="Y716">
        <v>0</v>
      </c>
      <c r="Z716">
        <v>0</v>
      </c>
      <c r="AA716">
        <v>0</v>
      </c>
      <c r="AB716">
        <v>0</v>
      </c>
      <c r="AC716">
        <v>0</v>
      </c>
      <c r="AD716">
        <v>0</v>
      </c>
      <c r="AE716">
        <v>0</v>
      </c>
      <c r="AF716">
        <v>0</v>
      </c>
      <c r="AG716">
        <v>0</v>
      </c>
      <c r="AH716">
        <v>0</v>
      </c>
      <c r="AI716">
        <v>0</v>
      </c>
      <c r="AJ716">
        <v>0</v>
      </c>
      <c r="AK716">
        <v>1</v>
      </c>
      <c r="AL716">
        <v>0</v>
      </c>
      <c r="AM716">
        <v>0</v>
      </c>
      <c r="AN716">
        <v>0</v>
      </c>
      <c r="AO716">
        <v>0</v>
      </c>
      <c r="AP716">
        <v>0</v>
      </c>
      <c r="AQ716">
        <v>0</v>
      </c>
      <c r="AR716">
        <v>0</v>
      </c>
      <c r="AS716">
        <v>0</v>
      </c>
      <c r="AT716">
        <v>0</v>
      </c>
      <c r="AU716">
        <v>0</v>
      </c>
      <c r="AV716">
        <v>0</v>
      </c>
      <c r="AW716">
        <v>0</v>
      </c>
      <c r="AX716" s="141">
        <f t="shared" si="842"/>
        <v>1</v>
      </c>
      <c r="AY716" s="141">
        <f t="shared" si="843"/>
        <v>1</v>
      </c>
      <c r="AZ716">
        <f t="shared" si="844"/>
        <v>0</v>
      </c>
      <c r="BA716">
        <f t="shared" si="845"/>
        <v>0</v>
      </c>
      <c r="BB716">
        <f t="shared" si="846"/>
        <v>1</v>
      </c>
      <c r="BC716">
        <f t="shared" si="847"/>
        <v>0</v>
      </c>
      <c r="BD716">
        <f t="shared" si="848"/>
        <v>0</v>
      </c>
      <c r="BE716" t="str" cm="1">
        <f t="array" ref="BE716">IF(AY716=1,INDEX($V$7:$AL$7,MATCH(TRUE,INDEX($V716:$AW716&lt;&gt;0,),0)),IF(AY716=0,INDEX($AM$7:$AW$7,MATCH(1,$AM716:$AW716,0)),IF(BF716="Multiple strategies","mixed drivers",IF(BF716="Supply chain","multiple supply","multiple silviculture"))))</f>
        <v>technologies/design switch</v>
      </c>
      <c r="BF716" s="2" t="str" cm="1">
        <f t="array" ref="BF716">IF(COUNTIF(AZ716:BB716,"&lt;&gt;0")=1,INDEX($V$4:$AW$4,MATCH(TRUE,INDEX($V716:$AW716&lt;&gt;0,),0)),IF(COUNTIF(AZ716:BB716,"&lt;&gt;0")=0,INDEX($AM$4:$AW$4,MATCH(1,$AM716:$AW716,0)),"Multiple strategies"))</f>
        <v>Technology</v>
      </c>
      <c r="BG716" s="1" t="s">
        <v>321</v>
      </c>
      <c r="BH716" s="311" t="s">
        <v>3664</v>
      </c>
      <c r="BI716" s="311"/>
      <c r="BJ716" s="311" t="s">
        <v>345</v>
      </c>
      <c r="BK716">
        <v>1</v>
      </c>
      <c r="BL716">
        <v>1</v>
      </c>
      <c r="BN716">
        <f t="shared" si="849"/>
        <v>0</v>
      </c>
      <c r="BO716">
        <f t="shared" si="850"/>
        <v>0</v>
      </c>
      <c r="BP716" s="311" t="s">
        <v>395</v>
      </c>
      <c r="BR716" s="311" t="s">
        <v>397</v>
      </c>
      <c r="BS716">
        <f>-2.1</f>
        <v>-2.1</v>
      </c>
      <c r="BT716">
        <v>-2.87</v>
      </c>
      <c r="BV716">
        <f t="shared" si="851"/>
        <v>-0.77</v>
      </c>
      <c r="BX716">
        <f t="shared" si="852"/>
        <v>-7.7000000000000007E-4</v>
      </c>
      <c r="BY716" t="str">
        <f t="shared" si="820"/>
        <v/>
      </c>
      <c r="BZ716">
        <v>1</v>
      </c>
      <c r="CN716" t="str">
        <f t="shared" si="853"/>
        <v>refOK</v>
      </c>
      <c r="CO716">
        <f t="shared" si="854"/>
        <v>1</v>
      </c>
      <c r="CP716">
        <f t="shared" si="855"/>
        <v>1</v>
      </c>
      <c r="CQ716">
        <f t="shared" si="856"/>
        <v>0</v>
      </c>
      <c r="CR716">
        <f t="shared" si="857"/>
        <v>2.1</v>
      </c>
      <c r="CS716">
        <f t="shared" si="858"/>
        <v>2.87</v>
      </c>
      <c r="CT716">
        <f t="shared" si="859"/>
        <v>7.7000000000000007E-4</v>
      </c>
      <c r="CU716" t="str">
        <f t="shared" si="860"/>
        <v/>
      </c>
      <c r="CV716" s="2">
        <f t="shared" si="861"/>
        <v>0.36666666666666664</v>
      </c>
      <c r="CW716" s="318" t="s">
        <v>263</v>
      </c>
      <c r="CX716" s="311" t="str">
        <f t="shared" si="862"/>
        <v>loc</v>
      </c>
      <c r="CY716" s="317" t="s">
        <v>732</v>
      </c>
      <c r="DB716">
        <v>3</v>
      </c>
      <c r="DC716" t="str">
        <f t="shared" si="863"/>
        <v>1-30</v>
      </c>
      <c r="DD716">
        <v>0</v>
      </c>
      <c r="DE716">
        <v>1</v>
      </c>
      <c r="DF716">
        <v>0</v>
      </c>
      <c r="DG716">
        <v>0</v>
      </c>
      <c r="DH716">
        <v>0</v>
      </c>
      <c r="DI716">
        <f t="shared" si="864"/>
        <v>1</v>
      </c>
      <c r="DJ716" t="str">
        <f t="shared" si="865"/>
        <v>EnergyInput</v>
      </c>
      <c r="DK716">
        <f t="shared" si="866"/>
        <v>0</v>
      </c>
      <c r="DL716" t="str">
        <f t="shared" si="866"/>
        <v>Energy</v>
      </c>
      <c r="DM716">
        <f t="shared" si="866"/>
        <v>0</v>
      </c>
      <c r="DN716">
        <f t="shared" si="866"/>
        <v>0</v>
      </c>
      <c r="DO716">
        <v>0</v>
      </c>
      <c r="DP716">
        <v>0</v>
      </c>
      <c r="DQ716">
        <v>0</v>
      </c>
      <c r="DR716">
        <v>0</v>
      </c>
      <c r="DS716">
        <v>0</v>
      </c>
      <c r="DT716"/>
      <c r="DU716" t="str">
        <f t="shared" si="867"/>
        <v>explicit C balance</v>
      </c>
      <c r="DV716">
        <v>1</v>
      </c>
      <c r="DW716">
        <v>0</v>
      </c>
      <c r="DX716">
        <v>0</v>
      </c>
      <c r="DY716">
        <v>1</v>
      </c>
      <c r="DZ716">
        <v>0</v>
      </c>
      <c r="EA716">
        <v>0</v>
      </c>
      <c r="EB716">
        <v>1</v>
      </c>
      <c r="EC716">
        <v>1</v>
      </c>
      <c r="ED716">
        <v>0</v>
      </c>
      <c r="EE716">
        <v>0</v>
      </c>
      <c r="EF716">
        <v>0</v>
      </c>
      <c r="EG716">
        <v>0</v>
      </c>
      <c r="EH716">
        <v>0</v>
      </c>
      <c r="EI716" s="2">
        <v>0</v>
      </c>
      <c r="EK716" t="str">
        <f t="shared" si="840"/>
        <v/>
      </c>
      <c r="EL716" t="str">
        <f t="shared" si="841"/>
        <v/>
      </c>
      <c r="EM716" s="2" t="str">
        <f t="shared" si="821"/>
        <v>Technology approach</v>
      </c>
      <c r="EP716" t="b">
        <f>IF(ISNUMBER(BU716),IF(ABS(BU716-[1]QC_indicators!$B$2)&gt;3*[1]QC_indicators!$C$2,"C ratio",IF(ISNUMBER(BY716),IF(ABS(BY716-[1]QC_indicators!$B$1)&gt;3*[1]QC_indicators!$C$1,"DF","no"))),IF(ISNUMBER(BY716),IF(ABS(BY716-[1]QC_indicators!$B$1)&gt;3*[1]QC_indicators!$C$1,"DF","no")))</f>
        <v>0</v>
      </c>
    </row>
    <row r="717" spans="1:150" ht="15" hidden="1" customHeight="1">
      <c r="A717" s="1" t="s">
        <v>3653</v>
      </c>
      <c r="B717" t="s">
        <v>3654</v>
      </c>
      <c r="C717" t="s">
        <v>3655</v>
      </c>
      <c r="D717" t="s">
        <v>3656</v>
      </c>
      <c r="E717" s="311" t="s">
        <v>3657</v>
      </c>
      <c r="F717" t="s">
        <v>3658</v>
      </c>
      <c r="G717" t="s">
        <v>3659</v>
      </c>
      <c r="H717" t="s">
        <v>254</v>
      </c>
      <c r="I717">
        <v>2015</v>
      </c>
      <c r="J717">
        <v>19</v>
      </c>
      <c r="K717" t="s">
        <v>3660</v>
      </c>
      <c r="M717" t="str">
        <f t="shared" si="839"/>
        <v>Guo_2015</v>
      </c>
      <c r="N717" s="311" t="s">
        <v>4382</v>
      </c>
      <c r="O717" s="311" t="s">
        <v>223</v>
      </c>
      <c r="Q717" s="311" t="s">
        <v>389</v>
      </c>
      <c r="R717" s="312"/>
      <c r="S717" s="154" t="s">
        <v>3669</v>
      </c>
      <c r="T717" s="313" t="s">
        <v>3670</v>
      </c>
      <c r="U717" s="311" t="s">
        <v>3671</v>
      </c>
      <c r="V717">
        <v>0</v>
      </c>
      <c r="W717">
        <v>0</v>
      </c>
      <c r="X717">
        <v>0</v>
      </c>
      <c r="Y717">
        <v>0</v>
      </c>
      <c r="Z717">
        <v>0</v>
      </c>
      <c r="AA717">
        <v>0</v>
      </c>
      <c r="AB717">
        <v>0</v>
      </c>
      <c r="AC717">
        <v>0</v>
      </c>
      <c r="AD717">
        <v>0</v>
      </c>
      <c r="AE717">
        <v>0</v>
      </c>
      <c r="AF717">
        <v>0</v>
      </c>
      <c r="AG717">
        <v>0</v>
      </c>
      <c r="AH717">
        <v>0</v>
      </c>
      <c r="AI717">
        <v>0</v>
      </c>
      <c r="AJ717">
        <v>0</v>
      </c>
      <c r="AK717">
        <v>1</v>
      </c>
      <c r="AL717">
        <v>0</v>
      </c>
      <c r="AM717">
        <v>0</v>
      </c>
      <c r="AN717">
        <v>0</v>
      </c>
      <c r="AO717">
        <v>0</v>
      </c>
      <c r="AP717">
        <v>0</v>
      </c>
      <c r="AQ717">
        <v>0</v>
      </c>
      <c r="AR717">
        <v>0</v>
      </c>
      <c r="AS717">
        <v>0</v>
      </c>
      <c r="AT717">
        <v>0</v>
      </c>
      <c r="AU717">
        <v>0</v>
      </c>
      <c r="AV717">
        <v>0</v>
      </c>
      <c r="AW717">
        <v>0</v>
      </c>
      <c r="AX717" s="141">
        <f t="shared" si="842"/>
        <v>1</v>
      </c>
      <c r="AY717" s="141">
        <f t="shared" si="843"/>
        <v>1</v>
      </c>
      <c r="AZ717">
        <f t="shared" si="844"/>
        <v>0</v>
      </c>
      <c r="BA717">
        <f t="shared" si="845"/>
        <v>0</v>
      </c>
      <c r="BB717">
        <f t="shared" si="846"/>
        <v>1</v>
      </c>
      <c r="BC717">
        <f t="shared" si="847"/>
        <v>0</v>
      </c>
      <c r="BD717">
        <f t="shared" si="848"/>
        <v>0</v>
      </c>
      <c r="BE717" t="str" cm="1">
        <f t="array" ref="BE717">IF(AY717=1,INDEX($V$7:$AL$7,MATCH(TRUE,INDEX($V717:$AW717&lt;&gt;0,),0)),IF(AY717=0,INDEX($AM$7:$AW$7,MATCH(1,$AM717:$AW717,0)),IF(BF717="Multiple strategies","mixed drivers",IF(BF717="Supply chain","multiple supply","multiple silviculture"))))</f>
        <v>technologies/design switch</v>
      </c>
      <c r="BF717" s="2" t="str" cm="1">
        <f t="array" ref="BF717">IF(COUNTIF(AZ717:BB717,"&lt;&gt;0")=1,INDEX($V$4:$AW$4,MATCH(TRUE,INDEX($V717:$AW717&lt;&gt;0,),0)),IF(COUNTIF(AZ717:BB717,"&lt;&gt;0")=0,INDEX($AM$4:$AW$4,MATCH(1,$AM717:$AW717,0)),"Multiple strategies"))</f>
        <v>Technology</v>
      </c>
      <c r="BG717" s="1" t="s">
        <v>321</v>
      </c>
      <c r="BH717" s="311" t="s">
        <v>3664</v>
      </c>
      <c r="BI717" s="311"/>
      <c r="BJ717" s="311" t="s">
        <v>345</v>
      </c>
      <c r="BK717">
        <v>1</v>
      </c>
      <c r="BL717">
        <v>1</v>
      </c>
      <c r="BN717">
        <f t="shared" si="849"/>
        <v>0</v>
      </c>
      <c r="BO717">
        <f t="shared" si="850"/>
        <v>0</v>
      </c>
      <c r="BP717" s="311" t="s">
        <v>395</v>
      </c>
      <c r="BR717" s="311" t="s">
        <v>397</v>
      </c>
      <c r="BS717">
        <f>-2.1+2.74+1.91</f>
        <v>2.5499999999999998</v>
      </c>
      <c r="BT717">
        <f>-2.87+3.5+1.91</f>
        <v>2.54</v>
      </c>
      <c r="BV717">
        <f t="shared" si="851"/>
        <v>-9.9999999999997868E-3</v>
      </c>
      <c r="BX717">
        <f t="shared" si="852"/>
        <v>-9.9999999999997874E-6</v>
      </c>
      <c r="BY717" t="str">
        <f t="shared" si="820"/>
        <v/>
      </c>
      <c r="BZ717">
        <v>1</v>
      </c>
      <c r="CN717" t="str">
        <f t="shared" si="853"/>
        <v>refOK</v>
      </c>
      <c r="CO717">
        <f t="shared" si="854"/>
        <v>1</v>
      </c>
      <c r="CP717">
        <f t="shared" si="855"/>
        <v>1</v>
      </c>
      <c r="CQ717">
        <f t="shared" si="856"/>
        <v>0</v>
      </c>
      <c r="CR717">
        <f t="shared" si="857"/>
        <v>-2.5499999999999998</v>
      </c>
      <c r="CS717">
        <f t="shared" si="858"/>
        <v>-2.54</v>
      </c>
      <c r="CT717">
        <f t="shared" si="859"/>
        <v>9.9999999999997874E-6</v>
      </c>
      <c r="CU717" t="str">
        <f t="shared" si="860"/>
        <v/>
      </c>
      <c r="CV717" s="2">
        <f t="shared" si="861"/>
        <v>3.9215686274508971E-3</v>
      </c>
      <c r="CW717" s="318" t="s">
        <v>263</v>
      </c>
      <c r="CX717" s="311" t="str">
        <f t="shared" si="862"/>
        <v>loc</v>
      </c>
      <c r="CY717" s="317" t="s">
        <v>732</v>
      </c>
      <c r="DB717">
        <v>3</v>
      </c>
      <c r="DC717" t="str">
        <f t="shared" si="863"/>
        <v>1-30</v>
      </c>
      <c r="DD717">
        <v>0</v>
      </c>
      <c r="DE717">
        <v>1</v>
      </c>
      <c r="DF717">
        <v>0</v>
      </c>
      <c r="DG717">
        <v>0</v>
      </c>
      <c r="DH717">
        <v>0</v>
      </c>
      <c r="DI717">
        <f t="shared" si="864"/>
        <v>1</v>
      </c>
      <c r="DJ717" t="str">
        <f t="shared" si="865"/>
        <v>EnergyInput</v>
      </c>
      <c r="DK717">
        <f t="shared" si="866"/>
        <v>0</v>
      </c>
      <c r="DL717" t="str">
        <f t="shared" si="866"/>
        <v>Energy</v>
      </c>
      <c r="DM717">
        <f t="shared" si="866"/>
        <v>0</v>
      </c>
      <c r="DN717">
        <f t="shared" si="866"/>
        <v>0</v>
      </c>
      <c r="DO717">
        <v>0</v>
      </c>
      <c r="DP717">
        <v>0</v>
      </c>
      <c r="DQ717">
        <v>0</v>
      </c>
      <c r="DR717">
        <v>0</v>
      </c>
      <c r="DS717">
        <v>0</v>
      </c>
      <c r="DT717"/>
      <c r="DU717" t="str">
        <f t="shared" si="867"/>
        <v>explicit C balance</v>
      </c>
      <c r="DV717">
        <v>0</v>
      </c>
      <c r="DW717">
        <v>0</v>
      </c>
      <c r="DX717">
        <v>0</v>
      </c>
      <c r="DY717">
        <v>0</v>
      </c>
      <c r="DZ717">
        <v>0</v>
      </c>
      <c r="EA717">
        <v>0</v>
      </c>
      <c r="EB717">
        <v>1</v>
      </c>
      <c r="EC717">
        <v>1</v>
      </c>
      <c r="ED717">
        <v>0</v>
      </c>
      <c r="EE717">
        <v>0</v>
      </c>
      <c r="EF717">
        <v>0</v>
      </c>
      <c r="EG717">
        <v>0</v>
      </c>
      <c r="EH717">
        <v>0</v>
      </c>
      <c r="EI717" s="2">
        <v>0</v>
      </c>
      <c r="EK717" t="str">
        <f t="shared" si="840"/>
        <v/>
      </c>
      <c r="EL717" t="str">
        <f t="shared" si="841"/>
        <v/>
      </c>
      <c r="EM717" s="2" t="str">
        <f t="shared" si="821"/>
        <v>Technology approach</v>
      </c>
      <c r="EP717" t="b">
        <f>IF(ISNUMBER(BU717),IF(ABS(BU717-[1]QC_indicators!$B$2)&gt;3*[1]QC_indicators!$C$2,"C ratio",IF(ISNUMBER(BY717),IF(ABS(BY717-[1]QC_indicators!$B$1)&gt;3*[1]QC_indicators!$C$1,"DF","no"))),IF(ISNUMBER(BY717),IF(ABS(BY717-[1]QC_indicators!$B$1)&gt;3*[1]QC_indicators!$C$1,"DF","no")))</f>
        <v>0</v>
      </c>
    </row>
    <row r="718" spans="1:150" ht="15" hidden="1" customHeight="1">
      <c r="A718" s="1" t="s">
        <v>1422</v>
      </c>
      <c r="B718" t="s">
        <v>4511</v>
      </c>
      <c r="C718" t="s">
        <v>4512</v>
      </c>
      <c r="D718" t="s">
        <v>4513</v>
      </c>
      <c r="E718" t="s">
        <v>4514</v>
      </c>
      <c r="F718" t="s">
        <v>4515</v>
      </c>
      <c r="G718" t="s">
        <v>1428</v>
      </c>
      <c r="H718" t="s">
        <v>254</v>
      </c>
      <c r="I718">
        <v>2019</v>
      </c>
      <c r="J718">
        <v>1</v>
      </c>
      <c r="K718" t="s">
        <v>4516</v>
      </c>
      <c r="M718" t="str">
        <f t="shared" si="839"/>
        <v>Guo_2019</v>
      </c>
      <c r="N718" t="s">
        <v>2582</v>
      </c>
      <c r="O718" s="181" t="s">
        <v>341</v>
      </c>
      <c r="Q718" s="311" t="s">
        <v>256</v>
      </c>
      <c r="R718" s="312"/>
      <c r="AX718" s="141"/>
      <c r="AY718" s="141"/>
      <c r="BE718"/>
      <c r="BF718" s="2"/>
      <c r="BU718" s="144"/>
      <c r="BY718" t="str">
        <f t="shared" si="820"/>
        <v/>
      </c>
      <c r="CN718"/>
      <c r="CO718"/>
      <c r="CP718"/>
      <c r="CQ718"/>
      <c r="CR718"/>
      <c r="CS718"/>
      <c r="CT718"/>
      <c r="CU718"/>
      <c r="CV718" s="2"/>
      <c r="CX718"/>
      <c r="DC718"/>
      <c r="DI718"/>
      <c r="DJ718"/>
      <c r="DK718"/>
      <c r="DL718"/>
      <c r="DM718"/>
      <c r="DN718"/>
      <c r="DT718"/>
      <c r="DU718" s="143"/>
      <c r="EK718" t="str">
        <f t="shared" si="840"/>
        <v/>
      </c>
      <c r="EL718" t="str">
        <f t="shared" si="841"/>
        <v/>
      </c>
      <c r="EM718" s="2" t="str">
        <f t="shared" si="821"/>
        <v/>
      </c>
      <c r="EO718" t="s">
        <v>4517</v>
      </c>
      <c r="EP718" t="b">
        <f>IF(ISNUMBER(BU718),IF(ABS(BU718-[1]QC_indicators!$B$2)&gt;3*[1]QC_indicators!$C$2,"C ratio",IF(ISNUMBER(BY718),IF(ABS(BY718-[1]QC_indicators!$B$1)&gt;3*[1]QC_indicators!$C$1,"DF","no"))),IF(ISNUMBER(BY718),IF(ABS(BY718-[1]QC_indicators!$B$1)&gt;3*[1]QC_indicators!$C$1,"DF","no")))</f>
        <v>0</v>
      </c>
    </row>
    <row r="719" spans="1:150" ht="15" hidden="1" customHeight="1">
      <c r="A719" s="1" t="s">
        <v>1422</v>
      </c>
      <c r="B719" t="s">
        <v>4511</v>
      </c>
      <c r="C719" t="s">
        <v>4512</v>
      </c>
      <c r="D719" t="s">
        <v>4513</v>
      </c>
      <c r="E719" t="s">
        <v>4514</v>
      </c>
      <c r="F719" t="s">
        <v>4515</v>
      </c>
      <c r="G719" t="s">
        <v>1428</v>
      </c>
      <c r="H719" t="s">
        <v>254</v>
      </c>
      <c r="I719">
        <v>2019</v>
      </c>
      <c r="J719">
        <v>1</v>
      </c>
      <c r="K719" t="s">
        <v>4516</v>
      </c>
      <c r="M719" t="str">
        <f t="shared" si="839"/>
        <v>Guo_2019</v>
      </c>
      <c r="N719" t="s">
        <v>2582</v>
      </c>
      <c r="O719" s="171" t="s">
        <v>341</v>
      </c>
      <c r="P719" t="s">
        <v>225</v>
      </c>
      <c r="Q719" s="311" t="s">
        <v>389</v>
      </c>
      <c r="R719" s="312"/>
      <c r="AX719" s="141"/>
      <c r="AY719" s="141"/>
      <c r="BE719"/>
      <c r="BF719" s="2"/>
      <c r="BU719" s="144"/>
      <c r="BY719" t="str">
        <f t="shared" si="820"/>
        <v/>
      </c>
      <c r="CN719"/>
      <c r="CO719"/>
      <c r="CP719"/>
      <c r="CQ719"/>
      <c r="CR719"/>
      <c r="CS719"/>
      <c r="CT719"/>
      <c r="CU719"/>
      <c r="CV719" s="2"/>
      <c r="CX719"/>
      <c r="DC719"/>
      <c r="DI719"/>
      <c r="DJ719"/>
      <c r="DK719"/>
      <c r="DL719"/>
      <c r="DM719"/>
      <c r="DN719"/>
      <c r="DT719"/>
      <c r="DU719" s="143"/>
      <c r="EK719" t="str">
        <f t="shared" si="840"/>
        <v/>
      </c>
      <c r="EL719" t="str">
        <f t="shared" si="841"/>
        <v/>
      </c>
      <c r="EM719" s="2" t="str">
        <f t="shared" si="821"/>
        <v/>
      </c>
      <c r="EN719" t="s">
        <v>4518</v>
      </c>
      <c r="EP719" t="b">
        <f>IF(ISNUMBER(BU719),IF(ABS(BU719-[1]QC_indicators!$B$2)&gt;3*[1]QC_indicators!$C$2,"C ratio",IF(ISNUMBER(BY719),IF(ABS(BY719-[1]QC_indicators!$B$1)&gt;3*[1]QC_indicators!$C$1,"DF","no"))),IF(ISNUMBER(BY719),IF(ABS(BY719-[1]QC_indicators!$B$1)&gt;3*[1]QC_indicators!$C$1,"DF","no")))</f>
        <v>0</v>
      </c>
    </row>
    <row r="720" spans="1:150" ht="15" hidden="1" customHeight="1">
      <c r="D720" t="s">
        <v>733</v>
      </c>
      <c r="E720" t="s">
        <v>734</v>
      </c>
      <c r="G720" t="s">
        <v>735</v>
      </c>
      <c r="I720">
        <v>2005</v>
      </c>
      <c r="K720" s="156" t="s">
        <v>736</v>
      </c>
      <c r="M720" t="str">
        <f t="shared" si="839"/>
        <v>Gustavsson_2005</v>
      </c>
      <c r="N720" t="s">
        <v>222</v>
      </c>
      <c r="O720" t="s">
        <v>223</v>
      </c>
      <c r="Q720" t="s">
        <v>256</v>
      </c>
      <c r="R720" s="255" t="s">
        <v>225</v>
      </c>
      <c r="S720" s="1" t="s">
        <v>744</v>
      </c>
      <c r="T720" t="s">
        <v>738</v>
      </c>
      <c r="U720" s="264" t="s">
        <v>739</v>
      </c>
      <c r="V720">
        <v>0</v>
      </c>
      <c r="W720">
        <v>0</v>
      </c>
      <c r="X720">
        <v>0</v>
      </c>
      <c r="Y720">
        <v>0</v>
      </c>
      <c r="Z720">
        <v>0</v>
      </c>
      <c r="AA720">
        <v>0</v>
      </c>
      <c r="AB720">
        <v>0</v>
      </c>
      <c r="AC720">
        <v>0</v>
      </c>
      <c r="AD720">
        <v>0</v>
      </c>
      <c r="AE720">
        <v>0</v>
      </c>
      <c r="AF720">
        <v>0</v>
      </c>
      <c r="AG720">
        <v>0</v>
      </c>
      <c r="AH720">
        <v>1</v>
      </c>
      <c r="AI720">
        <v>0</v>
      </c>
      <c r="AJ720">
        <v>0</v>
      </c>
      <c r="AK720">
        <v>0</v>
      </c>
      <c r="AL720">
        <v>0</v>
      </c>
      <c r="AM720">
        <v>0</v>
      </c>
      <c r="AN720">
        <v>0</v>
      </c>
      <c r="AO720">
        <v>0</v>
      </c>
      <c r="AP720">
        <v>0</v>
      </c>
      <c r="AQ720">
        <v>0</v>
      </c>
      <c r="AR720">
        <v>0</v>
      </c>
      <c r="AS720">
        <v>0</v>
      </c>
      <c r="AT720">
        <v>0</v>
      </c>
      <c r="AU720">
        <v>0</v>
      </c>
      <c r="AV720">
        <v>0</v>
      </c>
      <c r="AW720">
        <v>0</v>
      </c>
      <c r="AX720" s="141">
        <f t="shared" ref="AX720:AX767" si="868">COUNTIF(V720:AW720,"&lt;&gt;0")</f>
        <v>1</v>
      </c>
      <c r="AY720" s="141">
        <f t="shared" ref="AY720:AY767" si="869">COUNTIF(V720:AL720,"&lt;&gt;0")</f>
        <v>1</v>
      </c>
      <c r="AZ720">
        <f t="shared" ref="AZ720:AZ767" si="870">COUNTIF(V720:AC720,"&lt;&gt;0")</f>
        <v>0</v>
      </c>
      <c r="BA720">
        <f t="shared" ref="BA720:BA767" si="871">COUNTIF(AD720:AI720,"&lt;&gt;0")</f>
        <v>1</v>
      </c>
      <c r="BB720">
        <f t="shared" ref="BB720:BB767" si="872">COUNTIF(AJ720:AL720,"&lt;&gt;0")</f>
        <v>0</v>
      </c>
      <c r="BC720">
        <f t="shared" ref="BC720:BC767" si="873">COUNTIF(AS720:AW720,"&lt;&gt;0")</f>
        <v>0</v>
      </c>
      <c r="BD720">
        <f t="shared" ref="BD720:BD767" si="874">COUNTIF(AM720:AR720,"&lt;&gt;0")</f>
        <v>0</v>
      </c>
      <c r="BE720" t="str">
        <f t="array" ref="BE720">IF(AY720=1,INDEX($V$7:$AL$7,MATCH(TRUE,INDEX($V720:$AW720&lt;&gt;0,),0)),IF(AY720=0,INDEX($AM$7:$AW$7,MATCH(1,$AM720:$AW720,0)),IF(BF720="Multiple strategies","mixed drivers",IF(BF720="Supply chain","multiple supply","multiple silviculture"))))</f>
        <v xml:space="preserve">end of life disposal </v>
      </c>
      <c r="BF720" s="2" t="str" cm="1">
        <f t="array" ref="BF720">IF(COUNTIF(AZ720:BB720,"&lt;&gt;0")=1,INDEX($V$4:$AW$4,MATCH(TRUE,INDEX($V720:$AW720&lt;&gt;0,),0)),IF(COUNTIF(AZ720:BB720,"&lt;&gt;0")=0,INDEX($AM$4:$AW$4,MATCH(1,$AM720:$AW720,0)),"Multiple strategies"))</f>
        <v>Supply chain</v>
      </c>
      <c r="BG720" s="263" t="s">
        <v>321</v>
      </c>
      <c r="BH720" s="264" t="s">
        <v>740</v>
      </c>
      <c r="BI720" s="260" t="s">
        <v>3333</v>
      </c>
      <c r="BJ720" s="264" t="s">
        <v>741</v>
      </c>
      <c r="BK720" s="264">
        <f>BL720-8.2-69.1</f>
        <v>130.20000000000002</v>
      </c>
      <c r="BL720" s="264">
        <v>207.5</v>
      </c>
      <c r="BM720" s="264">
        <f t="shared" ref="BM720:BM728" si="875">BL720/BK720</f>
        <v>1.5937019969278032</v>
      </c>
      <c r="BN720" s="264">
        <f t="shared" ref="BN720:BN763" si="876">BL720-BK720</f>
        <v>77.299999999999983</v>
      </c>
      <c r="BO720" s="264">
        <f t="shared" ref="BO720:BO743" si="877">BN720*t_to_m3</f>
        <v>157.7551020408163</v>
      </c>
      <c r="BP720" t="s">
        <v>232</v>
      </c>
      <c r="BQ720" s="303" t="s">
        <v>3332</v>
      </c>
      <c r="BR720" t="s">
        <v>442</v>
      </c>
      <c r="BS720" s="264">
        <v>10.7</v>
      </c>
      <c r="BT720" s="151">
        <v>44.2</v>
      </c>
      <c r="BV720">
        <v>33.5</v>
      </c>
      <c r="BX720">
        <f t="shared" ref="BX720:BX762" si="878">BV720*C_to_CO2</f>
        <v>122.94499999999999</v>
      </c>
      <c r="BY720">
        <f t="shared" si="820"/>
        <v>0.77934087968952148</v>
      </c>
      <c r="BZ720" s="143">
        <v>0</v>
      </c>
      <c r="CA720" s="143">
        <v>0</v>
      </c>
      <c r="CB720" s="143">
        <v>0</v>
      </c>
      <c r="CC720" s="143">
        <v>0</v>
      </c>
      <c r="CD720" s="143">
        <v>0</v>
      </c>
      <c r="CE720" s="143">
        <v>0</v>
      </c>
      <c r="CF720" s="143">
        <v>0</v>
      </c>
      <c r="CG720" s="143">
        <v>0</v>
      </c>
      <c r="CH720" s="143">
        <v>0</v>
      </c>
      <c r="CI720" s="143">
        <v>0</v>
      </c>
      <c r="CJ720" s="143">
        <v>0</v>
      </c>
      <c r="CK720" s="143">
        <v>0</v>
      </c>
      <c r="CL720" s="143">
        <v>0</v>
      </c>
      <c r="CM720">
        <v>0</v>
      </c>
      <c r="CN720" t="str">
        <f t="shared" ref="CN720:CN761" si="879">IF($BL720&lt;$BK720,"refNeedCorrection","refOK")</f>
        <v>refOK</v>
      </c>
      <c r="CO720">
        <f t="shared" ref="CO720:CO763" si="880">IF($CN720="refOK",$BK720,$BL720)</f>
        <v>130.20000000000002</v>
      </c>
      <c r="CP720">
        <f t="shared" ref="CP720:CP763" si="881">IF($CN720="refOK",$BL720,$BK720)</f>
        <v>207.5</v>
      </c>
      <c r="CQ720">
        <f t="shared" ref="CQ720:CQ767" si="882">IF($CN720="refOK",$BO720,-$BO720)</f>
        <v>157.7551020408163</v>
      </c>
      <c r="CR720">
        <f t="shared" ref="CR720:CR767" si="883">IF($CN720="refOK",$BS720,$BT720)*IF($BP720="Emissions positive",-1,1)</f>
        <v>10.7</v>
      </c>
      <c r="CS720">
        <f t="shared" ref="CS720:CS767" si="884">IF($CN720="refOK",$BT720,$BS720)*IF($BP720="Emissions positive",-1,1)</f>
        <v>44.2</v>
      </c>
      <c r="CT720">
        <f t="shared" ref="CT720:CT767" si="885">IF($CN720="refNeedCorrection",-BX720,BX720)*IF($BP720="Emissions positive",-1,1)</f>
        <v>122.94499999999999</v>
      </c>
      <c r="CU720">
        <f t="shared" ref="CU720:CU767" si="886">IFERROR(CT720/CQ720,"")</f>
        <v>0.77934087968952148</v>
      </c>
      <c r="CV720" s="2">
        <f t="shared" ref="CV720:CV767" si="887">IFERROR((CS720-CR720)/ABS(CR720),"")</f>
        <v>3.1308411214953273</v>
      </c>
      <c r="CW720" s="1" t="s">
        <v>263</v>
      </c>
      <c r="CX720" t="str">
        <f t="shared" ref="CX720:CX767" si="888">IF(OR($CW720="prd",$CW720="std",$CW720="cit"),"loc",IF(OR($CW720="eur",$CW720="reg",$CW720="coy"),"reg",$CW720))</f>
        <v>loc</v>
      </c>
      <c r="CY720" t="s">
        <v>743</v>
      </c>
      <c r="DA720" s="143"/>
      <c r="DB720" s="143">
        <v>0</v>
      </c>
      <c r="DC720" t="str">
        <f t="shared" ref="DC720:DC767" si="889">IF(DB720=0,"0",IF(AND(DB720&gt;=1,DB720&lt;=30),"1-30",IF(AND(DB720&gt;30,DB720&lt;=70),"31-70",IF(AND(DB720&gt;70,DB720&lt;=100),"71-100",IF(DB720&gt;100,"+100")))))</f>
        <v>0</v>
      </c>
      <c r="DD720">
        <v>0</v>
      </c>
      <c r="DE720">
        <v>0</v>
      </c>
      <c r="DF720">
        <v>0</v>
      </c>
      <c r="DG720">
        <v>1</v>
      </c>
      <c r="DI720">
        <f t="shared" ref="DI720:DI767" si="890">SUM(DD720:DG720)</f>
        <v>1</v>
      </c>
      <c r="DJ720" t="str">
        <f t="shared" ref="DJ720:DJ767" si="891">IF(DI720=1,INDEX($DD$7:$DG$7,MATCH(1,$DD720:$DG720,0)),"mixedProduct")</f>
        <v>TimberInput</v>
      </c>
      <c r="DK720">
        <f t="shared" ref="DK720:DK767" si="892">IF(DD720=1,DK$7,0)</f>
        <v>0</v>
      </c>
      <c r="DL720">
        <f t="shared" ref="DL720:DL767" si="893">IF(DE720=1,DL$7,0)</f>
        <v>0</v>
      </c>
      <c r="DM720">
        <f t="shared" ref="DM720:DM767" si="894">IF(DF720=1,DM$7,0)</f>
        <v>0</v>
      </c>
      <c r="DN720" t="str">
        <f t="shared" ref="DN720:DN767" si="895">IF(DG720=1,DN$7,0)</f>
        <v>Timber</v>
      </c>
      <c r="DO720">
        <v>1</v>
      </c>
      <c r="DP720" s="143">
        <v>0</v>
      </c>
      <c r="DQ720" s="143">
        <v>0</v>
      </c>
      <c r="DR720">
        <v>0</v>
      </c>
      <c r="DS720" s="143">
        <v>0</v>
      </c>
      <c r="DT720">
        <f t="shared" ref="DT720:DT767" si="896">SUM(DO720:DP720)</f>
        <v>1</v>
      </c>
      <c r="DU720" s="143" t="str">
        <f t="shared" ref="DU720:DU767" si="897">IF(DO720=1,"self-calculated DF",IF(DP720=1,"external DF used","explicit C balance"))</f>
        <v>self-calculated DF</v>
      </c>
      <c r="DV720" s="143">
        <v>0</v>
      </c>
      <c r="DW720" s="264">
        <v>1</v>
      </c>
      <c r="DX720" s="264">
        <v>1</v>
      </c>
      <c r="DY720" s="264">
        <v>0</v>
      </c>
      <c r="DZ720" s="264">
        <v>0</v>
      </c>
      <c r="EA720" s="264">
        <v>1</v>
      </c>
      <c r="EB720" s="264">
        <v>1</v>
      </c>
      <c r="EC720" s="264">
        <v>1</v>
      </c>
      <c r="ED720" s="143">
        <v>0</v>
      </c>
      <c r="EE720">
        <v>0</v>
      </c>
      <c r="EF720">
        <v>0</v>
      </c>
      <c r="EG720" s="143">
        <v>0</v>
      </c>
      <c r="EH720" s="143">
        <v>0</v>
      </c>
      <c r="EI720" s="2">
        <v>0</v>
      </c>
      <c r="EK720" t="str">
        <f t="shared" ref="EK720:EK767" si="898">IF(AND(AND(AND(OR($DX720=1,$DW720=1),OR($EC720=1,$EA720=1)),SUM($DV720:$DZ720,$EF720)&gt;=4),SUM($EA720:$EE720)&gt;=2),"Whole sector","")</f>
        <v/>
      </c>
      <c r="EL720" t="str">
        <f t="shared" ref="EL720:EL767" si="899">IF(AND(AND(OR($DX720=1,$DW720=1),AND($EC720=0,$EA720=0)),SUM($DV720:$DZ720,$EF720)&gt;=4),"Ecosystem approach","")</f>
        <v/>
      </c>
      <c r="EM720" s="2" t="str">
        <f t="shared" si="821"/>
        <v/>
      </c>
      <c r="EP720" t="str">
        <f>IF(ISNUMBER(BU720),IF(ABS(BU720-[5]QC_indicators!$B$2)&gt;3*[5]QC_indicators!$C$2,"C ratio",IF(ISNUMBER(BY720),IF(ABS(BY720-[5]QC_indicators!$B$1)&gt;3*[5]QC_indicators!$C$1,"DF","no"))),IF(ISNUMBER(BY720),IF(ABS(BY720-[5]QC_indicators!$B$1)&gt;3*[5]QC_indicators!$C$1,"DF","no")))</f>
        <v>no</v>
      </c>
      <c r="ER720" s="149" t="s">
        <v>349</v>
      </c>
      <c r="ET720" s="264" t="s">
        <v>3272</v>
      </c>
    </row>
    <row r="721" spans="4:150" ht="15" hidden="1" customHeight="1">
      <c r="D721" t="s">
        <v>733</v>
      </c>
      <c r="E721" t="s">
        <v>734</v>
      </c>
      <c r="G721" t="s">
        <v>735</v>
      </c>
      <c r="I721">
        <v>2005</v>
      </c>
      <c r="K721" s="156" t="s">
        <v>736</v>
      </c>
      <c r="M721" t="str">
        <f t="shared" si="839"/>
        <v>Gustavsson_2005</v>
      </c>
      <c r="N721" t="s">
        <v>222</v>
      </c>
      <c r="O721" t="s">
        <v>223</v>
      </c>
      <c r="Q721" t="s">
        <v>256</v>
      </c>
      <c r="R721" s="255" t="s">
        <v>225</v>
      </c>
      <c r="S721" s="1" t="s">
        <v>737</v>
      </c>
      <c r="T721" t="s">
        <v>738</v>
      </c>
      <c r="U721" s="264" t="s">
        <v>739</v>
      </c>
      <c r="V721">
        <v>0</v>
      </c>
      <c r="W721">
        <v>0</v>
      </c>
      <c r="X721">
        <v>0</v>
      </c>
      <c r="Y721">
        <v>1</v>
      </c>
      <c r="Z721">
        <v>0</v>
      </c>
      <c r="AA721">
        <v>0</v>
      </c>
      <c r="AB721">
        <v>0</v>
      </c>
      <c r="AC721">
        <v>0</v>
      </c>
      <c r="AD721">
        <v>0</v>
      </c>
      <c r="AE721">
        <v>0</v>
      </c>
      <c r="AF721">
        <v>0</v>
      </c>
      <c r="AG721">
        <v>0</v>
      </c>
      <c r="AH721">
        <v>0</v>
      </c>
      <c r="AI721">
        <v>0</v>
      </c>
      <c r="AJ721">
        <v>0</v>
      </c>
      <c r="AK721">
        <v>0</v>
      </c>
      <c r="AL721">
        <v>0</v>
      </c>
      <c r="AM721">
        <v>0</v>
      </c>
      <c r="AN721">
        <v>0</v>
      </c>
      <c r="AO721">
        <v>0</v>
      </c>
      <c r="AP721">
        <v>0</v>
      </c>
      <c r="AQ721">
        <v>0</v>
      </c>
      <c r="AR721">
        <v>0</v>
      </c>
      <c r="AS721">
        <v>0</v>
      </c>
      <c r="AT721">
        <v>0</v>
      </c>
      <c r="AU721">
        <v>0</v>
      </c>
      <c r="AV721">
        <v>0</v>
      </c>
      <c r="AW721">
        <v>0</v>
      </c>
      <c r="AX721" s="141">
        <f t="shared" si="868"/>
        <v>1</v>
      </c>
      <c r="AY721" s="141">
        <f t="shared" si="869"/>
        <v>1</v>
      </c>
      <c r="AZ721">
        <f t="shared" si="870"/>
        <v>1</v>
      </c>
      <c r="BA721">
        <f t="shared" si="871"/>
        <v>0</v>
      </c>
      <c r="BB721">
        <f t="shared" si="872"/>
        <v>0</v>
      </c>
      <c r="BC721">
        <f t="shared" si="873"/>
        <v>0</v>
      </c>
      <c r="BD721">
        <f t="shared" si="874"/>
        <v>0</v>
      </c>
      <c r="BE721" t="str">
        <f t="array" ref="BE721">IF(AY721=1,INDEX($V$7:$AL$7,MATCH(TRUE,INDEX($V721:$AW721&lt;&gt;0,),0)),IF(AY721=0,INDEX($AM$7:$AW$7,MATCH(1,$AM721:$AW721,0)),IF(BF721="Multiple strategies","mixed drivers",IF(BF721="Supply chain","multiple supply","multiple silviculture"))))</f>
        <v xml:space="preserve">cutting intensity </v>
      </c>
      <c r="BF721" s="2" t="str" cm="1">
        <f t="array" ref="BF721">IF(COUNTIF(AZ721:BB721,"&lt;&gt;0")=1,INDEX($V$4:$AW$4,MATCH(TRUE,INDEX($V721:$AW721&lt;&gt;0,),0)),IF(COUNTIF(AZ721:BB721,"&lt;&gt;0")=0,INDEX($AM$4:$AW$4,MATCH(1,$AM721:$AW721,0)),"Multiple strategies"))</f>
        <v>Silviculture for removals</v>
      </c>
      <c r="BG721" s="263" t="s">
        <v>321</v>
      </c>
      <c r="BH721" s="264" t="s">
        <v>740</v>
      </c>
      <c r="BI721" s="260" t="s">
        <v>424</v>
      </c>
      <c r="BJ721" s="264" t="s">
        <v>741</v>
      </c>
      <c r="BK721" s="264">
        <v>166.8</v>
      </c>
      <c r="BL721" s="264">
        <v>207.5</v>
      </c>
      <c r="BM721" s="264">
        <f t="shared" si="875"/>
        <v>1.2440047961630694</v>
      </c>
      <c r="BN721" s="264">
        <f t="shared" si="876"/>
        <v>40.699999999999989</v>
      </c>
      <c r="BO721" s="264">
        <f t="shared" si="877"/>
        <v>83.06122448979589</v>
      </c>
      <c r="BP721" t="s">
        <v>232</v>
      </c>
      <c r="BQ721" s="303" t="s">
        <v>3332</v>
      </c>
      <c r="BR721" t="s">
        <v>442</v>
      </c>
      <c r="BS721" s="264">
        <v>26.2</v>
      </c>
      <c r="BT721" s="151">
        <v>44.2</v>
      </c>
      <c r="BV721">
        <v>18.000000000000004</v>
      </c>
      <c r="BX721">
        <f t="shared" si="878"/>
        <v>66.060000000000016</v>
      </c>
      <c r="BY721">
        <f t="shared" si="820"/>
        <v>0.79531695331695373</v>
      </c>
      <c r="BZ721" s="143">
        <v>0</v>
      </c>
      <c r="CA721" s="143">
        <v>0</v>
      </c>
      <c r="CB721" s="143">
        <v>0</v>
      </c>
      <c r="CC721" s="143">
        <v>0</v>
      </c>
      <c r="CD721" s="143">
        <v>0</v>
      </c>
      <c r="CE721" s="143">
        <v>0</v>
      </c>
      <c r="CF721" s="143">
        <v>0</v>
      </c>
      <c r="CG721" s="143">
        <v>0</v>
      </c>
      <c r="CH721" s="143">
        <v>0</v>
      </c>
      <c r="CI721" s="143">
        <v>0</v>
      </c>
      <c r="CJ721" s="143">
        <v>0</v>
      </c>
      <c r="CK721" s="143">
        <v>0</v>
      </c>
      <c r="CL721" s="143">
        <v>0</v>
      </c>
      <c r="CM721">
        <v>0</v>
      </c>
      <c r="CN721" t="str">
        <f t="shared" si="879"/>
        <v>refOK</v>
      </c>
      <c r="CO721">
        <f t="shared" si="880"/>
        <v>166.8</v>
      </c>
      <c r="CP721">
        <f t="shared" si="881"/>
        <v>207.5</v>
      </c>
      <c r="CQ721">
        <f t="shared" si="882"/>
        <v>83.06122448979589</v>
      </c>
      <c r="CR721">
        <f t="shared" si="883"/>
        <v>26.2</v>
      </c>
      <c r="CS721">
        <f t="shared" si="884"/>
        <v>44.2</v>
      </c>
      <c r="CT721">
        <f t="shared" si="885"/>
        <v>66.060000000000016</v>
      </c>
      <c r="CU721">
        <f t="shared" si="886"/>
        <v>0.79531695331695373</v>
      </c>
      <c r="CV721" s="2">
        <f t="shared" si="887"/>
        <v>0.68702290076335892</v>
      </c>
      <c r="CW721" s="1" t="s">
        <v>263</v>
      </c>
      <c r="CX721" t="str">
        <f t="shared" si="888"/>
        <v>loc</v>
      </c>
      <c r="CY721" t="s">
        <v>743</v>
      </c>
      <c r="DA721" s="143"/>
      <c r="DB721" s="143">
        <v>0</v>
      </c>
      <c r="DC721" t="str">
        <f t="shared" si="889"/>
        <v>0</v>
      </c>
      <c r="DD721">
        <v>0</v>
      </c>
      <c r="DE721">
        <v>0</v>
      </c>
      <c r="DF721">
        <v>0</v>
      </c>
      <c r="DG721">
        <v>1</v>
      </c>
      <c r="DI721">
        <f t="shared" si="890"/>
        <v>1</v>
      </c>
      <c r="DJ721" t="str">
        <f t="shared" si="891"/>
        <v>TimberInput</v>
      </c>
      <c r="DK721">
        <f t="shared" si="892"/>
        <v>0</v>
      </c>
      <c r="DL721">
        <f t="shared" si="893"/>
        <v>0</v>
      </c>
      <c r="DM721">
        <f t="shared" si="894"/>
        <v>0</v>
      </c>
      <c r="DN721" t="str">
        <f t="shared" si="895"/>
        <v>Timber</v>
      </c>
      <c r="DO721">
        <v>1</v>
      </c>
      <c r="DP721" s="143">
        <v>0</v>
      </c>
      <c r="DQ721" s="143">
        <v>0</v>
      </c>
      <c r="DR721">
        <v>0</v>
      </c>
      <c r="DS721" s="143">
        <v>0</v>
      </c>
      <c r="DT721">
        <f t="shared" si="896"/>
        <v>1</v>
      </c>
      <c r="DU721" s="143" t="str">
        <f t="shared" si="897"/>
        <v>self-calculated DF</v>
      </c>
      <c r="DV721" s="143">
        <v>0</v>
      </c>
      <c r="DW721" s="264">
        <v>1</v>
      </c>
      <c r="DX721" s="264">
        <v>1</v>
      </c>
      <c r="DY721" s="264">
        <v>0</v>
      </c>
      <c r="DZ721" s="264">
        <v>0</v>
      </c>
      <c r="EA721" s="264">
        <v>1</v>
      </c>
      <c r="EB721" s="264">
        <v>1</v>
      </c>
      <c r="EC721" s="264">
        <v>1</v>
      </c>
      <c r="ED721" s="143">
        <v>0</v>
      </c>
      <c r="EE721">
        <v>0</v>
      </c>
      <c r="EF721">
        <v>0</v>
      </c>
      <c r="EG721" s="143">
        <v>0</v>
      </c>
      <c r="EH721" s="143">
        <v>0</v>
      </c>
      <c r="EI721" s="2">
        <v>0</v>
      </c>
      <c r="EK721" t="str">
        <f t="shared" si="898"/>
        <v/>
      </c>
      <c r="EL721" t="str">
        <f t="shared" si="899"/>
        <v/>
      </c>
      <c r="EM721" s="2" t="str">
        <f t="shared" si="821"/>
        <v/>
      </c>
      <c r="EP721" t="str">
        <f>IF(ISNUMBER(BU721),IF(ABS(BU721-[5]QC_indicators!$B$2)&gt;3*[5]QC_indicators!$C$2,"C ratio",IF(ISNUMBER(BY721),IF(ABS(BY721-[5]QC_indicators!$B$1)&gt;3*[5]QC_indicators!$C$1,"DF","no"))),IF(ISNUMBER(BY721),IF(ABS(BY721-[5]QC_indicators!$B$1)&gt;3*[5]QC_indicators!$C$1,"DF","no")))</f>
        <v>no</v>
      </c>
      <c r="ER721" s="149" t="s">
        <v>349</v>
      </c>
      <c r="ET721" s="264" t="s">
        <v>3272</v>
      </c>
    </row>
    <row r="722" spans="4:150" ht="15" hidden="1" customHeight="1">
      <c r="D722" t="s">
        <v>733</v>
      </c>
      <c r="E722" t="s">
        <v>734</v>
      </c>
      <c r="G722" t="s">
        <v>735</v>
      </c>
      <c r="I722">
        <v>2005</v>
      </c>
      <c r="K722" s="156" t="s">
        <v>736</v>
      </c>
      <c r="M722" t="str">
        <f t="shared" si="839"/>
        <v>Gustavsson_2005</v>
      </c>
      <c r="N722" t="s">
        <v>222</v>
      </c>
      <c r="O722" t="s">
        <v>223</v>
      </c>
      <c r="Q722" t="s">
        <v>256</v>
      </c>
      <c r="R722" s="255" t="s">
        <v>225</v>
      </c>
      <c r="S722" s="1" t="s">
        <v>745</v>
      </c>
      <c r="T722" t="s">
        <v>738</v>
      </c>
      <c r="U722" s="264" t="s">
        <v>739</v>
      </c>
      <c r="V722">
        <v>0</v>
      </c>
      <c r="W722">
        <v>0</v>
      </c>
      <c r="X722">
        <v>0</v>
      </c>
      <c r="Y722">
        <v>0</v>
      </c>
      <c r="Z722">
        <v>0</v>
      </c>
      <c r="AA722">
        <v>0</v>
      </c>
      <c r="AB722">
        <v>0</v>
      </c>
      <c r="AC722">
        <v>0</v>
      </c>
      <c r="AD722">
        <v>0</v>
      </c>
      <c r="AE722">
        <v>0</v>
      </c>
      <c r="AF722">
        <v>0</v>
      </c>
      <c r="AG722">
        <v>0</v>
      </c>
      <c r="AH722">
        <v>1</v>
      </c>
      <c r="AI722">
        <v>0</v>
      </c>
      <c r="AJ722">
        <v>0</v>
      </c>
      <c r="AK722">
        <v>0</v>
      </c>
      <c r="AL722">
        <v>0</v>
      </c>
      <c r="AM722">
        <v>0</v>
      </c>
      <c r="AN722">
        <v>0</v>
      </c>
      <c r="AO722">
        <v>0</v>
      </c>
      <c r="AP722">
        <v>0</v>
      </c>
      <c r="AQ722">
        <v>0</v>
      </c>
      <c r="AR722">
        <v>0</v>
      </c>
      <c r="AS722">
        <v>0</v>
      </c>
      <c r="AT722">
        <v>0</v>
      </c>
      <c r="AU722">
        <v>0</v>
      </c>
      <c r="AV722">
        <v>0</v>
      </c>
      <c r="AW722">
        <v>0</v>
      </c>
      <c r="AX722" s="141">
        <f t="shared" si="868"/>
        <v>1</v>
      </c>
      <c r="AY722" s="141">
        <f t="shared" si="869"/>
        <v>1</v>
      </c>
      <c r="AZ722">
        <f t="shared" si="870"/>
        <v>0</v>
      </c>
      <c r="BA722">
        <f t="shared" si="871"/>
        <v>1</v>
      </c>
      <c r="BB722">
        <f t="shared" si="872"/>
        <v>0</v>
      </c>
      <c r="BC722">
        <f t="shared" si="873"/>
        <v>0</v>
      </c>
      <c r="BD722">
        <f t="shared" si="874"/>
        <v>0</v>
      </c>
      <c r="BE722" t="str">
        <f t="array" ref="BE722">IF(AY722=1,INDEX($V$7:$AL$7,MATCH(TRUE,INDEX($V722:$AW722&lt;&gt;0,),0)),IF(AY722=0,INDEX($AM$7:$AW$7,MATCH(1,$AM722:$AW722,0)),IF(BF722="Multiple strategies","mixed drivers",IF(BF722="Supply chain","multiple supply","multiple silviculture"))))</f>
        <v xml:space="preserve">end of life disposal </v>
      </c>
      <c r="BF722" s="2" t="str" cm="1">
        <f t="array" ref="BF722">IF(COUNTIF(AZ722:BB722,"&lt;&gt;0")=1,INDEX($V$4:$AW$4,MATCH(TRUE,INDEX($V722:$AW722&lt;&gt;0,),0)),IF(COUNTIF(AZ722:BB722,"&lt;&gt;0")=0,INDEX($AM$4:$AW$4,MATCH(1,$AM722:$AW722,0)),"Multiple strategies"))</f>
        <v>Supply chain</v>
      </c>
      <c r="BG722" s="263" t="s">
        <v>321</v>
      </c>
      <c r="BH722" s="264" t="s">
        <v>740</v>
      </c>
      <c r="BI722" s="260" t="s">
        <v>3334</v>
      </c>
      <c r="BJ722" s="264" t="s">
        <v>741</v>
      </c>
      <c r="BK722" s="264">
        <f>BL722-8.9</f>
        <v>198.6</v>
      </c>
      <c r="BL722" s="264">
        <v>207.5</v>
      </c>
      <c r="BM722" s="264">
        <f t="shared" si="875"/>
        <v>1.0448136958710976</v>
      </c>
      <c r="BN722" s="264">
        <f t="shared" si="876"/>
        <v>8.9000000000000057</v>
      </c>
      <c r="BO722" s="264">
        <f t="shared" si="877"/>
        <v>18.163265306122462</v>
      </c>
      <c r="BP722" t="s">
        <v>232</v>
      </c>
      <c r="BQ722" s="303" t="s">
        <v>3332</v>
      </c>
      <c r="BR722" t="s">
        <v>442</v>
      </c>
      <c r="BS722" s="264">
        <v>39.299999999999997</v>
      </c>
      <c r="BT722" s="151">
        <v>44.2</v>
      </c>
      <c r="BV722">
        <v>4.9000000000000057</v>
      </c>
      <c r="BX722">
        <f t="shared" si="878"/>
        <v>17.983000000000022</v>
      </c>
      <c r="BY722">
        <f t="shared" si="820"/>
        <v>0.99007528089887697</v>
      </c>
      <c r="BZ722" s="143">
        <v>0</v>
      </c>
      <c r="CA722" s="143">
        <v>0</v>
      </c>
      <c r="CB722" s="143">
        <v>0</v>
      </c>
      <c r="CC722" s="143">
        <v>0</v>
      </c>
      <c r="CD722" s="143">
        <v>0</v>
      </c>
      <c r="CE722" s="143">
        <v>0</v>
      </c>
      <c r="CF722" s="143">
        <v>0</v>
      </c>
      <c r="CG722" s="143">
        <v>0</v>
      </c>
      <c r="CH722" s="143">
        <v>0</v>
      </c>
      <c r="CI722" s="143">
        <v>0</v>
      </c>
      <c r="CJ722" s="143">
        <v>0</v>
      </c>
      <c r="CK722" s="143">
        <v>0</v>
      </c>
      <c r="CL722" s="143">
        <v>0</v>
      </c>
      <c r="CM722">
        <v>0</v>
      </c>
      <c r="CN722" t="str">
        <f t="shared" si="879"/>
        <v>refOK</v>
      </c>
      <c r="CO722">
        <f t="shared" si="880"/>
        <v>198.6</v>
      </c>
      <c r="CP722">
        <f t="shared" si="881"/>
        <v>207.5</v>
      </c>
      <c r="CQ722">
        <f t="shared" si="882"/>
        <v>18.163265306122462</v>
      </c>
      <c r="CR722">
        <f t="shared" si="883"/>
        <v>39.299999999999997</v>
      </c>
      <c r="CS722">
        <f t="shared" si="884"/>
        <v>44.2</v>
      </c>
      <c r="CT722">
        <f t="shared" si="885"/>
        <v>17.983000000000022</v>
      </c>
      <c r="CU722">
        <f t="shared" si="886"/>
        <v>0.99007528089887697</v>
      </c>
      <c r="CV722" s="2">
        <f t="shared" si="887"/>
        <v>0.12468193384223934</v>
      </c>
      <c r="CW722" s="1" t="s">
        <v>263</v>
      </c>
      <c r="CX722" t="str">
        <f t="shared" si="888"/>
        <v>loc</v>
      </c>
      <c r="CY722" t="s">
        <v>743</v>
      </c>
      <c r="DA722" s="143"/>
      <c r="DB722" s="143">
        <v>0</v>
      </c>
      <c r="DC722" t="str">
        <f t="shared" si="889"/>
        <v>0</v>
      </c>
      <c r="DD722">
        <v>0</v>
      </c>
      <c r="DE722">
        <v>0</v>
      </c>
      <c r="DF722">
        <v>0</v>
      </c>
      <c r="DG722">
        <v>1</v>
      </c>
      <c r="DI722">
        <f t="shared" si="890"/>
        <v>1</v>
      </c>
      <c r="DJ722" t="str">
        <f t="shared" si="891"/>
        <v>TimberInput</v>
      </c>
      <c r="DK722">
        <f t="shared" si="892"/>
        <v>0</v>
      </c>
      <c r="DL722">
        <f t="shared" si="893"/>
        <v>0</v>
      </c>
      <c r="DM722">
        <f t="shared" si="894"/>
        <v>0</v>
      </c>
      <c r="DN722" t="str">
        <f t="shared" si="895"/>
        <v>Timber</v>
      </c>
      <c r="DO722">
        <v>1</v>
      </c>
      <c r="DP722" s="143">
        <v>0</v>
      </c>
      <c r="DQ722" s="143">
        <v>0</v>
      </c>
      <c r="DR722">
        <v>0</v>
      </c>
      <c r="DS722" s="143">
        <v>0</v>
      </c>
      <c r="DT722">
        <f t="shared" si="896"/>
        <v>1</v>
      </c>
      <c r="DU722" s="143" t="str">
        <f t="shared" si="897"/>
        <v>self-calculated DF</v>
      </c>
      <c r="DV722" s="143">
        <v>0</v>
      </c>
      <c r="DW722" s="264">
        <v>1</v>
      </c>
      <c r="DX722" s="264">
        <v>1</v>
      </c>
      <c r="DY722" s="264">
        <v>0</v>
      </c>
      <c r="DZ722" s="264">
        <v>0</v>
      </c>
      <c r="EA722" s="264">
        <v>1</v>
      </c>
      <c r="EB722" s="264">
        <v>1</v>
      </c>
      <c r="EC722" s="264">
        <v>1</v>
      </c>
      <c r="ED722" s="143">
        <v>0</v>
      </c>
      <c r="EE722">
        <v>0</v>
      </c>
      <c r="EF722">
        <v>0</v>
      </c>
      <c r="EG722" s="143">
        <v>0</v>
      </c>
      <c r="EH722" s="143">
        <v>0</v>
      </c>
      <c r="EI722" s="2">
        <v>0</v>
      </c>
      <c r="EK722" t="str">
        <f t="shared" si="898"/>
        <v/>
      </c>
      <c r="EL722" t="str">
        <f t="shared" si="899"/>
        <v/>
      </c>
      <c r="EM722" s="2" t="str">
        <f t="shared" si="821"/>
        <v/>
      </c>
      <c r="EP722" t="str">
        <f>IF(ISNUMBER(BU722),IF(ABS(BU722-[5]QC_indicators!$B$2)&gt;3*[5]QC_indicators!$C$2,"C ratio",IF(ISNUMBER(BY722),IF(ABS(BY722-[5]QC_indicators!$B$1)&gt;3*[5]QC_indicators!$C$1,"DF","no"))),IF(ISNUMBER(BY722),IF(ABS(BY722-[5]QC_indicators!$B$1)&gt;3*[5]QC_indicators!$C$1,"DF","no")))</f>
        <v>no</v>
      </c>
      <c r="ER722" s="149" t="s">
        <v>349</v>
      </c>
      <c r="ET722" s="264" t="s">
        <v>3272</v>
      </c>
    </row>
    <row r="723" spans="4:150" ht="15" hidden="1" customHeight="1">
      <c r="D723" t="s">
        <v>733</v>
      </c>
      <c r="E723" t="s">
        <v>734</v>
      </c>
      <c r="G723" t="s">
        <v>735</v>
      </c>
      <c r="I723">
        <v>2005</v>
      </c>
      <c r="K723" s="156" t="s">
        <v>736</v>
      </c>
      <c r="M723" t="str">
        <f t="shared" si="839"/>
        <v>Gustavsson_2005</v>
      </c>
      <c r="N723" t="s">
        <v>222</v>
      </c>
      <c r="O723" t="s">
        <v>223</v>
      </c>
      <c r="Q723" t="s">
        <v>256</v>
      </c>
      <c r="R723" s="255" t="s">
        <v>225</v>
      </c>
      <c r="S723" s="1" t="s">
        <v>752</v>
      </c>
      <c r="T723" t="s">
        <v>753</v>
      </c>
      <c r="U723" s="264" t="s">
        <v>754</v>
      </c>
      <c r="V723">
        <v>0</v>
      </c>
      <c r="W723">
        <v>0</v>
      </c>
      <c r="X723">
        <v>0</v>
      </c>
      <c r="Y723">
        <v>0</v>
      </c>
      <c r="Z723">
        <v>0</v>
      </c>
      <c r="AA723">
        <v>0</v>
      </c>
      <c r="AB723">
        <v>0</v>
      </c>
      <c r="AC723">
        <v>0</v>
      </c>
      <c r="AD723">
        <v>0</v>
      </c>
      <c r="AE723">
        <v>0</v>
      </c>
      <c r="AF723">
        <v>0</v>
      </c>
      <c r="AG723">
        <v>0</v>
      </c>
      <c r="AH723">
        <v>0</v>
      </c>
      <c r="AI723">
        <v>0</v>
      </c>
      <c r="AJ723">
        <v>0</v>
      </c>
      <c r="AK723">
        <v>1</v>
      </c>
      <c r="AL723">
        <v>0</v>
      </c>
      <c r="AM723">
        <v>0</v>
      </c>
      <c r="AN723">
        <v>0</v>
      </c>
      <c r="AO723">
        <v>0</v>
      </c>
      <c r="AP723">
        <v>0</v>
      </c>
      <c r="AQ723">
        <v>0</v>
      </c>
      <c r="AR723">
        <v>0</v>
      </c>
      <c r="AS723">
        <v>0</v>
      </c>
      <c r="AT723">
        <v>0</v>
      </c>
      <c r="AU723">
        <v>0</v>
      </c>
      <c r="AV723">
        <v>0</v>
      </c>
      <c r="AW723">
        <v>0</v>
      </c>
      <c r="AX723" s="141">
        <f t="shared" si="868"/>
        <v>1</v>
      </c>
      <c r="AY723" s="141">
        <f t="shared" si="869"/>
        <v>1</v>
      </c>
      <c r="AZ723">
        <f t="shared" si="870"/>
        <v>0</v>
      </c>
      <c r="BA723">
        <f t="shared" si="871"/>
        <v>0</v>
      </c>
      <c r="BB723">
        <f t="shared" si="872"/>
        <v>1</v>
      </c>
      <c r="BC723">
        <f t="shared" si="873"/>
        <v>0</v>
      </c>
      <c r="BD723">
        <f t="shared" si="874"/>
        <v>0</v>
      </c>
      <c r="BE723" t="str">
        <f t="array" ref="BE723">IF(AY723=1,INDEX($V$7:$AL$7,MATCH(TRUE,INDEX($V723:$AW723&lt;&gt;0,),0)),IF(AY723=0,INDEX($AM$7:$AW$7,MATCH(1,$AM723:$AW723,0)),IF(BF723="Multiple strategies","mixed drivers",IF(BF723="Supply chain","multiple supply","multiple silviculture"))))</f>
        <v>technologies/design switch</v>
      </c>
      <c r="BF723" s="2" t="str" cm="1">
        <f t="array" ref="BF723">IF(COUNTIF(AZ723:BB723,"&lt;&gt;0")=1,INDEX($V$4:$AW$4,MATCH(TRUE,INDEX($V723:$AW723&lt;&gt;0,),0)),IF(COUNTIF(AZ723:BB723,"&lt;&gt;0")=0,INDEX($AM$4:$AW$4,MATCH(1,$AM723:$AW723,0)),"Multiple strategies"))</f>
        <v>Technology</v>
      </c>
      <c r="BG723" s="263" t="s">
        <v>229</v>
      </c>
      <c r="BH723" s="264" t="s">
        <v>755</v>
      </c>
      <c r="BI723" s="260" t="s">
        <v>424</v>
      </c>
      <c r="BJ723" s="264" t="s">
        <v>741</v>
      </c>
      <c r="BK723" s="264">
        <v>56.4</v>
      </c>
      <c r="BL723" s="264">
        <v>80.5</v>
      </c>
      <c r="BM723" s="264">
        <f t="shared" si="875"/>
        <v>1.4273049645390072</v>
      </c>
      <c r="BN723" s="264">
        <f t="shared" si="876"/>
        <v>24.1</v>
      </c>
      <c r="BO723" s="264">
        <f t="shared" si="877"/>
        <v>49.183673469387756</v>
      </c>
      <c r="BP723" t="s">
        <v>232</v>
      </c>
      <c r="BQ723" s="303" t="s">
        <v>3336</v>
      </c>
      <c r="BR723" t="s">
        <v>442</v>
      </c>
      <c r="BS723" s="264">
        <v>76.2</v>
      </c>
      <c r="BT723" s="151">
        <v>97.9</v>
      </c>
      <c r="BV723">
        <f>BT723-BS723</f>
        <v>21.700000000000003</v>
      </c>
      <c r="BX723">
        <f t="shared" si="878"/>
        <v>79.63900000000001</v>
      </c>
      <c r="BY723">
        <f t="shared" si="820"/>
        <v>1.6192161825726143</v>
      </c>
      <c r="BZ723" s="143">
        <v>0</v>
      </c>
      <c r="CA723" s="143">
        <v>0</v>
      </c>
      <c r="CB723" s="143">
        <v>0</v>
      </c>
      <c r="CC723" s="143">
        <v>0</v>
      </c>
      <c r="CD723" s="143">
        <v>0</v>
      </c>
      <c r="CE723" s="143">
        <v>0</v>
      </c>
      <c r="CF723" s="143">
        <v>0</v>
      </c>
      <c r="CG723" s="143">
        <v>0</v>
      </c>
      <c r="CH723" s="143">
        <v>0</v>
      </c>
      <c r="CI723" s="143">
        <v>0</v>
      </c>
      <c r="CJ723" s="143">
        <v>0</v>
      </c>
      <c r="CK723" s="143">
        <v>0</v>
      </c>
      <c r="CL723" s="143">
        <v>0</v>
      </c>
      <c r="CM723">
        <v>0</v>
      </c>
      <c r="CN723" t="str">
        <f t="shared" si="879"/>
        <v>refOK</v>
      </c>
      <c r="CO723">
        <f t="shared" si="880"/>
        <v>56.4</v>
      </c>
      <c r="CP723">
        <f t="shared" si="881"/>
        <v>80.5</v>
      </c>
      <c r="CQ723">
        <f t="shared" si="882"/>
        <v>49.183673469387756</v>
      </c>
      <c r="CR723">
        <f t="shared" si="883"/>
        <v>76.2</v>
      </c>
      <c r="CS723">
        <f t="shared" si="884"/>
        <v>97.9</v>
      </c>
      <c r="CT723">
        <f t="shared" si="885"/>
        <v>79.63900000000001</v>
      </c>
      <c r="CU723">
        <f t="shared" si="886"/>
        <v>1.6192161825726143</v>
      </c>
      <c r="CV723" s="2">
        <f t="shared" si="887"/>
        <v>0.28477690288713914</v>
      </c>
      <c r="CW723" s="1" t="s">
        <v>263</v>
      </c>
      <c r="CX723" t="str">
        <f t="shared" si="888"/>
        <v>loc</v>
      </c>
      <c r="CY723" t="s">
        <v>743</v>
      </c>
      <c r="DA723" s="143"/>
      <c r="DB723" s="143">
        <v>0</v>
      </c>
      <c r="DC723" t="str">
        <f t="shared" si="889"/>
        <v>0</v>
      </c>
      <c r="DD723">
        <v>0</v>
      </c>
      <c r="DE723">
        <v>0</v>
      </c>
      <c r="DF723">
        <v>0</v>
      </c>
      <c r="DG723">
        <v>1</v>
      </c>
      <c r="DI723">
        <f t="shared" si="890"/>
        <v>1</v>
      </c>
      <c r="DJ723" t="str">
        <f t="shared" si="891"/>
        <v>TimberInput</v>
      </c>
      <c r="DK723">
        <f t="shared" si="892"/>
        <v>0</v>
      </c>
      <c r="DL723">
        <f t="shared" si="893"/>
        <v>0</v>
      </c>
      <c r="DM723">
        <f t="shared" si="894"/>
        <v>0</v>
      </c>
      <c r="DN723" t="str">
        <f t="shared" si="895"/>
        <v>Timber</v>
      </c>
      <c r="DO723">
        <v>1</v>
      </c>
      <c r="DP723" s="143">
        <v>0</v>
      </c>
      <c r="DQ723" s="143">
        <v>0</v>
      </c>
      <c r="DR723">
        <v>0</v>
      </c>
      <c r="DS723" s="143">
        <v>0</v>
      </c>
      <c r="DT723">
        <f t="shared" si="896"/>
        <v>1</v>
      </c>
      <c r="DU723" s="143" t="str">
        <f t="shared" si="897"/>
        <v>self-calculated DF</v>
      </c>
      <c r="DV723" s="143">
        <v>0</v>
      </c>
      <c r="DW723" s="264">
        <v>1</v>
      </c>
      <c r="DX723" s="264">
        <v>1</v>
      </c>
      <c r="DY723" s="264">
        <v>0</v>
      </c>
      <c r="DZ723" s="264">
        <v>0</v>
      </c>
      <c r="EA723" s="264">
        <v>1</v>
      </c>
      <c r="EB723" s="264">
        <v>1</v>
      </c>
      <c r="EC723" s="264">
        <v>0</v>
      </c>
      <c r="ED723" s="143">
        <v>0</v>
      </c>
      <c r="EE723">
        <v>0</v>
      </c>
      <c r="EF723">
        <v>0</v>
      </c>
      <c r="EG723" s="143">
        <v>0</v>
      </c>
      <c r="EH723" s="143">
        <v>0</v>
      </c>
      <c r="EI723" s="2">
        <v>0</v>
      </c>
      <c r="EK723" t="str">
        <f t="shared" si="898"/>
        <v/>
      </c>
      <c r="EL723" t="str">
        <f t="shared" si="899"/>
        <v/>
      </c>
      <c r="EM723" s="2" t="str">
        <f t="shared" si="821"/>
        <v/>
      </c>
      <c r="EP723" t="str">
        <f>IF(ISNUMBER(BU723),IF(ABS(BU723-[5]QC_indicators!$B$2)&gt;3*[5]QC_indicators!$C$2,"C ratio",IF(ISNUMBER(BY723),IF(ABS(BY723-[5]QC_indicators!$B$1)&gt;3*[5]QC_indicators!$C$1,"DF","no"))),IF(ISNUMBER(BY723),IF(ABS(BY723-[5]QC_indicators!$B$1)&gt;3*[5]QC_indicators!$C$1,"DF","no")))</f>
        <v>no</v>
      </c>
      <c r="ER723" s="149" t="s">
        <v>349</v>
      </c>
      <c r="ET723" s="264" t="s">
        <v>3272</v>
      </c>
    </row>
    <row r="724" spans="4:150" ht="15" hidden="1" customHeight="1">
      <c r="D724" t="s">
        <v>733</v>
      </c>
      <c r="E724" t="s">
        <v>734</v>
      </c>
      <c r="G724" t="s">
        <v>735</v>
      </c>
      <c r="I724">
        <v>2005</v>
      </c>
      <c r="K724" s="156" t="s">
        <v>736</v>
      </c>
      <c r="M724" t="str">
        <f t="shared" si="839"/>
        <v>Gustavsson_2005</v>
      </c>
      <c r="N724" t="s">
        <v>222</v>
      </c>
      <c r="O724" t="s">
        <v>223</v>
      </c>
      <c r="Q724" t="s">
        <v>256</v>
      </c>
      <c r="R724" s="255" t="s">
        <v>225</v>
      </c>
      <c r="S724" s="1" t="s">
        <v>752</v>
      </c>
      <c r="T724" t="s">
        <v>753</v>
      </c>
      <c r="U724" s="264" t="s">
        <v>754</v>
      </c>
      <c r="V724">
        <v>0</v>
      </c>
      <c r="W724">
        <v>0</v>
      </c>
      <c r="X724">
        <v>0</v>
      </c>
      <c r="Y724">
        <v>0</v>
      </c>
      <c r="Z724">
        <v>0</v>
      </c>
      <c r="AA724">
        <v>0</v>
      </c>
      <c r="AB724">
        <v>0</v>
      </c>
      <c r="AC724">
        <v>0</v>
      </c>
      <c r="AD724">
        <v>0</v>
      </c>
      <c r="AE724">
        <v>0</v>
      </c>
      <c r="AF724">
        <v>0</v>
      </c>
      <c r="AG724">
        <v>0</v>
      </c>
      <c r="AH724">
        <v>0</v>
      </c>
      <c r="AI724">
        <v>0</v>
      </c>
      <c r="AJ724">
        <v>0</v>
      </c>
      <c r="AK724">
        <v>1</v>
      </c>
      <c r="AL724">
        <v>0</v>
      </c>
      <c r="AM724">
        <v>0</v>
      </c>
      <c r="AN724">
        <v>0</v>
      </c>
      <c r="AO724">
        <v>0</v>
      </c>
      <c r="AP724">
        <v>0</v>
      </c>
      <c r="AQ724">
        <v>0</v>
      </c>
      <c r="AR724">
        <v>0</v>
      </c>
      <c r="AS724">
        <v>0</v>
      </c>
      <c r="AT724">
        <v>0</v>
      </c>
      <c r="AU724">
        <v>0</v>
      </c>
      <c r="AV724">
        <v>0</v>
      </c>
      <c r="AW724">
        <v>0</v>
      </c>
      <c r="AX724" s="141">
        <f t="shared" si="868"/>
        <v>1</v>
      </c>
      <c r="AY724" s="141">
        <f t="shared" si="869"/>
        <v>1</v>
      </c>
      <c r="AZ724">
        <f t="shared" si="870"/>
        <v>0</v>
      </c>
      <c r="BA724">
        <f t="shared" si="871"/>
        <v>0</v>
      </c>
      <c r="BB724">
        <f t="shared" si="872"/>
        <v>1</v>
      </c>
      <c r="BC724">
        <f t="shared" si="873"/>
        <v>0</v>
      </c>
      <c r="BD724">
        <f t="shared" si="874"/>
        <v>0</v>
      </c>
      <c r="BE724" t="str">
        <f t="array" ref="BE724">IF(AY724=1,INDEX($V$7:$AL$7,MATCH(TRUE,INDEX($V724:$AW724&lt;&gt;0,),0)),IF(AY724=0,INDEX($AM$7:$AW$7,MATCH(1,$AM724:$AW724,0)),IF(BF724="Multiple strategies","mixed drivers",IF(BF724="Supply chain","multiple supply","multiple silviculture"))))</f>
        <v>technologies/design switch</v>
      </c>
      <c r="BF724" s="2" t="str" cm="1">
        <f t="array" ref="BF724">IF(COUNTIF(AZ724:BB724,"&lt;&gt;0")=1,INDEX($V$4:$AW$4,MATCH(TRUE,INDEX($V724:$AW724&lt;&gt;0,),0)),IF(COUNTIF(AZ724:BB724,"&lt;&gt;0")=0,INDEX($AM$4:$AW$4,MATCH(1,$AM724:$AW724,0)),"Multiple strategies"))</f>
        <v>Technology</v>
      </c>
      <c r="BG724" s="263" t="s">
        <v>229</v>
      </c>
      <c r="BH724" s="264" t="s">
        <v>755</v>
      </c>
      <c r="BI724" s="260" t="s">
        <v>424</v>
      </c>
      <c r="BJ724" s="264" t="s">
        <v>756</v>
      </c>
      <c r="BK724" s="264">
        <v>56.4</v>
      </c>
      <c r="BL724" s="264">
        <v>80.5</v>
      </c>
      <c r="BM724" s="264">
        <f t="shared" si="875"/>
        <v>1.4273049645390072</v>
      </c>
      <c r="BN724" s="264">
        <f t="shared" si="876"/>
        <v>24.1</v>
      </c>
      <c r="BO724" s="264">
        <f t="shared" si="877"/>
        <v>49.183673469387756</v>
      </c>
      <c r="BP724" t="s">
        <v>232</v>
      </c>
      <c r="BQ724" s="303" t="s">
        <v>3332</v>
      </c>
      <c r="BR724" t="s">
        <v>442</v>
      </c>
      <c r="BS724" s="264">
        <v>16.5</v>
      </c>
      <c r="BT724" s="151">
        <v>44.2</v>
      </c>
      <c r="BV724">
        <v>27.700000000000003</v>
      </c>
      <c r="BX724">
        <f t="shared" si="878"/>
        <v>101.65900000000001</v>
      </c>
      <c r="BY724">
        <f t="shared" si="820"/>
        <v>2.0669257261410787</v>
      </c>
      <c r="BZ724" s="143">
        <v>0</v>
      </c>
      <c r="CA724" s="143">
        <v>0</v>
      </c>
      <c r="CB724" s="143">
        <v>0</v>
      </c>
      <c r="CC724" s="143">
        <v>0</v>
      </c>
      <c r="CD724" s="143">
        <v>0</v>
      </c>
      <c r="CE724" s="143">
        <v>0</v>
      </c>
      <c r="CF724" s="143">
        <v>0</v>
      </c>
      <c r="CG724" s="143">
        <v>0</v>
      </c>
      <c r="CH724" s="143">
        <v>0</v>
      </c>
      <c r="CI724" s="143">
        <v>0</v>
      </c>
      <c r="CJ724" s="143">
        <v>0</v>
      </c>
      <c r="CK724" s="143">
        <v>0</v>
      </c>
      <c r="CL724" s="143">
        <v>0</v>
      </c>
      <c r="CM724">
        <v>0</v>
      </c>
      <c r="CN724" t="str">
        <f t="shared" si="879"/>
        <v>refOK</v>
      </c>
      <c r="CO724">
        <f t="shared" si="880"/>
        <v>56.4</v>
      </c>
      <c r="CP724">
        <f t="shared" si="881"/>
        <v>80.5</v>
      </c>
      <c r="CQ724">
        <f t="shared" si="882"/>
        <v>49.183673469387756</v>
      </c>
      <c r="CR724">
        <f t="shared" si="883"/>
        <v>16.5</v>
      </c>
      <c r="CS724">
        <f t="shared" si="884"/>
        <v>44.2</v>
      </c>
      <c r="CT724">
        <f t="shared" si="885"/>
        <v>101.65900000000001</v>
      </c>
      <c r="CU724">
        <f t="shared" si="886"/>
        <v>2.0669257261410787</v>
      </c>
      <c r="CV724" s="2">
        <f t="shared" si="887"/>
        <v>1.6787878787878789</v>
      </c>
      <c r="CW724" s="1" t="s">
        <v>263</v>
      </c>
      <c r="CX724" t="str">
        <f t="shared" si="888"/>
        <v>loc</v>
      </c>
      <c r="CY724" t="s">
        <v>743</v>
      </c>
      <c r="DA724" s="143"/>
      <c r="DB724" s="143">
        <v>0</v>
      </c>
      <c r="DC724" t="str">
        <f t="shared" si="889"/>
        <v>0</v>
      </c>
      <c r="DD724">
        <v>0</v>
      </c>
      <c r="DE724">
        <v>0</v>
      </c>
      <c r="DF724">
        <v>0</v>
      </c>
      <c r="DG724">
        <v>1</v>
      </c>
      <c r="DI724">
        <f t="shared" si="890"/>
        <v>1</v>
      </c>
      <c r="DJ724" t="str">
        <f t="shared" si="891"/>
        <v>TimberInput</v>
      </c>
      <c r="DK724">
        <f t="shared" si="892"/>
        <v>0</v>
      </c>
      <c r="DL724">
        <f t="shared" si="893"/>
        <v>0</v>
      </c>
      <c r="DM724">
        <f t="shared" si="894"/>
        <v>0</v>
      </c>
      <c r="DN724" t="str">
        <f t="shared" si="895"/>
        <v>Timber</v>
      </c>
      <c r="DO724">
        <v>1</v>
      </c>
      <c r="DP724" s="143">
        <v>0</v>
      </c>
      <c r="DQ724" s="143">
        <v>0</v>
      </c>
      <c r="DR724">
        <v>0</v>
      </c>
      <c r="DS724" s="143">
        <v>0</v>
      </c>
      <c r="DT724">
        <f t="shared" si="896"/>
        <v>1</v>
      </c>
      <c r="DU724" s="143" t="str">
        <f t="shared" si="897"/>
        <v>self-calculated DF</v>
      </c>
      <c r="DV724" s="143">
        <v>0</v>
      </c>
      <c r="DW724" s="264">
        <v>1</v>
      </c>
      <c r="DX724" s="264">
        <v>1</v>
      </c>
      <c r="DY724" s="264">
        <v>0</v>
      </c>
      <c r="DZ724" s="264">
        <v>0</v>
      </c>
      <c r="EA724" s="264">
        <v>1</v>
      </c>
      <c r="EB724" s="264">
        <v>1</v>
      </c>
      <c r="EC724" s="264">
        <v>1</v>
      </c>
      <c r="ED724" s="143">
        <v>0</v>
      </c>
      <c r="EE724">
        <v>0</v>
      </c>
      <c r="EF724">
        <v>0</v>
      </c>
      <c r="EG724" s="143">
        <v>0</v>
      </c>
      <c r="EH724" s="143">
        <v>0</v>
      </c>
      <c r="EI724" s="2">
        <v>0</v>
      </c>
      <c r="EK724" t="str">
        <f t="shared" si="898"/>
        <v/>
      </c>
      <c r="EL724" t="str">
        <f t="shared" si="899"/>
        <v/>
      </c>
      <c r="EM724" s="2" t="str">
        <f t="shared" si="821"/>
        <v/>
      </c>
      <c r="EP724" t="str">
        <f>IF(ISNUMBER(BU724),IF(ABS(BU724-[5]QC_indicators!$B$2)&gt;3*[5]QC_indicators!$C$2,"C ratio",IF(ISNUMBER(BY724),IF(ABS(BY724-[5]QC_indicators!$B$1)&gt;3*[5]QC_indicators!$C$1,"DF","no"))),IF(ISNUMBER(BY724),IF(ABS(BY724-[5]QC_indicators!$B$1)&gt;3*[5]QC_indicators!$C$1,"DF","no")))</f>
        <v>no</v>
      </c>
      <c r="ER724" s="149" t="s">
        <v>349</v>
      </c>
      <c r="ET724" s="264" t="s">
        <v>3272</v>
      </c>
    </row>
    <row r="725" spans="4:150" ht="15" hidden="1" customHeight="1">
      <c r="D725" t="s">
        <v>733</v>
      </c>
      <c r="E725" t="s">
        <v>734</v>
      </c>
      <c r="G725" t="s">
        <v>735</v>
      </c>
      <c r="I725">
        <v>2005</v>
      </c>
      <c r="K725" s="156" t="s">
        <v>736</v>
      </c>
      <c r="M725" t="str">
        <f t="shared" si="839"/>
        <v>Gustavsson_2005</v>
      </c>
      <c r="N725" t="s">
        <v>222</v>
      </c>
      <c r="O725" t="s">
        <v>223</v>
      </c>
      <c r="Q725" t="s">
        <v>256</v>
      </c>
      <c r="R725" s="255" t="s">
        <v>225</v>
      </c>
      <c r="S725" s="1" t="s">
        <v>752</v>
      </c>
      <c r="T725" t="s">
        <v>753</v>
      </c>
      <c r="U725" s="264" t="s">
        <v>754</v>
      </c>
      <c r="V725">
        <v>0</v>
      </c>
      <c r="W725">
        <v>0</v>
      </c>
      <c r="X725">
        <v>0</v>
      </c>
      <c r="Y725">
        <v>0</v>
      </c>
      <c r="Z725">
        <v>0</v>
      </c>
      <c r="AA725">
        <v>0</v>
      </c>
      <c r="AB725">
        <v>0</v>
      </c>
      <c r="AC725">
        <v>0</v>
      </c>
      <c r="AD725">
        <v>0</v>
      </c>
      <c r="AE725">
        <v>0</v>
      </c>
      <c r="AF725">
        <v>0</v>
      </c>
      <c r="AG725">
        <v>0</v>
      </c>
      <c r="AH725">
        <v>0</v>
      </c>
      <c r="AI725">
        <v>0</v>
      </c>
      <c r="AJ725">
        <v>0</v>
      </c>
      <c r="AK725">
        <v>1</v>
      </c>
      <c r="AL725">
        <v>0</v>
      </c>
      <c r="AM725">
        <v>0</v>
      </c>
      <c r="AN725">
        <v>0</v>
      </c>
      <c r="AO725">
        <v>0</v>
      </c>
      <c r="AP725">
        <v>0</v>
      </c>
      <c r="AQ725">
        <v>0</v>
      </c>
      <c r="AR725">
        <v>0</v>
      </c>
      <c r="AS725">
        <v>0</v>
      </c>
      <c r="AT725">
        <v>0</v>
      </c>
      <c r="AU725">
        <v>0</v>
      </c>
      <c r="AV725">
        <v>0</v>
      </c>
      <c r="AW725">
        <v>0</v>
      </c>
      <c r="AX725" s="141">
        <f t="shared" si="868"/>
        <v>1</v>
      </c>
      <c r="AY725" s="141">
        <f t="shared" si="869"/>
        <v>1</v>
      </c>
      <c r="AZ725">
        <f t="shared" si="870"/>
        <v>0</v>
      </c>
      <c r="BA725">
        <f t="shared" si="871"/>
        <v>0</v>
      </c>
      <c r="BB725">
        <f t="shared" si="872"/>
        <v>1</v>
      </c>
      <c r="BC725">
        <f t="shared" si="873"/>
        <v>0</v>
      </c>
      <c r="BD725">
        <f t="shared" si="874"/>
        <v>0</v>
      </c>
      <c r="BE725" t="str">
        <f t="array" ref="BE725">IF(AY725=1,INDEX($V$7:$AL$7,MATCH(TRUE,INDEX($V725:$AW725&lt;&gt;0,),0)),IF(AY725=0,INDEX($AM$7:$AW$7,MATCH(1,$AM725:$AW725,0)),IF(BF725="Multiple strategies","mixed drivers",IF(BF725="Supply chain","multiple supply","multiple silviculture"))))</f>
        <v>technologies/design switch</v>
      </c>
      <c r="BF725" s="2" t="str" cm="1">
        <f t="array" ref="BF725">IF(COUNTIF(AZ725:BB725,"&lt;&gt;0")=1,INDEX($V$4:$AW$4,MATCH(TRUE,INDEX($V725:$AW725&lt;&gt;0,),0)),IF(COUNTIF(AZ725:BB725,"&lt;&gt;0")=0,INDEX($AM$4:$AW$4,MATCH(1,$AM725:$AW725,0)),"Multiple strategies"))</f>
        <v>Technology</v>
      </c>
      <c r="BG725" s="263" t="s">
        <v>229</v>
      </c>
      <c r="BH725" s="264" t="s">
        <v>755</v>
      </c>
      <c r="BI725" s="260" t="s">
        <v>424</v>
      </c>
      <c r="BJ725" s="264" t="s">
        <v>756</v>
      </c>
      <c r="BK725" s="264">
        <v>56.4</v>
      </c>
      <c r="BL725" s="264">
        <v>80.5</v>
      </c>
      <c r="BM725" s="264">
        <f t="shared" si="875"/>
        <v>1.4273049645390072</v>
      </c>
      <c r="BN725" s="264">
        <f t="shared" si="876"/>
        <v>24.1</v>
      </c>
      <c r="BO725" s="264">
        <f t="shared" si="877"/>
        <v>49.183673469387756</v>
      </c>
      <c r="BP725" t="s">
        <v>232</v>
      </c>
      <c r="BQ725" s="303" t="s">
        <v>3337</v>
      </c>
      <c r="BR725" t="s">
        <v>442</v>
      </c>
      <c r="BS725" s="264">
        <v>18</v>
      </c>
      <c r="BT725" s="151">
        <v>45.8</v>
      </c>
      <c r="BV725">
        <f>BT725-BS725</f>
        <v>27.799999999999997</v>
      </c>
      <c r="BX725">
        <f t="shared" si="878"/>
        <v>102.02599999999998</v>
      </c>
      <c r="BY725">
        <f t="shared" si="820"/>
        <v>2.0743875518672197</v>
      </c>
      <c r="BZ725" s="143">
        <v>0</v>
      </c>
      <c r="CA725" s="143">
        <v>0</v>
      </c>
      <c r="CB725" s="143">
        <v>0</v>
      </c>
      <c r="CC725" s="143">
        <v>0</v>
      </c>
      <c r="CD725" s="143">
        <v>0</v>
      </c>
      <c r="CE725" s="143">
        <v>0</v>
      </c>
      <c r="CF725" s="143">
        <v>0</v>
      </c>
      <c r="CG725" s="143">
        <v>0</v>
      </c>
      <c r="CH725" s="143">
        <v>0</v>
      </c>
      <c r="CI725" s="143">
        <v>0</v>
      </c>
      <c r="CJ725" s="143">
        <v>0</v>
      </c>
      <c r="CK725" s="143">
        <v>0</v>
      </c>
      <c r="CL725" s="143">
        <v>0</v>
      </c>
      <c r="CM725">
        <v>0</v>
      </c>
      <c r="CN725" t="str">
        <f t="shared" si="879"/>
        <v>refOK</v>
      </c>
      <c r="CO725">
        <f t="shared" si="880"/>
        <v>56.4</v>
      </c>
      <c r="CP725">
        <f t="shared" si="881"/>
        <v>80.5</v>
      </c>
      <c r="CQ725">
        <f t="shared" si="882"/>
        <v>49.183673469387756</v>
      </c>
      <c r="CR725">
        <f t="shared" si="883"/>
        <v>18</v>
      </c>
      <c r="CS725">
        <f t="shared" si="884"/>
        <v>45.8</v>
      </c>
      <c r="CT725">
        <f t="shared" si="885"/>
        <v>102.02599999999998</v>
      </c>
      <c r="CU725">
        <f t="shared" si="886"/>
        <v>2.0743875518672197</v>
      </c>
      <c r="CV725" s="2">
        <f t="shared" si="887"/>
        <v>1.5444444444444443</v>
      </c>
      <c r="CW725" s="1" t="s">
        <v>263</v>
      </c>
      <c r="CX725" t="str">
        <f t="shared" si="888"/>
        <v>loc</v>
      </c>
      <c r="CY725" t="s">
        <v>743</v>
      </c>
      <c r="DA725" s="143"/>
      <c r="DB725" s="143">
        <v>0</v>
      </c>
      <c r="DC725" t="str">
        <f t="shared" si="889"/>
        <v>0</v>
      </c>
      <c r="DD725">
        <v>0</v>
      </c>
      <c r="DE725">
        <v>0</v>
      </c>
      <c r="DF725">
        <v>0</v>
      </c>
      <c r="DG725">
        <v>1</v>
      </c>
      <c r="DI725">
        <f t="shared" si="890"/>
        <v>1</v>
      </c>
      <c r="DJ725" t="str">
        <f t="shared" si="891"/>
        <v>TimberInput</v>
      </c>
      <c r="DK725">
        <f t="shared" si="892"/>
        <v>0</v>
      </c>
      <c r="DL725">
        <f t="shared" si="893"/>
        <v>0</v>
      </c>
      <c r="DM725">
        <f t="shared" si="894"/>
        <v>0</v>
      </c>
      <c r="DN725" t="str">
        <f t="shared" si="895"/>
        <v>Timber</v>
      </c>
      <c r="DO725">
        <v>1</v>
      </c>
      <c r="DP725" s="143">
        <v>0</v>
      </c>
      <c r="DQ725" s="143">
        <v>0</v>
      </c>
      <c r="DR725">
        <v>0</v>
      </c>
      <c r="DS725" s="143">
        <v>0</v>
      </c>
      <c r="DT725">
        <f t="shared" si="896"/>
        <v>1</v>
      </c>
      <c r="DU725" s="143" t="str">
        <f t="shared" si="897"/>
        <v>self-calculated DF</v>
      </c>
      <c r="DV725" s="143">
        <v>0</v>
      </c>
      <c r="DW725" s="264">
        <v>1</v>
      </c>
      <c r="DX725" s="264">
        <v>1</v>
      </c>
      <c r="DY725" s="264">
        <v>0</v>
      </c>
      <c r="DZ725" s="264">
        <v>0</v>
      </c>
      <c r="EA725" s="264">
        <v>1</v>
      </c>
      <c r="EB725" s="264">
        <v>0</v>
      </c>
      <c r="EC725" s="264">
        <v>1</v>
      </c>
      <c r="ED725" s="143">
        <v>0</v>
      </c>
      <c r="EE725">
        <v>0</v>
      </c>
      <c r="EF725">
        <v>0</v>
      </c>
      <c r="EG725" s="143">
        <v>0</v>
      </c>
      <c r="EH725" s="143">
        <v>0</v>
      </c>
      <c r="EI725" s="2">
        <v>0</v>
      </c>
      <c r="EK725" t="str">
        <f t="shared" si="898"/>
        <v/>
      </c>
      <c r="EL725" t="str">
        <f t="shared" si="899"/>
        <v/>
      </c>
      <c r="EM725" s="2" t="str">
        <f t="shared" si="821"/>
        <v/>
      </c>
      <c r="EP725" t="str">
        <f>IF(ISNUMBER(BU725),IF(ABS(BU725-[5]QC_indicators!$B$2)&gt;3*[5]QC_indicators!$C$2,"C ratio",IF(ISNUMBER(BY725),IF(ABS(BY725-[5]QC_indicators!$B$1)&gt;3*[5]QC_indicators!$C$1,"DF","no"))),IF(ISNUMBER(BY725),IF(ABS(BY725-[5]QC_indicators!$B$1)&gt;3*[5]QC_indicators!$C$1,"DF","no")))</f>
        <v>no</v>
      </c>
      <c r="ER725" s="149" t="s">
        <v>349</v>
      </c>
      <c r="ET725" s="264" t="s">
        <v>3272</v>
      </c>
    </row>
    <row r="726" spans="4:150" ht="15" hidden="1" customHeight="1">
      <c r="D726" t="s">
        <v>733</v>
      </c>
      <c r="E726" t="s">
        <v>734</v>
      </c>
      <c r="G726" t="s">
        <v>735</v>
      </c>
      <c r="I726">
        <v>2005</v>
      </c>
      <c r="K726" s="156" t="s">
        <v>736</v>
      </c>
      <c r="M726" t="str">
        <f t="shared" si="839"/>
        <v>Gustavsson_2005</v>
      </c>
      <c r="N726" t="s">
        <v>222</v>
      </c>
      <c r="O726" t="s">
        <v>223</v>
      </c>
      <c r="Q726" t="s">
        <v>256</v>
      </c>
      <c r="R726" s="255" t="s">
        <v>225</v>
      </c>
      <c r="S726" s="1" t="s">
        <v>752</v>
      </c>
      <c r="T726" t="s">
        <v>753</v>
      </c>
      <c r="U726" s="264" t="s">
        <v>754</v>
      </c>
      <c r="V726">
        <v>0</v>
      </c>
      <c r="W726">
        <v>0</v>
      </c>
      <c r="X726">
        <v>0</v>
      </c>
      <c r="Y726">
        <v>0</v>
      </c>
      <c r="Z726">
        <v>0</v>
      </c>
      <c r="AA726">
        <v>0</v>
      </c>
      <c r="AB726">
        <v>0</v>
      </c>
      <c r="AC726">
        <v>0</v>
      </c>
      <c r="AD726">
        <v>0</v>
      </c>
      <c r="AE726">
        <v>0</v>
      </c>
      <c r="AF726">
        <v>0</v>
      </c>
      <c r="AG726">
        <v>0</v>
      </c>
      <c r="AH726">
        <v>0</v>
      </c>
      <c r="AI726">
        <v>0</v>
      </c>
      <c r="AJ726">
        <v>0</v>
      </c>
      <c r="AK726">
        <v>1</v>
      </c>
      <c r="AL726">
        <v>0</v>
      </c>
      <c r="AM726">
        <v>0</v>
      </c>
      <c r="AN726">
        <v>0</v>
      </c>
      <c r="AO726">
        <v>0</v>
      </c>
      <c r="AP726">
        <v>0</v>
      </c>
      <c r="AQ726">
        <v>0</v>
      </c>
      <c r="AR726">
        <v>0</v>
      </c>
      <c r="AS726">
        <v>0</v>
      </c>
      <c r="AT726">
        <v>0</v>
      </c>
      <c r="AU726">
        <v>0</v>
      </c>
      <c r="AV726">
        <v>0</v>
      </c>
      <c r="AW726">
        <v>0</v>
      </c>
      <c r="AX726" s="141">
        <f t="shared" si="868"/>
        <v>1</v>
      </c>
      <c r="AY726" s="141">
        <f t="shared" si="869"/>
        <v>1</v>
      </c>
      <c r="AZ726">
        <f t="shared" si="870"/>
        <v>0</v>
      </c>
      <c r="BA726">
        <f t="shared" si="871"/>
        <v>0</v>
      </c>
      <c r="BB726">
        <f t="shared" si="872"/>
        <v>1</v>
      </c>
      <c r="BC726">
        <f t="shared" si="873"/>
        <v>0</v>
      </c>
      <c r="BD726">
        <f t="shared" si="874"/>
        <v>0</v>
      </c>
      <c r="BE726" t="str">
        <f t="array" ref="BE726">IF(AY726=1,INDEX($V$7:$AL$7,MATCH(TRUE,INDEX($V726:$AW726&lt;&gt;0,),0)),IF(AY726=0,INDEX($AM$7:$AW$7,MATCH(1,$AM726:$AW726,0)),IF(BF726="Multiple strategies","mixed drivers",IF(BF726="Supply chain","multiple supply","multiple silviculture"))))</f>
        <v>technologies/design switch</v>
      </c>
      <c r="BF726" s="2" t="str" cm="1">
        <f t="array" ref="BF726">IF(COUNTIF(AZ726:BB726,"&lt;&gt;0")=1,INDEX($V$4:$AW$4,MATCH(TRUE,INDEX($V726:$AW726&lt;&gt;0,),0)),IF(COUNTIF(AZ726:BB726,"&lt;&gt;0")=0,INDEX($AM$4:$AW$4,MATCH(1,$AM726:$AW726,0)),"Multiple strategies"))</f>
        <v>Technology</v>
      </c>
      <c r="BG726" s="263" t="s">
        <v>229</v>
      </c>
      <c r="BH726" s="264" t="s">
        <v>755</v>
      </c>
      <c r="BI726" s="260" t="s">
        <v>424</v>
      </c>
      <c r="BJ726" s="264" t="s">
        <v>756</v>
      </c>
      <c r="BK726" s="264">
        <v>56.4</v>
      </c>
      <c r="BL726" s="264">
        <v>80.5</v>
      </c>
      <c r="BM726" s="264">
        <f t="shared" si="875"/>
        <v>1.4273049645390072</v>
      </c>
      <c r="BN726" s="264">
        <f t="shared" si="876"/>
        <v>24.1</v>
      </c>
      <c r="BO726" s="264">
        <f t="shared" si="877"/>
        <v>49.183673469387756</v>
      </c>
      <c r="BP726" t="s">
        <v>232</v>
      </c>
      <c r="BQ726" s="303" t="s">
        <v>3332</v>
      </c>
      <c r="BR726" t="s">
        <v>442</v>
      </c>
      <c r="BS726" s="264">
        <v>-9.1</v>
      </c>
      <c r="BT726" s="151">
        <v>44.2</v>
      </c>
      <c r="BV726">
        <f>BT726-BS726</f>
        <v>53.300000000000004</v>
      </c>
      <c r="BX726">
        <f t="shared" si="878"/>
        <v>195.61100000000002</v>
      </c>
      <c r="BY726">
        <f t="shared" si="820"/>
        <v>3.9771531120331951</v>
      </c>
      <c r="BZ726" s="143">
        <v>0</v>
      </c>
      <c r="CA726" s="143">
        <v>0</v>
      </c>
      <c r="CB726" s="143">
        <v>0</v>
      </c>
      <c r="CC726" s="143">
        <v>0</v>
      </c>
      <c r="CD726" s="143">
        <v>0</v>
      </c>
      <c r="CE726" s="143">
        <v>0</v>
      </c>
      <c r="CF726" s="143">
        <v>0</v>
      </c>
      <c r="CG726" s="143">
        <v>0</v>
      </c>
      <c r="CH726" s="143">
        <v>0</v>
      </c>
      <c r="CI726" s="143">
        <v>0</v>
      </c>
      <c r="CJ726" s="143">
        <v>0</v>
      </c>
      <c r="CK726" s="143">
        <v>0</v>
      </c>
      <c r="CL726" s="143">
        <v>0</v>
      </c>
      <c r="CM726">
        <v>0</v>
      </c>
      <c r="CN726" t="str">
        <f t="shared" si="879"/>
        <v>refOK</v>
      </c>
      <c r="CO726">
        <f t="shared" si="880"/>
        <v>56.4</v>
      </c>
      <c r="CP726">
        <f t="shared" si="881"/>
        <v>80.5</v>
      </c>
      <c r="CQ726">
        <f t="shared" si="882"/>
        <v>49.183673469387756</v>
      </c>
      <c r="CR726">
        <f t="shared" si="883"/>
        <v>-9.1</v>
      </c>
      <c r="CS726">
        <f t="shared" si="884"/>
        <v>44.2</v>
      </c>
      <c r="CT726">
        <f t="shared" si="885"/>
        <v>195.61100000000002</v>
      </c>
      <c r="CU726">
        <f t="shared" si="886"/>
        <v>3.9771531120331951</v>
      </c>
      <c r="CV726" s="2">
        <f t="shared" si="887"/>
        <v>5.8571428571428577</v>
      </c>
      <c r="CW726" s="1" t="s">
        <v>263</v>
      </c>
      <c r="CX726" t="str">
        <f t="shared" si="888"/>
        <v>loc</v>
      </c>
      <c r="CY726" t="s">
        <v>743</v>
      </c>
      <c r="DA726" s="143"/>
      <c r="DB726" s="143">
        <v>0</v>
      </c>
      <c r="DC726" t="str">
        <f t="shared" si="889"/>
        <v>0</v>
      </c>
      <c r="DD726">
        <v>0</v>
      </c>
      <c r="DE726">
        <v>0</v>
      </c>
      <c r="DF726">
        <v>0</v>
      </c>
      <c r="DG726">
        <v>1</v>
      </c>
      <c r="DI726">
        <f t="shared" si="890"/>
        <v>1</v>
      </c>
      <c r="DJ726" t="str">
        <f t="shared" si="891"/>
        <v>TimberInput</v>
      </c>
      <c r="DK726">
        <f t="shared" si="892"/>
        <v>0</v>
      </c>
      <c r="DL726">
        <f t="shared" si="893"/>
        <v>0</v>
      </c>
      <c r="DM726">
        <f t="shared" si="894"/>
        <v>0</v>
      </c>
      <c r="DN726" t="str">
        <f t="shared" si="895"/>
        <v>Timber</v>
      </c>
      <c r="DO726">
        <v>1</v>
      </c>
      <c r="DP726" s="143">
        <v>0</v>
      </c>
      <c r="DQ726" s="143">
        <v>0</v>
      </c>
      <c r="DR726">
        <v>0</v>
      </c>
      <c r="DS726" s="143">
        <v>0</v>
      </c>
      <c r="DT726">
        <f t="shared" si="896"/>
        <v>1</v>
      </c>
      <c r="DU726" s="143" t="str">
        <f t="shared" si="897"/>
        <v>self-calculated DF</v>
      </c>
      <c r="DV726" s="143">
        <v>0</v>
      </c>
      <c r="DW726" s="264">
        <v>1</v>
      </c>
      <c r="DX726" s="264">
        <v>0</v>
      </c>
      <c r="DY726" s="264">
        <v>0</v>
      </c>
      <c r="DZ726" s="264">
        <v>0</v>
      </c>
      <c r="EA726" s="264">
        <v>1</v>
      </c>
      <c r="EB726" s="264">
        <v>1</v>
      </c>
      <c r="EC726" s="264">
        <v>1</v>
      </c>
      <c r="ED726" s="143">
        <v>0</v>
      </c>
      <c r="EE726">
        <v>0</v>
      </c>
      <c r="EF726">
        <v>0</v>
      </c>
      <c r="EG726" s="143">
        <v>0</v>
      </c>
      <c r="EH726" s="143">
        <v>0</v>
      </c>
      <c r="EI726" s="2">
        <v>0</v>
      </c>
      <c r="EK726" t="str">
        <f t="shared" si="898"/>
        <v/>
      </c>
      <c r="EL726" t="str">
        <f t="shared" si="899"/>
        <v/>
      </c>
      <c r="EM726" s="2" t="str">
        <f t="shared" si="821"/>
        <v/>
      </c>
      <c r="EP726" t="str">
        <f>IF(ISNUMBER(BU726),IF(ABS(BU726-[5]QC_indicators!$B$2)&gt;3*[5]QC_indicators!$C$2,"C ratio",IF(ISNUMBER(BY726),IF(ABS(BY726-[5]QC_indicators!$B$1)&gt;3*[5]QC_indicators!$C$1,"DF","no"))),IF(ISNUMBER(BY726),IF(ABS(BY726-[5]QC_indicators!$B$1)&gt;3*[5]QC_indicators!$C$1,"DF","no")))</f>
        <v>no</v>
      </c>
      <c r="ER726" s="149" t="s">
        <v>349</v>
      </c>
      <c r="ET726" s="264" t="s">
        <v>3272</v>
      </c>
    </row>
    <row r="727" spans="4:150" ht="15" hidden="1" customHeight="1">
      <c r="D727" t="s">
        <v>733</v>
      </c>
      <c r="E727" t="s">
        <v>734</v>
      </c>
      <c r="G727" t="s">
        <v>735</v>
      </c>
      <c r="I727">
        <v>2005</v>
      </c>
      <c r="K727" s="156" t="s">
        <v>736</v>
      </c>
      <c r="M727" t="str">
        <f t="shared" si="839"/>
        <v>Gustavsson_2005</v>
      </c>
      <c r="N727" t="s">
        <v>222</v>
      </c>
      <c r="O727" t="s">
        <v>223</v>
      </c>
      <c r="Q727" t="s">
        <v>256</v>
      </c>
      <c r="R727" s="255" t="s">
        <v>225</v>
      </c>
      <c r="S727" s="1" t="s">
        <v>749</v>
      </c>
      <c r="T727" t="s">
        <v>750</v>
      </c>
      <c r="U727" s="264" t="s">
        <v>751</v>
      </c>
      <c r="V727">
        <v>0</v>
      </c>
      <c r="W727">
        <v>0</v>
      </c>
      <c r="X727">
        <v>0</v>
      </c>
      <c r="Y727">
        <v>0</v>
      </c>
      <c r="Z727">
        <v>0</v>
      </c>
      <c r="AA727">
        <v>0</v>
      </c>
      <c r="AB727">
        <v>0</v>
      </c>
      <c r="AC727">
        <v>1</v>
      </c>
      <c r="AD727">
        <v>0</v>
      </c>
      <c r="AE727">
        <v>0</v>
      </c>
      <c r="AF727">
        <v>0</v>
      </c>
      <c r="AG727">
        <v>0</v>
      </c>
      <c r="AH727">
        <v>0</v>
      </c>
      <c r="AI727">
        <v>0</v>
      </c>
      <c r="AJ727">
        <v>0</v>
      </c>
      <c r="AK727">
        <v>0</v>
      </c>
      <c r="AL727">
        <v>0</v>
      </c>
      <c r="AM727">
        <v>0</v>
      </c>
      <c r="AN727">
        <v>0</v>
      </c>
      <c r="AO727">
        <v>0</v>
      </c>
      <c r="AP727">
        <v>0</v>
      </c>
      <c r="AQ727">
        <v>0</v>
      </c>
      <c r="AR727">
        <v>0</v>
      </c>
      <c r="AS727">
        <v>0</v>
      </c>
      <c r="AT727">
        <v>0</v>
      </c>
      <c r="AU727">
        <v>0</v>
      </c>
      <c r="AV727">
        <v>0</v>
      </c>
      <c r="AW727">
        <v>0</v>
      </c>
      <c r="AX727" s="141">
        <f t="shared" si="868"/>
        <v>1</v>
      </c>
      <c r="AY727" s="141">
        <f t="shared" si="869"/>
        <v>1</v>
      </c>
      <c r="AZ727">
        <f t="shared" si="870"/>
        <v>1</v>
      </c>
      <c r="BA727">
        <f t="shared" si="871"/>
        <v>0</v>
      </c>
      <c r="BB727">
        <f t="shared" si="872"/>
        <v>0</v>
      </c>
      <c r="BC727">
        <f t="shared" si="873"/>
        <v>0</v>
      </c>
      <c r="BD727">
        <f t="shared" si="874"/>
        <v>0</v>
      </c>
      <c r="BE727" t="str">
        <f t="array" ref="BE727">IF(AY727=1,INDEX($V$7:$AL$7,MATCH(TRUE,INDEX($V727:$AW727&lt;&gt;0,),0)),IF(AY727=0,INDEX($AM$7:$AW$7,MATCH(1,$AM727:$AW727,0)),IF(BF727="Multiple strategies","mixed drivers",IF(BF727="Supply chain","multiple supply","multiple silviculture"))))</f>
        <v>site fertility</v>
      </c>
      <c r="BF727" s="2" t="str" cm="1">
        <f t="array" ref="BF727">IF(COUNTIF(AZ727:BB727,"&lt;&gt;0")=1,INDEX($V$4:$AW$4,MATCH(TRUE,INDEX($V727:$AW727&lt;&gt;0,),0)),IF(COUNTIF(AZ727:BB727,"&lt;&gt;0")=0,INDEX($AM$4:$AW$4,MATCH(1,$AM727:$AW727,0)),"Multiple strategies"))</f>
        <v>Silviculture for productivity</v>
      </c>
      <c r="BG727" s="263" t="s">
        <v>321</v>
      </c>
      <c r="BH727" s="264" t="s">
        <v>740</v>
      </c>
      <c r="BI727" s="264" t="s">
        <v>3335</v>
      </c>
      <c r="BJ727" s="264" t="s">
        <v>741</v>
      </c>
      <c r="BK727" s="264">
        <v>107.6</v>
      </c>
      <c r="BL727" s="264">
        <v>107.6</v>
      </c>
      <c r="BM727" s="264">
        <f t="shared" si="875"/>
        <v>1</v>
      </c>
      <c r="BN727" s="264">
        <f t="shared" si="876"/>
        <v>0</v>
      </c>
      <c r="BO727" s="264">
        <f t="shared" si="877"/>
        <v>0</v>
      </c>
      <c r="BP727" t="s">
        <v>232</v>
      </c>
      <c r="BQ727" s="303" t="s">
        <v>3332</v>
      </c>
      <c r="BR727" t="s">
        <v>442</v>
      </c>
      <c r="BS727" s="264">
        <v>16.5</v>
      </c>
      <c r="BT727" s="264">
        <v>-9.1</v>
      </c>
      <c r="BV727">
        <v>-25.6</v>
      </c>
      <c r="BX727">
        <f t="shared" si="878"/>
        <v>-93.951999999999998</v>
      </c>
      <c r="BY727" t="str">
        <f t="shared" si="820"/>
        <v/>
      </c>
      <c r="BZ727" s="143">
        <v>0</v>
      </c>
      <c r="CA727" s="143">
        <v>0</v>
      </c>
      <c r="CB727" s="143">
        <v>0</v>
      </c>
      <c r="CC727" s="143">
        <v>0</v>
      </c>
      <c r="CD727" s="143">
        <v>0</v>
      </c>
      <c r="CE727" s="143">
        <v>0</v>
      </c>
      <c r="CF727" s="143">
        <v>0</v>
      </c>
      <c r="CG727" s="143">
        <v>0</v>
      </c>
      <c r="CH727" s="143">
        <v>0</v>
      </c>
      <c r="CI727" s="143">
        <v>0</v>
      </c>
      <c r="CJ727" s="143">
        <v>0</v>
      </c>
      <c r="CK727" s="143">
        <v>0</v>
      </c>
      <c r="CL727" s="143">
        <v>0</v>
      </c>
      <c r="CM727">
        <v>0</v>
      </c>
      <c r="CN727" t="str">
        <f t="shared" si="879"/>
        <v>refOK</v>
      </c>
      <c r="CO727">
        <f t="shared" si="880"/>
        <v>107.6</v>
      </c>
      <c r="CP727">
        <f t="shared" si="881"/>
        <v>107.6</v>
      </c>
      <c r="CQ727">
        <f t="shared" si="882"/>
        <v>0</v>
      </c>
      <c r="CR727">
        <f t="shared" si="883"/>
        <v>16.5</v>
      </c>
      <c r="CS727">
        <f t="shared" si="884"/>
        <v>-9.1</v>
      </c>
      <c r="CT727">
        <f t="shared" si="885"/>
        <v>-93.951999999999998</v>
      </c>
      <c r="CU727" t="str">
        <f t="shared" si="886"/>
        <v/>
      </c>
      <c r="CV727" s="2">
        <f t="shared" si="887"/>
        <v>-1.5515151515151515</v>
      </c>
      <c r="CW727" s="1" t="s">
        <v>263</v>
      </c>
      <c r="CX727" t="str">
        <f t="shared" si="888"/>
        <v>loc</v>
      </c>
      <c r="CY727" t="s">
        <v>743</v>
      </c>
      <c r="DA727" s="143"/>
      <c r="DB727" s="143">
        <v>0</v>
      </c>
      <c r="DC727" t="str">
        <f t="shared" si="889"/>
        <v>0</v>
      </c>
      <c r="DD727">
        <v>0</v>
      </c>
      <c r="DE727">
        <v>0</v>
      </c>
      <c r="DF727">
        <v>0</v>
      </c>
      <c r="DG727">
        <v>1</v>
      </c>
      <c r="DI727">
        <f t="shared" si="890"/>
        <v>1</v>
      </c>
      <c r="DJ727" t="str">
        <f t="shared" si="891"/>
        <v>TimberInput</v>
      </c>
      <c r="DK727">
        <f t="shared" si="892"/>
        <v>0</v>
      </c>
      <c r="DL727">
        <f t="shared" si="893"/>
        <v>0</v>
      </c>
      <c r="DM727">
        <f t="shared" si="894"/>
        <v>0</v>
      </c>
      <c r="DN727" t="str">
        <f t="shared" si="895"/>
        <v>Timber</v>
      </c>
      <c r="DO727">
        <v>1</v>
      </c>
      <c r="DP727" s="143">
        <v>0</v>
      </c>
      <c r="DQ727" s="143">
        <v>0</v>
      </c>
      <c r="DR727">
        <v>0</v>
      </c>
      <c r="DS727" s="143">
        <v>0</v>
      </c>
      <c r="DT727">
        <f t="shared" si="896"/>
        <v>1</v>
      </c>
      <c r="DU727" s="143" t="str">
        <f t="shared" si="897"/>
        <v>self-calculated DF</v>
      </c>
      <c r="DV727" s="143">
        <v>0</v>
      </c>
      <c r="DW727" s="264">
        <v>1</v>
      </c>
      <c r="DX727" s="264">
        <v>1</v>
      </c>
      <c r="DY727" s="264">
        <v>0</v>
      </c>
      <c r="DZ727" s="264">
        <v>0</v>
      </c>
      <c r="EA727" s="264">
        <v>1</v>
      </c>
      <c r="EB727" s="264">
        <v>1</v>
      </c>
      <c r="EC727" s="264">
        <v>1</v>
      </c>
      <c r="ED727" s="143">
        <v>0</v>
      </c>
      <c r="EE727">
        <v>0</v>
      </c>
      <c r="EF727">
        <v>0</v>
      </c>
      <c r="EG727" s="143">
        <v>0</v>
      </c>
      <c r="EH727" s="143">
        <v>0</v>
      </c>
      <c r="EI727" s="2">
        <v>0</v>
      </c>
      <c r="EK727" t="str">
        <f t="shared" si="898"/>
        <v/>
      </c>
      <c r="EL727" t="str">
        <f t="shared" si="899"/>
        <v/>
      </c>
      <c r="EM727" s="2" t="str">
        <f t="shared" si="821"/>
        <v/>
      </c>
      <c r="EP727" t="b">
        <f>IF(ISNUMBER(BU727),IF(ABS(BU727-[5]QC_indicators!$B$2)&gt;3*[5]QC_indicators!$C$2,"C ratio",IF(ISNUMBER(BY727),IF(ABS(BY727-[5]QC_indicators!$B$1)&gt;3*[5]QC_indicators!$C$1,"DF","no"))),IF(ISNUMBER(BY727),IF(ABS(BY727-[5]QC_indicators!$B$1)&gt;3*[5]QC_indicators!$C$1,"DF","no")))</f>
        <v>0</v>
      </c>
      <c r="ER727" s="149" t="s">
        <v>349</v>
      </c>
      <c r="ET727" s="264" t="s">
        <v>3272</v>
      </c>
    </row>
    <row r="728" spans="4:150" ht="15" hidden="1" customHeight="1">
      <c r="D728" t="s">
        <v>733</v>
      </c>
      <c r="E728" t="s">
        <v>734</v>
      </c>
      <c r="G728" t="s">
        <v>735</v>
      </c>
      <c r="I728">
        <v>2005</v>
      </c>
      <c r="K728" s="156" t="s">
        <v>736</v>
      </c>
      <c r="M728" t="str">
        <f t="shared" si="839"/>
        <v>Gustavsson_2005</v>
      </c>
      <c r="N728" t="s">
        <v>222</v>
      </c>
      <c r="O728" t="s">
        <v>223</v>
      </c>
      <c r="Q728" t="s">
        <v>256</v>
      </c>
      <c r="R728" s="255" t="s">
        <v>225</v>
      </c>
      <c r="S728" s="1" t="s">
        <v>746</v>
      </c>
      <c r="T728" t="s">
        <v>747</v>
      </c>
      <c r="U728" s="264" t="s">
        <v>748</v>
      </c>
      <c r="V728">
        <v>0</v>
      </c>
      <c r="W728">
        <v>0</v>
      </c>
      <c r="X728">
        <v>0</v>
      </c>
      <c r="Y728">
        <v>0</v>
      </c>
      <c r="Z728">
        <v>0</v>
      </c>
      <c r="AA728">
        <v>0</v>
      </c>
      <c r="AB728">
        <v>0</v>
      </c>
      <c r="AC728">
        <v>0</v>
      </c>
      <c r="AD728">
        <v>0</v>
      </c>
      <c r="AE728">
        <v>1</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s="141">
        <f t="shared" si="868"/>
        <v>1</v>
      </c>
      <c r="AY728" s="141">
        <f t="shared" si="869"/>
        <v>1</v>
      </c>
      <c r="AZ728">
        <f t="shared" si="870"/>
        <v>0</v>
      </c>
      <c r="BA728">
        <f t="shared" si="871"/>
        <v>1</v>
      </c>
      <c r="BB728">
        <f t="shared" si="872"/>
        <v>0</v>
      </c>
      <c r="BC728">
        <f t="shared" si="873"/>
        <v>0</v>
      </c>
      <c r="BD728">
        <f t="shared" si="874"/>
        <v>0</v>
      </c>
      <c r="BE728" t="str">
        <f t="array" ref="BE728">IF(AY728=1,INDEX($V$7:$AL$7,MATCH(TRUE,INDEX($V728:$AW728&lt;&gt;0,),0)),IF(AY728=0,INDEX($AM$7:$AW$7,MATCH(1,$AM728:$AW728,0)),IF(BF728="Multiple strategies","mixed drivers",IF(BF728="Supply chain","multiple supply","multiple silviculture"))))</f>
        <v>location of industry</v>
      </c>
      <c r="BF728" s="2" t="str" cm="1">
        <f t="array" ref="BF728">IF(COUNTIF(AZ728:BB728,"&lt;&gt;0")=1,INDEX($V$4:$AW$4,MATCH(TRUE,INDEX($V728:$AW728&lt;&gt;0,),0)),IF(COUNTIF(AZ728:BB728,"&lt;&gt;0")=0,INDEX($AM$4:$AW$4,MATCH(1,$AM728:$AW728,0)),"Multiple strategies"))</f>
        <v>Supply chain</v>
      </c>
      <c r="BG728" s="263" t="s">
        <v>229</v>
      </c>
      <c r="BH728" s="264" t="s">
        <v>740</v>
      </c>
      <c r="BI728" s="260" t="s">
        <v>424</v>
      </c>
      <c r="BJ728" s="264" t="s">
        <v>741</v>
      </c>
      <c r="BK728" s="264">
        <v>80.5</v>
      </c>
      <c r="BL728" s="264">
        <v>80.5</v>
      </c>
      <c r="BM728" s="264">
        <f t="shared" si="875"/>
        <v>1</v>
      </c>
      <c r="BN728" s="264">
        <f t="shared" si="876"/>
        <v>0</v>
      </c>
      <c r="BO728" s="264">
        <f t="shared" si="877"/>
        <v>0</v>
      </c>
      <c r="BP728" t="s">
        <v>232</v>
      </c>
      <c r="BQ728" s="303" t="s">
        <v>3332</v>
      </c>
      <c r="BR728" t="s">
        <v>442</v>
      </c>
      <c r="BS728" s="264">
        <v>44.2</v>
      </c>
      <c r="BT728" s="151">
        <v>36.700000000000003</v>
      </c>
      <c r="BV728">
        <v>-7.5</v>
      </c>
      <c r="BX728">
        <f t="shared" si="878"/>
        <v>-27.524999999999999</v>
      </c>
      <c r="BY728" t="str">
        <f t="shared" si="820"/>
        <v/>
      </c>
      <c r="BZ728" s="143">
        <v>0</v>
      </c>
      <c r="CA728" s="143">
        <v>0</v>
      </c>
      <c r="CB728" s="143">
        <v>0</v>
      </c>
      <c r="CC728" s="143">
        <v>0</v>
      </c>
      <c r="CD728" s="143">
        <v>0</v>
      </c>
      <c r="CE728" s="143">
        <v>0</v>
      </c>
      <c r="CF728" s="143">
        <v>0</v>
      </c>
      <c r="CG728" s="143">
        <v>0</v>
      </c>
      <c r="CH728" s="143">
        <v>0</v>
      </c>
      <c r="CI728" s="143">
        <v>0</v>
      </c>
      <c r="CJ728" s="143">
        <v>0</v>
      </c>
      <c r="CK728" s="143">
        <v>0</v>
      </c>
      <c r="CL728" s="143">
        <v>0</v>
      </c>
      <c r="CM728">
        <v>0</v>
      </c>
      <c r="CN728" t="str">
        <f t="shared" si="879"/>
        <v>refOK</v>
      </c>
      <c r="CO728">
        <f t="shared" si="880"/>
        <v>80.5</v>
      </c>
      <c r="CP728">
        <f t="shared" si="881"/>
        <v>80.5</v>
      </c>
      <c r="CQ728">
        <f t="shared" si="882"/>
        <v>0</v>
      </c>
      <c r="CR728">
        <f t="shared" si="883"/>
        <v>44.2</v>
      </c>
      <c r="CS728">
        <f t="shared" si="884"/>
        <v>36.700000000000003</v>
      </c>
      <c r="CT728">
        <f t="shared" si="885"/>
        <v>-27.524999999999999</v>
      </c>
      <c r="CU728" t="str">
        <f t="shared" si="886"/>
        <v/>
      </c>
      <c r="CV728" s="2">
        <f t="shared" si="887"/>
        <v>-0.16968325791855202</v>
      </c>
      <c r="CW728" s="1" t="s">
        <v>263</v>
      </c>
      <c r="CX728" t="str">
        <f t="shared" si="888"/>
        <v>loc</v>
      </c>
      <c r="CY728" t="s">
        <v>743</v>
      </c>
      <c r="DA728" s="143"/>
      <c r="DB728" s="143">
        <v>0</v>
      </c>
      <c r="DC728" t="str">
        <f t="shared" si="889"/>
        <v>0</v>
      </c>
      <c r="DD728">
        <v>0</v>
      </c>
      <c r="DE728">
        <v>0</v>
      </c>
      <c r="DF728">
        <v>0</v>
      </c>
      <c r="DG728">
        <v>1</v>
      </c>
      <c r="DI728">
        <f t="shared" si="890"/>
        <v>1</v>
      </c>
      <c r="DJ728" t="str">
        <f t="shared" si="891"/>
        <v>TimberInput</v>
      </c>
      <c r="DK728">
        <f t="shared" si="892"/>
        <v>0</v>
      </c>
      <c r="DL728">
        <f t="shared" si="893"/>
        <v>0</v>
      </c>
      <c r="DM728">
        <f t="shared" si="894"/>
        <v>0</v>
      </c>
      <c r="DN728" t="str">
        <f t="shared" si="895"/>
        <v>Timber</v>
      </c>
      <c r="DO728">
        <v>1</v>
      </c>
      <c r="DP728" s="143">
        <v>0</v>
      </c>
      <c r="DQ728" s="143">
        <v>0</v>
      </c>
      <c r="DR728">
        <v>0</v>
      </c>
      <c r="DS728" s="143">
        <v>0</v>
      </c>
      <c r="DT728">
        <f t="shared" si="896"/>
        <v>1</v>
      </c>
      <c r="DU728" s="143" t="str">
        <f t="shared" si="897"/>
        <v>self-calculated DF</v>
      </c>
      <c r="DV728" s="143">
        <v>0</v>
      </c>
      <c r="DW728" s="264">
        <v>1</v>
      </c>
      <c r="DX728" s="264">
        <v>1</v>
      </c>
      <c r="DY728" s="264">
        <v>0</v>
      </c>
      <c r="DZ728" s="264">
        <v>0</v>
      </c>
      <c r="EA728" s="264">
        <v>1</v>
      </c>
      <c r="EB728" s="264">
        <v>1</v>
      </c>
      <c r="EC728" s="264">
        <v>1</v>
      </c>
      <c r="ED728" s="143">
        <v>0</v>
      </c>
      <c r="EE728">
        <v>0</v>
      </c>
      <c r="EF728">
        <v>0</v>
      </c>
      <c r="EG728" s="143">
        <v>0</v>
      </c>
      <c r="EH728" s="143">
        <v>0</v>
      </c>
      <c r="EI728" s="2">
        <v>0</v>
      </c>
      <c r="EK728" t="str">
        <f t="shared" si="898"/>
        <v/>
      </c>
      <c r="EL728" t="str">
        <f t="shared" si="899"/>
        <v/>
      </c>
      <c r="EM728" s="2" t="str">
        <f t="shared" si="821"/>
        <v/>
      </c>
      <c r="EP728" t="b">
        <f>IF(ISNUMBER(BU728),IF(ABS(BU728-[5]QC_indicators!$B$2)&gt;3*[5]QC_indicators!$C$2,"C ratio",IF(ISNUMBER(BY728),IF(ABS(BY728-[5]QC_indicators!$B$1)&gt;3*[5]QC_indicators!$C$1,"DF","no"))),IF(ISNUMBER(BY728),IF(ABS(BY728-[5]QC_indicators!$B$1)&gt;3*[5]QC_indicators!$C$1,"DF","no")))</f>
        <v>0</v>
      </c>
      <c r="ER728" s="149" t="s">
        <v>349</v>
      </c>
      <c r="ET728" s="264" t="s">
        <v>3272</v>
      </c>
    </row>
    <row r="729" spans="4:150" ht="15" hidden="1" customHeight="1">
      <c r="D729" t="s">
        <v>757</v>
      </c>
      <c r="E729" t="s">
        <v>758</v>
      </c>
      <c r="G729" t="s">
        <v>759</v>
      </c>
      <c r="I729">
        <v>2006</v>
      </c>
      <c r="K729" s="296" t="s">
        <v>760</v>
      </c>
      <c r="M729" t="str">
        <f t="shared" si="839"/>
        <v>Gustavsson_2006</v>
      </c>
      <c r="N729" t="s">
        <v>222</v>
      </c>
      <c r="O729" t="s">
        <v>223</v>
      </c>
      <c r="Q729" s="264" t="s">
        <v>256</v>
      </c>
      <c r="R729" s="269" t="s">
        <v>1153</v>
      </c>
      <c r="S729" s="263" t="s">
        <v>761</v>
      </c>
      <c r="T729" t="s">
        <v>753</v>
      </c>
      <c r="U729" s="143" t="s">
        <v>754</v>
      </c>
      <c r="V729">
        <v>0</v>
      </c>
      <c r="W729">
        <v>0</v>
      </c>
      <c r="X729">
        <v>0</v>
      </c>
      <c r="Y729">
        <v>0</v>
      </c>
      <c r="Z729">
        <v>0</v>
      </c>
      <c r="AA729">
        <v>0</v>
      </c>
      <c r="AB729">
        <v>0</v>
      </c>
      <c r="AC729">
        <v>0</v>
      </c>
      <c r="AD729">
        <v>0</v>
      </c>
      <c r="AE729">
        <v>0</v>
      </c>
      <c r="AF729">
        <v>0</v>
      </c>
      <c r="AG729">
        <v>0</v>
      </c>
      <c r="AH729">
        <v>0</v>
      </c>
      <c r="AI729">
        <v>0</v>
      </c>
      <c r="AJ729">
        <v>0</v>
      </c>
      <c r="AK729">
        <v>1</v>
      </c>
      <c r="AL729">
        <v>0</v>
      </c>
      <c r="AM729">
        <v>0</v>
      </c>
      <c r="AN729">
        <v>0</v>
      </c>
      <c r="AO729">
        <v>0</v>
      </c>
      <c r="AP729">
        <v>0</v>
      </c>
      <c r="AQ729">
        <v>0</v>
      </c>
      <c r="AR729">
        <v>0</v>
      </c>
      <c r="AS729">
        <v>0</v>
      </c>
      <c r="AT729">
        <v>0</v>
      </c>
      <c r="AU729">
        <v>0</v>
      </c>
      <c r="AV729">
        <v>0</v>
      </c>
      <c r="AW729">
        <v>0</v>
      </c>
      <c r="AX729" s="141">
        <f t="shared" si="868"/>
        <v>1</v>
      </c>
      <c r="AY729" s="141">
        <f t="shared" si="869"/>
        <v>1</v>
      </c>
      <c r="AZ729">
        <f t="shared" si="870"/>
        <v>0</v>
      </c>
      <c r="BA729">
        <f t="shared" si="871"/>
        <v>0</v>
      </c>
      <c r="BB729">
        <f t="shared" si="872"/>
        <v>1</v>
      </c>
      <c r="BC729">
        <f t="shared" si="873"/>
        <v>0</v>
      </c>
      <c r="BD729">
        <f t="shared" si="874"/>
        <v>0</v>
      </c>
      <c r="BE729" t="str" cm="1">
        <f t="array" ref="BE729">IF(AY729=1,INDEX($V$7:$AL$7,MATCH(TRUE,INDEX($V729:$AW729&lt;&gt;0,),0)),IF(AY729=0,INDEX($AM$7:$AW$7,MATCH(1,$AM729:$AW729,0)),IF(BF729="Multiple strategies","mixed drivers",IF(BF729="Supply chain","multiple supply","multiple silviculture"))))</f>
        <v>technologies/design switch</v>
      </c>
      <c r="BF729" s="2" t="str" cm="1">
        <f t="array" ref="BF729">IF(COUNTIF(AZ729:BB729,"&lt;&gt;0")=1,INDEX($V$4:$AW$4,MATCH(TRUE,INDEX($V729:$AW729&lt;&gt;0,),0)),IF(COUNTIF(AZ729:BB729,"&lt;&gt;0")=0,INDEX($AM$4:$AW$4,MATCH(1,$AM729:$AW729,0)),"Multiple strategies"))</f>
        <v>Technology</v>
      </c>
      <c r="BG729" s="142" t="s">
        <v>229</v>
      </c>
      <c r="BH729" t="s">
        <v>393</v>
      </c>
      <c r="BI729" s="264" t="s">
        <v>762</v>
      </c>
      <c r="BJ729" s="143" t="s">
        <v>763</v>
      </c>
      <c r="BK729">
        <v>32</v>
      </c>
      <c r="BL729" s="143">
        <v>145</v>
      </c>
      <c r="BM729" s="143"/>
      <c r="BN729">
        <f t="shared" si="876"/>
        <v>113</v>
      </c>
      <c r="BO729" s="143">
        <f t="shared" si="877"/>
        <v>230.61224489795919</v>
      </c>
      <c r="BP729" s="264" t="s">
        <v>232</v>
      </c>
      <c r="BQ729" s="155" t="s">
        <v>764</v>
      </c>
      <c r="BR729" t="s">
        <v>442</v>
      </c>
      <c r="BS729" s="143">
        <v>-119.4</v>
      </c>
      <c r="BT729" s="151">
        <v>-136.69999999999999</v>
      </c>
      <c r="BV729">
        <f t="shared" ref="BV729:BV743" si="900">BT729-BS729</f>
        <v>-17.299999999999983</v>
      </c>
      <c r="BX729">
        <f t="shared" si="878"/>
        <v>-63.490999999999936</v>
      </c>
      <c r="BY729">
        <f t="shared" si="820"/>
        <v>-0.2753149557522121</v>
      </c>
      <c r="BZ729" s="143">
        <v>0</v>
      </c>
      <c r="CA729" s="143">
        <v>0</v>
      </c>
      <c r="CB729" s="143">
        <v>0</v>
      </c>
      <c r="CC729" s="143">
        <v>0</v>
      </c>
      <c r="CD729" s="143">
        <v>0</v>
      </c>
      <c r="CE729" s="143">
        <v>0</v>
      </c>
      <c r="CF729" s="143">
        <v>0</v>
      </c>
      <c r="CG729" s="143">
        <v>0</v>
      </c>
      <c r="CH729" s="143">
        <v>0</v>
      </c>
      <c r="CI729" s="143">
        <v>0</v>
      </c>
      <c r="CJ729" s="143">
        <v>0</v>
      </c>
      <c r="CK729" s="143">
        <v>0</v>
      </c>
      <c r="CL729" s="143">
        <v>0</v>
      </c>
      <c r="CM729">
        <v>0</v>
      </c>
      <c r="CN729" t="str">
        <f t="shared" si="879"/>
        <v>refOK</v>
      </c>
      <c r="CO729">
        <f t="shared" si="880"/>
        <v>32</v>
      </c>
      <c r="CP729">
        <f t="shared" si="881"/>
        <v>145</v>
      </c>
      <c r="CQ729">
        <f t="shared" si="882"/>
        <v>230.61224489795919</v>
      </c>
      <c r="CR729">
        <f t="shared" si="883"/>
        <v>-119.4</v>
      </c>
      <c r="CS729">
        <f t="shared" si="884"/>
        <v>-136.69999999999999</v>
      </c>
      <c r="CT729">
        <f t="shared" si="885"/>
        <v>-63.490999999999936</v>
      </c>
      <c r="CU729">
        <f t="shared" si="886"/>
        <v>-0.2753149557522121</v>
      </c>
      <c r="CV729" s="2">
        <f t="shared" si="887"/>
        <v>-0.14489112227805681</v>
      </c>
      <c r="CW729" s="1" t="s">
        <v>263</v>
      </c>
      <c r="CX729" s="264" t="str">
        <f t="shared" si="888"/>
        <v>loc</v>
      </c>
      <c r="CY729" t="s">
        <v>235</v>
      </c>
      <c r="DA729" s="143"/>
      <c r="DB729" s="143">
        <v>0</v>
      </c>
      <c r="DC729" t="str">
        <f t="shared" si="889"/>
        <v>0</v>
      </c>
      <c r="DD729">
        <v>0</v>
      </c>
      <c r="DE729">
        <v>0</v>
      </c>
      <c r="DF729">
        <v>0</v>
      </c>
      <c r="DG729">
        <v>1</v>
      </c>
      <c r="DI729">
        <f t="shared" si="890"/>
        <v>1</v>
      </c>
      <c r="DJ729" t="str">
        <f t="shared" si="891"/>
        <v>TimberInput</v>
      </c>
      <c r="DK729">
        <f t="shared" si="892"/>
        <v>0</v>
      </c>
      <c r="DL729">
        <f t="shared" si="893"/>
        <v>0</v>
      </c>
      <c r="DM729">
        <f t="shared" si="894"/>
        <v>0</v>
      </c>
      <c r="DN729" t="str">
        <f t="shared" si="895"/>
        <v>Timber</v>
      </c>
      <c r="DO729">
        <v>1</v>
      </c>
      <c r="DP729" s="143">
        <v>0</v>
      </c>
      <c r="DQ729" s="143">
        <v>0</v>
      </c>
      <c r="DR729">
        <v>0</v>
      </c>
      <c r="DS729" s="143">
        <v>0</v>
      </c>
      <c r="DT729">
        <f t="shared" si="896"/>
        <v>1</v>
      </c>
      <c r="DU729" s="143" t="str">
        <f t="shared" si="897"/>
        <v>self-calculated DF</v>
      </c>
      <c r="DV729" s="143">
        <v>0</v>
      </c>
      <c r="DW729" s="143">
        <v>0</v>
      </c>
      <c r="DX729" s="143">
        <v>1</v>
      </c>
      <c r="DY729" s="143">
        <v>1</v>
      </c>
      <c r="DZ729">
        <v>0</v>
      </c>
      <c r="EA729" s="143">
        <v>1</v>
      </c>
      <c r="EB729" s="143">
        <v>1</v>
      </c>
      <c r="EC729" s="143">
        <v>1</v>
      </c>
      <c r="ED729" s="143">
        <v>0</v>
      </c>
      <c r="EE729">
        <v>0</v>
      </c>
      <c r="EF729">
        <v>1</v>
      </c>
      <c r="EG729" s="143">
        <v>0</v>
      </c>
      <c r="EH729" s="143">
        <v>0</v>
      </c>
      <c r="EI729" s="2">
        <v>0</v>
      </c>
      <c r="EK729" t="str">
        <f t="shared" si="898"/>
        <v/>
      </c>
      <c r="EL729" t="str">
        <f t="shared" si="899"/>
        <v/>
      </c>
      <c r="EM729" s="2" t="str">
        <f t="shared" si="821"/>
        <v/>
      </c>
      <c r="EP729" t="str">
        <f>IF(ISNUMBER(BU729),IF(ABS(BU729-[4]QC_indicators!$B$2)&gt;3*[4]QC_indicators!$C$2,"C ratio",IF(ISNUMBER(BY729),IF(ABS(BY729-[4]QC_indicators!$B$1)&gt;3*[4]QC_indicators!$C$1,"DF","no"))),IF(ISNUMBER(BY729),IF(ABS(BY729-[4]QC_indicators!$B$1)&gt;3*[4]QC_indicators!$C$1,"DF","no")))</f>
        <v>no</v>
      </c>
      <c r="ER729" s="294" t="s">
        <v>349</v>
      </c>
      <c r="ET729" s="264" t="s">
        <v>3406</v>
      </c>
    </row>
    <row r="730" spans="4:150" ht="15" hidden="1" customHeight="1">
      <c r="D730" t="s">
        <v>757</v>
      </c>
      <c r="E730" t="s">
        <v>758</v>
      </c>
      <c r="G730" t="s">
        <v>759</v>
      </c>
      <c r="I730">
        <v>2006</v>
      </c>
      <c r="K730" s="296" t="s">
        <v>760</v>
      </c>
      <c r="M730" t="str">
        <f t="shared" si="839"/>
        <v>Gustavsson_2006</v>
      </c>
      <c r="N730" t="s">
        <v>222</v>
      </c>
      <c r="O730" t="s">
        <v>223</v>
      </c>
      <c r="Q730" s="264" t="s">
        <v>256</v>
      </c>
      <c r="R730" s="269" t="s">
        <v>1153</v>
      </c>
      <c r="S730" s="263" t="s">
        <v>765</v>
      </c>
      <c r="T730" t="s">
        <v>753</v>
      </c>
      <c r="U730" s="143" t="s">
        <v>754</v>
      </c>
      <c r="V730">
        <v>0</v>
      </c>
      <c r="W730">
        <v>0</v>
      </c>
      <c r="X730">
        <v>0</v>
      </c>
      <c r="Y730">
        <v>0</v>
      </c>
      <c r="Z730">
        <v>0</v>
      </c>
      <c r="AA730">
        <v>0</v>
      </c>
      <c r="AB730">
        <v>0</v>
      </c>
      <c r="AC730">
        <v>0</v>
      </c>
      <c r="AD730">
        <v>0</v>
      </c>
      <c r="AE730">
        <v>0</v>
      </c>
      <c r="AF730">
        <v>0</v>
      </c>
      <c r="AG730">
        <v>0</v>
      </c>
      <c r="AH730">
        <v>0</v>
      </c>
      <c r="AI730">
        <v>0</v>
      </c>
      <c r="AJ730">
        <v>0</v>
      </c>
      <c r="AK730">
        <v>1</v>
      </c>
      <c r="AL730">
        <v>0</v>
      </c>
      <c r="AM730">
        <v>0</v>
      </c>
      <c r="AN730">
        <v>0</v>
      </c>
      <c r="AO730">
        <v>0</v>
      </c>
      <c r="AP730">
        <v>0</v>
      </c>
      <c r="AQ730">
        <v>0</v>
      </c>
      <c r="AR730">
        <v>0</v>
      </c>
      <c r="AS730">
        <v>0</v>
      </c>
      <c r="AT730">
        <v>0</v>
      </c>
      <c r="AU730">
        <v>0</v>
      </c>
      <c r="AV730">
        <v>0</v>
      </c>
      <c r="AW730">
        <v>0</v>
      </c>
      <c r="AX730" s="141">
        <f t="shared" si="868"/>
        <v>1</v>
      </c>
      <c r="AY730" s="141">
        <f t="shared" si="869"/>
        <v>1</v>
      </c>
      <c r="AZ730">
        <f t="shared" si="870"/>
        <v>0</v>
      </c>
      <c r="BA730">
        <f t="shared" si="871"/>
        <v>0</v>
      </c>
      <c r="BB730">
        <f t="shared" si="872"/>
        <v>1</v>
      </c>
      <c r="BC730">
        <f t="shared" si="873"/>
        <v>0</v>
      </c>
      <c r="BD730">
        <f t="shared" si="874"/>
        <v>0</v>
      </c>
      <c r="BE730" t="str" cm="1">
        <f t="array" ref="BE730">IF(AY730=1,INDEX($V$7:$AL$7,MATCH(TRUE,INDEX($V730:$AW730&lt;&gt;0,),0)),IF(AY730=0,INDEX($AM$7:$AW$7,MATCH(1,$AM730:$AW730,0)),IF(BF730="Multiple strategies","mixed drivers",IF(BF730="Supply chain","multiple supply","multiple silviculture"))))</f>
        <v>technologies/design switch</v>
      </c>
      <c r="BF730" s="2" t="str" cm="1">
        <f t="array" ref="BF730">IF(COUNTIF(AZ730:BB730,"&lt;&gt;0")=1,INDEX($V$4:$AW$4,MATCH(TRUE,INDEX($V730:$AW730&lt;&gt;0,),0)),IF(COUNTIF(AZ730:BB730,"&lt;&gt;0")=0,INDEX($AM$4:$AW$4,MATCH(1,$AM730:$AW730,0)),"Multiple strategies"))</f>
        <v>Technology</v>
      </c>
      <c r="BG730" s="142" t="s">
        <v>229</v>
      </c>
      <c r="BH730" t="s">
        <v>393</v>
      </c>
      <c r="BI730" s="264" t="s">
        <v>762</v>
      </c>
      <c r="BJ730" s="143" t="s">
        <v>763</v>
      </c>
      <c r="BK730">
        <v>86.6</v>
      </c>
      <c r="BL730" s="143">
        <v>428</v>
      </c>
      <c r="BM730" s="143"/>
      <c r="BN730">
        <f t="shared" si="876"/>
        <v>341.4</v>
      </c>
      <c r="BO730" s="143">
        <f t="shared" si="877"/>
        <v>696.73469387755097</v>
      </c>
      <c r="BP730" s="264" t="s">
        <v>232</v>
      </c>
      <c r="BQ730" s="155" t="s">
        <v>764</v>
      </c>
      <c r="BR730" t="s">
        <v>442</v>
      </c>
      <c r="BS730" s="143">
        <v>-119.4</v>
      </c>
      <c r="BT730" s="151">
        <v>-136.69999999999999</v>
      </c>
      <c r="BV730">
        <f t="shared" si="900"/>
        <v>-17.299999999999983</v>
      </c>
      <c r="BX730">
        <f t="shared" si="878"/>
        <v>-63.490999999999936</v>
      </c>
      <c r="BY730">
        <f t="shared" si="820"/>
        <v>-9.1126508494434599E-2</v>
      </c>
      <c r="BZ730" s="143">
        <v>0</v>
      </c>
      <c r="CA730" s="143">
        <v>0</v>
      </c>
      <c r="CB730" s="143">
        <v>0</v>
      </c>
      <c r="CC730" s="143">
        <v>0</v>
      </c>
      <c r="CD730" s="143">
        <v>0</v>
      </c>
      <c r="CE730" s="143">
        <v>0</v>
      </c>
      <c r="CF730" s="143">
        <v>0</v>
      </c>
      <c r="CG730" s="143">
        <v>0</v>
      </c>
      <c r="CH730" s="143">
        <v>0</v>
      </c>
      <c r="CI730" s="143">
        <v>0</v>
      </c>
      <c r="CJ730" s="143">
        <v>0</v>
      </c>
      <c r="CK730" s="143">
        <v>0</v>
      </c>
      <c r="CL730" s="143">
        <v>0</v>
      </c>
      <c r="CM730">
        <v>0</v>
      </c>
      <c r="CN730" t="str">
        <f t="shared" si="879"/>
        <v>refOK</v>
      </c>
      <c r="CO730">
        <f t="shared" si="880"/>
        <v>86.6</v>
      </c>
      <c r="CP730">
        <f t="shared" si="881"/>
        <v>428</v>
      </c>
      <c r="CQ730">
        <f t="shared" si="882"/>
        <v>696.73469387755097</v>
      </c>
      <c r="CR730">
        <f t="shared" si="883"/>
        <v>-119.4</v>
      </c>
      <c r="CS730">
        <f t="shared" si="884"/>
        <v>-136.69999999999999</v>
      </c>
      <c r="CT730">
        <f t="shared" si="885"/>
        <v>-63.490999999999936</v>
      </c>
      <c r="CU730">
        <f t="shared" si="886"/>
        <v>-9.1126508494434599E-2</v>
      </c>
      <c r="CV730" s="2">
        <f t="shared" si="887"/>
        <v>-0.14489112227805681</v>
      </c>
      <c r="CW730" s="1" t="s">
        <v>263</v>
      </c>
      <c r="CX730" s="264" t="str">
        <f t="shared" si="888"/>
        <v>loc</v>
      </c>
      <c r="CY730" t="s">
        <v>235</v>
      </c>
      <c r="DA730" s="143"/>
      <c r="DB730" s="143">
        <v>0</v>
      </c>
      <c r="DC730" t="str">
        <f t="shared" si="889"/>
        <v>0</v>
      </c>
      <c r="DD730">
        <v>0</v>
      </c>
      <c r="DE730">
        <v>0</v>
      </c>
      <c r="DF730">
        <v>0</v>
      </c>
      <c r="DG730">
        <v>1</v>
      </c>
      <c r="DI730">
        <f t="shared" si="890"/>
        <v>1</v>
      </c>
      <c r="DJ730" t="str">
        <f t="shared" si="891"/>
        <v>TimberInput</v>
      </c>
      <c r="DK730">
        <f t="shared" si="892"/>
        <v>0</v>
      </c>
      <c r="DL730">
        <f t="shared" si="893"/>
        <v>0</v>
      </c>
      <c r="DM730">
        <f t="shared" si="894"/>
        <v>0</v>
      </c>
      <c r="DN730" t="str">
        <f t="shared" si="895"/>
        <v>Timber</v>
      </c>
      <c r="DO730">
        <v>1</v>
      </c>
      <c r="DP730" s="143">
        <v>0</v>
      </c>
      <c r="DQ730" s="143">
        <v>0</v>
      </c>
      <c r="DR730">
        <v>0</v>
      </c>
      <c r="DS730" s="143">
        <v>0</v>
      </c>
      <c r="DT730">
        <f t="shared" si="896"/>
        <v>1</v>
      </c>
      <c r="DU730" s="143" t="str">
        <f t="shared" si="897"/>
        <v>self-calculated DF</v>
      </c>
      <c r="DV730" s="143">
        <v>0</v>
      </c>
      <c r="DW730" s="143">
        <v>1</v>
      </c>
      <c r="DX730" s="143">
        <v>1</v>
      </c>
      <c r="DY730" s="143">
        <v>1</v>
      </c>
      <c r="DZ730">
        <v>0</v>
      </c>
      <c r="EA730" s="143">
        <v>1</v>
      </c>
      <c r="EB730" s="143">
        <v>1</v>
      </c>
      <c r="EC730" s="143">
        <v>1</v>
      </c>
      <c r="ED730" s="143">
        <v>0</v>
      </c>
      <c r="EE730">
        <v>0</v>
      </c>
      <c r="EF730">
        <v>1</v>
      </c>
      <c r="EG730" s="143">
        <v>0</v>
      </c>
      <c r="EH730" s="143">
        <v>0</v>
      </c>
      <c r="EI730" s="2">
        <v>0</v>
      </c>
      <c r="EK730" t="str">
        <f t="shared" si="898"/>
        <v>Whole sector</v>
      </c>
      <c r="EL730" t="str">
        <f t="shared" si="899"/>
        <v/>
      </c>
      <c r="EM730" s="2" t="str">
        <f t="shared" si="821"/>
        <v/>
      </c>
      <c r="EP730" t="str">
        <f>IF(ISNUMBER(BU730),IF(ABS(BU730-[4]QC_indicators!$B$2)&gt;3*[4]QC_indicators!$C$2,"C ratio",IF(ISNUMBER(BY730),IF(ABS(BY730-[4]QC_indicators!$B$1)&gt;3*[4]QC_indicators!$C$1,"DF","no"))),IF(ISNUMBER(BY730),IF(ABS(BY730-[4]QC_indicators!$B$1)&gt;3*[4]QC_indicators!$C$1,"DF","no")))</f>
        <v>no</v>
      </c>
      <c r="ER730" s="294" t="s">
        <v>349</v>
      </c>
      <c r="ET730" s="264" t="s">
        <v>3406</v>
      </c>
    </row>
    <row r="731" spans="4:150" ht="15" hidden="1" customHeight="1">
      <c r="D731" t="s">
        <v>757</v>
      </c>
      <c r="E731" t="s">
        <v>758</v>
      </c>
      <c r="G731" t="s">
        <v>759</v>
      </c>
      <c r="I731">
        <v>2006</v>
      </c>
      <c r="K731" s="296" t="s">
        <v>760</v>
      </c>
      <c r="M731" t="str">
        <f t="shared" si="839"/>
        <v>Gustavsson_2006</v>
      </c>
      <c r="N731" t="s">
        <v>222</v>
      </c>
      <c r="O731" t="s">
        <v>223</v>
      </c>
      <c r="Q731" s="264" t="s">
        <v>256</v>
      </c>
      <c r="R731" s="269" t="s">
        <v>1153</v>
      </c>
      <c r="S731" s="263" t="s">
        <v>766</v>
      </c>
      <c r="T731" t="s">
        <v>753</v>
      </c>
      <c r="U731" s="143" t="s">
        <v>754</v>
      </c>
      <c r="V731">
        <v>0</v>
      </c>
      <c r="W731">
        <v>0</v>
      </c>
      <c r="X731">
        <v>0</v>
      </c>
      <c r="Y731">
        <v>0</v>
      </c>
      <c r="Z731">
        <v>0</v>
      </c>
      <c r="AA731">
        <v>0</v>
      </c>
      <c r="AB731">
        <v>0</v>
      </c>
      <c r="AC731">
        <v>0</v>
      </c>
      <c r="AD731">
        <v>0</v>
      </c>
      <c r="AE731">
        <v>0</v>
      </c>
      <c r="AF731">
        <v>0</v>
      </c>
      <c r="AG731">
        <v>0</v>
      </c>
      <c r="AH731">
        <v>0</v>
      </c>
      <c r="AI731">
        <v>0</v>
      </c>
      <c r="AJ731">
        <v>0</v>
      </c>
      <c r="AK731">
        <v>1</v>
      </c>
      <c r="AL731">
        <v>0</v>
      </c>
      <c r="AM731">
        <v>0</v>
      </c>
      <c r="AN731">
        <v>0</v>
      </c>
      <c r="AO731">
        <v>0</v>
      </c>
      <c r="AP731">
        <v>0</v>
      </c>
      <c r="AQ731">
        <v>0</v>
      </c>
      <c r="AR731">
        <v>0</v>
      </c>
      <c r="AS731">
        <v>0</v>
      </c>
      <c r="AT731">
        <v>0</v>
      </c>
      <c r="AU731">
        <v>0</v>
      </c>
      <c r="AV731">
        <v>0</v>
      </c>
      <c r="AW731">
        <v>0</v>
      </c>
      <c r="AX731" s="141">
        <f t="shared" si="868"/>
        <v>1</v>
      </c>
      <c r="AY731" s="141">
        <f t="shared" si="869"/>
        <v>1</v>
      </c>
      <c r="AZ731">
        <f t="shared" si="870"/>
        <v>0</v>
      </c>
      <c r="BA731">
        <f t="shared" si="871"/>
        <v>0</v>
      </c>
      <c r="BB731">
        <f t="shared" si="872"/>
        <v>1</v>
      </c>
      <c r="BC731">
        <f t="shared" si="873"/>
        <v>0</v>
      </c>
      <c r="BD731">
        <f t="shared" si="874"/>
        <v>0</v>
      </c>
      <c r="BE731" t="str" cm="1">
        <f t="array" ref="BE731">IF(AY731=1,INDEX($V$7:$AL$7,MATCH(TRUE,INDEX($V731:$AW731&lt;&gt;0,),0)),IF(AY731=0,INDEX($AM$7:$AW$7,MATCH(1,$AM731:$AW731,0)),IF(BF731="Multiple strategies","mixed drivers",IF(BF731="Supply chain","multiple supply","multiple silviculture"))))</f>
        <v>technologies/design switch</v>
      </c>
      <c r="BF731" s="2" t="str" cm="1">
        <f t="array" ref="BF731">IF(COUNTIF(AZ731:BB731,"&lt;&gt;0")=1,INDEX($V$4:$AW$4,MATCH(TRUE,INDEX($V731:$AW731&lt;&gt;0,),0)),IF(COUNTIF(AZ731:BB731,"&lt;&gt;0")=0,INDEX($AM$4:$AW$4,MATCH(1,$AM731:$AW731,0)),"Multiple strategies"))</f>
        <v>Technology</v>
      </c>
      <c r="BG731" s="142" t="s">
        <v>229</v>
      </c>
      <c r="BH731" t="s">
        <v>393</v>
      </c>
      <c r="BI731" s="264" t="s">
        <v>762</v>
      </c>
      <c r="BJ731" s="143" t="s">
        <v>763</v>
      </c>
      <c r="BK731">
        <v>32</v>
      </c>
      <c r="BL731" s="143">
        <v>145</v>
      </c>
      <c r="BM731" s="143"/>
      <c r="BN731">
        <f t="shared" si="876"/>
        <v>113</v>
      </c>
      <c r="BO731" s="143">
        <f t="shared" si="877"/>
        <v>230.61224489795919</v>
      </c>
      <c r="BP731" s="264" t="s">
        <v>232</v>
      </c>
      <c r="BQ731" s="155" t="s">
        <v>764</v>
      </c>
      <c r="BR731" t="s">
        <v>442</v>
      </c>
      <c r="BS731" s="143">
        <f>-180.2+125.1</f>
        <v>-55.099999999999994</v>
      </c>
      <c r="BT731" s="151">
        <f>-136.7+82.5</f>
        <v>-54.199999999999989</v>
      </c>
      <c r="BV731">
        <f t="shared" si="900"/>
        <v>0.90000000000000568</v>
      </c>
      <c r="BX731">
        <f t="shared" si="878"/>
        <v>3.3030000000000208</v>
      </c>
      <c r="BY731">
        <f t="shared" si="820"/>
        <v>1.4322743362831949E-2</v>
      </c>
      <c r="BZ731" s="143">
        <v>0</v>
      </c>
      <c r="CA731" s="143">
        <v>0</v>
      </c>
      <c r="CB731" s="143">
        <v>0</v>
      </c>
      <c r="CC731" s="143">
        <v>0</v>
      </c>
      <c r="CD731" s="143">
        <v>0</v>
      </c>
      <c r="CE731" s="143">
        <v>0</v>
      </c>
      <c r="CF731" s="143">
        <v>0</v>
      </c>
      <c r="CG731" s="143">
        <v>0</v>
      </c>
      <c r="CH731" s="143">
        <v>0</v>
      </c>
      <c r="CI731" s="143">
        <v>0</v>
      </c>
      <c r="CJ731" s="143">
        <v>0</v>
      </c>
      <c r="CK731" s="143">
        <v>0</v>
      </c>
      <c r="CL731" s="143">
        <v>0</v>
      </c>
      <c r="CM731">
        <v>0</v>
      </c>
      <c r="CN731" t="str">
        <f t="shared" si="879"/>
        <v>refOK</v>
      </c>
      <c r="CO731">
        <f t="shared" si="880"/>
        <v>32</v>
      </c>
      <c r="CP731">
        <f t="shared" si="881"/>
        <v>145</v>
      </c>
      <c r="CQ731">
        <f t="shared" si="882"/>
        <v>230.61224489795919</v>
      </c>
      <c r="CR731">
        <f t="shared" si="883"/>
        <v>-55.099999999999994</v>
      </c>
      <c r="CS731">
        <f t="shared" si="884"/>
        <v>-54.199999999999989</v>
      </c>
      <c r="CT731">
        <f t="shared" si="885"/>
        <v>3.3030000000000208</v>
      </c>
      <c r="CU731">
        <f t="shared" si="886"/>
        <v>1.4322743362831949E-2</v>
      </c>
      <c r="CV731" s="2">
        <f t="shared" si="887"/>
        <v>1.6333938294010995E-2</v>
      </c>
      <c r="CW731" s="1" t="s">
        <v>263</v>
      </c>
      <c r="CX731" s="264" t="str">
        <f t="shared" si="888"/>
        <v>loc</v>
      </c>
      <c r="CY731" t="s">
        <v>235</v>
      </c>
      <c r="DA731" s="143"/>
      <c r="DB731" s="143">
        <v>0</v>
      </c>
      <c r="DC731" t="str">
        <f t="shared" si="889"/>
        <v>0</v>
      </c>
      <c r="DD731">
        <v>0</v>
      </c>
      <c r="DE731">
        <v>0</v>
      </c>
      <c r="DF731">
        <v>0</v>
      </c>
      <c r="DG731">
        <v>1</v>
      </c>
      <c r="DI731">
        <f t="shared" si="890"/>
        <v>1</v>
      </c>
      <c r="DJ731" t="str">
        <f t="shared" si="891"/>
        <v>TimberInput</v>
      </c>
      <c r="DK731">
        <f t="shared" si="892"/>
        <v>0</v>
      </c>
      <c r="DL731">
        <f t="shared" si="893"/>
        <v>0</v>
      </c>
      <c r="DM731">
        <f t="shared" si="894"/>
        <v>0</v>
      </c>
      <c r="DN731" t="str">
        <f t="shared" si="895"/>
        <v>Timber</v>
      </c>
      <c r="DO731">
        <v>1</v>
      </c>
      <c r="DP731" s="143">
        <v>0</v>
      </c>
      <c r="DQ731" s="143">
        <v>0</v>
      </c>
      <c r="DR731">
        <v>0</v>
      </c>
      <c r="DS731" s="143">
        <v>0</v>
      </c>
      <c r="DT731">
        <f t="shared" si="896"/>
        <v>1</v>
      </c>
      <c r="DU731" s="143" t="str">
        <f t="shared" si="897"/>
        <v>self-calculated DF</v>
      </c>
      <c r="DV731" s="143">
        <v>0</v>
      </c>
      <c r="DW731" s="143">
        <v>0</v>
      </c>
      <c r="DX731" s="143">
        <v>0</v>
      </c>
      <c r="DY731" s="143">
        <v>1</v>
      </c>
      <c r="DZ731">
        <v>0</v>
      </c>
      <c r="EA731" s="143">
        <v>1</v>
      </c>
      <c r="EB731" s="143">
        <v>1</v>
      </c>
      <c r="EC731" s="143">
        <v>1</v>
      </c>
      <c r="ED731" s="143">
        <v>0</v>
      </c>
      <c r="EE731">
        <v>0</v>
      </c>
      <c r="EF731">
        <v>0</v>
      </c>
      <c r="EG731" s="143">
        <v>0</v>
      </c>
      <c r="EH731" s="143">
        <v>0</v>
      </c>
      <c r="EI731" s="2">
        <v>0</v>
      </c>
      <c r="EK731" t="str">
        <f t="shared" si="898"/>
        <v/>
      </c>
      <c r="EL731" t="str">
        <f t="shared" si="899"/>
        <v/>
      </c>
      <c r="EM731" s="2" t="str">
        <f t="shared" si="821"/>
        <v>Technology approach</v>
      </c>
      <c r="EP731" t="str">
        <f>IF(ISNUMBER(BU731),IF(ABS(BU731-[4]QC_indicators!$B$2)&gt;3*[4]QC_indicators!$C$2,"C ratio",IF(ISNUMBER(BY731),IF(ABS(BY731-[4]QC_indicators!$B$1)&gt;3*[4]QC_indicators!$C$1,"DF","no"))),IF(ISNUMBER(BY731),IF(ABS(BY731-[4]QC_indicators!$B$1)&gt;3*[4]QC_indicators!$C$1,"DF","no")))</f>
        <v>no</v>
      </c>
      <c r="ER731" s="294" t="s">
        <v>349</v>
      </c>
      <c r="ET731" s="264" t="s">
        <v>3406</v>
      </c>
    </row>
    <row r="732" spans="4:150" ht="15" hidden="1" customHeight="1">
      <c r="D732" t="s">
        <v>757</v>
      </c>
      <c r="E732" t="s">
        <v>758</v>
      </c>
      <c r="G732" t="s">
        <v>759</v>
      </c>
      <c r="I732">
        <v>2006</v>
      </c>
      <c r="K732" s="296" t="s">
        <v>760</v>
      </c>
      <c r="M732" t="str">
        <f t="shared" si="839"/>
        <v>Gustavsson_2006</v>
      </c>
      <c r="N732" t="s">
        <v>222</v>
      </c>
      <c r="O732" t="s">
        <v>223</v>
      </c>
      <c r="Q732" s="264" t="s">
        <v>256</v>
      </c>
      <c r="R732" s="269" t="s">
        <v>1153</v>
      </c>
      <c r="S732" s="263" t="s">
        <v>767</v>
      </c>
      <c r="T732" t="s">
        <v>753</v>
      </c>
      <c r="U732" s="143" t="s">
        <v>754</v>
      </c>
      <c r="V732">
        <v>0</v>
      </c>
      <c r="W732">
        <v>0</v>
      </c>
      <c r="X732">
        <v>0</v>
      </c>
      <c r="Y732">
        <v>0</v>
      </c>
      <c r="Z732">
        <v>0</v>
      </c>
      <c r="AA732">
        <v>0</v>
      </c>
      <c r="AB732">
        <v>0</v>
      </c>
      <c r="AC732">
        <v>0</v>
      </c>
      <c r="AD732">
        <v>0</v>
      </c>
      <c r="AE732">
        <v>0</v>
      </c>
      <c r="AF732">
        <v>0</v>
      </c>
      <c r="AG732">
        <v>0</v>
      </c>
      <c r="AH732">
        <v>0</v>
      </c>
      <c r="AI732">
        <v>0</v>
      </c>
      <c r="AJ732">
        <v>0</v>
      </c>
      <c r="AK732">
        <v>1</v>
      </c>
      <c r="AL732">
        <v>0</v>
      </c>
      <c r="AM732">
        <v>0</v>
      </c>
      <c r="AN732">
        <v>0</v>
      </c>
      <c r="AO732">
        <v>0</v>
      </c>
      <c r="AP732">
        <v>0</v>
      </c>
      <c r="AQ732">
        <v>0</v>
      </c>
      <c r="AR732">
        <v>0</v>
      </c>
      <c r="AS732">
        <v>0</v>
      </c>
      <c r="AT732">
        <v>0</v>
      </c>
      <c r="AU732">
        <v>0</v>
      </c>
      <c r="AV732">
        <v>0</v>
      </c>
      <c r="AW732">
        <v>0</v>
      </c>
      <c r="AX732" s="141">
        <f t="shared" si="868"/>
        <v>1</v>
      </c>
      <c r="AY732" s="141">
        <f t="shared" si="869"/>
        <v>1</v>
      </c>
      <c r="AZ732">
        <f t="shared" si="870"/>
        <v>0</v>
      </c>
      <c r="BA732">
        <f t="shared" si="871"/>
        <v>0</v>
      </c>
      <c r="BB732">
        <f t="shared" si="872"/>
        <v>1</v>
      </c>
      <c r="BC732">
        <f t="shared" si="873"/>
        <v>0</v>
      </c>
      <c r="BD732">
        <f t="shared" si="874"/>
        <v>0</v>
      </c>
      <c r="BE732" t="str" cm="1">
        <f t="array" ref="BE732">IF(AY732=1,INDEX($V$7:$AL$7,MATCH(TRUE,INDEX($V732:$AW732&lt;&gt;0,),0)),IF(AY732=0,INDEX($AM$7:$AW$7,MATCH(1,$AM732:$AW732,0)),IF(BF732="Multiple strategies","mixed drivers",IF(BF732="Supply chain","multiple supply","multiple silviculture"))))</f>
        <v>technologies/design switch</v>
      </c>
      <c r="BF732" s="2" t="str" cm="1">
        <f t="array" ref="BF732">IF(COUNTIF(AZ732:BB732,"&lt;&gt;0")=1,INDEX($V$4:$AW$4,MATCH(TRUE,INDEX($V732:$AW732&lt;&gt;0,),0)),IF(COUNTIF(AZ732:BB732,"&lt;&gt;0")=0,INDEX($AM$4:$AW$4,MATCH(1,$AM732:$AW732,0)),"Multiple strategies"))</f>
        <v>Technology</v>
      </c>
      <c r="BG732" s="142" t="s">
        <v>229</v>
      </c>
      <c r="BH732" t="s">
        <v>393</v>
      </c>
      <c r="BI732" s="264" t="s">
        <v>762</v>
      </c>
      <c r="BJ732" s="143" t="s">
        <v>763</v>
      </c>
      <c r="BK732">
        <v>32</v>
      </c>
      <c r="BL732" s="143">
        <v>145</v>
      </c>
      <c r="BM732" s="143"/>
      <c r="BN732">
        <f t="shared" si="876"/>
        <v>113</v>
      </c>
      <c r="BO732" s="143">
        <f t="shared" si="877"/>
        <v>230.61224489795919</v>
      </c>
      <c r="BP732" s="264" t="s">
        <v>232</v>
      </c>
      <c r="BQ732" s="155" t="s">
        <v>764</v>
      </c>
      <c r="BR732" t="s">
        <v>442</v>
      </c>
      <c r="BS732" s="143">
        <v>-67.7</v>
      </c>
      <c r="BT732" s="151">
        <v>-51.3</v>
      </c>
      <c r="BV732">
        <f t="shared" si="900"/>
        <v>16.400000000000006</v>
      </c>
      <c r="BX732">
        <f t="shared" si="878"/>
        <v>60.188000000000017</v>
      </c>
      <c r="BY732">
        <f t="shared" si="820"/>
        <v>0.26099221238938058</v>
      </c>
      <c r="BZ732" s="143">
        <v>0</v>
      </c>
      <c r="CA732" s="143">
        <v>0</v>
      </c>
      <c r="CB732" s="143">
        <v>0</v>
      </c>
      <c r="CC732" s="143">
        <v>0</v>
      </c>
      <c r="CD732" s="143">
        <v>0</v>
      </c>
      <c r="CE732" s="143">
        <v>0</v>
      </c>
      <c r="CF732" s="143">
        <v>0</v>
      </c>
      <c r="CG732" s="143">
        <v>0</v>
      </c>
      <c r="CH732" s="143">
        <v>0</v>
      </c>
      <c r="CI732" s="143">
        <v>0</v>
      </c>
      <c r="CJ732" s="143">
        <v>0</v>
      </c>
      <c r="CK732" s="143">
        <v>0</v>
      </c>
      <c r="CL732" s="143">
        <v>0</v>
      </c>
      <c r="CM732">
        <v>0</v>
      </c>
      <c r="CN732" t="str">
        <f t="shared" si="879"/>
        <v>refOK</v>
      </c>
      <c r="CO732">
        <f t="shared" si="880"/>
        <v>32</v>
      </c>
      <c r="CP732">
        <f t="shared" si="881"/>
        <v>145</v>
      </c>
      <c r="CQ732">
        <f t="shared" si="882"/>
        <v>230.61224489795919</v>
      </c>
      <c r="CR732">
        <f t="shared" si="883"/>
        <v>-67.7</v>
      </c>
      <c r="CS732">
        <f t="shared" si="884"/>
        <v>-51.3</v>
      </c>
      <c r="CT732">
        <f t="shared" si="885"/>
        <v>60.188000000000017</v>
      </c>
      <c r="CU732">
        <f t="shared" si="886"/>
        <v>0.26099221238938058</v>
      </c>
      <c r="CV732" s="2">
        <f t="shared" si="887"/>
        <v>0.24224519940915812</v>
      </c>
      <c r="CW732" s="1" t="s">
        <v>263</v>
      </c>
      <c r="CX732" s="264" t="str">
        <f t="shared" si="888"/>
        <v>loc</v>
      </c>
      <c r="CY732" t="s">
        <v>235</v>
      </c>
      <c r="DA732" s="143"/>
      <c r="DB732" s="143">
        <v>0</v>
      </c>
      <c r="DC732" t="str">
        <f t="shared" si="889"/>
        <v>0</v>
      </c>
      <c r="DD732">
        <v>0</v>
      </c>
      <c r="DE732">
        <v>0</v>
      </c>
      <c r="DF732">
        <v>0</v>
      </c>
      <c r="DG732">
        <v>1</v>
      </c>
      <c r="DI732">
        <f t="shared" si="890"/>
        <v>1</v>
      </c>
      <c r="DJ732" t="str">
        <f t="shared" si="891"/>
        <v>TimberInput</v>
      </c>
      <c r="DK732">
        <f t="shared" si="892"/>
        <v>0</v>
      </c>
      <c r="DL732">
        <f t="shared" si="893"/>
        <v>0</v>
      </c>
      <c r="DM732">
        <f t="shared" si="894"/>
        <v>0</v>
      </c>
      <c r="DN732" t="str">
        <f t="shared" si="895"/>
        <v>Timber</v>
      </c>
      <c r="DO732">
        <v>1</v>
      </c>
      <c r="DP732" s="143">
        <v>0</v>
      </c>
      <c r="DQ732" s="143">
        <v>0</v>
      </c>
      <c r="DR732">
        <v>0</v>
      </c>
      <c r="DS732" s="143">
        <v>0</v>
      </c>
      <c r="DT732">
        <f t="shared" si="896"/>
        <v>1</v>
      </c>
      <c r="DU732" s="143" t="str">
        <f t="shared" si="897"/>
        <v>self-calculated DF</v>
      </c>
      <c r="DV732" s="143">
        <v>0</v>
      </c>
      <c r="DW732" s="143">
        <v>0</v>
      </c>
      <c r="DX732" s="143">
        <v>0</v>
      </c>
      <c r="DY732" s="143">
        <v>0</v>
      </c>
      <c r="DZ732">
        <v>0</v>
      </c>
      <c r="EA732" s="143">
        <v>1</v>
      </c>
      <c r="EB732" s="143">
        <v>1</v>
      </c>
      <c r="EC732" s="143">
        <v>1</v>
      </c>
      <c r="ED732" s="143">
        <v>0</v>
      </c>
      <c r="EE732">
        <v>0</v>
      </c>
      <c r="EF732">
        <v>0</v>
      </c>
      <c r="EG732" s="143">
        <v>0</v>
      </c>
      <c r="EH732" s="143">
        <v>0</v>
      </c>
      <c r="EI732" s="2">
        <v>0</v>
      </c>
      <c r="EK732" t="str">
        <f t="shared" si="898"/>
        <v/>
      </c>
      <c r="EL732" t="str">
        <f t="shared" si="899"/>
        <v/>
      </c>
      <c r="EM732" s="2" t="str">
        <f t="shared" si="821"/>
        <v>Technology approach</v>
      </c>
      <c r="EP732" t="str">
        <f>IF(ISNUMBER(BU732),IF(ABS(BU732-[4]QC_indicators!$B$2)&gt;3*[4]QC_indicators!$C$2,"C ratio",IF(ISNUMBER(BY732),IF(ABS(BY732-[4]QC_indicators!$B$1)&gt;3*[4]QC_indicators!$C$1,"DF","no"))),IF(ISNUMBER(BY732),IF(ABS(BY732-[4]QC_indicators!$B$1)&gt;3*[4]QC_indicators!$C$1,"DF","no")))</f>
        <v>no</v>
      </c>
      <c r="ER732" s="294" t="s">
        <v>349</v>
      </c>
      <c r="ET732" s="264" t="s">
        <v>3406</v>
      </c>
    </row>
    <row r="733" spans="4:150" ht="15" hidden="1" customHeight="1">
      <c r="D733" t="s">
        <v>757</v>
      </c>
      <c r="E733" t="s">
        <v>758</v>
      </c>
      <c r="G733" t="s">
        <v>759</v>
      </c>
      <c r="I733">
        <v>2006</v>
      </c>
      <c r="K733" s="296" t="s">
        <v>760</v>
      </c>
      <c r="M733" t="str">
        <f t="shared" si="839"/>
        <v>Gustavsson_2006</v>
      </c>
      <c r="N733" t="s">
        <v>222</v>
      </c>
      <c r="O733" t="s">
        <v>223</v>
      </c>
      <c r="Q733" s="264" t="s">
        <v>256</v>
      </c>
      <c r="R733" s="269" t="s">
        <v>1153</v>
      </c>
      <c r="S733" s="263" t="s">
        <v>768</v>
      </c>
      <c r="T733" t="s">
        <v>753</v>
      </c>
      <c r="U733" s="143" t="s">
        <v>754</v>
      </c>
      <c r="V733">
        <v>0</v>
      </c>
      <c r="W733">
        <v>0</v>
      </c>
      <c r="X733">
        <v>0</v>
      </c>
      <c r="Y733">
        <v>0</v>
      </c>
      <c r="Z733">
        <v>0</v>
      </c>
      <c r="AA733">
        <v>0</v>
      </c>
      <c r="AB733">
        <v>0</v>
      </c>
      <c r="AC733">
        <v>0</v>
      </c>
      <c r="AD733">
        <v>0</v>
      </c>
      <c r="AE733">
        <v>0</v>
      </c>
      <c r="AF733">
        <v>0</v>
      </c>
      <c r="AG733">
        <v>0</v>
      </c>
      <c r="AH733">
        <v>0</v>
      </c>
      <c r="AI733">
        <v>0</v>
      </c>
      <c r="AJ733">
        <v>0</v>
      </c>
      <c r="AK733">
        <v>1</v>
      </c>
      <c r="AL733">
        <v>0</v>
      </c>
      <c r="AM733">
        <v>0</v>
      </c>
      <c r="AN733">
        <v>0</v>
      </c>
      <c r="AO733">
        <v>0</v>
      </c>
      <c r="AP733">
        <v>0</v>
      </c>
      <c r="AQ733">
        <v>0</v>
      </c>
      <c r="AR733">
        <v>0</v>
      </c>
      <c r="AS733">
        <v>0</v>
      </c>
      <c r="AT733">
        <v>0</v>
      </c>
      <c r="AU733">
        <v>0</v>
      </c>
      <c r="AV733">
        <v>0</v>
      </c>
      <c r="AW733">
        <v>0</v>
      </c>
      <c r="AX733" s="141">
        <f t="shared" si="868"/>
        <v>1</v>
      </c>
      <c r="AY733" s="141">
        <f t="shared" si="869"/>
        <v>1</v>
      </c>
      <c r="AZ733">
        <f t="shared" si="870"/>
        <v>0</v>
      </c>
      <c r="BA733">
        <f t="shared" si="871"/>
        <v>0</v>
      </c>
      <c r="BB733">
        <f t="shared" si="872"/>
        <v>1</v>
      </c>
      <c r="BC733">
        <f t="shared" si="873"/>
        <v>0</v>
      </c>
      <c r="BD733">
        <f t="shared" si="874"/>
        <v>0</v>
      </c>
      <c r="BE733" t="str" cm="1">
        <f t="array" ref="BE733">IF(AY733=1,INDEX($V$7:$AL$7,MATCH(TRUE,INDEX($V733:$AW733&lt;&gt;0,),0)),IF(AY733=0,INDEX($AM$7:$AW$7,MATCH(1,$AM733:$AW733,0)),IF(BF733="Multiple strategies","mixed drivers",IF(BF733="Supply chain","multiple supply","multiple silviculture"))))</f>
        <v>technologies/design switch</v>
      </c>
      <c r="BF733" s="2" t="str" cm="1">
        <f t="array" ref="BF733">IF(COUNTIF(AZ733:BB733,"&lt;&gt;0")=1,INDEX($V$4:$AW$4,MATCH(TRUE,INDEX($V733:$AW733&lt;&gt;0,),0)),IF(COUNTIF(AZ733:BB733,"&lt;&gt;0")=0,INDEX($AM$4:$AW$4,MATCH(1,$AM733:$AW733,0)),"Multiple strategies"))</f>
        <v>Technology</v>
      </c>
      <c r="BG733" s="142" t="s">
        <v>229</v>
      </c>
      <c r="BH733" t="s">
        <v>393</v>
      </c>
      <c r="BI733" s="264" t="s">
        <v>762</v>
      </c>
      <c r="BJ733" s="143" t="s">
        <v>763</v>
      </c>
      <c r="BK733">
        <v>195</v>
      </c>
      <c r="BL733" s="143">
        <v>291</v>
      </c>
      <c r="BM733" s="143"/>
      <c r="BN733">
        <f t="shared" si="876"/>
        <v>96</v>
      </c>
      <c r="BO733" s="143">
        <f t="shared" si="877"/>
        <v>195.91836734693879</v>
      </c>
      <c r="BP733" s="264" t="s">
        <v>232</v>
      </c>
      <c r="BQ733" s="155" t="s">
        <v>764</v>
      </c>
      <c r="BR733" t="s">
        <v>442</v>
      </c>
      <c r="BS733" s="143">
        <v>-120.5</v>
      </c>
      <c r="BT733" s="151">
        <v>-103</v>
      </c>
      <c r="BV733">
        <f t="shared" si="900"/>
        <v>17.5</v>
      </c>
      <c r="BX733">
        <f t="shared" si="878"/>
        <v>64.224999999999994</v>
      </c>
      <c r="BY733">
        <f t="shared" si="820"/>
        <v>0.32781510416666659</v>
      </c>
      <c r="BZ733" s="143">
        <v>0</v>
      </c>
      <c r="CA733" s="143">
        <v>0</v>
      </c>
      <c r="CB733" s="143">
        <v>0</v>
      </c>
      <c r="CC733" s="143">
        <v>0</v>
      </c>
      <c r="CD733" s="143">
        <v>0</v>
      </c>
      <c r="CE733" s="143">
        <v>0</v>
      </c>
      <c r="CF733" s="143">
        <v>0</v>
      </c>
      <c r="CG733" s="143">
        <v>0</v>
      </c>
      <c r="CH733" s="143">
        <v>0</v>
      </c>
      <c r="CI733" s="143">
        <v>0</v>
      </c>
      <c r="CJ733" s="143">
        <v>0</v>
      </c>
      <c r="CK733" s="143">
        <v>0</v>
      </c>
      <c r="CL733" s="143">
        <v>0</v>
      </c>
      <c r="CM733">
        <v>0</v>
      </c>
      <c r="CN733" t="str">
        <f t="shared" si="879"/>
        <v>refOK</v>
      </c>
      <c r="CO733">
        <f t="shared" si="880"/>
        <v>195</v>
      </c>
      <c r="CP733">
        <f t="shared" si="881"/>
        <v>291</v>
      </c>
      <c r="CQ733">
        <f t="shared" si="882"/>
        <v>195.91836734693879</v>
      </c>
      <c r="CR733">
        <f t="shared" si="883"/>
        <v>-120.5</v>
      </c>
      <c r="CS733">
        <f t="shared" si="884"/>
        <v>-103</v>
      </c>
      <c r="CT733">
        <f t="shared" si="885"/>
        <v>64.224999999999994</v>
      </c>
      <c r="CU733">
        <f t="shared" si="886"/>
        <v>0.32781510416666659</v>
      </c>
      <c r="CV733" s="2">
        <f t="shared" si="887"/>
        <v>0.14522821576763487</v>
      </c>
      <c r="CW733" s="1" t="s">
        <v>263</v>
      </c>
      <c r="CX733" s="264" t="str">
        <f t="shared" si="888"/>
        <v>loc</v>
      </c>
      <c r="CY733" t="s">
        <v>444</v>
      </c>
      <c r="DA733" s="143"/>
      <c r="DB733" s="143">
        <v>0</v>
      </c>
      <c r="DC733" t="str">
        <f t="shared" si="889"/>
        <v>0</v>
      </c>
      <c r="DD733">
        <v>0</v>
      </c>
      <c r="DE733">
        <v>0</v>
      </c>
      <c r="DF733">
        <v>0</v>
      </c>
      <c r="DG733">
        <v>1</v>
      </c>
      <c r="DI733">
        <f t="shared" si="890"/>
        <v>1</v>
      </c>
      <c r="DJ733" t="str">
        <f t="shared" si="891"/>
        <v>TimberInput</v>
      </c>
      <c r="DK733">
        <f t="shared" si="892"/>
        <v>0</v>
      </c>
      <c r="DL733">
        <f t="shared" si="893"/>
        <v>0</v>
      </c>
      <c r="DM733">
        <f t="shared" si="894"/>
        <v>0</v>
      </c>
      <c r="DN733" t="str">
        <f t="shared" si="895"/>
        <v>Timber</v>
      </c>
      <c r="DO733">
        <v>1</v>
      </c>
      <c r="DP733" s="143">
        <v>0</v>
      </c>
      <c r="DQ733" s="143">
        <v>0</v>
      </c>
      <c r="DR733">
        <v>0</v>
      </c>
      <c r="DS733" s="143">
        <v>0</v>
      </c>
      <c r="DT733">
        <f t="shared" si="896"/>
        <v>1</v>
      </c>
      <c r="DU733" s="143" t="str">
        <f t="shared" si="897"/>
        <v>self-calculated DF</v>
      </c>
      <c r="DV733" s="143">
        <v>0</v>
      </c>
      <c r="DW733" s="143">
        <v>1</v>
      </c>
      <c r="DX733" s="143">
        <v>1</v>
      </c>
      <c r="DY733" s="143">
        <v>1</v>
      </c>
      <c r="DZ733">
        <v>0</v>
      </c>
      <c r="EA733" s="143">
        <v>1</v>
      </c>
      <c r="EB733" s="143">
        <v>1</v>
      </c>
      <c r="EC733" s="143">
        <v>1</v>
      </c>
      <c r="ED733" s="143">
        <v>0</v>
      </c>
      <c r="EE733">
        <v>0</v>
      </c>
      <c r="EF733">
        <v>1</v>
      </c>
      <c r="EG733" s="143">
        <v>0</v>
      </c>
      <c r="EH733" s="143">
        <v>0</v>
      </c>
      <c r="EI733" s="2">
        <v>0</v>
      </c>
      <c r="EK733" t="str">
        <f t="shared" si="898"/>
        <v>Whole sector</v>
      </c>
      <c r="EL733" t="str">
        <f t="shared" si="899"/>
        <v/>
      </c>
      <c r="EM733" s="2" t="str">
        <f t="shared" si="821"/>
        <v/>
      </c>
      <c r="EP733" t="str">
        <f>IF(ISNUMBER(BU733),IF(ABS(BU733-[4]QC_indicators!$B$2)&gt;3*[4]QC_indicators!$C$2,"C ratio",IF(ISNUMBER(BY733),IF(ABS(BY733-[4]QC_indicators!$B$1)&gt;3*[4]QC_indicators!$C$1,"DF","no"))),IF(ISNUMBER(BY733),IF(ABS(BY733-[4]QC_indicators!$B$1)&gt;3*[4]QC_indicators!$C$1,"DF","no")))</f>
        <v>no</v>
      </c>
      <c r="ER733" s="294" t="s">
        <v>349</v>
      </c>
      <c r="ET733" s="264" t="s">
        <v>3406</v>
      </c>
    </row>
    <row r="734" spans="4:150" ht="15" hidden="1" customHeight="1">
      <c r="D734" t="s">
        <v>757</v>
      </c>
      <c r="E734" t="s">
        <v>758</v>
      </c>
      <c r="G734" t="s">
        <v>759</v>
      </c>
      <c r="I734">
        <v>2006</v>
      </c>
      <c r="K734" s="296" t="s">
        <v>760</v>
      </c>
      <c r="M734" t="str">
        <f t="shared" si="839"/>
        <v>Gustavsson_2006</v>
      </c>
      <c r="N734" t="s">
        <v>222</v>
      </c>
      <c r="O734" t="s">
        <v>223</v>
      </c>
      <c r="Q734" s="264" t="s">
        <v>256</v>
      </c>
      <c r="R734" s="269" t="s">
        <v>1153</v>
      </c>
      <c r="S734" s="263" t="s">
        <v>765</v>
      </c>
      <c r="T734" t="s">
        <v>753</v>
      </c>
      <c r="U734" s="143" t="s">
        <v>754</v>
      </c>
      <c r="V734">
        <v>0</v>
      </c>
      <c r="W734">
        <v>0</v>
      </c>
      <c r="X734">
        <v>0</v>
      </c>
      <c r="Y734">
        <v>0</v>
      </c>
      <c r="Z734">
        <v>0</v>
      </c>
      <c r="AA734">
        <v>0</v>
      </c>
      <c r="AB734">
        <v>0</v>
      </c>
      <c r="AC734">
        <v>0</v>
      </c>
      <c r="AD734">
        <v>0</v>
      </c>
      <c r="AE734">
        <v>0</v>
      </c>
      <c r="AF734">
        <v>0</v>
      </c>
      <c r="AG734">
        <v>0</v>
      </c>
      <c r="AH734">
        <v>0</v>
      </c>
      <c r="AI734">
        <v>0</v>
      </c>
      <c r="AJ734">
        <v>0</v>
      </c>
      <c r="AK734">
        <v>1</v>
      </c>
      <c r="AL734">
        <v>0</v>
      </c>
      <c r="AM734">
        <v>0</v>
      </c>
      <c r="AN734">
        <v>0</v>
      </c>
      <c r="AO734">
        <v>0</v>
      </c>
      <c r="AP734">
        <v>0</v>
      </c>
      <c r="AQ734">
        <v>0</v>
      </c>
      <c r="AR734">
        <v>0</v>
      </c>
      <c r="AS734">
        <v>0</v>
      </c>
      <c r="AT734">
        <v>0</v>
      </c>
      <c r="AU734">
        <v>0</v>
      </c>
      <c r="AV734">
        <v>0</v>
      </c>
      <c r="AW734">
        <v>0</v>
      </c>
      <c r="AX734" s="141">
        <f t="shared" si="868"/>
        <v>1</v>
      </c>
      <c r="AY734" s="141">
        <f t="shared" si="869"/>
        <v>1</v>
      </c>
      <c r="AZ734">
        <f t="shared" si="870"/>
        <v>0</v>
      </c>
      <c r="BA734">
        <f t="shared" si="871"/>
        <v>0</v>
      </c>
      <c r="BB734">
        <f t="shared" si="872"/>
        <v>1</v>
      </c>
      <c r="BC734">
        <f t="shared" si="873"/>
        <v>0</v>
      </c>
      <c r="BD734">
        <f t="shared" si="874"/>
        <v>0</v>
      </c>
      <c r="BE734" t="str" cm="1">
        <f t="array" ref="BE734">IF(AY734=1,INDEX($V$7:$AL$7,MATCH(TRUE,INDEX($V734:$AW734&lt;&gt;0,),0)),IF(AY734=0,INDEX($AM$7:$AW$7,MATCH(1,$AM734:$AW734,0)),IF(BF734="Multiple strategies","mixed drivers",IF(BF734="Supply chain","multiple supply","multiple silviculture"))))</f>
        <v>technologies/design switch</v>
      </c>
      <c r="BF734" s="2" t="str" cm="1">
        <f t="array" ref="BF734">IF(COUNTIF(AZ734:BB734,"&lt;&gt;0")=1,INDEX($V$4:$AW$4,MATCH(TRUE,INDEX($V734:$AW734&lt;&gt;0,),0)),IF(COUNTIF(AZ734:BB734,"&lt;&gt;0")=0,INDEX($AM$4:$AW$4,MATCH(1,$AM734:$AW734,0)),"Multiple strategies"))</f>
        <v>Technology</v>
      </c>
      <c r="BG734" s="142" t="s">
        <v>229</v>
      </c>
      <c r="BH734" t="s">
        <v>393</v>
      </c>
      <c r="BI734" s="264" t="s">
        <v>762</v>
      </c>
      <c r="BJ734" s="143" t="s">
        <v>763</v>
      </c>
      <c r="BK734">
        <v>70</v>
      </c>
      <c r="BL734" s="143">
        <v>98</v>
      </c>
      <c r="BM734" s="143"/>
      <c r="BN734">
        <f t="shared" si="876"/>
        <v>28</v>
      </c>
      <c r="BO734" s="143">
        <f t="shared" si="877"/>
        <v>57.142857142857146</v>
      </c>
      <c r="BP734" s="264" t="s">
        <v>232</v>
      </c>
      <c r="BQ734" s="155" t="s">
        <v>764</v>
      </c>
      <c r="BR734" t="s">
        <v>442</v>
      </c>
      <c r="BS734" s="143">
        <v>-72.400000000000006</v>
      </c>
      <c r="BT734" s="151">
        <v>-62.6</v>
      </c>
      <c r="BV734">
        <f t="shared" si="900"/>
        <v>9.8000000000000043</v>
      </c>
      <c r="BX734">
        <f t="shared" si="878"/>
        <v>35.966000000000015</v>
      </c>
      <c r="BY734">
        <f t="shared" si="820"/>
        <v>0.62940500000000021</v>
      </c>
      <c r="BZ734" s="143">
        <v>0</v>
      </c>
      <c r="CA734" s="143">
        <v>0</v>
      </c>
      <c r="CB734" s="143">
        <v>0</v>
      </c>
      <c r="CC734" s="143">
        <v>0</v>
      </c>
      <c r="CD734" s="143">
        <v>0</v>
      </c>
      <c r="CE734" s="143">
        <v>0</v>
      </c>
      <c r="CF734" s="143">
        <v>0</v>
      </c>
      <c r="CG734" s="143">
        <v>0</v>
      </c>
      <c r="CH734" s="143">
        <v>0</v>
      </c>
      <c r="CI734" s="143">
        <v>0</v>
      </c>
      <c r="CJ734" s="143">
        <v>0</v>
      </c>
      <c r="CK734" s="143">
        <v>0</v>
      </c>
      <c r="CL734" s="143">
        <v>0</v>
      </c>
      <c r="CM734">
        <v>0</v>
      </c>
      <c r="CN734" t="str">
        <f t="shared" si="879"/>
        <v>refOK</v>
      </c>
      <c r="CO734">
        <f t="shared" si="880"/>
        <v>70</v>
      </c>
      <c r="CP734">
        <f t="shared" si="881"/>
        <v>98</v>
      </c>
      <c r="CQ734">
        <f t="shared" si="882"/>
        <v>57.142857142857146</v>
      </c>
      <c r="CR734">
        <f t="shared" si="883"/>
        <v>-72.400000000000006</v>
      </c>
      <c r="CS734">
        <f t="shared" si="884"/>
        <v>-62.6</v>
      </c>
      <c r="CT734">
        <f t="shared" si="885"/>
        <v>35.966000000000015</v>
      </c>
      <c r="CU734">
        <f t="shared" si="886"/>
        <v>0.62940500000000021</v>
      </c>
      <c r="CV734" s="2">
        <f t="shared" si="887"/>
        <v>0.13535911602209949</v>
      </c>
      <c r="CW734" s="1" t="s">
        <v>263</v>
      </c>
      <c r="CX734" s="264" t="str">
        <f t="shared" si="888"/>
        <v>loc</v>
      </c>
      <c r="CY734" t="s">
        <v>235</v>
      </c>
      <c r="DA734" s="143"/>
      <c r="DB734" s="143">
        <v>0</v>
      </c>
      <c r="DC734" t="str">
        <f t="shared" si="889"/>
        <v>0</v>
      </c>
      <c r="DD734">
        <v>0</v>
      </c>
      <c r="DE734">
        <v>0</v>
      </c>
      <c r="DF734">
        <v>0</v>
      </c>
      <c r="DG734">
        <v>1</v>
      </c>
      <c r="DI734">
        <f t="shared" si="890"/>
        <v>1</v>
      </c>
      <c r="DJ734" t="str">
        <f t="shared" si="891"/>
        <v>TimberInput</v>
      </c>
      <c r="DK734">
        <f t="shared" si="892"/>
        <v>0</v>
      </c>
      <c r="DL734">
        <f t="shared" si="893"/>
        <v>0</v>
      </c>
      <c r="DM734">
        <f t="shared" si="894"/>
        <v>0</v>
      </c>
      <c r="DN734" t="str">
        <f t="shared" si="895"/>
        <v>Timber</v>
      </c>
      <c r="DO734">
        <v>1</v>
      </c>
      <c r="DP734" s="143">
        <v>0</v>
      </c>
      <c r="DQ734" s="143">
        <v>0</v>
      </c>
      <c r="DR734">
        <v>0</v>
      </c>
      <c r="DS734" s="143">
        <v>0</v>
      </c>
      <c r="DT734">
        <f t="shared" si="896"/>
        <v>1</v>
      </c>
      <c r="DU734" s="143" t="str">
        <f t="shared" si="897"/>
        <v>self-calculated DF</v>
      </c>
      <c r="DV734" s="143">
        <v>0</v>
      </c>
      <c r="DW734" s="143">
        <v>0</v>
      </c>
      <c r="DX734" s="143">
        <v>0</v>
      </c>
      <c r="DY734" s="143">
        <v>0</v>
      </c>
      <c r="DZ734">
        <v>0</v>
      </c>
      <c r="EA734" s="143">
        <v>1</v>
      </c>
      <c r="EB734" s="143">
        <v>1</v>
      </c>
      <c r="EC734" s="143">
        <v>1</v>
      </c>
      <c r="ED734" s="143">
        <v>0</v>
      </c>
      <c r="EE734">
        <v>0</v>
      </c>
      <c r="EF734">
        <v>0</v>
      </c>
      <c r="EG734" s="143">
        <v>0</v>
      </c>
      <c r="EH734" s="143">
        <v>0</v>
      </c>
      <c r="EI734" s="2">
        <v>0</v>
      </c>
      <c r="EK734" t="str">
        <f t="shared" si="898"/>
        <v/>
      </c>
      <c r="EL734" t="str">
        <f t="shared" si="899"/>
        <v/>
      </c>
      <c r="EM734" s="2" t="str">
        <f t="shared" si="821"/>
        <v>Technology approach</v>
      </c>
      <c r="EP734" t="str">
        <f>IF(ISNUMBER(BU734),IF(ABS(BU734-[4]QC_indicators!$B$2)&gt;3*[4]QC_indicators!$C$2,"C ratio",IF(ISNUMBER(BY734),IF(ABS(BY734-[4]QC_indicators!$B$1)&gt;3*[4]QC_indicators!$C$1,"DF","no"))),IF(ISNUMBER(BY734),IF(ABS(BY734-[4]QC_indicators!$B$1)&gt;3*[4]QC_indicators!$C$1,"DF","no")))</f>
        <v>no</v>
      </c>
      <c r="ER734" s="294" t="s">
        <v>349</v>
      </c>
      <c r="ET734" s="264" t="s">
        <v>3406</v>
      </c>
    </row>
    <row r="735" spans="4:150" ht="15" hidden="1" customHeight="1">
      <c r="D735" t="s">
        <v>757</v>
      </c>
      <c r="E735" t="s">
        <v>758</v>
      </c>
      <c r="G735" t="s">
        <v>759</v>
      </c>
      <c r="I735">
        <v>2006</v>
      </c>
      <c r="K735" s="296" t="s">
        <v>760</v>
      </c>
      <c r="M735" t="str">
        <f t="shared" si="839"/>
        <v>Gustavsson_2006</v>
      </c>
      <c r="N735" t="s">
        <v>222</v>
      </c>
      <c r="O735" t="s">
        <v>223</v>
      </c>
      <c r="Q735" s="264" t="s">
        <v>256</v>
      </c>
      <c r="R735" s="269" t="s">
        <v>1153</v>
      </c>
      <c r="S735" s="263" t="s">
        <v>766</v>
      </c>
      <c r="T735" t="s">
        <v>753</v>
      </c>
      <c r="U735" s="143" t="s">
        <v>754</v>
      </c>
      <c r="V735">
        <v>0</v>
      </c>
      <c r="W735">
        <v>0</v>
      </c>
      <c r="X735">
        <v>0</v>
      </c>
      <c r="Y735">
        <v>0</v>
      </c>
      <c r="Z735">
        <v>0</v>
      </c>
      <c r="AA735">
        <v>0</v>
      </c>
      <c r="AB735">
        <v>0</v>
      </c>
      <c r="AC735">
        <v>0</v>
      </c>
      <c r="AD735">
        <v>0</v>
      </c>
      <c r="AE735">
        <v>0</v>
      </c>
      <c r="AF735">
        <v>0</v>
      </c>
      <c r="AG735">
        <v>0</v>
      </c>
      <c r="AH735">
        <v>0</v>
      </c>
      <c r="AI735">
        <v>0</v>
      </c>
      <c r="AJ735">
        <v>0</v>
      </c>
      <c r="AK735">
        <v>1</v>
      </c>
      <c r="AL735">
        <v>0</v>
      </c>
      <c r="AM735">
        <v>0</v>
      </c>
      <c r="AN735">
        <v>0</v>
      </c>
      <c r="AO735">
        <v>0</v>
      </c>
      <c r="AP735">
        <v>0</v>
      </c>
      <c r="AQ735">
        <v>0</v>
      </c>
      <c r="AR735">
        <v>0</v>
      </c>
      <c r="AS735">
        <v>0</v>
      </c>
      <c r="AT735">
        <v>0</v>
      </c>
      <c r="AU735">
        <v>0</v>
      </c>
      <c r="AV735">
        <v>0</v>
      </c>
      <c r="AW735">
        <v>0</v>
      </c>
      <c r="AX735" s="141">
        <f t="shared" si="868"/>
        <v>1</v>
      </c>
      <c r="AY735" s="141">
        <f t="shared" si="869"/>
        <v>1</v>
      </c>
      <c r="AZ735">
        <f t="shared" si="870"/>
        <v>0</v>
      </c>
      <c r="BA735">
        <f t="shared" si="871"/>
        <v>0</v>
      </c>
      <c r="BB735">
        <f t="shared" si="872"/>
        <v>1</v>
      </c>
      <c r="BC735">
        <f t="shared" si="873"/>
        <v>0</v>
      </c>
      <c r="BD735">
        <f t="shared" si="874"/>
        <v>0</v>
      </c>
      <c r="BE735" t="str" cm="1">
        <f t="array" ref="BE735">IF(AY735=1,INDEX($V$7:$AL$7,MATCH(TRUE,INDEX($V735:$AW735&lt;&gt;0,),0)),IF(AY735=0,INDEX($AM$7:$AW$7,MATCH(1,$AM735:$AW735,0)),IF(BF735="Multiple strategies","mixed drivers",IF(BF735="Supply chain","multiple supply","multiple silviculture"))))</f>
        <v>technologies/design switch</v>
      </c>
      <c r="BF735" s="2" t="str" cm="1">
        <f t="array" ref="BF735">IF(COUNTIF(AZ735:BB735,"&lt;&gt;0")=1,INDEX($V$4:$AW$4,MATCH(TRUE,INDEX($V735:$AW735&lt;&gt;0,),0)),IF(COUNTIF(AZ735:BB735,"&lt;&gt;0")=0,INDEX($AM$4:$AW$4,MATCH(1,$AM735:$AW735,0)),"Multiple strategies"))</f>
        <v>Technology</v>
      </c>
      <c r="BG735" s="142" t="s">
        <v>229</v>
      </c>
      <c r="BH735" t="s">
        <v>393</v>
      </c>
      <c r="BI735" s="264" t="s">
        <v>762</v>
      </c>
      <c r="BJ735" s="143" t="s">
        <v>763</v>
      </c>
      <c r="BK735">
        <v>325</v>
      </c>
      <c r="BL735" s="143">
        <v>428</v>
      </c>
      <c r="BM735" s="143"/>
      <c r="BN735">
        <f t="shared" si="876"/>
        <v>103</v>
      </c>
      <c r="BO735" s="143">
        <f t="shared" si="877"/>
        <v>210.20408163265307</v>
      </c>
      <c r="BP735" s="264" t="s">
        <v>232</v>
      </c>
      <c r="BQ735" s="155" t="s">
        <v>764</v>
      </c>
      <c r="BR735" t="s">
        <v>442</v>
      </c>
      <c r="BS735" s="143">
        <v>35.299999999999997</v>
      </c>
      <c r="BT735" s="151">
        <v>76.2</v>
      </c>
      <c r="BV735">
        <f t="shared" si="900"/>
        <v>40.900000000000006</v>
      </c>
      <c r="BX735">
        <f t="shared" si="878"/>
        <v>150.10300000000001</v>
      </c>
      <c r="BY735">
        <f t="shared" si="820"/>
        <v>0.71408223300970874</v>
      </c>
      <c r="BZ735" s="143">
        <v>0</v>
      </c>
      <c r="CA735" s="143">
        <v>0</v>
      </c>
      <c r="CB735" s="143">
        <v>0</v>
      </c>
      <c r="CC735" s="143">
        <v>0</v>
      </c>
      <c r="CD735" s="143">
        <v>0</v>
      </c>
      <c r="CE735" s="143">
        <v>0</v>
      </c>
      <c r="CF735" s="143">
        <v>0</v>
      </c>
      <c r="CG735" s="143">
        <v>0</v>
      </c>
      <c r="CH735" s="143">
        <v>0</v>
      </c>
      <c r="CI735" s="143">
        <v>0</v>
      </c>
      <c r="CJ735" s="143">
        <v>0</v>
      </c>
      <c r="CK735" s="143">
        <v>0</v>
      </c>
      <c r="CL735" s="143">
        <v>0</v>
      </c>
      <c r="CM735">
        <v>0</v>
      </c>
      <c r="CN735" t="str">
        <f t="shared" si="879"/>
        <v>refOK</v>
      </c>
      <c r="CO735">
        <f t="shared" si="880"/>
        <v>325</v>
      </c>
      <c r="CP735">
        <f t="shared" si="881"/>
        <v>428</v>
      </c>
      <c r="CQ735">
        <f t="shared" si="882"/>
        <v>210.20408163265307</v>
      </c>
      <c r="CR735">
        <f t="shared" si="883"/>
        <v>35.299999999999997</v>
      </c>
      <c r="CS735">
        <f t="shared" si="884"/>
        <v>76.2</v>
      </c>
      <c r="CT735">
        <f t="shared" si="885"/>
        <v>150.10300000000001</v>
      </c>
      <c r="CU735">
        <f t="shared" si="886"/>
        <v>0.71408223300970874</v>
      </c>
      <c r="CV735" s="2">
        <f t="shared" si="887"/>
        <v>1.1586402266288955</v>
      </c>
      <c r="CW735" s="1" t="s">
        <v>263</v>
      </c>
      <c r="CX735" s="264" t="str">
        <f t="shared" si="888"/>
        <v>loc</v>
      </c>
      <c r="CY735" t="s">
        <v>235</v>
      </c>
      <c r="DA735" s="143"/>
      <c r="DB735" s="143">
        <v>100</v>
      </c>
      <c r="DC735" t="str">
        <f t="shared" si="889"/>
        <v>71-100</v>
      </c>
      <c r="DD735">
        <v>0</v>
      </c>
      <c r="DE735">
        <v>0</v>
      </c>
      <c r="DF735">
        <v>0</v>
      </c>
      <c r="DG735">
        <v>1</v>
      </c>
      <c r="DI735">
        <f t="shared" si="890"/>
        <v>1</v>
      </c>
      <c r="DJ735" t="str">
        <f t="shared" si="891"/>
        <v>TimberInput</v>
      </c>
      <c r="DK735">
        <f t="shared" si="892"/>
        <v>0</v>
      </c>
      <c r="DL735">
        <f t="shared" si="893"/>
        <v>0</v>
      </c>
      <c r="DM735">
        <f t="shared" si="894"/>
        <v>0</v>
      </c>
      <c r="DN735" t="str">
        <f t="shared" si="895"/>
        <v>Timber</v>
      </c>
      <c r="DO735">
        <v>1</v>
      </c>
      <c r="DP735" s="143">
        <v>0</v>
      </c>
      <c r="DQ735" s="143">
        <v>0</v>
      </c>
      <c r="DR735">
        <v>0</v>
      </c>
      <c r="DS735" s="143">
        <v>0</v>
      </c>
      <c r="DT735">
        <f t="shared" si="896"/>
        <v>1</v>
      </c>
      <c r="DU735" s="143" t="str">
        <f t="shared" si="897"/>
        <v>self-calculated DF</v>
      </c>
      <c r="DV735" s="143">
        <v>0</v>
      </c>
      <c r="DW735" s="143">
        <v>0</v>
      </c>
      <c r="DX735" s="143">
        <v>0</v>
      </c>
      <c r="DY735" s="143">
        <v>1</v>
      </c>
      <c r="DZ735">
        <v>0</v>
      </c>
      <c r="EA735" s="143">
        <v>1</v>
      </c>
      <c r="EB735" s="143">
        <v>1</v>
      </c>
      <c r="EC735" s="143">
        <v>1</v>
      </c>
      <c r="ED735" s="143">
        <v>0</v>
      </c>
      <c r="EE735">
        <v>0</v>
      </c>
      <c r="EF735">
        <v>0</v>
      </c>
      <c r="EG735" s="143">
        <v>0</v>
      </c>
      <c r="EH735" s="143">
        <v>0</v>
      </c>
      <c r="EI735" s="2">
        <v>0</v>
      </c>
      <c r="EK735" t="str">
        <f t="shared" si="898"/>
        <v/>
      </c>
      <c r="EL735" t="str">
        <f t="shared" si="899"/>
        <v/>
      </c>
      <c r="EM735" s="2" t="str">
        <f t="shared" si="821"/>
        <v>Technology approach</v>
      </c>
      <c r="EN735" t="s">
        <v>769</v>
      </c>
      <c r="EP735" t="str">
        <f>IF(ISNUMBER(BU735),IF(ABS(BU735-[4]QC_indicators!$B$2)&gt;3*[4]QC_indicators!$C$2,"C ratio",IF(ISNUMBER(BY735),IF(ABS(BY735-[4]QC_indicators!$B$1)&gt;3*[4]QC_indicators!$C$1,"DF","no"))),IF(ISNUMBER(BY735),IF(ABS(BY735-[4]QC_indicators!$B$1)&gt;3*[4]QC_indicators!$C$1,"DF","no")))</f>
        <v>no</v>
      </c>
      <c r="EQ735" t="s">
        <v>286</v>
      </c>
      <c r="ER735" s="294" t="s">
        <v>349</v>
      </c>
      <c r="ET735" s="264" t="s">
        <v>3406</v>
      </c>
    </row>
    <row r="736" spans="4:150" ht="15" hidden="1" customHeight="1">
      <c r="D736" t="s">
        <v>757</v>
      </c>
      <c r="E736" t="s">
        <v>758</v>
      </c>
      <c r="G736" t="s">
        <v>759</v>
      </c>
      <c r="I736">
        <v>2006</v>
      </c>
      <c r="K736" s="296" t="s">
        <v>760</v>
      </c>
      <c r="M736" t="str">
        <f t="shared" si="839"/>
        <v>Gustavsson_2006</v>
      </c>
      <c r="N736" t="s">
        <v>222</v>
      </c>
      <c r="O736" t="s">
        <v>223</v>
      </c>
      <c r="Q736" s="264" t="s">
        <v>256</v>
      </c>
      <c r="R736" s="269" t="s">
        <v>1153</v>
      </c>
      <c r="S736" s="263" t="s">
        <v>766</v>
      </c>
      <c r="T736" t="s">
        <v>753</v>
      </c>
      <c r="U736" s="143" t="s">
        <v>754</v>
      </c>
      <c r="V736">
        <v>0</v>
      </c>
      <c r="W736">
        <v>0</v>
      </c>
      <c r="X736">
        <v>0</v>
      </c>
      <c r="Y736">
        <v>0</v>
      </c>
      <c r="Z736">
        <v>0</v>
      </c>
      <c r="AA736">
        <v>0</v>
      </c>
      <c r="AB736">
        <v>0</v>
      </c>
      <c r="AC736">
        <v>0</v>
      </c>
      <c r="AD736">
        <v>0</v>
      </c>
      <c r="AE736">
        <v>0</v>
      </c>
      <c r="AF736">
        <v>0</v>
      </c>
      <c r="AG736">
        <v>0</v>
      </c>
      <c r="AH736">
        <v>0</v>
      </c>
      <c r="AI736">
        <v>0</v>
      </c>
      <c r="AJ736">
        <v>0</v>
      </c>
      <c r="AK736">
        <v>1</v>
      </c>
      <c r="AL736">
        <v>0</v>
      </c>
      <c r="AM736">
        <v>0</v>
      </c>
      <c r="AN736">
        <v>0</v>
      </c>
      <c r="AO736">
        <v>0</v>
      </c>
      <c r="AP736">
        <v>0</v>
      </c>
      <c r="AQ736">
        <v>0</v>
      </c>
      <c r="AR736">
        <v>0</v>
      </c>
      <c r="AS736">
        <v>0</v>
      </c>
      <c r="AT736">
        <v>0</v>
      </c>
      <c r="AU736">
        <v>0</v>
      </c>
      <c r="AV736">
        <v>0</v>
      </c>
      <c r="AW736">
        <v>0</v>
      </c>
      <c r="AX736" s="141">
        <f t="shared" si="868"/>
        <v>1</v>
      </c>
      <c r="AY736" s="141">
        <f t="shared" si="869"/>
        <v>1</v>
      </c>
      <c r="AZ736">
        <f t="shared" si="870"/>
        <v>0</v>
      </c>
      <c r="BA736">
        <f t="shared" si="871"/>
        <v>0</v>
      </c>
      <c r="BB736">
        <f t="shared" si="872"/>
        <v>1</v>
      </c>
      <c r="BC736">
        <f t="shared" si="873"/>
        <v>0</v>
      </c>
      <c r="BD736">
        <f t="shared" si="874"/>
        <v>0</v>
      </c>
      <c r="BE736" t="str" cm="1">
        <f t="array" ref="BE736">IF(AY736=1,INDEX($V$7:$AL$7,MATCH(TRUE,INDEX($V736:$AW736&lt;&gt;0,),0)),IF(AY736=0,INDEX($AM$7:$AW$7,MATCH(1,$AM736:$AW736,0)),IF(BF736="Multiple strategies","mixed drivers",IF(BF736="Supply chain","multiple supply","multiple silviculture"))))</f>
        <v>technologies/design switch</v>
      </c>
      <c r="BF736" s="2" t="str" cm="1">
        <f t="array" ref="BF736">IF(COUNTIF(AZ736:BB736,"&lt;&gt;0")=1,INDEX($V$4:$AW$4,MATCH(TRUE,INDEX($V736:$AW736&lt;&gt;0,),0)),IF(COUNTIF(AZ736:BB736,"&lt;&gt;0")=0,INDEX($AM$4:$AW$4,MATCH(1,$AM736:$AW736,0)),"Multiple strategies"))</f>
        <v>Technology</v>
      </c>
      <c r="BG736" s="142" t="s">
        <v>229</v>
      </c>
      <c r="BH736" t="s">
        <v>393</v>
      </c>
      <c r="BI736" s="264" t="s">
        <v>762</v>
      </c>
      <c r="BJ736" s="143" t="s">
        <v>763</v>
      </c>
      <c r="BK736">
        <v>325</v>
      </c>
      <c r="BL736" s="143">
        <v>428</v>
      </c>
      <c r="BM736" s="143"/>
      <c r="BN736">
        <f t="shared" si="876"/>
        <v>103</v>
      </c>
      <c r="BO736" s="143">
        <f t="shared" si="877"/>
        <v>210.20408163265307</v>
      </c>
      <c r="BP736" s="264" t="s">
        <v>232</v>
      </c>
      <c r="BQ736" s="155" t="s">
        <v>764</v>
      </c>
      <c r="BR736" t="s">
        <v>442</v>
      </c>
      <c r="BS736" s="143">
        <v>-180.2</v>
      </c>
      <c r="BT736" s="151">
        <v>-136.69999999999999</v>
      </c>
      <c r="BV736">
        <f t="shared" si="900"/>
        <v>43.5</v>
      </c>
      <c r="BX736">
        <f t="shared" si="878"/>
        <v>159.64500000000001</v>
      </c>
      <c r="BY736">
        <f t="shared" si="820"/>
        <v>0.75947621359223305</v>
      </c>
      <c r="BZ736" s="143">
        <v>0</v>
      </c>
      <c r="CA736" s="143">
        <v>0</v>
      </c>
      <c r="CB736" s="143">
        <v>0</v>
      </c>
      <c r="CC736" s="143">
        <v>0</v>
      </c>
      <c r="CD736" s="143">
        <v>0</v>
      </c>
      <c r="CE736" s="143">
        <v>0</v>
      </c>
      <c r="CF736" s="143">
        <v>0</v>
      </c>
      <c r="CG736" s="143">
        <v>0</v>
      </c>
      <c r="CH736" s="143">
        <v>0</v>
      </c>
      <c r="CI736" s="143">
        <v>0</v>
      </c>
      <c r="CJ736" s="143">
        <v>0</v>
      </c>
      <c r="CK736" s="143">
        <v>0</v>
      </c>
      <c r="CL736" s="143">
        <v>0</v>
      </c>
      <c r="CM736">
        <v>0</v>
      </c>
      <c r="CN736" t="str">
        <f t="shared" si="879"/>
        <v>refOK</v>
      </c>
      <c r="CO736">
        <f t="shared" si="880"/>
        <v>325</v>
      </c>
      <c r="CP736">
        <f t="shared" si="881"/>
        <v>428</v>
      </c>
      <c r="CQ736">
        <f t="shared" si="882"/>
        <v>210.20408163265307</v>
      </c>
      <c r="CR736">
        <f t="shared" si="883"/>
        <v>-180.2</v>
      </c>
      <c r="CS736">
        <f t="shared" si="884"/>
        <v>-136.69999999999999</v>
      </c>
      <c r="CT736">
        <f t="shared" si="885"/>
        <v>159.64500000000001</v>
      </c>
      <c r="CU736">
        <f t="shared" si="886"/>
        <v>0.75947621359223305</v>
      </c>
      <c r="CV736" s="2">
        <f t="shared" si="887"/>
        <v>0.24139844617092121</v>
      </c>
      <c r="CW736" s="1" t="s">
        <v>263</v>
      </c>
      <c r="CX736" s="264" t="str">
        <f t="shared" si="888"/>
        <v>loc</v>
      </c>
      <c r="CY736" t="s">
        <v>235</v>
      </c>
      <c r="DA736" s="143"/>
      <c r="DB736" s="143">
        <v>0</v>
      </c>
      <c r="DC736" t="str">
        <f t="shared" si="889"/>
        <v>0</v>
      </c>
      <c r="DD736">
        <v>0</v>
      </c>
      <c r="DE736">
        <v>0</v>
      </c>
      <c r="DF736">
        <v>0</v>
      </c>
      <c r="DG736">
        <v>1</v>
      </c>
      <c r="DI736">
        <f t="shared" si="890"/>
        <v>1</v>
      </c>
      <c r="DJ736" t="str">
        <f t="shared" si="891"/>
        <v>TimberInput</v>
      </c>
      <c r="DK736">
        <f t="shared" si="892"/>
        <v>0</v>
      </c>
      <c r="DL736">
        <f t="shared" si="893"/>
        <v>0</v>
      </c>
      <c r="DM736">
        <f t="shared" si="894"/>
        <v>0</v>
      </c>
      <c r="DN736" t="str">
        <f t="shared" si="895"/>
        <v>Timber</v>
      </c>
      <c r="DO736">
        <v>1</v>
      </c>
      <c r="DP736" s="143">
        <v>0</v>
      </c>
      <c r="DQ736" s="143">
        <v>0</v>
      </c>
      <c r="DR736">
        <v>0</v>
      </c>
      <c r="DS736" s="143">
        <v>0</v>
      </c>
      <c r="DT736">
        <f t="shared" si="896"/>
        <v>1</v>
      </c>
      <c r="DU736" s="143" t="str">
        <f t="shared" si="897"/>
        <v>self-calculated DF</v>
      </c>
      <c r="DV736" s="143">
        <v>0</v>
      </c>
      <c r="DW736" s="143">
        <v>1</v>
      </c>
      <c r="DX736" s="143">
        <v>0</v>
      </c>
      <c r="DY736" s="143">
        <v>1</v>
      </c>
      <c r="DZ736">
        <v>0</v>
      </c>
      <c r="EA736" s="143">
        <v>1</v>
      </c>
      <c r="EB736" s="143">
        <v>1</v>
      </c>
      <c r="EC736" s="143">
        <v>1</v>
      </c>
      <c r="ED736" s="143">
        <v>0</v>
      </c>
      <c r="EE736">
        <v>0</v>
      </c>
      <c r="EF736">
        <v>0</v>
      </c>
      <c r="EG736" s="143">
        <v>0</v>
      </c>
      <c r="EH736" s="143">
        <v>0</v>
      </c>
      <c r="EI736" s="2">
        <v>0</v>
      </c>
      <c r="EK736" t="str">
        <f t="shared" si="898"/>
        <v/>
      </c>
      <c r="EL736" t="str">
        <f t="shared" si="899"/>
        <v/>
      </c>
      <c r="EM736" s="2" t="str">
        <f t="shared" si="821"/>
        <v/>
      </c>
      <c r="EP736" t="str">
        <f>IF(ISNUMBER(BU736),IF(ABS(BU736-[4]QC_indicators!$B$2)&gt;3*[4]QC_indicators!$C$2,"C ratio",IF(ISNUMBER(BY736),IF(ABS(BY736-[4]QC_indicators!$B$1)&gt;3*[4]QC_indicators!$C$1,"DF","no"))),IF(ISNUMBER(BY736),IF(ABS(BY736-[4]QC_indicators!$B$1)&gt;3*[4]QC_indicators!$C$1,"DF","no")))</f>
        <v>no</v>
      </c>
      <c r="ER736" s="294" t="s">
        <v>349</v>
      </c>
      <c r="ET736" s="264" t="s">
        <v>3406</v>
      </c>
    </row>
    <row r="737" spans="4:150" ht="15" hidden="1" customHeight="1">
      <c r="D737" t="s">
        <v>757</v>
      </c>
      <c r="E737" t="s">
        <v>758</v>
      </c>
      <c r="G737" t="s">
        <v>759</v>
      </c>
      <c r="I737">
        <v>2006</v>
      </c>
      <c r="K737" s="296" t="s">
        <v>760</v>
      </c>
      <c r="M737" t="str">
        <f t="shared" si="839"/>
        <v>Gustavsson_2006</v>
      </c>
      <c r="N737" t="s">
        <v>222</v>
      </c>
      <c r="O737" t="s">
        <v>223</v>
      </c>
      <c r="Q737" s="264" t="s">
        <v>256</v>
      </c>
      <c r="R737" s="269" t="s">
        <v>1153</v>
      </c>
      <c r="S737" s="263" t="s">
        <v>765</v>
      </c>
      <c r="T737" t="s">
        <v>753</v>
      </c>
      <c r="U737" s="143" t="s">
        <v>754</v>
      </c>
      <c r="V737">
        <v>0</v>
      </c>
      <c r="W737">
        <v>0</v>
      </c>
      <c r="X737">
        <v>0</v>
      </c>
      <c r="Y737">
        <v>0</v>
      </c>
      <c r="Z737">
        <v>0</v>
      </c>
      <c r="AA737">
        <v>0</v>
      </c>
      <c r="AB737">
        <v>0</v>
      </c>
      <c r="AC737">
        <v>0</v>
      </c>
      <c r="AD737">
        <v>0</v>
      </c>
      <c r="AE737">
        <v>0</v>
      </c>
      <c r="AF737">
        <v>0</v>
      </c>
      <c r="AG737">
        <v>0</v>
      </c>
      <c r="AH737">
        <v>0</v>
      </c>
      <c r="AI737">
        <v>0</v>
      </c>
      <c r="AJ737">
        <v>0</v>
      </c>
      <c r="AK737">
        <v>1</v>
      </c>
      <c r="AL737">
        <v>0</v>
      </c>
      <c r="AM737">
        <v>0</v>
      </c>
      <c r="AN737">
        <v>0</v>
      </c>
      <c r="AO737">
        <v>0</v>
      </c>
      <c r="AP737">
        <v>0</v>
      </c>
      <c r="AQ737">
        <v>0</v>
      </c>
      <c r="AR737">
        <v>0</v>
      </c>
      <c r="AS737">
        <v>0</v>
      </c>
      <c r="AT737">
        <v>0</v>
      </c>
      <c r="AU737">
        <v>0</v>
      </c>
      <c r="AV737">
        <v>0</v>
      </c>
      <c r="AW737">
        <v>0</v>
      </c>
      <c r="AX737" s="141">
        <f t="shared" si="868"/>
        <v>1</v>
      </c>
      <c r="AY737" s="141">
        <f t="shared" si="869"/>
        <v>1</v>
      </c>
      <c r="AZ737">
        <f t="shared" si="870"/>
        <v>0</v>
      </c>
      <c r="BA737">
        <f t="shared" si="871"/>
        <v>0</v>
      </c>
      <c r="BB737">
        <f t="shared" si="872"/>
        <v>1</v>
      </c>
      <c r="BC737">
        <f t="shared" si="873"/>
        <v>0</v>
      </c>
      <c r="BD737">
        <f t="shared" si="874"/>
        <v>0</v>
      </c>
      <c r="BE737" t="str" cm="1">
        <f t="array" ref="BE737">IF(AY737=1,INDEX($V$7:$AL$7,MATCH(TRUE,INDEX($V737:$AW737&lt;&gt;0,),0)),IF(AY737=0,INDEX($AM$7:$AW$7,MATCH(1,$AM737:$AW737,0)),IF(BF737="Multiple strategies","mixed drivers",IF(BF737="Supply chain","multiple supply","multiple silviculture"))))</f>
        <v>technologies/design switch</v>
      </c>
      <c r="BF737" s="2" t="str" cm="1">
        <f t="array" ref="BF737">IF(COUNTIF(AZ737:BB737,"&lt;&gt;0")=1,INDEX($V$4:$AW$4,MATCH(TRUE,INDEX($V737:$AW737&lt;&gt;0,),0)),IF(COUNTIF(AZ737:BB737,"&lt;&gt;0")=0,INDEX($AM$4:$AW$4,MATCH(1,$AM737:$AW737,0)),"Multiple strategies"))</f>
        <v>Technology</v>
      </c>
      <c r="BG737" s="142" t="s">
        <v>229</v>
      </c>
      <c r="BH737" t="s">
        <v>393</v>
      </c>
      <c r="BI737" s="264" t="s">
        <v>762</v>
      </c>
      <c r="BJ737" s="143" t="s">
        <v>763</v>
      </c>
      <c r="BK737">
        <v>87</v>
      </c>
      <c r="BL737" s="143">
        <v>428</v>
      </c>
      <c r="BM737" s="143"/>
      <c r="BN737">
        <f t="shared" si="876"/>
        <v>341</v>
      </c>
      <c r="BO737" s="143">
        <f t="shared" si="877"/>
        <v>695.91836734693879</v>
      </c>
      <c r="BP737" s="264" t="s">
        <v>232</v>
      </c>
      <c r="BQ737" s="155" t="s">
        <v>764</v>
      </c>
      <c r="BR737" t="s">
        <v>442</v>
      </c>
      <c r="BS737" s="143">
        <v>-75.3</v>
      </c>
      <c r="BT737" s="151">
        <v>76.2</v>
      </c>
      <c r="BV737">
        <f t="shared" si="900"/>
        <v>151.5</v>
      </c>
      <c r="BX737">
        <f t="shared" si="878"/>
        <v>556.005</v>
      </c>
      <c r="BY737">
        <f t="shared" si="820"/>
        <v>0.79895146627565983</v>
      </c>
      <c r="BZ737" s="143">
        <v>0</v>
      </c>
      <c r="CA737" s="143">
        <v>0</v>
      </c>
      <c r="CB737" s="143">
        <v>0</v>
      </c>
      <c r="CC737" s="143">
        <v>0</v>
      </c>
      <c r="CD737" s="143">
        <v>0</v>
      </c>
      <c r="CE737" s="143">
        <v>0</v>
      </c>
      <c r="CF737" s="143">
        <v>0</v>
      </c>
      <c r="CG737" s="143">
        <v>0</v>
      </c>
      <c r="CH737" s="143">
        <v>0</v>
      </c>
      <c r="CI737" s="143">
        <v>0</v>
      </c>
      <c r="CJ737" s="143">
        <v>0</v>
      </c>
      <c r="CK737" s="143">
        <v>0</v>
      </c>
      <c r="CL737" s="143">
        <v>0</v>
      </c>
      <c r="CM737">
        <v>0</v>
      </c>
      <c r="CN737" t="str">
        <f t="shared" si="879"/>
        <v>refOK</v>
      </c>
      <c r="CO737">
        <f t="shared" si="880"/>
        <v>87</v>
      </c>
      <c r="CP737">
        <f t="shared" si="881"/>
        <v>428</v>
      </c>
      <c r="CQ737">
        <f t="shared" si="882"/>
        <v>695.91836734693879</v>
      </c>
      <c r="CR737">
        <f t="shared" si="883"/>
        <v>-75.3</v>
      </c>
      <c r="CS737">
        <f t="shared" si="884"/>
        <v>76.2</v>
      </c>
      <c r="CT737">
        <f t="shared" si="885"/>
        <v>556.005</v>
      </c>
      <c r="CU737">
        <f t="shared" si="886"/>
        <v>0.79895146627565983</v>
      </c>
      <c r="CV737" s="2">
        <f t="shared" si="887"/>
        <v>2.0119521912350598</v>
      </c>
      <c r="CW737" s="1" t="s">
        <v>263</v>
      </c>
      <c r="CX737" s="264" t="str">
        <f t="shared" si="888"/>
        <v>loc</v>
      </c>
      <c r="CY737" t="s">
        <v>235</v>
      </c>
      <c r="DA737" s="143"/>
      <c r="DB737" s="143">
        <v>100</v>
      </c>
      <c r="DC737" t="str">
        <f t="shared" si="889"/>
        <v>71-100</v>
      </c>
      <c r="DD737">
        <v>0</v>
      </c>
      <c r="DE737">
        <v>0</v>
      </c>
      <c r="DF737">
        <v>0</v>
      </c>
      <c r="DG737">
        <v>1</v>
      </c>
      <c r="DI737">
        <f t="shared" si="890"/>
        <v>1</v>
      </c>
      <c r="DJ737" t="str">
        <f t="shared" si="891"/>
        <v>TimberInput</v>
      </c>
      <c r="DK737">
        <f t="shared" si="892"/>
        <v>0</v>
      </c>
      <c r="DL737">
        <f t="shared" si="893"/>
        <v>0</v>
      </c>
      <c r="DM737">
        <f t="shared" si="894"/>
        <v>0</v>
      </c>
      <c r="DN737" t="str">
        <f t="shared" si="895"/>
        <v>Timber</v>
      </c>
      <c r="DO737">
        <v>1</v>
      </c>
      <c r="DP737" s="143">
        <v>0</v>
      </c>
      <c r="DQ737" s="143">
        <v>0</v>
      </c>
      <c r="DR737">
        <v>0</v>
      </c>
      <c r="DS737" s="143">
        <v>0</v>
      </c>
      <c r="DT737">
        <f t="shared" si="896"/>
        <v>1</v>
      </c>
      <c r="DU737" s="143" t="str">
        <f t="shared" si="897"/>
        <v>self-calculated DF</v>
      </c>
      <c r="DV737" s="143">
        <v>0</v>
      </c>
      <c r="DW737" s="143">
        <v>0</v>
      </c>
      <c r="DX737" s="143">
        <v>1</v>
      </c>
      <c r="DY737" s="143">
        <v>1</v>
      </c>
      <c r="DZ737">
        <v>0</v>
      </c>
      <c r="EA737" s="143">
        <v>1</v>
      </c>
      <c r="EB737" s="143">
        <v>1</v>
      </c>
      <c r="EC737" s="143">
        <v>1</v>
      </c>
      <c r="ED737" s="143">
        <v>0</v>
      </c>
      <c r="EE737">
        <v>0</v>
      </c>
      <c r="EF737">
        <v>1</v>
      </c>
      <c r="EG737" s="143">
        <v>0</v>
      </c>
      <c r="EH737" s="143">
        <v>0</v>
      </c>
      <c r="EI737" s="2">
        <v>0</v>
      </c>
      <c r="EK737" t="str">
        <f t="shared" si="898"/>
        <v/>
      </c>
      <c r="EL737" t="str">
        <f t="shared" si="899"/>
        <v/>
      </c>
      <c r="EM737" s="2" t="str">
        <f t="shared" si="821"/>
        <v/>
      </c>
      <c r="EN737" t="s">
        <v>769</v>
      </c>
      <c r="EP737" t="str">
        <f>IF(ISNUMBER(BU737),IF(ABS(BU737-[4]QC_indicators!$B$2)&gt;3*[4]QC_indicators!$C$2,"C ratio",IF(ISNUMBER(BY737),IF(ABS(BY737-[4]QC_indicators!$B$1)&gt;3*[4]QC_indicators!$C$1,"DF","no"))),IF(ISNUMBER(BY737),IF(ABS(BY737-[4]QC_indicators!$B$1)&gt;3*[4]QC_indicators!$C$1,"DF","no")))</f>
        <v>no</v>
      </c>
      <c r="EQ737" t="s">
        <v>286</v>
      </c>
      <c r="ER737" s="264" t="s">
        <v>770</v>
      </c>
      <c r="ES737" t="s">
        <v>771</v>
      </c>
      <c r="ET737" s="264" t="s">
        <v>3406</v>
      </c>
    </row>
    <row r="738" spans="4:150" ht="15" hidden="1" customHeight="1">
      <c r="D738" t="s">
        <v>757</v>
      </c>
      <c r="E738" t="s">
        <v>758</v>
      </c>
      <c r="G738" t="s">
        <v>759</v>
      </c>
      <c r="I738">
        <v>2006</v>
      </c>
      <c r="K738" s="296" t="s">
        <v>760</v>
      </c>
      <c r="M738" t="str">
        <f t="shared" si="839"/>
        <v>Gustavsson_2006</v>
      </c>
      <c r="N738" t="s">
        <v>222</v>
      </c>
      <c r="O738" t="s">
        <v>223</v>
      </c>
      <c r="Q738" s="264" t="s">
        <v>256</v>
      </c>
      <c r="R738" s="269" t="s">
        <v>1153</v>
      </c>
      <c r="S738" s="263" t="s">
        <v>765</v>
      </c>
      <c r="T738" t="s">
        <v>753</v>
      </c>
      <c r="U738" s="143" t="s">
        <v>754</v>
      </c>
      <c r="V738">
        <v>0</v>
      </c>
      <c r="W738">
        <v>0</v>
      </c>
      <c r="X738">
        <v>0</v>
      </c>
      <c r="Y738">
        <v>0</v>
      </c>
      <c r="Z738">
        <v>0</v>
      </c>
      <c r="AA738">
        <v>0</v>
      </c>
      <c r="AB738">
        <v>0</v>
      </c>
      <c r="AC738">
        <v>0</v>
      </c>
      <c r="AD738">
        <v>0</v>
      </c>
      <c r="AE738">
        <v>0</v>
      </c>
      <c r="AF738">
        <v>0</v>
      </c>
      <c r="AG738">
        <v>0</v>
      </c>
      <c r="AH738">
        <v>0</v>
      </c>
      <c r="AI738">
        <v>0</v>
      </c>
      <c r="AJ738">
        <v>0</v>
      </c>
      <c r="AK738">
        <v>1</v>
      </c>
      <c r="AL738">
        <v>0</v>
      </c>
      <c r="AM738">
        <v>0</v>
      </c>
      <c r="AN738">
        <v>0</v>
      </c>
      <c r="AO738">
        <v>0</v>
      </c>
      <c r="AP738">
        <v>0</v>
      </c>
      <c r="AQ738">
        <v>0</v>
      </c>
      <c r="AR738">
        <v>0</v>
      </c>
      <c r="AS738">
        <v>0</v>
      </c>
      <c r="AT738">
        <v>0</v>
      </c>
      <c r="AU738">
        <v>0</v>
      </c>
      <c r="AV738">
        <v>0</v>
      </c>
      <c r="AW738">
        <v>0</v>
      </c>
      <c r="AX738" s="141">
        <f t="shared" si="868"/>
        <v>1</v>
      </c>
      <c r="AY738" s="141">
        <f t="shared" si="869"/>
        <v>1</v>
      </c>
      <c r="AZ738">
        <f t="shared" si="870"/>
        <v>0</v>
      </c>
      <c r="BA738">
        <f t="shared" si="871"/>
        <v>0</v>
      </c>
      <c r="BB738">
        <f t="shared" si="872"/>
        <v>1</v>
      </c>
      <c r="BC738">
        <f t="shared" si="873"/>
        <v>0</v>
      </c>
      <c r="BD738">
        <f t="shared" si="874"/>
        <v>0</v>
      </c>
      <c r="BE738" t="str" cm="1">
        <f t="array" ref="BE738">IF(AY738=1,INDEX($V$7:$AL$7,MATCH(TRUE,INDEX($V738:$AW738&lt;&gt;0,),0)),IF(AY738=0,INDEX($AM$7:$AW$7,MATCH(1,$AM738:$AW738,0)),IF(BF738="Multiple strategies","mixed drivers",IF(BF738="Supply chain","multiple supply","multiple silviculture"))))</f>
        <v>technologies/design switch</v>
      </c>
      <c r="BF738" s="2" t="str" cm="1">
        <f t="array" ref="BF738">IF(COUNTIF(AZ738:BB738,"&lt;&gt;0")=1,INDEX($V$4:$AW$4,MATCH(TRUE,INDEX($V738:$AW738&lt;&gt;0,),0)),IF(COUNTIF(AZ738:BB738,"&lt;&gt;0")=0,INDEX($AM$4:$AW$4,MATCH(1,$AM738:$AW738,0)),"Multiple strategies"))</f>
        <v>Technology</v>
      </c>
      <c r="BG738" s="142" t="s">
        <v>229</v>
      </c>
      <c r="BH738" t="s">
        <v>393</v>
      </c>
      <c r="BI738" s="264" t="s">
        <v>762</v>
      </c>
      <c r="BJ738" s="143" t="s">
        <v>763</v>
      </c>
      <c r="BK738">
        <v>32</v>
      </c>
      <c r="BL738" s="143">
        <v>145</v>
      </c>
      <c r="BM738" s="143"/>
      <c r="BN738">
        <f t="shared" si="876"/>
        <v>113</v>
      </c>
      <c r="BO738" s="143">
        <f t="shared" si="877"/>
        <v>230.61224489795919</v>
      </c>
      <c r="BP738" s="264" t="s">
        <v>232</v>
      </c>
      <c r="BQ738" s="155" t="s">
        <v>764</v>
      </c>
      <c r="BR738" t="s">
        <v>442</v>
      </c>
      <c r="BS738" s="143">
        <f>-119.4+14.5</f>
        <v>-104.9</v>
      </c>
      <c r="BT738" s="151">
        <f>-136.7+82.5</f>
        <v>-54.199999999999989</v>
      </c>
      <c r="BV738">
        <f t="shared" si="900"/>
        <v>50.700000000000017</v>
      </c>
      <c r="BX738">
        <f t="shared" si="878"/>
        <v>186.06900000000005</v>
      </c>
      <c r="BY738">
        <f t="shared" si="820"/>
        <v>0.80684787610619491</v>
      </c>
      <c r="BZ738" s="143">
        <v>0</v>
      </c>
      <c r="CA738" s="143">
        <v>0</v>
      </c>
      <c r="CB738" s="143">
        <v>0</v>
      </c>
      <c r="CC738" s="143">
        <v>0</v>
      </c>
      <c r="CD738" s="143">
        <v>0</v>
      </c>
      <c r="CE738" s="143">
        <v>0</v>
      </c>
      <c r="CF738" s="143">
        <v>0</v>
      </c>
      <c r="CG738" s="143">
        <v>0</v>
      </c>
      <c r="CH738" s="143">
        <v>0</v>
      </c>
      <c r="CI738" s="143">
        <v>0</v>
      </c>
      <c r="CJ738" s="143">
        <v>0</v>
      </c>
      <c r="CK738" s="143">
        <v>0</v>
      </c>
      <c r="CL738" s="143">
        <v>0</v>
      </c>
      <c r="CM738">
        <v>0</v>
      </c>
      <c r="CN738" t="str">
        <f t="shared" si="879"/>
        <v>refOK</v>
      </c>
      <c r="CO738">
        <f t="shared" si="880"/>
        <v>32</v>
      </c>
      <c r="CP738">
        <f t="shared" si="881"/>
        <v>145</v>
      </c>
      <c r="CQ738">
        <f t="shared" si="882"/>
        <v>230.61224489795919</v>
      </c>
      <c r="CR738">
        <f t="shared" si="883"/>
        <v>-104.9</v>
      </c>
      <c r="CS738">
        <f t="shared" si="884"/>
        <v>-54.199999999999989</v>
      </c>
      <c r="CT738">
        <f t="shared" si="885"/>
        <v>186.06900000000005</v>
      </c>
      <c r="CU738">
        <f t="shared" si="886"/>
        <v>0.80684787610619491</v>
      </c>
      <c r="CV738" s="2">
        <f t="shared" si="887"/>
        <v>0.48331744518589148</v>
      </c>
      <c r="CW738" s="1" t="s">
        <v>263</v>
      </c>
      <c r="CX738" s="264" t="str">
        <f t="shared" si="888"/>
        <v>loc</v>
      </c>
      <c r="CY738" t="s">
        <v>235</v>
      </c>
      <c r="DA738" s="143"/>
      <c r="DB738" s="143">
        <v>0</v>
      </c>
      <c r="DC738" t="str">
        <f t="shared" si="889"/>
        <v>0</v>
      </c>
      <c r="DD738">
        <v>0</v>
      </c>
      <c r="DE738">
        <v>0</v>
      </c>
      <c r="DF738">
        <v>0</v>
      </c>
      <c r="DG738">
        <v>1</v>
      </c>
      <c r="DI738">
        <f t="shared" si="890"/>
        <v>1</v>
      </c>
      <c r="DJ738" t="str">
        <f t="shared" si="891"/>
        <v>TimberInput</v>
      </c>
      <c r="DK738">
        <f t="shared" si="892"/>
        <v>0</v>
      </c>
      <c r="DL738">
        <f t="shared" si="893"/>
        <v>0</v>
      </c>
      <c r="DM738">
        <f t="shared" si="894"/>
        <v>0</v>
      </c>
      <c r="DN738" t="str">
        <f t="shared" si="895"/>
        <v>Timber</v>
      </c>
      <c r="DO738">
        <v>1</v>
      </c>
      <c r="DP738" s="143">
        <v>0</v>
      </c>
      <c r="DQ738" s="143">
        <v>0</v>
      </c>
      <c r="DR738">
        <v>0</v>
      </c>
      <c r="DS738" s="143">
        <v>0</v>
      </c>
      <c r="DT738">
        <f t="shared" si="896"/>
        <v>1</v>
      </c>
      <c r="DU738" s="143" t="str">
        <f t="shared" si="897"/>
        <v>self-calculated DF</v>
      </c>
      <c r="DV738" s="143">
        <v>0</v>
      </c>
      <c r="DW738" s="143">
        <v>0</v>
      </c>
      <c r="DX738" s="143">
        <v>1</v>
      </c>
      <c r="DY738" s="143">
        <v>1</v>
      </c>
      <c r="DZ738">
        <v>0</v>
      </c>
      <c r="EA738" s="143">
        <v>1</v>
      </c>
      <c r="EB738" s="143">
        <v>1</v>
      </c>
      <c r="EC738" s="143">
        <v>1</v>
      </c>
      <c r="ED738" s="143">
        <v>0</v>
      </c>
      <c r="EE738">
        <v>0</v>
      </c>
      <c r="EF738">
        <v>1</v>
      </c>
      <c r="EG738" s="143">
        <v>0</v>
      </c>
      <c r="EH738" s="143">
        <v>0</v>
      </c>
      <c r="EI738" s="2">
        <v>0</v>
      </c>
      <c r="EK738" t="str">
        <f t="shared" si="898"/>
        <v/>
      </c>
      <c r="EL738" t="str">
        <f t="shared" si="899"/>
        <v/>
      </c>
      <c r="EM738" s="2" t="str">
        <f t="shared" si="821"/>
        <v/>
      </c>
      <c r="EP738" t="str">
        <f>IF(ISNUMBER(BU738),IF(ABS(BU738-[4]QC_indicators!$B$2)&gt;3*[4]QC_indicators!$C$2,"C ratio",IF(ISNUMBER(BY738),IF(ABS(BY738-[4]QC_indicators!$B$1)&gt;3*[4]QC_indicators!$C$1,"DF","no"))),IF(ISNUMBER(BY738),IF(ABS(BY738-[4]QC_indicators!$B$1)&gt;3*[4]QC_indicators!$C$1,"DF","no")))</f>
        <v>no</v>
      </c>
      <c r="ER738" s="294" t="s">
        <v>349</v>
      </c>
      <c r="ET738" s="264" t="s">
        <v>3406</v>
      </c>
    </row>
    <row r="739" spans="4:150" ht="15" hidden="1" customHeight="1">
      <c r="D739" t="s">
        <v>757</v>
      </c>
      <c r="E739" t="s">
        <v>758</v>
      </c>
      <c r="G739" t="s">
        <v>759</v>
      </c>
      <c r="I739">
        <v>2006</v>
      </c>
      <c r="K739" s="296" t="s">
        <v>760</v>
      </c>
      <c r="M739" t="str">
        <f t="shared" si="839"/>
        <v>Gustavsson_2006</v>
      </c>
      <c r="N739" t="s">
        <v>222</v>
      </c>
      <c r="O739" t="s">
        <v>223</v>
      </c>
      <c r="Q739" s="264" t="s">
        <v>256</v>
      </c>
      <c r="R739" s="269" t="s">
        <v>1153</v>
      </c>
      <c r="S739" s="263" t="s">
        <v>768</v>
      </c>
      <c r="T739" t="s">
        <v>753</v>
      </c>
      <c r="U739" s="143" t="s">
        <v>754</v>
      </c>
      <c r="V739">
        <v>0</v>
      </c>
      <c r="W739">
        <v>0</v>
      </c>
      <c r="X739">
        <v>0</v>
      </c>
      <c r="Y739">
        <v>0</v>
      </c>
      <c r="Z739">
        <v>0</v>
      </c>
      <c r="AA739">
        <v>0</v>
      </c>
      <c r="AB739">
        <v>0</v>
      </c>
      <c r="AC739">
        <v>0</v>
      </c>
      <c r="AD739">
        <v>0</v>
      </c>
      <c r="AE739">
        <v>0</v>
      </c>
      <c r="AF739">
        <v>0</v>
      </c>
      <c r="AG739">
        <v>0</v>
      </c>
      <c r="AH739">
        <v>0</v>
      </c>
      <c r="AI739">
        <v>0</v>
      </c>
      <c r="AJ739">
        <v>0</v>
      </c>
      <c r="AK739">
        <v>1</v>
      </c>
      <c r="AL739">
        <v>0</v>
      </c>
      <c r="AM739">
        <v>0</v>
      </c>
      <c r="AN739">
        <v>0</v>
      </c>
      <c r="AO739">
        <v>0</v>
      </c>
      <c r="AP739">
        <v>0</v>
      </c>
      <c r="AQ739">
        <v>0</v>
      </c>
      <c r="AR739">
        <v>0</v>
      </c>
      <c r="AS739">
        <v>0</v>
      </c>
      <c r="AT739">
        <v>0</v>
      </c>
      <c r="AU739">
        <v>0</v>
      </c>
      <c r="AV739">
        <v>0</v>
      </c>
      <c r="AW739">
        <v>0</v>
      </c>
      <c r="AX739" s="141">
        <f t="shared" si="868"/>
        <v>1</v>
      </c>
      <c r="AY739" s="141">
        <f t="shared" si="869"/>
        <v>1</v>
      </c>
      <c r="AZ739">
        <f t="shared" si="870"/>
        <v>0</v>
      </c>
      <c r="BA739">
        <f t="shared" si="871"/>
        <v>0</v>
      </c>
      <c r="BB739">
        <f t="shared" si="872"/>
        <v>1</v>
      </c>
      <c r="BC739">
        <f t="shared" si="873"/>
        <v>0</v>
      </c>
      <c r="BD739">
        <f t="shared" si="874"/>
        <v>0</v>
      </c>
      <c r="BE739" t="str" cm="1">
        <f t="array" ref="BE739">IF(AY739=1,INDEX($V$7:$AL$7,MATCH(TRUE,INDEX($V739:$AW739&lt;&gt;0,),0)),IF(AY739=0,INDEX($AM$7:$AW$7,MATCH(1,$AM739:$AW739,0)),IF(BF739="Multiple strategies","mixed drivers",IF(BF739="Supply chain","multiple supply","multiple silviculture"))))</f>
        <v>technologies/design switch</v>
      </c>
      <c r="BF739" s="2" t="str" cm="1">
        <f t="array" ref="BF739">IF(COUNTIF(AZ739:BB739,"&lt;&gt;0")=1,INDEX($V$4:$AW$4,MATCH(TRUE,INDEX($V739:$AW739&lt;&gt;0,),0)),IF(COUNTIF(AZ739:BB739,"&lt;&gt;0")=0,INDEX($AM$4:$AW$4,MATCH(1,$AM739:$AW739,0)),"Multiple strategies"))</f>
        <v>Technology</v>
      </c>
      <c r="BG739" s="142" t="s">
        <v>229</v>
      </c>
      <c r="BH739" t="s">
        <v>393</v>
      </c>
      <c r="BI739" s="264" t="s">
        <v>762</v>
      </c>
      <c r="BJ739" s="143" t="s">
        <v>763</v>
      </c>
      <c r="BK739">
        <v>195</v>
      </c>
      <c r="BL739" s="143">
        <v>291</v>
      </c>
      <c r="BM739" s="143"/>
      <c r="BN739">
        <f t="shared" si="876"/>
        <v>96</v>
      </c>
      <c r="BO739" s="143">
        <f t="shared" si="877"/>
        <v>195.91836734693879</v>
      </c>
      <c r="BP739" s="264" t="s">
        <v>232</v>
      </c>
      <c r="BQ739" s="155" t="s">
        <v>764</v>
      </c>
      <c r="BR739" t="s">
        <v>442</v>
      </c>
      <c r="BS739" s="143">
        <v>-25.8</v>
      </c>
      <c r="BT739" s="151">
        <v>41.4</v>
      </c>
      <c r="BV739">
        <f t="shared" si="900"/>
        <v>67.2</v>
      </c>
      <c r="BX739">
        <f t="shared" si="878"/>
        <v>246.624</v>
      </c>
      <c r="BY739">
        <f t="shared" si="820"/>
        <v>1.2588099999999998</v>
      </c>
      <c r="BZ739" s="143">
        <v>0</v>
      </c>
      <c r="CA739" s="143">
        <v>0</v>
      </c>
      <c r="CB739" s="143">
        <v>0</v>
      </c>
      <c r="CC739" s="143">
        <v>0</v>
      </c>
      <c r="CD739" s="143">
        <v>0</v>
      </c>
      <c r="CE739" s="143">
        <v>0</v>
      </c>
      <c r="CF739" s="143">
        <v>0</v>
      </c>
      <c r="CG739" s="143">
        <v>0</v>
      </c>
      <c r="CH739" s="143">
        <v>0</v>
      </c>
      <c r="CI739" s="143">
        <v>0</v>
      </c>
      <c r="CJ739" s="143">
        <v>0</v>
      </c>
      <c r="CK739" s="143">
        <v>0</v>
      </c>
      <c r="CL739" s="143">
        <v>0</v>
      </c>
      <c r="CM739">
        <v>0</v>
      </c>
      <c r="CN739" t="str">
        <f t="shared" si="879"/>
        <v>refOK</v>
      </c>
      <c r="CO739">
        <f t="shared" si="880"/>
        <v>195</v>
      </c>
      <c r="CP739">
        <f t="shared" si="881"/>
        <v>291</v>
      </c>
      <c r="CQ739">
        <f t="shared" si="882"/>
        <v>195.91836734693879</v>
      </c>
      <c r="CR739">
        <f t="shared" si="883"/>
        <v>-25.8</v>
      </c>
      <c r="CS739">
        <f t="shared" si="884"/>
        <v>41.4</v>
      </c>
      <c r="CT739">
        <f t="shared" si="885"/>
        <v>246.624</v>
      </c>
      <c r="CU739">
        <f t="shared" si="886"/>
        <v>1.2588099999999998</v>
      </c>
      <c r="CV739" s="2">
        <f t="shared" si="887"/>
        <v>2.6046511627906979</v>
      </c>
      <c r="CW739" s="1" t="s">
        <v>263</v>
      </c>
      <c r="CX739" s="264" t="str">
        <f t="shared" si="888"/>
        <v>loc</v>
      </c>
      <c r="CY739" t="s">
        <v>444</v>
      </c>
      <c r="DA739" s="143"/>
      <c r="DB739" s="143">
        <v>100</v>
      </c>
      <c r="DC739" t="str">
        <f t="shared" si="889"/>
        <v>71-100</v>
      </c>
      <c r="DD739">
        <v>0</v>
      </c>
      <c r="DE739">
        <v>0</v>
      </c>
      <c r="DF739">
        <v>0</v>
      </c>
      <c r="DG739">
        <v>1</v>
      </c>
      <c r="DI739">
        <f t="shared" si="890"/>
        <v>1</v>
      </c>
      <c r="DJ739" t="str">
        <f t="shared" si="891"/>
        <v>TimberInput</v>
      </c>
      <c r="DK739">
        <f t="shared" si="892"/>
        <v>0</v>
      </c>
      <c r="DL739">
        <f t="shared" si="893"/>
        <v>0</v>
      </c>
      <c r="DM739">
        <f t="shared" si="894"/>
        <v>0</v>
      </c>
      <c r="DN739" t="str">
        <f t="shared" si="895"/>
        <v>Timber</v>
      </c>
      <c r="DO739">
        <v>1</v>
      </c>
      <c r="DP739" s="143">
        <v>0</v>
      </c>
      <c r="DQ739" s="143">
        <v>0</v>
      </c>
      <c r="DR739">
        <v>0</v>
      </c>
      <c r="DS739" s="143">
        <v>0</v>
      </c>
      <c r="DT739">
        <f t="shared" si="896"/>
        <v>1</v>
      </c>
      <c r="DU739" s="143" t="str">
        <f t="shared" si="897"/>
        <v>self-calculated DF</v>
      </c>
      <c r="DV739" s="143">
        <v>0</v>
      </c>
      <c r="DW739" s="143">
        <v>0</v>
      </c>
      <c r="DX739" s="143">
        <v>1</v>
      </c>
      <c r="DY739" s="143">
        <v>1</v>
      </c>
      <c r="DZ739">
        <v>0</v>
      </c>
      <c r="EA739" s="143">
        <v>1</v>
      </c>
      <c r="EB739" s="143">
        <v>1</v>
      </c>
      <c r="EC739" s="143">
        <v>1</v>
      </c>
      <c r="ED739" s="143">
        <v>0</v>
      </c>
      <c r="EE739">
        <v>0</v>
      </c>
      <c r="EF739">
        <v>1</v>
      </c>
      <c r="EG739" s="143">
        <v>0</v>
      </c>
      <c r="EH739" s="143">
        <v>0</v>
      </c>
      <c r="EI739" s="2">
        <v>0</v>
      </c>
      <c r="EK739" t="str">
        <f t="shared" si="898"/>
        <v/>
      </c>
      <c r="EL739" t="str">
        <f t="shared" si="899"/>
        <v/>
      </c>
      <c r="EM739" s="2" t="str">
        <f t="shared" si="821"/>
        <v/>
      </c>
      <c r="EN739" t="s">
        <v>769</v>
      </c>
      <c r="EP739" t="str">
        <f>IF(ISNUMBER(BU739),IF(ABS(BU739-[4]QC_indicators!$B$2)&gt;3*[4]QC_indicators!$C$2,"C ratio",IF(ISNUMBER(BY739),IF(ABS(BY739-[4]QC_indicators!$B$1)&gt;3*[4]QC_indicators!$C$1,"DF","no"))),IF(ISNUMBER(BY739),IF(ABS(BY739-[4]QC_indicators!$B$1)&gt;3*[4]QC_indicators!$C$1,"DF","no")))</f>
        <v>no</v>
      </c>
      <c r="EQ739" t="s">
        <v>286</v>
      </c>
      <c r="ER739" s="294" t="s">
        <v>349</v>
      </c>
      <c r="ET739" s="264" t="s">
        <v>3406</v>
      </c>
    </row>
    <row r="740" spans="4:150" ht="15" hidden="1" customHeight="1">
      <c r="D740" t="s">
        <v>757</v>
      </c>
      <c r="E740" t="s">
        <v>758</v>
      </c>
      <c r="G740" t="s">
        <v>759</v>
      </c>
      <c r="I740">
        <v>2006</v>
      </c>
      <c r="K740" s="296" t="s">
        <v>760</v>
      </c>
      <c r="M740" t="str">
        <f t="shared" si="839"/>
        <v>Gustavsson_2006</v>
      </c>
      <c r="N740" t="s">
        <v>222</v>
      </c>
      <c r="O740" t="s">
        <v>223</v>
      </c>
      <c r="Q740" s="264" t="s">
        <v>256</v>
      </c>
      <c r="R740" s="269" t="s">
        <v>1153</v>
      </c>
      <c r="S740" s="263" t="s">
        <v>772</v>
      </c>
      <c r="T740" t="s">
        <v>753</v>
      </c>
      <c r="U740" s="143" t="s">
        <v>754</v>
      </c>
      <c r="V740">
        <v>0</v>
      </c>
      <c r="W740">
        <v>0</v>
      </c>
      <c r="X740">
        <v>0</v>
      </c>
      <c r="Y740">
        <v>0</v>
      </c>
      <c r="Z740">
        <v>0</v>
      </c>
      <c r="AA740">
        <v>0</v>
      </c>
      <c r="AB740">
        <v>0</v>
      </c>
      <c r="AC740">
        <v>0</v>
      </c>
      <c r="AD740">
        <v>0</v>
      </c>
      <c r="AE740">
        <v>0</v>
      </c>
      <c r="AF740">
        <v>0</v>
      </c>
      <c r="AG740">
        <v>0</v>
      </c>
      <c r="AH740">
        <v>0</v>
      </c>
      <c r="AI740">
        <v>0</v>
      </c>
      <c r="AJ740">
        <v>0</v>
      </c>
      <c r="AK740">
        <v>1</v>
      </c>
      <c r="AL740">
        <v>0</v>
      </c>
      <c r="AM740">
        <v>0</v>
      </c>
      <c r="AN740">
        <v>0</v>
      </c>
      <c r="AO740">
        <v>0</v>
      </c>
      <c r="AP740">
        <v>0</v>
      </c>
      <c r="AQ740">
        <v>0</v>
      </c>
      <c r="AR740">
        <v>0</v>
      </c>
      <c r="AS740">
        <v>0</v>
      </c>
      <c r="AT740">
        <v>0</v>
      </c>
      <c r="AU740">
        <v>0</v>
      </c>
      <c r="AV740">
        <v>0</v>
      </c>
      <c r="AW740">
        <v>0</v>
      </c>
      <c r="AX740" s="141">
        <f t="shared" si="868"/>
        <v>1</v>
      </c>
      <c r="AY740" s="141">
        <f t="shared" si="869"/>
        <v>1</v>
      </c>
      <c r="AZ740">
        <f t="shared" si="870"/>
        <v>0</v>
      </c>
      <c r="BA740">
        <f t="shared" si="871"/>
        <v>0</v>
      </c>
      <c r="BB740">
        <f t="shared" si="872"/>
        <v>1</v>
      </c>
      <c r="BC740">
        <f t="shared" si="873"/>
        <v>0</v>
      </c>
      <c r="BD740">
        <f t="shared" si="874"/>
        <v>0</v>
      </c>
      <c r="BE740" t="str" cm="1">
        <f t="array" ref="BE740">IF(AY740=1,INDEX($V$7:$AL$7,MATCH(TRUE,INDEX($V740:$AW740&lt;&gt;0,),0)),IF(AY740=0,INDEX($AM$7:$AW$7,MATCH(1,$AM740:$AW740,0)),IF(BF740="Multiple strategies","mixed drivers",IF(BF740="Supply chain","multiple supply","multiple silviculture"))))</f>
        <v>technologies/design switch</v>
      </c>
      <c r="BF740" s="2" t="str" cm="1">
        <f t="array" ref="BF740">IF(COUNTIF(AZ740:BB740,"&lt;&gt;0")=1,INDEX($V$4:$AW$4,MATCH(TRUE,INDEX($V740:$AW740&lt;&gt;0,),0)),IF(COUNTIF(AZ740:BB740,"&lt;&gt;0")=0,INDEX($AM$4:$AW$4,MATCH(1,$AM740:$AW740,0)),"Multiple strategies"))</f>
        <v>Technology</v>
      </c>
      <c r="BG740" s="142" t="s">
        <v>229</v>
      </c>
      <c r="BH740" t="s">
        <v>393</v>
      </c>
      <c r="BI740" s="264" t="s">
        <v>762</v>
      </c>
      <c r="BJ740" s="143" t="s">
        <v>763</v>
      </c>
      <c r="BK740">
        <v>70</v>
      </c>
      <c r="BL740" s="143">
        <v>98</v>
      </c>
      <c r="BM740" s="143"/>
      <c r="BN740">
        <f t="shared" si="876"/>
        <v>28</v>
      </c>
      <c r="BO740" s="143">
        <f t="shared" si="877"/>
        <v>57.142857142857146</v>
      </c>
      <c r="BP740" s="264" t="s">
        <v>232</v>
      </c>
      <c r="BQ740" s="155" t="s">
        <v>764</v>
      </c>
      <c r="BR740" t="s">
        <v>442</v>
      </c>
      <c r="BS740" s="143">
        <f>-138.7+67.9</f>
        <v>-70.799999999999983</v>
      </c>
      <c r="BT740" s="151">
        <f>-103+56.7</f>
        <v>-46.3</v>
      </c>
      <c r="BV740">
        <f t="shared" si="900"/>
        <v>24.499999999999986</v>
      </c>
      <c r="BX740">
        <f t="shared" si="878"/>
        <v>89.914999999999949</v>
      </c>
      <c r="BY740">
        <f t="shared" si="820"/>
        <v>1.573512499999999</v>
      </c>
      <c r="BZ740" s="143">
        <v>0</v>
      </c>
      <c r="CA740" s="143">
        <v>0</v>
      </c>
      <c r="CB740" s="143">
        <v>0</v>
      </c>
      <c r="CC740" s="143">
        <v>0</v>
      </c>
      <c r="CD740" s="143">
        <v>0</v>
      </c>
      <c r="CE740" s="143">
        <v>0</v>
      </c>
      <c r="CF740" s="143">
        <v>0</v>
      </c>
      <c r="CG740" s="143">
        <v>0</v>
      </c>
      <c r="CH740" s="143">
        <v>0</v>
      </c>
      <c r="CI740" s="143">
        <v>0</v>
      </c>
      <c r="CJ740" s="143">
        <v>0</v>
      </c>
      <c r="CK740" s="143">
        <v>0</v>
      </c>
      <c r="CL740" s="143">
        <v>0</v>
      </c>
      <c r="CM740">
        <v>0</v>
      </c>
      <c r="CN740" t="str">
        <f t="shared" si="879"/>
        <v>refOK</v>
      </c>
      <c r="CO740">
        <f t="shared" si="880"/>
        <v>70</v>
      </c>
      <c r="CP740">
        <f t="shared" si="881"/>
        <v>98</v>
      </c>
      <c r="CQ740">
        <f t="shared" si="882"/>
        <v>57.142857142857146</v>
      </c>
      <c r="CR740">
        <f t="shared" si="883"/>
        <v>-70.799999999999983</v>
      </c>
      <c r="CS740">
        <f t="shared" si="884"/>
        <v>-46.3</v>
      </c>
      <c r="CT740">
        <f t="shared" si="885"/>
        <v>89.914999999999949</v>
      </c>
      <c r="CU740">
        <f t="shared" si="886"/>
        <v>1.573512499999999</v>
      </c>
      <c r="CV740" s="2">
        <f t="shared" si="887"/>
        <v>0.34604519774011289</v>
      </c>
      <c r="CW740" s="1" t="s">
        <v>263</v>
      </c>
      <c r="CX740" s="264" t="str">
        <f t="shared" si="888"/>
        <v>loc</v>
      </c>
      <c r="CY740" t="s">
        <v>444</v>
      </c>
      <c r="DA740" s="143"/>
      <c r="DB740" s="143">
        <v>0</v>
      </c>
      <c r="DC740" t="str">
        <f t="shared" si="889"/>
        <v>0</v>
      </c>
      <c r="DD740">
        <v>0</v>
      </c>
      <c r="DE740">
        <v>0</v>
      </c>
      <c r="DF740">
        <v>0</v>
      </c>
      <c r="DG740">
        <v>1</v>
      </c>
      <c r="DI740">
        <f t="shared" si="890"/>
        <v>1</v>
      </c>
      <c r="DJ740" t="str">
        <f t="shared" si="891"/>
        <v>TimberInput</v>
      </c>
      <c r="DK740">
        <f t="shared" si="892"/>
        <v>0</v>
      </c>
      <c r="DL740">
        <f t="shared" si="893"/>
        <v>0</v>
      </c>
      <c r="DM740">
        <f t="shared" si="894"/>
        <v>0</v>
      </c>
      <c r="DN740" t="str">
        <f t="shared" si="895"/>
        <v>Timber</v>
      </c>
      <c r="DO740">
        <v>1</v>
      </c>
      <c r="DP740" s="143">
        <v>0</v>
      </c>
      <c r="DQ740" s="143">
        <v>0</v>
      </c>
      <c r="DR740">
        <v>0</v>
      </c>
      <c r="DS740" s="143">
        <v>0</v>
      </c>
      <c r="DT740">
        <f t="shared" si="896"/>
        <v>1</v>
      </c>
      <c r="DU740" s="143" t="str">
        <f t="shared" si="897"/>
        <v>self-calculated DF</v>
      </c>
      <c r="DV740" s="143">
        <v>0</v>
      </c>
      <c r="DW740" s="143">
        <v>0</v>
      </c>
      <c r="DX740" s="143">
        <v>0</v>
      </c>
      <c r="DY740" s="143">
        <v>1</v>
      </c>
      <c r="DZ740">
        <v>0</v>
      </c>
      <c r="EA740" s="143">
        <v>1</v>
      </c>
      <c r="EB740" s="143">
        <v>1</v>
      </c>
      <c r="EC740" s="143">
        <v>1</v>
      </c>
      <c r="ED740" s="143">
        <v>0</v>
      </c>
      <c r="EE740">
        <v>0</v>
      </c>
      <c r="EF740">
        <v>0</v>
      </c>
      <c r="EG740" s="143">
        <v>0</v>
      </c>
      <c r="EH740" s="143">
        <v>0</v>
      </c>
      <c r="EI740" s="2">
        <v>0</v>
      </c>
      <c r="EK740" t="str">
        <f t="shared" si="898"/>
        <v/>
      </c>
      <c r="EL740" t="str">
        <f t="shared" si="899"/>
        <v/>
      </c>
      <c r="EM740" s="2" t="str">
        <f t="shared" si="821"/>
        <v>Technology approach</v>
      </c>
      <c r="EP740" t="str">
        <f>IF(ISNUMBER(BU740),IF(ABS(BU740-[4]QC_indicators!$B$2)&gt;3*[4]QC_indicators!$C$2,"C ratio",IF(ISNUMBER(BY740),IF(ABS(BY740-[4]QC_indicators!$B$1)&gt;3*[4]QC_indicators!$C$1,"DF","no"))),IF(ISNUMBER(BY740),IF(ABS(BY740-[4]QC_indicators!$B$1)&gt;3*[4]QC_indicators!$C$1,"DF","no")))</f>
        <v>no</v>
      </c>
      <c r="ER740" s="294" t="s">
        <v>349</v>
      </c>
      <c r="ET740" s="264" t="s">
        <v>3406</v>
      </c>
    </row>
    <row r="741" spans="4:150" ht="15" hidden="1" customHeight="1">
      <c r="D741" t="s">
        <v>757</v>
      </c>
      <c r="E741" t="s">
        <v>758</v>
      </c>
      <c r="G741" t="s">
        <v>759</v>
      </c>
      <c r="I741">
        <v>2006</v>
      </c>
      <c r="K741" s="296" t="s">
        <v>760</v>
      </c>
      <c r="M741" t="str">
        <f t="shared" si="839"/>
        <v>Gustavsson_2006</v>
      </c>
      <c r="N741" t="s">
        <v>222</v>
      </c>
      <c r="O741" t="s">
        <v>223</v>
      </c>
      <c r="Q741" s="264" t="s">
        <v>256</v>
      </c>
      <c r="R741" s="269" t="s">
        <v>1153</v>
      </c>
      <c r="S741" s="263" t="s">
        <v>772</v>
      </c>
      <c r="T741" t="s">
        <v>753</v>
      </c>
      <c r="U741" s="143" t="s">
        <v>754</v>
      </c>
      <c r="V741">
        <v>0</v>
      </c>
      <c r="W741">
        <v>0</v>
      </c>
      <c r="X741">
        <v>0</v>
      </c>
      <c r="Y741">
        <v>0</v>
      </c>
      <c r="Z741">
        <v>0</v>
      </c>
      <c r="AA741">
        <v>0</v>
      </c>
      <c r="AB741">
        <v>0</v>
      </c>
      <c r="AC741">
        <v>0</v>
      </c>
      <c r="AD741">
        <v>0</v>
      </c>
      <c r="AE741">
        <v>0</v>
      </c>
      <c r="AF741">
        <v>0</v>
      </c>
      <c r="AG741">
        <v>0</v>
      </c>
      <c r="AH741">
        <v>0</v>
      </c>
      <c r="AI741">
        <v>0</v>
      </c>
      <c r="AJ741">
        <v>0</v>
      </c>
      <c r="AK741">
        <v>1</v>
      </c>
      <c r="AL741">
        <v>0</v>
      </c>
      <c r="AM741">
        <v>0</v>
      </c>
      <c r="AN741">
        <v>0</v>
      </c>
      <c r="AO741">
        <v>0</v>
      </c>
      <c r="AP741">
        <v>0</v>
      </c>
      <c r="AQ741">
        <v>0</v>
      </c>
      <c r="AR741">
        <v>0</v>
      </c>
      <c r="AS741">
        <v>0</v>
      </c>
      <c r="AT741">
        <v>0</v>
      </c>
      <c r="AU741">
        <v>0</v>
      </c>
      <c r="AV741">
        <v>0</v>
      </c>
      <c r="AW741">
        <v>0</v>
      </c>
      <c r="AX741" s="141">
        <f t="shared" si="868"/>
        <v>1</v>
      </c>
      <c r="AY741" s="141">
        <f t="shared" si="869"/>
        <v>1</v>
      </c>
      <c r="AZ741">
        <f t="shared" si="870"/>
        <v>0</v>
      </c>
      <c r="BA741">
        <f t="shared" si="871"/>
        <v>0</v>
      </c>
      <c r="BB741">
        <f t="shared" si="872"/>
        <v>1</v>
      </c>
      <c r="BC741">
        <f t="shared" si="873"/>
        <v>0</v>
      </c>
      <c r="BD741">
        <f t="shared" si="874"/>
        <v>0</v>
      </c>
      <c r="BE741" t="str" cm="1">
        <f t="array" ref="BE741">IF(AY741=1,INDEX($V$7:$AL$7,MATCH(TRUE,INDEX($V741:$AW741&lt;&gt;0,),0)),IF(AY741=0,INDEX($AM$7:$AW$7,MATCH(1,$AM741:$AW741,0)),IF(BF741="Multiple strategies","mixed drivers",IF(BF741="Supply chain","multiple supply","multiple silviculture"))))</f>
        <v>technologies/design switch</v>
      </c>
      <c r="BF741" s="2" t="str" cm="1">
        <f t="array" ref="BF741">IF(COUNTIF(AZ741:BB741,"&lt;&gt;0")=1,INDEX($V$4:$AW$4,MATCH(TRUE,INDEX($V741:$AW741&lt;&gt;0,),0)),IF(COUNTIF(AZ741:BB741,"&lt;&gt;0")=0,INDEX($AM$4:$AW$4,MATCH(1,$AM741:$AW741,0)),"Multiple strategies"))</f>
        <v>Technology</v>
      </c>
      <c r="BG741" s="142" t="s">
        <v>229</v>
      </c>
      <c r="BH741" t="s">
        <v>393</v>
      </c>
      <c r="BI741" s="264" t="s">
        <v>762</v>
      </c>
      <c r="BJ741" s="143" t="s">
        <v>763</v>
      </c>
      <c r="BK741">
        <v>266</v>
      </c>
      <c r="BL741" s="143">
        <v>291</v>
      </c>
      <c r="BM741" s="143"/>
      <c r="BN741">
        <f t="shared" si="876"/>
        <v>25</v>
      </c>
      <c r="BO741" s="143">
        <f t="shared" si="877"/>
        <v>51.020408163265309</v>
      </c>
      <c r="BP741" s="264" t="s">
        <v>232</v>
      </c>
      <c r="BQ741" s="155" t="s">
        <v>764</v>
      </c>
      <c r="BR741" t="s">
        <v>442</v>
      </c>
      <c r="BS741" s="143">
        <v>7.2</v>
      </c>
      <c r="BT741" s="151">
        <v>41.4</v>
      </c>
      <c r="BV741">
        <f t="shared" si="900"/>
        <v>34.199999999999996</v>
      </c>
      <c r="BX741">
        <f t="shared" si="878"/>
        <v>125.51399999999998</v>
      </c>
      <c r="BY741">
        <f t="shared" si="820"/>
        <v>2.4600743999999994</v>
      </c>
      <c r="BZ741" s="143">
        <v>0</v>
      </c>
      <c r="CA741" s="143">
        <v>0</v>
      </c>
      <c r="CB741" s="143">
        <v>0</v>
      </c>
      <c r="CC741" s="143">
        <v>0</v>
      </c>
      <c r="CD741" s="143">
        <v>0</v>
      </c>
      <c r="CE741" s="143">
        <v>0</v>
      </c>
      <c r="CF741" s="143">
        <v>0</v>
      </c>
      <c r="CG741" s="143">
        <v>0</v>
      </c>
      <c r="CH741" s="143">
        <v>0</v>
      </c>
      <c r="CI741" s="143">
        <v>0</v>
      </c>
      <c r="CJ741" s="143">
        <v>0</v>
      </c>
      <c r="CK741" s="143">
        <v>0</v>
      </c>
      <c r="CL741" s="143">
        <v>0</v>
      </c>
      <c r="CM741">
        <v>0</v>
      </c>
      <c r="CN741" t="str">
        <f t="shared" si="879"/>
        <v>refOK</v>
      </c>
      <c r="CO741">
        <f t="shared" si="880"/>
        <v>266</v>
      </c>
      <c r="CP741">
        <f t="shared" si="881"/>
        <v>291</v>
      </c>
      <c r="CQ741">
        <f t="shared" si="882"/>
        <v>51.020408163265309</v>
      </c>
      <c r="CR741">
        <f t="shared" si="883"/>
        <v>7.2</v>
      </c>
      <c r="CS741">
        <f t="shared" si="884"/>
        <v>41.4</v>
      </c>
      <c r="CT741">
        <f t="shared" si="885"/>
        <v>125.51399999999998</v>
      </c>
      <c r="CU741">
        <f t="shared" si="886"/>
        <v>2.4600743999999994</v>
      </c>
      <c r="CV741" s="2">
        <f t="shared" si="887"/>
        <v>4.7499999999999991</v>
      </c>
      <c r="CW741" s="1" t="s">
        <v>263</v>
      </c>
      <c r="CX741" s="264" t="str">
        <f t="shared" si="888"/>
        <v>loc</v>
      </c>
      <c r="CY741" t="s">
        <v>444</v>
      </c>
      <c r="DA741" s="143"/>
      <c r="DB741" s="143">
        <v>100</v>
      </c>
      <c r="DC741" t="str">
        <f t="shared" si="889"/>
        <v>71-100</v>
      </c>
      <c r="DD741">
        <v>0</v>
      </c>
      <c r="DE741">
        <v>0</v>
      </c>
      <c r="DF741">
        <v>0</v>
      </c>
      <c r="DG741">
        <v>1</v>
      </c>
      <c r="DI741">
        <f t="shared" si="890"/>
        <v>1</v>
      </c>
      <c r="DJ741" t="str">
        <f t="shared" si="891"/>
        <v>TimberInput</v>
      </c>
      <c r="DK741">
        <f t="shared" si="892"/>
        <v>0</v>
      </c>
      <c r="DL741">
        <f t="shared" si="893"/>
        <v>0</v>
      </c>
      <c r="DM741">
        <f t="shared" si="894"/>
        <v>0</v>
      </c>
      <c r="DN741" t="str">
        <f t="shared" si="895"/>
        <v>Timber</v>
      </c>
      <c r="DO741">
        <v>1</v>
      </c>
      <c r="DP741" s="143">
        <v>0</v>
      </c>
      <c r="DQ741" s="143">
        <v>0</v>
      </c>
      <c r="DR741">
        <v>0</v>
      </c>
      <c r="DS741" s="143">
        <v>0</v>
      </c>
      <c r="DT741">
        <f t="shared" si="896"/>
        <v>1</v>
      </c>
      <c r="DU741" s="143" t="str">
        <f t="shared" si="897"/>
        <v>self-calculated DF</v>
      </c>
      <c r="DV741" s="143">
        <v>0</v>
      </c>
      <c r="DW741" s="143">
        <v>0</v>
      </c>
      <c r="DX741" s="143">
        <v>0</v>
      </c>
      <c r="DY741" s="143">
        <v>1</v>
      </c>
      <c r="DZ741">
        <v>0</v>
      </c>
      <c r="EA741" s="143">
        <v>1</v>
      </c>
      <c r="EB741" s="143">
        <v>1</v>
      </c>
      <c r="EC741" s="143">
        <v>1</v>
      </c>
      <c r="ED741" s="143">
        <v>0</v>
      </c>
      <c r="EE741">
        <v>0</v>
      </c>
      <c r="EF741">
        <v>0</v>
      </c>
      <c r="EG741" s="143">
        <v>0</v>
      </c>
      <c r="EH741" s="143">
        <v>0</v>
      </c>
      <c r="EI741" s="2">
        <v>0</v>
      </c>
      <c r="EK741" t="str">
        <f t="shared" si="898"/>
        <v/>
      </c>
      <c r="EL741" t="str">
        <f t="shared" si="899"/>
        <v/>
      </c>
      <c r="EM741" s="2" t="str">
        <f t="shared" si="821"/>
        <v>Technology approach</v>
      </c>
      <c r="EN741" t="s">
        <v>769</v>
      </c>
      <c r="EP741" t="str">
        <f>IF(ISNUMBER(BU741),IF(ABS(BU741-[4]QC_indicators!$B$2)&gt;3*[4]QC_indicators!$C$2,"C ratio",IF(ISNUMBER(BY741),IF(ABS(BY741-[4]QC_indicators!$B$1)&gt;3*[4]QC_indicators!$C$1,"DF","no"))),IF(ISNUMBER(BY741),IF(ABS(BY741-[4]QC_indicators!$B$1)&gt;3*[4]QC_indicators!$C$1,"DF","no")))</f>
        <v>no</v>
      </c>
      <c r="EQ741" t="s">
        <v>286</v>
      </c>
      <c r="ER741" s="294" t="s">
        <v>349</v>
      </c>
      <c r="ET741" s="264" t="s">
        <v>3406</v>
      </c>
    </row>
    <row r="742" spans="4:150" ht="15" hidden="1" customHeight="1">
      <c r="D742" t="s">
        <v>757</v>
      </c>
      <c r="E742" t="s">
        <v>758</v>
      </c>
      <c r="G742" t="s">
        <v>759</v>
      </c>
      <c r="I742">
        <v>2006</v>
      </c>
      <c r="K742" s="296" t="s">
        <v>760</v>
      </c>
      <c r="M742" t="str">
        <f t="shared" si="839"/>
        <v>Gustavsson_2006</v>
      </c>
      <c r="N742" t="s">
        <v>222</v>
      </c>
      <c r="O742" t="s">
        <v>223</v>
      </c>
      <c r="Q742" s="264" t="s">
        <v>256</v>
      </c>
      <c r="R742" s="269" t="s">
        <v>1153</v>
      </c>
      <c r="S742" s="263" t="s">
        <v>768</v>
      </c>
      <c r="T742" t="s">
        <v>753</v>
      </c>
      <c r="U742" s="143" t="s">
        <v>754</v>
      </c>
      <c r="V742">
        <v>0</v>
      </c>
      <c r="W742">
        <v>0</v>
      </c>
      <c r="X742">
        <v>0</v>
      </c>
      <c r="Y742">
        <v>0</v>
      </c>
      <c r="Z742">
        <v>0</v>
      </c>
      <c r="AA742">
        <v>0</v>
      </c>
      <c r="AB742">
        <v>0</v>
      </c>
      <c r="AC742">
        <v>0</v>
      </c>
      <c r="AD742">
        <v>0</v>
      </c>
      <c r="AE742">
        <v>0</v>
      </c>
      <c r="AF742">
        <v>0</v>
      </c>
      <c r="AG742">
        <v>0</v>
      </c>
      <c r="AH742">
        <v>0</v>
      </c>
      <c r="AI742">
        <v>0</v>
      </c>
      <c r="AJ742">
        <v>0</v>
      </c>
      <c r="AK742">
        <v>1</v>
      </c>
      <c r="AL742">
        <v>0</v>
      </c>
      <c r="AM742">
        <v>0</v>
      </c>
      <c r="AN742">
        <v>0</v>
      </c>
      <c r="AO742">
        <v>0</v>
      </c>
      <c r="AP742">
        <v>0</v>
      </c>
      <c r="AQ742">
        <v>0</v>
      </c>
      <c r="AR742">
        <v>0</v>
      </c>
      <c r="AS742">
        <v>0</v>
      </c>
      <c r="AT742">
        <v>0</v>
      </c>
      <c r="AU742">
        <v>0</v>
      </c>
      <c r="AV742">
        <v>0</v>
      </c>
      <c r="AW742">
        <v>0</v>
      </c>
      <c r="AX742" s="141">
        <f t="shared" si="868"/>
        <v>1</v>
      </c>
      <c r="AY742" s="141">
        <f t="shared" si="869"/>
        <v>1</v>
      </c>
      <c r="AZ742">
        <f t="shared" si="870"/>
        <v>0</v>
      </c>
      <c r="BA742">
        <f t="shared" si="871"/>
        <v>0</v>
      </c>
      <c r="BB742">
        <f t="shared" si="872"/>
        <v>1</v>
      </c>
      <c r="BC742">
        <f t="shared" si="873"/>
        <v>0</v>
      </c>
      <c r="BD742">
        <f t="shared" si="874"/>
        <v>0</v>
      </c>
      <c r="BE742" t="str" cm="1">
        <f t="array" ref="BE742">IF(AY742=1,INDEX($V$7:$AL$7,MATCH(TRUE,INDEX($V742:$AW742&lt;&gt;0,),0)),IF(AY742=0,INDEX($AM$7:$AW$7,MATCH(1,$AM742:$AW742,0)),IF(BF742="Multiple strategies","mixed drivers",IF(BF742="Supply chain","multiple supply","multiple silviculture"))))</f>
        <v>technologies/design switch</v>
      </c>
      <c r="BF742" s="2" t="str" cm="1">
        <f t="array" ref="BF742">IF(COUNTIF(AZ742:BB742,"&lt;&gt;0")=1,INDEX($V$4:$AW$4,MATCH(TRUE,INDEX($V742:$AW742&lt;&gt;0,),0)),IF(COUNTIF(AZ742:BB742,"&lt;&gt;0")=0,INDEX($AM$4:$AW$4,MATCH(1,$AM742:$AW742,0)),"Multiple strategies"))</f>
        <v>Technology</v>
      </c>
      <c r="BG742" s="142" t="s">
        <v>229</v>
      </c>
      <c r="BH742" t="s">
        <v>393</v>
      </c>
      <c r="BI742" s="264" t="s">
        <v>762</v>
      </c>
      <c r="BJ742" s="143" t="s">
        <v>763</v>
      </c>
      <c r="BK742">
        <v>70</v>
      </c>
      <c r="BL742" s="143">
        <v>98</v>
      </c>
      <c r="BM742" s="143"/>
      <c r="BN742">
        <f t="shared" si="876"/>
        <v>28</v>
      </c>
      <c r="BO742" s="143">
        <f t="shared" si="877"/>
        <v>57.142857142857146</v>
      </c>
      <c r="BP742" s="264" t="s">
        <v>232</v>
      </c>
      <c r="BQ742" s="155" t="s">
        <v>764</v>
      </c>
      <c r="BR742" t="s">
        <v>442</v>
      </c>
      <c r="BS742" s="143">
        <f>-120.5+34.8</f>
        <v>-85.7</v>
      </c>
      <c r="BT742" s="151">
        <f>-103+56.7</f>
        <v>-46.3</v>
      </c>
      <c r="BV742">
        <f t="shared" si="900"/>
        <v>39.400000000000006</v>
      </c>
      <c r="BX742">
        <f t="shared" si="878"/>
        <v>144.59800000000001</v>
      </c>
      <c r="BY742">
        <f t="shared" si="820"/>
        <v>2.530465</v>
      </c>
      <c r="BZ742" s="143">
        <v>0</v>
      </c>
      <c r="CA742" s="143">
        <v>0</v>
      </c>
      <c r="CB742" s="143">
        <v>0</v>
      </c>
      <c r="CC742" s="143">
        <v>0</v>
      </c>
      <c r="CD742" s="143">
        <v>0</v>
      </c>
      <c r="CE742" s="143">
        <v>0</v>
      </c>
      <c r="CF742" s="143">
        <v>0</v>
      </c>
      <c r="CG742" s="143">
        <v>0</v>
      </c>
      <c r="CH742" s="143">
        <v>0</v>
      </c>
      <c r="CI742" s="143">
        <v>0</v>
      </c>
      <c r="CJ742" s="143">
        <v>0</v>
      </c>
      <c r="CK742" s="143">
        <v>0</v>
      </c>
      <c r="CL742" s="143">
        <v>0</v>
      </c>
      <c r="CM742">
        <v>0</v>
      </c>
      <c r="CN742" t="str">
        <f t="shared" si="879"/>
        <v>refOK</v>
      </c>
      <c r="CO742">
        <f t="shared" si="880"/>
        <v>70</v>
      </c>
      <c r="CP742">
        <f t="shared" si="881"/>
        <v>98</v>
      </c>
      <c r="CQ742">
        <f t="shared" si="882"/>
        <v>57.142857142857146</v>
      </c>
      <c r="CR742">
        <f t="shared" si="883"/>
        <v>-85.7</v>
      </c>
      <c r="CS742">
        <f t="shared" si="884"/>
        <v>-46.3</v>
      </c>
      <c r="CT742">
        <f t="shared" si="885"/>
        <v>144.59800000000001</v>
      </c>
      <c r="CU742">
        <f t="shared" si="886"/>
        <v>2.530465</v>
      </c>
      <c r="CV742" s="2">
        <f t="shared" si="887"/>
        <v>0.45974329054842478</v>
      </c>
      <c r="CW742" s="1" t="s">
        <v>263</v>
      </c>
      <c r="CX742" s="264" t="str">
        <f t="shared" si="888"/>
        <v>loc</v>
      </c>
      <c r="CY742" t="s">
        <v>444</v>
      </c>
      <c r="DA742" s="143"/>
      <c r="DB742" s="143">
        <v>0</v>
      </c>
      <c r="DC742" t="str">
        <f t="shared" si="889"/>
        <v>0</v>
      </c>
      <c r="DD742">
        <v>0</v>
      </c>
      <c r="DE742">
        <v>0</v>
      </c>
      <c r="DF742">
        <v>0</v>
      </c>
      <c r="DG742">
        <v>1</v>
      </c>
      <c r="DI742">
        <f t="shared" si="890"/>
        <v>1</v>
      </c>
      <c r="DJ742" t="str">
        <f t="shared" si="891"/>
        <v>TimberInput</v>
      </c>
      <c r="DK742">
        <f t="shared" si="892"/>
        <v>0</v>
      </c>
      <c r="DL742">
        <f t="shared" si="893"/>
        <v>0</v>
      </c>
      <c r="DM742">
        <f t="shared" si="894"/>
        <v>0</v>
      </c>
      <c r="DN742" t="str">
        <f t="shared" si="895"/>
        <v>Timber</v>
      </c>
      <c r="DO742">
        <v>1</v>
      </c>
      <c r="DP742" s="143">
        <v>0</v>
      </c>
      <c r="DQ742" s="143">
        <v>0</v>
      </c>
      <c r="DR742">
        <v>0</v>
      </c>
      <c r="DS742" s="143">
        <v>0</v>
      </c>
      <c r="DT742">
        <f t="shared" si="896"/>
        <v>1</v>
      </c>
      <c r="DU742" s="143" t="str">
        <f t="shared" si="897"/>
        <v>self-calculated DF</v>
      </c>
      <c r="DV742" s="143">
        <v>0</v>
      </c>
      <c r="DW742" s="143">
        <v>0</v>
      </c>
      <c r="DX742" s="143">
        <v>1</v>
      </c>
      <c r="DY742" s="143">
        <v>1</v>
      </c>
      <c r="DZ742">
        <v>0</v>
      </c>
      <c r="EA742" s="143">
        <v>1</v>
      </c>
      <c r="EB742" s="143">
        <v>1</v>
      </c>
      <c r="EC742" s="143">
        <v>1</v>
      </c>
      <c r="ED742" s="143">
        <v>0</v>
      </c>
      <c r="EE742">
        <v>0</v>
      </c>
      <c r="EF742">
        <v>1</v>
      </c>
      <c r="EG742" s="143">
        <v>0</v>
      </c>
      <c r="EH742" s="143">
        <v>0</v>
      </c>
      <c r="EI742" s="2">
        <v>0</v>
      </c>
      <c r="EK742" t="str">
        <f t="shared" si="898"/>
        <v/>
      </c>
      <c r="EL742" t="str">
        <f t="shared" si="899"/>
        <v/>
      </c>
      <c r="EM742" s="2" t="str">
        <f t="shared" si="821"/>
        <v/>
      </c>
      <c r="EP742" t="str">
        <f>IF(ISNUMBER(BU742),IF(ABS(BU742-[4]QC_indicators!$B$2)&gt;3*[4]QC_indicators!$C$2,"C ratio",IF(ISNUMBER(BY742),IF(ABS(BY742-[4]QC_indicators!$B$1)&gt;3*[4]QC_indicators!$C$1,"DF","no"))),IF(ISNUMBER(BY742),IF(ABS(BY742-[4]QC_indicators!$B$1)&gt;3*[4]QC_indicators!$C$1,"DF","no")))</f>
        <v>no</v>
      </c>
      <c r="ER742" s="294" t="s">
        <v>349</v>
      </c>
      <c r="ET742" s="264" t="s">
        <v>3406</v>
      </c>
    </row>
    <row r="743" spans="4:150" ht="15" hidden="1" customHeight="1">
      <c r="D743" t="s">
        <v>757</v>
      </c>
      <c r="E743" t="s">
        <v>758</v>
      </c>
      <c r="G743" t="s">
        <v>759</v>
      </c>
      <c r="I743">
        <v>2006</v>
      </c>
      <c r="K743" s="296" t="s">
        <v>760</v>
      </c>
      <c r="M743" t="str">
        <f t="shared" si="839"/>
        <v>Gustavsson_2006</v>
      </c>
      <c r="N743" t="s">
        <v>222</v>
      </c>
      <c r="O743" t="s">
        <v>223</v>
      </c>
      <c r="Q743" s="264" t="s">
        <v>256</v>
      </c>
      <c r="R743" s="269" t="s">
        <v>1153</v>
      </c>
      <c r="S743" s="263" t="s">
        <v>772</v>
      </c>
      <c r="T743" t="s">
        <v>753</v>
      </c>
      <c r="U743" s="143" t="s">
        <v>754</v>
      </c>
      <c r="V743">
        <v>0</v>
      </c>
      <c r="W743">
        <v>0</v>
      </c>
      <c r="X743">
        <v>0</v>
      </c>
      <c r="Y743">
        <v>0</v>
      </c>
      <c r="Z743">
        <v>0</v>
      </c>
      <c r="AA743">
        <v>0</v>
      </c>
      <c r="AB743">
        <v>0</v>
      </c>
      <c r="AC743">
        <v>0</v>
      </c>
      <c r="AD743">
        <v>0</v>
      </c>
      <c r="AE743">
        <v>0</v>
      </c>
      <c r="AF743">
        <v>0</v>
      </c>
      <c r="AG743">
        <v>0</v>
      </c>
      <c r="AH743">
        <v>0</v>
      </c>
      <c r="AI743">
        <v>0</v>
      </c>
      <c r="AJ743">
        <v>0</v>
      </c>
      <c r="AK743">
        <v>1</v>
      </c>
      <c r="AL743">
        <v>0</v>
      </c>
      <c r="AM743">
        <v>0</v>
      </c>
      <c r="AN743">
        <v>0</v>
      </c>
      <c r="AO743">
        <v>0</v>
      </c>
      <c r="AP743">
        <v>0</v>
      </c>
      <c r="AQ743">
        <v>0</v>
      </c>
      <c r="AR743">
        <v>0</v>
      </c>
      <c r="AS743">
        <v>0</v>
      </c>
      <c r="AT743">
        <v>0</v>
      </c>
      <c r="AU743">
        <v>0</v>
      </c>
      <c r="AV743">
        <v>0</v>
      </c>
      <c r="AW743">
        <v>0</v>
      </c>
      <c r="AX743" s="141">
        <f t="shared" si="868"/>
        <v>1</v>
      </c>
      <c r="AY743" s="141">
        <f t="shared" si="869"/>
        <v>1</v>
      </c>
      <c r="AZ743">
        <f t="shared" si="870"/>
        <v>0</v>
      </c>
      <c r="BA743">
        <f t="shared" si="871"/>
        <v>0</v>
      </c>
      <c r="BB743">
        <f t="shared" si="872"/>
        <v>1</v>
      </c>
      <c r="BC743">
        <f t="shared" si="873"/>
        <v>0</v>
      </c>
      <c r="BD743">
        <f t="shared" si="874"/>
        <v>0</v>
      </c>
      <c r="BE743" t="str" cm="1">
        <f t="array" ref="BE743">IF(AY743=1,INDEX($V$7:$AL$7,MATCH(TRUE,INDEX($V743:$AW743&lt;&gt;0,),0)),IF(AY743=0,INDEX($AM$7:$AW$7,MATCH(1,$AM743:$AW743,0)),IF(BF743="Multiple strategies","mixed drivers",IF(BF743="Supply chain","multiple supply","multiple silviculture"))))</f>
        <v>technologies/design switch</v>
      </c>
      <c r="BF743" s="2" t="str" cm="1">
        <f t="array" ref="BF743">IF(COUNTIF(AZ743:BB743,"&lt;&gt;0")=1,INDEX($V$4:$AW$4,MATCH(TRUE,INDEX($V743:$AW743&lt;&gt;0,),0)),IF(COUNTIF(AZ743:BB743,"&lt;&gt;0")=0,INDEX($AM$4:$AW$4,MATCH(1,$AM743:$AW743,0)),"Multiple strategies"))</f>
        <v>Technology</v>
      </c>
      <c r="BG743" s="142" t="s">
        <v>229</v>
      </c>
      <c r="BH743" t="s">
        <v>393</v>
      </c>
      <c r="BI743" s="264" t="s">
        <v>762</v>
      </c>
      <c r="BJ743" s="143" t="s">
        <v>763</v>
      </c>
      <c r="BK743">
        <v>266.3</v>
      </c>
      <c r="BL743" s="143">
        <v>291.39999999999998</v>
      </c>
      <c r="BM743" s="143"/>
      <c r="BN743">
        <f t="shared" si="876"/>
        <v>25.099999999999966</v>
      </c>
      <c r="BO743" s="143">
        <f t="shared" si="877"/>
        <v>51.224489795918302</v>
      </c>
      <c r="BP743" s="264" t="s">
        <v>232</v>
      </c>
      <c r="BQ743" s="155" t="s">
        <v>764</v>
      </c>
      <c r="BR743" t="s">
        <v>442</v>
      </c>
      <c r="BS743" s="143">
        <v>-138.69999999999999</v>
      </c>
      <c r="BT743" s="151">
        <v>-103</v>
      </c>
      <c r="BV743">
        <f t="shared" si="900"/>
        <v>35.699999999999989</v>
      </c>
      <c r="BX743">
        <f t="shared" si="878"/>
        <v>131.01899999999995</v>
      </c>
      <c r="BY743">
        <f t="shared" si="820"/>
        <v>2.5577414342629505</v>
      </c>
      <c r="BZ743" s="143">
        <v>0</v>
      </c>
      <c r="CA743" s="143">
        <v>0</v>
      </c>
      <c r="CB743" s="143">
        <v>0</v>
      </c>
      <c r="CC743" s="143">
        <v>0</v>
      </c>
      <c r="CD743" s="143">
        <v>0</v>
      </c>
      <c r="CE743" s="143">
        <v>0</v>
      </c>
      <c r="CF743" s="143">
        <v>0</v>
      </c>
      <c r="CG743" s="143">
        <v>0</v>
      </c>
      <c r="CH743" s="143">
        <v>0</v>
      </c>
      <c r="CI743" s="143">
        <v>0</v>
      </c>
      <c r="CJ743" s="143">
        <v>0</v>
      </c>
      <c r="CK743" s="143">
        <v>0</v>
      </c>
      <c r="CL743" s="143">
        <v>0</v>
      </c>
      <c r="CM743">
        <v>0</v>
      </c>
      <c r="CN743" t="str">
        <f t="shared" si="879"/>
        <v>refOK</v>
      </c>
      <c r="CO743">
        <f t="shared" si="880"/>
        <v>266.3</v>
      </c>
      <c r="CP743">
        <f t="shared" si="881"/>
        <v>291.39999999999998</v>
      </c>
      <c r="CQ743">
        <f t="shared" si="882"/>
        <v>51.224489795918302</v>
      </c>
      <c r="CR743">
        <f t="shared" si="883"/>
        <v>-138.69999999999999</v>
      </c>
      <c r="CS743">
        <f t="shared" si="884"/>
        <v>-103</v>
      </c>
      <c r="CT743">
        <f t="shared" si="885"/>
        <v>131.01899999999995</v>
      </c>
      <c r="CU743">
        <f t="shared" si="886"/>
        <v>2.5577414342629505</v>
      </c>
      <c r="CV743" s="2">
        <f t="shared" si="887"/>
        <v>0.25739005046863728</v>
      </c>
      <c r="CW743" s="1" t="s">
        <v>263</v>
      </c>
      <c r="CX743" s="264" t="str">
        <f t="shared" si="888"/>
        <v>loc</v>
      </c>
      <c r="CY743" t="s">
        <v>444</v>
      </c>
      <c r="DA743" s="143"/>
      <c r="DB743" s="143">
        <v>0</v>
      </c>
      <c r="DC743" t="str">
        <f t="shared" si="889"/>
        <v>0</v>
      </c>
      <c r="DD743">
        <v>0</v>
      </c>
      <c r="DE743">
        <v>0</v>
      </c>
      <c r="DF743">
        <v>0</v>
      </c>
      <c r="DG743">
        <v>1</v>
      </c>
      <c r="DI743">
        <f t="shared" si="890"/>
        <v>1</v>
      </c>
      <c r="DJ743" t="str">
        <f t="shared" si="891"/>
        <v>TimberInput</v>
      </c>
      <c r="DK743">
        <f t="shared" si="892"/>
        <v>0</v>
      </c>
      <c r="DL743">
        <f t="shared" si="893"/>
        <v>0</v>
      </c>
      <c r="DM743">
        <f t="shared" si="894"/>
        <v>0</v>
      </c>
      <c r="DN743" t="str">
        <f t="shared" si="895"/>
        <v>Timber</v>
      </c>
      <c r="DO743">
        <v>1</v>
      </c>
      <c r="DP743" s="143">
        <v>0</v>
      </c>
      <c r="DQ743" s="143">
        <v>0</v>
      </c>
      <c r="DR743">
        <v>0</v>
      </c>
      <c r="DS743" s="143">
        <v>0</v>
      </c>
      <c r="DT743">
        <f t="shared" si="896"/>
        <v>1</v>
      </c>
      <c r="DU743" s="143" t="str">
        <f t="shared" si="897"/>
        <v>self-calculated DF</v>
      </c>
      <c r="DV743" s="143">
        <v>0</v>
      </c>
      <c r="DW743" s="143">
        <v>1</v>
      </c>
      <c r="DX743" s="143">
        <v>0</v>
      </c>
      <c r="DY743" s="143">
        <v>1</v>
      </c>
      <c r="DZ743">
        <v>0</v>
      </c>
      <c r="EA743" s="143">
        <v>1</v>
      </c>
      <c r="EB743" s="143">
        <v>1</v>
      </c>
      <c r="EC743" s="143">
        <v>1</v>
      </c>
      <c r="ED743" s="143">
        <v>0</v>
      </c>
      <c r="EE743">
        <v>0</v>
      </c>
      <c r="EF743">
        <v>0</v>
      </c>
      <c r="EG743" s="143">
        <v>0</v>
      </c>
      <c r="EH743" s="143">
        <v>0</v>
      </c>
      <c r="EI743" s="2">
        <v>0</v>
      </c>
      <c r="EK743" t="str">
        <f t="shared" si="898"/>
        <v/>
      </c>
      <c r="EL743" t="str">
        <f t="shared" si="899"/>
        <v/>
      </c>
      <c r="EM743" s="2" t="str">
        <f t="shared" si="821"/>
        <v/>
      </c>
      <c r="EP743" t="str">
        <f>IF(ISNUMBER(BU743),IF(ABS(BU743-[4]QC_indicators!$B$2)&gt;3*[4]QC_indicators!$C$2,"C ratio",IF(ISNUMBER(BY743),IF(ABS(BY743-[4]QC_indicators!$B$1)&gt;3*[4]QC_indicators!$C$1,"DF","no"))),IF(ISNUMBER(BY743),IF(ABS(BY743-[4]QC_indicators!$B$1)&gt;3*[4]QC_indicators!$C$1,"DF","no")))</f>
        <v>no</v>
      </c>
      <c r="ER743" s="294" t="s">
        <v>349</v>
      </c>
      <c r="ET743" s="264" t="s">
        <v>3406</v>
      </c>
    </row>
    <row r="744" spans="4:150" ht="15" hidden="1" customHeight="1">
      <c r="D744" t="s">
        <v>1660</v>
      </c>
      <c r="E744" t="s">
        <v>1661</v>
      </c>
      <c r="G744" t="s">
        <v>1662</v>
      </c>
      <c r="I744">
        <v>2007</v>
      </c>
      <c r="K744" t="s">
        <v>1663</v>
      </c>
      <c r="M744" t="str">
        <f t="shared" si="839"/>
        <v>Gustavsson_2007</v>
      </c>
      <c r="N744" t="s">
        <v>222</v>
      </c>
      <c r="O744" t="s">
        <v>223</v>
      </c>
      <c r="Q744" t="s">
        <v>256</v>
      </c>
      <c r="R744" s="269" t="s">
        <v>274</v>
      </c>
      <c r="S744" s="1" t="s">
        <v>1664</v>
      </c>
      <c r="T744" t="s">
        <v>1669</v>
      </c>
      <c r="U744" s="143" t="s">
        <v>1670</v>
      </c>
      <c r="V744">
        <v>0</v>
      </c>
      <c r="W744">
        <v>0</v>
      </c>
      <c r="X744">
        <v>0</v>
      </c>
      <c r="Y744">
        <v>0</v>
      </c>
      <c r="Z744">
        <v>0</v>
      </c>
      <c r="AA744">
        <v>0</v>
      </c>
      <c r="AB744">
        <v>0</v>
      </c>
      <c r="AC744">
        <v>0</v>
      </c>
      <c r="AD744">
        <v>0</v>
      </c>
      <c r="AE744">
        <v>0</v>
      </c>
      <c r="AF744">
        <v>0</v>
      </c>
      <c r="AG744">
        <v>0</v>
      </c>
      <c r="AH744">
        <v>0</v>
      </c>
      <c r="AI744">
        <v>0</v>
      </c>
      <c r="AJ744">
        <v>0</v>
      </c>
      <c r="AK744">
        <v>1</v>
      </c>
      <c r="AL744">
        <v>0</v>
      </c>
      <c r="AM744">
        <v>0</v>
      </c>
      <c r="AN744">
        <v>0</v>
      </c>
      <c r="AO744">
        <v>0</v>
      </c>
      <c r="AP744">
        <v>0</v>
      </c>
      <c r="AQ744">
        <v>0</v>
      </c>
      <c r="AR744">
        <v>0</v>
      </c>
      <c r="AS744">
        <v>0</v>
      </c>
      <c r="AT744">
        <v>0</v>
      </c>
      <c r="AU744">
        <v>0</v>
      </c>
      <c r="AV744">
        <v>0</v>
      </c>
      <c r="AW744">
        <v>0</v>
      </c>
      <c r="AX744" s="141">
        <f t="shared" si="868"/>
        <v>1</v>
      </c>
      <c r="AY744" s="141">
        <f t="shared" si="869"/>
        <v>1</v>
      </c>
      <c r="AZ744">
        <f t="shared" si="870"/>
        <v>0</v>
      </c>
      <c r="BA744">
        <f t="shared" si="871"/>
        <v>0</v>
      </c>
      <c r="BB744">
        <f t="shared" si="872"/>
        <v>1</v>
      </c>
      <c r="BC744">
        <f t="shared" si="873"/>
        <v>0</v>
      </c>
      <c r="BD744">
        <f t="shared" si="874"/>
        <v>0</v>
      </c>
      <c r="BE744" t="str">
        <f t="array" ref="BE744">IF(AY744=1,INDEX($V$7:$AL$7,MATCH(TRUE,INDEX($V744:$AW744&lt;&gt;0,),0)),IF(AY744=0,INDEX($AM$7:$AW$7,MATCH(1,$AM744:$AW744,0)),IF(BF744="Multiple strategies","mixed drivers",IF(BF744="Supply chain","multiple supply","multiple silviculture"))))</f>
        <v>technologies/design switch</v>
      </c>
      <c r="BF744" s="2" t="str" cm="1">
        <f t="array" ref="BF744">IF(COUNTIF(AZ744:BB744,"&lt;&gt;0")=1,INDEX($V$4:$AW$4,MATCH(TRUE,INDEX($V744:$AW744&lt;&gt;0,),0)),IF(COUNTIF(AZ744:BB744,"&lt;&gt;0")=0,INDEX($AM$4:$AW$4,MATCH(1,$AM744:$AW744,0)),"Multiple strategies"))</f>
        <v>Technology</v>
      </c>
      <c r="BG744" s="142" t="s">
        <v>229</v>
      </c>
      <c r="BH744" t="s">
        <v>1666</v>
      </c>
      <c r="BI744" s="264" t="s">
        <v>1056</v>
      </c>
      <c r="BJ744" s="143" t="s">
        <v>3264</v>
      </c>
      <c r="BK744">
        <v>0</v>
      </c>
      <c r="BL744" s="143">
        <v>169.5</v>
      </c>
      <c r="BM744" s="143"/>
      <c r="BN744">
        <f t="shared" si="876"/>
        <v>169.5</v>
      </c>
      <c r="BO744" s="143">
        <f t="shared" ref="BO744:BO762" si="901">1000*BL744/15.3/400</f>
        <v>27.696078431372548</v>
      </c>
      <c r="BP744" t="s">
        <v>232</v>
      </c>
      <c r="BR744" t="s">
        <v>937</v>
      </c>
      <c r="BS744" s="143">
        <v>-1</v>
      </c>
      <c r="BT744" s="151">
        <v>0</v>
      </c>
      <c r="BU744">
        <v>0</v>
      </c>
      <c r="BV744">
        <v>1</v>
      </c>
      <c r="BX744">
        <f t="shared" si="878"/>
        <v>3.67</v>
      </c>
      <c r="BY744">
        <f t="shared" si="820"/>
        <v>0.13250973451327433</v>
      </c>
      <c r="BZ744" s="143">
        <v>0</v>
      </c>
      <c r="CA744" s="143">
        <v>0</v>
      </c>
      <c r="CB744" s="143">
        <v>0</v>
      </c>
      <c r="CC744" s="143">
        <v>0</v>
      </c>
      <c r="CD744" s="143">
        <v>0</v>
      </c>
      <c r="CE744" s="143">
        <v>0</v>
      </c>
      <c r="CF744" s="143">
        <v>0</v>
      </c>
      <c r="CG744" s="143">
        <v>0</v>
      </c>
      <c r="CH744" s="143">
        <v>0</v>
      </c>
      <c r="CI744" s="143">
        <v>0</v>
      </c>
      <c r="CJ744" s="143">
        <v>0</v>
      </c>
      <c r="CK744" s="143">
        <v>0</v>
      </c>
      <c r="CL744" s="143">
        <v>0</v>
      </c>
      <c r="CM744">
        <v>1</v>
      </c>
      <c r="CN744" t="str">
        <f t="shared" si="879"/>
        <v>refOK</v>
      </c>
      <c r="CO744">
        <f t="shared" si="880"/>
        <v>0</v>
      </c>
      <c r="CP744">
        <f t="shared" si="881"/>
        <v>169.5</v>
      </c>
      <c r="CQ744">
        <f t="shared" si="882"/>
        <v>27.696078431372548</v>
      </c>
      <c r="CR744">
        <f t="shared" si="883"/>
        <v>-1</v>
      </c>
      <c r="CS744">
        <f t="shared" si="884"/>
        <v>0</v>
      </c>
      <c r="CT744">
        <f t="shared" si="885"/>
        <v>3.67</v>
      </c>
      <c r="CU744">
        <f t="shared" si="886"/>
        <v>0.13250973451327433</v>
      </c>
      <c r="CV744" s="2">
        <f t="shared" si="887"/>
        <v>1</v>
      </c>
      <c r="CW744" s="1" t="s">
        <v>1202</v>
      </c>
      <c r="CX744" t="str">
        <f t="shared" si="888"/>
        <v>reg</v>
      </c>
      <c r="CY744" t="s">
        <v>444</v>
      </c>
      <c r="DA744" s="143"/>
      <c r="DB744" s="143">
        <v>0</v>
      </c>
      <c r="DC744" t="str">
        <f t="shared" si="889"/>
        <v>0</v>
      </c>
      <c r="DD744">
        <v>0</v>
      </c>
      <c r="DE744">
        <v>1</v>
      </c>
      <c r="DF744">
        <v>0</v>
      </c>
      <c r="DG744">
        <v>0</v>
      </c>
      <c r="DI744">
        <f t="shared" si="890"/>
        <v>1</v>
      </c>
      <c r="DJ744" t="str">
        <f t="shared" si="891"/>
        <v>EnergyInput</v>
      </c>
      <c r="DK744">
        <f t="shared" si="892"/>
        <v>0</v>
      </c>
      <c r="DL744" t="str">
        <f t="shared" si="893"/>
        <v>Energy</v>
      </c>
      <c r="DM744">
        <f t="shared" si="894"/>
        <v>0</v>
      </c>
      <c r="DN744">
        <f t="shared" si="895"/>
        <v>0</v>
      </c>
      <c r="DO744">
        <v>0</v>
      </c>
      <c r="DP744" s="143">
        <v>0</v>
      </c>
      <c r="DQ744" s="143">
        <v>0</v>
      </c>
      <c r="DR744">
        <v>0</v>
      </c>
      <c r="DS744" s="143">
        <v>0</v>
      </c>
      <c r="DT744">
        <f t="shared" si="896"/>
        <v>0</v>
      </c>
      <c r="DU744" s="143" t="str">
        <f t="shared" si="897"/>
        <v>explicit C balance</v>
      </c>
      <c r="DV744" s="143">
        <v>0</v>
      </c>
      <c r="DW744" s="143">
        <v>0</v>
      </c>
      <c r="DX744" s="143">
        <v>0</v>
      </c>
      <c r="DY744" s="143">
        <v>0</v>
      </c>
      <c r="DZ744">
        <v>0</v>
      </c>
      <c r="EA744" s="143">
        <v>0</v>
      </c>
      <c r="EB744" s="143">
        <v>0</v>
      </c>
      <c r="EC744" s="143">
        <v>1</v>
      </c>
      <c r="ED744" s="143">
        <v>0</v>
      </c>
      <c r="EE744">
        <v>0</v>
      </c>
      <c r="EF744">
        <v>0</v>
      </c>
      <c r="EG744" s="143">
        <v>0</v>
      </c>
      <c r="EH744" s="143">
        <v>0</v>
      </c>
      <c r="EI744" s="2">
        <v>0</v>
      </c>
      <c r="EK744" t="str">
        <f t="shared" si="898"/>
        <v/>
      </c>
      <c r="EL744" t="str">
        <f t="shared" si="899"/>
        <v/>
      </c>
      <c r="EM744" s="2" t="str">
        <f t="shared" si="821"/>
        <v/>
      </c>
      <c r="EP744" t="str">
        <f>IF(ISNUMBER(BU744),IF(ABS(BU744-[2]QC_indicators!$B$2)&gt;3*[2]QC_indicators!$C$2,"C ratio",IF(ISNUMBER(BY744),IF(ABS(BY744-[2]QC_indicators!$B$1)&gt;3*[2]QC_indicators!$C$1,"DF","no"))),IF(ISNUMBER(BY744),IF(ABS(BY744-[2]QC_indicators!$B$1)&gt;3*[2]QC_indicators!$C$1,"DF","no")))</f>
        <v>no</v>
      </c>
      <c r="ER744" s="149" t="s">
        <v>349</v>
      </c>
      <c r="ET744" s="264" t="s">
        <v>3265</v>
      </c>
    </row>
    <row r="745" spans="4:150" ht="15" hidden="1" customHeight="1">
      <c r="D745" t="s">
        <v>1660</v>
      </c>
      <c r="E745" t="s">
        <v>1661</v>
      </c>
      <c r="G745" t="s">
        <v>1662</v>
      </c>
      <c r="I745">
        <v>2007</v>
      </c>
      <c r="K745" t="s">
        <v>1663</v>
      </c>
      <c r="M745" t="str">
        <f t="shared" si="839"/>
        <v>Gustavsson_2007</v>
      </c>
      <c r="N745" t="s">
        <v>222</v>
      </c>
      <c r="O745" t="s">
        <v>223</v>
      </c>
      <c r="Q745" t="s">
        <v>256</v>
      </c>
      <c r="R745" s="269" t="s">
        <v>274</v>
      </c>
      <c r="S745" s="1" t="s">
        <v>1664</v>
      </c>
      <c r="T745" t="s">
        <v>1689</v>
      </c>
      <c r="U745" s="143" t="s">
        <v>1685</v>
      </c>
      <c r="V745">
        <v>0</v>
      </c>
      <c r="W745">
        <v>0</v>
      </c>
      <c r="X745">
        <v>0</v>
      </c>
      <c r="Y745">
        <v>0</v>
      </c>
      <c r="Z745">
        <v>0</v>
      </c>
      <c r="AA745">
        <v>0</v>
      </c>
      <c r="AB745">
        <v>0</v>
      </c>
      <c r="AC745">
        <v>0</v>
      </c>
      <c r="AD745">
        <v>0</v>
      </c>
      <c r="AE745">
        <v>0</v>
      </c>
      <c r="AF745">
        <v>0</v>
      </c>
      <c r="AG745">
        <v>0</v>
      </c>
      <c r="AH745">
        <v>0</v>
      </c>
      <c r="AI745">
        <v>0</v>
      </c>
      <c r="AJ745">
        <v>0</v>
      </c>
      <c r="AK745">
        <v>1</v>
      </c>
      <c r="AL745">
        <v>0</v>
      </c>
      <c r="AM745">
        <v>0</v>
      </c>
      <c r="AN745">
        <v>0</v>
      </c>
      <c r="AO745">
        <v>0</v>
      </c>
      <c r="AP745">
        <v>0</v>
      </c>
      <c r="AQ745">
        <v>0</v>
      </c>
      <c r="AR745">
        <v>0</v>
      </c>
      <c r="AS745">
        <v>0</v>
      </c>
      <c r="AT745">
        <v>0</v>
      </c>
      <c r="AU745">
        <v>0</v>
      </c>
      <c r="AV745">
        <v>0</v>
      </c>
      <c r="AW745">
        <v>0</v>
      </c>
      <c r="AX745" s="141">
        <f t="shared" si="868"/>
        <v>1</v>
      </c>
      <c r="AY745" s="141">
        <f t="shared" si="869"/>
        <v>1</v>
      </c>
      <c r="AZ745">
        <f t="shared" si="870"/>
        <v>0</v>
      </c>
      <c r="BA745">
        <f t="shared" si="871"/>
        <v>0</v>
      </c>
      <c r="BB745">
        <f t="shared" si="872"/>
        <v>1</v>
      </c>
      <c r="BC745">
        <f t="shared" si="873"/>
        <v>0</v>
      </c>
      <c r="BD745">
        <f t="shared" si="874"/>
        <v>0</v>
      </c>
      <c r="BE745" t="str">
        <f t="array" ref="BE745">IF(AY745=1,INDEX($V$7:$AL$7,MATCH(TRUE,INDEX($V745:$AW745&lt;&gt;0,),0)),IF(AY745=0,INDEX($AM$7:$AW$7,MATCH(1,$AM745:$AW745,0)),IF(BF745="Multiple strategies","mixed drivers",IF(BF745="Supply chain","multiple supply","multiple silviculture"))))</f>
        <v>technologies/design switch</v>
      </c>
      <c r="BF745" s="2" t="str" cm="1">
        <f t="array" ref="BF745">IF(COUNTIF(AZ745:BB745,"&lt;&gt;0")=1,INDEX($V$4:$AW$4,MATCH(TRUE,INDEX($V745:$AW745&lt;&gt;0,),0)),IF(COUNTIF(AZ745:BB745,"&lt;&gt;0")=0,INDEX($AM$4:$AW$4,MATCH(1,$AM745:$AW745,0)),"Multiple strategies"))</f>
        <v>Technology</v>
      </c>
      <c r="BG745" s="142" t="s">
        <v>229</v>
      </c>
      <c r="BH745" t="s">
        <v>1666</v>
      </c>
      <c r="BI745" s="264" t="s">
        <v>1056</v>
      </c>
      <c r="BJ745" s="143" t="s">
        <v>3264</v>
      </c>
      <c r="BK745">
        <v>0</v>
      </c>
      <c r="BL745" s="143">
        <v>8.5</v>
      </c>
      <c r="BM745" s="143"/>
      <c r="BN745">
        <f t="shared" si="876"/>
        <v>8.5</v>
      </c>
      <c r="BO745" s="143">
        <f t="shared" si="901"/>
        <v>1.3888888888888888</v>
      </c>
      <c r="BP745" t="s">
        <v>232</v>
      </c>
      <c r="BR745" t="s">
        <v>937</v>
      </c>
      <c r="BS745" s="143">
        <v>-1</v>
      </c>
      <c r="BT745" s="151">
        <v>0</v>
      </c>
      <c r="BU745">
        <v>0</v>
      </c>
      <c r="BV745">
        <v>1</v>
      </c>
      <c r="BX745">
        <f t="shared" si="878"/>
        <v>3.67</v>
      </c>
      <c r="BY745" s="143">
        <f>1000*BV745/15.3/400</f>
        <v>0.16339869281045749</v>
      </c>
      <c r="BZ745" s="143">
        <v>0</v>
      </c>
      <c r="CA745" s="143">
        <v>0</v>
      </c>
      <c r="CB745" s="143">
        <v>0</v>
      </c>
      <c r="CC745" s="143">
        <v>0</v>
      </c>
      <c r="CD745" s="143">
        <v>0</v>
      </c>
      <c r="CE745" s="143">
        <v>0</v>
      </c>
      <c r="CF745" s="143">
        <v>0</v>
      </c>
      <c r="CG745" s="143">
        <v>0</v>
      </c>
      <c r="CH745" s="143">
        <v>0</v>
      </c>
      <c r="CI745" s="143">
        <v>0</v>
      </c>
      <c r="CJ745" s="143">
        <v>0</v>
      </c>
      <c r="CK745" s="143">
        <v>0</v>
      </c>
      <c r="CL745" s="143">
        <v>0</v>
      </c>
      <c r="CM745">
        <v>1</v>
      </c>
      <c r="CN745" t="str">
        <f t="shared" si="879"/>
        <v>refOK</v>
      </c>
      <c r="CO745">
        <f t="shared" si="880"/>
        <v>0</v>
      </c>
      <c r="CP745">
        <f t="shared" si="881"/>
        <v>8.5</v>
      </c>
      <c r="CQ745">
        <f t="shared" si="882"/>
        <v>1.3888888888888888</v>
      </c>
      <c r="CR745">
        <f t="shared" si="883"/>
        <v>-1</v>
      </c>
      <c r="CS745">
        <f t="shared" si="884"/>
        <v>0</v>
      </c>
      <c r="CT745">
        <f t="shared" si="885"/>
        <v>3.67</v>
      </c>
      <c r="CU745">
        <f t="shared" si="886"/>
        <v>2.6423999999999999</v>
      </c>
      <c r="CV745" s="2">
        <f t="shared" si="887"/>
        <v>1</v>
      </c>
      <c r="CW745" s="1" t="s">
        <v>1202</v>
      </c>
      <c r="CX745" t="str">
        <f t="shared" si="888"/>
        <v>reg</v>
      </c>
      <c r="CY745" t="s">
        <v>444</v>
      </c>
      <c r="DA745" s="143"/>
      <c r="DB745" s="143">
        <v>0</v>
      </c>
      <c r="DC745" t="str">
        <f t="shared" si="889"/>
        <v>0</v>
      </c>
      <c r="DD745">
        <v>0</v>
      </c>
      <c r="DE745">
        <v>1</v>
      </c>
      <c r="DF745">
        <v>0</v>
      </c>
      <c r="DG745">
        <v>0</v>
      </c>
      <c r="DI745">
        <f t="shared" si="890"/>
        <v>1</v>
      </c>
      <c r="DJ745" t="str">
        <f t="shared" si="891"/>
        <v>EnergyInput</v>
      </c>
      <c r="DK745">
        <f t="shared" si="892"/>
        <v>0</v>
      </c>
      <c r="DL745" t="str">
        <f t="shared" si="893"/>
        <v>Energy</v>
      </c>
      <c r="DM745">
        <f t="shared" si="894"/>
        <v>0</v>
      </c>
      <c r="DN745">
        <f t="shared" si="895"/>
        <v>0</v>
      </c>
      <c r="DO745">
        <v>0</v>
      </c>
      <c r="DP745" s="143">
        <v>0</v>
      </c>
      <c r="DQ745" s="143">
        <v>0</v>
      </c>
      <c r="DR745">
        <v>0</v>
      </c>
      <c r="DS745" s="143">
        <v>0</v>
      </c>
      <c r="DT745">
        <f t="shared" si="896"/>
        <v>0</v>
      </c>
      <c r="DU745" s="143" t="str">
        <f t="shared" si="897"/>
        <v>explicit C balance</v>
      </c>
      <c r="DV745" s="143">
        <v>0</v>
      </c>
      <c r="DW745" s="143">
        <v>0</v>
      </c>
      <c r="DX745" s="143">
        <v>0</v>
      </c>
      <c r="DY745" s="143">
        <v>0</v>
      </c>
      <c r="DZ745">
        <v>0</v>
      </c>
      <c r="EA745" s="143">
        <v>0</v>
      </c>
      <c r="EB745" s="143">
        <v>0</v>
      </c>
      <c r="EC745" s="143">
        <v>1</v>
      </c>
      <c r="ED745" s="143">
        <v>0</v>
      </c>
      <c r="EE745">
        <v>0</v>
      </c>
      <c r="EF745">
        <v>0</v>
      </c>
      <c r="EG745" s="143">
        <v>0</v>
      </c>
      <c r="EH745" s="143">
        <v>0</v>
      </c>
      <c r="EI745" s="2">
        <v>0</v>
      </c>
      <c r="EK745" t="str">
        <f t="shared" si="898"/>
        <v/>
      </c>
      <c r="EL745" t="str">
        <f t="shared" si="899"/>
        <v/>
      </c>
      <c r="EM745" s="2" t="str">
        <f t="shared" si="821"/>
        <v/>
      </c>
      <c r="EP745" t="str">
        <f>IF(ISNUMBER(BU745),IF(ABS(BU745-[2]QC_indicators!$B$2)&gt;3*[2]QC_indicators!$C$2,"C ratio",IF(ISNUMBER(BY745),IF(ABS(BY745-[2]QC_indicators!$B$1)&gt;3*[2]QC_indicators!$C$1,"DF","no"))),IF(ISNUMBER(BY745),IF(ABS(BY745-[2]QC_indicators!$B$1)&gt;3*[2]QC_indicators!$C$1,"DF","no")))</f>
        <v>no</v>
      </c>
      <c r="ER745" s="149" t="s">
        <v>349</v>
      </c>
      <c r="ET745" s="264" t="s">
        <v>3265</v>
      </c>
    </row>
    <row r="746" spans="4:150" ht="15" hidden="1" customHeight="1">
      <c r="D746" t="s">
        <v>1660</v>
      </c>
      <c r="E746" t="s">
        <v>1661</v>
      </c>
      <c r="G746" t="s">
        <v>1662</v>
      </c>
      <c r="I746">
        <v>2007</v>
      </c>
      <c r="K746" t="s">
        <v>1663</v>
      </c>
      <c r="M746" t="str">
        <f t="shared" si="839"/>
        <v>Gustavsson_2007</v>
      </c>
      <c r="N746" t="s">
        <v>222</v>
      </c>
      <c r="O746" t="s">
        <v>223</v>
      </c>
      <c r="Q746" t="s">
        <v>256</v>
      </c>
      <c r="R746" s="269" t="s">
        <v>274</v>
      </c>
      <c r="S746" s="1" t="s">
        <v>1664</v>
      </c>
      <c r="T746" t="s">
        <v>1669</v>
      </c>
      <c r="U746" s="143" t="s">
        <v>1671</v>
      </c>
      <c r="V746">
        <v>0</v>
      </c>
      <c r="W746">
        <v>0</v>
      </c>
      <c r="X746">
        <v>0</v>
      </c>
      <c r="Y746">
        <v>0</v>
      </c>
      <c r="Z746">
        <v>0</v>
      </c>
      <c r="AA746">
        <v>0</v>
      </c>
      <c r="AB746">
        <v>0</v>
      </c>
      <c r="AC746">
        <v>0</v>
      </c>
      <c r="AD746">
        <v>0</v>
      </c>
      <c r="AE746">
        <v>0</v>
      </c>
      <c r="AF746">
        <v>0</v>
      </c>
      <c r="AG746">
        <v>0</v>
      </c>
      <c r="AH746">
        <v>0</v>
      </c>
      <c r="AI746">
        <v>0</v>
      </c>
      <c r="AJ746">
        <v>0</v>
      </c>
      <c r="AK746">
        <v>1</v>
      </c>
      <c r="AL746">
        <v>0</v>
      </c>
      <c r="AM746">
        <v>0</v>
      </c>
      <c r="AN746">
        <v>0</v>
      </c>
      <c r="AO746">
        <v>0</v>
      </c>
      <c r="AP746">
        <v>0</v>
      </c>
      <c r="AQ746">
        <v>0</v>
      </c>
      <c r="AR746">
        <v>0</v>
      </c>
      <c r="AS746">
        <v>0</v>
      </c>
      <c r="AT746">
        <v>0</v>
      </c>
      <c r="AU746">
        <v>0</v>
      </c>
      <c r="AV746">
        <v>0</v>
      </c>
      <c r="AW746">
        <v>0</v>
      </c>
      <c r="AX746" s="141">
        <f t="shared" si="868"/>
        <v>1</v>
      </c>
      <c r="AY746" s="141">
        <f t="shared" si="869"/>
        <v>1</v>
      </c>
      <c r="AZ746">
        <f t="shared" si="870"/>
        <v>0</v>
      </c>
      <c r="BA746">
        <f t="shared" si="871"/>
        <v>0</v>
      </c>
      <c r="BB746">
        <f t="shared" si="872"/>
        <v>1</v>
      </c>
      <c r="BC746">
        <f t="shared" si="873"/>
        <v>0</v>
      </c>
      <c r="BD746">
        <f t="shared" si="874"/>
        <v>0</v>
      </c>
      <c r="BE746" t="str">
        <f t="array" ref="BE746">IF(AY746=1,INDEX($V$7:$AL$7,MATCH(TRUE,INDEX($V746:$AW746&lt;&gt;0,),0)),IF(AY746=0,INDEX($AM$7:$AW$7,MATCH(1,$AM746:$AW746,0)),IF(BF746="Multiple strategies","mixed drivers",IF(BF746="Supply chain","multiple supply","multiple silviculture"))))</f>
        <v>technologies/design switch</v>
      </c>
      <c r="BF746" s="2" t="str" cm="1">
        <f t="array" ref="BF746">IF(COUNTIF(AZ746:BB746,"&lt;&gt;0")=1,INDEX($V$4:$AW$4,MATCH(TRUE,INDEX($V746:$AW746&lt;&gt;0,),0)),IF(COUNTIF(AZ746:BB746,"&lt;&gt;0")=0,INDEX($AM$4:$AW$4,MATCH(1,$AM746:$AW746,0)),"Multiple strategies"))</f>
        <v>Technology</v>
      </c>
      <c r="BG746" s="142" t="s">
        <v>229</v>
      </c>
      <c r="BH746" t="s">
        <v>1666</v>
      </c>
      <c r="BI746" s="264" t="s">
        <v>1056</v>
      </c>
      <c r="BJ746" s="143" t="s">
        <v>3264</v>
      </c>
      <c r="BK746">
        <v>0</v>
      </c>
      <c r="BL746" s="143">
        <v>102.4</v>
      </c>
      <c r="BM746" s="143"/>
      <c r="BN746">
        <f t="shared" si="876"/>
        <v>102.4</v>
      </c>
      <c r="BO746" s="143">
        <f t="shared" si="901"/>
        <v>16.732026143790851</v>
      </c>
      <c r="BP746" t="s">
        <v>232</v>
      </c>
      <c r="BR746" t="s">
        <v>937</v>
      </c>
      <c r="BS746" s="143">
        <v>-1</v>
      </c>
      <c r="BT746" s="151">
        <v>0</v>
      </c>
      <c r="BU746">
        <v>0</v>
      </c>
      <c r="BV746">
        <v>1</v>
      </c>
      <c r="BX746">
        <f t="shared" si="878"/>
        <v>3.67</v>
      </c>
      <c r="BY746">
        <f t="shared" ref="BY746:BY809" si="902">IFERROR(BX746/BO746,"")</f>
        <v>0.21933984374999999</v>
      </c>
      <c r="BZ746" s="143">
        <v>0</v>
      </c>
      <c r="CA746" s="143">
        <v>0</v>
      </c>
      <c r="CB746" s="143">
        <v>0</v>
      </c>
      <c r="CC746" s="143">
        <v>0</v>
      </c>
      <c r="CD746" s="143">
        <v>0</v>
      </c>
      <c r="CE746" s="143">
        <v>0</v>
      </c>
      <c r="CF746" s="143">
        <v>0</v>
      </c>
      <c r="CG746" s="143">
        <v>0</v>
      </c>
      <c r="CH746" s="143">
        <v>0</v>
      </c>
      <c r="CI746" s="143">
        <v>0</v>
      </c>
      <c r="CJ746" s="143">
        <v>0</v>
      </c>
      <c r="CK746" s="143">
        <v>0</v>
      </c>
      <c r="CL746" s="143">
        <v>0</v>
      </c>
      <c r="CM746">
        <v>1</v>
      </c>
      <c r="CN746" t="str">
        <f t="shared" si="879"/>
        <v>refOK</v>
      </c>
      <c r="CO746">
        <f t="shared" si="880"/>
        <v>0</v>
      </c>
      <c r="CP746">
        <f t="shared" si="881"/>
        <v>102.4</v>
      </c>
      <c r="CQ746">
        <f t="shared" si="882"/>
        <v>16.732026143790851</v>
      </c>
      <c r="CR746">
        <f t="shared" si="883"/>
        <v>-1</v>
      </c>
      <c r="CS746">
        <f t="shared" si="884"/>
        <v>0</v>
      </c>
      <c r="CT746">
        <f t="shared" si="885"/>
        <v>3.67</v>
      </c>
      <c r="CU746">
        <f t="shared" si="886"/>
        <v>0.21933984374999999</v>
      </c>
      <c r="CV746" s="2">
        <f t="shared" si="887"/>
        <v>1</v>
      </c>
      <c r="CW746" s="1" t="s">
        <v>1202</v>
      </c>
      <c r="CX746" t="str">
        <f t="shared" si="888"/>
        <v>reg</v>
      </c>
      <c r="CY746" t="s">
        <v>444</v>
      </c>
      <c r="DA746" s="143"/>
      <c r="DB746" s="143">
        <v>0</v>
      </c>
      <c r="DC746" t="str">
        <f t="shared" si="889"/>
        <v>0</v>
      </c>
      <c r="DD746">
        <v>0</v>
      </c>
      <c r="DE746">
        <v>1</v>
      </c>
      <c r="DF746">
        <v>0</v>
      </c>
      <c r="DG746">
        <v>0</v>
      </c>
      <c r="DI746">
        <f t="shared" si="890"/>
        <v>1</v>
      </c>
      <c r="DJ746" t="str">
        <f t="shared" si="891"/>
        <v>EnergyInput</v>
      </c>
      <c r="DK746">
        <f t="shared" si="892"/>
        <v>0</v>
      </c>
      <c r="DL746" t="str">
        <f t="shared" si="893"/>
        <v>Energy</v>
      </c>
      <c r="DM746">
        <f t="shared" si="894"/>
        <v>0</v>
      </c>
      <c r="DN746">
        <f t="shared" si="895"/>
        <v>0</v>
      </c>
      <c r="DO746">
        <v>0</v>
      </c>
      <c r="DP746" s="143">
        <v>0</v>
      </c>
      <c r="DQ746" s="143">
        <v>0</v>
      </c>
      <c r="DR746">
        <v>0</v>
      </c>
      <c r="DS746" s="143">
        <v>0</v>
      </c>
      <c r="DT746">
        <f t="shared" si="896"/>
        <v>0</v>
      </c>
      <c r="DU746" s="143" t="str">
        <f t="shared" si="897"/>
        <v>explicit C balance</v>
      </c>
      <c r="DV746" s="143">
        <v>0</v>
      </c>
      <c r="DW746" s="143">
        <v>0</v>
      </c>
      <c r="DX746" s="143">
        <v>0</v>
      </c>
      <c r="DY746" s="143">
        <v>0</v>
      </c>
      <c r="DZ746">
        <v>0</v>
      </c>
      <c r="EA746" s="143">
        <v>0</v>
      </c>
      <c r="EB746" s="143">
        <v>0</v>
      </c>
      <c r="EC746" s="143">
        <v>1</v>
      </c>
      <c r="ED746" s="143">
        <v>0</v>
      </c>
      <c r="EE746">
        <v>0</v>
      </c>
      <c r="EF746">
        <v>0</v>
      </c>
      <c r="EG746" s="143">
        <v>0</v>
      </c>
      <c r="EH746" s="143">
        <v>0</v>
      </c>
      <c r="EI746" s="2">
        <v>0</v>
      </c>
      <c r="EK746" t="str">
        <f t="shared" si="898"/>
        <v/>
      </c>
      <c r="EL746" t="str">
        <f t="shared" si="899"/>
        <v/>
      </c>
      <c r="EM746" s="2" t="str">
        <f t="shared" si="821"/>
        <v/>
      </c>
      <c r="EP746" t="str">
        <f>IF(ISNUMBER(BU746),IF(ABS(BU746-[2]QC_indicators!$B$2)&gt;3*[2]QC_indicators!$C$2,"C ratio",IF(ISNUMBER(BY746),IF(ABS(BY746-[2]QC_indicators!$B$1)&gt;3*[2]QC_indicators!$C$1,"DF","no"))),IF(ISNUMBER(BY746),IF(ABS(BY746-[2]QC_indicators!$B$1)&gt;3*[2]QC_indicators!$C$1,"DF","no")))</f>
        <v>no</v>
      </c>
      <c r="ER746" s="149" t="s">
        <v>349</v>
      </c>
      <c r="ET746" s="264" t="s">
        <v>3265</v>
      </c>
    </row>
    <row r="747" spans="4:150" ht="15" hidden="1" customHeight="1">
      <c r="D747" t="s">
        <v>1660</v>
      </c>
      <c r="E747" t="s">
        <v>1661</v>
      </c>
      <c r="G747" t="s">
        <v>1662</v>
      </c>
      <c r="I747">
        <v>2007</v>
      </c>
      <c r="K747" t="s">
        <v>1663</v>
      </c>
      <c r="M747" t="str">
        <f t="shared" si="839"/>
        <v>Gustavsson_2007</v>
      </c>
      <c r="N747" t="s">
        <v>222</v>
      </c>
      <c r="O747" t="s">
        <v>223</v>
      </c>
      <c r="Q747" t="s">
        <v>256</v>
      </c>
      <c r="R747" s="269" t="s">
        <v>274</v>
      </c>
      <c r="S747" s="1" t="s">
        <v>1664</v>
      </c>
      <c r="T747" t="s">
        <v>1672</v>
      </c>
      <c r="U747" s="143" t="s">
        <v>1673</v>
      </c>
      <c r="V747">
        <v>0</v>
      </c>
      <c r="W747">
        <v>0</v>
      </c>
      <c r="X747">
        <v>0</v>
      </c>
      <c r="Y747">
        <v>0</v>
      </c>
      <c r="Z747">
        <v>0</v>
      </c>
      <c r="AA747">
        <v>0</v>
      </c>
      <c r="AB747">
        <v>0</v>
      </c>
      <c r="AC747">
        <v>0</v>
      </c>
      <c r="AD747">
        <v>0</v>
      </c>
      <c r="AE747">
        <v>0</v>
      </c>
      <c r="AF747">
        <v>0</v>
      </c>
      <c r="AG747">
        <v>0</v>
      </c>
      <c r="AH747">
        <v>0</v>
      </c>
      <c r="AI747">
        <v>0</v>
      </c>
      <c r="AJ747">
        <v>0</v>
      </c>
      <c r="AK747">
        <v>1</v>
      </c>
      <c r="AL747">
        <v>0</v>
      </c>
      <c r="AM747">
        <v>0</v>
      </c>
      <c r="AN747">
        <v>0</v>
      </c>
      <c r="AO747">
        <v>0</v>
      </c>
      <c r="AP747">
        <v>0</v>
      </c>
      <c r="AQ747">
        <v>0</v>
      </c>
      <c r="AR747">
        <v>0</v>
      </c>
      <c r="AS747">
        <v>0</v>
      </c>
      <c r="AT747">
        <v>0</v>
      </c>
      <c r="AU747">
        <v>0</v>
      </c>
      <c r="AV747">
        <v>0</v>
      </c>
      <c r="AW747">
        <v>0</v>
      </c>
      <c r="AX747" s="141">
        <f t="shared" si="868"/>
        <v>1</v>
      </c>
      <c r="AY747" s="141">
        <f t="shared" si="869"/>
        <v>1</v>
      </c>
      <c r="AZ747">
        <f t="shared" si="870"/>
        <v>0</v>
      </c>
      <c r="BA747">
        <f t="shared" si="871"/>
        <v>0</v>
      </c>
      <c r="BB747">
        <f t="shared" si="872"/>
        <v>1</v>
      </c>
      <c r="BC747">
        <f t="shared" si="873"/>
        <v>0</v>
      </c>
      <c r="BD747">
        <f t="shared" si="874"/>
        <v>0</v>
      </c>
      <c r="BE747" t="str">
        <f t="array" ref="BE747">IF(AY747=1,INDEX($V$7:$AL$7,MATCH(TRUE,INDEX($V747:$AW747&lt;&gt;0,),0)),IF(AY747=0,INDEX($AM$7:$AW$7,MATCH(1,$AM747:$AW747,0)),IF(BF747="Multiple strategies","mixed drivers",IF(BF747="Supply chain","multiple supply","multiple silviculture"))))</f>
        <v>technologies/design switch</v>
      </c>
      <c r="BF747" s="2" t="str" cm="1">
        <f t="array" ref="BF747">IF(COUNTIF(AZ747:BB747,"&lt;&gt;0")=1,INDEX($V$4:$AW$4,MATCH(TRUE,INDEX($V747:$AW747&lt;&gt;0,),0)),IF(COUNTIF(AZ747:BB747,"&lt;&gt;0")=0,INDEX($AM$4:$AW$4,MATCH(1,$AM747:$AW747,0)),"Multiple strategies"))</f>
        <v>Technology</v>
      </c>
      <c r="BG747" s="142" t="s">
        <v>229</v>
      </c>
      <c r="BH747" t="s">
        <v>1666</v>
      </c>
      <c r="BI747" s="264" t="s">
        <v>1056</v>
      </c>
      <c r="BJ747" s="143" t="s">
        <v>3264</v>
      </c>
      <c r="BK747">
        <v>0</v>
      </c>
      <c r="BL747" s="143">
        <v>79.599999999999994</v>
      </c>
      <c r="BM747" s="143"/>
      <c r="BN747">
        <f t="shared" si="876"/>
        <v>79.599999999999994</v>
      </c>
      <c r="BO747" s="143">
        <f t="shared" si="901"/>
        <v>13.006535947712418</v>
      </c>
      <c r="BP747" t="s">
        <v>232</v>
      </c>
      <c r="BR747" t="s">
        <v>937</v>
      </c>
      <c r="BS747" s="143">
        <v>-1</v>
      </c>
      <c r="BT747" s="151">
        <v>0</v>
      </c>
      <c r="BU747">
        <v>0</v>
      </c>
      <c r="BV747">
        <v>1</v>
      </c>
      <c r="BX747">
        <f t="shared" si="878"/>
        <v>3.67</v>
      </c>
      <c r="BY747">
        <f t="shared" si="902"/>
        <v>0.28216582914572863</v>
      </c>
      <c r="BZ747" s="143">
        <v>0</v>
      </c>
      <c r="CA747" s="143">
        <v>0</v>
      </c>
      <c r="CB747" s="143">
        <v>0</v>
      </c>
      <c r="CC747" s="143">
        <v>0</v>
      </c>
      <c r="CD747" s="143">
        <v>0</v>
      </c>
      <c r="CE747" s="143">
        <v>0</v>
      </c>
      <c r="CF747" s="143">
        <v>0</v>
      </c>
      <c r="CG747" s="143">
        <v>0</v>
      </c>
      <c r="CH747" s="143">
        <v>0</v>
      </c>
      <c r="CI747" s="143">
        <v>0</v>
      </c>
      <c r="CJ747" s="143">
        <v>0</v>
      </c>
      <c r="CK747" s="143">
        <v>0</v>
      </c>
      <c r="CL747" s="143">
        <v>0</v>
      </c>
      <c r="CM747">
        <v>1</v>
      </c>
      <c r="CN747" t="str">
        <f t="shared" si="879"/>
        <v>refOK</v>
      </c>
      <c r="CO747">
        <f t="shared" si="880"/>
        <v>0</v>
      </c>
      <c r="CP747">
        <f t="shared" si="881"/>
        <v>79.599999999999994</v>
      </c>
      <c r="CQ747">
        <f t="shared" si="882"/>
        <v>13.006535947712418</v>
      </c>
      <c r="CR747">
        <f t="shared" si="883"/>
        <v>-1</v>
      </c>
      <c r="CS747">
        <f t="shared" si="884"/>
        <v>0</v>
      </c>
      <c r="CT747">
        <f t="shared" si="885"/>
        <v>3.67</v>
      </c>
      <c r="CU747">
        <f t="shared" si="886"/>
        <v>0.28216582914572863</v>
      </c>
      <c r="CV747" s="2">
        <f t="shared" si="887"/>
        <v>1</v>
      </c>
      <c r="CW747" s="1" t="s">
        <v>1202</v>
      </c>
      <c r="CX747" t="str">
        <f t="shared" si="888"/>
        <v>reg</v>
      </c>
      <c r="CY747" t="s">
        <v>444</v>
      </c>
      <c r="DA747" s="143"/>
      <c r="DB747" s="143">
        <v>0</v>
      </c>
      <c r="DC747" t="str">
        <f t="shared" si="889"/>
        <v>0</v>
      </c>
      <c r="DD747">
        <v>0</v>
      </c>
      <c r="DE747">
        <v>1</v>
      </c>
      <c r="DF747">
        <v>0</v>
      </c>
      <c r="DG747">
        <v>0</v>
      </c>
      <c r="DI747">
        <f t="shared" si="890"/>
        <v>1</v>
      </c>
      <c r="DJ747" t="str">
        <f t="shared" si="891"/>
        <v>EnergyInput</v>
      </c>
      <c r="DK747">
        <f t="shared" si="892"/>
        <v>0</v>
      </c>
      <c r="DL747" t="str">
        <f t="shared" si="893"/>
        <v>Energy</v>
      </c>
      <c r="DM747">
        <f t="shared" si="894"/>
        <v>0</v>
      </c>
      <c r="DN747">
        <f t="shared" si="895"/>
        <v>0</v>
      </c>
      <c r="DO747">
        <v>0</v>
      </c>
      <c r="DP747" s="143">
        <v>0</v>
      </c>
      <c r="DQ747" s="143">
        <v>0</v>
      </c>
      <c r="DR747">
        <v>0</v>
      </c>
      <c r="DS747" s="143">
        <v>0</v>
      </c>
      <c r="DT747">
        <f t="shared" si="896"/>
        <v>0</v>
      </c>
      <c r="DU747" s="143" t="str">
        <f t="shared" si="897"/>
        <v>explicit C balance</v>
      </c>
      <c r="DV747" s="143">
        <v>0</v>
      </c>
      <c r="DW747" s="143">
        <v>0</v>
      </c>
      <c r="DX747" s="143">
        <v>0</v>
      </c>
      <c r="DY747" s="143">
        <v>0</v>
      </c>
      <c r="DZ747">
        <v>0</v>
      </c>
      <c r="EA747" s="143">
        <v>0</v>
      </c>
      <c r="EB747" s="143">
        <v>0</v>
      </c>
      <c r="EC747" s="143">
        <v>1</v>
      </c>
      <c r="ED747" s="143">
        <v>0</v>
      </c>
      <c r="EE747">
        <v>0</v>
      </c>
      <c r="EF747">
        <v>0</v>
      </c>
      <c r="EG747" s="143">
        <v>0</v>
      </c>
      <c r="EH747" s="143">
        <v>0</v>
      </c>
      <c r="EI747" s="2">
        <v>0</v>
      </c>
      <c r="EK747" t="str">
        <f t="shared" si="898"/>
        <v/>
      </c>
      <c r="EL747" t="str">
        <f t="shared" si="899"/>
        <v/>
      </c>
      <c r="EM747" s="2" t="str">
        <f t="shared" si="821"/>
        <v/>
      </c>
      <c r="EP747" t="str">
        <f>IF(ISNUMBER(BU747),IF(ABS(BU747-[2]QC_indicators!$B$2)&gt;3*[2]QC_indicators!$C$2,"C ratio",IF(ISNUMBER(BY747),IF(ABS(BY747-[2]QC_indicators!$B$1)&gt;3*[2]QC_indicators!$C$1,"DF","no"))),IF(ISNUMBER(BY747),IF(ABS(BY747-[2]QC_indicators!$B$1)&gt;3*[2]QC_indicators!$C$1,"DF","no")))</f>
        <v>no</v>
      </c>
      <c r="ER747" s="149" t="s">
        <v>349</v>
      </c>
      <c r="ET747" s="264" t="s">
        <v>3265</v>
      </c>
    </row>
    <row r="748" spans="4:150" ht="15" hidden="1" customHeight="1">
      <c r="D748" t="s">
        <v>1660</v>
      </c>
      <c r="E748" t="s">
        <v>1661</v>
      </c>
      <c r="G748" t="s">
        <v>1662</v>
      </c>
      <c r="I748">
        <v>2007</v>
      </c>
      <c r="K748" t="s">
        <v>1663</v>
      </c>
      <c r="M748" t="str">
        <f t="shared" si="839"/>
        <v>Gustavsson_2007</v>
      </c>
      <c r="N748" t="s">
        <v>222</v>
      </c>
      <c r="O748" t="s">
        <v>223</v>
      </c>
      <c r="Q748" t="s">
        <v>256</v>
      </c>
      <c r="R748" s="269" t="s">
        <v>274</v>
      </c>
      <c r="S748" s="1" t="s">
        <v>1664</v>
      </c>
      <c r="T748" t="s">
        <v>1674</v>
      </c>
      <c r="U748" s="143" t="s">
        <v>1675</v>
      </c>
      <c r="V748">
        <v>0</v>
      </c>
      <c r="W748">
        <v>0</v>
      </c>
      <c r="X748">
        <v>0</v>
      </c>
      <c r="Y748">
        <v>0</v>
      </c>
      <c r="Z748">
        <v>0</v>
      </c>
      <c r="AA748">
        <v>0</v>
      </c>
      <c r="AB748">
        <v>0</v>
      </c>
      <c r="AC748">
        <v>0</v>
      </c>
      <c r="AD748">
        <v>0</v>
      </c>
      <c r="AE748">
        <v>0</v>
      </c>
      <c r="AF748">
        <v>0</v>
      </c>
      <c r="AG748">
        <v>0</v>
      </c>
      <c r="AH748">
        <v>0</v>
      </c>
      <c r="AI748">
        <v>0</v>
      </c>
      <c r="AJ748">
        <v>0</v>
      </c>
      <c r="AK748">
        <v>1</v>
      </c>
      <c r="AL748">
        <v>0</v>
      </c>
      <c r="AM748">
        <v>0</v>
      </c>
      <c r="AN748">
        <v>0</v>
      </c>
      <c r="AO748">
        <v>0</v>
      </c>
      <c r="AP748">
        <v>0</v>
      </c>
      <c r="AQ748">
        <v>0</v>
      </c>
      <c r="AR748">
        <v>0</v>
      </c>
      <c r="AS748">
        <v>0</v>
      </c>
      <c r="AT748">
        <v>0</v>
      </c>
      <c r="AU748">
        <v>0</v>
      </c>
      <c r="AV748">
        <v>0</v>
      </c>
      <c r="AW748">
        <v>0</v>
      </c>
      <c r="AX748" s="141">
        <f t="shared" si="868"/>
        <v>1</v>
      </c>
      <c r="AY748" s="141">
        <f t="shared" si="869"/>
        <v>1</v>
      </c>
      <c r="AZ748">
        <f t="shared" si="870"/>
        <v>0</v>
      </c>
      <c r="BA748">
        <f t="shared" si="871"/>
        <v>0</v>
      </c>
      <c r="BB748">
        <f t="shared" si="872"/>
        <v>1</v>
      </c>
      <c r="BC748">
        <f t="shared" si="873"/>
        <v>0</v>
      </c>
      <c r="BD748">
        <f t="shared" si="874"/>
        <v>0</v>
      </c>
      <c r="BE748" t="str">
        <f t="array" ref="BE748">IF(AY748=1,INDEX($V$7:$AL$7,MATCH(TRUE,INDEX($V748:$AW748&lt;&gt;0,),0)),IF(AY748=0,INDEX($AM$7:$AW$7,MATCH(1,$AM748:$AW748,0)),IF(BF748="Multiple strategies","mixed drivers",IF(BF748="Supply chain","multiple supply","multiple silviculture"))))</f>
        <v>technologies/design switch</v>
      </c>
      <c r="BF748" s="2" t="str" cm="1">
        <f t="array" ref="BF748">IF(COUNTIF(AZ748:BB748,"&lt;&gt;0")=1,INDEX($V$4:$AW$4,MATCH(TRUE,INDEX($V748:$AW748&lt;&gt;0,),0)),IF(COUNTIF(AZ748:BB748,"&lt;&gt;0")=0,INDEX($AM$4:$AW$4,MATCH(1,$AM748:$AW748,0)),"Multiple strategies"))</f>
        <v>Technology</v>
      </c>
      <c r="BG748" s="142" t="s">
        <v>229</v>
      </c>
      <c r="BH748" t="s">
        <v>1666</v>
      </c>
      <c r="BI748" s="264" t="s">
        <v>1056</v>
      </c>
      <c r="BJ748" s="143" t="s">
        <v>3264</v>
      </c>
      <c r="BK748">
        <v>0</v>
      </c>
      <c r="BL748" s="143">
        <v>74.7</v>
      </c>
      <c r="BM748" s="143"/>
      <c r="BN748">
        <f t="shared" si="876"/>
        <v>74.7</v>
      </c>
      <c r="BO748" s="143">
        <f t="shared" si="901"/>
        <v>12.205882352941176</v>
      </c>
      <c r="BP748" t="s">
        <v>232</v>
      </c>
      <c r="BR748" t="s">
        <v>937</v>
      </c>
      <c r="BS748" s="143">
        <v>-1</v>
      </c>
      <c r="BT748" s="151">
        <v>0</v>
      </c>
      <c r="BU748">
        <v>0</v>
      </c>
      <c r="BV748">
        <v>1</v>
      </c>
      <c r="BX748">
        <f t="shared" si="878"/>
        <v>3.67</v>
      </c>
      <c r="BY748">
        <f t="shared" si="902"/>
        <v>0.30067469879518072</v>
      </c>
      <c r="BZ748" s="143">
        <v>0</v>
      </c>
      <c r="CA748" s="143">
        <v>0</v>
      </c>
      <c r="CB748" s="143">
        <v>0</v>
      </c>
      <c r="CC748" s="143">
        <v>0</v>
      </c>
      <c r="CD748" s="143">
        <v>0</v>
      </c>
      <c r="CE748" s="143">
        <v>0</v>
      </c>
      <c r="CF748" s="143">
        <v>0</v>
      </c>
      <c r="CG748" s="143">
        <v>0</v>
      </c>
      <c r="CH748" s="143">
        <v>0</v>
      </c>
      <c r="CI748" s="143">
        <v>0</v>
      </c>
      <c r="CJ748" s="143">
        <v>0</v>
      </c>
      <c r="CK748" s="143">
        <v>0</v>
      </c>
      <c r="CL748" s="143">
        <v>0</v>
      </c>
      <c r="CM748">
        <v>1</v>
      </c>
      <c r="CN748" t="str">
        <f t="shared" si="879"/>
        <v>refOK</v>
      </c>
      <c r="CO748">
        <f t="shared" si="880"/>
        <v>0</v>
      </c>
      <c r="CP748">
        <f t="shared" si="881"/>
        <v>74.7</v>
      </c>
      <c r="CQ748">
        <f t="shared" si="882"/>
        <v>12.205882352941176</v>
      </c>
      <c r="CR748">
        <f t="shared" si="883"/>
        <v>-1</v>
      </c>
      <c r="CS748">
        <f t="shared" si="884"/>
        <v>0</v>
      </c>
      <c r="CT748">
        <f t="shared" si="885"/>
        <v>3.67</v>
      </c>
      <c r="CU748">
        <f t="shared" si="886"/>
        <v>0.30067469879518072</v>
      </c>
      <c r="CV748" s="2">
        <f t="shared" si="887"/>
        <v>1</v>
      </c>
      <c r="CW748" s="1" t="s">
        <v>1202</v>
      </c>
      <c r="CX748" t="str">
        <f t="shared" si="888"/>
        <v>reg</v>
      </c>
      <c r="CY748" t="s">
        <v>444</v>
      </c>
      <c r="DA748" s="143"/>
      <c r="DB748" s="143">
        <v>0</v>
      </c>
      <c r="DC748" t="str">
        <f t="shared" si="889"/>
        <v>0</v>
      </c>
      <c r="DD748">
        <v>0</v>
      </c>
      <c r="DE748">
        <v>1</v>
      </c>
      <c r="DF748">
        <v>0</v>
      </c>
      <c r="DG748">
        <v>0</v>
      </c>
      <c r="DI748">
        <f t="shared" si="890"/>
        <v>1</v>
      </c>
      <c r="DJ748" t="str">
        <f t="shared" si="891"/>
        <v>EnergyInput</v>
      </c>
      <c r="DK748">
        <f t="shared" si="892"/>
        <v>0</v>
      </c>
      <c r="DL748" t="str">
        <f t="shared" si="893"/>
        <v>Energy</v>
      </c>
      <c r="DM748">
        <f t="shared" si="894"/>
        <v>0</v>
      </c>
      <c r="DN748">
        <f t="shared" si="895"/>
        <v>0</v>
      </c>
      <c r="DO748">
        <v>0</v>
      </c>
      <c r="DP748" s="143">
        <v>0</v>
      </c>
      <c r="DQ748" s="143">
        <v>0</v>
      </c>
      <c r="DR748">
        <v>0</v>
      </c>
      <c r="DS748" s="143">
        <v>0</v>
      </c>
      <c r="DT748">
        <f t="shared" si="896"/>
        <v>0</v>
      </c>
      <c r="DU748" s="143" t="str">
        <f t="shared" si="897"/>
        <v>explicit C balance</v>
      </c>
      <c r="DV748" s="143">
        <v>0</v>
      </c>
      <c r="DW748" s="143">
        <v>0</v>
      </c>
      <c r="DX748" s="143">
        <v>0</v>
      </c>
      <c r="DY748" s="143">
        <v>0</v>
      </c>
      <c r="DZ748">
        <v>0</v>
      </c>
      <c r="EA748" s="143">
        <v>0</v>
      </c>
      <c r="EB748" s="143">
        <v>0</v>
      </c>
      <c r="EC748" s="143">
        <v>1</v>
      </c>
      <c r="ED748" s="143">
        <v>0</v>
      </c>
      <c r="EE748">
        <v>0</v>
      </c>
      <c r="EF748">
        <v>0</v>
      </c>
      <c r="EG748" s="143">
        <v>0</v>
      </c>
      <c r="EH748" s="143">
        <v>0</v>
      </c>
      <c r="EI748" s="2">
        <v>0</v>
      </c>
      <c r="EK748" t="str">
        <f t="shared" si="898"/>
        <v/>
      </c>
      <c r="EL748" t="str">
        <f t="shared" si="899"/>
        <v/>
      </c>
      <c r="EM748" s="2" t="str">
        <f t="shared" ref="EM748:EM811" si="903">IF(AND(AND(AND($DX748=0,$DW748=0),OR($EC748=1,$EA748=1)),SUM($EB748:$EE748)&gt;=2),"Technology approach","")</f>
        <v/>
      </c>
      <c r="EP748" t="str">
        <f>IF(ISNUMBER(BU748),IF(ABS(BU748-[2]QC_indicators!$B$2)&gt;3*[2]QC_indicators!$C$2,"C ratio",IF(ISNUMBER(BY748),IF(ABS(BY748-[2]QC_indicators!$B$1)&gt;3*[2]QC_indicators!$C$1,"DF","no"))),IF(ISNUMBER(BY748),IF(ABS(BY748-[2]QC_indicators!$B$1)&gt;3*[2]QC_indicators!$C$1,"DF","no")))</f>
        <v>no</v>
      </c>
      <c r="ER748" s="149" t="s">
        <v>349</v>
      </c>
      <c r="ET748" s="264" t="s">
        <v>3265</v>
      </c>
    </row>
    <row r="749" spans="4:150" ht="15" hidden="1" customHeight="1">
      <c r="D749" t="s">
        <v>1660</v>
      </c>
      <c r="E749" t="s">
        <v>1661</v>
      </c>
      <c r="G749" t="s">
        <v>1662</v>
      </c>
      <c r="I749">
        <v>2007</v>
      </c>
      <c r="K749" t="s">
        <v>1663</v>
      </c>
      <c r="M749" t="str">
        <f t="shared" si="839"/>
        <v>Gustavsson_2007</v>
      </c>
      <c r="N749" t="s">
        <v>222</v>
      </c>
      <c r="O749" t="s">
        <v>223</v>
      </c>
      <c r="Q749" t="s">
        <v>256</v>
      </c>
      <c r="R749" s="269" t="s">
        <v>274</v>
      </c>
      <c r="S749" s="1" t="s">
        <v>1664</v>
      </c>
      <c r="T749" t="s">
        <v>1676</v>
      </c>
      <c r="U749" s="143" t="s">
        <v>1677</v>
      </c>
      <c r="V749">
        <v>0</v>
      </c>
      <c r="W749">
        <v>0</v>
      </c>
      <c r="X749">
        <v>0</v>
      </c>
      <c r="Y749">
        <v>0</v>
      </c>
      <c r="Z749">
        <v>0</v>
      </c>
      <c r="AA749">
        <v>0</v>
      </c>
      <c r="AB749">
        <v>0</v>
      </c>
      <c r="AC749">
        <v>0</v>
      </c>
      <c r="AD749">
        <v>0</v>
      </c>
      <c r="AE749">
        <v>0</v>
      </c>
      <c r="AF749">
        <v>0</v>
      </c>
      <c r="AG749">
        <v>0</v>
      </c>
      <c r="AH749">
        <v>0</v>
      </c>
      <c r="AI749">
        <v>0</v>
      </c>
      <c r="AJ749">
        <v>0</v>
      </c>
      <c r="AK749">
        <v>1</v>
      </c>
      <c r="AL749">
        <v>0</v>
      </c>
      <c r="AM749">
        <v>0</v>
      </c>
      <c r="AN749">
        <v>0</v>
      </c>
      <c r="AO749">
        <v>0</v>
      </c>
      <c r="AP749">
        <v>0</v>
      </c>
      <c r="AQ749">
        <v>0</v>
      </c>
      <c r="AR749">
        <v>0</v>
      </c>
      <c r="AS749">
        <v>0</v>
      </c>
      <c r="AT749">
        <v>0</v>
      </c>
      <c r="AU749">
        <v>0</v>
      </c>
      <c r="AV749">
        <v>0</v>
      </c>
      <c r="AW749">
        <v>0</v>
      </c>
      <c r="AX749" s="141">
        <f t="shared" si="868"/>
        <v>1</v>
      </c>
      <c r="AY749" s="141">
        <f t="shared" si="869"/>
        <v>1</v>
      </c>
      <c r="AZ749">
        <f t="shared" si="870"/>
        <v>0</v>
      </c>
      <c r="BA749">
        <f t="shared" si="871"/>
        <v>0</v>
      </c>
      <c r="BB749">
        <f t="shared" si="872"/>
        <v>1</v>
      </c>
      <c r="BC749">
        <f t="shared" si="873"/>
        <v>0</v>
      </c>
      <c r="BD749">
        <f t="shared" si="874"/>
        <v>0</v>
      </c>
      <c r="BE749" t="str">
        <f t="array" ref="BE749">IF(AY749=1,INDEX($V$7:$AL$7,MATCH(TRUE,INDEX($V749:$AW749&lt;&gt;0,),0)),IF(AY749=0,INDEX($AM$7:$AW$7,MATCH(1,$AM749:$AW749,0)),IF(BF749="Multiple strategies","mixed drivers",IF(BF749="Supply chain","multiple supply","multiple silviculture"))))</f>
        <v>technologies/design switch</v>
      </c>
      <c r="BF749" s="2" t="str" cm="1">
        <f t="array" ref="BF749">IF(COUNTIF(AZ749:BB749,"&lt;&gt;0")=1,INDEX($V$4:$AW$4,MATCH(TRUE,INDEX($V749:$AW749&lt;&gt;0,),0)),IF(COUNTIF(AZ749:BB749,"&lt;&gt;0")=0,INDEX($AM$4:$AW$4,MATCH(1,$AM749:$AW749,0)),"Multiple strategies"))</f>
        <v>Technology</v>
      </c>
      <c r="BG749" s="142" t="s">
        <v>229</v>
      </c>
      <c r="BH749" t="s">
        <v>1666</v>
      </c>
      <c r="BI749" s="264" t="s">
        <v>1056</v>
      </c>
      <c r="BJ749" s="143" t="s">
        <v>3264</v>
      </c>
      <c r="BK749">
        <v>0</v>
      </c>
      <c r="BL749" s="143">
        <v>74</v>
      </c>
      <c r="BM749" s="143"/>
      <c r="BN749">
        <f t="shared" si="876"/>
        <v>74</v>
      </c>
      <c r="BO749" s="143">
        <f t="shared" si="901"/>
        <v>12.091503267973856</v>
      </c>
      <c r="BP749" t="s">
        <v>232</v>
      </c>
      <c r="BR749" t="s">
        <v>937</v>
      </c>
      <c r="BS749" s="143">
        <v>-1</v>
      </c>
      <c r="BT749" s="151">
        <v>0</v>
      </c>
      <c r="BU749">
        <v>0</v>
      </c>
      <c r="BV749">
        <v>1</v>
      </c>
      <c r="BX749">
        <f t="shared" si="878"/>
        <v>3.67</v>
      </c>
      <c r="BY749">
        <f t="shared" si="902"/>
        <v>0.30351891891891891</v>
      </c>
      <c r="BZ749" s="143">
        <v>0</v>
      </c>
      <c r="CA749" s="143">
        <v>0</v>
      </c>
      <c r="CB749" s="143">
        <v>0</v>
      </c>
      <c r="CC749" s="143">
        <v>0</v>
      </c>
      <c r="CD749" s="143">
        <v>0</v>
      </c>
      <c r="CE749" s="143">
        <v>0</v>
      </c>
      <c r="CF749" s="143">
        <v>0</v>
      </c>
      <c r="CG749" s="143">
        <v>0</v>
      </c>
      <c r="CH749" s="143">
        <v>0</v>
      </c>
      <c r="CI749" s="143">
        <v>0</v>
      </c>
      <c r="CJ749" s="143">
        <v>0</v>
      </c>
      <c r="CK749" s="143">
        <v>0</v>
      </c>
      <c r="CL749" s="143">
        <v>0</v>
      </c>
      <c r="CM749">
        <v>1</v>
      </c>
      <c r="CN749" t="str">
        <f t="shared" si="879"/>
        <v>refOK</v>
      </c>
      <c r="CO749">
        <f t="shared" si="880"/>
        <v>0</v>
      </c>
      <c r="CP749">
        <f t="shared" si="881"/>
        <v>74</v>
      </c>
      <c r="CQ749">
        <f t="shared" si="882"/>
        <v>12.091503267973856</v>
      </c>
      <c r="CR749">
        <f t="shared" si="883"/>
        <v>-1</v>
      </c>
      <c r="CS749">
        <f t="shared" si="884"/>
        <v>0</v>
      </c>
      <c r="CT749">
        <f t="shared" si="885"/>
        <v>3.67</v>
      </c>
      <c r="CU749">
        <f t="shared" si="886"/>
        <v>0.30351891891891891</v>
      </c>
      <c r="CV749" s="2">
        <f t="shared" si="887"/>
        <v>1</v>
      </c>
      <c r="CW749" s="1" t="s">
        <v>1202</v>
      </c>
      <c r="CX749" t="str">
        <f t="shared" si="888"/>
        <v>reg</v>
      </c>
      <c r="CY749" t="s">
        <v>444</v>
      </c>
      <c r="DA749" s="143"/>
      <c r="DB749" s="143">
        <v>0</v>
      </c>
      <c r="DC749" t="str">
        <f t="shared" si="889"/>
        <v>0</v>
      </c>
      <c r="DD749">
        <v>0</v>
      </c>
      <c r="DE749">
        <v>1</v>
      </c>
      <c r="DF749">
        <v>0</v>
      </c>
      <c r="DG749">
        <v>0</v>
      </c>
      <c r="DI749">
        <f t="shared" si="890"/>
        <v>1</v>
      </c>
      <c r="DJ749" t="str">
        <f t="shared" si="891"/>
        <v>EnergyInput</v>
      </c>
      <c r="DK749">
        <f t="shared" si="892"/>
        <v>0</v>
      </c>
      <c r="DL749" t="str">
        <f t="shared" si="893"/>
        <v>Energy</v>
      </c>
      <c r="DM749">
        <f t="shared" si="894"/>
        <v>0</v>
      </c>
      <c r="DN749">
        <f t="shared" si="895"/>
        <v>0</v>
      </c>
      <c r="DO749">
        <v>0</v>
      </c>
      <c r="DP749" s="143">
        <v>0</v>
      </c>
      <c r="DQ749" s="143">
        <v>0</v>
      </c>
      <c r="DR749">
        <v>0</v>
      </c>
      <c r="DS749" s="143">
        <v>0</v>
      </c>
      <c r="DT749">
        <f t="shared" si="896"/>
        <v>0</v>
      </c>
      <c r="DU749" s="143" t="str">
        <f t="shared" si="897"/>
        <v>explicit C balance</v>
      </c>
      <c r="DV749" s="143">
        <v>0</v>
      </c>
      <c r="DW749" s="143">
        <v>0</v>
      </c>
      <c r="DX749" s="143">
        <v>0</v>
      </c>
      <c r="DY749" s="143">
        <v>0</v>
      </c>
      <c r="DZ749">
        <v>0</v>
      </c>
      <c r="EA749" s="143">
        <v>0</v>
      </c>
      <c r="EB749" s="143">
        <v>0</v>
      </c>
      <c r="EC749" s="143">
        <v>1</v>
      </c>
      <c r="ED749" s="143">
        <v>0</v>
      </c>
      <c r="EE749">
        <v>0</v>
      </c>
      <c r="EF749">
        <v>0</v>
      </c>
      <c r="EG749" s="143">
        <v>0</v>
      </c>
      <c r="EH749" s="143">
        <v>0</v>
      </c>
      <c r="EI749" s="2">
        <v>0</v>
      </c>
      <c r="EK749" t="str">
        <f t="shared" si="898"/>
        <v/>
      </c>
      <c r="EL749" t="str">
        <f t="shared" si="899"/>
        <v/>
      </c>
      <c r="EM749" s="2" t="str">
        <f t="shared" si="903"/>
        <v/>
      </c>
      <c r="EP749" t="str">
        <f>IF(ISNUMBER(BU749),IF(ABS(BU749-[2]QC_indicators!$B$2)&gt;3*[2]QC_indicators!$C$2,"C ratio",IF(ISNUMBER(BY749),IF(ABS(BY749-[2]QC_indicators!$B$1)&gt;3*[2]QC_indicators!$C$1,"DF","no"))),IF(ISNUMBER(BY749),IF(ABS(BY749-[2]QC_indicators!$B$1)&gt;3*[2]QC_indicators!$C$1,"DF","no")))</f>
        <v>no</v>
      </c>
      <c r="ER749" s="149" t="s">
        <v>349</v>
      </c>
      <c r="ET749" s="264" t="s">
        <v>3265</v>
      </c>
    </row>
    <row r="750" spans="4:150" ht="15" hidden="1" customHeight="1">
      <c r="D750" t="s">
        <v>1660</v>
      </c>
      <c r="E750" t="s">
        <v>1661</v>
      </c>
      <c r="G750" t="s">
        <v>1662</v>
      </c>
      <c r="I750">
        <v>2007</v>
      </c>
      <c r="K750" t="s">
        <v>1663</v>
      </c>
      <c r="M750" t="str">
        <f t="shared" si="839"/>
        <v>Gustavsson_2007</v>
      </c>
      <c r="N750" t="s">
        <v>222</v>
      </c>
      <c r="O750" t="s">
        <v>223</v>
      </c>
      <c r="Q750" t="s">
        <v>256</v>
      </c>
      <c r="R750" s="269" t="s">
        <v>274</v>
      </c>
      <c r="S750" s="1" t="s">
        <v>1664</v>
      </c>
      <c r="T750" t="s">
        <v>1678</v>
      </c>
      <c r="U750" s="143" t="s">
        <v>1679</v>
      </c>
      <c r="V750">
        <v>0</v>
      </c>
      <c r="W750">
        <v>0</v>
      </c>
      <c r="X750">
        <v>0</v>
      </c>
      <c r="Y750">
        <v>0</v>
      </c>
      <c r="Z750">
        <v>0</v>
      </c>
      <c r="AA750">
        <v>0</v>
      </c>
      <c r="AB750">
        <v>0</v>
      </c>
      <c r="AC750">
        <v>0</v>
      </c>
      <c r="AD750">
        <v>0</v>
      </c>
      <c r="AE750">
        <v>0</v>
      </c>
      <c r="AF750">
        <v>0</v>
      </c>
      <c r="AG750">
        <v>0</v>
      </c>
      <c r="AH750">
        <v>0</v>
      </c>
      <c r="AI750">
        <v>0</v>
      </c>
      <c r="AJ750">
        <v>0</v>
      </c>
      <c r="AK750">
        <v>1</v>
      </c>
      <c r="AL750">
        <v>0</v>
      </c>
      <c r="AM750">
        <v>0</v>
      </c>
      <c r="AN750">
        <v>0</v>
      </c>
      <c r="AO750">
        <v>0</v>
      </c>
      <c r="AP750">
        <v>0</v>
      </c>
      <c r="AQ750">
        <v>0</v>
      </c>
      <c r="AR750">
        <v>0</v>
      </c>
      <c r="AS750">
        <v>0</v>
      </c>
      <c r="AT750">
        <v>0</v>
      </c>
      <c r="AU750">
        <v>0</v>
      </c>
      <c r="AV750">
        <v>0</v>
      </c>
      <c r="AW750">
        <v>0</v>
      </c>
      <c r="AX750" s="141">
        <f t="shared" si="868"/>
        <v>1</v>
      </c>
      <c r="AY750" s="141">
        <f t="shared" si="869"/>
        <v>1</v>
      </c>
      <c r="AZ750">
        <f t="shared" si="870"/>
        <v>0</v>
      </c>
      <c r="BA750">
        <f t="shared" si="871"/>
        <v>0</v>
      </c>
      <c r="BB750">
        <f t="shared" si="872"/>
        <v>1</v>
      </c>
      <c r="BC750">
        <f t="shared" si="873"/>
        <v>0</v>
      </c>
      <c r="BD750">
        <f t="shared" si="874"/>
        <v>0</v>
      </c>
      <c r="BE750" t="str">
        <f t="array" ref="BE750">IF(AY750=1,INDEX($V$7:$AL$7,MATCH(TRUE,INDEX($V750:$AW750&lt;&gt;0,),0)),IF(AY750=0,INDEX($AM$7:$AW$7,MATCH(1,$AM750:$AW750,0)),IF(BF750="Multiple strategies","mixed drivers",IF(BF750="Supply chain","multiple supply","multiple silviculture"))))</f>
        <v>technologies/design switch</v>
      </c>
      <c r="BF750" s="2" t="str" cm="1">
        <f t="array" ref="BF750">IF(COUNTIF(AZ750:BB750,"&lt;&gt;0")=1,INDEX($V$4:$AW$4,MATCH(TRUE,INDEX($V750:$AW750&lt;&gt;0,),0)),IF(COUNTIF(AZ750:BB750,"&lt;&gt;0")=0,INDEX($AM$4:$AW$4,MATCH(1,$AM750:$AW750,0)),"Multiple strategies"))</f>
        <v>Technology</v>
      </c>
      <c r="BG750" s="142" t="s">
        <v>229</v>
      </c>
      <c r="BH750" t="s">
        <v>1666</v>
      </c>
      <c r="BI750" s="264" t="s">
        <v>1056</v>
      </c>
      <c r="BJ750" s="143" t="s">
        <v>3264</v>
      </c>
      <c r="BK750">
        <v>0</v>
      </c>
      <c r="BL750" s="143">
        <v>68</v>
      </c>
      <c r="BM750" s="143" t="e">
        <f>BL750/BK750</f>
        <v>#DIV/0!</v>
      </c>
      <c r="BN750">
        <f t="shared" si="876"/>
        <v>68</v>
      </c>
      <c r="BO750" s="143">
        <f t="shared" si="901"/>
        <v>11.111111111111111</v>
      </c>
      <c r="BP750" t="s">
        <v>232</v>
      </c>
      <c r="BR750" t="s">
        <v>937</v>
      </c>
      <c r="BS750" s="143">
        <v>-1</v>
      </c>
      <c r="BT750" s="151">
        <v>0</v>
      </c>
      <c r="BU750">
        <v>0</v>
      </c>
      <c r="BV750">
        <v>1</v>
      </c>
      <c r="BX750">
        <f t="shared" si="878"/>
        <v>3.67</v>
      </c>
      <c r="BY750">
        <f t="shared" si="902"/>
        <v>0.33029999999999998</v>
      </c>
      <c r="BZ750" s="143">
        <v>0</v>
      </c>
      <c r="CA750" s="143">
        <v>0</v>
      </c>
      <c r="CB750" s="143">
        <v>0</v>
      </c>
      <c r="CC750" s="143">
        <v>0</v>
      </c>
      <c r="CD750" s="143">
        <v>0</v>
      </c>
      <c r="CE750" s="143">
        <v>0</v>
      </c>
      <c r="CF750" s="143">
        <v>0</v>
      </c>
      <c r="CG750" s="143">
        <v>0</v>
      </c>
      <c r="CH750" s="143">
        <v>0</v>
      </c>
      <c r="CI750" s="143">
        <v>0</v>
      </c>
      <c r="CJ750" s="143">
        <v>0</v>
      </c>
      <c r="CK750" s="143">
        <v>0</v>
      </c>
      <c r="CL750" s="143">
        <v>0</v>
      </c>
      <c r="CM750">
        <v>1</v>
      </c>
      <c r="CN750" t="str">
        <f t="shared" si="879"/>
        <v>refOK</v>
      </c>
      <c r="CO750">
        <f t="shared" si="880"/>
        <v>0</v>
      </c>
      <c r="CP750">
        <f t="shared" si="881"/>
        <v>68</v>
      </c>
      <c r="CQ750">
        <f t="shared" si="882"/>
        <v>11.111111111111111</v>
      </c>
      <c r="CR750">
        <f t="shared" si="883"/>
        <v>-1</v>
      </c>
      <c r="CS750">
        <f t="shared" si="884"/>
        <v>0</v>
      </c>
      <c r="CT750">
        <f t="shared" si="885"/>
        <v>3.67</v>
      </c>
      <c r="CU750">
        <f t="shared" si="886"/>
        <v>0.33029999999999998</v>
      </c>
      <c r="CV750" s="2">
        <f t="shared" si="887"/>
        <v>1</v>
      </c>
      <c r="CW750" s="1" t="s">
        <v>1202</v>
      </c>
      <c r="CX750" t="str">
        <f t="shared" si="888"/>
        <v>reg</v>
      </c>
      <c r="CY750" t="s">
        <v>444</v>
      </c>
      <c r="DA750" s="143"/>
      <c r="DB750" s="143">
        <v>0</v>
      </c>
      <c r="DC750" t="str">
        <f t="shared" si="889"/>
        <v>0</v>
      </c>
      <c r="DD750">
        <v>0</v>
      </c>
      <c r="DE750">
        <v>1</v>
      </c>
      <c r="DF750">
        <v>0</v>
      </c>
      <c r="DG750">
        <v>0</v>
      </c>
      <c r="DI750">
        <f t="shared" si="890"/>
        <v>1</v>
      </c>
      <c r="DJ750" t="str">
        <f t="shared" si="891"/>
        <v>EnergyInput</v>
      </c>
      <c r="DK750">
        <f t="shared" si="892"/>
        <v>0</v>
      </c>
      <c r="DL750" t="str">
        <f t="shared" si="893"/>
        <v>Energy</v>
      </c>
      <c r="DM750">
        <f t="shared" si="894"/>
        <v>0</v>
      </c>
      <c r="DN750">
        <f t="shared" si="895"/>
        <v>0</v>
      </c>
      <c r="DO750">
        <v>0</v>
      </c>
      <c r="DP750" s="143">
        <v>0</v>
      </c>
      <c r="DQ750" s="143">
        <v>0</v>
      </c>
      <c r="DR750">
        <v>0</v>
      </c>
      <c r="DS750" s="143">
        <v>0</v>
      </c>
      <c r="DT750">
        <f t="shared" si="896"/>
        <v>0</v>
      </c>
      <c r="DU750" s="143" t="str">
        <f t="shared" si="897"/>
        <v>explicit C balance</v>
      </c>
      <c r="DV750" s="143">
        <v>0</v>
      </c>
      <c r="DW750" s="143">
        <v>0</v>
      </c>
      <c r="DX750" s="143">
        <v>0</v>
      </c>
      <c r="DY750" s="143">
        <v>0</v>
      </c>
      <c r="DZ750">
        <v>0</v>
      </c>
      <c r="EA750" s="143">
        <v>0</v>
      </c>
      <c r="EB750" s="143">
        <v>0</v>
      </c>
      <c r="EC750" s="143">
        <v>1</v>
      </c>
      <c r="ED750" s="143">
        <v>0</v>
      </c>
      <c r="EE750">
        <v>0</v>
      </c>
      <c r="EF750">
        <v>0</v>
      </c>
      <c r="EG750" s="143">
        <v>0</v>
      </c>
      <c r="EH750" s="143">
        <v>0</v>
      </c>
      <c r="EI750" s="2">
        <v>0</v>
      </c>
      <c r="EK750" t="str">
        <f t="shared" si="898"/>
        <v/>
      </c>
      <c r="EL750" t="str">
        <f t="shared" si="899"/>
        <v/>
      </c>
      <c r="EM750" s="2" t="str">
        <f t="shared" si="903"/>
        <v/>
      </c>
      <c r="EN750" t="s">
        <v>1680</v>
      </c>
      <c r="EP750" t="str">
        <f>IF(ISNUMBER(BU750),IF(ABS(BU750-[2]QC_indicators!$B$2)&gt;3*[2]QC_indicators!$C$2,"C ratio",IF(ISNUMBER(BY750),IF(ABS(BY750-[2]QC_indicators!$B$1)&gt;3*[2]QC_indicators!$C$1,"DF","no"))),IF(ISNUMBER(BY750),IF(ABS(BY750-[2]QC_indicators!$B$1)&gt;3*[2]QC_indicators!$C$1,"DF","no")))</f>
        <v>no</v>
      </c>
      <c r="ER750" s="149" t="s">
        <v>349</v>
      </c>
      <c r="ET750" s="264" t="s">
        <v>3265</v>
      </c>
    </row>
    <row r="751" spans="4:150" ht="15" hidden="1" customHeight="1">
      <c r="D751" t="s">
        <v>1660</v>
      </c>
      <c r="E751" t="s">
        <v>1661</v>
      </c>
      <c r="G751" t="s">
        <v>1662</v>
      </c>
      <c r="I751">
        <v>2007</v>
      </c>
      <c r="K751" t="s">
        <v>1663</v>
      </c>
      <c r="M751" t="str">
        <f t="shared" si="839"/>
        <v>Gustavsson_2007</v>
      </c>
      <c r="N751" t="s">
        <v>222</v>
      </c>
      <c r="O751" t="s">
        <v>223</v>
      </c>
      <c r="Q751" t="s">
        <v>256</v>
      </c>
      <c r="R751" s="269" t="s">
        <v>274</v>
      </c>
      <c r="S751" s="1" t="s">
        <v>1664</v>
      </c>
      <c r="T751" t="s">
        <v>1681</v>
      </c>
      <c r="U751" s="143" t="s">
        <v>1682</v>
      </c>
      <c r="V751">
        <v>0</v>
      </c>
      <c r="W751">
        <v>0</v>
      </c>
      <c r="X751">
        <v>0</v>
      </c>
      <c r="Y751">
        <v>0</v>
      </c>
      <c r="Z751">
        <v>0</v>
      </c>
      <c r="AA751">
        <v>0</v>
      </c>
      <c r="AB751">
        <v>0</v>
      </c>
      <c r="AC751">
        <v>0</v>
      </c>
      <c r="AD751">
        <v>0</v>
      </c>
      <c r="AE751">
        <v>0</v>
      </c>
      <c r="AF751">
        <v>0</v>
      </c>
      <c r="AG751">
        <v>0</v>
      </c>
      <c r="AH751">
        <v>0</v>
      </c>
      <c r="AI751">
        <v>0</v>
      </c>
      <c r="AJ751">
        <v>0</v>
      </c>
      <c r="AK751">
        <v>1</v>
      </c>
      <c r="AL751">
        <v>0</v>
      </c>
      <c r="AM751">
        <v>0</v>
      </c>
      <c r="AN751">
        <v>0</v>
      </c>
      <c r="AO751">
        <v>0</v>
      </c>
      <c r="AP751">
        <v>0</v>
      </c>
      <c r="AQ751">
        <v>0</v>
      </c>
      <c r="AR751">
        <v>0</v>
      </c>
      <c r="AS751">
        <v>0</v>
      </c>
      <c r="AT751">
        <v>0</v>
      </c>
      <c r="AU751">
        <v>0</v>
      </c>
      <c r="AV751">
        <v>0</v>
      </c>
      <c r="AW751">
        <v>0</v>
      </c>
      <c r="AX751" s="141">
        <f t="shared" si="868"/>
        <v>1</v>
      </c>
      <c r="AY751" s="141">
        <f t="shared" si="869"/>
        <v>1</v>
      </c>
      <c r="AZ751">
        <f t="shared" si="870"/>
        <v>0</v>
      </c>
      <c r="BA751">
        <f t="shared" si="871"/>
        <v>0</v>
      </c>
      <c r="BB751">
        <f t="shared" si="872"/>
        <v>1</v>
      </c>
      <c r="BC751">
        <f t="shared" si="873"/>
        <v>0</v>
      </c>
      <c r="BD751">
        <f t="shared" si="874"/>
        <v>0</v>
      </c>
      <c r="BE751" t="str">
        <f t="array" ref="BE751">IF(AY751=1,INDEX($V$7:$AL$7,MATCH(TRUE,INDEX($V751:$AW751&lt;&gt;0,),0)),IF(AY751=0,INDEX($AM$7:$AW$7,MATCH(1,$AM751:$AW751,0)),IF(BF751="Multiple strategies","mixed drivers",IF(BF751="Supply chain","multiple supply","multiple silviculture"))))</f>
        <v>technologies/design switch</v>
      </c>
      <c r="BF751" s="2" t="str" cm="1">
        <f t="array" ref="BF751">IF(COUNTIF(AZ751:BB751,"&lt;&gt;0")=1,INDEX($V$4:$AW$4,MATCH(TRUE,INDEX($V751:$AW751&lt;&gt;0,),0)),IF(COUNTIF(AZ751:BB751,"&lt;&gt;0")=0,INDEX($AM$4:$AW$4,MATCH(1,$AM751:$AW751,0)),"Multiple strategies"))</f>
        <v>Technology</v>
      </c>
      <c r="BG751" s="142" t="s">
        <v>229</v>
      </c>
      <c r="BH751" t="s">
        <v>1666</v>
      </c>
      <c r="BI751" s="264" t="s">
        <v>1056</v>
      </c>
      <c r="BJ751" s="143" t="s">
        <v>3264</v>
      </c>
      <c r="BK751">
        <v>0</v>
      </c>
      <c r="BL751" s="143">
        <v>53.9</v>
      </c>
      <c r="BM751" s="143"/>
      <c r="BN751">
        <f t="shared" si="876"/>
        <v>53.9</v>
      </c>
      <c r="BO751" s="143">
        <f t="shared" si="901"/>
        <v>8.8071895424836608</v>
      </c>
      <c r="BP751" t="s">
        <v>232</v>
      </c>
      <c r="BR751" t="s">
        <v>937</v>
      </c>
      <c r="BS751" s="143">
        <v>-1</v>
      </c>
      <c r="BT751" s="151">
        <v>0</v>
      </c>
      <c r="BU751">
        <v>0</v>
      </c>
      <c r="BV751">
        <v>1</v>
      </c>
      <c r="BX751">
        <f t="shared" si="878"/>
        <v>3.67</v>
      </c>
      <c r="BY751">
        <f t="shared" si="902"/>
        <v>0.41670500927643783</v>
      </c>
      <c r="BZ751" s="143">
        <v>0</v>
      </c>
      <c r="CA751" s="143">
        <v>0</v>
      </c>
      <c r="CB751" s="143">
        <v>0</v>
      </c>
      <c r="CC751" s="143">
        <v>0</v>
      </c>
      <c r="CD751" s="143">
        <v>0</v>
      </c>
      <c r="CE751" s="143">
        <v>0</v>
      </c>
      <c r="CF751" s="143">
        <v>0</v>
      </c>
      <c r="CG751" s="143">
        <v>0</v>
      </c>
      <c r="CH751" s="143">
        <v>0</v>
      </c>
      <c r="CI751" s="143">
        <v>0</v>
      </c>
      <c r="CJ751" s="143">
        <v>0</v>
      </c>
      <c r="CK751" s="143">
        <v>0</v>
      </c>
      <c r="CL751" s="143">
        <v>0</v>
      </c>
      <c r="CM751">
        <v>1</v>
      </c>
      <c r="CN751" t="str">
        <f t="shared" si="879"/>
        <v>refOK</v>
      </c>
      <c r="CO751">
        <f t="shared" si="880"/>
        <v>0</v>
      </c>
      <c r="CP751">
        <f t="shared" si="881"/>
        <v>53.9</v>
      </c>
      <c r="CQ751">
        <f t="shared" si="882"/>
        <v>8.8071895424836608</v>
      </c>
      <c r="CR751">
        <f t="shared" si="883"/>
        <v>-1</v>
      </c>
      <c r="CS751">
        <f t="shared" si="884"/>
        <v>0</v>
      </c>
      <c r="CT751">
        <f t="shared" si="885"/>
        <v>3.67</v>
      </c>
      <c r="CU751">
        <f t="shared" si="886"/>
        <v>0.41670500927643783</v>
      </c>
      <c r="CV751" s="2">
        <f t="shared" si="887"/>
        <v>1</v>
      </c>
      <c r="CW751" s="1" t="s">
        <v>1202</v>
      </c>
      <c r="CX751" t="str">
        <f t="shared" si="888"/>
        <v>reg</v>
      </c>
      <c r="CY751" t="s">
        <v>444</v>
      </c>
      <c r="DA751" s="143"/>
      <c r="DB751" s="143">
        <v>0</v>
      </c>
      <c r="DC751" t="str">
        <f t="shared" si="889"/>
        <v>0</v>
      </c>
      <c r="DD751">
        <v>0</v>
      </c>
      <c r="DE751">
        <v>1</v>
      </c>
      <c r="DF751">
        <v>0</v>
      </c>
      <c r="DG751">
        <v>0</v>
      </c>
      <c r="DI751">
        <f t="shared" si="890"/>
        <v>1</v>
      </c>
      <c r="DJ751" t="str">
        <f t="shared" si="891"/>
        <v>EnergyInput</v>
      </c>
      <c r="DK751">
        <f t="shared" si="892"/>
        <v>0</v>
      </c>
      <c r="DL751" t="str">
        <f t="shared" si="893"/>
        <v>Energy</v>
      </c>
      <c r="DM751">
        <f t="shared" si="894"/>
        <v>0</v>
      </c>
      <c r="DN751">
        <f t="shared" si="895"/>
        <v>0</v>
      </c>
      <c r="DO751">
        <v>0</v>
      </c>
      <c r="DP751" s="143">
        <v>0</v>
      </c>
      <c r="DQ751" s="143">
        <v>0</v>
      </c>
      <c r="DR751">
        <v>0</v>
      </c>
      <c r="DS751" s="143">
        <v>0</v>
      </c>
      <c r="DT751">
        <f t="shared" si="896"/>
        <v>0</v>
      </c>
      <c r="DU751" s="143" t="str">
        <f t="shared" si="897"/>
        <v>explicit C balance</v>
      </c>
      <c r="DV751" s="143">
        <v>0</v>
      </c>
      <c r="DW751" s="143">
        <v>0</v>
      </c>
      <c r="DX751" s="143">
        <v>0</v>
      </c>
      <c r="DY751" s="143">
        <v>0</v>
      </c>
      <c r="DZ751">
        <v>0</v>
      </c>
      <c r="EA751" s="143">
        <v>0</v>
      </c>
      <c r="EB751" s="143">
        <v>0</v>
      </c>
      <c r="EC751" s="143">
        <v>1</v>
      </c>
      <c r="ED751" s="143">
        <v>0</v>
      </c>
      <c r="EE751">
        <v>0</v>
      </c>
      <c r="EF751">
        <v>0</v>
      </c>
      <c r="EG751" s="143">
        <v>0</v>
      </c>
      <c r="EH751" s="143">
        <v>0</v>
      </c>
      <c r="EI751" s="2">
        <v>0</v>
      </c>
      <c r="EK751" t="str">
        <f t="shared" si="898"/>
        <v/>
      </c>
      <c r="EL751" t="str">
        <f t="shared" si="899"/>
        <v/>
      </c>
      <c r="EM751" s="2" t="str">
        <f t="shared" si="903"/>
        <v/>
      </c>
      <c r="EP751" t="str">
        <f>IF(ISNUMBER(BU751),IF(ABS(BU751-[2]QC_indicators!$B$2)&gt;3*[2]QC_indicators!$C$2,"C ratio",IF(ISNUMBER(BY751),IF(ABS(BY751-[2]QC_indicators!$B$1)&gt;3*[2]QC_indicators!$C$1,"DF","no"))),IF(ISNUMBER(BY751),IF(ABS(BY751-[2]QC_indicators!$B$1)&gt;3*[2]QC_indicators!$C$1,"DF","no")))</f>
        <v>no</v>
      </c>
      <c r="ER751" s="149" t="s">
        <v>349</v>
      </c>
      <c r="ET751" s="264" t="s">
        <v>3265</v>
      </c>
    </row>
    <row r="752" spans="4:150" ht="15" hidden="1" customHeight="1">
      <c r="D752" t="s">
        <v>1660</v>
      </c>
      <c r="E752" t="s">
        <v>1661</v>
      </c>
      <c r="G752" t="s">
        <v>1662</v>
      </c>
      <c r="I752">
        <v>2007</v>
      </c>
      <c r="K752" t="s">
        <v>1663</v>
      </c>
      <c r="M752" t="str">
        <f t="shared" si="839"/>
        <v>Gustavsson_2007</v>
      </c>
      <c r="N752" t="s">
        <v>222</v>
      </c>
      <c r="O752" t="s">
        <v>223</v>
      </c>
      <c r="Q752" t="s">
        <v>256</v>
      </c>
      <c r="R752" s="269" t="s">
        <v>274</v>
      </c>
      <c r="S752" s="1" t="s">
        <v>1664</v>
      </c>
      <c r="T752" t="s">
        <v>1683</v>
      </c>
      <c r="U752" s="143" t="s">
        <v>1677</v>
      </c>
      <c r="V752">
        <v>0</v>
      </c>
      <c r="W752">
        <v>0</v>
      </c>
      <c r="X752">
        <v>0</v>
      </c>
      <c r="Y752">
        <v>0</v>
      </c>
      <c r="Z752">
        <v>0</v>
      </c>
      <c r="AA752">
        <v>0</v>
      </c>
      <c r="AB752">
        <v>0</v>
      </c>
      <c r="AC752">
        <v>0</v>
      </c>
      <c r="AD752">
        <v>0</v>
      </c>
      <c r="AE752">
        <v>0</v>
      </c>
      <c r="AF752">
        <v>0</v>
      </c>
      <c r="AG752">
        <v>0</v>
      </c>
      <c r="AH752">
        <v>0</v>
      </c>
      <c r="AI752">
        <v>0</v>
      </c>
      <c r="AJ752">
        <v>0</v>
      </c>
      <c r="AK752">
        <v>1</v>
      </c>
      <c r="AL752">
        <v>0</v>
      </c>
      <c r="AM752">
        <v>0</v>
      </c>
      <c r="AN752">
        <v>0</v>
      </c>
      <c r="AO752">
        <v>0</v>
      </c>
      <c r="AP752">
        <v>0</v>
      </c>
      <c r="AQ752">
        <v>0</v>
      </c>
      <c r="AR752">
        <v>0</v>
      </c>
      <c r="AS752">
        <v>0</v>
      </c>
      <c r="AT752">
        <v>0</v>
      </c>
      <c r="AU752">
        <v>0</v>
      </c>
      <c r="AV752">
        <v>0</v>
      </c>
      <c r="AW752">
        <v>0</v>
      </c>
      <c r="AX752" s="141">
        <f t="shared" si="868"/>
        <v>1</v>
      </c>
      <c r="AY752" s="141">
        <f t="shared" si="869"/>
        <v>1</v>
      </c>
      <c r="AZ752">
        <f t="shared" si="870"/>
        <v>0</v>
      </c>
      <c r="BA752">
        <f t="shared" si="871"/>
        <v>0</v>
      </c>
      <c r="BB752">
        <f t="shared" si="872"/>
        <v>1</v>
      </c>
      <c r="BC752">
        <f t="shared" si="873"/>
        <v>0</v>
      </c>
      <c r="BD752">
        <f t="shared" si="874"/>
        <v>0</v>
      </c>
      <c r="BE752" t="str">
        <f t="array" ref="BE752">IF(AY752=1,INDEX($V$7:$AL$7,MATCH(TRUE,INDEX($V752:$AW752&lt;&gt;0,),0)),IF(AY752=0,INDEX($AM$7:$AW$7,MATCH(1,$AM752:$AW752,0)),IF(BF752="Multiple strategies","mixed drivers",IF(BF752="Supply chain","multiple supply","multiple silviculture"))))</f>
        <v>technologies/design switch</v>
      </c>
      <c r="BF752" s="2" t="str" cm="1">
        <f t="array" ref="BF752">IF(COUNTIF(AZ752:BB752,"&lt;&gt;0")=1,INDEX($V$4:$AW$4,MATCH(TRUE,INDEX($V752:$AW752&lt;&gt;0,),0)),IF(COUNTIF(AZ752:BB752,"&lt;&gt;0")=0,INDEX($AM$4:$AW$4,MATCH(1,$AM752:$AW752,0)),"Multiple strategies"))</f>
        <v>Technology</v>
      </c>
      <c r="BG752" s="142" t="s">
        <v>229</v>
      </c>
      <c r="BH752" t="s">
        <v>1666</v>
      </c>
      <c r="BI752" s="264" t="s">
        <v>1056</v>
      </c>
      <c r="BJ752" s="143" t="s">
        <v>3264</v>
      </c>
      <c r="BK752">
        <v>0</v>
      </c>
      <c r="BL752" s="143">
        <v>50.7</v>
      </c>
      <c r="BM752" s="143"/>
      <c r="BN752">
        <f t="shared" si="876"/>
        <v>50.7</v>
      </c>
      <c r="BO752" s="143">
        <f t="shared" si="901"/>
        <v>8.2843137254901951</v>
      </c>
      <c r="BP752" t="s">
        <v>232</v>
      </c>
      <c r="BR752" t="s">
        <v>937</v>
      </c>
      <c r="BS752" s="143">
        <v>-1</v>
      </c>
      <c r="BT752" s="151">
        <v>0</v>
      </c>
      <c r="BU752">
        <v>0</v>
      </c>
      <c r="BV752">
        <v>1</v>
      </c>
      <c r="BX752">
        <f t="shared" si="878"/>
        <v>3.67</v>
      </c>
      <c r="BY752">
        <f t="shared" si="902"/>
        <v>0.44300591715976334</v>
      </c>
      <c r="BZ752" s="143">
        <v>0</v>
      </c>
      <c r="CA752" s="143">
        <v>0</v>
      </c>
      <c r="CB752" s="143">
        <v>0</v>
      </c>
      <c r="CC752" s="143">
        <v>0</v>
      </c>
      <c r="CD752" s="143">
        <v>0</v>
      </c>
      <c r="CE752" s="143">
        <v>0</v>
      </c>
      <c r="CF752" s="143">
        <v>0</v>
      </c>
      <c r="CG752" s="143">
        <v>0</v>
      </c>
      <c r="CH752" s="143">
        <v>0</v>
      </c>
      <c r="CI752" s="143">
        <v>0</v>
      </c>
      <c r="CJ752" s="143">
        <v>0</v>
      </c>
      <c r="CK752" s="143">
        <v>0</v>
      </c>
      <c r="CL752" s="143">
        <v>0</v>
      </c>
      <c r="CM752">
        <v>1</v>
      </c>
      <c r="CN752" t="str">
        <f t="shared" si="879"/>
        <v>refOK</v>
      </c>
      <c r="CO752">
        <f t="shared" si="880"/>
        <v>0</v>
      </c>
      <c r="CP752">
        <f t="shared" si="881"/>
        <v>50.7</v>
      </c>
      <c r="CQ752">
        <f t="shared" si="882"/>
        <v>8.2843137254901951</v>
      </c>
      <c r="CR752">
        <f t="shared" si="883"/>
        <v>-1</v>
      </c>
      <c r="CS752">
        <f t="shared" si="884"/>
        <v>0</v>
      </c>
      <c r="CT752">
        <f t="shared" si="885"/>
        <v>3.67</v>
      </c>
      <c r="CU752">
        <f t="shared" si="886"/>
        <v>0.44300591715976334</v>
      </c>
      <c r="CV752" s="2">
        <f t="shared" si="887"/>
        <v>1</v>
      </c>
      <c r="CW752" s="1" t="s">
        <v>1202</v>
      </c>
      <c r="CX752" t="str">
        <f t="shared" si="888"/>
        <v>reg</v>
      </c>
      <c r="CY752" t="s">
        <v>444</v>
      </c>
      <c r="DA752" s="143"/>
      <c r="DB752" s="143">
        <v>0</v>
      </c>
      <c r="DC752" t="str">
        <f t="shared" si="889"/>
        <v>0</v>
      </c>
      <c r="DD752">
        <v>0</v>
      </c>
      <c r="DE752">
        <v>1</v>
      </c>
      <c r="DF752">
        <v>0</v>
      </c>
      <c r="DG752">
        <v>0</v>
      </c>
      <c r="DI752">
        <f t="shared" si="890"/>
        <v>1</v>
      </c>
      <c r="DJ752" t="str">
        <f t="shared" si="891"/>
        <v>EnergyInput</v>
      </c>
      <c r="DK752">
        <f t="shared" si="892"/>
        <v>0</v>
      </c>
      <c r="DL752" t="str">
        <f t="shared" si="893"/>
        <v>Energy</v>
      </c>
      <c r="DM752">
        <f t="shared" si="894"/>
        <v>0</v>
      </c>
      <c r="DN752">
        <f t="shared" si="895"/>
        <v>0</v>
      </c>
      <c r="DO752">
        <v>0</v>
      </c>
      <c r="DP752" s="143">
        <v>0</v>
      </c>
      <c r="DQ752" s="143">
        <v>0</v>
      </c>
      <c r="DR752">
        <v>0</v>
      </c>
      <c r="DS752" s="143">
        <v>0</v>
      </c>
      <c r="DT752">
        <f t="shared" si="896"/>
        <v>0</v>
      </c>
      <c r="DU752" s="143" t="str">
        <f t="shared" si="897"/>
        <v>explicit C balance</v>
      </c>
      <c r="DV752" s="143">
        <v>0</v>
      </c>
      <c r="DW752" s="143">
        <v>0</v>
      </c>
      <c r="DX752" s="143">
        <v>0</v>
      </c>
      <c r="DY752" s="143">
        <v>0</v>
      </c>
      <c r="DZ752">
        <v>0</v>
      </c>
      <c r="EA752" s="143">
        <v>0</v>
      </c>
      <c r="EB752" s="143">
        <v>0</v>
      </c>
      <c r="EC752" s="143">
        <v>1</v>
      </c>
      <c r="ED752" s="143">
        <v>0</v>
      </c>
      <c r="EE752">
        <v>0</v>
      </c>
      <c r="EF752">
        <v>0</v>
      </c>
      <c r="EG752" s="143">
        <v>0</v>
      </c>
      <c r="EH752" s="143">
        <v>0</v>
      </c>
      <c r="EI752" s="2">
        <v>0</v>
      </c>
      <c r="EK752" t="str">
        <f t="shared" si="898"/>
        <v/>
      </c>
      <c r="EL752" t="str">
        <f t="shared" si="899"/>
        <v/>
      </c>
      <c r="EM752" s="2" t="str">
        <f t="shared" si="903"/>
        <v/>
      </c>
      <c r="EP752" t="str">
        <f>IF(ISNUMBER(BU752),IF(ABS(BU752-[2]QC_indicators!$B$2)&gt;3*[2]QC_indicators!$C$2,"C ratio",IF(ISNUMBER(BY752),IF(ABS(BY752-[2]QC_indicators!$B$1)&gt;3*[2]QC_indicators!$C$1,"DF","no"))),IF(ISNUMBER(BY752),IF(ABS(BY752-[2]QC_indicators!$B$1)&gt;3*[2]QC_indicators!$C$1,"DF","no")))</f>
        <v>no</v>
      </c>
      <c r="ER752" s="149" t="s">
        <v>349</v>
      </c>
      <c r="ET752" s="264" t="s">
        <v>3265</v>
      </c>
    </row>
    <row r="753" spans="1:150" ht="15" hidden="1" customHeight="1">
      <c r="D753" t="s">
        <v>1660</v>
      </c>
      <c r="E753" t="s">
        <v>1661</v>
      </c>
      <c r="G753" t="s">
        <v>1662</v>
      </c>
      <c r="I753">
        <v>2007</v>
      </c>
      <c r="K753" t="s">
        <v>1663</v>
      </c>
      <c r="M753" t="str">
        <f t="shared" si="839"/>
        <v>Gustavsson_2007</v>
      </c>
      <c r="N753" t="s">
        <v>222</v>
      </c>
      <c r="O753" t="s">
        <v>223</v>
      </c>
      <c r="Q753" t="s">
        <v>256</v>
      </c>
      <c r="R753" s="269" t="s">
        <v>274</v>
      </c>
      <c r="S753" s="1" t="s">
        <v>1664</v>
      </c>
      <c r="T753" t="s">
        <v>1684</v>
      </c>
      <c r="U753" s="143" t="s">
        <v>1685</v>
      </c>
      <c r="V753">
        <v>0</v>
      </c>
      <c r="W753">
        <v>0</v>
      </c>
      <c r="X753">
        <v>0</v>
      </c>
      <c r="Y753">
        <v>0</v>
      </c>
      <c r="Z753">
        <v>0</v>
      </c>
      <c r="AA753">
        <v>0</v>
      </c>
      <c r="AB753">
        <v>0</v>
      </c>
      <c r="AC753">
        <v>0</v>
      </c>
      <c r="AD753">
        <v>0</v>
      </c>
      <c r="AE753">
        <v>0</v>
      </c>
      <c r="AF753">
        <v>0</v>
      </c>
      <c r="AG753">
        <v>0</v>
      </c>
      <c r="AH753">
        <v>0</v>
      </c>
      <c r="AI753">
        <v>0</v>
      </c>
      <c r="AJ753">
        <v>0</v>
      </c>
      <c r="AK753">
        <v>1</v>
      </c>
      <c r="AL753">
        <v>0</v>
      </c>
      <c r="AM753">
        <v>0</v>
      </c>
      <c r="AN753">
        <v>0</v>
      </c>
      <c r="AO753">
        <v>0</v>
      </c>
      <c r="AP753">
        <v>0</v>
      </c>
      <c r="AQ753">
        <v>0</v>
      </c>
      <c r="AR753">
        <v>0</v>
      </c>
      <c r="AS753">
        <v>0</v>
      </c>
      <c r="AT753">
        <v>0</v>
      </c>
      <c r="AU753">
        <v>0</v>
      </c>
      <c r="AV753">
        <v>0</v>
      </c>
      <c r="AW753">
        <v>0</v>
      </c>
      <c r="AX753" s="141">
        <f t="shared" si="868"/>
        <v>1</v>
      </c>
      <c r="AY753" s="141">
        <f t="shared" si="869"/>
        <v>1</v>
      </c>
      <c r="AZ753">
        <f t="shared" si="870"/>
        <v>0</v>
      </c>
      <c r="BA753">
        <f t="shared" si="871"/>
        <v>0</v>
      </c>
      <c r="BB753">
        <f t="shared" si="872"/>
        <v>1</v>
      </c>
      <c r="BC753">
        <f t="shared" si="873"/>
        <v>0</v>
      </c>
      <c r="BD753">
        <f t="shared" si="874"/>
        <v>0</v>
      </c>
      <c r="BE753" t="str">
        <f t="array" ref="BE753">IF(AY753=1,INDEX($V$7:$AL$7,MATCH(TRUE,INDEX($V753:$AW753&lt;&gt;0,),0)),IF(AY753=0,INDEX($AM$7:$AW$7,MATCH(1,$AM753:$AW753,0)),IF(BF753="Multiple strategies","mixed drivers",IF(BF753="Supply chain","multiple supply","multiple silviculture"))))</f>
        <v>technologies/design switch</v>
      </c>
      <c r="BF753" s="2" t="str" cm="1">
        <f t="array" ref="BF753">IF(COUNTIF(AZ753:BB753,"&lt;&gt;0")=1,INDEX($V$4:$AW$4,MATCH(TRUE,INDEX($V753:$AW753&lt;&gt;0,),0)),IF(COUNTIF(AZ753:BB753,"&lt;&gt;0")=0,INDEX($AM$4:$AW$4,MATCH(1,$AM753:$AW753,0)),"Multiple strategies"))</f>
        <v>Technology</v>
      </c>
      <c r="BG753" s="142" t="s">
        <v>229</v>
      </c>
      <c r="BH753" t="s">
        <v>1666</v>
      </c>
      <c r="BI753" s="264" t="s">
        <v>1056</v>
      </c>
      <c r="BJ753" s="143" t="s">
        <v>3264</v>
      </c>
      <c r="BK753">
        <v>0</v>
      </c>
      <c r="BL753" s="143">
        <v>41.1</v>
      </c>
      <c r="BM753" s="143"/>
      <c r="BN753">
        <f t="shared" si="876"/>
        <v>41.1</v>
      </c>
      <c r="BO753" s="143">
        <f t="shared" si="901"/>
        <v>6.7156862745098032</v>
      </c>
      <c r="BP753" t="s">
        <v>232</v>
      </c>
      <c r="BR753" t="s">
        <v>937</v>
      </c>
      <c r="BS753" s="143">
        <v>-1</v>
      </c>
      <c r="BT753" s="151">
        <v>0</v>
      </c>
      <c r="BU753">
        <v>0</v>
      </c>
      <c r="BV753">
        <v>1</v>
      </c>
      <c r="BX753">
        <f t="shared" si="878"/>
        <v>3.67</v>
      </c>
      <c r="BY753">
        <f t="shared" si="902"/>
        <v>0.54648175182481762</v>
      </c>
      <c r="BZ753" s="143">
        <v>0</v>
      </c>
      <c r="CA753" s="143">
        <v>0</v>
      </c>
      <c r="CB753" s="143">
        <v>0</v>
      </c>
      <c r="CC753" s="143">
        <v>0</v>
      </c>
      <c r="CD753" s="143">
        <v>0</v>
      </c>
      <c r="CE753" s="143">
        <v>0</v>
      </c>
      <c r="CF753" s="143">
        <v>0</v>
      </c>
      <c r="CG753" s="143">
        <v>0</v>
      </c>
      <c r="CH753" s="143">
        <v>0</v>
      </c>
      <c r="CI753" s="143">
        <v>0</v>
      </c>
      <c r="CJ753" s="143">
        <v>0</v>
      </c>
      <c r="CK753" s="143">
        <v>0</v>
      </c>
      <c r="CL753" s="143">
        <v>0</v>
      </c>
      <c r="CM753">
        <v>1</v>
      </c>
      <c r="CN753" t="str">
        <f t="shared" si="879"/>
        <v>refOK</v>
      </c>
      <c r="CO753">
        <f t="shared" si="880"/>
        <v>0</v>
      </c>
      <c r="CP753">
        <f t="shared" si="881"/>
        <v>41.1</v>
      </c>
      <c r="CQ753">
        <f t="shared" si="882"/>
        <v>6.7156862745098032</v>
      </c>
      <c r="CR753">
        <f t="shared" si="883"/>
        <v>-1</v>
      </c>
      <c r="CS753">
        <f t="shared" si="884"/>
        <v>0</v>
      </c>
      <c r="CT753">
        <f t="shared" si="885"/>
        <v>3.67</v>
      </c>
      <c r="CU753">
        <f t="shared" si="886"/>
        <v>0.54648175182481762</v>
      </c>
      <c r="CV753" s="2">
        <f t="shared" si="887"/>
        <v>1</v>
      </c>
      <c r="CW753" s="1" t="s">
        <v>1202</v>
      </c>
      <c r="CX753" t="str">
        <f t="shared" si="888"/>
        <v>reg</v>
      </c>
      <c r="CY753" t="s">
        <v>444</v>
      </c>
      <c r="DA753" s="143"/>
      <c r="DB753" s="143">
        <v>0</v>
      </c>
      <c r="DC753" t="str">
        <f t="shared" si="889"/>
        <v>0</v>
      </c>
      <c r="DD753">
        <v>0</v>
      </c>
      <c r="DE753">
        <v>1</v>
      </c>
      <c r="DF753">
        <v>0</v>
      </c>
      <c r="DG753">
        <v>0</v>
      </c>
      <c r="DI753">
        <f t="shared" si="890"/>
        <v>1</v>
      </c>
      <c r="DJ753" t="str">
        <f t="shared" si="891"/>
        <v>EnergyInput</v>
      </c>
      <c r="DK753">
        <f t="shared" si="892"/>
        <v>0</v>
      </c>
      <c r="DL753" t="str">
        <f t="shared" si="893"/>
        <v>Energy</v>
      </c>
      <c r="DM753">
        <f t="shared" si="894"/>
        <v>0</v>
      </c>
      <c r="DN753">
        <f t="shared" si="895"/>
        <v>0</v>
      </c>
      <c r="DO753">
        <v>0</v>
      </c>
      <c r="DP753" s="143">
        <v>0</v>
      </c>
      <c r="DQ753" s="143">
        <v>0</v>
      </c>
      <c r="DR753">
        <v>0</v>
      </c>
      <c r="DS753" s="143">
        <v>0</v>
      </c>
      <c r="DT753">
        <f t="shared" si="896"/>
        <v>0</v>
      </c>
      <c r="DU753" s="143" t="str">
        <f t="shared" si="897"/>
        <v>explicit C balance</v>
      </c>
      <c r="DV753" s="143">
        <v>0</v>
      </c>
      <c r="DW753" s="143">
        <v>0</v>
      </c>
      <c r="DX753" s="143">
        <v>0</v>
      </c>
      <c r="DY753" s="143">
        <v>0</v>
      </c>
      <c r="DZ753">
        <v>0</v>
      </c>
      <c r="EA753" s="143">
        <v>0</v>
      </c>
      <c r="EB753" s="143">
        <v>0</v>
      </c>
      <c r="EC753" s="143">
        <v>1</v>
      </c>
      <c r="ED753" s="143">
        <v>0</v>
      </c>
      <c r="EE753">
        <v>0</v>
      </c>
      <c r="EF753">
        <v>0</v>
      </c>
      <c r="EG753" s="143">
        <v>0</v>
      </c>
      <c r="EH753" s="143">
        <v>0</v>
      </c>
      <c r="EI753" s="2">
        <v>0</v>
      </c>
      <c r="EK753" t="str">
        <f t="shared" si="898"/>
        <v/>
      </c>
      <c r="EL753" t="str">
        <f t="shared" si="899"/>
        <v/>
      </c>
      <c r="EM753" s="2" t="str">
        <f t="shared" si="903"/>
        <v/>
      </c>
      <c r="EP753" t="str">
        <f>IF(ISNUMBER(BU753),IF(ABS(BU753-[2]QC_indicators!$B$2)&gt;3*[2]QC_indicators!$C$2,"C ratio",IF(ISNUMBER(BY753),IF(ABS(BY753-[2]QC_indicators!$B$1)&gt;3*[2]QC_indicators!$C$1,"DF","no"))),IF(ISNUMBER(BY753),IF(ABS(BY753-[2]QC_indicators!$B$1)&gt;3*[2]QC_indicators!$C$1,"DF","no")))</f>
        <v>no</v>
      </c>
      <c r="ER753" s="149" t="s">
        <v>349</v>
      </c>
      <c r="ET753" s="264" t="s">
        <v>3265</v>
      </c>
    </row>
    <row r="754" spans="1:150" ht="15" hidden="1" customHeight="1">
      <c r="D754" t="s">
        <v>1660</v>
      </c>
      <c r="E754" t="s">
        <v>1661</v>
      </c>
      <c r="G754" t="s">
        <v>1662</v>
      </c>
      <c r="I754">
        <v>2007</v>
      </c>
      <c r="K754" t="s">
        <v>1663</v>
      </c>
      <c r="M754" t="str">
        <f t="shared" si="839"/>
        <v>Gustavsson_2007</v>
      </c>
      <c r="N754" t="s">
        <v>222</v>
      </c>
      <c r="O754" t="s">
        <v>223</v>
      </c>
      <c r="Q754" t="s">
        <v>256</v>
      </c>
      <c r="R754" s="269" t="s">
        <v>274</v>
      </c>
      <c r="S754" s="1" t="s">
        <v>1664</v>
      </c>
      <c r="T754" t="s">
        <v>1667</v>
      </c>
      <c r="U754" s="143" t="s">
        <v>1686</v>
      </c>
      <c r="V754">
        <v>0</v>
      </c>
      <c r="W754">
        <v>0</v>
      </c>
      <c r="X754">
        <v>0</v>
      </c>
      <c r="Y754">
        <v>0</v>
      </c>
      <c r="Z754">
        <v>0</v>
      </c>
      <c r="AA754">
        <v>0</v>
      </c>
      <c r="AB754">
        <v>0</v>
      </c>
      <c r="AC754">
        <v>0</v>
      </c>
      <c r="AD754">
        <v>0</v>
      </c>
      <c r="AE754">
        <v>0</v>
      </c>
      <c r="AF754">
        <v>0</v>
      </c>
      <c r="AG754">
        <v>0</v>
      </c>
      <c r="AH754">
        <v>0</v>
      </c>
      <c r="AI754">
        <v>0</v>
      </c>
      <c r="AJ754">
        <v>0</v>
      </c>
      <c r="AK754">
        <v>1</v>
      </c>
      <c r="AL754">
        <v>0</v>
      </c>
      <c r="AM754">
        <v>0</v>
      </c>
      <c r="AN754">
        <v>0</v>
      </c>
      <c r="AO754">
        <v>0</v>
      </c>
      <c r="AP754">
        <v>0</v>
      </c>
      <c r="AQ754">
        <v>0</v>
      </c>
      <c r="AR754">
        <v>0</v>
      </c>
      <c r="AS754">
        <v>0</v>
      </c>
      <c r="AT754">
        <v>0</v>
      </c>
      <c r="AU754">
        <v>0</v>
      </c>
      <c r="AV754">
        <v>0</v>
      </c>
      <c r="AW754">
        <v>0</v>
      </c>
      <c r="AX754" s="141">
        <f t="shared" si="868"/>
        <v>1</v>
      </c>
      <c r="AY754" s="141">
        <f t="shared" si="869"/>
        <v>1</v>
      </c>
      <c r="AZ754">
        <f t="shared" si="870"/>
        <v>0</v>
      </c>
      <c r="BA754">
        <f t="shared" si="871"/>
        <v>0</v>
      </c>
      <c r="BB754">
        <f t="shared" si="872"/>
        <v>1</v>
      </c>
      <c r="BC754">
        <f t="shared" si="873"/>
        <v>0</v>
      </c>
      <c r="BD754">
        <f t="shared" si="874"/>
        <v>0</v>
      </c>
      <c r="BE754" t="str">
        <f t="array" ref="BE754">IF(AY754=1,INDEX($V$7:$AL$7,MATCH(TRUE,INDEX($V754:$AW754&lt;&gt;0,),0)),IF(AY754=0,INDEX($AM$7:$AW$7,MATCH(1,$AM754:$AW754,0)),IF(BF754="Multiple strategies","mixed drivers",IF(BF754="Supply chain","multiple supply","multiple silviculture"))))</f>
        <v>technologies/design switch</v>
      </c>
      <c r="BF754" s="2" t="str" cm="1">
        <f t="array" ref="BF754">IF(COUNTIF(AZ754:BB754,"&lt;&gt;0")=1,INDEX($V$4:$AW$4,MATCH(TRUE,INDEX($V754:$AW754&lt;&gt;0,),0)),IF(COUNTIF(AZ754:BB754,"&lt;&gt;0")=0,INDEX($AM$4:$AW$4,MATCH(1,$AM754:$AW754,0)),"Multiple strategies"))</f>
        <v>Technology</v>
      </c>
      <c r="BG754" s="142" t="s">
        <v>229</v>
      </c>
      <c r="BH754" t="s">
        <v>1666</v>
      </c>
      <c r="BI754" s="264" t="s">
        <v>1056</v>
      </c>
      <c r="BJ754" s="143" t="s">
        <v>3264</v>
      </c>
      <c r="BK754">
        <v>0</v>
      </c>
      <c r="BL754" s="143">
        <v>31.6</v>
      </c>
      <c r="BM754" s="143"/>
      <c r="BN754">
        <f t="shared" si="876"/>
        <v>31.6</v>
      </c>
      <c r="BO754" s="143">
        <f t="shared" si="901"/>
        <v>5.1633986928104569</v>
      </c>
      <c r="BP754" t="s">
        <v>232</v>
      </c>
      <c r="BR754" t="s">
        <v>937</v>
      </c>
      <c r="BS754" s="143">
        <v>-1</v>
      </c>
      <c r="BT754" s="151">
        <v>0</v>
      </c>
      <c r="BU754">
        <v>0</v>
      </c>
      <c r="BV754">
        <v>1</v>
      </c>
      <c r="BX754">
        <f t="shared" si="878"/>
        <v>3.67</v>
      </c>
      <c r="BY754">
        <f t="shared" si="902"/>
        <v>0.71077215189873422</v>
      </c>
      <c r="BZ754" s="143">
        <v>0</v>
      </c>
      <c r="CA754" s="143">
        <v>0</v>
      </c>
      <c r="CB754" s="143">
        <v>0</v>
      </c>
      <c r="CC754" s="143">
        <v>0</v>
      </c>
      <c r="CD754" s="143">
        <v>0</v>
      </c>
      <c r="CE754" s="143">
        <v>0</v>
      </c>
      <c r="CF754" s="143">
        <v>0</v>
      </c>
      <c r="CG754" s="143">
        <v>0</v>
      </c>
      <c r="CH754" s="143">
        <v>0</v>
      </c>
      <c r="CI754" s="143">
        <v>0</v>
      </c>
      <c r="CJ754" s="143">
        <v>0</v>
      </c>
      <c r="CK754" s="143">
        <v>0</v>
      </c>
      <c r="CL754" s="143">
        <v>0</v>
      </c>
      <c r="CM754">
        <v>1</v>
      </c>
      <c r="CN754" t="str">
        <f t="shared" si="879"/>
        <v>refOK</v>
      </c>
      <c r="CO754">
        <f t="shared" si="880"/>
        <v>0</v>
      </c>
      <c r="CP754">
        <f t="shared" si="881"/>
        <v>31.6</v>
      </c>
      <c r="CQ754">
        <f t="shared" si="882"/>
        <v>5.1633986928104569</v>
      </c>
      <c r="CR754">
        <f t="shared" si="883"/>
        <v>-1</v>
      </c>
      <c r="CS754">
        <f t="shared" si="884"/>
        <v>0</v>
      </c>
      <c r="CT754">
        <f t="shared" si="885"/>
        <v>3.67</v>
      </c>
      <c r="CU754">
        <f t="shared" si="886"/>
        <v>0.71077215189873422</v>
      </c>
      <c r="CV754" s="2">
        <f t="shared" si="887"/>
        <v>1</v>
      </c>
      <c r="CW754" s="1" t="s">
        <v>1202</v>
      </c>
      <c r="CX754" t="str">
        <f t="shared" si="888"/>
        <v>reg</v>
      </c>
      <c r="CY754" t="s">
        <v>444</v>
      </c>
      <c r="DA754" s="143"/>
      <c r="DB754" s="143">
        <v>0</v>
      </c>
      <c r="DC754" t="str">
        <f t="shared" si="889"/>
        <v>0</v>
      </c>
      <c r="DD754">
        <v>0</v>
      </c>
      <c r="DE754">
        <v>1</v>
      </c>
      <c r="DF754">
        <v>0</v>
      </c>
      <c r="DG754">
        <v>0</v>
      </c>
      <c r="DI754">
        <f t="shared" si="890"/>
        <v>1</v>
      </c>
      <c r="DJ754" t="str">
        <f t="shared" si="891"/>
        <v>EnergyInput</v>
      </c>
      <c r="DK754">
        <f t="shared" si="892"/>
        <v>0</v>
      </c>
      <c r="DL754" t="str">
        <f t="shared" si="893"/>
        <v>Energy</v>
      </c>
      <c r="DM754">
        <f t="shared" si="894"/>
        <v>0</v>
      </c>
      <c r="DN754">
        <f t="shared" si="895"/>
        <v>0</v>
      </c>
      <c r="DO754">
        <v>0</v>
      </c>
      <c r="DP754" s="143">
        <v>0</v>
      </c>
      <c r="DQ754" s="143">
        <v>0</v>
      </c>
      <c r="DR754">
        <v>0</v>
      </c>
      <c r="DS754" s="143">
        <v>0</v>
      </c>
      <c r="DT754">
        <f t="shared" si="896"/>
        <v>0</v>
      </c>
      <c r="DU754" s="143" t="str">
        <f t="shared" si="897"/>
        <v>explicit C balance</v>
      </c>
      <c r="DV754" s="143">
        <v>0</v>
      </c>
      <c r="DW754" s="143">
        <v>0</v>
      </c>
      <c r="DX754" s="143">
        <v>0</v>
      </c>
      <c r="DY754" s="143">
        <v>0</v>
      </c>
      <c r="DZ754">
        <v>0</v>
      </c>
      <c r="EA754" s="143">
        <v>0</v>
      </c>
      <c r="EB754" s="143">
        <v>0</v>
      </c>
      <c r="EC754" s="143">
        <v>1</v>
      </c>
      <c r="ED754" s="143">
        <v>0</v>
      </c>
      <c r="EE754">
        <v>0</v>
      </c>
      <c r="EF754">
        <v>0</v>
      </c>
      <c r="EG754" s="143">
        <v>0</v>
      </c>
      <c r="EH754" s="143">
        <v>0</v>
      </c>
      <c r="EI754" s="2">
        <v>0</v>
      </c>
      <c r="EK754" t="str">
        <f t="shared" si="898"/>
        <v/>
      </c>
      <c r="EL754" t="str">
        <f t="shared" si="899"/>
        <v/>
      </c>
      <c r="EM754" s="2" t="str">
        <f t="shared" si="903"/>
        <v/>
      </c>
      <c r="EP754" t="str">
        <f>IF(ISNUMBER(BU754),IF(ABS(BU754-[2]QC_indicators!$B$2)&gt;3*[2]QC_indicators!$C$2,"C ratio",IF(ISNUMBER(BY754),IF(ABS(BY754-[2]QC_indicators!$B$1)&gt;3*[2]QC_indicators!$C$1,"DF","no"))),IF(ISNUMBER(BY754),IF(ABS(BY754-[2]QC_indicators!$B$1)&gt;3*[2]QC_indicators!$C$1,"DF","no")))</f>
        <v>no</v>
      </c>
      <c r="ER754" s="149" t="s">
        <v>349</v>
      </c>
      <c r="ET754" s="264" t="s">
        <v>3265</v>
      </c>
    </row>
    <row r="755" spans="1:150" ht="15" hidden="1" customHeight="1">
      <c r="D755" t="s">
        <v>1660</v>
      </c>
      <c r="E755" t="s">
        <v>1661</v>
      </c>
      <c r="G755" t="s">
        <v>1662</v>
      </c>
      <c r="I755">
        <v>2007</v>
      </c>
      <c r="K755" t="s">
        <v>1663</v>
      </c>
      <c r="M755" t="str">
        <f t="shared" si="839"/>
        <v>Gustavsson_2007</v>
      </c>
      <c r="N755" t="s">
        <v>222</v>
      </c>
      <c r="O755" t="s">
        <v>223</v>
      </c>
      <c r="Q755" t="s">
        <v>256</v>
      </c>
      <c r="R755" s="269" t="s">
        <v>274</v>
      </c>
      <c r="S755" s="1" t="s">
        <v>1664</v>
      </c>
      <c r="T755" t="s">
        <v>1676</v>
      </c>
      <c r="U755" s="143" t="s">
        <v>1682</v>
      </c>
      <c r="V755">
        <v>0</v>
      </c>
      <c r="W755">
        <v>0</v>
      </c>
      <c r="X755">
        <v>0</v>
      </c>
      <c r="Y755">
        <v>0</v>
      </c>
      <c r="Z755">
        <v>0</v>
      </c>
      <c r="AA755">
        <v>0</v>
      </c>
      <c r="AB755">
        <v>0</v>
      </c>
      <c r="AC755">
        <v>0</v>
      </c>
      <c r="AD755">
        <v>0</v>
      </c>
      <c r="AE755">
        <v>0</v>
      </c>
      <c r="AF755">
        <v>0</v>
      </c>
      <c r="AG755">
        <v>0</v>
      </c>
      <c r="AH755">
        <v>0</v>
      </c>
      <c r="AI755">
        <v>0</v>
      </c>
      <c r="AJ755">
        <v>0</v>
      </c>
      <c r="AK755">
        <v>1</v>
      </c>
      <c r="AL755">
        <v>0</v>
      </c>
      <c r="AM755">
        <v>0</v>
      </c>
      <c r="AN755">
        <v>0</v>
      </c>
      <c r="AO755">
        <v>0</v>
      </c>
      <c r="AP755">
        <v>0</v>
      </c>
      <c r="AQ755">
        <v>0</v>
      </c>
      <c r="AR755">
        <v>0</v>
      </c>
      <c r="AS755">
        <v>0</v>
      </c>
      <c r="AT755">
        <v>0</v>
      </c>
      <c r="AU755">
        <v>0</v>
      </c>
      <c r="AV755">
        <v>0</v>
      </c>
      <c r="AW755">
        <v>0</v>
      </c>
      <c r="AX755" s="141">
        <f t="shared" si="868"/>
        <v>1</v>
      </c>
      <c r="AY755" s="141">
        <f t="shared" si="869"/>
        <v>1</v>
      </c>
      <c r="AZ755">
        <f t="shared" si="870"/>
        <v>0</v>
      </c>
      <c r="BA755">
        <f t="shared" si="871"/>
        <v>0</v>
      </c>
      <c r="BB755">
        <f t="shared" si="872"/>
        <v>1</v>
      </c>
      <c r="BC755">
        <f t="shared" si="873"/>
        <v>0</v>
      </c>
      <c r="BD755">
        <f t="shared" si="874"/>
        <v>0</v>
      </c>
      <c r="BE755" t="str">
        <f t="array" ref="BE755">IF(AY755=1,INDEX($V$7:$AL$7,MATCH(TRUE,INDEX($V755:$AW755&lt;&gt;0,),0)),IF(AY755=0,INDEX($AM$7:$AW$7,MATCH(1,$AM755:$AW755,0)),IF(BF755="Multiple strategies","mixed drivers",IF(BF755="Supply chain","multiple supply","multiple silviculture"))))</f>
        <v>technologies/design switch</v>
      </c>
      <c r="BF755" s="2" t="str" cm="1">
        <f t="array" ref="BF755">IF(COUNTIF(AZ755:BB755,"&lt;&gt;0")=1,INDEX($V$4:$AW$4,MATCH(TRUE,INDEX($V755:$AW755&lt;&gt;0,),0)),IF(COUNTIF(AZ755:BB755,"&lt;&gt;0")=0,INDEX($AM$4:$AW$4,MATCH(1,$AM755:$AW755,0)),"Multiple strategies"))</f>
        <v>Technology</v>
      </c>
      <c r="BG755" s="142" t="s">
        <v>229</v>
      </c>
      <c r="BH755" t="s">
        <v>1666</v>
      </c>
      <c r="BI755" s="264" t="s">
        <v>1056</v>
      </c>
      <c r="BJ755" s="143" t="s">
        <v>3264</v>
      </c>
      <c r="BK755">
        <v>0</v>
      </c>
      <c r="BL755" s="143">
        <v>27.1</v>
      </c>
      <c r="BM755" s="143"/>
      <c r="BN755">
        <f t="shared" si="876"/>
        <v>27.1</v>
      </c>
      <c r="BO755" s="143">
        <f t="shared" si="901"/>
        <v>4.4281045751633989</v>
      </c>
      <c r="BP755" t="s">
        <v>232</v>
      </c>
      <c r="BR755" t="s">
        <v>937</v>
      </c>
      <c r="BS755" s="143">
        <v>-1</v>
      </c>
      <c r="BT755" s="151">
        <v>0</v>
      </c>
      <c r="BU755">
        <v>0</v>
      </c>
      <c r="BV755">
        <v>1</v>
      </c>
      <c r="BX755">
        <f t="shared" si="878"/>
        <v>3.67</v>
      </c>
      <c r="BY755">
        <f t="shared" si="902"/>
        <v>0.82879704797047959</v>
      </c>
      <c r="BZ755" s="143">
        <v>0</v>
      </c>
      <c r="CA755" s="143">
        <v>0</v>
      </c>
      <c r="CB755" s="143">
        <v>0</v>
      </c>
      <c r="CC755" s="143">
        <v>0</v>
      </c>
      <c r="CD755" s="143">
        <v>0</v>
      </c>
      <c r="CE755" s="143">
        <v>0</v>
      </c>
      <c r="CF755" s="143">
        <v>0</v>
      </c>
      <c r="CG755" s="143">
        <v>0</v>
      </c>
      <c r="CH755" s="143">
        <v>0</v>
      </c>
      <c r="CI755" s="143">
        <v>0</v>
      </c>
      <c r="CJ755" s="143">
        <v>0</v>
      </c>
      <c r="CK755" s="143">
        <v>0</v>
      </c>
      <c r="CL755" s="143">
        <v>0</v>
      </c>
      <c r="CM755">
        <v>1</v>
      </c>
      <c r="CN755" t="str">
        <f t="shared" si="879"/>
        <v>refOK</v>
      </c>
      <c r="CO755">
        <f t="shared" si="880"/>
        <v>0</v>
      </c>
      <c r="CP755">
        <f t="shared" si="881"/>
        <v>27.1</v>
      </c>
      <c r="CQ755">
        <f t="shared" si="882"/>
        <v>4.4281045751633989</v>
      </c>
      <c r="CR755">
        <f t="shared" si="883"/>
        <v>-1</v>
      </c>
      <c r="CS755">
        <f t="shared" si="884"/>
        <v>0</v>
      </c>
      <c r="CT755">
        <f t="shared" si="885"/>
        <v>3.67</v>
      </c>
      <c r="CU755">
        <f t="shared" si="886"/>
        <v>0.82879704797047959</v>
      </c>
      <c r="CV755" s="2">
        <f t="shared" si="887"/>
        <v>1</v>
      </c>
      <c r="CW755" s="1" t="s">
        <v>1202</v>
      </c>
      <c r="CX755" t="str">
        <f t="shared" si="888"/>
        <v>reg</v>
      </c>
      <c r="CY755" t="s">
        <v>444</v>
      </c>
      <c r="DA755" s="143"/>
      <c r="DB755" s="143">
        <v>0</v>
      </c>
      <c r="DC755" t="str">
        <f t="shared" si="889"/>
        <v>0</v>
      </c>
      <c r="DD755">
        <v>0</v>
      </c>
      <c r="DE755">
        <v>1</v>
      </c>
      <c r="DF755">
        <v>0</v>
      </c>
      <c r="DG755">
        <v>0</v>
      </c>
      <c r="DI755">
        <f t="shared" si="890"/>
        <v>1</v>
      </c>
      <c r="DJ755" t="str">
        <f t="shared" si="891"/>
        <v>EnergyInput</v>
      </c>
      <c r="DK755">
        <f t="shared" si="892"/>
        <v>0</v>
      </c>
      <c r="DL755" t="str">
        <f t="shared" si="893"/>
        <v>Energy</v>
      </c>
      <c r="DM755">
        <f t="shared" si="894"/>
        <v>0</v>
      </c>
      <c r="DN755">
        <f t="shared" si="895"/>
        <v>0</v>
      </c>
      <c r="DO755">
        <v>0</v>
      </c>
      <c r="DP755" s="143">
        <v>0</v>
      </c>
      <c r="DQ755" s="143">
        <v>0</v>
      </c>
      <c r="DR755">
        <v>0</v>
      </c>
      <c r="DS755" s="143">
        <v>0</v>
      </c>
      <c r="DT755">
        <f t="shared" si="896"/>
        <v>0</v>
      </c>
      <c r="DU755" s="143" t="str">
        <f t="shared" si="897"/>
        <v>explicit C balance</v>
      </c>
      <c r="DV755" s="143">
        <v>0</v>
      </c>
      <c r="DW755" s="143">
        <v>0</v>
      </c>
      <c r="DX755" s="143">
        <v>0</v>
      </c>
      <c r="DY755" s="143">
        <v>0</v>
      </c>
      <c r="DZ755">
        <v>0</v>
      </c>
      <c r="EA755" s="143">
        <v>0</v>
      </c>
      <c r="EB755" s="143">
        <v>0</v>
      </c>
      <c r="EC755" s="143">
        <v>1</v>
      </c>
      <c r="ED755" s="143">
        <v>0</v>
      </c>
      <c r="EE755">
        <v>0</v>
      </c>
      <c r="EF755">
        <v>0</v>
      </c>
      <c r="EG755" s="143">
        <v>0</v>
      </c>
      <c r="EH755" s="143">
        <v>0</v>
      </c>
      <c r="EI755" s="2">
        <v>0</v>
      </c>
      <c r="EK755" t="str">
        <f t="shared" si="898"/>
        <v/>
      </c>
      <c r="EL755" t="str">
        <f t="shared" si="899"/>
        <v/>
      </c>
      <c r="EM755" s="2" t="str">
        <f t="shared" si="903"/>
        <v/>
      </c>
      <c r="EP755" t="str">
        <f>IF(ISNUMBER(BU755),IF(ABS(BU755-[2]QC_indicators!$B$2)&gt;3*[2]QC_indicators!$C$2,"C ratio",IF(ISNUMBER(BY755),IF(ABS(BY755-[2]QC_indicators!$B$1)&gt;3*[2]QC_indicators!$C$1,"DF","no"))),IF(ISNUMBER(BY755),IF(ABS(BY755-[2]QC_indicators!$B$1)&gt;3*[2]QC_indicators!$C$1,"DF","no")))</f>
        <v>no</v>
      </c>
      <c r="ER755" s="149" t="s">
        <v>349</v>
      </c>
      <c r="ET755" s="264" t="s">
        <v>3265</v>
      </c>
    </row>
    <row r="756" spans="1:150" ht="15" hidden="1" customHeight="1">
      <c r="D756" t="s">
        <v>1660</v>
      </c>
      <c r="E756" t="s">
        <v>1661</v>
      </c>
      <c r="G756" t="s">
        <v>1662</v>
      </c>
      <c r="I756">
        <v>2007</v>
      </c>
      <c r="K756" t="s">
        <v>1663</v>
      </c>
      <c r="M756" t="str">
        <f t="shared" si="839"/>
        <v>Gustavsson_2007</v>
      </c>
      <c r="N756" t="s">
        <v>222</v>
      </c>
      <c r="O756" t="s">
        <v>223</v>
      </c>
      <c r="Q756" t="s">
        <v>256</v>
      </c>
      <c r="R756" s="269" t="s">
        <v>274</v>
      </c>
      <c r="S756" s="1" t="s">
        <v>1664</v>
      </c>
      <c r="T756" t="s">
        <v>1678</v>
      </c>
      <c r="U756" s="143" t="s">
        <v>1682</v>
      </c>
      <c r="V756">
        <v>0</v>
      </c>
      <c r="W756">
        <v>0</v>
      </c>
      <c r="X756">
        <v>0</v>
      </c>
      <c r="Y756">
        <v>0</v>
      </c>
      <c r="Z756">
        <v>0</v>
      </c>
      <c r="AA756">
        <v>0</v>
      </c>
      <c r="AB756">
        <v>0</v>
      </c>
      <c r="AC756">
        <v>0</v>
      </c>
      <c r="AD756">
        <v>0</v>
      </c>
      <c r="AE756">
        <v>0</v>
      </c>
      <c r="AF756">
        <v>0</v>
      </c>
      <c r="AG756">
        <v>0</v>
      </c>
      <c r="AH756">
        <v>0</v>
      </c>
      <c r="AI756">
        <v>0</v>
      </c>
      <c r="AJ756">
        <v>0</v>
      </c>
      <c r="AK756">
        <v>1</v>
      </c>
      <c r="AL756">
        <v>0</v>
      </c>
      <c r="AM756">
        <v>0</v>
      </c>
      <c r="AN756">
        <v>0</v>
      </c>
      <c r="AO756">
        <v>0</v>
      </c>
      <c r="AP756">
        <v>0</v>
      </c>
      <c r="AQ756">
        <v>0</v>
      </c>
      <c r="AR756">
        <v>0</v>
      </c>
      <c r="AS756">
        <v>0</v>
      </c>
      <c r="AT756">
        <v>0</v>
      </c>
      <c r="AU756">
        <v>0</v>
      </c>
      <c r="AV756">
        <v>0</v>
      </c>
      <c r="AW756">
        <v>0</v>
      </c>
      <c r="AX756" s="141">
        <f t="shared" si="868"/>
        <v>1</v>
      </c>
      <c r="AY756" s="141">
        <f t="shared" si="869"/>
        <v>1</v>
      </c>
      <c r="AZ756">
        <f t="shared" si="870"/>
        <v>0</v>
      </c>
      <c r="BA756">
        <f t="shared" si="871"/>
        <v>0</v>
      </c>
      <c r="BB756">
        <f t="shared" si="872"/>
        <v>1</v>
      </c>
      <c r="BC756">
        <f t="shared" si="873"/>
        <v>0</v>
      </c>
      <c r="BD756">
        <f t="shared" si="874"/>
        <v>0</v>
      </c>
      <c r="BE756" t="str">
        <f t="array" ref="BE756">IF(AY756=1,INDEX($V$7:$AL$7,MATCH(TRUE,INDEX($V756:$AW756&lt;&gt;0,),0)),IF(AY756=0,INDEX($AM$7:$AW$7,MATCH(1,$AM756:$AW756,0)),IF(BF756="Multiple strategies","mixed drivers",IF(BF756="Supply chain","multiple supply","multiple silviculture"))))</f>
        <v>technologies/design switch</v>
      </c>
      <c r="BF756" s="2" t="str" cm="1">
        <f t="array" ref="BF756">IF(COUNTIF(AZ756:BB756,"&lt;&gt;0")=1,INDEX($V$4:$AW$4,MATCH(TRUE,INDEX($V756:$AW756&lt;&gt;0,),0)),IF(COUNTIF(AZ756:BB756,"&lt;&gt;0")=0,INDEX($AM$4:$AW$4,MATCH(1,$AM756:$AW756,0)),"Multiple strategies"))</f>
        <v>Technology</v>
      </c>
      <c r="BG756" s="142" t="s">
        <v>229</v>
      </c>
      <c r="BH756" t="s">
        <v>1666</v>
      </c>
      <c r="BI756" s="264" t="s">
        <v>1056</v>
      </c>
      <c r="BJ756" s="143" t="s">
        <v>3264</v>
      </c>
      <c r="BK756">
        <v>0</v>
      </c>
      <c r="BL756" s="143">
        <v>25.3</v>
      </c>
      <c r="BM756" s="143"/>
      <c r="BN756">
        <f t="shared" si="876"/>
        <v>25.3</v>
      </c>
      <c r="BO756" s="143">
        <f t="shared" si="901"/>
        <v>4.1339869281045747</v>
      </c>
      <c r="BP756" t="s">
        <v>232</v>
      </c>
      <c r="BR756" t="s">
        <v>937</v>
      </c>
      <c r="BS756" s="143">
        <v>-1</v>
      </c>
      <c r="BT756" s="151">
        <v>0</v>
      </c>
      <c r="BU756">
        <v>0</v>
      </c>
      <c r="BV756">
        <v>1</v>
      </c>
      <c r="BX756">
        <f t="shared" si="878"/>
        <v>3.67</v>
      </c>
      <c r="BY756">
        <f t="shared" si="902"/>
        <v>0.88776284584980247</v>
      </c>
      <c r="BZ756" s="143">
        <v>0</v>
      </c>
      <c r="CA756" s="143">
        <v>0</v>
      </c>
      <c r="CB756" s="143">
        <v>0</v>
      </c>
      <c r="CC756" s="143">
        <v>0</v>
      </c>
      <c r="CD756" s="143">
        <v>0</v>
      </c>
      <c r="CE756" s="143">
        <v>0</v>
      </c>
      <c r="CF756" s="143">
        <v>0</v>
      </c>
      <c r="CG756" s="143">
        <v>0</v>
      </c>
      <c r="CH756" s="143">
        <v>0</v>
      </c>
      <c r="CI756" s="143">
        <v>0</v>
      </c>
      <c r="CJ756" s="143">
        <v>0</v>
      </c>
      <c r="CK756" s="143">
        <v>0</v>
      </c>
      <c r="CL756" s="143">
        <v>0</v>
      </c>
      <c r="CM756">
        <v>1</v>
      </c>
      <c r="CN756" t="str">
        <f t="shared" si="879"/>
        <v>refOK</v>
      </c>
      <c r="CO756">
        <f t="shared" si="880"/>
        <v>0</v>
      </c>
      <c r="CP756">
        <f t="shared" si="881"/>
        <v>25.3</v>
      </c>
      <c r="CQ756">
        <f t="shared" si="882"/>
        <v>4.1339869281045747</v>
      </c>
      <c r="CR756">
        <f t="shared" si="883"/>
        <v>-1</v>
      </c>
      <c r="CS756">
        <f t="shared" si="884"/>
        <v>0</v>
      </c>
      <c r="CT756">
        <f t="shared" si="885"/>
        <v>3.67</v>
      </c>
      <c r="CU756">
        <f t="shared" si="886"/>
        <v>0.88776284584980247</v>
      </c>
      <c r="CV756" s="2">
        <f t="shared" si="887"/>
        <v>1</v>
      </c>
      <c r="CW756" s="1" t="s">
        <v>1202</v>
      </c>
      <c r="CX756" t="str">
        <f t="shared" si="888"/>
        <v>reg</v>
      </c>
      <c r="CY756" t="s">
        <v>444</v>
      </c>
      <c r="DA756" s="143"/>
      <c r="DB756" s="143">
        <v>0</v>
      </c>
      <c r="DC756" t="str">
        <f t="shared" si="889"/>
        <v>0</v>
      </c>
      <c r="DD756">
        <v>0</v>
      </c>
      <c r="DE756">
        <v>1</v>
      </c>
      <c r="DF756">
        <v>0</v>
      </c>
      <c r="DG756">
        <v>0</v>
      </c>
      <c r="DI756">
        <f t="shared" si="890"/>
        <v>1</v>
      </c>
      <c r="DJ756" t="str">
        <f t="shared" si="891"/>
        <v>EnergyInput</v>
      </c>
      <c r="DK756">
        <f t="shared" si="892"/>
        <v>0</v>
      </c>
      <c r="DL756" t="str">
        <f t="shared" si="893"/>
        <v>Energy</v>
      </c>
      <c r="DM756">
        <f t="shared" si="894"/>
        <v>0</v>
      </c>
      <c r="DN756">
        <f t="shared" si="895"/>
        <v>0</v>
      </c>
      <c r="DO756">
        <v>0</v>
      </c>
      <c r="DP756" s="143">
        <v>0</v>
      </c>
      <c r="DQ756" s="143">
        <v>0</v>
      </c>
      <c r="DR756">
        <v>0</v>
      </c>
      <c r="DS756" s="143">
        <v>0</v>
      </c>
      <c r="DT756">
        <f t="shared" si="896"/>
        <v>0</v>
      </c>
      <c r="DU756" s="143" t="str">
        <f t="shared" si="897"/>
        <v>explicit C balance</v>
      </c>
      <c r="DV756" s="143">
        <v>0</v>
      </c>
      <c r="DW756" s="143">
        <v>0</v>
      </c>
      <c r="DX756" s="143">
        <v>0</v>
      </c>
      <c r="DY756" s="143">
        <v>0</v>
      </c>
      <c r="DZ756">
        <v>0</v>
      </c>
      <c r="EA756" s="143">
        <v>0</v>
      </c>
      <c r="EB756" s="143">
        <v>0</v>
      </c>
      <c r="EC756" s="143">
        <v>1</v>
      </c>
      <c r="ED756" s="143">
        <v>0</v>
      </c>
      <c r="EE756">
        <v>0</v>
      </c>
      <c r="EF756">
        <v>0</v>
      </c>
      <c r="EG756" s="143">
        <v>0</v>
      </c>
      <c r="EH756" s="143">
        <v>0</v>
      </c>
      <c r="EI756" s="2">
        <v>0</v>
      </c>
      <c r="EK756" t="str">
        <f t="shared" si="898"/>
        <v/>
      </c>
      <c r="EL756" t="str">
        <f t="shared" si="899"/>
        <v/>
      </c>
      <c r="EM756" s="2" t="str">
        <f t="shared" si="903"/>
        <v/>
      </c>
      <c r="EP756" t="str">
        <f>IF(ISNUMBER(BU756),IF(ABS(BU756-[2]QC_indicators!$B$2)&gt;3*[2]QC_indicators!$C$2,"C ratio",IF(ISNUMBER(BY756),IF(ABS(BY756-[2]QC_indicators!$B$1)&gt;3*[2]QC_indicators!$C$1,"DF","no"))),IF(ISNUMBER(BY756),IF(ABS(BY756-[2]QC_indicators!$B$1)&gt;3*[2]QC_indicators!$C$1,"DF","no")))</f>
        <v>no</v>
      </c>
      <c r="ER756" s="149" t="s">
        <v>349</v>
      </c>
      <c r="ET756" s="264" t="s">
        <v>3265</v>
      </c>
    </row>
    <row r="757" spans="1:150" ht="15" hidden="1" customHeight="1">
      <c r="D757" t="s">
        <v>1660</v>
      </c>
      <c r="E757" t="s">
        <v>1661</v>
      </c>
      <c r="G757" t="s">
        <v>1662</v>
      </c>
      <c r="I757">
        <v>2007</v>
      </c>
      <c r="K757" t="s">
        <v>1663</v>
      </c>
      <c r="M757" t="str">
        <f t="shared" si="839"/>
        <v>Gustavsson_2007</v>
      </c>
      <c r="N757" t="s">
        <v>222</v>
      </c>
      <c r="O757" t="s">
        <v>223</v>
      </c>
      <c r="Q757" t="s">
        <v>256</v>
      </c>
      <c r="R757" s="269" t="s">
        <v>274</v>
      </c>
      <c r="S757" s="1" t="s">
        <v>1664</v>
      </c>
      <c r="T757" t="s">
        <v>1683</v>
      </c>
      <c r="U757" s="143" t="s">
        <v>1682</v>
      </c>
      <c r="V757">
        <v>0</v>
      </c>
      <c r="W757">
        <v>0</v>
      </c>
      <c r="X757">
        <v>0</v>
      </c>
      <c r="Y757">
        <v>0</v>
      </c>
      <c r="Z757">
        <v>0</v>
      </c>
      <c r="AA757">
        <v>0</v>
      </c>
      <c r="AB757">
        <v>0</v>
      </c>
      <c r="AC757">
        <v>0</v>
      </c>
      <c r="AD757">
        <v>0</v>
      </c>
      <c r="AE757">
        <v>0</v>
      </c>
      <c r="AF757">
        <v>0</v>
      </c>
      <c r="AG757">
        <v>0</v>
      </c>
      <c r="AH757">
        <v>0</v>
      </c>
      <c r="AI757">
        <v>0</v>
      </c>
      <c r="AJ757">
        <v>0</v>
      </c>
      <c r="AK757">
        <v>1</v>
      </c>
      <c r="AL757">
        <v>0</v>
      </c>
      <c r="AM757">
        <v>0</v>
      </c>
      <c r="AN757">
        <v>0</v>
      </c>
      <c r="AO757">
        <v>0</v>
      </c>
      <c r="AP757">
        <v>0</v>
      </c>
      <c r="AQ757">
        <v>0</v>
      </c>
      <c r="AR757">
        <v>0</v>
      </c>
      <c r="AS757">
        <v>0</v>
      </c>
      <c r="AT757">
        <v>0</v>
      </c>
      <c r="AU757">
        <v>0</v>
      </c>
      <c r="AV757">
        <v>0</v>
      </c>
      <c r="AW757">
        <v>0</v>
      </c>
      <c r="AX757" s="141">
        <f t="shared" si="868"/>
        <v>1</v>
      </c>
      <c r="AY757" s="141">
        <f t="shared" si="869"/>
        <v>1</v>
      </c>
      <c r="AZ757">
        <f t="shared" si="870"/>
        <v>0</v>
      </c>
      <c r="BA757">
        <f t="shared" si="871"/>
        <v>0</v>
      </c>
      <c r="BB757">
        <f t="shared" si="872"/>
        <v>1</v>
      </c>
      <c r="BC757">
        <f t="shared" si="873"/>
        <v>0</v>
      </c>
      <c r="BD757">
        <f t="shared" si="874"/>
        <v>0</v>
      </c>
      <c r="BE757" t="str">
        <f t="array" ref="BE757">IF(AY757=1,INDEX($V$7:$AL$7,MATCH(TRUE,INDEX($V757:$AW757&lt;&gt;0,),0)),IF(AY757=0,INDEX($AM$7:$AW$7,MATCH(1,$AM757:$AW757,0)),IF(BF757="Multiple strategies","mixed drivers",IF(BF757="Supply chain","multiple supply","multiple silviculture"))))</f>
        <v>technologies/design switch</v>
      </c>
      <c r="BF757" s="2" t="str" cm="1">
        <f t="array" ref="BF757">IF(COUNTIF(AZ757:BB757,"&lt;&gt;0")=1,INDEX($V$4:$AW$4,MATCH(TRUE,INDEX($V757:$AW757&lt;&gt;0,),0)),IF(COUNTIF(AZ757:BB757,"&lt;&gt;0")=0,INDEX($AM$4:$AW$4,MATCH(1,$AM757:$AW757,0)),"Multiple strategies"))</f>
        <v>Technology</v>
      </c>
      <c r="BG757" s="142" t="s">
        <v>229</v>
      </c>
      <c r="BH757" t="s">
        <v>1666</v>
      </c>
      <c r="BI757" s="264" t="s">
        <v>1056</v>
      </c>
      <c r="BJ757" s="143" t="s">
        <v>3264</v>
      </c>
      <c r="BK757">
        <v>0</v>
      </c>
      <c r="BL757" s="143">
        <v>25.2</v>
      </c>
      <c r="BM757" s="143"/>
      <c r="BN757">
        <f t="shared" si="876"/>
        <v>25.2</v>
      </c>
      <c r="BO757" s="143">
        <f t="shared" si="901"/>
        <v>4.117647058823529</v>
      </c>
      <c r="BP757" t="s">
        <v>232</v>
      </c>
      <c r="BR757" t="s">
        <v>937</v>
      </c>
      <c r="BS757" s="143">
        <v>-1</v>
      </c>
      <c r="BT757" s="151">
        <v>0</v>
      </c>
      <c r="BU757">
        <v>0</v>
      </c>
      <c r="BV757">
        <v>1</v>
      </c>
      <c r="BX757">
        <f t="shared" si="878"/>
        <v>3.67</v>
      </c>
      <c r="BY757">
        <f t="shared" si="902"/>
        <v>0.89128571428571435</v>
      </c>
      <c r="BZ757" s="143">
        <v>0</v>
      </c>
      <c r="CA757" s="143">
        <v>0</v>
      </c>
      <c r="CB757" s="143">
        <v>0</v>
      </c>
      <c r="CC757" s="143">
        <v>0</v>
      </c>
      <c r="CD757" s="143">
        <v>0</v>
      </c>
      <c r="CE757" s="143">
        <v>0</v>
      </c>
      <c r="CF757" s="143">
        <v>0</v>
      </c>
      <c r="CG757" s="143">
        <v>0</v>
      </c>
      <c r="CH757" s="143">
        <v>0</v>
      </c>
      <c r="CI757" s="143">
        <v>0</v>
      </c>
      <c r="CJ757" s="143">
        <v>0</v>
      </c>
      <c r="CK757" s="143">
        <v>0</v>
      </c>
      <c r="CL757" s="143">
        <v>0</v>
      </c>
      <c r="CM757">
        <v>1</v>
      </c>
      <c r="CN757" t="str">
        <f t="shared" si="879"/>
        <v>refOK</v>
      </c>
      <c r="CO757">
        <f t="shared" si="880"/>
        <v>0</v>
      </c>
      <c r="CP757">
        <f t="shared" si="881"/>
        <v>25.2</v>
      </c>
      <c r="CQ757">
        <f t="shared" si="882"/>
        <v>4.117647058823529</v>
      </c>
      <c r="CR757">
        <f t="shared" si="883"/>
        <v>-1</v>
      </c>
      <c r="CS757">
        <f t="shared" si="884"/>
        <v>0</v>
      </c>
      <c r="CT757">
        <f t="shared" si="885"/>
        <v>3.67</v>
      </c>
      <c r="CU757">
        <f t="shared" si="886"/>
        <v>0.89128571428571435</v>
      </c>
      <c r="CV757" s="2">
        <f t="shared" si="887"/>
        <v>1</v>
      </c>
      <c r="CW757" s="1" t="s">
        <v>1202</v>
      </c>
      <c r="CX757" t="str">
        <f t="shared" si="888"/>
        <v>reg</v>
      </c>
      <c r="CY757" t="s">
        <v>444</v>
      </c>
      <c r="DA757" s="143"/>
      <c r="DB757" s="143">
        <v>0</v>
      </c>
      <c r="DC757" t="str">
        <f t="shared" si="889"/>
        <v>0</v>
      </c>
      <c r="DD757">
        <v>0</v>
      </c>
      <c r="DE757">
        <v>1</v>
      </c>
      <c r="DF757">
        <v>0</v>
      </c>
      <c r="DG757">
        <v>0</v>
      </c>
      <c r="DI757">
        <f t="shared" si="890"/>
        <v>1</v>
      </c>
      <c r="DJ757" t="str">
        <f t="shared" si="891"/>
        <v>EnergyInput</v>
      </c>
      <c r="DK757">
        <f t="shared" si="892"/>
        <v>0</v>
      </c>
      <c r="DL757" t="str">
        <f t="shared" si="893"/>
        <v>Energy</v>
      </c>
      <c r="DM757">
        <f t="shared" si="894"/>
        <v>0</v>
      </c>
      <c r="DN757">
        <f t="shared" si="895"/>
        <v>0</v>
      </c>
      <c r="DO757">
        <v>0</v>
      </c>
      <c r="DP757" s="143">
        <v>0</v>
      </c>
      <c r="DQ757" s="143">
        <v>0</v>
      </c>
      <c r="DR757">
        <v>0</v>
      </c>
      <c r="DS757" s="143">
        <v>0</v>
      </c>
      <c r="DT757">
        <f t="shared" si="896"/>
        <v>0</v>
      </c>
      <c r="DU757" s="143" t="str">
        <f t="shared" si="897"/>
        <v>explicit C balance</v>
      </c>
      <c r="DV757" s="143">
        <v>0</v>
      </c>
      <c r="DW757" s="143">
        <v>0</v>
      </c>
      <c r="DX757" s="143">
        <v>0</v>
      </c>
      <c r="DY757" s="143">
        <v>0</v>
      </c>
      <c r="DZ757">
        <v>0</v>
      </c>
      <c r="EA757" s="143">
        <v>0</v>
      </c>
      <c r="EB757" s="143">
        <v>0</v>
      </c>
      <c r="EC757" s="143">
        <v>1</v>
      </c>
      <c r="ED757" s="143">
        <v>0</v>
      </c>
      <c r="EE757">
        <v>0</v>
      </c>
      <c r="EF757">
        <v>0</v>
      </c>
      <c r="EG757" s="143">
        <v>0</v>
      </c>
      <c r="EH757" s="143">
        <v>0</v>
      </c>
      <c r="EI757" s="2">
        <v>0</v>
      </c>
      <c r="EK757" t="str">
        <f t="shared" si="898"/>
        <v/>
      </c>
      <c r="EL757" t="str">
        <f t="shared" si="899"/>
        <v/>
      </c>
      <c r="EM757" s="2" t="str">
        <f t="shared" si="903"/>
        <v/>
      </c>
      <c r="EP757" t="str">
        <f>IF(ISNUMBER(BU757),IF(ABS(BU757-[2]QC_indicators!$B$2)&gt;3*[2]QC_indicators!$C$2,"C ratio",IF(ISNUMBER(BY757),IF(ABS(BY757-[2]QC_indicators!$B$1)&gt;3*[2]QC_indicators!$C$1,"DF","no"))),IF(ISNUMBER(BY757),IF(ABS(BY757-[2]QC_indicators!$B$1)&gt;3*[2]QC_indicators!$C$1,"DF","no")))</f>
        <v>no</v>
      </c>
      <c r="ER757" s="149" t="s">
        <v>349</v>
      </c>
      <c r="ET757" s="264" t="s">
        <v>3265</v>
      </c>
    </row>
    <row r="758" spans="1:150" ht="15" hidden="1" customHeight="1">
      <c r="D758" t="s">
        <v>1660</v>
      </c>
      <c r="E758" t="s">
        <v>1661</v>
      </c>
      <c r="G758" t="s">
        <v>1662</v>
      </c>
      <c r="I758">
        <v>2007</v>
      </c>
      <c r="K758" t="s">
        <v>1663</v>
      </c>
      <c r="M758" t="str">
        <f t="shared" si="839"/>
        <v>Gustavsson_2007</v>
      </c>
      <c r="N758" t="s">
        <v>222</v>
      </c>
      <c r="O758" t="s">
        <v>223</v>
      </c>
      <c r="Q758" t="s">
        <v>256</v>
      </c>
      <c r="R758" s="269" t="s">
        <v>274</v>
      </c>
      <c r="S758" s="1" t="s">
        <v>1664</v>
      </c>
      <c r="T758" t="s">
        <v>1687</v>
      </c>
      <c r="U758" s="143" t="s">
        <v>1682</v>
      </c>
      <c r="V758">
        <v>0</v>
      </c>
      <c r="W758">
        <v>0</v>
      </c>
      <c r="X758">
        <v>0</v>
      </c>
      <c r="Y758">
        <v>0</v>
      </c>
      <c r="Z758">
        <v>0</v>
      </c>
      <c r="AA758">
        <v>0</v>
      </c>
      <c r="AB758">
        <v>0</v>
      </c>
      <c r="AC758">
        <v>0</v>
      </c>
      <c r="AD758">
        <v>0</v>
      </c>
      <c r="AE758">
        <v>0</v>
      </c>
      <c r="AF758">
        <v>0</v>
      </c>
      <c r="AG758">
        <v>0</v>
      </c>
      <c r="AH758">
        <v>0</v>
      </c>
      <c r="AI758">
        <v>0</v>
      </c>
      <c r="AJ758">
        <v>0</v>
      </c>
      <c r="AK758">
        <v>1</v>
      </c>
      <c r="AL758">
        <v>0</v>
      </c>
      <c r="AM758">
        <v>0</v>
      </c>
      <c r="AN758">
        <v>0</v>
      </c>
      <c r="AO758">
        <v>0</v>
      </c>
      <c r="AP758">
        <v>0</v>
      </c>
      <c r="AQ758">
        <v>0</v>
      </c>
      <c r="AR758">
        <v>0</v>
      </c>
      <c r="AS758">
        <v>0</v>
      </c>
      <c r="AT758">
        <v>0</v>
      </c>
      <c r="AU758">
        <v>0</v>
      </c>
      <c r="AV758">
        <v>0</v>
      </c>
      <c r="AW758">
        <v>0</v>
      </c>
      <c r="AX758" s="141">
        <f t="shared" si="868"/>
        <v>1</v>
      </c>
      <c r="AY758" s="141">
        <f t="shared" si="869"/>
        <v>1</v>
      </c>
      <c r="AZ758">
        <f t="shared" si="870"/>
        <v>0</v>
      </c>
      <c r="BA758">
        <f t="shared" si="871"/>
        <v>0</v>
      </c>
      <c r="BB758">
        <f t="shared" si="872"/>
        <v>1</v>
      </c>
      <c r="BC758">
        <f t="shared" si="873"/>
        <v>0</v>
      </c>
      <c r="BD758">
        <f t="shared" si="874"/>
        <v>0</v>
      </c>
      <c r="BE758" t="str">
        <f t="array" ref="BE758">IF(AY758=1,INDEX($V$7:$AL$7,MATCH(TRUE,INDEX($V758:$AW758&lt;&gt;0,),0)),IF(AY758=0,INDEX($AM$7:$AW$7,MATCH(1,$AM758:$AW758,0)),IF(BF758="Multiple strategies","mixed drivers",IF(BF758="Supply chain","multiple supply","multiple silviculture"))))</f>
        <v>technologies/design switch</v>
      </c>
      <c r="BF758" s="2" t="str" cm="1">
        <f t="array" ref="BF758">IF(COUNTIF(AZ758:BB758,"&lt;&gt;0")=1,INDEX($V$4:$AW$4,MATCH(TRUE,INDEX($V758:$AW758&lt;&gt;0,),0)),IF(COUNTIF(AZ758:BB758,"&lt;&gt;0")=0,INDEX($AM$4:$AW$4,MATCH(1,$AM758:$AW758,0)),"Multiple strategies"))</f>
        <v>Technology</v>
      </c>
      <c r="BG758" s="142" t="s">
        <v>229</v>
      </c>
      <c r="BH758" t="s">
        <v>1666</v>
      </c>
      <c r="BI758" s="264" t="s">
        <v>1056</v>
      </c>
      <c r="BJ758" s="143" t="s">
        <v>3264</v>
      </c>
      <c r="BK758">
        <v>0</v>
      </c>
      <c r="BL758" s="143">
        <v>24.4</v>
      </c>
      <c r="BM758" s="143"/>
      <c r="BN758">
        <f t="shared" si="876"/>
        <v>24.4</v>
      </c>
      <c r="BO758" s="143">
        <f t="shared" si="901"/>
        <v>3.986928104575163</v>
      </c>
      <c r="BP758" t="s">
        <v>232</v>
      </c>
      <c r="BR758" t="s">
        <v>937</v>
      </c>
      <c r="BS758" s="143">
        <v>-1</v>
      </c>
      <c r="BT758" s="151">
        <v>0</v>
      </c>
      <c r="BU758">
        <v>0</v>
      </c>
      <c r="BV758">
        <v>1</v>
      </c>
      <c r="BX758">
        <f t="shared" si="878"/>
        <v>3.67</v>
      </c>
      <c r="BY758">
        <f t="shared" si="902"/>
        <v>0.92050819672131157</v>
      </c>
      <c r="BZ758" s="143">
        <v>0</v>
      </c>
      <c r="CA758" s="143">
        <v>0</v>
      </c>
      <c r="CB758" s="143">
        <v>0</v>
      </c>
      <c r="CC758" s="143">
        <v>0</v>
      </c>
      <c r="CD758" s="143">
        <v>0</v>
      </c>
      <c r="CE758" s="143">
        <v>0</v>
      </c>
      <c r="CF758" s="143">
        <v>0</v>
      </c>
      <c r="CG758" s="143">
        <v>0</v>
      </c>
      <c r="CH758" s="143">
        <v>0</v>
      </c>
      <c r="CI758" s="143">
        <v>0</v>
      </c>
      <c r="CJ758" s="143">
        <v>0</v>
      </c>
      <c r="CK758" s="143">
        <v>0</v>
      </c>
      <c r="CL758" s="143">
        <v>0</v>
      </c>
      <c r="CM758">
        <v>1</v>
      </c>
      <c r="CN758" t="str">
        <f t="shared" si="879"/>
        <v>refOK</v>
      </c>
      <c r="CO758">
        <f t="shared" si="880"/>
        <v>0</v>
      </c>
      <c r="CP758">
        <f t="shared" si="881"/>
        <v>24.4</v>
      </c>
      <c r="CQ758">
        <f t="shared" si="882"/>
        <v>3.986928104575163</v>
      </c>
      <c r="CR758">
        <f t="shared" si="883"/>
        <v>-1</v>
      </c>
      <c r="CS758">
        <f t="shared" si="884"/>
        <v>0</v>
      </c>
      <c r="CT758">
        <f t="shared" si="885"/>
        <v>3.67</v>
      </c>
      <c r="CU758">
        <f t="shared" si="886"/>
        <v>0.92050819672131157</v>
      </c>
      <c r="CV758" s="2">
        <f t="shared" si="887"/>
        <v>1</v>
      </c>
      <c r="CW758" s="1" t="s">
        <v>1202</v>
      </c>
      <c r="CX758" t="str">
        <f t="shared" si="888"/>
        <v>reg</v>
      </c>
      <c r="CY758" t="s">
        <v>444</v>
      </c>
      <c r="DA758" s="143"/>
      <c r="DB758" s="143">
        <v>0</v>
      </c>
      <c r="DC758" t="str">
        <f t="shared" si="889"/>
        <v>0</v>
      </c>
      <c r="DD758">
        <v>0</v>
      </c>
      <c r="DE758">
        <v>1</v>
      </c>
      <c r="DF758">
        <v>0</v>
      </c>
      <c r="DG758">
        <v>0</v>
      </c>
      <c r="DI758">
        <f t="shared" si="890"/>
        <v>1</v>
      </c>
      <c r="DJ758" t="str">
        <f t="shared" si="891"/>
        <v>EnergyInput</v>
      </c>
      <c r="DK758">
        <f t="shared" si="892"/>
        <v>0</v>
      </c>
      <c r="DL758" t="str">
        <f t="shared" si="893"/>
        <v>Energy</v>
      </c>
      <c r="DM758">
        <f t="shared" si="894"/>
        <v>0</v>
      </c>
      <c r="DN758">
        <f t="shared" si="895"/>
        <v>0</v>
      </c>
      <c r="DO758">
        <v>0</v>
      </c>
      <c r="DP758" s="143">
        <v>0</v>
      </c>
      <c r="DQ758" s="143">
        <v>0</v>
      </c>
      <c r="DR758">
        <v>0</v>
      </c>
      <c r="DS758" s="143">
        <v>0</v>
      </c>
      <c r="DT758">
        <f t="shared" si="896"/>
        <v>0</v>
      </c>
      <c r="DU758" s="143" t="str">
        <f t="shared" si="897"/>
        <v>explicit C balance</v>
      </c>
      <c r="DV758" s="143">
        <v>0</v>
      </c>
      <c r="DW758" s="143">
        <v>0</v>
      </c>
      <c r="DX758" s="143">
        <v>0</v>
      </c>
      <c r="DY758" s="143">
        <v>0</v>
      </c>
      <c r="DZ758">
        <v>0</v>
      </c>
      <c r="EA758" s="143">
        <v>0</v>
      </c>
      <c r="EB758" s="143">
        <v>0</v>
      </c>
      <c r="EC758" s="143">
        <v>1</v>
      </c>
      <c r="ED758" s="143">
        <v>0</v>
      </c>
      <c r="EE758">
        <v>0</v>
      </c>
      <c r="EF758">
        <v>0</v>
      </c>
      <c r="EG758" s="143">
        <v>0</v>
      </c>
      <c r="EH758" s="143">
        <v>0</v>
      </c>
      <c r="EI758" s="2">
        <v>0</v>
      </c>
      <c r="EK758" t="str">
        <f t="shared" si="898"/>
        <v/>
      </c>
      <c r="EL758" t="str">
        <f t="shared" si="899"/>
        <v/>
      </c>
      <c r="EM758" s="2" t="str">
        <f t="shared" si="903"/>
        <v/>
      </c>
      <c r="EP758" t="str">
        <f>IF(ISNUMBER(BU758),IF(ABS(BU758-[2]QC_indicators!$B$2)&gt;3*[2]QC_indicators!$C$2,"C ratio",IF(ISNUMBER(BY758),IF(ABS(BY758-[2]QC_indicators!$B$1)&gt;3*[2]QC_indicators!$C$1,"DF","no"))),IF(ISNUMBER(BY758),IF(ABS(BY758-[2]QC_indicators!$B$1)&gt;3*[2]QC_indicators!$C$1,"DF","no")))</f>
        <v>no</v>
      </c>
      <c r="ER758" s="149" t="s">
        <v>349</v>
      </c>
      <c r="ET758" s="264" t="s">
        <v>3265</v>
      </c>
    </row>
    <row r="759" spans="1:150" ht="15" hidden="1" customHeight="1">
      <c r="D759" t="s">
        <v>1660</v>
      </c>
      <c r="E759" t="s">
        <v>1661</v>
      </c>
      <c r="G759" t="s">
        <v>1662</v>
      </c>
      <c r="I759">
        <v>2007</v>
      </c>
      <c r="K759" t="s">
        <v>1663</v>
      </c>
      <c r="M759" t="str">
        <f t="shared" si="839"/>
        <v>Gustavsson_2007</v>
      </c>
      <c r="N759" t="s">
        <v>222</v>
      </c>
      <c r="O759" t="s">
        <v>223</v>
      </c>
      <c r="Q759" t="s">
        <v>256</v>
      </c>
      <c r="R759" s="269" t="s">
        <v>274</v>
      </c>
      <c r="S759" s="1" t="s">
        <v>1664</v>
      </c>
      <c r="T759" t="s">
        <v>1688</v>
      </c>
      <c r="U759" s="143" t="s">
        <v>1679</v>
      </c>
      <c r="V759">
        <v>0</v>
      </c>
      <c r="W759">
        <v>0</v>
      </c>
      <c r="X759">
        <v>0</v>
      </c>
      <c r="Y759">
        <v>0</v>
      </c>
      <c r="Z759">
        <v>0</v>
      </c>
      <c r="AA759">
        <v>0</v>
      </c>
      <c r="AB759">
        <v>0</v>
      </c>
      <c r="AC759">
        <v>0</v>
      </c>
      <c r="AD759">
        <v>0</v>
      </c>
      <c r="AE759">
        <v>0</v>
      </c>
      <c r="AF759">
        <v>0</v>
      </c>
      <c r="AG759">
        <v>0</v>
      </c>
      <c r="AH759">
        <v>0</v>
      </c>
      <c r="AI759">
        <v>0</v>
      </c>
      <c r="AJ759">
        <v>0</v>
      </c>
      <c r="AK759">
        <v>1</v>
      </c>
      <c r="AL759">
        <v>0</v>
      </c>
      <c r="AM759">
        <v>0</v>
      </c>
      <c r="AN759">
        <v>0</v>
      </c>
      <c r="AO759">
        <v>0</v>
      </c>
      <c r="AP759">
        <v>0</v>
      </c>
      <c r="AQ759">
        <v>0</v>
      </c>
      <c r="AR759">
        <v>0</v>
      </c>
      <c r="AS759">
        <v>0</v>
      </c>
      <c r="AT759">
        <v>0</v>
      </c>
      <c r="AU759">
        <v>0</v>
      </c>
      <c r="AV759">
        <v>0</v>
      </c>
      <c r="AW759">
        <v>0</v>
      </c>
      <c r="AX759" s="141">
        <f t="shared" si="868"/>
        <v>1</v>
      </c>
      <c r="AY759" s="141">
        <f t="shared" si="869"/>
        <v>1</v>
      </c>
      <c r="AZ759">
        <f t="shared" si="870"/>
        <v>0</v>
      </c>
      <c r="BA759">
        <f t="shared" si="871"/>
        <v>0</v>
      </c>
      <c r="BB759">
        <f t="shared" si="872"/>
        <v>1</v>
      </c>
      <c r="BC759">
        <f t="shared" si="873"/>
        <v>0</v>
      </c>
      <c r="BD759">
        <f t="shared" si="874"/>
        <v>0</v>
      </c>
      <c r="BE759" t="str">
        <f t="array" ref="BE759">IF(AY759=1,INDEX($V$7:$AL$7,MATCH(TRUE,INDEX($V759:$AW759&lt;&gt;0,),0)),IF(AY759=0,INDEX($AM$7:$AW$7,MATCH(1,$AM759:$AW759,0)),IF(BF759="Multiple strategies","mixed drivers",IF(BF759="Supply chain","multiple supply","multiple silviculture"))))</f>
        <v>technologies/design switch</v>
      </c>
      <c r="BF759" s="2" t="str" cm="1">
        <f t="array" ref="BF759">IF(COUNTIF(AZ759:BB759,"&lt;&gt;0")=1,INDEX($V$4:$AW$4,MATCH(TRUE,INDEX($V759:$AW759&lt;&gt;0,),0)),IF(COUNTIF(AZ759:BB759,"&lt;&gt;0")=0,INDEX($AM$4:$AW$4,MATCH(1,$AM759:$AW759,0)),"Multiple strategies"))</f>
        <v>Technology</v>
      </c>
      <c r="BG759" s="142" t="s">
        <v>229</v>
      </c>
      <c r="BH759" t="s">
        <v>1666</v>
      </c>
      <c r="BI759" s="264" t="s">
        <v>1056</v>
      </c>
      <c r="BJ759" s="143" t="s">
        <v>3264</v>
      </c>
      <c r="BK759">
        <v>0</v>
      </c>
      <c r="BL759" s="143">
        <v>19.3</v>
      </c>
      <c r="BM759" s="143"/>
      <c r="BN759">
        <f t="shared" si="876"/>
        <v>19.3</v>
      </c>
      <c r="BO759" s="143">
        <f t="shared" si="901"/>
        <v>3.15359477124183</v>
      </c>
      <c r="BP759" t="s">
        <v>232</v>
      </c>
      <c r="BR759" t="s">
        <v>937</v>
      </c>
      <c r="BS759" s="143">
        <v>-1</v>
      </c>
      <c r="BT759" s="151">
        <v>0</v>
      </c>
      <c r="BU759">
        <v>0</v>
      </c>
      <c r="BV759">
        <v>1</v>
      </c>
      <c r="BX759">
        <f t="shared" si="878"/>
        <v>3.67</v>
      </c>
      <c r="BY759">
        <f t="shared" si="902"/>
        <v>1.1637512953367877</v>
      </c>
      <c r="BZ759" s="143">
        <v>0</v>
      </c>
      <c r="CA759" s="143">
        <v>0</v>
      </c>
      <c r="CB759" s="143">
        <v>0</v>
      </c>
      <c r="CC759" s="143">
        <v>0</v>
      </c>
      <c r="CD759" s="143">
        <v>0</v>
      </c>
      <c r="CE759" s="143">
        <v>0</v>
      </c>
      <c r="CF759" s="143">
        <v>0</v>
      </c>
      <c r="CG759" s="143">
        <v>0</v>
      </c>
      <c r="CH759" s="143">
        <v>0</v>
      </c>
      <c r="CI759" s="143">
        <v>0</v>
      </c>
      <c r="CJ759" s="143">
        <v>0</v>
      </c>
      <c r="CK759" s="143">
        <v>0</v>
      </c>
      <c r="CL759" s="143">
        <v>0</v>
      </c>
      <c r="CM759">
        <v>1</v>
      </c>
      <c r="CN759" t="str">
        <f t="shared" si="879"/>
        <v>refOK</v>
      </c>
      <c r="CO759">
        <f t="shared" si="880"/>
        <v>0</v>
      </c>
      <c r="CP759">
        <f t="shared" si="881"/>
        <v>19.3</v>
      </c>
      <c r="CQ759">
        <f t="shared" si="882"/>
        <v>3.15359477124183</v>
      </c>
      <c r="CR759">
        <f t="shared" si="883"/>
        <v>-1</v>
      </c>
      <c r="CS759">
        <f t="shared" si="884"/>
        <v>0</v>
      </c>
      <c r="CT759">
        <f t="shared" si="885"/>
        <v>3.67</v>
      </c>
      <c r="CU759">
        <f t="shared" si="886"/>
        <v>1.1637512953367877</v>
      </c>
      <c r="CV759" s="2">
        <f t="shared" si="887"/>
        <v>1</v>
      </c>
      <c r="CW759" s="1" t="s">
        <v>1202</v>
      </c>
      <c r="CX759" t="str">
        <f t="shared" si="888"/>
        <v>reg</v>
      </c>
      <c r="CY759" t="s">
        <v>444</v>
      </c>
      <c r="DA759" s="143"/>
      <c r="DB759" s="143">
        <v>0</v>
      </c>
      <c r="DC759" t="str">
        <f t="shared" si="889"/>
        <v>0</v>
      </c>
      <c r="DD759">
        <v>0</v>
      </c>
      <c r="DE759">
        <v>1</v>
      </c>
      <c r="DF759">
        <v>0</v>
      </c>
      <c r="DG759">
        <v>0</v>
      </c>
      <c r="DI759">
        <f t="shared" si="890"/>
        <v>1</v>
      </c>
      <c r="DJ759" t="str">
        <f t="shared" si="891"/>
        <v>EnergyInput</v>
      </c>
      <c r="DK759">
        <f t="shared" si="892"/>
        <v>0</v>
      </c>
      <c r="DL759" t="str">
        <f t="shared" si="893"/>
        <v>Energy</v>
      </c>
      <c r="DM759">
        <f t="shared" si="894"/>
        <v>0</v>
      </c>
      <c r="DN759">
        <f t="shared" si="895"/>
        <v>0</v>
      </c>
      <c r="DO759">
        <v>0</v>
      </c>
      <c r="DP759" s="143">
        <v>0</v>
      </c>
      <c r="DQ759" s="143">
        <v>0</v>
      </c>
      <c r="DR759">
        <v>0</v>
      </c>
      <c r="DS759" s="143">
        <v>0</v>
      </c>
      <c r="DT759">
        <f t="shared" si="896"/>
        <v>0</v>
      </c>
      <c r="DU759" s="143" t="str">
        <f t="shared" si="897"/>
        <v>explicit C balance</v>
      </c>
      <c r="DV759" s="143">
        <v>0</v>
      </c>
      <c r="DW759" s="143">
        <v>0</v>
      </c>
      <c r="DX759" s="143">
        <v>0</v>
      </c>
      <c r="DY759" s="143">
        <v>0</v>
      </c>
      <c r="DZ759">
        <v>0</v>
      </c>
      <c r="EA759" s="143">
        <v>0</v>
      </c>
      <c r="EB759" s="143">
        <v>0</v>
      </c>
      <c r="EC759" s="143">
        <v>1</v>
      </c>
      <c r="ED759" s="143">
        <v>0</v>
      </c>
      <c r="EE759">
        <v>0</v>
      </c>
      <c r="EF759">
        <v>0</v>
      </c>
      <c r="EG759" s="143">
        <v>0</v>
      </c>
      <c r="EH759" s="143">
        <v>0</v>
      </c>
      <c r="EI759" s="2">
        <v>0</v>
      </c>
      <c r="EK759" t="str">
        <f t="shared" si="898"/>
        <v/>
      </c>
      <c r="EL759" t="str">
        <f t="shared" si="899"/>
        <v/>
      </c>
      <c r="EM759" s="2" t="str">
        <f t="shared" si="903"/>
        <v/>
      </c>
      <c r="EP759" t="str">
        <f>IF(ISNUMBER(BU759),IF(ABS(BU759-[2]QC_indicators!$B$2)&gt;3*[2]QC_indicators!$C$2,"C ratio",IF(ISNUMBER(BY759),IF(ABS(BY759-[2]QC_indicators!$B$1)&gt;3*[2]QC_indicators!$C$1,"DF","no"))),IF(ISNUMBER(BY759),IF(ABS(BY759-[2]QC_indicators!$B$1)&gt;3*[2]QC_indicators!$C$1,"DF","no")))</f>
        <v>no</v>
      </c>
      <c r="ER759" s="149" t="s">
        <v>349</v>
      </c>
      <c r="ET759" s="264" t="s">
        <v>3265</v>
      </c>
    </row>
    <row r="760" spans="1:150" ht="15" hidden="1" customHeight="1">
      <c r="D760" t="s">
        <v>1660</v>
      </c>
      <c r="E760" t="s">
        <v>1661</v>
      </c>
      <c r="G760" t="s">
        <v>1662</v>
      </c>
      <c r="I760">
        <v>2007</v>
      </c>
      <c r="K760" t="s">
        <v>1663</v>
      </c>
      <c r="M760" t="str">
        <f t="shared" si="839"/>
        <v>Gustavsson_2007</v>
      </c>
      <c r="N760" t="s">
        <v>222</v>
      </c>
      <c r="O760" t="s">
        <v>223</v>
      </c>
      <c r="Q760" t="s">
        <v>256</v>
      </c>
      <c r="R760" s="269" t="s">
        <v>274</v>
      </c>
      <c r="S760" s="1" t="s">
        <v>1664</v>
      </c>
      <c r="T760" t="s">
        <v>1689</v>
      </c>
      <c r="U760" s="143" t="s">
        <v>1682</v>
      </c>
      <c r="V760">
        <v>0</v>
      </c>
      <c r="W760">
        <v>0</v>
      </c>
      <c r="X760">
        <v>0</v>
      </c>
      <c r="Y760">
        <v>0</v>
      </c>
      <c r="Z760">
        <v>0</v>
      </c>
      <c r="AA760">
        <v>0</v>
      </c>
      <c r="AB760">
        <v>0</v>
      </c>
      <c r="AC760">
        <v>0</v>
      </c>
      <c r="AD760">
        <v>0</v>
      </c>
      <c r="AE760">
        <v>0</v>
      </c>
      <c r="AF760">
        <v>0</v>
      </c>
      <c r="AG760">
        <v>0</v>
      </c>
      <c r="AH760">
        <v>0</v>
      </c>
      <c r="AI760">
        <v>0</v>
      </c>
      <c r="AJ760">
        <v>0</v>
      </c>
      <c r="AK760">
        <v>1</v>
      </c>
      <c r="AL760">
        <v>0</v>
      </c>
      <c r="AM760">
        <v>0</v>
      </c>
      <c r="AN760">
        <v>0</v>
      </c>
      <c r="AO760">
        <v>0</v>
      </c>
      <c r="AP760">
        <v>0</v>
      </c>
      <c r="AQ760">
        <v>0</v>
      </c>
      <c r="AR760">
        <v>0</v>
      </c>
      <c r="AS760">
        <v>0</v>
      </c>
      <c r="AT760">
        <v>0</v>
      </c>
      <c r="AU760">
        <v>0</v>
      </c>
      <c r="AV760">
        <v>0</v>
      </c>
      <c r="AW760">
        <v>0</v>
      </c>
      <c r="AX760" s="141">
        <f t="shared" si="868"/>
        <v>1</v>
      </c>
      <c r="AY760" s="141">
        <f t="shared" si="869"/>
        <v>1</v>
      </c>
      <c r="AZ760">
        <f t="shared" si="870"/>
        <v>0</v>
      </c>
      <c r="BA760">
        <f t="shared" si="871"/>
        <v>0</v>
      </c>
      <c r="BB760">
        <f t="shared" si="872"/>
        <v>1</v>
      </c>
      <c r="BC760">
        <f t="shared" si="873"/>
        <v>0</v>
      </c>
      <c r="BD760">
        <f t="shared" si="874"/>
        <v>0</v>
      </c>
      <c r="BE760" t="str">
        <f t="array" ref="BE760">IF(AY760=1,INDEX($V$7:$AL$7,MATCH(TRUE,INDEX($V760:$AW760&lt;&gt;0,),0)),IF(AY760=0,INDEX($AM$7:$AW$7,MATCH(1,$AM760:$AW760,0)),IF(BF760="Multiple strategies","mixed drivers",IF(BF760="Supply chain","multiple supply","multiple silviculture"))))</f>
        <v>technologies/design switch</v>
      </c>
      <c r="BF760" s="2" t="str" cm="1">
        <f t="array" ref="BF760">IF(COUNTIF(AZ760:BB760,"&lt;&gt;0")=1,INDEX($V$4:$AW$4,MATCH(TRUE,INDEX($V760:$AW760&lt;&gt;0,),0)),IF(COUNTIF(AZ760:BB760,"&lt;&gt;0")=0,INDEX($AM$4:$AW$4,MATCH(1,$AM760:$AW760,0)),"Multiple strategies"))</f>
        <v>Technology</v>
      </c>
      <c r="BG760" s="142" t="s">
        <v>229</v>
      </c>
      <c r="BH760" t="s">
        <v>1666</v>
      </c>
      <c r="BI760" s="264" t="s">
        <v>1056</v>
      </c>
      <c r="BJ760" s="143" t="s">
        <v>3264</v>
      </c>
      <c r="BK760">
        <v>0</v>
      </c>
      <c r="BL760" s="143">
        <v>16.899999999999999</v>
      </c>
      <c r="BM760" s="143"/>
      <c r="BN760">
        <f t="shared" si="876"/>
        <v>16.899999999999999</v>
      </c>
      <c r="BO760" s="143">
        <f t="shared" si="901"/>
        <v>2.7614379084967315</v>
      </c>
      <c r="BP760" t="s">
        <v>232</v>
      </c>
      <c r="BR760" t="s">
        <v>937</v>
      </c>
      <c r="BS760" s="143">
        <v>-1</v>
      </c>
      <c r="BT760" s="151">
        <v>0</v>
      </c>
      <c r="BU760">
        <v>0</v>
      </c>
      <c r="BV760">
        <v>1</v>
      </c>
      <c r="BX760">
        <f t="shared" si="878"/>
        <v>3.67</v>
      </c>
      <c r="BY760">
        <f t="shared" si="902"/>
        <v>1.3290177514792902</v>
      </c>
      <c r="BZ760" s="143">
        <v>0</v>
      </c>
      <c r="CA760" s="143">
        <v>0</v>
      </c>
      <c r="CB760" s="143">
        <v>0</v>
      </c>
      <c r="CC760" s="143">
        <v>0</v>
      </c>
      <c r="CD760" s="143">
        <v>0</v>
      </c>
      <c r="CE760" s="143">
        <v>0</v>
      </c>
      <c r="CF760" s="143">
        <v>0</v>
      </c>
      <c r="CG760" s="143">
        <v>0</v>
      </c>
      <c r="CH760" s="143">
        <v>0</v>
      </c>
      <c r="CI760" s="143">
        <v>0</v>
      </c>
      <c r="CJ760" s="143">
        <v>0</v>
      </c>
      <c r="CK760" s="143">
        <v>0</v>
      </c>
      <c r="CL760" s="143">
        <v>0</v>
      </c>
      <c r="CM760">
        <v>1</v>
      </c>
      <c r="CN760" t="str">
        <f t="shared" si="879"/>
        <v>refOK</v>
      </c>
      <c r="CO760">
        <f t="shared" si="880"/>
        <v>0</v>
      </c>
      <c r="CP760">
        <f t="shared" si="881"/>
        <v>16.899999999999999</v>
      </c>
      <c r="CQ760">
        <f t="shared" si="882"/>
        <v>2.7614379084967315</v>
      </c>
      <c r="CR760">
        <f t="shared" si="883"/>
        <v>-1</v>
      </c>
      <c r="CS760">
        <f t="shared" si="884"/>
        <v>0</v>
      </c>
      <c r="CT760">
        <f t="shared" si="885"/>
        <v>3.67</v>
      </c>
      <c r="CU760">
        <f t="shared" si="886"/>
        <v>1.3290177514792902</v>
      </c>
      <c r="CV760" s="2">
        <f t="shared" si="887"/>
        <v>1</v>
      </c>
      <c r="CW760" s="1" t="s">
        <v>1202</v>
      </c>
      <c r="CX760" t="str">
        <f t="shared" si="888"/>
        <v>reg</v>
      </c>
      <c r="CY760" t="s">
        <v>444</v>
      </c>
      <c r="DA760" s="143"/>
      <c r="DB760" s="143">
        <v>0</v>
      </c>
      <c r="DC760" t="str">
        <f t="shared" si="889"/>
        <v>0</v>
      </c>
      <c r="DD760">
        <v>0</v>
      </c>
      <c r="DE760">
        <v>1</v>
      </c>
      <c r="DF760">
        <v>0</v>
      </c>
      <c r="DG760">
        <v>0</v>
      </c>
      <c r="DI760">
        <f t="shared" si="890"/>
        <v>1</v>
      </c>
      <c r="DJ760" t="str">
        <f t="shared" si="891"/>
        <v>EnergyInput</v>
      </c>
      <c r="DK760">
        <f t="shared" si="892"/>
        <v>0</v>
      </c>
      <c r="DL760" t="str">
        <f t="shared" si="893"/>
        <v>Energy</v>
      </c>
      <c r="DM760">
        <f t="shared" si="894"/>
        <v>0</v>
      </c>
      <c r="DN760">
        <f t="shared" si="895"/>
        <v>0</v>
      </c>
      <c r="DO760">
        <v>0</v>
      </c>
      <c r="DP760" s="143">
        <v>0</v>
      </c>
      <c r="DQ760" s="143">
        <v>0</v>
      </c>
      <c r="DR760">
        <v>0</v>
      </c>
      <c r="DS760" s="143">
        <v>0</v>
      </c>
      <c r="DT760">
        <f t="shared" si="896"/>
        <v>0</v>
      </c>
      <c r="DU760" s="143" t="str">
        <f t="shared" si="897"/>
        <v>explicit C balance</v>
      </c>
      <c r="DV760" s="143">
        <v>0</v>
      </c>
      <c r="DW760" s="143">
        <v>0</v>
      </c>
      <c r="DX760" s="143">
        <v>0</v>
      </c>
      <c r="DY760" s="143">
        <v>0</v>
      </c>
      <c r="DZ760">
        <v>0</v>
      </c>
      <c r="EA760" s="143">
        <v>0</v>
      </c>
      <c r="EB760" s="143">
        <v>0</v>
      </c>
      <c r="EC760" s="143">
        <v>1</v>
      </c>
      <c r="ED760" s="143">
        <v>0</v>
      </c>
      <c r="EE760">
        <v>0</v>
      </c>
      <c r="EF760">
        <v>0</v>
      </c>
      <c r="EG760" s="143">
        <v>0</v>
      </c>
      <c r="EH760" s="143">
        <v>0</v>
      </c>
      <c r="EI760" s="2">
        <v>0</v>
      </c>
      <c r="EK760" t="str">
        <f t="shared" si="898"/>
        <v/>
      </c>
      <c r="EL760" t="str">
        <f t="shared" si="899"/>
        <v/>
      </c>
      <c r="EM760" s="2" t="str">
        <f t="shared" si="903"/>
        <v/>
      </c>
      <c r="EP760" t="str">
        <f>IF(ISNUMBER(BU760),IF(ABS(BU760-[2]QC_indicators!$B$2)&gt;3*[2]QC_indicators!$C$2,"C ratio",IF(ISNUMBER(BY760),IF(ABS(BY760-[2]QC_indicators!$B$1)&gt;3*[2]QC_indicators!$C$1,"DF","no"))),IF(ISNUMBER(BY760),IF(ABS(BY760-[2]QC_indicators!$B$1)&gt;3*[2]QC_indicators!$C$1,"DF","no")))</f>
        <v>no</v>
      </c>
      <c r="ER760" s="149" t="s">
        <v>349</v>
      </c>
      <c r="ET760" s="264" t="s">
        <v>3265</v>
      </c>
    </row>
    <row r="761" spans="1:150" ht="15" hidden="1" customHeight="1">
      <c r="D761" t="s">
        <v>1660</v>
      </c>
      <c r="E761" t="s">
        <v>1661</v>
      </c>
      <c r="G761" t="s">
        <v>1662</v>
      </c>
      <c r="I761">
        <v>2007</v>
      </c>
      <c r="K761" t="s">
        <v>1663</v>
      </c>
      <c r="M761" t="str">
        <f t="shared" si="839"/>
        <v>Gustavsson_2007</v>
      </c>
      <c r="N761" t="s">
        <v>222</v>
      </c>
      <c r="O761" t="s">
        <v>223</v>
      </c>
      <c r="Q761" t="s">
        <v>256</v>
      </c>
      <c r="R761" s="269" t="s">
        <v>274</v>
      </c>
      <c r="S761" s="1" t="s">
        <v>1664</v>
      </c>
      <c r="T761" t="s">
        <v>753</v>
      </c>
      <c r="U761" s="143" t="s">
        <v>1665</v>
      </c>
      <c r="V761">
        <v>0</v>
      </c>
      <c r="W761">
        <v>0</v>
      </c>
      <c r="X761">
        <v>0</v>
      </c>
      <c r="Y761">
        <v>0</v>
      </c>
      <c r="Z761">
        <v>0</v>
      </c>
      <c r="AA761">
        <v>0</v>
      </c>
      <c r="AB761">
        <v>0</v>
      </c>
      <c r="AC761">
        <v>0</v>
      </c>
      <c r="AD761">
        <v>0</v>
      </c>
      <c r="AE761">
        <v>0</v>
      </c>
      <c r="AF761">
        <v>0</v>
      </c>
      <c r="AG761">
        <v>0</v>
      </c>
      <c r="AH761">
        <v>0</v>
      </c>
      <c r="AI761">
        <v>0</v>
      </c>
      <c r="AJ761">
        <v>0</v>
      </c>
      <c r="AK761">
        <v>1</v>
      </c>
      <c r="AL761">
        <v>0</v>
      </c>
      <c r="AM761">
        <v>0</v>
      </c>
      <c r="AN761">
        <v>0</v>
      </c>
      <c r="AO761">
        <v>0</v>
      </c>
      <c r="AP761">
        <v>0</v>
      </c>
      <c r="AQ761">
        <v>0</v>
      </c>
      <c r="AR761">
        <v>0</v>
      </c>
      <c r="AS761">
        <v>0</v>
      </c>
      <c r="AT761">
        <v>0</v>
      </c>
      <c r="AU761">
        <v>0</v>
      </c>
      <c r="AV761">
        <v>0</v>
      </c>
      <c r="AW761">
        <v>0</v>
      </c>
      <c r="AX761" s="141">
        <f t="shared" si="868"/>
        <v>1</v>
      </c>
      <c r="AY761" s="141">
        <f t="shared" si="869"/>
        <v>1</v>
      </c>
      <c r="AZ761">
        <f t="shared" si="870"/>
        <v>0</v>
      </c>
      <c r="BA761">
        <f t="shared" si="871"/>
        <v>0</v>
      </c>
      <c r="BB761">
        <f t="shared" si="872"/>
        <v>1</v>
      </c>
      <c r="BC761">
        <f t="shared" si="873"/>
        <v>0</v>
      </c>
      <c r="BD761">
        <f t="shared" si="874"/>
        <v>0</v>
      </c>
      <c r="BE761" t="str">
        <f t="array" ref="BE761">IF(AY761=1,INDEX($V$7:$AL$7,MATCH(TRUE,INDEX($V761:$AW761&lt;&gt;0,),0)),IF(AY761=0,INDEX($AM$7:$AW$7,MATCH(1,$AM761:$AW761,0)),IF(BF761="Multiple strategies","mixed drivers",IF(BF761="Supply chain","multiple supply","multiple silviculture"))))</f>
        <v>technologies/design switch</v>
      </c>
      <c r="BF761" s="2" t="str" cm="1">
        <f t="array" ref="BF761">IF(COUNTIF(AZ761:BB761,"&lt;&gt;0")=1,INDEX($V$4:$AW$4,MATCH(TRUE,INDEX($V761:$AW761&lt;&gt;0,),0)),IF(COUNTIF(AZ761:BB761,"&lt;&gt;0")=0,INDEX($AM$4:$AW$4,MATCH(1,$AM761:$AW761,0)),"Multiple strategies"))</f>
        <v>Technology</v>
      </c>
      <c r="BG761" s="142" t="s">
        <v>229</v>
      </c>
      <c r="BH761" t="s">
        <v>1666</v>
      </c>
      <c r="BI761" s="264" t="s">
        <v>1056</v>
      </c>
      <c r="BJ761" s="143" t="s">
        <v>3264</v>
      </c>
      <c r="BK761">
        <v>0</v>
      </c>
      <c r="BL761" s="143">
        <v>16.100000000000001</v>
      </c>
      <c r="BM761" s="143"/>
      <c r="BN761">
        <f t="shared" si="876"/>
        <v>16.100000000000001</v>
      </c>
      <c r="BO761" s="143">
        <f t="shared" si="901"/>
        <v>2.630718954248366</v>
      </c>
      <c r="BP761" t="s">
        <v>232</v>
      </c>
      <c r="BQ761" s="155"/>
      <c r="BR761" t="s">
        <v>937</v>
      </c>
      <c r="BS761" s="143">
        <v>-1</v>
      </c>
      <c r="BT761" s="151">
        <v>0</v>
      </c>
      <c r="BU761">
        <v>0</v>
      </c>
      <c r="BV761">
        <v>1</v>
      </c>
      <c r="BX761">
        <f t="shared" si="878"/>
        <v>3.67</v>
      </c>
      <c r="BY761">
        <f t="shared" si="902"/>
        <v>1.3950559006211181</v>
      </c>
      <c r="BZ761" s="143">
        <v>0</v>
      </c>
      <c r="CA761" s="143">
        <v>0</v>
      </c>
      <c r="CB761" s="143">
        <v>0</v>
      </c>
      <c r="CC761" s="143">
        <v>0</v>
      </c>
      <c r="CD761" s="143">
        <v>0</v>
      </c>
      <c r="CE761" s="143">
        <v>0</v>
      </c>
      <c r="CF761" s="143">
        <v>0</v>
      </c>
      <c r="CG761" s="143">
        <v>0</v>
      </c>
      <c r="CH761" s="143">
        <v>0</v>
      </c>
      <c r="CI761" s="143">
        <v>0</v>
      </c>
      <c r="CJ761" s="143">
        <v>0</v>
      </c>
      <c r="CK761" s="143">
        <v>0</v>
      </c>
      <c r="CL761" s="143">
        <v>0</v>
      </c>
      <c r="CM761">
        <v>1</v>
      </c>
      <c r="CN761" t="str">
        <f t="shared" si="879"/>
        <v>refOK</v>
      </c>
      <c r="CO761">
        <f t="shared" si="880"/>
        <v>0</v>
      </c>
      <c r="CP761">
        <f t="shared" si="881"/>
        <v>16.100000000000001</v>
      </c>
      <c r="CQ761">
        <f t="shared" si="882"/>
        <v>2.630718954248366</v>
      </c>
      <c r="CR761">
        <f t="shared" si="883"/>
        <v>-1</v>
      </c>
      <c r="CS761">
        <f t="shared" si="884"/>
        <v>0</v>
      </c>
      <c r="CT761">
        <f t="shared" si="885"/>
        <v>3.67</v>
      </c>
      <c r="CU761">
        <f t="shared" si="886"/>
        <v>1.3950559006211181</v>
      </c>
      <c r="CV761" s="2">
        <f t="shared" si="887"/>
        <v>1</v>
      </c>
      <c r="CW761" s="1" t="s">
        <v>1202</v>
      </c>
      <c r="CX761" t="str">
        <f t="shared" si="888"/>
        <v>reg</v>
      </c>
      <c r="CY761" t="s">
        <v>444</v>
      </c>
      <c r="DA761" s="143"/>
      <c r="DB761" s="143">
        <v>0</v>
      </c>
      <c r="DC761" t="str">
        <f t="shared" si="889"/>
        <v>0</v>
      </c>
      <c r="DD761">
        <v>0</v>
      </c>
      <c r="DE761">
        <v>0</v>
      </c>
      <c r="DF761">
        <v>0</v>
      </c>
      <c r="DG761">
        <v>1</v>
      </c>
      <c r="DI761">
        <f t="shared" si="890"/>
        <v>1</v>
      </c>
      <c r="DJ761" t="str">
        <f t="shared" si="891"/>
        <v>TimberInput</v>
      </c>
      <c r="DK761">
        <f t="shared" si="892"/>
        <v>0</v>
      </c>
      <c r="DL761">
        <f t="shared" si="893"/>
        <v>0</v>
      </c>
      <c r="DM761">
        <f t="shared" si="894"/>
        <v>0</v>
      </c>
      <c r="DN761" t="str">
        <f t="shared" si="895"/>
        <v>Timber</v>
      </c>
      <c r="DO761">
        <v>0</v>
      </c>
      <c r="DP761" s="143">
        <v>0</v>
      </c>
      <c r="DQ761" s="143">
        <v>0</v>
      </c>
      <c r="DR761">
        <v>0</v>
      </c>
      <c r="DS761" s="143">
        <v>0</v>
      </c>
      <c r="DT761">
        <f t="shared" si="896"/>
        <v>0</v>
      </c>
      <c r="DU761" s="143" t="str">
        <f t="shared" si="897"/>
        <v>explicit C balance</v>
      </c>
      <c r="DV761" s="143">
        <v>0</v>
      </c>
      <c r="DW761" s="143">
        <v>0</v>
      </c>
      <c r="DX761" s="143">
        <v>0</v>
      </c>
      <c r="DY761" s="143">
        <v>1</v>
      </c>
      <c r="DZ761">
        <v>0</v>
      </c>
      <c r="EA761" s="143">
        <v>0</v>
      </c>
      <c r="EB761" s="143">
        <v>0</v>
      </c>
      <c r="EC761" s="143">
        <v>1</v>
      </c>
      <c r="ED761" s="143">
        <v>0</v>
      </c>
      <c r="EE761">
        <v>0</v>
      </c>
      <c r="EF761">
        <v>0</v>
      </c>
      <c r="EG761" s="143">
        <v>0</v>
      </c>
      <c r="EH761" s="143">
        <v>0</v>
      </c>
      <c r="EI761" s="2">
        <v>0</v>
      </c>
      <c r="EK761" t="str">
        <f t="shared" si="898"/>
        <v/>
      </c>
      <c r="EL761" t="str">
        <f t="shared" si="899"/>
        <v/>
      </c>
      <c r="EM761" s="2" t="str">
        <f t="shared" si="903"/>
        <v/>
      </c>
      <c r="EP761" t="str">
        <f>IF(ISNUMBER(BU761),IF(ABS(BU761-[2]QC_indicators!$B$2)&gt;3*[2]QC_indicators!$C$2,"C ratio",IF(ISNUMBER(BY761),IF(ABS(BY761-[2]QC_indicators!$B$1)&gt;3*[2]QC_indicators!$C$1,"DF","no"))),IF(ISNUMBER(BY761),IF(ABS(BY761-[2]QC_indicators!$B$1)&gt;3*[2]QC_indicators!$C$1,"DF","no")))</f>
        <v>no</v>
      </c>
      <c r="ER761" s="149" t="s">
        <v>349</v>
      </c>
      <c r="ET761" s="264" t="s">
        <v>3265</v>
      </c>
    </row>
    <row r="762" spans="1:150" ht="15" hidden="1" customHeight="1">
      <c r="D762" t="s">
        <v>1660</v>
      </c>
      <c r="E762" t="s">
        <v>1661</v>
      </c>
      <c r="G762" t="s">
        <v>1662</v>
      </c>
      <c r="I762">
        <v>2007</v>
      </c>
      <c r="K762" t="s">
        <v>1663</v>
      </c>
      <c r="M762" t="str">
        <f t="shared" si="839"/>
        <v>Gustavsson_2007</v>
      </c>
      <c r="N762" t="s">
        <v>222</v>
      </c>
      <c r="O762" t="s">
        <v>223</v>
      </c>
      <c r="Q762" t="s">
        <v>256</v>
      </c>
      <c r="R762" s="269" t="s">
        <v>274</v>
      </c>
      <c r="S762" s="1" t="s">
        <v>1664</v>
      </c>
      <c r="T762" t="s">
        <v>1667</v>
      </c>
      <c r="U762" s="264" t="s">
        <v>1668</v>
      </c>
      <c r="V762">
        <v>0</v>
      </c>
      <c r="W762">
        <v>0</v>
      </c>
      <c r="X762">
        <v>0</v>
      </c>
      <c r="Y762">
        <v>0</v>
      </c>
      <c r="Z762">
        <v>0</v>
      </c>
      <c r="AA762">
        <v>0</v>
      </c>
      <c r="AB762">
        <v>0</v>
      </c>
      <c r="AC762">
        <v>0</v>
      </c>
      <c r="AD762">
        <v>0</v>
      </c>
      <c r="AE762">
        <v>0</v>
      </c>
      <c r="AF762">
        <v>0</v>
      </c>
      <c r="AG762">
        <v>0</v>
      </c>
      <c r="AH762">
        <v>0</v>
      </c>
      <c r="AI762">
        <v>0</v>
      </c>
      <c r="AJ762">
        <v>0</v>
      </c>
      <c r="AK762">
        <v>1</v>
      </c>
      <c r="AL762">
        <v>0</v>
      </c>
      <c r="AM762">
        <v>0</v>
      </c>
      <c r="AN762">
        <v>0</v>
      </c>
      <c r="AO762">
        <v>0</v>
      </c>
      <c r="AP762">
        <v>0</v>
      </c>
      <c r="AQ762">
        <v>0</v>
      </c>
      <c r="AR762">
        <v>0</v>
      </c>
      <c r="AS762">
        <v>0</v>
      </c>
      <c r="AT762">
        <v>0</v>
      </c>
      <c r="AU762">
        <v>0</v>
      </c>
      <c r="AV762">
        <v>0</v>
      </c>
      <c r="AW762">
        <v>0</v>
      </c>
      <c r="AX762" s="141">
        <f t="shared" si="868"/>
        <v>1</v>
      </c>
      <c r="AY762" s="141">
        <f t="shared" si="869"/>
        <v>1</v>
      </c>
      <c r="AZ762">
        <f t="shared" si="870"/>
        <v>0</v>
      </c>
      <c r="BA762">
        <f t="shared" si="871"/>
        <v>0</v>
      </c>
      <c r="BB762">
        <f t="shared" si="872"/>
        <v>1</v>
      </c>
      <c r="BC762">
        <f t="shared" si="873"/>
        <v>0</v>
      </c>
      <c r="BD762">
        <f t="shared" si="874"/>
        <v>0</v>
      </c>
      <c r="BE762" t="str">
        <f t="array" ref="BE762">IF(AY762=1,INDEX($V$7:$AL$7,MATCH(TRUE,INDEX($V762:$AW762&lt;&gt;0,),0)),IF(AY762=0,INDEX($AM$7:$AW$7,MATCH(1,$AM762:$AW762,0)),IF(BF762="Multiple strategies","mixed drivers",IF(BF762="Supply chain","multiple supply","multiple silviculture"))))</f>
        <v>technologies/design switch</v>
      </c>
      <c r="BF762" s="2" t="str" cm="1">
        <f t="array" ref="BF762">IF(COUNTIF(AZ762:BB762,"&lt;&gt;0")=1,INDEX($V$4:$AW$4,MATCH(TRUE,INDEX($V762:$AW762&lt;&gt;0,),0)),IF(COUNTIF(AZ762:BB762,"&lt;&gt;0")=0,INDEX($AM$4:$AW$4,MATCH(1,$AM762:$AW762,0)),"Multiple strategies"))</f>
        <v>Technology</v>
      </c>
      <c r="BG762" s="142" t="s">
        <v>229</v>
      </c>
      <c r="BH762" t="s">
        <v>1666</v>
      </c>
      <c r="BI762" s="264" t="s">
        <v>1056</v>
      </c>
      <c r="BJ762" s="143" t="s">
        <v>3264</v>
      </c>
      <c r="BK762" s="143">
        <v>0</v>
      </c>
      <c r="BL762">
        <v>15.6</v>
      </c>
      <c r="BM762" t="e">
        <f t="shared" ref="BM762:BM767" si="904">BL762/BK762</f>
        <v>#DIV/0!</v>
      </c>
      <c r="BN762">
        <f t="shared" si="876"/>
        <v>15.6</v>
      </c>
      <c r="BO762" s="143">
        <f t="shared" si="901"/>
        <v>2.5490196078431371</v>
      </c>
      <c r="BP762" t="s">
        <v>232</v>
      </c>
      <c r="BR762" t="s">
        <v>937</v>
      </c>
      <c r="BS762" s="151">
        <v>-1</v>
      </c>
      <c r="BT762" s="143">
        <v>0</v>
      </c>
      <c r="BU762" s="144">
        <f>IFERROR(BT762/BS762,"")</f>
        <v>0</v>
      </c>
      <c r="BV762">
        <f>BT762-BS762</f>
        <v>1</v>
      </c>
      <c r="BX762">
        <f t="shared" si="878"/>
        <v>3.67</v>
      </c>
      <c r="BY762">
        <f t="shared" si="902"/>
        <v>1.4397692307692309</v>
      </c>
      <c r="BZ762" s="143">
        <v>0</v>
      </c>
      <c r="CA762" s="143">
        <v>0</v>
      </c>
      <c r="CB762" s="143">
        <v>0</v>
      </c>
      <c r="CC762" s="143">
        <v>0</v>
      </c>
      <c r="CD762" s="143">
        <v>0</v>
      </c>
      <c r="CE762" s="143">
        <v>0</v>
      </c>
      <c r="CF762" s="143">
        <v>0</v>
      </c>
      <c r="CG762" s="143">
        <v>0</v>
      </c>
      <c r="CH762" s="143">
        <v>0</v>
      </c>
      <c r="CI762" s="143">
        <v>0</v>
      </c>
      <c r="CJ762" s="143">
        <v>0</v>
      </c>
      <c r="CK762" s="143">
        <v>0</v>
      </c>
      <c r="CL762" s="143">
        <v>0</v>
      </c>
      <c r="CM762">
        <v>1</v>
      </c>
      <c r="CN762" t="str">
        <f>IF(BL762&lt;BK762,"refNeedCorrection","refOK")</f>
        <v>refOK</v>
      </c>
      <c r="CO762">
        <f t="shared" si="880"/>
        <v>0</v>
      </c>
      <c r="CP762">
        <f t="shared" si="881"/>
        <v>15.6</v>
      </c>
      <c r="CQ762">
        <f t="shared" si="882"/>
        <v>2.5490196078431371</v>
      </c>
      <c r="CR762">
        <f t="shared" si="883"/>
        <v>-1</v>
      </c>
      <c r="CS762">
        <f t="shared" si="884"/>
        <v>0</v>
      </c>
      <c r="CT762">
        <f t="shared" si="885"/>
        <v>3.67</v>
      </c>
      <c r="CU762">
        <f t="shared" si="886"/>
        <v>1.4397692307692309</v>
      </c>
      <c r="CV762" s="2">
        <f t="shared" si="887"/>
        <v>1</v>
      </c>
      <c r="CW762" s="1" t="s">
        <v>1202</v>
      </c>
      <c r="CX762" t="str">
        <f t="shared" si="888"/>
        <v>reg</v>
      </c>
      <c r="CY762" t="s">
        <v>444</v>
      </c>
      <c r="DA762" s="143"/>
      <c r="DB762" s="143">
        <v>0</v>
      </c>
      <c r="DC762" t="str">
        <f t="shared" si="889"/>
        <v>0</v>
      </c>
      <c r="DD762">
        <v>0</v>
      </c>
      <c r="DE762">
        <v>1</v>
      </c>
      <c r="DF762">
        <v>0</v>
      </c>
      <c r="DG762">
        <v>0</v>
      </c>
      <c r="DI762">
        <f t="shared" si="890"/>
        <v>1</v>
      </c>
      <c r="DJ762" t="str">
        <f t="shared" si="891"/>
        <v>EnergyInput</v>
      </c>
      <c r="DK762">
        <f t="shared" si="892"/>
        <v>0</v>
      </c>
      <c r="DL762" t="str">
        <f t="shared" si="893"/>
        <v>Energy</v>
      </c>
      <c r="DM762">
        <f t="shared" si="894"/>
        <v>0</v>
      </c>
      <c r="DN762">
        <f t="shared" si="895"/>
        <v>0</v>
      </c>
      <c r="DO762">
        <v>0</v>
      </c>
      <c r="DP762" s="143">
        <v>0</v>
      </c>
      <c r="DQ762" s="143">
        <v>0</v>
      </c>
      <c r="DR762">
        <v>0</v>
      </c>
      <c r="DS762" s="143">
        <v>0</v>
      </c>
      <c r="DT762">
        <f t="shared" si="896"/>
        <v>0</v>
      </c>
      <c r="DU762" s="143" t="str">
        <f t="shared" si="897"/>
        <v>explicit C balance</v>
      </c>
      <c r="DV762" s="143">
        <v>0</v>
      </c>
      <c r="DW762" s="143">
        <v>0</v>
      </c>
      <c r="DX762" s="143">
        <v>0</v>
      </c>
      <c r="DY762" s="143">
        <v>0</v>
      </c>
      <c r="DZ762">
        <v>0</v>
      </c>
      <c r="EA762" s="143">
        <v>0</v>
      </c>
      <c r="EB762" s="143">
        <v>0</v>
      </c>
      <c r="EC762" s="143">
        <v>1</v>
      </c>
      <c r="ED762" s="143">
        <v>0</v>
      </c>
      <c r="EE762">
        <v>0</v>
      </c>
      <c r="EF762">
        <v>0</v>
      </c>
      <c r="EG762" s="143">
        <v>0</v>
      </c>
      <c r="EH762" s="143">
        <v>0</v>
      </c>
      <c r="EI762" s="2">
        <v>0</v>
      </c>
      <c r="EK762" t="str">
        <f t="shared" si="898"/>
        <v/>
      </c>
      <c r="EL762" t="str">
        <f t="shared" si="899"/>
        <v/>
      </c>
      <c r="EM762" s="2" t="str">
        <f t="shared" si="903"/>
        <v/>
      </c>
      <c r="EP762" t="str">
        <f>IF(ISNUMBER(BU762),IF(ABS(BU762-[2]QC_indicators!$B$2)&gt;3*[2]QC_indicators!$C$2,"C ratio",IF(ISNUMBER(BY762),IF(ABS(BY762-[2]QC_indicators!$B$1)&gt;3*[2]QC_indicators!$C$1,"DF","no"))),IF(ISNUMBER(BY762),IF(ABS(BY762-[2]QC_indicators!$B$1)&gt;3*[2]QC_indicators!$C$1,"DF","no")))</f>
        <v>no</v>
      </c>
      <c r="ER762" s="149" t="s">
        <v>349</v>
      </c>
      <c r="ET762" s="264" t="s">
        <v>3265</v>
      </c>
    </row>
    <row r="763" spans="1:150" ht="15" hidden="1" customHeight="1">
      <c r="D763" t="s">
        <v>773</v>
      </c>
      <c r="E763" t="s">
        <v>774</v>
      </c>
      <c r="G763" t="s">
        <v>775</v>
      </c>
      <c r="I763">
        <v>2015</v>
      </c>
      <c r="K763" s="150" t="s">
        <v>776</v>
      </c>
      <c r="M763" t="str">
        <f t="shared" si="839"/>
        <v>Gustavsson_2015</v>
      </c>
      <c r="N763" t="s">
        <v>222</v>
      </c>
      <c r="O763" s="141" t="s">
        <v>223</v>
      </c>
      <c r="Q763" t="s">
        <v>256</v>
      </c>
      <c r="R763" s="255" t="s">
        <v>225</v>
      </c>
      <c r="S763" s="1" t="s">
        <v>777</v>
      </c>
      <c r="T763" t="s">
        <v>778</v>
      </c>
      <c r="U763" s="143" t="s">
        <v>779</v>
      </c>
      <c r="V763">
        <v>0</v>
      </c>
      <c r="W763">
        <v>0</v>
      </c>
      <c r="X763">
        <v>0</v>
      </c>
      <c r="Y763">
        <v>1</v>
      </c>
      <c r="Z763">
        <v>0</v>
      </c>
      <c r="AA763">
        <v>0</v>
      </c>
      <c r="AB763">
        <v>0</v>
      </c>
      <c r="AC763">
        <v>0</v>
      </c>
      <c r="AD763">
        <v>0</v>
      </c>
      <c r="AE763">
        <v>0</v>
      </c>
      <c r="AF763">
        <v>0</v>
      </c>
      <c r="AG763">
        <v>0</v>
      </c>
      <c r="AH763">
        <v>0</v>
      </c>
      <c r="AI763">
        <v>0</v>
      </c>
      <c r="AJ763">
        <v>0</v>
      </c>
      <c r="AK763">
        <v>0</v>
      </c>
      <c r="AL763">
        <v>0</v>
      </c>
      <c r="AM763">
        <v>0</v>
      </c>
      <c r="AN763">
        <v>0</v>
      </c>
      <c r="AO763">
        <v>0</v>
      </c>
      <c r="AP763">
        <v>0</v>
      </c>
      <c r="AQ763">
        <v>0</v>
      </c>
      <c r="AR763">
        <v>0</v>
      </c>
      <c r="AS763">
        <v>0</v>
      </c>
      <c r="AT763">
        <v>0</v>
      </c>
      <c r="AU763">
        <v>0</v>
      </c>
      <c r="AV763">
        <v>0</v>
      </c>
      <c r="AW763">
        <v>0</v>
      </c>
      <c r="AX763" s="141">
        <f t="shared" si="868"/>
        <v>1</v>
      </c>
      <c r="AY763" s="141">
        <f t="shared" si="869"/>
        <v>1</v>
      </c>
      <c r="AZ763">
        <f t="shared" si="870"/>
        <v>1</v>
      </c>
      <c r="BA763">
        <f t="shared" si="871"/>
        <v>0</v>
      </c>
      <c r="BB763">
        <f t="shared" si="872"/>
        <v>0</v>
      </c>
      <c r="BC763">
        <f t="shared" si="873"/>
        <v>0</v>
      </c>
      <c r="BD763">
        <f t="shared" si="874"/>
        <v>0</v>
      </c>
      <c r="BE763" t="str">
        <f t="array" ref="BE763">IF(AY763=1,INDEX($V$7:$AL$7,MATCH(TRUE,INDEX($V763:$AW763&lt;&gt;0,),0)),IF(AY763=0,INDEX($AM$7:$AW$7,MATCH(1,$AM763:$AW763,0)),IF(BF763="Multiple strategies","mixed drivers",IF(BF763="Supply chain","multiple supply","multiple silviculture"))))</f>
        <v xml:space="preserve">cutting intensity </v>
      </c>
      <c r="BF763" s="2" t="str" cm="1">
        <f t="array" ref="BF763">IF(COUNTIF(AZ763:BB763,"&lt;&gt;0")=1,INDEX($V$4:$AW$4,MATCH(TRUE,INDEX($V763:$AW763&lt;&gt;0,),0)),IF(COUNTIF(AZ763:BB763,"&lt;&gt;0")=0,INDEX($AM$4:$AW$4,MATCH(1,$AM763:$AW763,0)),"Multiple strategies"))</f>
        <v>Silviculture for removals</v>
      </c>
      <c r="BG763" s="142" t="s">
        <v>321</v>
      </c>
      <c r="BH763" t="s">
        <v>780</v>
      </c>
      <c r="BI763" s="260" t="s">
        <v>3338</v>
      </c>
      <c r="BJ763" s="264" t="s">
        <v>651</v>
      </c>
      <c r="BK763">
        <v>0</v>
      </c>
      <c r="BL763" s="143">
        <v>1</v>
      </c>
      <c r="BM763" s="143" t="e">
        <f t="shared" si="904"/>
        <v>#DIV/0!</v>
      </c>
      <c r="BN763">
        <f t="shared" si="876"/>
        <v>1</v>
      </c>
      <c r="BO763" s="143">
        <f>BN763*t_to_m3</f>
        <v>2.0408163265306123</v>
      </c>
      <c r="BP763" t="s">
        <v>232</v>
      </c>
      <c r="BQ763" s="303" t="s">
        <v>2112</v>
      </c>
      <c r="BR763" t="s">
        <v>728</v>
      </c>
      <c r="BS763" s="264">
        <v>-3416</v>
      </c>
      <c r="BT763" s="264">
        <v>-1870</v>
      </c>
      <c r="BU763">
        <v>0.54742388758782201</v>
      </c>
      <c r="BV763">
        <v>1546</v>
      </c>
      <c r="BX763">
        <f>BV763/1000</f>
        <v>1.546</v>
      </c>
      <c r="BY763">
        <f t="shared" si="902"/>
        <v>0.75753999999999999</v>
      </c>
      <c r="BZ763" s="143">
        <v>0</v>
      </c>
      <c r="CA763" s="143">
        <v>0</v>
      </c>
      <c r="CB763" s="143">
        <v>0</v>
      </c>
      <c r="CC763" s="143">
        <v>0</v>
      </c>
      <c r="CD763" s="143">
        <v>0</v>
      </c>
      <c r="CE763" s="143">
        <v>0</v>
      </c>
      <c r="CF763" s="143">
        <v>0</v>
      </c>
      <c r="CG763" s="143">
        <v>0</v>
      </c>
      <c r="CH763" s="143">
        <v>0</v>
      </c>
      <c r="CI763" s="143">
        <v>0</v>
      </c>
      <c r="CJ763" s="143">
        <v>0</v>
      </c>
      <c r="CK763" s="143">
        <v>0</v>
      </c>
      <c r="CL763" s="143">
        <v>0</v>
      </c>
      <c r="CM763">
        <v>0</v>
      </c>
      <c r="CN763" t="str">
        <f>IF($BL763&lt;$BK763,"refNeedCorrection","refOK")</f>
        <v>refOK</v>
      </c>
      <c r="CO763">
        <f t="shared" si="880"/>
        <v>0</v>
      </c>
      <c r="CP763">
        <f t="shared" si="881"/>
        <v>1</v>
      </c>
      <c r="CQ763">
        <f t="shared" si="882"/>
        <v>2.0408163265306123</v>
      </c>
      <c r="CR763">
        <f t="shared" si="883"/>
        <v>-3416</v>
      </c>
      <c r="CS763">
        <f t="shared" si="884"/>
        <v>-1870</v>
      </c>
      <c r="CT763">
        <f t="shared" si="885"/>
        <v>1.546</v>
      </c>
      <c r="CU763">
        <f t="shared" si="886"/>
        <v>0.75753999999999999</v>
      </c>
      <c r="CV763" s="2">
        <f t="shared" si="887"/>
        <v>0.45257611241217799</v>
      </c>
      <c r="CW763" s="1" t="s">
        <v>263</v>
      </c>
      <c r="CX763" t="str">
        <f t="shared" si="888"/>
        <v>loc</v>
      </c>
      <c r="CY763" t="s">
        <v>444</v>
      </c>
      <c r="DA763" s="143"/>
      <c r="DB763" s="143">
        <v>50</v>
      </c>
      <c r="DC763" t="str">
        <f t="shared" si="889"/>
        <v>31-70</v>
      </c>
      <c r="DD763">
        <v>0</v>
      </c>
      <c r="DE763">
        <v>1</v>
      </c>
      <c r="DF763">
        <v>0</v>
      </c>
      <c r="DG763">
        <v>0</v>
      </c>
      <c r="DI763">
        <f t="shared" si="890"/>
        <v>1</v>
      </c>
      <c r="DJ763" t="str">
        <f t="shared" si="891"/>
        <v>EnergyInput</v>
      </c>
      <c r="DK763">
        <f t="shared" si="892"/>
        <v>0</v>
      </c>
      <c r="DL763" t="str">
        <f t="shared" si="893"/>
        <v>Energy</v>
      </c>
      <c r="DM763">
        <f t="shared" si="894"/>
        <v>0</v>
      </c>
      <c r="DN763">
        <f t="shared" si="895"/>
        <v>0</v>
      </c>
      <c r="DO763">
        <v>0</v>
      </c>
      <c r="DP763" s="143">
        <v>0</v>
      </c>
      <c r="DQ763" s="143">
        <v>0</v>
      </c>
      <c r="DR763">
        <v>0</v>
      </c>
      <c r="DS763" s="143">
        <v>0</v>
      </c>
      <c r="DT763">
        <f t="shared" si="896"/>
        <v>0</v>
      </c>
      <c r="DU763" s="143" t="str">
        <f t="shared" si="897"/>
        <v>explicit C balance</v>
      </c>
      <c r="DV763" s="143">
        <v>0</v>
      </c>
      <c r="DW763" s="264">
        <v>1</v>
      </c>
      <c r="DX763" s="264">
        <v>0</v>
      </c>
      <c r="DY763" s="264">
        <v>0</v>
      </c>
      <c r="DZ763" s="264">
        <v>1</v>
      </c>
      <c r="EA763" s="264">
        <v>0</v>
      </c>
      <c r="EB763" s="264">
        <v>1</v>
      </c>
      <c r="EC763" s="264">
        <v>0</v>
      </c>
      <c r="ED763" s="143">
        <v>0</v>
      </c>
      <c r="EE763">
        <v>0</v>
      </c>
      <c r="EF763">
        <v>1</v>
      </c>
      <c r="EG763" s="143">
        <v>0</v>
      </c>
      <c r="EH763" s="143">
        <v>0</v>
      </c>
      <c r="EI763" s="2">
        <v>0</v>
      </c>
      <c r="EK763" t="str">
        <f t="shared" si="898"/>
        <v/>
      </c>
      <c r="EL763" t="str">
        <f t="shared" si="899"/>
        <v/>
      </c>
      <c r="EM763" s="2" t="str">
        <f t="shared" si="903"/>
        <v/>
      </c>
      <c r="EP763" t="str">
        <f>IF(ISNUMBER(BU763),IF(ABS(BU763-[5]QC_indicators!$B$2)&gt;3*[5]QC_indicators!$C$2,"C ratio",IF(ISNUMBER(BY763),IF(ABS(BY763-[5]QC_indicators!$B$1)&gt;3*[5]QC_indicators!$C$1,"DF","no"))),IF(ISNUMBER(BY763),IF(ABS(BY763-[5]QC_indicators!$B$1)&gt;3*[5]QC_indicators!$C$1,"DF","no")))</f>
        <v>no</v>
      </c>
      <c r="ER763" s="149" t="s">
        <v>349</v>
      </c>
      <c r="ET763" s="264" t="s">
        <v>3272</v>
      </c>
    </row>
    <row r="764" spans="1:150" ht="15" hidden="1" customHeight="1">
      <c r="A764" s="1" t="s">
        <v>1137</v>
      </c>
      <c r="B764" t="s">
        <v>1690</v>
      </c>
      <c r="C764" t="s">
        <v>1691</v>
      </c>
      <c r="D764" t="s">
        <v>1692</v>
      </c>
      <c r="E764" t="s">
        <v>1693</v>
      </c>
      <c r="F764" t="s">
        <v>1694</v>
      </c>
      <c r="G764" t="s">
        <v>1138</v>
      </c>
      <c r="H764" t="s">
        <v>254</v>
      </c>
      <c r="I764">
        <v>2020</v>
      </c>
      <c r="J764">
        <v>4</v>
      </c>
      <c r="K764" t="s">
        <v>1695</v>
      </c>
      <c r="M764" t="str">
        <f t="shared" si="839"/>
        <v>Gusti_2020</v>
      </c>
      <c r="N764" t="s">
        <v>222</v>
      </c>
      <c r="O764" s="181" t="s">
        <v>341</v>
      </c>
      <c r="Q764" t="s">
        <v>256</v>
      </c>
      <c r="R764" s="283" t="s">
        <v>225</v>
      </c>
      <c r="S764" s="1" t="s">
        <v>1702</v>
      </c>
      <c r="T764" s="151" t="s">
        <v>1110</v>
      </c>
      <c r="U764" t="s">
        <v>3080</v>
      </c>
      <c r="V764">
        <v>0</v>
      </c>
      <c r="W764">
        <v>0</v>
      </c>
      <c r="X764">
        <v>1</v>
      </c>
      <c r="Y764">
        <v>1</v>
      </c>
      <c r="Z764">
        <v>0</v>
      </c>
      <c r="AA764">
        <v>0</v>
      </c>
      <c r="AB764">
        <v>0</v>
      </c>
      <c r="AC764">
        <v>0</v>
      </c>
      <c r="AD764">
        <v>0</v>
      </c>
      <c r="AE764">
        <v>0</v>
      </c>
      <c r="AF764">
        <v>0</v>
      </c>
      <c r="AG764">
        <v>0</v>
      </c>
      <c r="AH764">
        <v>0</v>
      </c>
      <c r="AI764">
        <v>0</v>
      </c>
      <c r="AJ764">
        <v>0</v>
      </c>
      <c r="AK764">
        <v>0</v>
      </c>
      <c r="AL764">
        <v>0</v>
      </c>
      <c r="AM764">
        <v>0</v>
      </c>
      <c r="AN764">
        <v>0</v>
      </c>
      <c r="AO764">
        <v>0</v>
      </c>
      <c r="AP764">
        <v>0</v>
      </c>
      <c r="AQ764">
        <v>0</v>
      </c>
      <c r="AR764">
        <v>0</v>
      </c>
      <c r="AS764">
        <v>0</v>
      </c>
      <c r="AT764">
        <v>0</v>
      </c>
      <c r="AU764">
        <v>0</v>
      </c>
      <c r="AV764">
        <v>0</v>
      </c>
      <c r="AW764">
        <v>0</v>
      </c>
      <c r="AX764" s="141">
        <f t="shared" si="868"/>
        <v>2</v>
      </c>
      <c r="AY764" s="141">
        <f t="shared" si="869"/>
        <v>2</v>
      </c>
      <c r="AZ764">
        <f t="shared" si="870"/>
        <v>2</v>
      </c>
      <c r="BA764">
        <f t="shared" si="871"/>
        <v>0</v>
      </c>
      <c r="BB764">
        <f t="shared" si="872"/>
        <v>0</v>
      </c>
      <c r="BC764">
        <f t="shared" si="873"/>
        <v>0</v>
      </c>
      <c r="BD764">
        <f t="shared" si="874"/>
        <v>0</v>
      </c>
      <c r="BE764" t="str">
        <f t="array" ref="BE764">IF(AY764=1,INDEX($V$7:$AL$7,MATCH(TRUE,INDEX($V764:$AW764&lt;&gt;0,),0)),IF(AY764=0,INDEX($AM$7:$AW$7,MATCH(1,$AM764:$AW764,0)),IF(BF764="Multiple strategies","mixed drivers",IF(BF764="Supply chain","multiple supply","multiple silviculture"))))</f>
        <v>multiple silviculture</v>
      </c>
      <c r="BF764" s="2" t="str" cm="1">
        <f t="array" ref="BF764">IF(COUNTIF(AZ764:BB764,"&lt;&gt;0")=1,INDEX($V$4:$AW$4,MATCH(TRUE,INDEX($V764:$AW764&lt;&gt;0,),0)),IF(COUNTIF(AZ764:BB764,"&lt;&gt;0")=0,INDEX($AM$4:$AW$4,MATCH(1,$AM764:$AW764,0)),"Multiple strategies"))</f>
        <v>Silviculture for removals</v>
      </c>
      <c r="BG764" s="1" t="s">
        <v>321</v>
      </c>
      <c r="BH764" t="s">
        <v>1321</v>
      </c>
      <c r="BI764" t="s">
        <v>581</v>
      </c>
      <c r="BJ764" t="s">
        <v>1697</v>
      </c>
      <c r="BK764">
        <f>BL764-2861</f>
        <v>527284</v>
      </c>
      <c r="BL764">
        <v>530145</v>
      </c>
      <c r="BM764">
        <f t="shared" si="904"/>
        <v>1.0054259184803636</v>
      </c>
      <c r="BN764" s="151">
        <v>2774</v>
      </c>
      <c r="BO764">
        <f>BN764*1000</f>
        <v>2774000</v>
      </c>
      <c r="BP764" t="s">
        <v>232</v>
      </c>
      <c r="BQ764" t="s">
        <v>581</v>
      </c>
      <c r="BR764" t="s">
        <v>1698</v>
      </c>
      <c r="BS764">
        <v>428</v>
      </c>
      <c r="BT764">
        <v>366</v>
      </c>
      <c r="BU764" s="144">
        <f>IFERROR(BT764/BS764,"")</f>
        <v>0.85514018691588789</v>
      </c>
      <c r="BV764">
        <f>BT764-BS764</f>
        <v>-62</v>
      </c>
      <c r="BX764">
        <f>BV764*10^6</f>
        <v>-62000000</v>
      </c>
      <c r="BY764">
        <f t="shared" si="902"/>
        <v>-22.350396539293438</v>
      </c>
      <c r="BZ764">
        <v>0</v>
      </c>
      <c r="CA764">
        <v>0</v>
      </c>
      <c r="CB764">
        <v>0</v>
      </c>
      <c r="CC764">
        <v>0</v>
      </c>
      <c r="CD764">
        <v>0</v>
      </c>
      <c r="CE764">
        <v>0</v>
      </c>
      <c r="CF764">
        <v>0</v>
      </c>
      <c r="CG764">
        <v>0</v>
      </c>
      <c r="CH764">
        <v>0</v>
      </c>
      <c r="CI764">
        <v>0</v>
      </c>
      <c r="CJ764">
        <v>0</v>
      </c>
      <c r="CK764">
        <v>0</v>
      </c>
      <c r="CL764">
        <v>0</v>
      </c>
      <c r="CM764">
        <v>0</v>
      </c>
      <c r="CN764" t="str">
        <f>IF($BL764&lt;$BK764,"refNeedCorrection","refOK")</f>
        <v>refOK</v>
      </c>
      <c r="CO764">
        <f>IF($CN764="refNeedCorrection",BK764,BL764)</f>
        <v>530145</v>
      </c>
      <c r="CP764">
        <f>IF($CN764="refNeedCorrection",BL764,BK764)</f>
        <v>527284</v>
      </c>
      <c r="CQ764">
        <f t="shared" si="882"/>
        <v>2774000</v>
      </c>
      <c r="CR764">
        <f t="shared" si="883"/>
        <v>428</v>
      </c>
      <c r="CS764">
        <f t="shared" si="884"/>
        <v>366</v>
      </c>
      <c r="CT764">
        <f t="shared" si="885"/>
        <v>-62000000</v>
      </c>
      <c r="CU764">
        <f t="shared" si="886"/>
        <v>-22.350396539293438</v>
      </c>
      <c r="CV764" s="2">
        <f t="shared" si="887"/>
        <v>-0.14485981308411214</v>
      </c>
      <c r="CW764" s="1" t="s">
        <v>1230</v>
      </c>
      <c r="CX764" t="str">
        <f t="shared" si="888"/>
        <v>reg</v>
      </c>
      <c r="CY764" t="s">
        <v>743</v>
      </c>
      <c r="CZ764">
        <v>2026</v>
      </c>
      <c r="DA764">
        <v>2030</v>
      </c>
      <c r="DB764">
        <v>5</v>
      </c>
      <c r="DC764" t="str">
        <f t="shared" si="889"/>
        <v>1-30</v>
      </c>
      <c r="DD764">
        <v>1</v>
      </c>
      <c r="DE764">
        <v>0</v>
      </c>
      <c r="DF764">
        <v>0</v>
      </c>
      <c r="DG764">
        <v>0</v>
      </c>
      <c r="DI764">
        <f t="shared" si="890"/>
        <v>1</v>
      </c>
      <c r="DJ764" t="str">
        <f t="shared" si="891"/>
        <v>UpstreamInput</v>
      </c>
      <c r="DK764" t="str">
        <f t="shared" si="892"/>
        <v>Upstream</v>
      </c>
      <c r="DL764">
        <f t="shared" si="893"/>
        <v>0</v>
      </c>
      <c r="DM764">
        <f t="shared" si="894"/>
        <v>0</v>
      </c>
      <c r="DN764">
        <f t="shared" si="895"/>
        <v>0</v>
      </c>
      <c r="DO764">
        <v>0</v>
      </c>
      <c r="DP764">
        <v>0</v>
      </c>
      <c r="DQ764">
        <v>0</v>
      </c>
      <c r="DR764">
        <v>0</v>
      </c>
      <c r="DS764">
        <v>0</v>
      </c>
      <c r="DT764">
        <f t="shared" si="896"/>
        <v>0</v>
      </c>
      <c r="DU764" s="143" t="str">
        <f t="shared" si="897"/>
        <v>explicit C balance</v>
      </c>
      <c r="DV764">
        <v>1</v>
      </c>
      <c r="DW764">
        <v>0</v>
      </c>
      <c r="DX764">
        <v>1</v>
      </c>
      <c r="DY764">
        <v>0</v>
      </c>
      <c r="DZ764">
        <v>0</v>
      </c>
      <c r="EA764" s="143">
        <v>0</v>
      </c>
      <c r="EB764">
        <v>0</v>
      </c>
      <c r="EC764">
        <v>0</v>
      </c>
      <c r="ED764">
        <v>0</v>
      </c>
      <c r="EE764">
        <v>0</v>
      </c>
      <c r="EF764">
        <v>1</v>
      </c>
      <c r="EG764">
        <v>0</v>
      </c>
      <c r="EH764">
        <v>0</v>
      </c>
      <c r="EI764" s="2">
        <v>0</v>
      </c>
      <c r="EK764" t="str">
        <f t="shared" si="898"/>
        <v/>
      </c>
      <c r="EL764" t="str">
        <f t="shared" si="899"/>
        <v/>
      </c>
      <c r="EM764" s="2" t="str">
        <f t="shared" si="903"/>
        <v/>
      </c>
      <c r="EN764" s="149" t="s">
        <v>1701</v>
      </c>
      <c r="EP764" t="str">
        <f>IF(ISNUMBER(BU764),IF(ABS(BU764-[5]QC_indicators!$B$2)&gt;3*[5]QC_indicators!$C$2,"C ratio",IF(ISNUMBER(BY764),IF(ABS(BY764-[5]QC_indicators!$B$1)&gt;3*[5]QC_indicators!$C$1,"DF","no"))),IF(ISNUMBER(BY764),IF(ABS(BY764-[5]QC_indicators!$B$1)&gt;3*[5]QC_indicators!$C$1,"DF","no")))</f>
        <v>DF</v>
      </c>
      <c r="ER764" s="149" t="s">
        <v>349</v>
      </c>
      <c r="ET764" s="264" t="s">
        <v>3272</v>
      </c>
    </row>
    <row r="765" spans="1:150" ht="15" hidden="1" customHeight="1">
      <c r="A765" s="1" t="s">
        <v>1137</v>
      </c>
      <c r="B765" t="s">
        <v>1690</v>
      </c>
      <c r="C765" t="s">
        <v>1691</v>
      </c>
      <c r="D765" t="s">
        <v>1692</v>
      </c>
      <c r="E765" t="s">
        <v>1693</v>
      </c>
      <c r="F765" t="s">
        <v>1694</v>
      </c>
      <c r="G765" t="s">
        <v>1138</v>
      </c>
      <c r="H765" t="s">
        <v>254</v>
      </c>
      <c r="I765">
        <v>2020</v>
      </c>
      <c r="J765">
        <v>4</v>
      </c>
      <c r="K765" t="s">
        <v>1695</v>
      </c>
      <c r="M765" t="str">
        <f t="shared" si="839"/>
        <v>Gusti_2020</v>
      </c>
      <c r="N765" t="s">
        <v>222</v>
      </c>
      <c r="O765" s="181" t="s">
        <v>341</v>
      </c>
      <c r="Q765" t="s">
        <v>256</v>
      </c>
      <c r="R765" s="283" t="s">
        <v>225</v>
      </c>
      <c r="S765" s="1" t="s">
        <v>1703</v>
      </c>
      <c r="T765" s="151" t="s">
        <v>1110</v>
      </c>
      <c r="U765" t="s">
        <v>1816</v>
      </c>
      <c r="V765">
        <v>0</v>
      </c>
      <c r="W765">
        <v>0</v>
      </c>
      <c r="X765">
        <v>1</v>
      </c>
      <c r="Y765">
        <v>1</v>
      </c>
      <c r="Z765">
        <v>0</v>
      </c>
      <c r="AA765">
        <v>0</v>
      </c>
      <c r="AB765">
        <v>0</v>
      </c>
      <c r="AC765">
        <v>0</v>
      </c>
      <c r="AD765">
        <v>0</v>
      </c>
      <c r="AE765">
        <v>0</v>
      </c>
      <c r="AF765">
        <v>0</v>
      </c>
      <c r="AG765">
        <v>0</v>
      </c>
      <c r="AH765">
        <v>0</v>
      </c>
      <c r="AI765">
        <v>0</v>
      </c>
      <c r="AJ765">
        <v>0</v>
      </c>
      <c r="AK765">
        <v>0</v>
      </c>
      <c r="AL765">
        <v>0</v>
      </c>
      <c r="AM765">
        <v>0</v>
      </c>
      <c r="AN765">
        <v>0</v>
      </c>
      <c r="AO765">
        <v>0</v>
      </c>
      <c r="AP765">
        <v>0</v>
      </c>
      <c r="AQ765">
        <v>0</v>
      </c>
      <c r="AR765">
        <v>0</v>
      </c>
      <c r="AS765">
        <v>0</v>
      </c>
      <c r="AT765">
        <v>0</v>
      </c>
      <c r="AU765">
        <v>0</v>
      </c>
      <c r="AV765">
        <v>0</v>
      </c>
      <c r="AW765">
        <v>0</v>
      </c>
      <c r="AX765" s="141">
        <f t="shared" si="868"/>
        <v>2</v>
      </c>
      <c r="AY765" s="141">
        <f t="shared" si="869"/>
        <v>2</v>
      </c>
      <c r="AZ765">
        <f t="shared" si="870"/>
        <v>2</v>
      </c>
      <c r="BA765">
        <f t="shared" si="871"/>
        <v>0</v>
      </c>
      <c r="BB765">
        <f t="shared" si="872"/>
        <v>0</v>
      </c>
      <c r="BC765">
        <f t="shared" si="873"/>
        <v>0</v>
      </c>
      <c r="BD765">
        <f t="shared" si="874"/>
        <v>0</v>
      </c>
      <c r="BE765" t="str">
        <f t="array" ref="BE765">IF(AY765=1,INDEX($V$7:$AL$7,MATCH(TRUE,INDEX($V765:$AW765&lt;&gt;0,),0)),IF(AY765=0,INDEX($AM$7:$AW$7,MATCH(1,$AM765:$AW765,0)),IF(BF765="Multiple strategies","mixed drivers",IF(BF765="Supply chain","multiple supply","multiple silviculture"))))</f>
        <v>multiple silviculture</v>
      </c>
      <c r="BF765" s="2" t="str" cm="1">
        <f t="array" ref="BF765">IF(COUNTIF(AZ765:BB765,"&lt;&gt;0")=1,INDEX($V$4:$AW$4,MATCH(TRUE,INDEX($V765:$AW765&lt;&gt;0,),0)),IF(COUNTIF(AZ765:BB765,"&lt;&gt;0")=0,INDEX($AM$4:$AW$4,MATCH(1,$AM765:$AW765,0)),"Multiple strategies"))</f>
        <v>Silviculture for removals</v>
      </c>
      <c r="BG765" s="1" t="s">
        <v>321</v>
      </c>
      <c r="BH765" t="s">
        <v>1321</v>
      </c>
      <c r="BI765" t="s">
        <v>581</v>
      </c>
      <c r="BJ765" t="s">
        <v>1697</v>
      </c>
      <c r="BK765">
        <f>BL765-2774</f>
        <v>527371</v>
      </c>
      <c r="BL765">
        <v>530145</v>
      </c>
      <c r="BM765">
        <f t="shared" si="904"/>
        <v>1.0052600541174999</v>
      </c>
      <c r="BN765" s="151">
        <v>2861</v>
      </c>
      <c r="BO765">
        <f>BN765*1000</f>
        <v>2861000</v>
      </c>
      <c r="BP765" t="s">
        <v>232</v>
      </c>
      <c r="BQ765" t="s">
        <v>581</v>
      </c>
      <c r="BR765" t="s">
        <v>1698</v>
      </c>
      <c r="BS765">
        <v>389</v>
      </c>
      <c r="BT765">
        <v>366</v>
      </c>
      <c r="BU765" s="144">
        <f>IFERROR(BT765/BS765,"")</f>
        <v>0.94087403598971719</v>
      </c>
      <c r="BV765">
        <f>BT765-BS765</f>
        <v>-23</v>
      </c>
      <c r="BX765">
        <f>BV765*10^6</f>
        <v>-23000000</v>
      </c>
      <c r="BY765">
        <f t="shared" si="902"/>
        <v>-8.0391471513456825</v>
      </c>
      <c r="BZ765">
        <v>0</v>
      </c>
      <c r="CA765">
        <v>0</v>
      </c>
      <c r="CB765">
        <v>0</v>
      </c>
      <c r="CC765">
        <v>0</v>
      </c>
      <c r="CD765">
        <v>0</v>
      </c>
      <c r="CE765">
        <v>0</v>
      </c>
      <c r="CF765">
        <v>0</v>
      </c>
      <c r="CG765">
        <v>0</v>
      </c>
      <c r="CH765">
        <v>0</v>
      </c>
      <c r="CI765">
        <v>0</v>
      </c>
      <c r="CJ765">
        <v>0</v>
      </c>
      <c r="CK765">
        <v>0</v>
      </c>
      <c r="CL765">
        <v>0</v>
      </c>
      <c r="CM765">
        <v>0</v>
      </c>
      <c r="CN765" t="str">
        <f>IF($BL765&lt;$BK765,"refNeedCorrection","refOK")</f>
        <v>refOK</v>
      </c>
      <c r="CO765">
        <f>IF($CN765="refNeedCorrection",BK765,BL765)</f>
        <v>530145</v>
      </c>
      <c r="CP765">
        <f>IF($CN765="refNeedCorrection",BL765,BK765)</f>
        <v>527371</v>
      </c>
      <c r="CQ765">
        <f t="shared" si="882"/>
        <v>2861000</v>
      </c>
      <c r="CR765">
        <f t="shared" si="883"/>
        <v>389</v>
      </c>
      <c r="CS765">
        <f t="shared" si="884"/>
        <v>366</v>
      </c>
      <c r="CT765">
        <f t="shared" si="885"/>
        <v>-23000000</v>
      </c>
      <c r="CU765">
        <f t="shared" si="886"/>
        <v>-8.0391471513456825</v>
      </c>
      <c r="CV765" s="2">
        <f t="shared" si="887"/>
        <v>-5.9125964010282778E-2</v>
      </c>
      <c r="CW765" s="1" t="s">
        <v>1230</v>
      </c>
      <c r="CX765" t="str">
        <f t="shared" si="888"/>
        <v>reg</v>
      </c>
      <c r="CY765" t="s">
        <v>743</v>
      </c>
      <c r="CZ765">
        <v>2026</v>
      </c>
      <c r="DA765">
        <v>2030</v>
      </c>
      <c r="DB765">
        <v>5</v>
      </c>
      <c r="DC765" t="str">
        <f t="shared" si="889"/>
        <v>1-30</v>
      </c>
      <c r="DD765">
        <v>1</v>
      </c>
      <c r="DE765">
        <v>0</v>
      </c>
      <c r="DF765">
        <v>0</v>
      </c>
      <c r="DG765">
        <v>0</v>
      </c>
      <c r="DI765">
        <f t="shared" si="890"/>
        <v>1</v>
      </c>
      <c r="DJ765" t="str">
        <f t="shared" si="891"/>
        <v>UpstreamInput</v>
      </c>
      <c r="DK765" t="str">
        <f t="shared" si="892"/>
        <v>Upstream</v>
      </c>
      <c r="DL765">
        <f t="shared" si="893"/>
        <v>0</v>
      </c>
      <c r="DM765">
        <f t="shared" si="894"/>
        <v>0</v>
      </c>
      <c r="DN765">
        <f t="shared" si="895"/>
        <v>0</v>
      </c>
      <c r="DO765">
        <v>0</v>
      </c>
      <c r="DP765">
        <v>0</v>
      </c>
      <c r="DQ765">
        <v>0</v>
      </c>
      <c r="DR765">
        <v>0</v>
      </c>
      <c r="DS765">
        <v>0</v>
      </c>
      <c r="DT765">
        <f t="shared" si="896"/>
        <v>0</v>
      </c>
      <c r="DU765" s="143" t="str">
        <f t="shared" si="897"/>
        <v>explicit C balance</v>
      </c>
      <c r="DV765">
        <v>1</v>
      </c>
      <c r="DW765">
        <v>0</v>
      </c>
      <c r="DX765">
        <v>1</v>
      </c>
      <c r="DY765">
        <v>0</v>
      </c>
      <c r="DZ765">
        <v>0</v>
      </c>
      <c r="EA765" s="143">
        <v>0</v>
      </c>
      <c r="EB765">
        <v>0</v>
      </c>
      <c r="EC765">
        <v>0</v>
      </c>
      <c r="ED765">
        <v>0</v>
      </c>
      <c r="EE765">
        <v>0</v>
      </c>
      <c r="EF765">
        <v>1</v>
      </c>
      <c r="EG765">
        <v>0</v>
      </c>
      <c r="EH765">
        <v>0</v>
      </c>
      <c r="EI765" s="2">
        <v>0</v>
      </c>
      <c r="EK765" t="str">
        <f t="shared" si="898"/>
        <v/>
      </c>
      <c r="EL765" t="str">
        <f t="shared" si="899"/>
        <v/>
      </c>
      <c r="EM765" s="2" t="str">
        <f t="shared" si="903"/>
        <v/>
      </c>
      <c r="EN765" s="149" t="s">
        <v>1701</v>
      </c>
      <c r="EP765" t="str">
        <f>IF(ISNUMBER(BU765),IF(ABS(BU765-[5]QC_indicators!$B$2)&gt;3*[5]QC_indicators!$C$2,"C ratio",IF(ISNUMBER(BY765),IF(ABS(BY765-[5]QC_indicators!$B$1)&gt;3*[5]QC_indicators!$C$1,"DF","no"))),IF(ISNUMBER(BY765),IF(ABS(BY765-[5]QC_indicators!$B$1)&gt;3*[5]QC_indicators!$C$1,"DF","no")))</f>
        <v>DF</v>
      </c>
      <c r="ER765" s="149" t="s">
        <v>349</v>
      </c>
      <c r="ET765" s="264" t="s">
        <v>3272</v>
      </c>
    </row>
    <row r="766" spans="1:150" ht="15" hidden="1" customHeight="1">
      <c r="A766" s="1" t="s">
        <v>1137</v>
      </c>
      <c r="B766" t="s">
        <v>1690</v>
      </c>
      <c r="C766" t="s">
        <v>1691</v>
      </c>
      <c r="D766" t="s">
        <v>1692</v>
      </c>
      <c r="E766" t="s">
        <v>1693</v>
      </c>
      <c r="F766" t="s">
        <v>1694</v>
      </c>
      <c r="G766" t="s">
        <v>1138</v>
      </c>
      <c r="H766" t="s">
        <v>254</v>
      </c>
      <c r="I766">
        <v>2020</v>
      </c>
      <c r="J766">
        <v>4</v>
      </c>
      <c r="K766" t="s">
        <v>1695</v>
      </c>
      <c r="M766" t="str">
        <f t="shared" si="839"/>
        <v>Gusti_2020</v>
      </c>
      <c r="N766" t="s">
        <v>222</v>
      </c>
      <c r="O766" s="181" t="s">
        <v>341</v>
      </c>
      <c r="Q766" t="s">
        <v>256</v>
      </c>
      <c r="R766" s="283" t="s">
        <v>225</v>
      </c>
      <c r="S766" s="1" t="s">
        <v>1696</v>
      </c>
      <c r="T766" s="151" t="s">
        <v>1110</v>
      </c>
      <c r="U766" t="s">
        <v>3078</v>
      </c>
      <c r="V766">
        <v>0</v>
      </c>
      <c r="W766">
        <v>0</v>
      </c>
      <c r="X766">
        <v>1</v>
      </c>
      <c r="Y766">
        <v>1</v>
      </c>
      <c r="Z766">
        <v>0</v>
      </c>
      <c r="AA766">
        <v>0</v>
      </c>
      <c r="AB766">
        <v>0</v>
      </c>
      <c r="AC766">
        <v>0</v>
      </c>
      <c r="AD766">
        <v>0</v>
      </c>
      <c r="AE766">
        <v>0</v>
      </c>
      <c r="AF766">
        <v>0</v>
      </c>
      <c r="AG766">
        <v>0</v>
      </c>
      <c r="AH766">
        <v>0</v>
      </c>
      <c r="AI766">
        <v>0</v>
      </c>
      <c r="AJ766">
        <v>0</v>
      </c>
      <c r="AK766">
        <v>0</v>
      </c>
      <c r="AL766">
        <v>0</v>
      </c>
      <c r="AM766">
        <v>0</v>
      </c>
      <c r="AN766">
        <v>0</v>
      </c>
      <c r="AO766">
        <v>0</v>
      </c>
      <c r="AP766">
        <v>0</v>
      </c>
      <c r="AQ766">
        <v>0</v>
      </c>
      <c r="AR766">
        <v>0</v>
      </c>
      <c r="AS766">
        <v>0</v>
      </c>
      <c r="AT766">
        <v>0</v>
      </c>
      <c r="AU766">
        <v>0</v>
      </c>
      <c r="AV766">
        <v>0</v>
      </c>
      <c r="AW766">
        <v>0</v>
      </c>
      <c r="AX766" s="141">
        <f t="shared" si="868"/>
        <v>2</v>
      </c>
      <c r="AY766" s="141">
        <f t="shared" si="869"/>
        <v>2</v>
      </c>
      <c r="AZ766">
        <f t="shared" si="870"/>
        <v>2</v>
      </c>
      <c r="BA766">
        <f t="shared" si="871"/>
        <v>0</v>
      </c>
      <c r="BB766">
        <f t="shared" si="872"/>
        <v>0</v>
      </c>
      <c r="BC766">
        <f t="shared" si="873"/>
        <v>0</v>
      </c>
      <c r="BD766">
        <f t="shared" si="874"/>
        <v>0</v>
      </c>
      <c r="BE766" t="str">
        <f t="array" ref="BE766">IF(AY766=1,INDEX($V$7:$AL$7,MATCH(TRUE,INDEX($V766:$AW766&lt;&gt;0,),0)),IF(AY766=0,INDEX($AM$7:$AW$7,MATCH(1,$AM766:$AW766,0)),IF(BF766="Multiple strategies","mixed drivers",IF(BF766="Supply chain","multiple supply","multiple silviculture"))))</f>
        <v>multiple silviculture</v>
      </c>
      <c r="BF766" s="2" t="str" cm="1">
        <f t="array" ref="BF766">IF(COUNTIF(AZ766:BB766,"&lt;&gt;0")=1,INDEX($V$4:$AW$4,MATCH(TRUE,INDEX($V766:$AW766&lt;&gt;0,),0)),IF(COUNTIF(AZ766:BB766,"&lt;&gt;0")=0,INDEX($AM$4:$AW$4,MATCH(1,$AM766:$AW766,0)),"Multiple strategies"))</f>
        <v>Silviculture for removals</v>
      </c>
      <c r="BG766" s="1" t="s">
        <v>321</v>
      </c>
      <c r="BH766" t="s">
        <v>1321</v>
      </c>
      <c r="BI766" t="s">
        <v>581</v>
      </c>
      <c r="BJ766" t="s">
        <v>1322</v>
      </c>
      <c r="BK766" s="151">
        <v>9999</v>
      </c>
      <c r="BL766" s="151">
        <v>9999</v>
      </c>
      <c r="BM766">
        <f t="shared" si="904"/>
        <v>1</v>
      </c>
      <c r="BN766">
        <f>BL766-BK766</f>
        <v>0</v>
      </c>
      <c r="BO766">
        <f>BN766*10^6</f>
        <v>0</v>
      </c>
      <c r="BP766" t="s">
        <v>232</v>
      </c>
      <c r="BQ766" t="s">
        <v>581</v>
      </c>
      <c r="BR766" t="s">
        <v>1698</v>
      </c>
      <c r="BS766">
        <v>426</v>
      </c>
      <c r="BT766">
        <v>366</v>
      </c>
      <c r="BU766" s="144">
        <f>IFERROR(BT766/BS766,"")</f>
        <v>0.85915492957746475</v>
      </c>
      <c r="BV766" s="151">
        <v>-36</v>
      </c>
      <c r="BX766">
        <f>BV766*10^6</f>
        <v>-36000000</v>
      </c>
      <c r="BY766" t="str">
        <f t="shared" si="902"/>
        <v/>
      </c>
      <c r="BZ766">
        <v>0</v>
      </c>
      <c r="CA766">
        <v>0</v>
      </c>
      <c r="CB766">
        <v>0</v>
      </c>
      <c r="CC766">
        <v>0</v>
      </c>
      <c r="CD766">
        <v>0</v>
      </c>
      <c r="CE766">
        <v>0</v>
      </c>
      <c r="CF766">
        <v>0</v>
      </c>
      <c r="CG766">
        <v>0</v>
      </c>
      <c r="CH766">
        <v>0</v>
      </c>
      <c r="CI766">
        <v>0</v>
      </c>
      <c r="CJ766">
        <v>0</v>
      </c>
      <c r="CK766">
        <v>0</v>
      </c>
      <c r="CL766">
        <v>0</v>
      </c>
      <c r="CM766">
        <v>0</v>
      </c>
      <c r="CN766" t="str">
        <f>IF($BL766&lt;$BK766,"refNeedCorrection","refOK")</f>
        <v>refOK</v>
      </c>
      <c r="CO766">
        <f>IF($CN766="refNeedCorrection",BK766,BL766)</f>
        <v>9999</v>
      </c>
      <c r="CP766">
        <f>IF($CN766="refNeedCorrection",BL766,BK766)</f>
        <v>9999</v>
      </c>
      <c r="CQ766">
        <f t="shared" si="882"/>
        <v>0</v>
      </c>
      <c r="CR766">
        <f t="shared" si="883"/>
        <v>426</v>
      </c>
      <c r="CS766">
        <f t="shared" si="884"/>
        <v>366</v>
      </c>
      <c r="CT766">
        <f t="shared" si="885"/>
        <v>-36000000</v>
      </c>
      <c r="CU766" t="str">
        <f t="shared" si="886"/>
        <v/>
      </c>
      <c r="CV766" s="2">
        <f t="shared" si="887"/>
        <v>-0.14084507042253522</v>
      </c>
      <c r="CW766" s="1" t="s">
        <v>1230</v>
      </c>
      <c r="CX766" t="str">
        <f t="shared" si="888"/>
        <v>reg</v>
      </c>
      <c r="CY766" t="s">
        <v>743</v>
      </c>
      <c r="CZ766">
        <v>2026</v>
      </c>
      <c r="DA766">
        <v>2030</v>
      </c>
      <c r="DB766">
        <v>5</v>
      </c>
      <c r="DC766" t="str">
        <f t="shared" si="889"/>
        <v>1-30</v>
      </c>
      <c r="DD766">
        <v>1</v>
      </c>
      <c r="DE766">
        <v>0</v>
      </c>
      <c r="DF766">
        <v>0</v>
      </c>
      <c r="DG766">
        <v>0</v>
      </c>
      <c r="DI766">
        <f t="shared" si="890"/>
        <v>1</v>
      </c>
      <c r="DJ766" t="str">
        <f t="shared" si="891"/>
        <v>UpstreamInput</v>
      </c>
      <c r="DK766" t="str">
        <f t="shared" si="892"/>
        <v>Upstream</v>
      </c>
      <c r="DL766">
        <f t="shared" si="893"/>
        <v>0</v>
      </c>
      <c r="DM766">
        <f t="shared" si="894"/>
        <v>0</v>
      </c>
      <c r="DN766">
        <f t="shared" si="895"/>
        <v>0</v>
      </c>
      <c r="DO766">
        <v>0</v>
      </c>
      <c r="DP766">
        <v>0</v>
      </c>
      <c r="DQ766">
        <v>0</v>
      </c>
      <c r="DR766">
        <v>0</v>
      </c>
      <c r="DS766">
        <v>0</v>
      </c>
      <c r="DT766">
        <f t="shared" si="896"/>
        <v>0</v>
      </c>
      <c r="DU766" s="143" t="str">
        <f t="shared" si="897"/>
        <v>explicit C balance</v>
      </c>
      <c r="DV766">
        <v>1</v>
      </c>
      <c r="DW766">
        <v>0</v>
      </c>
      <c r="DX766">
        <v>1</v>
      </c>
      <c r="DY766">
        <v>0</v>
      </c>
      <c r="DZ766">
        <v>0</v>
      </c>
      <c r="EA766" s="143">
        <v>0</v>
      </c>
      <c r="EB766">
        <v>0</v>
      </c>
      <c r="EC766">
        <v>0</v>
      </c>
      <c r="ED766">
        <v>0</v>
      </c>
      <c r="EE766">
        <v>0</v>
      </c>
      <c r="EF766">
        <v>1</v>
      </c>
      <c r="EG766">
        <v>0</v>
      </c>
      <c r="EH766">
        <v>0</v>
      </c>
      <c r="EI766" s="2">
        <v>0</v>
      </c>
      <c r="EK766" t="str">
        <f t="shared" si="898"/>
        <v/>
      </c>
      <c r="EL766" t="str">
        <f t="shared" si="899"/>
        <v/>
      </c>
      <c r="EM766" s="2" t="str">
        <f t="shared" si="903"/>
        <v/>
      </c>
      <c r="EN766" s="149" t="s">
        <v>1699</v>
      </c>
      <c r="EP766" t="b">
        <f>IF(ISNUMBER(BU766),IF(ABS(BU766-[5]QC_indicators!$B$2)&gt;3*[5]QC_indicators!$C$2,"C ratio",IF(ISNUMBER(BY766),IF(ABS(BY766-[5]QC_indicators!$B$1)&gt;3*[5]QC_indicators!$C$1,"DF","no"))),IF(ISNUMBER(BY766),IF(ABS(BY766-[5]QC_indicators!$B$1)&gt;3*[5]QC_indicators!$C$1,"DF","no")))</f>
        <v>0</v>
      </c>
      <c r="ER766" s="149" t="s">
        <v>349</v>
      </c>
      <c r="ET766" s="264" t="s">
        <v>3272</v>
      </c>
    </row>
    <row r="767" spans="1:150" ht="15" hidden="1" customHeight="1">
      <c r="A767" s="1" t="s">
        <v>1137</v>
      </c>
      <c r="B767" t="s">
        <v>1690</v>
      </c>
      <c r="C767" t="s">
        <v>1691</v>
      </c>
      <c r="D767" t="s">
        <v>1692</v>
      </c>
      <c r="E767" t="s">
        <v>1693</v>
      </c>
      <c r="F767" t="s">
        <v>1694</v>
      </c>
      <c r="G767" t="s">
        <v>1138</v>
      </c>
      <c r="H767" t="s">
        <v>254</v>
      </c>
      <c r="I767">
        <v>2020</v>
      </c>
      <c r="J767">
        <v>4</v>
      </c>
      <c r="K767" t="s">
        <v>1695</v>
      </c>
      <c r="M767" t="str">
        <f t="shared" si="839"/>
        <v>Gusti_2020</v>
      </c>
      <c r="N767" t="s">
        <v>222</v>
      </c>
      <c r="O767" s="181" t="s">
        <v>341</v>
      </c>
      <c r="Q767" t="s">
        <v>256</v>
      </c>
      <c r="R767" s="283" t="s">
        <v>225</v>
      </c>
      <c r="S767" s="1" t="s">
        <v>1700</v>
      </c>
      <c r="T767" s="151" t="s">
        <v>1110</v>
      </c>
      <c r="U767" t="s">
        <v>3079</v>
      </c>
      <c r="V767">
        <v>0</v>
      </c>
      <c r="W767">
        <v>0</v>
      </c>
      <c r="X767">
        <v>1</v>
      </c>
      <c r="Y767">
        <v>1</v>
      </c>
      <c r="Z767">
        <v>0</v>
      </c>
      <c r="AA767">
        <v>0</v>
      </c>
      <c r="AB767">
        <v>0</v>
      </c>
      <c r="AC767">
        <v>0</v>
      </c>
      <c r="AD767">
        <v>0</v>
      </c>
      <c r="AE767">
        <v>0</v>
      </c>
      <c r="AF767">
        <v>0</v>
      </c>
      <c r="AG767">
        <v>0</v>
      </c>
      <c r="AH767">
        <v>0</v>
      </c>
      <c r="AI767">
        <v>0</v>
      </c>
      <c r="AJ767">
        <v>0</v>
      </c>
      <c r="AK767">
        <v>0</v>
      </c>
      <c r="AL767">
        <v>0</v>
      </c>
      <c r="AM767">
        <v>0</v>
      </c>
      <c r="AN767">
        <v>0</v>
      </c>
      <c r="AO767">
        <v>0</v>
      </c>
      <c r="AP767">
        <v>0</v>
      </c>
      <c r="AQ767">
        <v>0</v>
      </c>
      <c r="AR767">
        <v>0</v>
      </c>
      <c r="AS767">
        <v>0</v>
      </c>
      <c r="AT767">
        <v>0</v>
      </c>
      <c r="AU767">
        <v>0</v>
      </c>
      <c r="AV767">
        <v>0</v>
      </c>
      <c r="AW767">
        <v>0</v>
      </c>
      <c r="AX767" s="141">
        <f t="shared" si="868"/>
        <v>2</v>
      </c>
      <c r="AY767" s="141">
        <f t="shared" si="869"/>
        <v>2</v>
      </c>
      <c r="AZ767">
        <f t="shared" si="870"/>
        <v>2</v>
      </c>
      <c r="BA767">
        <f t="shared" si="871"/>
        <v>0</v>
      </c>
      <c r="BB767">
        <f t="shared" si="872"/>
        <v>0</v>
      </c>
      <c r="BC767">
        <f t="shared" si="873"/>
        <v>0</v>
      </c>
      <c r="BD767">
        <f t="shared" si="874"/>
        <v>0</v>
      </c>
      <c r="BE767" t="str">
        <f t="array" ref="BE767">IF(AY767=1,INDEX($V$7:$AL$7,MATCH(TRUE,INDEX($V767:$AW767&lt;&gt;0,),0)),IF(AY767=0,INDEX($AM$7:$AW$7,MATCH(1,$AM767:$AW767,0)),IF(BF767="Multiple strategies","mixed drivers",IF(BF767="Supply chain","multiple supply","multiple silviculture"))))</f>
        <v>multiple silviculture</v>
      </c>
      <c r="BF767" s="2" t="str" cm="1">
        <f t="array" ref="BF767">IF(COUNTIF(AZ767:BB767,"&lt;&gt;0")=1,INDEX($V$4:$AW$4,MATCH(TRUE,INDEX($V767:$AW767&lt;&gt;0,),0)),IF(COUNTIF(AZ767:BB767,"&lt;&gt;0")=0,INDEX($AM$4:$AW$4,MATCH(1,$AM767:$AW767,0)),"Multiple strategies"))</f>
        <v>Silviculture for removals</v>
      </c>
      <c r="BG767" s="1" t="s">
        <v>321</v>
      </c>
      <c r="BH767" t="s">
        <v>1321</v>
      </c>
      <c r="BI767" t="s">
        <v>581</v>
      </c>
      <c r="BJ767" t="s">
        <v>1322</v>
      </c>
      <c r="BK767" s="151">
        <v>9999</v>
      </c>
      <c r="BL767" s="151">
        <v>9999</v>
      </c>
      <c r="BM767">
        <f t="shared" si="904"/>
        <v>1</v>
      </c>
      <c r="BN767">
        <f>BL767-BK767</f>
        <v>0</v>
      </c>
      <c r="BO767">
        <f>BN767*10^6</f>
        <v>0</v>
      </c>
      <c r="BP767" t="s">
        <v>232</v>
      </c>
      <c r="BQ767" t="s">
        <v>581</v>
      </c>
      <c r="BR767" t="s">
        <v>1698</v>
      </c>
      <c r="BS767">
        <v>402</v>
      </c>
      <c r="BT767">
        <v>366</v>
      </c>
      <c r="BU767" s="144">
        <f>IFERROR(BT767/BS767,"")</f>
        <v>0.91044776119402981</v>
      </c>
      <c r="BV767" s="151">
        <v>-60</v>
      </c>
      <c r="BX767">
        <f>BV767*10^6</f>
        <v>-60000000</v>
      </c>
      <c r="BY767" t="str">
        <f t="shared" si="902"/>
        <v/>
      </c>
      <c r="BZ767">
        <v>0</v>
      </c>
      <c r="CA767">
        <v>0</v>
      </c>
      <c r="CB767">
        <v>0</v>
      </c>
      <c r="CC767">
        <v>0</v>
      </c>
      <c r="CD767">
        <v>0</v>
      </c>
      <c r="CE767">
        <v>0</v>
      </c>
      <c r="CF767">
        <v>0</v>
      </c>
      <c r="CG767">
        <v>0</v>
      </c>
      <c r="CH767">
        <v>0</v>
      </c>
      <c r="CI767">
        <v>0</v>
      </c>
      <c r="CJ767">
        <v>0</v>
      </c>
      <c r="CK767">
        <v>0</v>
      </c>
      <c r="CL767">
        <v>0</v>
      </c>
      <c r="CM767">
        <v>0</v>
      </c>
      <c r="CN767" t="str">
        <f>IF($BL767&lt;$BK767,"refNeedCorrection","refOK")</f>
        <v>refOK</v>
      </c>
      <c r="CO767">
        <f>IF($CN767="refNeedCorrection",BK767,BL767)</f>
        <v>9999</v>
      </c>
      <c r="CP767">
        <f>IF($CN767="refNeedCorrection",BL767,BK767)</f>
        <v>9999</v>
      </c>
      <c r="CQ767">
        <f t="shared" si="882"/>
        <v>0</v>
      </c>
      <c r="CR767">
        <f t="shared" si="883"/>
        <v>402</v>
      </c>
      <c r="CS767">
        <f t="shared" si="884"/>
        <v>366</v>
      </c>
      <c r="CT767">
        <f t="shared" si="885"/>
        <v>-60000000</v>
      </c>
      <c r="CU767" t="str">
        <f t="shared" si="886"/>
        <v/>
      </c>
      <c r="CV767" s="2">
        <f t="shared" si="887"/>
        <v>-8.9552238805970144E-2</v>
      </c>
      <c r="CW767" s="1" t="s">
        <v>1230</v>
      </c>
      <c r="CX767" t="str">
        <f t="shared" si="888"/>
        <v>reg</v>
      </c>
      <c r="CY767" t="s">
        <v>743</v>
      </c>
      <c r="CZ767">
        <v>2026</v>
      </c>
      <c r="DA767">
        <v>2030</v>
      </c>
      <c r="DB767">
        <v>5</v>
      </c>
      <c r="DC767" t="str">
        <f t="shared" si="889"/>
        <v>1-30</v>
      </c>
      <c r="DD767">
        <v>1</v>
      </c>
      <c r="DE767">
        <v>0</v>
      </c>
      <c r="DF767">
        <v>0</v>
      </c>
      <c r="DG767">
        <v>0</v>
      </c>
      <c r="DI767">
        <f t="shared" si="890"/>
        <v>1</v>
      </c>
      <c r="DJ767" t="str">
        <f t="shared" si="891"/>
        <v>UpstreamInput</v>
      </c>
      <c r="DK767" t="str">
        <f t="shared" si="892"/>
        <v>Upstream</v>
      </c>
      <c r="DL767">
        <f t="shared" si="893"/>
        <v>0</v>
      </c>
      <c r="DM767">
        <f t="shared" si="894"/>
        <v>0</v>
      </c>
      <c r="DN767">
        <f t="shared" si="895"/>
        <v>0</v>
      </c>
      <c r="DO767">
        <v>0</v>
      </c>
      <c r="DP767">
        <v>0</v>
      </c>
      <c r="DQ767">
        <v>0</v>
      </c>
      <c r="DR767">
        <v>0</v>
      </c>
      <c r="DS767">
        <v>0</v>
      </c>
      <c r="DT767">
        <f t="shared" si="896"/>
        <v>0</v>
      </c>
      <c r="DU767" s="143" t="str">
        <f t="shared" si="897"/>
        <v>explicit C balance</v>
      </c>
      <c r="DV767">
        <v>1</v>
      </c>
      <c r="DW767">
        <v>0</v>
      </c>
      <c r="DX767">
        <v>1</v>
      </c>
      <c r="DY767">
        <v>0</v>
      </c>
      <c r="DZ767">
        <v>0</v>
      </c>
      <c r="EA767" s="143">
        <v>0</v>
      </c>
      <c r="EB767">
        <v>0</v>
      </c>
      <c r="EC767">
        <v>0</v>
      </c>
      <c r="ED767">
        <v>0</v>
      </c>
      <c r="EE767">
        <v>0</v>
      </c>
      <c r="EF767">
        <v>1</v>
      </c>
      <c r="EG767">
        <v>0</v>
      </c>
      <c r="EH767">
        <v>0</v>
      </c>
      <c r="EI767" s="2">
        <v>0</v>
      </c>
      <c r="EK767" t="str">
        <f t="shared" si="898"/>
        <v/>
      </c>
      <c r="EL767" t="str">
        <f t="shared" si="899"/>
        <v/>
      </c>
      <c r="EM767" s="2" t="str">
        <f t="shared" si="903"/>
        <v/>
      </c>
      <c r="EN767" s="149" t="s">
        <v>1701</v>
      </c>
      <c r="EP767" t="b">
        <f>IF(ISNUMBER(BU767),IF(ABS(BU767-[5]QC_indicators!$B$2)&gt;3*[5]QC_indicators!$C$2,"C ratio",IF(ISNUMBER(BY767),IF(ABS(BY767-[5]QC_indicators!$B$1)&gt;3*[5]QC_indicators!$C$1,"DF","no"))),IF(ISNUMBER(BY767),IF(ABS(BY767-[5]QC_indicators!$B$1)&gt;3*[5]QC_indicators!$C$1,"DF","no")))</f>
        <v>0</v>
      </c>
      <c r="ER767" s="149" t="s">
        <v>349</v>
      </c>
      <c r="ET767" s="264" t="s">
        <v>3272</v>
      </c>
    </row>
    <row r="768" spans="1:150" ht="15" hidden="1" customHeight="1">
      <c r="A768" s="1" t="s">
        <v>333</v>
      </c>
      <c r="B768" t="s">
        <v>4519</v>
      </c>
      <c r="C768" t="s">
        <v>4520</v>
      </c>
      <c r="D768" t="s">
        <v>4521</v>
      </c>
      <c r="E768" t="s">
        <v>4522</v>
      </c>
      <c r="F768" t="s">
        <v>4523</v>
      </c>
      <c r="G768" t="s">
        <v>339</v>
      </c>
      <c r="H768" t="s">
        <v>254</v>
      </c>
      <c r="I768">
        <v>2013</v>
      </c>
      <c r="J768">
        <v>29</v>
      </c>
      <c r="K768" t="s">
        <v>4524</v>
      </c>
      <c r="M768" t="str">
        <f t="shared" si="839"/>
        <v>Hall_2013</v>
      </c>
      <c r="N768" t="s">
        <v>2582</v>
      </c>
      <c r="O768" s="145" t="s">
        <v>274</v>
      </c>
      <c r="Q768" s="311" t="s">
        <v>256</v>
      </c>
      <c r="R768" s="312"/>
      <c r="AX768" s="141"/>
      <c r="AY768" s="141"/>
      <c r="BE768"/>
      <c r="BF768" s="2"/>
      <c r="BU768" s="144"/>
      <c r="BY768" t="str">
        <f t="shared" si="902"/>
        <v/>
      </c>
      <c r="CN768"/>
      <c r="CO768"/>
      <c r="CP768"/>
      <c r="CQ768"/>
      <c r="CR768"/>
      <c r="CS768"/>
      <c r="CT768"/>
      <c r="CU768"/>
      <c r="CV768" s="2"/>
      <c r="CX768"/>
      <c r="DC768"/>
      <c r="DI768"/>
      <c r="DJ768"/>
      <c r="DK768"/>
      <c r="DL768"/>
      <c r="DM768"/>
      <c r="DN768"/>
      <c r="DT768"/>
      <c r="DU768" s="143"/>
      <c r="EK768" t="str">
        <f>IF(AND(AND(AND(OR($DX768=1,$DW768=1),OR($EC768=1,$EA768=1)),SUM($DV768:$DZ768,$EF768)&gt;=3),SUM($EA768:$EE768)&gt;=2),"Whole sector","")</f>
        <v/>
      </c>
      <c r="EL768" t="str">
        <f>IF(AND(AND(OR($DX768=1,$DW768=1),AND($EC768=0,$EA768=0)),SUM($DV768:$DZ768,$EF768)&gt;=3),"Ecosystem approach","")</f>
        <v/>
      </c>
      <c r="EM768" s="2" t="str">
        <f t="shared" si="903"/>
        <v/>
      </c>
      <c r="EO768" t="s">
        <v>450</v>
      </c>
      <c r="EP768" t="b">
        <f>IF(ISNUMBER(BU768),IF(ABS(BU768-[1]QC_indicators!$B$2)&gt;3*[1]QC_indicators!$C$2,"C ratio",IF(ISNUMBER(BY768),IF(ABS(BY768-[1]QC_indicators!$B$1)&gt;3*[1]QC_indicators!$C$1,"DF","no"))),IF(ISNUMBER(BY768),IF(ABS(BY768-[1]QC_indicators!$B$1)&gt;3*[1]QC_indicators!$C$1,"DF","no")))</f>
        <v>0</v>
      </c>
    </row>
    <row r="769" spans="1:150" ht="15" hidden="1" customHeight="1">
      <c r="A769" s="1" t="s">
        <v>587</v>
      </c>
      <c r="B769" t="s">
        <v>4794</v>
      </c>
      <c r="C769" t="s">
        <v>4795</v>
      </c>
      <c r="D769" t="s">
        <v>4796</v>
      </c>
      <c r="E769" t="s">
        <v>4797</v>
      </c>
      <c r="F769" t="s">
        <v>4798</v>
      </c>
      <c r="G769" t="s">
        <v>593</v>
      </c>
      <c r="H769" t="s">
        <v>254</v>
      </c>
      <c r="I769">
        <v>2015</v>
      </c>
      <c r="J769">
        <v>17</v>
      </c>
      <c r="K769" t="s">
        <v>4799</v>
      </c>
      <c r="M769" t="str">
        <f t="shared" ref="M769:M832" si="905">LEFT($D769,FIND(",",$D769)-1)&amp;"_"&amp;I769&amp;L769</f>
        <v>Han_2015</v>
      </c>
      <c r="N769" t="s">
        <v>1351</v>
      </c>
      <c r="O769" s="181" t="s">
        <v>341</v>
      </c>
      <c r="Q769" s="311" t="s">
        <v>256</v>
      </c>
      <c r="R769" s="312"/>
      <c r="AX769" s="141"/>
      <c r="AY769" s="141"/>
      <c r="BE769"/>
      <c r="BF769" s="2"/>
      <c r="BU769" s="144"/>
      <c r="BY769" t="str">
        <f t="shared" si="902"/>
        <v/>
      </c>
      <c r="CN769"/>
      <c r="CO769"/>
      <c r="CP769"/>
      <c r="CQ769"/>
      <c r="CR769"/>
      <c r="CS769"/>
      <c r="CT769"/>
      <c r="CU769"/>
      <c r="CV769" s="2"/>
      <c r="CX769"/>
      <c r="DC769"/>
      <c r="DI769"/>
      <c r="DJ769"/>
      <c r="DK769"/>
      <c r="DL769"/>
      <c r="DM769"/>
      <c r="DN769"/>
      <c r="DT769"/>
      <c r="DU769" s="143"/>
      <c r="EK769" t="str">
        <f>IF(AND(AND(AND(OR($DX769=1,$DW769=1),OR($EC769=1,$EA769=1)),SUM($DV769:$DZ769,$EF769)&gt;=3),SUM($EA769:$EE769)&gt;=2),"Whole sector","")</f>
        <v/>
      </c>
      <c r="EL769" t="str">
        <f>IF(AND(AND(OR($DX769=1,$DW769=1),AND($EC769=0,$EA769=0)),SUM($DV769:$DZ769,$EF769)&gt;=3),"Ecosystem approach","")</f>
        <v/>
      </c>
      <c r="EM769" s="2" t="str">
        <f t="shared" si="903"/>
        <v/>
      </c>
      <c r="EN769" t="s">
        <v>4800</v>
      </c>
      <c r="EO769" t="s">
        <v>450</v>
      </c>
      <c r="EP769" t="b">
        <f>IF(ISNUMBER(BU769),IF(ABS(BU769-[1]QC_indicators!$B$2)&gt;3*[1]QC_indicators!$C$2,"C ratio",IF(ISNUMBER(BY769),IF(ABS(BY769-[1]QC_indicators!$B$1)&gt;3*[1]QC_indicators!$C$1,"DF","no"))),IF(ISNUMBER(BY769),IF(ABS(BY769-[1]QC_indicators!$B$1)&gt;3*[1]QC_indicators!$C$1,"DF","no")))</f>
        <v>0</v>
      </c>
    </row>
    <row r="770" spans="1:150" ht="15" hidden="1" customHeight="1">
      <c r="A770" s="1" t="s">
        <v>656</v>
      </c>
      <c r="B770" t="s">
        <v>5110</v>
      </c>
      <c r="C770" t="s">
        <v>5111</v>
      </c>
      <c r="D770" t="s">
        <v>5112</v>
      </c>
      <c r="E770" t="s">
        <v>5113</v>
      </c>
      <c r="F770" t="s">
        <v>5114</v>
      </c>
      <c r="G770" t="s">
        <v>662</v>
      </c>
      <c r="H770" t="s">
        <v>254</v>
      </c>
      <c r="I770">
        <v>2020</v>
      </c>
      <c r="J770">
        <v>11</v>
      </c>
      <c r="K770" t="s">
        <v>5115</v>
      </c>
      <c r="M770" t="str">
        <f t="shared" si="905"/>
        <v>Hart_2020</v>
      </c>
      <c r="N770" t="s">
        <v>2585</v>
      </c>
      <c r="O770" s="181" t="s">
        <v>341</v>
      </c>
      <c r="Q770" s="311" t="s">
        <v>256</v>
      </c>
      <c r="R770" s="312"/>
      <c r="AX770" s="141"/>
      <c r="AY770" s="141"/>
      <c r="BE770"/>
      <c r="BF770" s="2"/>
      <c r="BU770" s="144"/>
      <c r="BY770" t="str">
        <f t="shared" si="902"/>
        <v/>
      </c>
      <c r="CN770"/>
      <c r="CO770"/>
      <c r="CP770"/>
      <c r="CQ770"/>
      <c r="CR770"/>
      <c r="CS770"/>
      <c r="CT770"/>
      <c r="CU770"/>
      <c r="CV770" s="2"/>
      <c r="CX770"/>
      <c r="DC770"/>
      <c r="DI770"/>
      <c r="DJ770"/>
      <c r="DK770"/>
      <c r="DL770"/>
      <c r="DM770"/>
      <c r="DN770"/>
      <c r="DT770"/>
      <c r="DU770" s="143"/>
      <c r="EK770" t="str">
        <f>IF(AND(AND(AND(OR($DX770=1,$DW770=1),OR($EC770=1,$EA770=1)),SUM($DV770:$DZ770,$EF770)&gt;=3),SUM($EA770:$EE770)&gt;=2),"Whole sector","")</f>
        <v/>
      </c>
      <c r="EL770" t="str">
        <f>IF(AND(AND(OR($DX770=1,$DW770=1),AND($EC770=0,$EA770=0)),SUM($DV770:$DZ770,$EF770)&gt;=3),"Ecosystem approach","")</f>
        <v/>
      </c>
      <c r="EM770" s="2" t="str">
        <f t="shared" si="903"/>
        <v/>
      </c>
      <c r="EO770" t="s">
        <v>450</v>
      </c>
      <c r="EP770" t="b">
        <f>IF(ISNUMBER(BU770),IF(ABS(BU770-[1]QC_indicators!$B$2)&gt;3*[1]QC_indicators!$C$2,"C ratio",IF(ISNUMBER(BY770),IF(ABS(BY770-[1]QC_indicators!$B$1)&gt;3*[1]QC_indicators!$C$1,"DF","no"))),IF(ISNUMBER(BY770),IF(ABS(BY770-[1]QC_indicators!$B$1)&gt;3*[1]QC_indicators!$C$1,"DF","no")))</f>
        <v>0</v>
      </c>
    </row>
    <row r="771" spans="1:150" ht="15" hidden="1" customHeight="1">
      <c r="A771" s="1" t="s">
        <v>878</v>
      </c>
      <c r="B771" t="s">
        <v>1704</v>
      </c>
      <c r="C771" t="s">
        <v>544</v>
      </c>
      <c r="D771" t="s">
        <v>1705</v>
      </c>
      <c r="E771" t="s">
        <v>1706</v>
      </c>
      <c r="F771" t="s">
        <v>1707</v>
      </c>
      <c r="G771" t="s">
        <v>1183</v>
      </c>
      <c r="H771" t="s">
        <v>254</v>
      </c>
      <c r="I771">
        <v>2021</v>
      </c>
      <c r="J771">
        <v>8</v>
      </c>
      <c r="K771" t="s">
        <v>1708</v>
      </c>
      <c r="M771" t="str">
        <f t="shared" si="905"/>
        <v>Hart_2021</v>
      </c>
      <c r="N771" s="264" t="s">
        <v>222</v>
      </c>
      <c r="O771" s="171" t="s">
        <v>225</v>
      </c>
      <c r="P771" t="s">
        <v>959</v>
      </c>
      <c r="Q771" s="264" t="s">
        <v>389</v>
      </c>
      <c r="R771" s="269" t="s">
        <v>1153</v>
      </c>
      <c r="S771" s="297" t="s">
        <v>1709</v>
      </c>
      <c r="T771" t="s">
        <v>1710</v>
      </c>
      <c r="U771" t="s">
        <v>1711</v>
      </c>
      <c r="V771">
        <v>0</v>
      </c>
      <c r="W771">
        <v>0</v>
      </c>
      <c r="X771">
        <v>0</v>
      </c>
      <c r="Y771">
        <v>0</v>
      </c>
      <c r="Z771">
        <v>0</v>
      </c>
      <c r="AA771">
        <v>0</v>
      </c>
      <c r="AB771">
        <v>0</v>
      </c>
      <c r="AC771">
        <v>0</v>
      </c>
      <c r="AD771">
        <v>0</v>
      </c>
      <c r="AE771">
        <v>0</v>
      </c>
      <c r="AF771">
        <v>0</v>
      </c>
      <c r="AG771">
        <v>0</v>
      </c>
      <c r="AH771">
        <v>0</v>
      </c>
      <c r="AI771">
        <v>0</v>
      </c>
      <c r="AJ771">
        <v>0</v>
      </c>
      <c r="AK771">
        <v>1</v>
      </c>
      <c r="AL771">
        <v>0</v>
      </c>
      <c r="AM771">
        <v>0</v>
      </c>
      <c r="AN771">
        <v>0</v>
      </c>
      <c r="AO771">
        <v>0</v>
      </c>
      <c r="AP771">
        <v>0</v>
      </c>
      <c r="AQ771">
        <v>0</v>
      </c>
      <c r="AR771">
        <v>0</v>
      </c>
      <c r="AS771">
        <v>0</v>
      </c>
      <c r="AT771">
        <v>0</v>
      </c>
      <c r="AU771">
        <v>0</v>
      </c>
      <c r="AV771">
        <v>0</v>
      </c>
      <c r="AW771">
        <v>0</v>
      </c>
      <c r="AX771" s="141">
        <f t="shared" ref="AX771:AX776" si="906">COUNTIF(V771:AW771,"&lt;&gt;0")</f>
        <v>1</v>
      </c>
      <c r="AY771" s="141">
        <f t="shared" ref="AY771:AY776" si="907">COUNTIF(V771:AL771,"&lt;&gt;0")</f>
        <v>1</v>
      </c>
      <c r="AZ771">
        <f t="shared" ref="AZ771:AZ776" si="908">COUNTIF(V771:AC771,"&lt;&gt;0")</f>
        <v>0</v>
      </c>
      <c r="BA771">
        <f t="shared" ref="BA771:BA776" si="909">COUNTIF(AD771:AI771,"&lt;&gt;0")</f>
        <v>0</v>
      </c>
      <c r="BB771">
        <f t="shared" ref="BB771:BB776" si="910">COUNTIF(AJ771:AL771,"&lt;&gt;0")</f>
        <v>1</v>
      </c>
      <c r="BC771">
        <f t="shared" ref="BC771:BC776" si="911">COUNTIF(AS771:AW771,"&lt;&gt;0")</f>
        <v>0</v>
      </c>
      <c r="BD771">
        <f t="shared" ref="BD771:BD776" si="912">COUNTIF(AM771:AR771,"&lt;&gt;0")</f>
        <v>0</v>
      </c>
      <c r="BE771" t="str" cm="1">
        <f t="array" ref="BE771">IF(AY771=1,INDEX($V$7:$AL$7,MATCH(TRUE,INDEX($V771:$AW771&lt;&gt;0,),0)),IF(AY771=0,INDEX($AM$7:$AW$7,MATCH(1,$AM771:$AW771,0)),IF(BF771="Multiple strategies","mixed drivers",IF(BF771="Supply chain","multiple supply","multiple silviculture"))))</f>
        <v>technologies/design switch</v>
      </c>
      <c r="BF771" s="2" t="str" cm="1">
        <f t="array" ref="BF771">IF(COUNTIF(AZ771:BB771,"&lt;&gt;0")=1,INDEX($V$4:$AW$4,MATCH(TRUE,INDEX($V771:$AW771&lt;&gt;0,),0)),IF(COUNTIF(AZ771:BB771,"&lt;&gt;0")=0,INDEX($AM$4:$AW$4,MATCH(1,$AM771:$AW771,0)),"Multiple strategies"))</f>
        <v>Technology</v>
      </c>
      <c r="BG771" s="298" t="s">
        <v>229</v>
      </c>
      <c r="BH771" s="270" t="s">
        <v>1712</v>
      </c>
      <c r="BI771" s="270" t="s">
        <v>1713</v>
      </c>
      <c r="BJ771" s="270" t="s">
        <v>1714</v>
      </c>
      <c r="BK771">
        <v>0</v>
      </c>
      <c r="BL771">
        <v>0.35042108887694512</v>
      </c>
      <c r="BM771" t="s">
        <v>544</v>
      </c>
      <c r="BN771">
        <f t="shared" ref="BN771:BN776" si="913">BL771-BK771</f>
        <v>0.35042108887694512</v>
      </c>
      <c r="BO771" s="264">
        <f t="shared" ref="BO771:BO776" si="914">BN771*tC_to_m3</f>
        <v>1.5215852751929879</v>
      </c>
      <c r="BP771" s="155" t="s">
        <v>395</v>
      </c>
      <c r="BQ771" s="155" t="s">
        <v>1715</v>
      </c>
      <c r="BR771" s="264" t="s">
        <v>1716</v>
      </c>
      <c r="BS771">
        <v>226.40900983112437</v>
      </c>
      <c r="BT771">
        <v>80.733700144141935</v>
      </c>
      <c r="BU771" s="144">
        <v>0.35658342485734196</v>
      </c>
      <c r="BV771" s="152">
        <f t="shared" ref="BV771:BV776" si="915">BT771-BS771</f>
        <v>-145.67530968698242</v>
      </c>
      <c r="BX771">
        <f t="shared" ref="BX771:BX776" si="916">BV771/1000</f>
        <v>-0.14567530968698242</v>
      </c>
      <c r="BY771">
        <f t="shared" si="902"/>
        <v>-9.5739168919406051E-2</v>
      </c>
      <c r="BZ771">
        <v>0</v>
      </c>
      <c r="CA771">
        <v>0</v>
      </c>
      <c r="CB771">
        <v>0</v>
      </c>
      <c r="CC771">
        <v>0</v>
      </c>
      <c r="CD771">
        <v>0</v>
      </c>
      <c r="CE771">
        <v>0</v>
      </c>
      <c r="CF771">
        <v>0</v>
      </c>
      <c r="CG771">
        <v>0</v>
      </c>
      <c r="CH771">
        <v>0</v>
      </c>
      <c r="CI771">
        <v>0</v>
      </c>
      <c r="CJ771">
        <v>0</v>
      </c>
      <c r="CK771">
        <v>0</v>
      </c>
      <c r="CL771">
        <v>0</v>
      </c>
      <c r="CM771">
        <v>0</v>
      </c>
      <c r="CN771" t="str">
        <f t="shared" ref="CN771:CN776" si="917">IF($BL771&lt;$BK771,"refNeedCorrection","refOK")</f>
        <v>refOK</v>
      </c>
      <c r="CO771">
        <f t="shared" ref="CO771:CO776" si="918">IF($CN771="refOK",$BK771,$BL771)</f>
        <v>0</v>
      </c>
      <c r="CP771">
        <f t="shared" ref="CP771:CP776" si="919">IF($CN771="refOK",$BL771,$BK771)</f>
        <v>0.35042108887694512</v>
      </c>
      <c r="CQ771">
        <f t="shared" ref="CQ771:CQ776" si="920">IF($CN771="refOK",$BO771,-$BO771)</f>
        <v>1.5215852751929879</v>
      </c>
      <c r="CR771">
        <f t="shared" ref="CR771:CR776" si="921">IF($CN771="refOK",$BS771,$BT771)*IF($BP771="Emissions positive",-1,1)</f>
        <v>-226.40900983112437</v>
      </c>
      <c r="CS771">
        <f t="shared" ref="CS771:CS776" si="922">IF($CN771="refOK",$BT771,$BS771)*IF($BP771="Emissions positive",-1,1)</f>
        <v>-80.733700144141935</v>
      </c>
      <c r="CT771">
        <f t="shared" ref="CT771:CT776" si="923">IF($CN771="refNeedCorrection",-BX771,BX771)*IF($BP771="Emissions positive",-1,1)</f>
        <v>0.14567530968698242</v>
      </c>
      <c r="CU771">
        <f t="shared" ref="CU771:CU776" si="924">IFERROR(CT771/CQ771,"")</f>
        <v>9.5739168919406051E-2</v>
      </c>
      <c r="CV771" s="2">
        <f t="shared" ref="CV771:CV776" si="925">IFERROR((CS771-CR771)/ABS(CR771),"")</f>
        <v>0.64341657514265793</v>
      </c>
      <c r="CW771" s="263" t="s">
        <v>1202</v>
      </c>
      <c r="CX771" s="264" t="str">
        <f t="shared" ref="CX771:CX776" si="926">IF(OR($CW771="prd",$CW771="std",$CW771="cit"),"loc",IF(OR($CW771="eur",$CW771="reg",$CW771="coy"),"reg",$CW771))</f>
        <v>reg</v>
      </c>
      <c r="CY771" s="308" t="s">
        <v>3422</v>
      </c>
      <c r="CZ771">
        <v>0</v>
      </c>
      <c r="DA771">
        <v>0</v>
      </c>
      <c r="DB771">
        <v>0</v>
      </c>
      <c r="DC771" t="str">
        <f t="shared" ref="DC771:DC776" si="927">IF(DB771=0,"0",IF(AND(DB771&gt;=1,DB771&lt;=30),"1-30",IF(AND(DB771&gt;30,DB771&lt;=70),"31-70",IF(AND(DB771&gt;70,DB771&lt;=100),"71-100",IF(DB771&gt;100,"+100")))))</f>
        <v>0</v>
      </c>
      <c r="DD771">
        <v>0</v>
      </c>
      <c r="DE771">
        <v>0</v>
      </c>
      <c r="DF771">
        <v>0</v>
      </c>
      <c r="DG771">
        <v>1</v>
      </c>
      <c r="DH771">
        <v>0</v>
      </c>
      <c r="DI771">
        <v>1</v>
      </c>
      <c r="DJ771" t="str">
        <f t="shared" ref="DJ771:DJ776" si="928">IF(DI771=1,INDEX($DD$7:$DG$7,MATCH(1,$DD771:$DG771,0)),"mixedProduct")</f>
        <v>TimberInput</v>
      </c>
      <c r="DK771">
        <f t="shared" ref="DK771:DN776" si="929">IF(DD771=1,DK$7,0)</f>
        <v>0</v>
      </c>
      <c r="DL771">
        <f t="shared" si="929"/>
        <v>0</v>
      </c>
      <c r="DM771">
        <f t="shared" si="929"/>
        <v>0</v>
      </c>
      <c r="DN771" t="str">
        <f t="shared" si="929"/>
        <v>Timber</v>
      </c>
      <c r="DO771">
        <v>0</v>
      </c>
      <c r="DP771">
        <v>0</v>
      </c>
      <c r="DQ771">
        <v>0</v>
      </c>
      <c r="DR771">
        <v>0</v>
      </c>
      <c r="DS771">
        <v>0</v>
      </c>
      <c r="DT771">
        <f t="shared" ref="DT771:DT776" si="930">SUM(DO771:DP771)</f>
        <v>0</v>
      </c>
      <c r="DU771" s="143" t="s">
        <v>961</v>
      </c>
      <c r="DV771">
        <v>0</v>
      </c>
      <c r="DW771">
        <v>0</v>
      </c>
      <c r="DX771">
        <v>0</v>
      </c>
      <c r="DY771">
        <v>0</v>
      </c>
      <c r="DZ771">
        <v>0</v>
      </c>
      <c r="EA771" s="143">
        <v>0</v>
      </c>
      <c r="EB771">
        <v>0</v>
      </c>
      <c r="EC771">
        <v>1</v>
      </c>
      <c r="ED771">
        <v>0</v>
      </c>
      <c r="EE771">
        <v>0</v>
      </c>
      <c r="EF771">
        <v>0</v>
      </c>
      <c r="EG771">
        <v>0</v>
      </c>
      <c r="EH771">
        <v>0</v>
      </c>
      <c r="EI771" s="2">
        <v>0</v>
      </c>
      <c r="EK771" t="str">
        <f t="shared" ref="EK771:EK776" si="931">IF(AND(AND(AND(OR($DX771=1,$DW771=1),OR($EC771=1,$EA771=1)),SUM($DV771:$DZ771,$EF771)&gt;=4),SUM($EA771:$EE771)&gt;=2),"Whole sector","")</f>
        <v/>
      </c>
      <c r="EL771" t="str">
        <f t="shared" ref="EL771:EL776" si="932">IF(AND(AND(OR($DX771=1,$DW771=1),AND($EC771=0,$EA771=0)),SUM($DV771:$DZ771,$EF771)&gt;=4),"Ecosystem approach","")</f>
        <v/>
      </c>
      <c r="EM771" s="2" t="str">
        <f t="shared" si="903"/>
        <v/>
      </c>
      <c r="EP771" t="str">
        <f>IF(ISNUMBER(BU771),IF(ABS(BU771-[4]QC_indicators!$B$2)&gt;3*[4]QC_indicators!$C$2,"C ratio",IF(ISNUMBER(BY771),IF(ABS(BY771-[4]QC_indicators!$B$1)&gt;3*[4]QC_indicators!$C$1,"DF","no"))),IF(ISNUMBER(BY771),IF(ABS(BY771-[4]QC_indicators!$B$1)&gt;3*[4]QC_indicators!$C$1,"DF","no")))</f>
        <v>no</v>
      </c>
      <c r="ET771" s="264" t="s">
        <v>3406</v>
      </c>
    </row>
    <row r="772" spans="1:150" ht="15" hidden="1" customHeight="1">
      <c r="A772" s="1" t="s">
        <v>878</v>
      </c>
      <c r="B772" t="s">
        <v>1704</v>
      </c>
      <c r="C772" t="s">
        <v>544</v>
      </c>
      <c r="D772" t="s">
        <v>1705</v>
      </c>
      <c r="E772" t="s">
        <v>1706</v>
      </c>
      <c r="F772" t="s">
        <v>1707</v>
      </c>
      <c r="G772" t="s">
        <v>1183</v>
      </c>
      <c r="H772" t="s">
        <v>254</v>
      </c>
      <c r="I772">
        <v>2021</v>
      </c>
      <c r="J772">
        <v>8</v>
      </c>
      <c r="K772" t="s">
        <v>1708</v>
      </c>
      <c r="M772" t="str">
        <f t="shared" si="905"/>
        <v>Hart_2021</v>
      </c>
      <c r="N772" s="264" t="s">
        <v>222</v>
      </c>
      <c r="O772" s="171" t="s">
        <v>225</v>
      </c>
      <c r="P772" t="s">
        <v>959</v>
      </c>
      <c r="Q772" s="264" t="s">
        <v>389</v>
      </c>
      <c r="R772" s="269" t="s">
        <v>1153</v>
      </c>
      <c r="S772" s="297" t="s">
        <v>1709</v>
      </c>
      <c r="T772" t="s">
        <v>1710</v>
      </c>
      <c r="U772" t="s">
        <v>1711</v>
      </c>
      <c r="V772">
        <v>0</v>
      </c>
      <c r="W772">
        <v>0</v>
      </c>
      <c r="X772">
        <v>0</v>
      </c>
      <c r="Y772">
        <v>0</v>
      </c>
      <c r="Z772">
        <v>0</v>
      </c>
      <c r="AA772">
        <v>0</v>
      </c>
      <c r="AB772">
        <v>0</v>
      </c>
      <c r="AC772">
        <v>0</v>
      </c>
      <c r="AD772">
        <v>0</v>
      </c>
      <c r="AE772">
        <v>0</v>
      </c>
      <c r="AF772">
        <v>0</v>
      </c>
      <c r="AG772">
        <v>0</v>
      </c>
      <c r="AH772">
        <v>0</v>
      </c>
      <c r="AI772">
        <v>0</v>
      </c>
      <c r="AJ772">
        <v>0</v>
      </c>
      <c r="AK772">
        <v>1</v>
      </c>
      <c r="AL772">
        <v>0</v>
      </c>
      <c r="AM772">
        <v>0</v>
      </c>
      <c r="AN772">
        <v>0</v>
      </c>
      <c r="AO772">
        <v>0</v>
      </c>
      <c r="AP772">
        <v>0</v>
      </c>
      <c r="AQ772">
        <v>0</v>
      </c>
      <c r="AR772">
        <v>0</v>
      </c>
      <c r="AS772">
        <v>0</v>
      </c>
      <c r="AT772">
        <v>0</v>
      </c>
      <c r="AU772">
        <v>0</v>
      </c>
      <c r="AV772">
        <v>0</v>
      </c>
      <c r="AW772">
        <v>0</v>
      </c>
      <c r="AX772" s="141">
        <f t="shared" si="906"/>
        <v>1</v>
      </c>
      <c r="AY772" s="141">
        <f t="shared" si="907"/>
        <v>1</v>
      </c>
      <c r="AZ772">
        <f t="shared" si="908"/>
        <v>0</v>
      </c>
      <c r="BA772">
        <f t="shared" si="909"/>
        <v>0</v>
      </c>
      <c r="BB772">
        <f t="shared" si="910"/>
        <v>1</v>
      </c>
      <c r="BC772">
        <f t="shared" si="911"/>
        <v>0</v>
      </c>
      <c r="BD772">
        <f t="shared" si="912"/>
        <v>0</v>
      </c>
      <c r="BE772" t="str" cm="1">
        <f t="array" ref="BE772">IF(AY772=1,INDEX($V$7:$AL$7,MATCH(TRUE,INDEX($V772:$AW772&lt;&gt;0,),0)),IF(AY772=0,INDEX($AM$7:$AW$7,MATCH(1,$AM772:$AW772,0)),IF(BF772="Multiple strategies","mixed drivers",IF(BF772="Supply chain","multiple supply","multiple silviculture"))))</f>
        <v>technologies/design switch</v>
      </c>
      <c r="BF772" s="2" t="str" cm="1">
        <f t="array" ref="BF772">IF(COUNTIF(AZ772:BB772,"&lt;&gt;0")=1,INDEX($V$4:$AW$4,MATCH(TRUE,INDEX($V772:$AW772&lt;&gt;0,),0)),IF(COUNTIF(AZ772:BB772,"&lt;&gt;0")=0,INDEX($AM$4:$AW$4,MATCH(1,$AM772:$AW772,0)),"Multiple strategies"))</f>
        <v>Technology</v>
      </c>
      <c r="BG772" s="298" t="s">
        <v>229</v>
      </c>
      <c r="BH772" s="270" t="s">
        <v>1712</v>
      </c>
      <c r="BI772" s="270" t="s">
        <v>1713</v>
      </c>
      <c r="BJ772" s="270" t="s">
        <v>1714</v>
      </c>
      <c r="BK772">
        <v>0</v>
      </c>
      <c r="BL772">
        <v>0.35042108887694512</v>
      </c>
      <c r="BM772" t="s">
        <v>544</v>
      </c>
      <c r="BN772">
        <f t="shared" si="913"/>
        <v>0.35042108887694512</v>
      </c>
      <c r="BO772" s="264">
        <f t="shared" si="914"/>
        <v>1.5215852751929879</v>
      </c>
      <c r="BP772" s="155" t="s">
        <v>395</v>
      </c>
      <c r="BQ772" s="155" t="s">
        <v>1715</v>
      </c>
      <c r="BR772" s="264" t="s">
        <v>1716</v>
      </c>
      <c r="BS772">
        <v>222.9409446307707</v>
      </c>
      <c r="BT772">
        <v>80.733700144141935</v>
      </c>
      <c r="BU772" s="144">
        <v>0.36213043000177064</v>
      </c>
      <c r="BV772" s="152">
        <f t="shared" si="915"/>
        <v>-142.20724448662878</v>
      </c>
      <c r="BX772">
        <f t="shared" si="916"/>
        <v>-0.14220724448662878</v>
      </c>
      <c r="BY772">
        <f t="shared" si="902"/>
        <v>-9.345992420213986E-2</v>
      </c>
      <c r="BZ772">
        <v>0</v>
      </c>
      <c r="CA772">
        <v>0</v>
      </c>
      <c r="CB772">
        <v>0</v>
      </c>
      <c r="CC772">
        <v>0</v>
      </c>
      <c r="CD772">
        <v>0</v>
      </c>
      <c r="CE772">
        <v>0</v>
      </c>
      <c r="CF772">
        <v>0</v>
      </c>
      <c r="CG772">
        <v>0</v>
      </c>
      <c r="CH772">
        <v>0</v>
      </c>
      <c r="CI772">
        <v>0</v>
      </c>
      <c r="CJ772">
        <v>0</v>
      </c>
      <c r="CK772">
        <v>0</v>
      </c>
      <c r="CL772">
        <v>0</v>
      </c>
      <c r="CM772">
        <v>0</v>
      </c>
      <c r="CN772" t="str">
        <f t="shared" si="917"/>
        <v>refOK</v>
      </c>
      <c r="CO772">
        <f t="shared" si="918"/>
        <v>0</v>
      </c>
      <c r="CP772">
        <f t="shared" si="919"/>
        <v>0.35042108887694512</v>
      </c>
      <c r="CQ772">
        <f t="shared" si="920"/>
        <v>1.5215852751929879</v>
      </c>
      <c r="CR772">
        <f t="shared" si="921"/>
        <v>-222.9409446307707</v>
      </c>
      <c r="CS772">
        <f t="shared" si="922"/>
        <v>-80.733700144141935</v>
      </c>
      <c r="CT772">
        <f t="shared" si="923"/>
        <v>0.14220724448662878</v>
      </c>
      <c r="CU772">
        <f t="shared" si="924"/>
        <v>9.345992420213986E-2</v>
      </c>
      <c r="CV772" s="2">
        <f t="shared" si="925"/>
        <v>0.63786956999822941</v>
      </c>
      <c r="CW772" s="263" t="s">
        <v>1202</v>
      </c>
      <c r="CX772" s="264" t="str">
        <f t="shared" si="926"/>
        <v>reg</v>
      </c>
      <c r="CY772" s="308" t="s">
        <v>3422</v>
      </c>
      <c r="CZ772">
        <v>0</v>
      </c>
      <c r="DA772">
        <v>0</v>
      </c>
      <c r="DB772">
        <v>0</v>
      </c>
      <c r="DC772" t="str">
        <f t="shared" si="927"/>
        <v>0</v>
      </c>
      <c r="DD772">
        <v>0</v>
      </c>
      <c r="DE772">
        <v>0</v>
      </c>
      <c r="DF772">
        <v>0</v>
      </c>
      <c r="DG772">
        <v>1</v>
      </c>
      <c r="DH772">
        <v>0</v>
      </c>
      <c r="DI772">
        <v>1</v>
      </c>
      <c r="DJ772" t="str">
        <f t="shared" si="928"/>
        <v>TimberInput</v>
      </c>
      <c r="DK772">
        <f t="shared" si="929"/>
        <v>0</v>
      </c>
      <c r="DL772">
        <f t="shared" si="929"/>
        <v>0</v>
      </c>
      <c r="DM772">
        <f t="shared" si="929"/>
        <v>0</v>
      </c>
      <c r="DN772" t="str">
        <f t="shared" si="929"/>
        <v>Timber</v>
      </c>
      <c r="DO772">
        <v>0</v>
      </c>
      <c r="DP772">
        <v>0</v>
      </c>
      <c r="DQ772">
        <v>0</v>
      </c>
      <c r="DR772">
        <v>0</v>
      </c>
      <c r="DS772">
        <v>0</v>
      </c>
      <c r="DT772">
        <f t="shared" si="930"/>
        <v>0</v>
      </c>
      <c r="DU772" s="143" t="s">
        <v>961</v>
      </c>
      <c r="DV772">
        <v>0</v>
      </c>
      <c r="DW772">
        <v>0</v>
      </c>
      <c r="DX772">
        <v>0</v>
      </c>
      <c r="DY772">
        <v>0</v>
      </c>
      <c r="DZ772">
        <v>0</v>
      </c>
      <c r="EA772" s="143">
        <v>0</v>
      </c>
      <c r="EB772">
        <v>0</v>
      </c>
      <c r="EC772">
        <v>1</v>
      </c>
      <c r="ED772">
        <v>1</v>
      </c>
      <c r="EE772">
        <v>0</v>
      </c>
      <c r="EF772">
        <v>0</v>
      </c>
      <c r="EG772">
        <v>0</v>
      </c>
      <c r="EH772">
        <v>0</v>
      </c>
      <c r="EI772" s="2">
        <v>0</v>
      </c>
      <c r="EK772" t="str">
        <f t="shared" si="931"/>
        <v/>
      </c>
      <c r="EL772" t="str">
        <f t="shared" si="932"/>
        <v/>
      </c>
      <c r="EM772" s="2" t="str">
        <f t="shared" si="903"/>
        <v>Technology approach</v>
      </c>
      <c r="EP772" t="str">
        <f>IF(ISNUMBER(BU772),IF(ABS(BU772-[4]QC_indicators!$B$2)&gt;3*[4]QC_indicators!$C$2,"C ratio",IF(ISNUMBER(BY772),IF(ABS(BY772-[4]QC_indicators!$B$1)&gt;3*[4]QC_indicators!$C$1,"DF","no"))),IF(ISNUMBER(BY772),IF(ABS(BY772-[4]QC_indicators!$B$1)&gt;3*[4]QC_indicators!$C$1,"DF","no")))</f>
        <v>no</v>
      </c>
      <c r="ET772" s="264" t="s">
        <v>3406</v>
      </c>
    </row>
    <row r="773" spans="1:150" ht="15" hidden="1" customHeight="1">
      <c r="A773" s="1" t="s">
        <v>878</v>
      </c>
      <c r="B773" t="s">
        <v>1704</v>
      </c>
      <c r="C773" t="s">
        <v>544</v>
      </c>
      <c r="D773" t="s">
        <v>1705</v>
      </c>
      <c r="E773" t="s">
        <v>1706</v>
      </c>
      <c r="F773" t="s">
        <v>1707</v>
      </c>
      <c r="G773" t="s">
        <v>1183</v>
      </c>
      <c r="H773" t="s">
        <v>254</v>
      </c>
      <c r="I773">
        <v>2021</v>
      </c>
      <c r="J773">
        <v>8</v>
      </c>
      <c r="K773" t="s">
        <v>1708</v>
      </c>
      <c r="M773" t="str">
        <f t="shared" si="905"/>
        <v>Hart_2021</v>
      </c>
      <c r="N773" s="264" t="s">
        <v>222</v>
      </c>
      <c r="O773" s="171" t="s">
        <v>225</v>
      </c>
      <c r="P773" t="s">
        <v>959</v>
      </c>
      <c r="Q773" s="264" t="s">
        <v>389</v>
      </c>
      <c r="R773" s="269" t="s">
        <v>1153</v>
      </c>
      <c r="S773" s="297" t="s">
        <v>1709</v>
      </c>
      <c r="T773" t="s">
        <v>1710</v>
      </c>
      <c r="U773" t="s">
        <v>1711</v>
      </c>
      <c r="V773">
        <v>0</v>
      </c>
      <c r="W773">
        <v>0</v>
      </c>
      <c r="X773">
        <v>0</v>
      </c>
      <c r="Y773">
        <v>0</v>
      </c>
      <c r="Z773">
        <v>0</v>
      </c>
      <c r="AA773">
        <v>0</v>
      </c>
      <c r="AB773">
        <v>0</v>
      </c>
      <c r="AC773">
        <v>0</v>
      </c>
      <c r="AD773">
        <v>0</v>
      </c>
      <c r="AE773">
        <v>0</v>
      </c>
      <c r="AF773">
        <v>0</v>
      </c>
      <c r="AG773">
        <v>0</v>
      </c>
      <c r="AH773">
        <v>0</v>
      </c>
      <c r="AI773">
        <v>0</v>
      </c>
      <c r="AJ773">
        <v>0</v>
      </c>
      <c r="AK773">
        <v>1</v>
      </c>
      <c r="AL773">
        <v>0</v>
      </c>
      <c r="AM773">
        <v>0</v>
      </c>
      <c r="AN773">
        <v>0</v>
      </c>
      <c r="AO773">
        <v>0</v>
      </c>
      <c r="AP773">
        <v>0</v>
      </c>
      <c r="AQ773">
        <v>0</v>
      </c>
      <c r="AR773">
        <v>0</v>
      </c>
      <c r="AS773">
        <v>0</v>
      </c>
      <c r="AT773">
        <v>0</v>
      </c>
      <c r="AU773">
        <v>0</v>
      </c>
      <c r="AV773">
        <v>0</v>
      </c>
      <c r="AW773">
        <v>0</v>
      </c>
      <c r="AX773" s="141">
        <f t="shared" si="906"/>
        <v>1</v>
      </c>
      <c r="AY773" s="141">
        <f t="shared" si="907"/>
        <v>1</v>
      </c>
      <c r="AZ773">
        <f t="shared" si="908"/>
        <v>0</v>
      </c>
      <c r="BA773">
        <f t="shared" si="909"/>
        <v>0</v>
      </c>
      <c r="BB773">
        <f t="shared" si="910"/>
        <v>1</v>
      </c>
      <c r="BC773">
        <f t="shared" si="911"/>
        <v>0</v>
      </c>
      <c r="BD773">
        <f t="shared" si="912"/>
        <v>0</v>
      </c>
      <c r="BE773" t="str" cm="1">
        <f t="array" ref="BE773">IF(AY773=1,INDEX($V$7:$AL$7,MATCH(TRUE,INDEX($V773:$AW773&lt;&gt;0,),0)),IF(AY773=0,INDEX($AM$7:$AW$7,MATCH(1,$AM773:$AW773,0)),IF(BF773="Multiple strategies","mixed drivers",IF(BF773="Supply chain","multiple supply","multiple silviculture"))))</f>
        <v>technologies/design switch</v>
      </c>
      <c r="BF773" s="2" t="str" cm="1">
        <f t="array" ref="BF773">IF(COUNTIF(AZ773:BB773,"&lt;&gt;0")=1,INDEX($V$4:$AW$4,MATCH(TRUE,INDEX($V773:$AW773&lt;&gt;0,),0)),IF(COUNTIF(AZ773:BB773,"&lt;&gt;0")=0,INDEX($AM$4:$AW$4,MATCH(1,$AM773:$AW773,0)),"Multiple strategies"))</f>
        <v>Technology</v>
      </c>
      <c r="BG773" s="298" t="s">
        <v>229</v>
      </c>
      <c r="BH773" s="270" t="s">
        <v>1712</v>
      </c>
      <c r="BI773" s="270" t="s">
        <v>1713</v>
      </c>
      <c r="BJ773" s="270" t="s">
        <v>1714</v>
      </c>
      <c r="BK773">
        <v>0</v>
      </c>
      <c r="BL773">
        <v>0.35042108887694512</v>
      </c>
      <c r="BM773" t="s">
        <v>544</v>
      </c>
      <c r="BN773">
        <f t="shared" si="913"/>
        <v>0.35042108887694512</v>
      </c>
      <c r="BO773" s="264">
        <f t="shared" si="914"/>
        <v>1.5215852751929879</v>
      </c>
      <c r="BP773" s="155" t="s">
        <v>395</v>
      </c>
      <c r="BQ773" s="155" t="s">
        <v>1715</v>
      </c>
      <c r="BR773" s="264" t="s">
        <v>1716</v>
      </c>
      <c r="BS773">
        <v>234.55431683971065</v>
      </c>
      <c r="BT773">
        <v>119.35798727672741</v>
      </c>
      <c r="BU773" s="144">
        <v>0.50887141573392602</v>
      </c>
      <c r="BV773" s="152">
        <f t="shared" si="915"/>
        <v>-115.19632956298324</v>
      </c>
      <c r="BX773">
        <f t="shared" si="916"/>
        <v>-0.11519632956298324</v>
      </c>
      <c r="BY773">
        <f t="shared" si="902"/>
        <v>-7.5708099599197623E-2</v>
      </c>
      <c r="BZ773">
        <v>0</v>
      </c>
      <c r="CA773">
        <v>0</v>
      </c>
      <c r="CB773">
        <v>0</v>
      </c>
      <c r="CC773">
        <v>0</v>
      </c>
      <c r="CD773">
        <v>0</v>
      </c>
      <c r="CE773">
        <v>0</v>
      </c>
      <c r="CF773">
        <v>0</v>
      </c>
      <c r="CG773">
        <v>0</v>
      </c>
      <c r="CH773">
        <v>0</v>
      </c>
      <c r="CI773">
        <v>0</v>
      </c>
      <c r="CJ773">
        <v>0</v>
      </c>
      <c r="CK773">
        <v>0</v>
      </c>
      <c r="CL773">
        <v>0</v>
      </c>
      <c r="CM773">
        <v>0</v>
      </c>
      <c r="CN773" t="str">
        <f t="shared" si="917"/>
        <v>refOK</v>
      </c>
      <c r="CO773">
        <f t="shared" si="918"/>
        <v>0</v>
      </c>
      <c r="CP773">
        <f t="shared" si="919"/>
        <v>0.35042108887694512</v>
      </c>
      <c r="CQ773">
        <f t="shared" si="920"/>
        <v>1.5215852751929879</v>
      </c>
      <c r="CR773">
        <f t="shared" si="921"/>
        <v>-234.55431683971065</v>
      </c>
      <c r="CS773">
        <f t="shared" si="922"/>
        <v>-119.35798727672741</v>
      </c>
      <c r="CT773">
        <f t="shared" si="923"/>
        <v>0.11519632956298324</v>
      </c>
      <c r="CU773">
        <f t="shared" si="924"/>
        <v>7.5708099599197623E-2</v>
      </c>
      <c r="CV773" s="2">
        <f t="shared" si="925"/>
        <v>0.49112858426607392</v>
      </c>
      <c r="CW773" s="263" t="s">
        <v>1202</v>
      </c>
      <c r="CX773" s="264" t="str">
        <f t="shared" si="926"/>
        <v>reg</v>
      </c>
      <c r="CY773" s="308" t="s">
        <v>3422</v>
      </c>
      <c r="CZ773">
        <v>0</v>
      </c>
      <c r="DA773">
        <v>0</v>
      </c>
      <c r="DB773">
        <v>0</v>
      </c>
      <c r="DC773" t="str">
        <f t="shared" si="927"/>
        <v>0</v>
      </c>
      <c r="DD773">
        <v>0</v>
      </c>
      <c r="DE773">
        <v>0</v>
      </c>
      <c r="DF773">
        <v>0</v>
      </c>
      <c r="DG773">
        <v>1</v>
      </c>
      <c r="DH773">
        <v>0</v>
      </c>
      <c r="DI773">
        <v>1</v>
      </c>
      <c r="DJ773" t="str">
        <f t="shared" si="928"/>
        <v>TimberInput</v>
      </c>
      <c r="DK773">
        <f t="shared" si="929"/>
        <v>0</v>
      </c>
      <c r="DL773">
        <f t="shared" si="929"/>
        <v>0</v>
      </c>
      <c r="DM773">
        <f t="shared" si="929"/>
        <v>0</v>
      </c>
      <c r="DN773" t="str">
        <f t="shared" si="929"/>
        <v>Timber</v>
      </c>
      <c r="DO773">
        <v>0</v>
      </c>
      <c r="DP773">
        <v>0</v>
      </c>
      <c r="DQ773">
        <v>0</v>
      </c>
      <c r="DR773">
        <v>0</v>
      </c>
      <c r="DS773">
        <v>0</v>
      </c>
      <c r="DT773">
        <f t="shared" si="930"/>
        <v>0</v>
      </c>
      <c r="DU773" s="143" t="s">
        <v>961</v>
      </c>
      <c r="DV773">
        <v>0</v>
      </c>
      <c r="DW773">
        <v>0</v>
      </c>
      <c r="DX773">
        <v>0</v>
      </c>
      <c r="DY773">
        <v>0</v>
      </c>
      <c r="DZ773">
        <v>0</v>
      </c>
      <c r="EA773" s="143">
        <v>0</v>
      </c>
      <c r="EB773">
        <v>0</v>
      </c>
      <c r="EC773">
        <v>1</v>
      </c>
      <c r="ED773">
        <v>1</v>
      </c>
      <c r="EE773">
        <v>1</v>
      </c>
      <c r="EF773">
        <v>0</v>
      </c>
      <c r="EG773">
        <v>0</v>
      </c>
      <c r="EH773">
        <v>0</v>
      </c>
      <c r="EI773" s="2">
        <v>0</v>
      </c>
      <c r="EK773" t="str">
        <f t="shared" si="931"/>
        <v/>
      </c>
      <c r="EL773" t="str">
        <f t="shared" si="932"/>
        <v/>
      </c>
      <c r="EM773" s="2" t="str">
        <f t="shared" si="903"/>
        <v>Technology approach</v>
      </c>
      <c r="EP773" t="str">
        <f>IF(ISNUMBER(BU773),IF(ABS(BU773-[4]QC_indicators!$B$2)&gt;3*[4]QC_indicators!$C$2,"C ratio",IF(ISNUMBER(BY773),IF(ABS(BY773-[4]QC_indicators!$B$1)&gt;3*[4]QC_indicators!$C$1,"DF","no"))),IF(ISNUMBER(BY773),IF(ABS(BY773-[4]QC_indicators!$B$1)&gt;3*[4]QC_indicators!$C$1,"DF","no")))</f>
        <v>no</v>
      </c>
      <c r="ET773" s="264" t="s">
        <v>3406</v>
      </c>
    </row>
    <row r="774" spans="1:150" ht="15" hidden="1" customHeight="1">
      <c r="A774" s="1" t="s">
        <v>878</v>
      </c>
      <c r="B774" t="s">
        <v>1704</v>
      </c>
      <c r="C774" t="s">
        <v>544</v>
      </c>
      <c r="D774" t="s">
        <v>1705</v>
      </c>
      <c r="E774" t="s">
        <v>1706</v>
      </c>
      <c r="F774" t="s">
        <v>1707</v>
      </c>
      <c r="G774" t="s">
        <v>1183</v>
      </c>
      <c r="H774" t="s">
        <v>254</v>
      </c>
      <c r="I774">
        <v>2021</v>
      </c>
      <c r="J774">
        <v>8</v>
      </c>
      <c r="K774" t="s">
        <v>1708</v>
      </c>
      <c r="M774" t="str">
        <f t="shared" si="905"/>
        <v>Hart_2021</v>
      </c>
      <c r="N774" s="264" t="s">
        <v>222</v>
      </c>
      <c r="O774" s="171" t="s">
        <v>225</v>
      </c>
      <c r="P774" t="s">
        <v>959</v>
      </c>
      <c r="Q774" s="264" t="s">
        <v>389</v>
      </c>
      <c r="R774" s="269" t="s">
        <v>1153</v>
      </c>
      <c r="S774" s="297" t="s">
        <v>1709</v>
      </c>
      <c r="T774" s="264" t="s">
        <v>1717</v>
      </c>
      <c r="U774" t="s">
        <v>1711</v>
      </c>
      <c r="V774">
        <v>0</v>
      </c>
      <c r="W774">
        <v>0</v>
      </c>
      <c r="X774">
        <v>0</v>
      </c>
      <c r="Y774">
        <v>0</v>
      </c>
      <c r="Z774">
        <v>0</v>
      </c>
      <c r="AA774">
        <v>0</v>
      </c>
      <c r="AB774">
        <v>0</v>
      </c>
      <c r="AC774">
        <v>0</v>
      </c>
      <c r="AD774">
        <v>0</v>
      </c>
      <c r="AE774">
        <v>0</v>
      </c>
      <c r="AF774">
        <v>0</v>
      </c>
      <c r="AG774">
        <v>0</v>
      </c>
      <c r="AH774">
        <v>0</v>
      </c>
      <c r="AI774">
        <v>0</v>
      </c>
      <c r="AJ774">
        <v>0</v>
      </c>
      <c r="AK774">
        <v>1</v>
      </c>
      <c r="AL774">
        <v>0</v>
      </c>
      <c r="AM774">
        <v>0</v>
      </c>
      <c r="AN774">
        <v>0</v>
      </c>
      <c r="AO774">
        <v>0</v>
      </c>
      <c r="AP774">
        <v>0</v>
      </c>
      <c r="AQ774">
        <v>0</v>
      </c>
      <c r="AR774">
        <v>0</v>
      </c>
      <c r="AS774">
        <v>0</v>
      </c>
      <c r="AT774">
        <v>0</v>
      </c>
      <c r="AU774">
        <v>0</v>
      </c>
      <c r="AV774">
        <v>0</v>
      </c>
      <c r="AW774">
        <v>0</v>
      </c>
      <c r="AX774" s="141">
        <f t="shared" si="906"/>
        <v>1</v>
      </c>
      <c r="AY774" s="141">
        <f t="shared" si="907"/>
        <v>1</v>
      </c>
      <c r="AZ774">
        <f t="shared" si="908"/>
        <v>0</v>
      </c>
      <c r="BA774">
        <f t="shared" si="909"/>
        <v>0</v>
      </c>
      <c r="BB774">
        <f t="shared" si="910"/>
        <v>1</v>
      </c>
      <c r="BC774">
        <f t="shared" si="911"/>
        <v>0</v>
      </c>
      <c r="BD774">
        <f t="shared" si="912"/>
        <v>0</v>
      </c>
      <c r="BE774" t="str" cm="1">
        <f t="array" ref="BE774">IF(AY774=1,INDEX($V$7:$AL$7,MATCH(TRUE,INDEX($V774:$AW774&lt;&gt;0,),0)),IF(AY774=0,INDEX($AM$7:$AW$7,MATCH(1,$AM774:$AW774,0)),IF(BF774="Multiple strategies","mixed drivers",IF(BF774="Supply chain","multiple supply","multiple silviculture"))))</f>
        <v>technologies/design switch</v>
      </c>
      <c r="BF774" s="2" t="str" cm="1">
        <f t="array" ref="BF774">IF(COUNTIF(AZ774:BB774,"&lt;&gt;0")=1,INDEX($V$4:$AW$4,MATCH(TRUE,INDEX($V774:$AW774&lt;&gt;0,),0)),IF(COUNTIF(AZ774:BB774,"&lt;&gt;0")=0,INDEX($AM$4:$AW$4,MATCH(1,$AM774:$AW774,0)),"Multiple strategies"))</f>
        <v>Technology</v>
      </c>
      <c r="BG774" s="298" t="s">
        <v>229</v>
      </c>
      <c r="BH774" s="270" t="s">
        <v>1712</v>
      </c>
      <c r="BI774" s="270" t="s">
        <v>1713</v>
      </c>
      <c r="BJ774" s="270" t="s">
        <v>1714</v>
      </c>
      <c r="BK774">
        <v>0</v>
      </c>
      <c r="BL774">
        <v>0.35042108887694512</v>
      </c>
      <c r="BM774" t="s">
        <v>544</v>
      </c>
      <c r="BN774">
        <f t="shared" si="913"/>
        <v>0.35042108887694512</v>
      </c>
      <c r="BO774" s="264">
        <f t="shared" si="914"/>
        <v>1.5215852751929879</v>
      </c>
      <c r="BP774" s="155" t="s">
        <v>395</v>
      </c>
      <c r="BQ774" s="155" t="s">
        <v>1715</v>
      </c>
      <c r="BR774" s="264" t="s">
        <v>1716</v>
      </c>
      <c r="BS774">
        <v>174.41509659927408</v>
      </c>
      <c r="BT774">
        <v>80.733700144141935</v>
      </c>
      <c r="BU774" s="144">
        <v>0.46288252403764657</v>
      </c>
      <c r="BV774" s="152">
        <f t="shared" si="915"/>
        <v>-93.681396455132145</v>
      </c>
      <c r="BX774">
        <f t="shared" si="916"/>
        <v>-9.368139645513214E-2</v>
      </c>
      <c r="BY774">
        <f t="shared" si="902"/>
        <v>-6.1568285381343617E-2</v>
      </c>
      <c r="BZ774">
        <v>0</v>
      </c>
      <c r="CA774">
        <v>0</v>
      </c>
      <c r="CB774">
        <v>0</v>
      </c>
      <c r="CC774">
        <v>0</v>
      </c>
      <c r="CD774">
        <v>0</v>
      </c>
      <c r="CE774">
        <v>0</v>
      </c>
      <c r="CF774">
        <v>0</v>
      </c>
      <c r="CG774">
        <v>0</v>
      </c>
      <c r="CH774">
        <v>0</v>
      </c>
      <c r="CI774">
        <v>0</v>
      </c>
      <c r="CJ774">
        <v>0</v>
      </c>
      <c r="CK774">
        <v>0</v>
      </c>
      <c r="CL774">
        <v>0</v>
      </c>
      <c r="CM774">
        <v>0</v>
      </c>
      <c r="CN774" t="str">
        <f t="shared" si="917"/>
        <v>refOK</v>
      </c>
      <c r="CO774">
        <f t="shared" si="918"/>
        <v>0</v>
      </c>
      <c r="CP774">
        <f t="shared" si="919"/>
        <v>0.35042108887694512</v>
      </c>
      <c r="CQ774">
        <f t="shared" si="920"/>
        <v>1.5215852751929879</v>
      </c>
      <c r="CR774">
        <f t="shared" si="921"/>
        <v>-174.41509659927408</v>
      </c>
      <c r="CS774">
        <f t="shared" si="922"/>
        <v>-80.733700144141935</v>
      </c>
      <c r="CT774">
        <f t="shared" si="923"/>
        <v>9.368139645513214E-2</v>
      </c>
      <c r="CU774">
        <f t="shared" si="924"/>
        <v>6.1568285381343617E-2</v>
      </c>
      <c r="CV774" s="2">
        <f t="shared" si="925"/>
        <v>0.53711747596235337</v>
      </c>
      <c r="CW774" s="263" t="s">
        <v>1202</v>
      </c>
      <c r="CX774" s="264" t="str">
        <f t="shared" si="926"/>
        <v>reg</v>
      </c>
      <c r="CY774" s="308" t="s">
        <v>3422</v>
      </c>
      <c r="CZ774">
        <v>0</v>
      </c>
      <c r="DA774">
        <v>0</v>
      </c>
      <c r="DB774">
        <v>0</v>
      </c>
      <c r="DC774" t="str">
        <f t="shared" si="927"/>
        <v>0</v>
      </c>
      <c r="DD774">
        <v>0</v>
      </c>
      <c r="DE774">
        <v>0</v>
      </c>
      <c r="DF774">
        <v>0</v>
      </c>
      <c r="DG774">
        <v>1</v>
      </c>
      <c r="DH774">
        <v>0</v>
      </c>
      <c r="DI774">
        <v>1</v>
      </c>
      <c r="DJ774" t="str">
        <f t="shared" si="928"/>
        <v>TimberInput</v>
      </c>
      <c r="DK774">
        <f t="shared" si="929"/>
        <v>0</v>
      </c>
      <c r="DL774">
        <f t="shared" si="929"/>
        <v>0</v>
      </c>
      <c r="DM774">
        <f t="shared" si="929"/>
        <v>0</v>
      </c>
      <c r="DN774" t="str">
        <f t="shared" si="929"/>
        <v>Timber</v>
      </c>
      <c r="DO774">
        <v>0</v>
      </c>
      <c r="DP774">
        <v>0</v>
      </c>
      <c r="DQ774">
        <v>0</v>
      </c>
      <c r="DR774">
        <v>0</v>
      </c>
      <c r="DS774">
        <v>0</v>
      </c>
      <c r="DT774">
        <f t="shared" si="930"/>
        <v>0</v>
      </c>
      <c r="DU774" s="143" t="s">
        <v>961</v>
      </c>
      <c r="DV774">
        <v>0</v>
      </c>
      <c r="DW774">
        <v>0</v>
      </c>
      <c r="DX774">
        <v>0</v>
      </c>
      <c r="DY774">
        <v>0</v>
      </c>
      <c r="DZ774">
        <v>0</v>
      </c>
      <c r="EA774" s="143">
        <v>0</v>
      </c>
      <c r="EB774">
        <v>0</v>
      </c>
      <c r="EC774">
        <v>1</v>
      </c>
      <c r="ED774">
        <v>0</v>
      </c>
      <c r="EE774">
        <v>0</v>
      </c>
      <c r="EF774">
        <v>0</v>
      </c>
      <c r="EG774">
        <v>0</v>
      </c>
      <c r="EH774">
        <v>0</v>
      </c>
      <c r="EI774" s="2">
        <v>0</v>
      </c>
      <c r="EK774" t="str">
        <f t="shared" si="931"/>
        <v/>
      </c>
      <c r="EL774" t="str">
        <f t="shared" si="932"/>
        <v/>
      </c>
      <c r="EM774" s="2" t="str">
        <f t="shared" si="903"/>
        <v/>
      </c>
      <c r="EP774" t="str">
        <f>IF(ISNUMBER(BU774),IF(ABS(BU774-[4]QC_indicators!$B$2)&gt;3*[4]QC_indicators!$C$2,"C ratio",IF(ISNUMBER(BY774),IF(ABS(BY774-[4]QC_indicators!$B$1)&gt;3*[4]QC_indicators!$C$1,"DF","no"))),IF(ISNUMBER(BY774),IF(ABS(BY774-[4]QC_indicators!$B$1)&gt;3*[4]QC_indicators!$C$1,"DF","no")))</f>
        <v>no</v>
      </c>
      <c r="ET774" s="264" t="s">
        <v>3406</v>
      </c>
    </row>
    <row r="775" spans="1:150" ht="15" hidden="1" customHeight="1">
      <c r="A775" s="1" t="s">
        <v>878</v>
      </c>
      <c r="B775" t="s">
        <v>1704</v>
      </c>
      <c r="C775" t="s">
        <v>544</v>
      </c>
      <c r="D775" t="s">
        <v>1705</v>
      </c>
      <c r="E775" s="264" t="s">
        <v>1706</v>
      </c>
      <c r="F775" t="s">
        <v>1707</v>
      </c>
      <c r="G775" t="s">
        <v>1183</v>
      </c>
      <c r="H775" t="s">
        <v>254</v>
      </c>
      <c r="I775">
        <v>2021</v>
      </c>
      <c r="J775">
        <v>8</v>
      </c>
      <c r="K775" t="s">
        <v>1708</v>
      </c>
      <c r="M775" t="str">
        <f t="shared" si="905"/>
        <v>Hart_2021</v>
      </c>
      <c r="N775" s="264" t="s">
        <v>222</v>
      </c>
      <c r="O775" s="171" t="s">
        <v>225</v>
      </c>
      <c r="P775" t="s">
        <v>959</v>
      </c>
      <c r="Q775" s="264" t="s">
        <v>389</v>
      </c>
      <c r="R775" s="269" t="s">
        <v>1153</v>
      </c>
      <c r="S775" s="297" t="s">
        <v>1709</v>
      </c>
      <c r="T775" s="264" t="s">
        <v>1717</v>
      </c>
      <c r="U775" t="s">
        <v>1711</v>
      </c>
      <c r="V775">
        <v>0</v>
      </c>
      <c r="W775">
        <v>0</v>
      </c>
      <c r="X775">
        <v>0</v>
      </c>
      <c r="Y775">
        <v>0</v>
      </c>
      <c r="Z775">
        <v>0</v>
      </c>
      <c r="AA775">
        <v>0</v>
      </c>
      <c r="AB775">
        <v>0</v>
      </c>
      <c r="AC775">
        <v>0</v>
      </c>
      <c r="AD775">
        <v>0</v>
      </c>
      <c r="AE775">
        <v>0</v>
      </c>
      <c r="AF775">
        <v>0</v>
      </c>
      <c r="AG775">
        <v>0</v>
      </c>
      <c r="AH775">
        <v>0</v>
      </c>
      <c r="AI775">
        <v>0</v>
      </c>
      <c r="AJ775">
        <v>0</v>
      </c>
      <c r="AK775">
        <v>1</v>
      </c>
      <c r="AL775">
        <v>0</v>
      </c>
      <c r="AM775">
        <v>0</v>
      </c>
      <c r="AN775">
        <v>0</v>
      </c>
      <c r="AO775">
        <v>0</v>
      </c>
      <c r="AP775">
        <v>0</v>
      </c>
      <c r="AQ775">
        <v>0</v>
      </c>
      <c r="AR775">
        <v>0</v>
      </c>
      <c r="AS775">
        <v>0</v>
      </c>
      <c r="AT775">
        <v>0</v>
      </c>
      <c r="AU775">
        <v>0</v>
      </c>
      <c r="AV775">
        <v>0</v>
      </c>
      <c r="AW775">
        <v>0</v>
      </c>
      <c r="AX775" s="141">
        <f t="shared" si="906"/>
        <v>1</v>
      </c>
      <c r="AY775" s="141">
        <f t="shared" si="907"/>
        <v>1</v>
      </c>
      <c r="AZ775">
        <f t="shared" si="908"/>
        <v>0</v>
      </c>
      <c r="BA775">
        <f t="shared" si="909"/>
        <v>0</v>
      </c>
      <c r="BB775">
        <f t="shared" si="910"/>
        <v>1</v>
      </c>
      <c r="BC775">
        <f t="shared" si="911"/>
        <v>0</v>
      </c>
      <c r="BD775">
        <f t="shared" si="912"/>
        <v>0</v>
      </c>
      <c r="BE775" t="str" cm="1">
        <f t="array" ref="BE775">IF(AY775=1,INDEX($V$7:$AL$7,MATCH(TRUE,INDEX($V775:$AW775&lt;&gt;0,),0)),IF(AY775=0,INDEX($AM$7:$AW$7,MATCH(1,$AM775:$AW775,0)),IF(BF775="Multiple strategies","mixed drivers",IF(BF775="Supply chain","multiple supply","multiple silviculture"))))</f>
        <v>technologies/design switch</v>
      </c>
      <c r="BF775" s="2" t="str" cm="1">
        <f t="array" ref="BF775">IF(COUNTIF(AZ775:BB775,"&lt;&gt;0")=1,INDEX($V$4:$AW$4,MATCH(TRUE,INDEX($V775:$AW775&lt;&gt;0,),0)),IF(COUNTIF(AZ775:BB775,"&lt;&gt;0")=0,INDEX($AM$4:$AW$4,MATCH(1,$AM775:$AW775,0)),"Multiple strategies"))</f>
        <v>Technology</v>
      </c>
      <c r="BG775" s="298" t="s">
        <v>229</v>
      </c>
      <c r="BH775" s="270" t="s">
        <v>1712</v>
      </c>
      <c r="BI775" s="270" t="s">
        <v>1713</v>
      </c>
      <c r="BJ775" s="270" t="s">
        <v>1714</v>
      </c>
      <c r="BK775">
        <v>0</v>
      </c>
      <c r="BL775">
        <v>0.35042108887694512</v>
      </c>
      <c r="BM775" t="s">
        <v>544</v>
      </c>
      <c r="BN775">
        <f t="shared" si="913"/>
        <v>0.35042108887694512</v>
      </c>
      <c r="BO775" s="264">
        <f t="shared" si="914"/>
        <v>1.5215852751929879</v>
      </c>
      <c r="BP775" s="155" t="s">
        <v>395</v>
      </c>
      <c r="BQ775" s="155" t="s">
        <v>1715</v>
      </c>
      <c r="BR775" s="264" t="s">
        <v>1716</v>
      </c>
      <c r="BS775">
        <v>163.80603424463476</v>
      </c>
      <c r="BT775">
        <v>80.733700144141935</v>
      </c>
      <c r="BU775" s="144">
        <v>0.4928615756826813</v>
      </c>
      <c r="BV775" s="152">
        <f t="shared" si="915"/>
        <v>-83.072334100492824</v>
      </c>
      <c r="BX775">
        <f t="shared" si="916"/>
        <v>-8.307233410049282E-2</v>
      </c>
      <c r="BY775">
        <f t="shared" si="902"/>
        <v>-5.4595910892970799E-2</v>
      </c>
      <c r="BZ775">
        <v>0</v>
      </c>
      <c r="CA775">
        <v>0</v>
      </c>
      <c r="CB775">
        <v>0</v>
      </c>
      <c r="CC775">
        <v>0</v>
      </c>
      <c r="CD775">
        <v>0</v>
      </c>
      <c r="CE775">
        <v>0</v>
      </c>
      <c r="CF775">
        <v>0</v>
      </c>
      <c r="CG775">
        <v>0</v>
      </c>
      <c r="CH775">
        <v>0</v>
      </c>
      <c r="CI775">
        <v>0</v>
      </c>
      <c r="CJ775">
        <v>0</v>
      </c>
      <c r="CK775">
        <v>0</v>
      </c>
      <c r="CL775">
        <v>0</v>
      </c>
      <c r="CM775">
        <v>0</v>
      </c>
      <c r="CN775" t="str">
        <f t="shared" si="917"/>
        <v>refOK</v>
      </c>
      <c r="CO775">
        <f t="shared" si="918"/>
        <v>0</v>
      </c>
      <c r="CP775">
        <f t="shared" si="919"/>
        <v>0.35042108887694512</v>
      </c>
      <c r="CQ775">
        <f t="shared" si="920"/>
        <v>1.5215852751929879</v>
      </c>
      <c r="CR775">
        <f t="shared" si="921"/>
        <v>-163.80603424463476</v>
      </c>
      <c r="CS775">
        <f t="shared" si="922"/>
        <v>-80.733700144141935</v>
      </c>
      <c r="CT775">
        <f t="shared" si="923"/>
        <v>8.307233410049282E-2</v>
      </c>
      <c r="CU775">
        <f t="shared" si="924"/>
        <v>5.4595910892970799E-2</v>
      </c>
      <c r="CV775" s="2">
        <f t="shared" si="925"/>
        <v>0.5071384243173187</v>
      </c>
      <c r="CW775" s="263" t="s">
        <v>1202</v>
      </c>
      <c r="CX775" s="264" t="str">
        <f t="shared" si="926"/>
        <v>reg</v>
      </c>
      <c r="CY775" s="308" t="s">
        <v>3422</v>
      </c>
      <c r="CZ775">
        <v>0</v>
      </c>
      <c r="DA775">
        <v>0</v>
      </c>
      <c r="DB775">
        <v>0</v>
      </c>
      <c r="DC775" t="str">
        <f t="shared" si="927"/>
        <v>0</v>
      </c>
      <c r="DD775">
        <v>0</v>
      </c>
      <c r="DE775">
        <v>0</v>
      </c>
      <c r="DF775">
        <v>0</v>
      </c>
      <c r="DG775">
        <v>1</v>
      </c>
      <c r="DH775">
        <v>0</v>
      </c>
      <c r="DI775">
        <v>1</v>
      </c>
      <c r="DJ775" t="str">
        <f t="shared" si="928"/>
        <v>TimberInput</v>
      </c>
      <c r="DK775">
        <f t="shared" si="929"/>
        <v>0</v>
      </c>
      <c r="DL775">
        <f t="shared" si="929"/>
        <v>0</v>
      </c>
      <c r="DM775">
        <f t="shared" si="929"/>
        <v>0</v>
      </c>
      <c r="DN775" t="str">
        <f t="shared" si="929"/>
        <v>Timber</v>
      </c>
      <c r="DO775">
        <v>0</v>
      </c>
      <c r="DP775">
        <v>0</v>
      </c>
      <c r="DQ775">
        <v>0</v>
      </c>
      <c r="DR775">
        <v>0</v>
      </c>
      <c r="DS775">
        <v>0</v>
      </c>
      <c r="DT775">
        <f t="shared" si="930"/>
        <v>0</v>
      </c>
      <c r="DU775" s="143" t="s">
        <v>961</v>
      </c>
      <c r="DV775">
        <v>0</v>
      </c>
      <c r="DW775">
        <v>0</v>
      </c>
      <c r="DX775">
        <v>0</v>
      </c>
      <c r="DY775">
        <v>0</v>
      </c>
      <c r="DZ775">
        <v>0</v>
      </c>
      <c r="EA775" s="143">
        <v>0</v>
      </c>
      <c r="EB775">
        <v>0</v>
      </c>
      <c r="EC775">
        <v>1</v>
      </c>
      <c r="ED775">
        <v>1</v>
      </c>
      <c r="EE775">
        <v>0</v>
      </c>
      <c r="EF775">
        <v>0</v>
      </c>
      <c r="EG775">
        <v>0</v>
      </c>
      <c r="EH775">
        <v>0</v>
      </c>
      <c r="EI775" s="2">
        <v>0</v>
      </c>
      <c r="EK775" t="str">
        <f t="shared" si="931"/>
        <v/>
      </c>
      <c r="EL775" t="str">
        <f t="shared" si="932"/>
        <v/>
      </c>
      <c r="EM775" s="2" t="str">
        <f t="shared" si="903"/>
        <v>Technology approach</v>
      </c>
      <c r="EP775" t="str">
        <f>IF(ISNUMBER(BU775),IF(ABS(BU775-[4]QC_indicators!$B$2)&gt;3*[4]QC_indicators!$C$2,"C ratio",IF(ISNUMBER(BY775),IF(ABS(BY775-[4]QC_indicators!$B$1)&gt;3*[4]QC_indicators!$C$1,"DF","no"))),IF(ISNUMBER(BY775),IF(ABS(BY775-[4]QC_indicators!$B$1)&gt;3*[4]QC_indicators!$C$1,"DF","no")))</f>
        <v>no</v>
      </c>
      <c r="ET775" s="264" t="s">
        <v>3406</v>
      </c>
    </row>
    <row r="776" spans="1:150" ht="15" hidden="1" customHeight="1">
      <c r="A776" s="1" t="s">
        <v>878</v>
      </c>
      <c r="B776" t="s">
        <v>1704</v>
      </c>
      <c r="C776" t="s">
        <v>544</v>
      </c>
      <c r="D776" t="s">
        <v>1705</v>
      </c>
      <c r="E776" t="s">
        <v>1706</v>
      </c>
      <c r="F776" t="s">
        <v>1707</v>
      </c>
      <c r="G776" t="s">
        <v>1183</v>
      </c>
      <c r="H776" t="s">
        <v>254</v>
      </c>
      <c r="I776">
        <v>2021</v>
      </c>
      <c r="J776">
        <v>8</v>
      </c>
      <c r="K776" t="s">
        <v>1708</v>
      </c>
      <c r="M776" t="str">
        <f t="shared" si="905"/>
        <v>Hart_2021</v>
      </c>
      <c r="N776" s="264" t="s">
        <v>222</v>
      </c>
      <c r="O776" s="171" t="s">
        <v>225</v>
      </c>
      <c r="P776" t="s">
        <v>959</v>
      </c>
      <c r="Q776" s="264" t="s">
        <v>389</v>
      </c>
      <c r="R776" s="269" t="s">
        <v>1153</v>
      </c>
      <c r="S776" s="297" t="s">
        <v>1709</v>
      </c>
      <c r="T776" s="264" t="s">
        <v>1717</v>
      </c>
      <c r="U776" t="s">
        <v>1711</v>
      </c>
      <c r="V776">
        <v>0</v>
      </c>
      <c r="W776">
        <v>0</v>
      </c>
      <c r="X776">
        <v>0</v>
      </c>
      <c r="Y776">
        <v>0</v>
      </c>
      <c r="Z776">
        <v>0</v>
      </c>
      <c r="AA776">
        <v>0</v>
      </c>
      <c r="AB776">
        <v>0</v>
      </c>
      <c r="AC776">
        <v>0</v>
      </c>
      <c r="AD776">
        <v>0</v>
      </c>
      <c r="AE776">
        <v>0</v>
      </c>
      <c r="AF776">
        <v>0</v>
      </c>
      <c r="AG776">
        <v>0</v>
      </c>
      <c r="AH776">
        <v>0</v>
      </c>
      <c r="AI776">
        <v>0</v>
      </c>
      <c r="AJ776">
        <v>0</v>
      </c>
      <c r="AK776">
        <v>1</v>
      </c>
      <c r="AL776">
        <v>0</v>
      </c>
      <c r="AM776">
        <v>0</v>
      </c>
      <c r="AN776">
        <v>0</v>
      </c>
      <c r="AO776">
        <v>0</v>
      </c>
      <c r="AP776">
        <v>0</v>
      </c>
      <c r="AQ776">
        <v>0</v>
      </c>
      <c r="AR776">
        <v>0</v>
      </c>
      <c r="AS776">
        <v>0</v>
      </c>
      <c r="AT776">
        <v>0</v>
      </c>
      <c r="AU776">
        <v>0</v>
      </c>
      <c r="AV776">
        <v>0</v>
      </c>
      <c r="AW776">
        <v>0</v>
      </c>
      <c r="AX776" s="141">
        <f t="shared" si="906"/>
        <v>1</v>
      </c>
      <c r="AY776" s="141">
        <f t="shared" si="907"/>
        <v>1</v>
      </c>
      <c r="AZ776">
        <f t="shared" si="908"/>
        <v>0</v>
      </c>
      <c r="BA776">
        <f t="shared" si="909"/>
        <v>0</v>
      </c>
      <c r="BB776">
        <f t="shared" si="910"/>
        <v>1</v>
      </c>
      <c r="BC776">
        <f t="shared" si="911"/>
        <v>0</v>
      </c>
      <c r="BD776">
        <f t="shared" si="912"/>
        <v>0</v>
      </c>
      <c r="BE776" t="str" cm="1">
        <f t="array" ref="BE776">IF(AY776=1,INDEX($V$7:$AL$7,MATCH(TRUE,INDEX($V776:$AW776&lt;&gt;0,),0)),IF(AY776=0,INDEX($AM$7:$AW$7,MATCH(1,$AM776:$AW776,0)),IF(BF776="Multiple strategies","mixed drivers",IF(BF776="Supply chain","multiple supply","multiple silviculture"))))</f>
        <v>technologies/design switch</v>
      </c>
      <c r="BF776" s="2" t="str" cm="1">
        <f t="array" ref="BF776">IF(COUNTIF(AZ776:BB776,"&lt;&gt;0")=1,INDEX($V$4:$AW$4,MATCH(TRUE,INDEX($V776:$AW776&lt;&gt;0,),0)),IF(COUNTIF(AZ776:BB776,"&lt;&gt;0")=0,INDEX($AM$4:$AW$4,MATCH(1,$AM776:$AW776,0)),"Multiple strategies"))</f>
        <v>Technology</v>
      </c>
      <c r="BG776" s="298" t="s">
        <v>229</v>
      </c>
      <c r="BH776" s="270" t="s">
        <v>1712</v>
      </c>
      <c r="BI776" s="270" t="s">
        <v>1713</v>
      </c>
      <c r="BJ776" s="270" t="s">
        <v>1714</v>
      </c>
      <c r="BK776">
        <v>0</v>
      </c>
      <c r="BL776">
        <v>0.35042108887694512</v>
      </c>
      <c r="BM776" t="s">
        <v>544</v>
      </c>
      <c r="BN776">
        <f t="shared" si="913"/>
        <v>0.35042108887694512</v>
      </c>
      <c r="BO776" s="264">
        <f t="shared" si="914"/>
        <v>1.5215852751929879</v>
      </c>
      <c r="BP776" s="155" t="s">
        <v>395</v>
      </c>
      <c r="BQ776" s="155" t="s">
        <v>1715</v>
      </c>
      <c r="BR776" s="264" t="s">
        <v>1716</v>
      </c>
      <c r="BS776">
        <v>187.41169182586319</v>
      </c>
      <c r="BT776">
        <v>119.35798727672741</v>
      </c>
      <c r="BU776" s="144">
        <v>0.6368758859913124</v>
      </c>
      <c r="BV776" s="152">
        <f t="shared" si="915"/>
        <v>-68.053704549135773</v>
      </c>
      <c r="BX776">
        <f t="shared" si="916"/>
        <v>-6.8053704549135771E-2</v>
      </c>
      <c r="BY776">
        <f t="shared" si="902"/>
        <v>-4.4725527815392588E-2</v>
      </c>
      <c r="BZ776">
        <v>0</v>
      </c>
      <c r="CA776">
        <v>0</v>
      </c>
      <c r="CB776">
        <v>0</v>
      </c>
      <c r="CC776">
        <v>0</v>
      </c>
      <c r="CD776">
        <v>0</v>
      </c>
      <c r="CE776">
        <v>0</v>
      </c>
      <c r="CF776">
        <v>0</v>
      </c>
      <c r="CG776">
        <v>0</v>
      </c>
      <c r="CH776">
        <v>0</v>
      </c>
      <c r="CI776">
        <v>0</v>
      </c>
      <c r="CJ776">
        <v>0</v>
      </c>
      <c r="CK776">
        <v>0</v>
      </c>
      <c r="CL776">
        <v>0</v>
      </c>
      <c r="CM776">
        <v>0</v>
      </c>
      <c r="CN776" t="str">
        <f t="shared" si="917"/>
        <v>refOK</v>
      </c>
      <c r="CO776">
        <f t="shared" si="918"/>
        <v>0</v>
      </c>
      <c r="CP776">
        <f t="shared" si="919"/>
        <v>0.35042108887694512</v>
      </c>
      <c r="CQ776">
        <f t="shared" si="920"/>
        <v>1.5215852751929879</v>
      </c>
      <c r="CR776">
        <f t="shared" si="921"/>
        <v>-187.41169182586319</v>
      </c>
      <c r="CS776">
        <f t="shared" si="922"/>
        <v>-119.35798727672741</v>
      </c>
      <c r="CT776">
        <f t="shared" si="923"/>
        <v>6.8053704549135771E-2</v>
      </c>
      <c r="CU776">
        <f t="shared" si="924"/>
        <v>4.4725527815392588E-2</v>
      </c>
      <c r="CV776" s="2">
        <f t="shared" si="925"/>
        <v>0.3631241140086876</v>
      </c>
      <c r="CW776" s="263" t="s">
        <v>1202</v>
      </c>
      <c r="CX776" s="264" t="str">
        <f t="shared" si="926"/>
        <v>reg</v>
      </c>
      <c r="CY776" s="308" t="s">
        <v>3422</v>
      </c>
      <c r="CZ776">
        <v>0</v>
      </c>
      <c r="DA776">
        <v>0</v>
      </c>
      <c r="DB776">
        <v>0</v>
      </c>
      <c r="DC776" t="str">
        <f t="shared" si="927"/>
        <v>0</v>
      </c>
      <c r="DD776">
        <v>0</v>
      </c>
      <c r="DE776">
        <v>0</v>
      </c>
      <c r="DF776">
        <v>0</v>
      </c>
      <c r="DG776">
        <v>1</v>
      </c>
      <c r="DH776">
        <v>0</v>
      </c>
      <c r="DI776">
        <v>1</v>
      </c>
      <c r="DJ776" t="str">
        <f t="shared" si="928"/>
        <v>TimberInput</v>
      </c>
      <c r="DK776">
        <f t="shared" si="929"/>
        <v>0</v>
      </c>
      <c r="DL776">
        <f t="shared" si="929"/>
        <v>0</v>
      </c>
      <c r="DM776">
        <f t="shared" si="929"/>
        <v>0</v>
      </c>
      <c r="DN776" t="str">
        <f t="shared" si="929"/>
        <v>Timber</v>
      </c>
      <c r="DO776">
        <v>0</v>
      </c>
      <c r="DP776">
        <v>0</v>
      </c>
      <c r="DQ776">
        <v>0</v>
      </c>
      <c r="DR776">
        <v>0</v>
      </c>
      <c r="DS776">
        <v>0</v>
      </c>
      <c r="DT776">
        <f t="shared" si="930"/>
        <v>0</v>
      </c>
      <c r="DU776" s="143" t="s">
        <v>961</v>
      </c>
      <c r="DV776">
        <v>0</v>
      </c>
      <c r="DW776">
        <v>0</v>
      </c>
      <c r="DX776">
        <v>0</v>
      </c>
      <c r="DY776">
        <v>0</v>
      </c>
      <c r="DZ776">
        <v>0</v>
      </c>
      <c r="EA776" s="143">
        <v>0</v>
      </c>
      <c r="EB776">
        <v>0</v>
      </c>
      <c r="EC776">
        <v>1</v>
      </c>
      <c r="ED776">
        <v>1</v>
      </c>
      <c r="EE776">
        <v>1</v>
      </c>
      <c r="EF776">
        <v>0</v>
      </c>
      <c r="EG776">
        <v>0</v>
      </c>
      <c r="EH776">
        <v>0</v>
      </c>
      <c r="EI776" s="2">
        <v>0</v>
      </c>
      <c r="EK776" t="str">
        <f t="shared" si="931"/>
        <v/>
      </c>
      <c r="EL776" t="str">
        <f t="shared" si="932"/>
        <v/>
      </c>
      <c r="EM776" s="2" t="str">
        <f t="shared" si="903"/>
        <v>Technology approach</v>
      </c>
      <c r="EP776" t="str">
        <f>IF(ISNUMBER(BU776),IF(ABS(BU776-[4]QC_indicators!$B$2)&gt;3*[4]QC_indicators!$C$2,"C ratio",IF(ISNUMBER(BY776),IF(ABS(BY776-[4]QC_indicators!$B$1)&gt;3*[4]QC_indicators!$C$1,"DF","no"))),IF(ISNUMBER(BY776),IF(ABS(BY776-[4]QC_indicators!$B$1)&gt;3*[4]QC_indicators!$C$1,"DF","no")))</f>
        <v>no</v>
      </c>
      <c r="ET776" s="264" t="s">
        <v>3406</v>
      </c>
    </row>
    <row r="777" spans="1:150" ht="15" hidden="1" customHeight="1">
      <c r="A777" s="1" t="s">
        <v>4801</v>
      </c>
      <c r="B777" t="s">
        <v>544</v>
      </c>
      <c r="C777" t="s">
        <v>4802</v>
      </c>
      <c r="D777" t="s">
        <v>4803</v>
      </c>
      <c r="E777" t="s">
        <v>4804</v>
      </c>
      <c r="F777" t="s">
        <v>4805</v>
      </c>
      <c r="G777" t="s">
        <v>4806</v>
      </c>
      <c r="H777" t="s">
        <v>254</v>
      </c>
      <c r="I777">
        <v>2021</v>
      </c>
      <c r="J777">
        <v>2</v>
      </c>
      <c r="K777" t="s">
        <v>4807</v>
      </c>
      <c r="M777" t="str">
        <f t="shared" si="905"/>
        <v>Hartung_2021</v>
      </c>
      <c r="N777" t="s">
        <v>1351</v>
      </c>
      <c r="O777" s="145" t="s">
        <v>513</v>
      </c>
      <c r="Q777" s="311" t="s">
        <v>256</v>
      </c>
      <c r="R777" s="312"/>
      <c r="AX777" s="141"/>
      <c r="AY777" s="141"/>
      <c r="BE777"/>
      <c r="BF777" s="2"/>
      <c r="BU777" s="144"/>
      <c r="BY777" t="str">
        <f t="shared" si="902"/>
        <v/>
      </c>
      <c r="CN777"/>
      <c r="CO777"/>
      <c r="CP777"/>
      <c r="CQ777"/>
      <c r="CR777"/>
      <c r="CS777"/>
      <c r="CT777"/>
      <c r="CU777"/>
      <c r="CV777" s="2"/>
      <c r="CX777"/>
      <c r="DC777"/>
      <c r="DI777"/>
      <c r="DJ777"/>
      <c r="DK777"/>
      <c r="DL777"/>
      <c r="DM777"/>
      <c r="DN777"/>
      <c r="DT777"/>
      <c r="DU777" s="143"/>
      <c r="EK777" t="str">
        <f t="shared" ref="EK777:EK791" si="933">IF(AND(AND(AND(OR($DX777=1,$DW777=1),OR($EC777=1,$EA777=1)),SUM($DV777:$DZ777,$EF777)&gt;=3),SUM($EA777:$EE777)&gt;=2),"Whole sector","")</f>
        <v/>
      </c>
      <c r="EL777" t="str">
        <f t="shared" ref="EL777:EL791" si="934">IF(AND(AND(OR($DX777=1,$DW777=1),AND($EC777=0,$EA777=0)),SUM($DV777:$DZ777,$EF777)&gt;=3),"Ecosystem approach","")</f>
        <v/>
      </c>
      <c r="EM777" s="2" t="str">
        <f t="shared" si="903"/>
        <v/>
      </c>
      <c r="EN777" t="s">
        <v>4808</v>
      </c>
      <c r="EO777" t="s">
        <v>450</v>
      </c>
      <c r="EP777" t="b">
        <f>IF(ISNUMBER(BU777),IF(ABS(BU777-[1]QC_indicators!$B$2)&gt;3*[1]QC_indicators!$C$2,"C ratio",IF(ISNUMBER(BY777),IF(ABS(BY777-[1]QC_indicators!$B$1)&gt;3*[1]QC_indicators!$C$1,"DF","no"))),IF(ISNUMBER(BY777),IF(ABS(BY777-[1]QC_indicators!$B$1)&gt;3*[1]QC_indicators!$C$1,"DF","no")))</f>
        <v>0</v>
      </c>
    </row>
    <row r="778" spans="1:150" ht="15" hidden="1" customHeight="1">
      <c r="A778" s="1" t="s">
        <v>1807</v>
      </c>
      <c r="B778" t="s">
        <v>4525</v>
      </c>
      <c r="C778" t="s">
        <v>4526</v>
      </c>
      <c r="D778" t="s">
        <v>4527</v>
      </c>
      <c r="E778" t="s">
        <v>4528</v>
      </c>
      <c r="F778" t="s">
        <v>4529</v>
      </c>
      <c r="G778" t="s">
        <v>1813</v>
      </c>
      <c r="H778" t="s">
        <v>254</v>
      </c>
      <c r="I778">
        <v>2008</v>
      </c>
      <c r="J778">
        <v>13</v>
      </c>
      <c r="K778" t="s">
        <v>4530</v>
      </c>
      <c r="M778" t="str">
        <f t="shared" si="905"/>
        <v>Hashimoto_2008</v>
      </c>
      <c r="N778" t="s">
        <v>2582</v>
      </c>
      <c r="O778" s="145" t="s">
        <v>513</v>
      </c>
      <c r="Q778" s="311" t="s">
        <v>256</v>
      </c>
      <c r="R778" s="312"/>
      <c r="AX778" s="141"/>
      <c r="AY778" s="141"/>
      <c r="BE778"/>
      <c r="BF778" s="2"/>
      <c r="BU778" s="144"/>
      <c r="BY778" t="str">
        <f t="shared" si="902"/>
        <v/>
      </c>
      <c r="CN778"/>
      <c r="CO778"/>
      <c r="CP778"/>
      <c r="CQ778"/>
      <c r="CR778"/>
      <c r="CS778"/>
      <c r="CT778"/>
      <c r="CU778"/>
      <c r="CV778" s="2"/>
      <c r="CX778"/>
      <c r="DC778"/>
      <c r="DI778"/>
      <c r="DJ778"/>
      <c r="DK778"/>
      <c r="DL778"/>
      <c r="DM778"/>
      <c r="DN778"/>
      <c r="DT778"/>
      <c r="DU778" s="143"/>
      <c r="EK778" t="str">
        <f t="shared" si="933"/>
        <v/>
      </c>
      <c r="EL778" t="str">
        <f t="shared" si="934"/>
        <v/>
      </c>
      <c r="EM778" s="2" t="str">
        <f t="shared" si="903"/>
        <v/>
      </c>
      <c r="EO778" t="s">
        <v>450</v>
      </c>
      <c r="EP778" t="b">
        <f>IF(ISNUMBER(BU778),IF(ABS(BU778-[1]QC_indicators!$B$2)&gt;3*[1]QC_indicators!$C$2,"C ratio",IF(ISNUMBER(BY778),IF(ABS(BY778-[1]QC_indicators!$B$1)&gt;3*[1]QC_indicators!$C$1,"DF","no"))),IF(ISNUMBER(BY778),IF(ABS(BY778-[1]QC_indicators!$B$1)&gt;3*[1]QC_indicators!$C$1,"DF","no")))</f>
        <v>0</v>
      </c>
    </row>
    <row r="779" spans="1:150" ht="15" hidden="1" customHeight="1">
      <c r="A779" s="1" t="s">
        <v>4677</v>
      </c>
      <c r="B779" t="s">
        <v>5116</v>
      </c>
      <c r="C779" t="s">
        <v>5117</v>
      </c>
      <c r="D779" t="s">
        <v>5118</v>
      </c>
      <c r="E779" t="s">
        <v>5119</v>
      </c>
      <c r="F779" t="s">
        <v>5120</v>
      </c>
      <c r="G779" t="s">
        <v>4683</v>
      </c>
      <c r="H779" t="s">
        <v>254</v>
      </c>
      <c r="I779">
        <v>2022</v>
      </c>
      <c r="J779">
        <v>1</v>
      </c>
      <c r="K779" t="s">
        <v>5121</v>
      </c>
      <c r="M779" t="str">
        <f t="shared" si="905"/>
        <v>Hassegawa_2022</v>
      </c>
      <c r="N779" t="s">
        <v>2585</v>
      </c>
      <c r="O779" s="161" t="s">
        <v>223</v>
      </c>
      <c r="Q779" s="311" t="s">
        <v>389</v>
      </c>
      <c r="R779" s="312"/>
      <c r="AX779" s="141">
        <f t="shared" ref="AX779:AX805" si="935">COUNTIF(V779:AW779,"&lt;&gt;0")</f>
        <v>28</v>
      </c>
      <c r="AY779">
        <f t="shared" ref="AY779:AY805" si="936">COUNTIF(V779:AL779,"&lt;&gt;0")</f>
        <v>17</v>
      </c>
      <c r="BE779"/>
      <c r="BF779" s="2"/>
      <c r="BY779" t="str">
        <f t="shared" si="902"/>
        <v/>
      </c>
      <c r="CN779"/>
      <c r="CO779"/>
      <c r="CP779"/>
      <c r="CQ779"/>
      <c r="CR779"/>
      <c r="CS779"/>
      <c r="CT779"/>
      <c r="CU779"/>
      <c r="CV779" s="2"/>
      <c r="CX779"/>
      <c r="DC779"/>
      <c r="DI779"/>
      <c r="DJ779"/>
      <c r="DK779"/>
      <c r="DL779"/>
      <c r="DM779"/>
      <c r="DN779"/>
      <c r="DT779"/>
      <c r="DU779"/>
      <c r="EK779" t="str">
        <f t="shared" si="933"/>
        <v/>
      </c>
      <c r="EL779" t="str">
        <f t="shared" si="934"/>
        <v/>
      </c>
      <c r="EM779" s="2" t="str">
        <f t="shared" si="903"/>
        <v/>
      </c>
      <c r="EP779" t="b">
        <f>IF(ISNUMBER(BU779),IF(ABS(BU779-[1]QC_indicators!$B$2)&gt;3*[1]QC_indicators!$C$2,"C ratio",IF(ISNUMBER(BY779),IF(ABS(BY779-[1]QC_indicators!$B$1)&gt;3*[1]QC_indicators!$C$1,"DF","no"))),IF(ISNUMBER(BY779),IF(ABS(BY779-[1]QC_indicators!$B$1)&gt;3*[1]QC_indicators!$C$1,"DF","no")))</f>
        <v>0</v>
      </c>
    </row>
    <row r="780" spans="1:150" ht="15" hidden="1" customHeight="1">
      <c r="A780" s="318" t="s">
        <v>781</v>
      </c>
      <c r="D780" t="s">
        <v>3672</v>
      </c>
      <c r="E780" s="311" t="s">
        <v>3673</v>
      </c>
      <c r="F780" s="311" t="s">
        <v>3674</v>
      </c>
      <c r="G780" t="s">
        <v>782</v>
      </c>
      <c r="I780">
        <v>2014</v>
      </c>
      <c r="J780">
        <v>34</v>
      </c>
      <c r="K780" s="295" t="s">
        <v>3675</v>
      </c>
      <c r="M780" t="str">
        <f t="shared" si="905"/>
        <v>Haus_2014</v>
      </c>
      <c r="N780" s="311" t="s">
        <v>4382</v>
      </c>
      <c r="O780" s="157" t="s">
        <v>223</v>
      </c>
      <c r="P780" t="s">
        <v>223</v>
      </c>
      <c r="Q780" s="311" t="s">
        <v>389</v>
      </c>
      <c r="R780" s="312"/>
      <c r="S780" s="154" t="s">
        <v>3676</v>
      </c>
      <c r="T780" s="313" t="s">
        <v>3677</v>
      </c>
      <c r="U780" s="143" t="s">
        <v>3682</v>
      </c>
      <c r="V780">
        <v>1</v>
      </c>
      <c r="W780">
        <v>0</v>
      </c>
      <c r="X780">
        <v>0</v>
      </c>
      <c r="Y780">
        <v>0</v>
      </c>
      <c r="Z780">
        <v>0</v>
      </c>
      <c r="AA780">
        <v>0</v>
      </c>
      <c r="AB780">
        <v>0</v>
      </c>
      <c r="AC780">
        <v>0</v>
      </c>
      <c r="AD780">
        <v>0</v>
      </c>
      <c r="AE780">
        <v>0</v>
      </c>
      <c r="AF780">
        <v>0</v>
      </c>
      <c r="AG780">
        <v>0</v>
      </c>
      <c r="AH780">
        <v>0</v>
      </c>
      <c r="AI780">
        <v>0</v>
      </c>
      <c r="AJ780">
        <v>0</v>
      </c>
      <c r="AK780">
        <v>0</v>
      </c>
      <c r="AL780">
        <v>0</v>
      </c>
      <c r="AM780">
        <v>0</v>
      </c>
      <c r="AN780">
        <v>0</v>
      </c>
      <c r="AO780">
        <v>0</v>
      </c>
      <c r="AP780">
        <v>0</v>
      </c>
      <c r="AQ780">
        <v>0</v>
      </c>
      <c r="AR780">
        <v>0</v>
      </c>
      <c r="AS780">
        <v>0</v>
      </c>
      <c r="AT780">
        <v>0</v>
      </c>
      <c r="AU780">
        <v>0</v>
      </c>
      <c r="AV780">
        <v>0</v>
      </c>
      <c r="AW780">
        <v>0</v>
      </c>
      <c r="AX780" s="141">
        <f t="shared" si="935"/>
        <v>1</v>
      </c>
      <c r="AY780" s="141">
        <f t="shared" si="936"/>
        <v>1</v>
      </c>
      <c r="AZ780">
        <f t="shared" ref="AZ780:AZ805" si="937">COUNTIF(V780:AC780,"&lt;&gt;0")</f>
        <v>1</v>
      </c>
      <c r="BA780">
        <f t="shared" ref="BA780:BA805" si="938">COUNTIF(AD780:AI780,"&lt;&gt;0")</f>
        <v>0</v>
      </c>
      <c r="BB780">
        <f t="shared" ref="BB780:BB805" si="939">COUNTIF(AJ780:AL780,"&lt;&gt;0")</f>
        <v>0</v>
      </c>
      <c r="BC780">
        <f t="shared" ref="BC780:BC805" si="940">COUNTIF(AS780:AW780,"&lt;&gt;0")</f>
        <v>0</v>
      </c>
      <c r="BD780">
        <f t="shared" ref="BD780:BD805" si="941">COUNTIF(AM780:AR780,"&lt;&gt;0")</f>
        <v>0</v>
      </c>
      <c r="BE780" t="str" cm="1">
        <f t="array" ref="BE780">IF(AY780=1,INDEX($V$7:$AL$7,MATCH(TRUE,INDEX($V780:$AW780&lt;&gt;0,),0)),IF(AY780=0,INDEX($AM$7:$AW$7,MATCH(1,$AM780:$AW780,0)),IF(BF780="Multiple strategies","mixed drivers",IF(BF780="Supply chain","multiple supply","multiple silviculture"))))</f>
        <v>area subject to harvest</v>
      </c>
      <c r="BF780" s="2" t="str" cm="1">
        <f t="array" ref="BF780">IF(COUNTIF(AZ780:BB780,"&lt;&gt;0")=1,INDEX($V$4:$AW$4,MATCH(TRUE,INDEX($V780:$AW780&lt;&gt;0,),0)),IF(COUNTIF(AZ780:BB780,"&lt;&gt;0")=0,INDEX($AM$4:$AW$4,MATCH(1,$AM780:$AW780,0)),"Multiple strategies"))</f>
        <v>Silviculture for removals</v>
      </c>
      <c r="BG780" s="142"/>
      <c r="BJ780" s="143"/>
      <c r="BL780" s="143"/>
      <c r="BM780" t="str">
        <f>IFERROR(BL780/BK780,"")</f>
        <v/>
      </c>
      <c r="BN780" s="158">
        <f>BL780-BK780</f>
        <v>0</v>
      </c>
      <c r="BO780" s="159">
        <f>BN780</f>
        <v>0</v>
      </c>
      <c r="BP780" s="155" t="s">
        <v>232</v>
      </c>
      <c r="BQ780" s="155" t="s">
        <v>429</v>
      </c>
      <c r="BR780" s="141" t="s">
        <v>784</v>
      </c>
      <c r="BS780" s="151">
        <v>649</v>
      </c>
      <c r="BT780" s="151">
        <v>-1716</v>
      </c>
      <c r="BU780" s="144">
        <f t="shared" ref="BU780:BU791" si="942">BT780/BS780</f>
        <v>-2.6440677966101696</v>
      </c>
      <c r="BV780">
        <f t="shared" ref="BV780:BV805" si="943">BT780-BS780</f>
        <v>-2365</v>
      </c>
      <c r="BX780">
        <f t="shared" ref="BX780:BX791" si="944">BV780</f>
        <v>-2365</v>
      </c>
      <c r="BY780" t="str">
        <f t="shared" si="902"/>
        <v/>
      </c>
      <c r="BZ780">
        <v>0</v>
      </c>
      <c r="CA780">
        <v>0</v>
      </c>
      <c r="CB780">
        <v>0</v>
      </c>
      <c r="CC780">
        <v>0</v>
      </c>
      <c r="CD780">
        <v>0</v>
      </c>
      <c r="CE780">
        <v>0</v>
      </c>
      <c r="CF780">
        <v>0</v>
      </c>
      <c r="CG780">
        <v>0</v>
      </c>
      <c r="CH780">
        <v>0</v>
      </c>
      <c r="CI780">
        <v>0</v>
      </c>
      <c r="CJ780">
        <v>0</v>
      </c>
      <c r="CK780">
        <v>0</v>
      </c>
      <c r="CL780">
        <v>0</v>
      </c>
      <c r="CM780">
        <v>0</v>
      </c>
      <c r="CN780" t="str">
        <f t="shared" ref="CN780:CN805" si="945">IF($BL780&lt;$BK780,"refNeedCorrection","refOK")</f>
        <v>refOK</v>
      </c>
      <c r="CO780">
        <f>IF($CN780="refOK",$BK780,$BL780)</f>
        <v>0</v>
      </c>
      <c r="CP780">
        <f>IF($CN780="refOK",$BL780,$BK780)</f>
        <v>0</v>
      </c>
      <c r="CQ780">
        <f>IF($CN780="refOK",$BO780,-$BO780)</f>
        <v>0</v>
      </c>
      <c r="CR780">
        <f t="shared" ref="CR780:CR805" si="946">IF($CN780="refOK",$BS780,$BT780)*IF($BP780="Emissions positive",-1,1)</f>
        <v>649</v>
      </c>
      <c r="CS780">
        <f t="shared" ref="CS780:CS805" si="947">IF($CN780="refOK",$BT780,$BS780)*IF($BP780="Emissions positive",-1,1)</f>
        <v>-1716</v>
      </c>
      <c r="CT780">
        <f t="shared" ref="CT780:CT805" si="948">IF($CN780="refNeedCorrection",-BX780,BX780)*IF($BP780="Emissions positive",-1,1)</f>
        <v>-2365</v>
      </c>
      <c r="CU780" t="str">
        <f t="shared" ref="CU780:CU805" si="949">IFERROR(CT780/CQ780,"")</f>
        <v/>
      </c>
      <c r="CV780" s="2">
        <f t="shared" ref="CV780:CV805" si="950">IFERROR((CS780-CR780)/ABS(CR780),"")</f>
        <v>-3.6440677966101696</v>
      </c>
      <c r="CW780" s="318" t="s">
        <v>234</v>
      </c>
      <c r="CX780" s="311" t="str">
        <f t="shared" ref="CX780:CX805" si="951">IF(OR($CW780="prd",$CW780="std",$CW780="cit"),"loc",IF(OR($CW780="eur",$CW780="reg",$CW780="coy"),"reg",$CW780))</f>
        <v>loc</v>
      </c>
      <c r="CY780" s="317" t="s">
        <v>444</v>
      </c>
      <c r="DA780" s="143"/>
      <c r="DB780" s="143">
        <v>240</v>
      </c>
      <c r="DC780" t="str">
        <f t="shared" ref="DC780:DC805" si="952">IF(DB780=0,"0",IF(AND(DB780&gt;=1,DB780&lt;=30),"1-30",IF(AND(DB780&gt;30,DB780&lt;=70),"31-70",IF(AND(DB780&gt;70,DB780&lt;=100),"71-100",IF(DB780&gt;100,"+100")))))</f>
        <v>+100</v>
      </c>
      <c r="DD780">
        <v>1</v>
      </c>
      <c r="DE780">
        <v>1</v>
      </c>
      <c r="DF780">
        <v>1</v>
      </c>
      <c r="DG780">
        <v>1</v>
      </c>
      <c r="DH780">
        <v>0</v>
      </c>
      <c r="DI780">
        <f>SUM(DD780:DH780)</f>
        <v>4</v>
      </c>
      <c r="DJ780" t="str">
        <f t="shared" ref="DJ780:DJ805" si="953">IF(DI780=1,INDEX($DD$7:$DG$7,MATCH(1,$DD780:$DG780,0)),"mixedProduct")</f>
        <v>mixedProduct</v>
      </c>
      <c r="DK780" t="str">
        <f t="shared" ref="DK780:DK805" si="954">IF(DD780=1,DK$7,0)</f>
        <v>Upstream</v>
      </c>
      <c r="DL780" t="str">
        <f t="shared" ref="DL780:DL805" si="955">IF(DE780=1,DL$7,0)</f>
        <v>Energy</v>
      </c>
      <c r="DM780" t="str">
        <f t="shared" ref="DM780:DM805" si="956">IF(DF780=1,DM$7,0)</f>
        <v>Pulp/Paper</v>
      </c>
      <c r="DN780" t="str">
        <f t="shared" ref="DN780:DN805" si="957">IF(DG780=1,DN$7,0)</f>
        <v>Timber</v>
      </c>
      <c r="DO780">
        <v>0</v>
      </c>
      <c r="DP780" s="143">
        <v>0</v>
      </c>
      <c r="DQ780" s="143">
        <v>0</v>
      </c>
      <c r="DR780">
        <v>0</v>
      </c>
      <c r="DS780" s="143">
        <v>0</v>
      </c>
      <c r="DT780">
        <f t="shared" ref="DT780:DT805" si="958">SUM(DO780:DP780)</f>
        <v>0</v>
      </c>
      <c r="DU780" s="143" t="str">
        <f t="shared" ref="DU780:DU805" si="959">IF(DO780=1,"self-calculated DF",IF(DP780=1,"external DF used","explicit C balance"))</f>
        <v>explicit C balance</v>
      </c>
      <c r="DV780" s="143">
        <v>0</v>
      </c>
      <c r="DW780" s="143">
        <v>1</v>
      </c>
      <c r="DX780" s="143">
        <v>1</v>
      </c>
      <c r="DY780" s="143">
        <v>1</v>
      </c>
      <c r="DZ780">
        <v>0</v>
      </c>
      <c r="EA780" s="143">
        <v>0</v>
      </c>
      <c r="EB780" s="143">
        <v>0</v>
      </c>
      <c r="EC780" s="143">
        <v>0</v>
      </c>
      <c r="ED780" s="143">
        <v>0</v>
      </c>
      <c r="EE780">
        <v>0</v>
      </c>
      <c r="EF780">
        <v>1</v>
      </c>
      <c r="EG780" s="143">
        <v>0</v>
      </c>
      <c r="EH780" s="143">
        <v>0</v>
      </c>
      <c r="EI780" s="2">
        <v>0</v>
      </c>
      <c r="EK780" t="str">
        <f t="shared" si="933"/>
        <v/>
      </c>
      <c r="EL780" t="str">
        <f t="shared" si="934"/>
        <v>Ecosystem approach</v>
      </c>
      <c r="EM780" s="2" t="str">
        <f t="shared" si="903"/>
        <v/>
      </c>
      <c r="EN780" s="311" t="s">
        <v>3679</v>
      </c>
      <c r="EP780" t="b">
        <f>IF(ISNUMBER(BU780),IF(ABS(BU780-[1]QC_indicators!$B$2)&gt;3*[1]QC_indicators!$C$2,"C ratio",IF(ISNUMBER(BY780),IF(ABS(BY780-[1]QC_indicators!$B$1)&gt;3*[1]QC_indicators!$C$1,"DF","no"))),IF(ISNUMBER(BY780),IF(ABS(BY780-[1]QC_indicators!$B$1)&gt;3*[1]QC_indicators!$C$1,"DF","no")))</f>
        <v>0</v>
      </c>
    </row>
    <row r="781" spans="1:150" ht="15" hidden="1" customHeight="1">
      <c r="A781" s="318" t="s">
        <v>781</v>
      </c>
      <c r="D781" t="s">
        <v>3672</v>
      </c>
      <c r="E781" s="311" t="s">
        <v>3673</v>
      </c>
      <c r="F781" s="311" t="s">
        <v>3674</v>
      </c>
      <c r="G781" t="s">
        <v>782</v>
      </c>
      <c r="I781">
        <v>2014</v>
      </c>
      <c r="J781">
        <v>34</v>
      </c>
      <c r="K781" s="295" t="s">
        <v>3675</v>
      </c>
      <c r="M781" t="str">
        <f t="shared" si="905"/>
        <v>Haus_2014</v>
      </c>
      <c r="N781" s="311" t="s">
        <v>4382</v>
      </c>
      <c r="O781" s="157" t="s">
        <v>223</v>
      </c>
      <c r="P781" t="s">
        <v>223</v>
      </c>
      <c r="Q781" s="311" t="s">
        <v>389</v>
      </c>
      <c r="R781" s="312"/>
      <c r="S781" s="154" t="s">
        <v>3676</v>
      </c>
      <c r="T781" s="313" t="s">
        <v>3677</v>
      </c>
      <c r="U781" s="143" t="s">
        <v>3678</v>
      </c>
      <c r="V781">
        <v>1</v>
      </c>
      <c r="W781">
        <v>0</v>
      </c>
      <c r="X781">
        <v>0</v>
      </c>
      <c r="Y781">
        <v>0</v>
      </c>
      <c r="Z781">
        <v>0</v>
      </c>
      <c r="AA781">
        <v>0</v>
      </c>
      <c r="AB781">
        <v>0</v>
      </c>
      <c r="AC781">
        <v>0</v>
      </c>
      <c r="AD781">
        <v>0</v>
      </c>
      <c r="AE781">
        <v>0</v>
      </c>
      <c r="AF781">
        <v>0</v>
      </c>
      <c r="AG781">
        <v>0</v>
      </c>
      <c r="AH781">
        <v>0</v>
      </c>
      <c r="AI781">
        <v>0</v>
      </c>
      <c r="AJ781">
        <v>0</v>
      </c>
      <c r="AK781">
        <v>0</v>
      </c>
      <c r="AL781">
        <v>0</v>
      </c>
      <c r="AM781">
        <v>0</v>
      </c>
      <c r="AN781">
        <v>0</v>
      </c>
      <c r="AO781">
        <v>0</v>
      </c>
      <c r="AP781">
        <v>0</v>
      </c>
      <c r="AQ781">
        <v>0</v>
      </c>
      <c r="AR781">
        <v>0</v>
      </c>
      <c r="AS781">
        <v>0</v>
      </c>
      <c r="AT781">
        <v>0</v>
      </c>
      <c r="AU781">
        <v>0</v>
      </c>
      <c r="AV781">
        <v>0</v>
      </c>
      <c r="AW781">
        <v>0</v>
      </c>
      <c r="AX781" s="141">
        <f t="shared" si="935"/>
        <v>1</v>
      </c>
      <c r="AY781" s="141">
        <f t="shared" si="936"/>
        <v>1</v>
      </c>
      <c r="AZ781">
        <f t="shared" si="937"/>
        <v>1</v>
      </c>
      <c r="BA781">
        <f t="shared" si="938"/>
        <v>0</v>
      </c>
      <c r="BB781">
        <f t="shared" si="939"/>
        <v>0</v>
      </c>
      <c r="BC781">
        <f t="shared" si="940"/>
        <v>0</v>
      </c>
      <c r="BD781">
        <f t="shared" si="941"/>
        <v>0</v>
      </c>
      <c r="BE781" t="str" cm="1">
        <f t="array" ref="BE781">IF(AY781=1,INDEX($V$7:$AL$7,MATCH(TRUE,INDEX($V781:$AW781&lt;&gt;0,),0)),IF(AY781=0,INDEX($AM$7:$AW$7,MATCH(1,$AM781:$AW781,0)),IF(BF781="Multiple strategies","mixed drivers",IF(BF781="Supply chain","multiple supply","multiple silviculture"))))</f>
        <v>area subject to harvest</v>
      </c>
      <c r="BF781" s="2" t="str" cm="1">
        <f t="array" ref="BF781">IF(COUNTIF(AZ781:BB781,"&lt;&gt;0")=1,INDEX($V$4:$AW$4,MATCH(TRUE,INDEX($V781:$AW781&lt;&gt;0,),0)),IF(COUNTIF(AZ781:BB781,"&lt;&gt;0")=0,INDEX($AM$4:$AW$4,MATCH(1,$AM781:$AW781,0)),"Multiple strategies"))</f>
        <v>Silviculture for removals</v>
      </c>
      <c r="BG781" s="142"/>
      <c r="BJ781" s="143"/>
      <c r="BL781" s="143"/>
      <c r="BN781" s="158"/>
      <c r="BO781" s="159"/>
      <c r="BP781" s="155" t="s">
        <v>232</v>
      </c>
      <c r="BQ781" s="155" t="s">
        <v>783</v>
      </c>
      <c r="BR781" s="141" t="s">
        <v>784</v>
      </c>
      <c r="BS781" s="151">
        <v>608</v>
      </c>
      <c r="BT781" s="151">
        <v>328</v>
      </c>
      <c r="BU781" s="144">
        <f t="shared" si="942"/>
        <v>0.53947368421052633</v>
      </c>
      <c r="BV781">
        <f t="shared" si="943"/>
        <v>-280</v>
      </c>
      <c r="BX781">
        <f t="shared" si="944"/>
        <v>-280</v>
      </c>
      <c r="BY781" t="str">
        <f t="shared" si="902"/>
        <v/>
      </c>
      <c r="BZ781">
        <v>0</v>
      </c>
      <c r="CA781">
        <v>0</v>
      </c>
      <c r="CB781">
        <v>0</v>
      </c>
      <c r="CC781">
        <v>0</v>
      </c>
      <c r="CD781">
        <v>0</v>
      </c>
      <c r="CE781">
        <v>0</v>
      </c>
      <c r="CF781">
        <v>0</v>
      </c>
      <c r="CG781">
        <v>0</v>
      </c>
      <c r="CH781">
        <v>0</v>
      </c>
      <c r="CI781">
        <v>0</v>
      </c>
      <c r="CJ781">
        <v>0</v>
      </c>
      <c r="CK781">
        <v>0</v>
      </c>
      <c r="CL781">
        <v>0</v>
      </c>
      <c r="CM781">
        <v>0</v>
      </c>
      <c r="CN781" t="str">
        <f t="shared" si="945"/>
        <v>refOK</v>
      </c>
      <c r="CO781"/>
      <c r="CP781"/>
      <c r="CQ781"/>
      <c r="CR781">
        <f t="shared" si="946"/>
        <v>608</v>
      </c>
      <c r="CS781">
        <f t="shared" si="947"/>
        <v>328</v>
      </c>
      <c r="CT781">
        <f t="shared" si="948"/>
        <v>-280</v>
      </c>
      <c r="CU781" t="str">
        <f t="shared" si="949"/>
        <v/>
      </c>
      <c r="CV781" s="2">
        <f t="shared" si="950"/>
        <v>-0.46052631578947367</v>
      </c>
      <c r="CW781" s="318" t="s">
        <v>234</v>
      </c>
      <c r="CX781" s="311" t="str">
        <f t="shared" si="951"/>
        <v>loc</v>
      </c>
      <c r="CY781" s="317" t="s">
        <v>444</v>
      </c>
      <c r="DA781" s="143"/>
      <c r="DB781" s="143">
        <v>69</v>
      </c>
      <c r="DC781" t="str">
        <f t="shared" si="952"/>
        <v>31-70</v>
      </c>
      <c r="DD781">
        <v>1</v>
      </c>
      <c r="DE781">
        <v>1</v>
      </c>
      <c r="DF781">
        <v>1</v>
      </c>
      <c r="DG781">
        <v>1</v>
      </c>
      <c r="DH781">
        <v>0</v>
      </c>
      <c r="DI781">
        <f t="shared" ref="DI781:DI805" si="960">SUM(DD781:DG781)</f>
        <v>4</v>
      </c>
      <c r="DJ781" t="str">
        <f t="shared" si="953"/>
        <v>mixedProduct</v>
      </c>
      <c r="DK781" t="str">
        <f t="shared" si="954"/>
        <v>Upstream</v>
      </c>
      <c r="DL781" t="str">
        <f t="shared" si="955"/>
        <v>Energy</v>
      </c>
      <c r="DM781" t="str">
        <f t="shared" si="956"/>
        <v>Pulp/Paper</v>
      </c>
      <c r="DN781" t="str">
        <f t="shared" si="957"/>
        <v>Timber</v>
      </c>
      <c r="DO781">
        <v>0</v>
      </c>
      <c r="DP781" s="143">
        <v>0</v>
      </c>
      <c r="DQ781" s="143">
        <v>0</v>
      </c>
      <c r="DR781">
        <v>0</v>
      </c>
      <c r="DS781" s="143">
        <v>0</v>
      </c>
      <c r="DT781">
        <f t="shared" si="958"/>
        <v>0</v>
      </c>
      <c r="DU781" s="143" t="str">
        <f t="shared" si="959"/>
        <v>explicit C balance</v>
      </c>
      <c r="DV781" s="143">
        <v>0</v>
      </c>
      <c r="DW781" s="143">
        <v>1</v>
      </c>
      <c r="DX781" s="143">
        <v>1</v>
      </c>
      <c r="DY781" s="143">
        <v>1</v>
      </c>
      <c r="DZ781">
        <v>0</v>
      </c>
      <c r="EA781" s="143">
        <v>0</v>
      </c>
      <c r="EB781" s="143">
        <v>0</v>
      </c>
      <c r="EC781" s="143">
        <v>0</v>
      </c>
      <c r="ED781" s="143">
        <v>0</v>
      </c>
      <c r="EE781">
        <v>0</v>
      </c>
      <c r="EF781">
        <v>1</v>
      </c>
      <c r="EG781" s="143">
        <v>0</v>
      </c>
      <c r="EH781" s="143">
        <v>0</v>
      </c>
      <c r="EI781" s="2">
        <v>0</v>
      </c>
      <c r="EK781" t="str">
        <f t="shared" si="933"/>
        <v/>
      </c>
      <c r="EL781" t="str">
        <f t="shared" si="934"/>
        <v>Ecosystem approach</v>
      </c>
      <c r="EM781" s="2" t="str">
        <f t="shared" si="903"/>
        <v/>
      </c>
      <c r="EN781" s="311" t="s">
        <v>3679</v>
      </c>
      <c r="EP781" t="b">
        <f>IF(ISNUMBER(BU781),IF(ABS(BU781-[1]QC_indicators!$B$2)&gt;3*[1]QC_indicators!$C$2,"C ratio",IF(ISNUMBER(BY781),IF(ABS(BY781-[1]QC_indicators!$B$1)&gt;3*[1]QC_indicators!$C$1,"DF","no"))),IF(ISNUMBER(BY781),IF(ABS(BY781-[1]QC_indicators!$B$1)&gt;3*[1]QC_indicators!$C$1,"DF","no")))</f>
        <v>0</v>
      </c>
    </row>
    <row r="782" spans="1:150" ht="15" hidden="1" customHeight="1">
      <c r="A782" s="318" t="s">
        <v>781</v>
      </c>
      <c r="D782" t="s">
        <v>3672</v>
      </c>
      <c r="E782" s="311" t="s">
        <v>3673</v>
      </c>
      <c r="F782" s="311" t="s">
        <v>3674</v>
      </c>
      <c r="G782" t="s">
        <v>782</v>
      </c>
      <c r="I782">
        <v>2014</v>
      </c>
      <c r="J782">
        <v>34</v>
      </c>
      <c r="K782" s="295" t="s">
        <v>3675</v>
      </c>
      <c r="M782" t="str">
        <f t="shared" si="905"/>
        <v>Haus_2014</v>
      </c>
      <c r="N782" s="311" t="s">
        <v>4382</v>
      </c>
      <c r="O782" s="157" t="s">
        <v>223</v>
      </c>
      <c r="P782" t="s">
        <v>223</v>
      </c>
      <c r="Q782" s="311" t="s">
        <v>389</v>
      </c>
      <c r="R782" s="312"/>
      <c r="S782" s="154" t="s">
        <v>3676</v>
      </c>
      <c r="T782" s="313" t="s">
        <v>3680</v>
      </c>
      <c r="U782" s="143" t="s">
        <v>3678</v>
      </c>
      <c r="V782">
        <v>1</v>
      </c>
      <c r="W782">
        <v>0</v>
      </c>
      <c r="X782">
        <v>0</v>
      </c>
      <c r="Y782">
        <v>0</v>
      </c>
      <c r="Z782">
        <v>0</v>
      </c>
      <c r="AA782">
        <v>0</v>
      </c>
      <c r="AB782">
        <v>0</v>
      </c>
      <c r="AC782">
        <v>0</v>
      </c>
      <c r="AD782">
        <v>0</v>
      </c>
      <c r="AE782">
        <v>0</v>
      </c>
      <c r="AF782">
        <v>0</v>
      </c>
      <c r="AG782">
        <v>0</v>
      </c>
      <c r="AH782">
        <v>0</v>
      </c>
      <c r="AI782">
        <v>0</v>
      </c>
      <c r="AJ782">
        <v>0</v>
      </c>
      <c r="AK782">
        <v>0</v>
      </c>
      <c r="AL782">
        <v>0</v>
      </c>
      <c r="AM782">
        <v>0</v>
      </c>
      <c r="AN782">
        <v>0</v>
      </c>
      <c r="AO782">
        <v>0</v>
      </c>
      <c r="AP782">
        <v>0</v>
      </c>
      <c r="AQ782">
        <v>0</v>
      </c>
      <c r="AR782">
        <v>0</v>
      </c>
      <c r="AS782">
        <v>0</v>
      </c>
      <c r="AT782">
        <v>0</v>
      </c>
      <c r="AU782">
        <v>0</v>
      </c>
      <c r="AV782">
        <v>0</v>
      </c>
      <c r="AW782">
        <v>0</v>
      </c>
      <c r="AX782" s="141">
        <f t="shared" si="935"/>
        <v>1</v>
      </c>
      <c r="AY782" s="141">
        <f t="shared" si="936"/>
        <v>1</v>
      </c>
      <c r="AZ782">
        <f t="shared" si="937"/>
        <v>1</v>
      </c>
      <c r="BA782">
        <f t="shared" si="938"/>
        <v>0</v>
      </c>
      <c r="BB782">
        <f t="shared" si="939"/>
        <v>0</v>
      </c>
      <c r="BC782">
        <f t="shared" si="940"/>
        <v>0</v>
      </c>
      <c r="BD782">
        <f t="shared" si="941"/>
        <v>0</v>
      </c>
      <c r="BE782" t="str" cm="1">
        <f t="array" ref="BE782">IF(AY782=1,INDEX($V$7:$AL$7,MATCH(TRUE,INDEX($V782:$AW782&lt;&gt;0,),0)),IF(AY782=0,INDEX($AM$7:$AW$7,MATCH(1,$AM782:$AW782,0)),IF(BF782="Multiple strategies","mixed drivers",IF(BF782="Supply chain","multiple supply","multiple silviculture"))))</f>
        <v>area subject to harvest</v>
      </c>
      <c r="BF782" s="2" t="str" cm="1">
        <f t="array" ref="BF782">IF(COUNTIF(AZ782:BB782,"&lt;&gt;0")=1,INDEX($V$4:$AW$4,MATCH(TRUE,INDEX($V782:$AW782&lt;&gt;0,),0)),IF(COUNTIF(AZ782:BB782,"&lt;&gt;0")=0,INDEX($AM$4:$AW$4,MATCH(1,$AM782:$AW782,0)),"Multiple strategies"))</f>
        <v>Silviculture for removals</v>
      </c>
      <c r="BG782" s="142"/>
      <c r="BJ782" s="143"/>
      <c r="BL782" s="143"/>
      <c r="BN782" s="158"/>
      <c r="BO782" s="159"/>
      <c r="BP782" s="155" t="s">
        <v>232</v>
      </c>
      <c r="BQ782" s="155" t="s">
        <v>689</v>
      </c>
      <c r="BR782" s="141" t="s">
        <v>784</v>
      </c>
      <c r="BS782" s="151">
        <v>766</v>
      </c>
      <c r="BT782" s="151">
        <v>328</v>
      </c>
      <c r="BU782" s="144">
        <f t="shared" si="942"/>
        <v>0.42819843342036551</v>
      </c>
      <c r="BV782">
        <f t="shared" si="943"/>
        <v>-438</v>
      </c>
      <c r="BX782">
        <f t="shared" si="944"/>
        <v>-438</v>
      </c>
      <c r="BY782" t="str">
        <f t="shared" si="902"/>
        <v/>
      </c>
      <c r="BZ782">
        <v>0</v>
      </c>
      <c r="CA782">
        <v>0</v>
      </c>
      <c r="CB782">
        <v>0</v>
      </c>
      <c r="CC782">
        <v>0</v>
      </c>
      <c r="CD782">
        <v>0</v>
      </c>
      <c r="CE782">
        <v>0</v>
      </c>
      <c r="CF782">
        <v>0</v>
      </c>
      <c r="CG782">
        <v>0</v>
      </c>
      <c r="CH782">
        <v>0</v>
      </c>
      <c r="CI782">
        <v>0</v>
      </c>
      <c r="CJ782">
        <v>0</v>
      </c>
      <c r="CK782">
        <v>0</v>
      </c>
      <c r="CL782">
        <v>0</v>
      </c>
      <c r="CM782">
        <v>0</v>
      </c>
      <c r="CN782" t="str">
        <f t="shared" si="945"/>
        <v>refOK</v>
      </c>
      <c r="CO782"/>
      <c r="CP782"/>
      <c r="CQ782"/>
      <c r="CR782">
        <f t="shared" si="946"/>
        <v>766</v>
      </c>
      <c r="CS782">
        <f t="shared" si="947"/>
        <v>328</v>
      </c>
      <c r="CT782">
        <f t="shared" si="948"/>
        <v>-438</v>
      </c>
      <c r="CU782" t="str">
        <f t="shared" si="949"/>
        <v/>
      </c>
      <c r="CV782" s="2">
        <f t="shared" si="950"/>
        <v>-0.57180156657963443</v>
      </c>
      <c r="CW782" s="318" t="s">
        <v>234</v>
      </c>
      <c r="CX782" s="311" t="str">
        <f t="shared" si="951"/>
        <v>loc</v>
      </c>
      <c r="CY782" s="317" t="s">
        <v>444</v>
      </c>
      <c r="DA782" s="143"/>
      <c r="DB782" s="143">
        <v>69</v>
      </c>
      <c r="DC782" t="str">
        <f t="shared" si="952"/>
        <v>31-70</v>
      </c>
      <c r="DD782">
        <v>1</v>
      </c>
      <c r="DE782">
        <v>1</v>
      </c>
      <c r="DF782">
        <v>1</v>
      </c>
      <c r="DG782">
        <v>1</v>
      </c>
      <c r="DH782">
        <v>0</v>
      </c>
      <c r="DI782">
        <f t="shared" si="960"/>
        <v>4</v>
      </c>
      <c r="DJ782" t="str">
        <f t="shared" si="953"/>
        <v>mixedProduct</v>
      </c>
      <c r="DK782" t="str">
        <f t="shared" si="954"/>
        <v>Upstream</v>
      </c>
      <c r="DL782" t="str">
        <f t="shared" si="955"/>
        <v>Energy</v>
      </c>
      <c r="DM782" t="str">
        <f t="shared" si="956"/>
        <v>Pulp/Paper</v>
      </c>
      <c r="DN782" t="str">
        <f t="shared" si="957"/>
        <v>Timber</v>
      </c>
      <c r="DO782">
        <v>0</v>
      </c>
      <c r="DP782" s="143">
        <v>0</v>
      </c>
      <c r="DQ782" s="143">
        <v>0</v>
      </c>
      <c r="DR782">
        <v>0</v>
      </c>
      <c r="DS782" s="143">
        <v>0</v>
      </c>
      <c r="DT782">
        <f t="shared" si="958"/>
        <v>0</v>
      </c>
      <c r="DU782" s="143" t="str">
        <f t="shared" si="959"/>
        <v>explicit C balance</v>
      </c>
      <c r="DV782" s="143">
        <v>0</v>
      </c>
      <c r="DW782" s="143">
        <v>1</v>
      </c>
      <c r="DX782" s="143">
        <v>1</v>
      </c>
      <c r="DY782" s="143">
        <v>1</v>
      </c>
      <c r="DZ782">
        <v>0</v>
      </c>
      <c r="EA782" s="143">
        <v>0</v>
      </c>
      <c r="EB782" s="143">
        <v>0</v>
      </c>
      <c r="EC782" s="143">
        <v>0</v>
      </c>
      <c r="ED782" s="143">
        <v>0</v>
      </c>
      <c r="EE782">
        <v>0</v>
      </c>
      <c r="EF782">
        <v>1</v>
      </c>
      <c r="EG782" s="143">
        <v>0</v>
      </c>
      <c r="EH782" s="143">
        <v>0</v>
      </c>
      <c r="EI782" s="2">
        <v>0</v>
      </c>
      <c r="EK782" t="str">
        <f t="shared" si="933"/>
        <v/>
      </c>
      <c r="EL782" t="str">
        <f t="shared" si="934"/>
        <v>Ecosystem approach</v>
      </c>
      <c r="EM782" s="2" t="str">
        <f t="shared" si="903"/>
        <v/>
      </c>
      <c r="EN782" s="311" t="s">
        <v>3679</v>
      </c>
      <c r="EP782" t="b">
        <f>IF(ISNUMBER(BU782),IF(ABS(BU782-[1]QC_indicators!$B$2)&gt;3*[1]QC_indicators!$C$2,"C ratio",IF(ISNUMBER(BY782),IF(ABS(BY782-[1]QC_indicators!$B$1)&gt;3*[1]QC_indicators!$C$1,"DF","no"))),IF(ISNUMBER(BY782),IF(ABS(BY782-[1]QC_indicators!$B$1)&gt;3*[1]QC_indicators!$C$1,"DF","no")))</f>
        <v>0</v>
      </c>
    </row>
    <row r="783" spans="1:150" ht="15" hidden="1" customHeight="1">
      <c r="A783" s="318" t="s">
        <v>781</v>
      </c>
      <c r="D783" t="s">
        <v>3672</v>
      </c>
      <c r="E783" s="311" t="s">
        <v>3673</v>
      </c>
      <c r="F783" s="311" t="s">
        <v>3674</v>
      </c>
      <c r="G783" t="s">
        <v>782</v>
      </c>
      <c r="I783">
        <v>2014</v>
      </c>
      <c r="J783">
        <v>34</v>
      </c>
      <c r="K783" s="295" t="s">
        <v>3675</v>
      </c>
      <c r="M783" t="str">
        <f t="shared" si="905"/>
        <v>Haus_2014</v>
      </c>
      <c r="N783" s="311" t="s">
        <v>4382</v>
      </c>
      <c r="O783" s="157" t="s">
        <v>223</v>
      </c>
      <c r="P783" t="s">
        <v>223</v>
      </c>
      <c r="Q783" s="311" t="s">
        <v>389</v>
      </c>
      <c r="R783" s="312"/>
      <c r="S783" s="154" t="s">
        <v>3676</v>
      </c>
      <c r="T783" s="313" t="s">
        <v>3680</v>
      </c>
      <c r="U783" s="143" t="s">
        <v>3678</v>
      </c>
      <c r="V783">
        <v>1</v>
      </c>
      <c r="W783">
        <v>0</v>
      </c>
      <c r="X783">
        <v>0</v>
      </c>
      <c r="Y783">
        <v>0</v>
      </c>
      <c r="Z783">
        <v>0</v>
      </c>
      <c r="AA783">
        <v>0</v>
      </c>
      <c r="AB783">
        <v>0</v>
      </c>
      <c r="AC783">
        <v>0</v>
      </c>
      <c r="AD783">
        <v>0</v>
      </c>
      <c r="AE783">
        <v>0</v>
      </c>
      <c r="AF783">
        <v>0</v>
      </c>
      <c r="AG783">
        <v>0</v>
      </c>
      <c r="AH783">
        <v>0</v>
      </c>
      <c r="AI783">
        <v>0</v>
      </c>
      <c r="AJ783">
        <v>0</v>
      </c>
      <c r="AK783">
        <v>0</v>
      </c>
      <c r="AL783">
        <v>0</v>
      </c>
      <c r="AM783">
        <v>0</v>
      </c>
      <c r="AN783">
        <v>0</v>
      </c>
      <c r="AO783">
        <v>0</v>
      </c>
      <c r="AP783">
        <v>0</v>
      </c>
      <c r="AQ783">
        <v>0</v>
      </c>
      <c r="AR783">
        <v>0</v>
      </c>
      <c r="AS783">
        <v>0</v>
      </c>
      <c r="AT783">
        <v>0</v>
      </c>
      <c r="AU783">
        <v>0</v>
      </c>
      <c r="AV783">
        <v>0</v>
      </c>
      <c r="AW783">
        <v>0</v>
      </c>
      <c r="AX783" s="141">
        <f t="shared" si="935"/>
        <v>1</v>
      </c>
      <c r="AY783" s="141">
        <f t="shared" si="936"/>
        <v>1</v>
      </c>
      <c r="AZ783">
        <f t="shared" si="937"/>
        <v>1</v>
      </c>
      <c r="BA783">
        <f t="shared" si="938"/>
        <v>0</v>
      </c>
      <c r="BB783">
        <f t="shared" si="939"/>
        <v>0</v>
      </c>
      <c r="BC783">
        <f t="shared" si="940"/>
        <v>0</v>
      </c>
      <c r="BD783">
        <f t="shared" si="941"/>
        <v>0</v>
      </c>
      <c r="BE783" t="str" cm="1">
        <f t="array" ref="BE783">IF(AY783=1,INDEX($V$7:$AL$7,MATCH(TRUE,INDEX($V783:$AW783&lt;&gt;0,),0)),IF(AY783=0,INDEX($AM$7:$AW$7,MATCH(1,$AM783:$AW783,0)),IF(BF783="Multiple strategies","mixed drivers",IF(BF783="Supply chain","multiple supply","multiple silviculture"))))</f>
        <v>area subject to harvest</v>
      </c>
      <c r="BF783" s="2" t="str" cm="1">
        <f t="array" ref="BF783">IF(COUNTIF(AZ783:BB783,"&lt;&gt;0")=1,INDEX($V$4:$AW$4,MATCH(TRUE,INDEX($V783:$AW783&lt;&gt;0,),0)),IF(COUNTIF(AZ783:BB783,"&lt;&gt;0")=0,INDEX($AM$4:$AW$4,MATCH(1,$AM783:$AW783,0)),"Multiple strategies"))</f>
        <v>Silviculture for removals</v>
      </c>
      <c r="BG783" s="142"/>
      <c r="BJ783" s="143"/>
      <c r="BL783" s="143"/>
      <c r="BN783" s="158"/>
      <c r="BO783" s="159"/>
      <c r="BP783" s="155" t="s">
        <v>232</v>
      </c>
      <c r="BQ783" s="155" t="s">
        <v>429</v>
      </c>
      <c r="BR783" s="141" t="s">
        <v>784</v>
      </c>
      <c r="BS783" s="151">
        <v>992</v>
      </c>
      <c r="BT783" s="151">
        <v>-852</v>
      </c>
      <c r="BU783" s="144">
        <f t="shared" si="942"/>
        <v>-0.8588709677419355</v>
      </c>
      <c r="BV783">
        <f t="shared" si="943"/>
        <v>-1844</v>
      </c>
      <c r="BX783">
        <f t="shared" si="944"/>
        <v>-1844</v>
      </c>
      <c r="BY783" t="str">
        <f t="shared" si="902"/>
        <v/>
      </c>
      <c r="BZ783">
        <v>0</v>
      </c>
      <c r="CA783">
        <v>0</v>
      </c>
      <c r="CB783">
        <v>0</v>
      </c>
      <c r="CC783">
        <v>0</v>
      </c>
      <c r="CD783">
        <v>0</v>
      </c>
      <c r="CE783">
        <v>0</v>
      </c>
      <c r="CF783">
        <v>0</v>
      </c>
      <c r="CG783">
        <v>0</v>
      </c>
      <c r="CH783">
        <v>0</v>
      </c>
      <c r="CI783">
        <v>0</v>
      </c>
      <c r="CJ783">
        <v>0</v>
      </c>
      <c r="CK783">
        <v>0</v>
      </c>
      <c r="CL783">
        <v>0</v>
      </c>
      <c r="CM783">
        <v>0</v>
      </c>
      <c r="CN783" t="str">
        <f t="shared" si="945"/>
        <v>refOK</v>
      </c>
      <c r="CO783"/>
      <c r="CP783"/>
      <c r="CQ783"/>
      <c r="CR783">
        <f t="shared" si="946"/>
        <v>992</v>
      </c>
      <c r="CS783">
        <f t="shared" si="947"/>
        <v>-852</v>
      </c>
      <c r="CT783">
        <f t="shared" si="948"/>
        <v>-1844</v>
      </c>
      <c r="CU783" t="str">
        <f t="shared" si="949"/>
        <v/>
      </c>
      <c r="CV783" s="2">
        <f t="shared" si="950"/>
        <v>-1.8588709677419355</v>
      </c>
      <c r="CW783" s="318" t="s">
        <v>234</v>
      </c>
      <c r="CX783" s="311" t="str">
        <f t="shared" si="951"/>
        <v>loc</v>
      </c>
      <c r="CY783" s="317" t="s">
        <v>444</v>
      </c>
      <c r="DA783" s="143"/>
      <c r="DB783" s="143">
        <v>240</v>
      </c>
      <c r="DC783" t="str">
        <f t="shared" si="952"/>
        <v>+100</v>
      </c>
      <c r="DD783">
        <v>1</v>
      </c>
      <c r="DE783">
        <v>1</v>
      </c>
      <c r="DF783">
        <v>1</v>
      </c>
      <c r="DG783">
        <v>1</v>
      </c>
      <c r="DH783">
        <v>0</v>
      </c>
      <c r="DI783">
        <f t="shared" si="960"/>
        <v>4</v>
      </c>
      <c r="DJ783" t="str">
        <f t="shared" si="953"/>
        <v>mixedProduct</v>
      </c>
      <c r="DK783" t="str">
        <f t="shared" si="954"/>
        <v>Upstream</v>
      </c>
      <c r="DL783" t="str">
        <f t="shared" si="955"/>
        <v>Energy</v>
      </c>
      <c r="DM783" t="str">
        <f t="shared" si="956"/>
        <v>Pulp/Paper</v>
      </c>
      <c r="DN783" t="str">
        <f t="shared" si="957"/>
        <v>Timber</v>
      </c>
      <c r="DO783">
        <v>0</v>
      </c>
      <c r="DP783" s="143">
        <v>0</v>
      </c>
      <c r="DQ783" s="143">
        <v>0</v>
      </c>
      <c r="DR783">
        <v>0</v>
      </c>
      <c r="DS783" s="143">
        <v>0</v>
      </c>
      <c r="DT783">
        <f t="shared" si="958"/>
        <v>0</v>
      </c>
      <c r="DU783" s="143" t="str">
        <f t="shared" si="959"/>
        <v>explicit C balance</v>
      </c>
      <c r="DV783" s="143">
        <v>0</v>
      </c>
      <c r="DW783" s="143">
        <v>1</v>
      </c>
      <c r="DX783" s="143">
        <v>1</v>
      </c>
      <c r="DY783" s="143">
        <v>1</v>
      </c>
      <c r="DZ783">
        <v>0</v>
      </c>
      <c r="EA783" s="143">
        <v>0</v>
      </c>
      <c r="EB783" s="143">
        <v>0</v>
      </c>
      <c r="EC783" s="143">
        <v>0</v>
      </c>
      <c r="ED783" s="143">
        <v>0</v>
      </c>
      <c r="EE783">
        <v>0</v>
      </c>
      <c r="EF783">
        <v>1</v>
      </c>
      <c r="EG783" s="143">
        <v>0</v>
      </c>
      <c r="EH783" s="143">
        <v>0</v>
      </c>
      <c r="EI783" s="2">
        <v>0</v>
      </c>
      <c r="EK783" t="str">
        <f t="shared" si="933"/>
        <v/>
      </c>
      <c r="EL783" t="str">
        <f t="shared" si="934"/>
        <v>Ecosystem approach</v>
      </c>
      <c r="EM783" s="2" t="str">
        <f t="shared" si="903"/>
        <v/>
      </c>
      <c r="EN783" s="311" t="s">
        <v>3679</v>
      </c>
      <c r="EP783" t="b">
        <f>IF(ISNUMBER(BU783),IF(ABS(BU783-[1]QC_indicators!$B$2)&gt;3*[1]QC_indicators!$C$2,"C ratio",IF(ISNUMBER(BY783),IF(ABS(BY783-[1]QC_indicators!$B$1)&gt;3*[1]QC_indicators!$C$1,"DF","no"))),IF(ISNUMBER(BY783),IF(ABS(BY783-[1]QC_indicators!$B$1)&gt;3*[1]QC_indicators!$C$1,"DF","no")))</f>
        <v>0</v>
      </c>
    </row>
    <row r="784" spans="1:150" ht="15" hidden="1" customHeight="1">
      <c r="A784" s="318" t="s">
        <v>781</v>
      </c>
      <c r="D784" t="s">
        <v>3672</v>
      </c>
      <c r="E784" s="311" t="s">
        <v>3673</v>
      </c>
      <c r="F784" s="311" t="s">
        <v>3674</v>
      </c>
      <c r="G784" t="s">
        <v>782</v>
      </c>
      <c r="I784">
        <v>2014</v>
      </c>
      <c r="J784">
        <v>34</v>
      </c>
      <c r="K784" s="295" t="s">
        <v>3675</v>
      </c>
      <c r="M784" t="str">
        <f t="shared" si="905"/>
        <v>Haus_2014</v>
      </c>
      <c r="N784" s="311" t="s">
        <v>4382</v>
      </c>
      <c r="O784" s="157" t="s">
        <v>223</v>
      </c>
      <c r="P784" t="s">
        <v>223</v>
      </c>
      <c r="Q784" s="311" t="s">
        <v>389</v>
      </c>
      <c r="R784" s="312"/>
      <c r="S784" s="154" t="s">
        <v>3676</v>
      </c>
      <c r="T784" s="313" t="s">
        <v>3680</v>
      </c>
      <c r="U784" s="143" t="s">
        <v>3678</v>
      </c>
      <c r="V784">
        <v>1</v>
      </c>
      <c r="W784">
        <v>0</v>
      </c>
      <c r="X784">
        <v>0</v>
      </c>
      <c r="Y784">
        <v>0</v>
      </c>
      <c r="Z784">
        <v>0</v>
      </c>
      <c r="AA784">
        <v>0</v>
      </c>
      <c r="AB784">
        <v>0</v>
      </c>
      <c r="AC784">
        <v>0</v>
      </c>
      <c r="AD784">
        <v>0</v>
      </c>
      <c r="AE784">
        <v>0</v>
      </c>
      <c r="AF784">
        <v>0</v>
      </c>
      <c r="AG784">
        <v>0</v>
      </c>
      <c r="AH784">
        <v>0</v>
      </c>
      <c r="AI784">
        <v>0</v>
      </c>
      <c r="AJ784">
        <v>0</v>
      </c>
      <c r="AK784">
        <v>0</v>
      </c>
      <c r="AL784">
        <v>0</v>
      </c>
      <c r="AM784">
        <v>0</v>
      </c>
      <c r="AN784">
        <v>0</v>
      </c>
      <c r="AO784">
        <v>0</v>
      </c>
      <c r="AP784">
        <v>0</v>
      </c>
      <c r="AQ784">
        <v>0</v>
      </c>
      <c r="AR784">
        <v>0</v>
      </c>
      <c r="AS784">
        <v>0</v>
      </c>
      <c r="AT784">
        <v>0</v>
      </c>
      <c r="AU784">
        <v>0</v>
      </c>
      <c r="AV784">
        <v>0</v>
      </c>
      <c r="AW784">
        <v>0</v>
      </c>
      <c r="AX784" s="141">
        <f t="shared" si="935"/>
        <v>1</v>
      </c>
      <c r="AY784" s="141">
        <f t="shared" si="936"/>
        <v>1</v>
      </c>
      <c r="AZ784">
        <f t="shared" si="937"/>
        <v>1</v>
      </c>
      <c r="BA784">
        <f t="shared" si="938"/>
        <v>0</v>
      </c>
      <c r="BB784">
        <f t="shared" si="939"/>
        <v>0</v>
      </c>
      <c r="BC784">
        <f t="shared" si="940"/>
        <v>0</v>
      </c>
      <c r="BD784">
        <f t="shared" si="941"/>
        <v>0</v>
      </c>
      <c r="BE784" t="str" cm="1">
        <f t="array" ref="BE784">IF(AY784=1,INDEX($V$7:$AL$7,MATCH(TRUE,INDEX($V784:$AW784&lt;&gt;0,),0)),IF(AY784=0,INDEX($AM$7:$AW$7,MATCH(1,$AM784:$AW784,0)),IF(BF784="Multiple strategies","mixed drivers",IF(BF784="Supply chain","multiple supply","multiple silviculture"))))</f>
        <v>area subject to harvest</v>
      </c>
      <c r="BF784" s="2" t="str" cm="1">
        <f t="array" ref="BF784">IF(COUNTIF(AZ784:BB784,"&lt;&gt;0")=1,INDEX($V$4:$AW$4,MATCH(TRUE,INDEX($V784:$AW784&lt;&gt;0,),0)),IF(COUNTIF(AZ784:BB784,"&lt;&gt;0")=0,INDEX($AM$4:$AW$4,MATCH(1,$AM784:$AW784,0)),"Multiple strategies"))</f>
        <v>Silviculture for removals</v>
      </c>
      <c r="BG784" s="142"/>
      <c r="BH784" s="160"/>
      <c r="BI784" s="160"/>
      <c r="BJ784" s="143"/>
      <c r="BK784" s="143"/>
      <c r="BL784" s="143"/>
      <c r="BN784" s="158"/>
      <c r="BO784" s="159"/>
      <c r="BP784" s="155" t="s">
        <v>232</v>
      </c>
      <c r="BQ784" s="155" t="s">
        <v>785</v>
      </c>
      <c r="BR784" s="141" t="s">
        <v>784</v>
      </c>
      <c r="BS784" s="143">
        <v>141</v>
      </c>
      <c r="BT784" s="151">
        <v>-138</v>
      </c>
      <c r="BU784" s="144">
        <f t="shared" si="942"/>
        <v>-0.97872340425531912</v>
      </c>
      <c r="BV784">
        <f t="shared" si="943"/>
        <v>-279</v>
      </c>
      <c r="BX784">
        <f t="shared" si="944"/>
        <v>-279</v>
      </c>
      <c r="BY784" t="str">
        <f t="shared" si="902"/>
        <v/>
      </c>
      <c r="BZ784">
        <v>0</v>
      </c>
      <c r="CA784">
        <v>0</v>
      </c>
      <c r="CB784">
        <v>0</v>
      </c>
      <c r="CC784">
        <v>0</v>
      </c>
      <c r="CD784">
        <v>0</v>
      </c>
      <c r="CE784">
        <v>0</v>
      </c>
      <c r="CF784">
        <v>0</v>
      </c>
      <c r="CG784">
        <v>0</v>
      </c>
      <c r="CH784">
        <v>0</v>
      </c>
      <c r="CI784">
        <v>0</v>
      </c>
      <c r="CJ784">
        <v>0</v>
      </c>
      <c r="CK784">
        <v>0</v>
      </c>
      <c r="CL784">
        <v>0</v>
      </c>
      <c r="CM784">
        <v>0</v>
      </c>
      <c r="CN784" t="str">
        <f t="shared" si="945"/>
        <v>refOK</v>
      </c>
      <c r="CO784"/>
      <c r="CP784"/>
      <c r="CQ784"/>
      <c r="CR784">
        <f t="shared" si="946"/>
        <v>141</v>
      </c>
      <c r="CS784">
        <f t="shared" si="947"/>
        <v>-138</v>
      </c>
      <c r="CT784">
        <f t="shared" si="948"/>
        <v>-279</v>
      </c>
      <c r="CU784" t="str">
        <f t="shared" si="949"/>
        <v/>
      </c>
      <c r="CV784" s="2">
        <f t="shared" si="950"/>
        <v>-1.9787234042553192</v>
      </c>
      <c r="CW784" s="318" t="s">
        <v>234</v>
      </c>
      <c r="CX784" s="311" t="str">
        <f t="shared" si="951"/>
        <v>loc</v>
      </c>
      <c r="CY784" s="317" t="s">
        <v>444</v>
      </c>
      <c r="DA784" s="143"/>
      <c r="DB784" s="143">
        <v>29</v>
      </c>
      <c r="DC784" t="str">
        <f t="shared" si="952"/>
        <v>1-30</v>
      </c>
      <c r="DD784">
        <v>1</v>
      </c>
      <c r="DE784">
        <v>1</v>
      </c>
      <c r="DF784">
        <v>1</v>
      </c>
      <c r="DG784">
        <v>1</v>
      </c>
      <c r="DH784">
        <v>0</v>
      </c>
      <c r="DI784">
        <f t="shared" si="960"/>
        <v>4</v>
      </c>
      <c r="DJ784" t="str">
        <f t="shared" si="953"/>
        <v>mixedProduct</v>
      </c>
      <c r="DK784" t="str">
        <f t="shared" si="954"/>
        <v>Upstream</v>
      </c>
      <c r="DL784" t="str">
        <f t="shared" si="955"/>
        <v>Energy</v>
      </c>
      <c r="DM784" t="str">
        <f t="shared" si="956"/>
        <v>Pulp/Paper</v>
      </c>
      <c r="DN784" t="str">
        <f t="shared" si="957"/>
        <v>Timber</v>
      </c>
      <c r="DO784">
        <v>0</v>
      </c>
      <c r="DP784" s="143">
        <v>0</v>
      </c>
      <c r="DQ784" s="143">
        <v>0</v>
      </c>
      <c r="DR784">
        <v>0</v>
      </c>
      <c r="DS784" s="143">
        <v>0</v>
      </c>
      <c r="DT784">
        <f t="shared" si="958"/>
        <v>0</v>
      </c>
      <c r="DU784" s="143" t="str">
        <f t="shared" si="959"/>
        <v>explicit C balance</v>
      </c>
      <c r="DV784" s="143">
        <v>0</v>
      </c>
      <c r="DW784" s="143">
        <v>1</v>
      </c>
      <c r="DX784" s="143">
        <v>1</v>
      </c>
      <c r="DY784" s="143">
        <v>1</v>
      </c>
      <c r="DZ784">
        <v>0</v>
      </c>
      <c r="EA784" s="143">
        <v>0</v>
      </c>
      <c r="EB784" s="143">
        <v>0</v>
      </c>
      <c r="EC784" s="143">
        <v>0</v>
      </c>
      <c r="ED784" s="143">
        <v>0</v>
      </c>
      <c r="EE784">
        <v>0</v>
      </c>
      <c r="EF784">
        <v>1</v>
      </c>
      <c r="EG784" s="143">
        <v>0</v>
      </c>
      <c r="EH784" s="143">
        <v>0</v>
      </c>
      <c r="EI784" s="2">
        <v>0</v>
      </c>
      <c r="EK784" t="str">
        <f t="shared" si="933"/>
        <v/>
      </c>
      <c r="EL784" t="str">
        <f t="shared" si="934"/>
        <v>Ecosystem approach</v>
      </c>
      <c r="EM784" s="2" t="str">
        <f t="shared" si="903"/>
        <v/>
      </c>
      <c r="EN784" s="311" t="s">
        <v>3679</v>
      </c>
      <c r="EP784" t="b">
        <f>IF(ISNUMBER(BU784),IF(ABS(BU784-[1]QC_indicators!$B$2)&gt;3*[1]QC_indicators!$C$2,"C ratio",IF(ISNUMBER(BY784),IF(ABS(BY784-[1]QC_indicators!$B$1)&gt;3*[1]QC_indicators!$C$1,"DF","no"))),IF(ISNUMBER(BY784),IF(ABS(BY784-[1]QC_indicators!$B$1)&gt;3*[1]QC_indicators!$C$1,"DF","no")))</f>
        <v>0</v>
      </c>
      <c r="ER784" s="149"/>
    </row>
    <row r="785" spans="1:151" ht="15" hidden="1" customHeight="1">
      <c r="A785" s="318" t="s">
        <v>781</v>
      </c>
      <c r="D785" t="s">
        <v>3672</v>
      </c>
      <c r="E785" s="311" t="s">
        <v>3673</v>
      </c>
      <c r="F785" s="311" t="s">
        <v>3674</v>
      </c>
      <c r="G785" t="s">
        <v>782</v>
      </c>
      <c r="I785">
        <v>2014</v>
      </c>
      <c r="J785">
        <v>34</v>
      </c>
      <c r="K785" s="295" t="s">
        <v>3675</v>
      </c>
      <c r="M785" t="str">
        <f t="shared" si="905"/>
        <v>Haus_2014</v>
      </c>
      <c r="N785" s="311" t="s">
        <v>4382</v>
      </c>
      <c r="O785" s="157" t="s">
        <v>223</v>
      </c>
      <c r="P785" t="s">
        <v>223</v>
      </c>
      <c r="Q785" s="311" t="s">
        <v>389</v>
      </c>
      <c r="R785" s="312"/>
      <c r="S785" s="154" t="s">
        <v>3676</v>
      </c>
      <c r="T785" s="313" t="s">
        <v>3677</v>
      </c>
      <c r="U785" s="143" t="s">
        <v>3678</v>
      </c>
      <c r="V785">
        <v>1</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s="141">
        <f t="shared" si="935"/>
        <v>1</v>
      </c>
      <c r="AY785" s="141">
        <f t="shared" si="936"/>
        <v>1</v>
      </c>
      <c r="AZ785">
        <f t="shared" si="937"/>
        <v>1</v>
      </c>
      <c r="BA785">
        <f t="shared" si="938"/>
        <v>0</v>
      </c>
      <c r="BB785">
        <f t="shared" si="939"/>
        <v>0</v>
      </c>
      <c r="BC785">
        <f t="shared" si="940"/>
        <v>0</v>
      </c>
      <c r="BD785">
        <f t="shared" si="941"/>
        <v>0</v>
      </c>
      <c r="BE785" t="str" cm="1">
        <f t="array" ref="BE785">IF(AY785=1,INDEX($V$7:$AL$7,MATCH(TRUE,INDEX($V785:$AW785&lt;&gt;0,),0)),IF(AY785=0,INDEX($AM$7:$AW$7,MATCH(1,$AM785:$AW785,0)),IF(BF785="Multiple strategies","mixed drivers",IF(BF785="Supply chain","multiple supply","multiple silviculture"))))</f>
        <v>area subject to harvest</v>
      </c>
      <c r="BF785" s="2" t="str" cm="1">
        <f t="array" ref="BF785">IF(COUNTIF(AZ785:BB785,"&lt;&gt;0")=1,INDEX($V$4:$AW$4,MATCH(TRUE,INDEX($V785:$AW785&lt;&gt;0,),0)),IF(COUNTIF(AZ785:BB785,"&lt;&gt;0")=0,INDEX($AM$4:$AW$4,MATCH(1,$AM785:$AW785,0)),"Multiple strategies"))</f>
        <v>Silviculture for removals</v>
      </c>
      <c r="BG785" s="142"/>
      <c r="BJ785" s="143"/>
      <c r="BL785" s="143"/>
      <c r="BN785" s="158"/>
      <c r="BO785" s="159"/>
      <c r="BP785" s="155" t="s">
        <v>232</v>
      </c>
      <c r="BQ785" s="155" t="s">
        <v>3681</v>
      </c>
      <c r="BR785" s="141" t="s">
        <v>784</v>
      </c>
      <c r="BS785" s="151">
        <v>131</v>
      </c>
      <c r="BT785" s="151">
        <v>-138</v>
      </c>
      <c r="BU785" s="144">
        <f t="shared" si="942"/>
        <v>-1.0534351145038168</v>
      </c>
      <c r="BV785">
        <f t="shared" si="943"/>
        <v>-269</v>
      </c>
      <c r="BX785">
        <f t="shared" si="944"/>
        <v>-269</v>
      </c>
      <c r="BY785" t="str">
        <f t="shared" si="902"/>
        <v/>
      </c>
      <c r="BZ785">
        <v>0</v>
      </c>
      <c r="CA785">
        <v>0</v>
      </c>
      <c r="CB785">
        <v>0</v>
      </c>
      <c r="CC785">
        <v>0</v>
      </c>
      <c r="CD785">
        <v>0</v>
      </c>
      <c r="CE785">
        <v>0</v>
      </c>
      <c r="CF785">
        <v>0</v>
      </c>
      <c r="CG785">
        <v>0</v>
      </c>
      <c r="CH785">
        <v>0</v>
      </c>
      <c r="CI785">
        <v>0</v>
      </c>
      <c r="CJ785">
        <v>0</v>
      </c>
      <c r="CK785">
        <v>0</v>
      </c>
      <c r="CL785">
        <v>0</v>
      </c>
      <c r="CM785">
        <v>0</v>
      </c>
      <c r="CN785" t="str">
        <f t="shared" si="945"/>
        <v>refOK</v>
      </c>
      <c r="CO785"/>
      <c r="CP785"/>
      <c r="CQ785"/>
      <c r="CR785">
        <f t="shared" si="946"/>
        <v>131</v>
      </c>
      <c r="CS785">
        <f t="shared" si="947"/>
        <v>-138</v>
      </c>
      <c r="CT785">
        <f t="shared" si="948"/>
        <v>-269</v>
      </c>
      <c r="CU785" t="str">
        <f t="shared" si="949"/>
        <v/>
      </c>
      <c r="CV785" s="2">
        <f t="shared" si="950"/>
        <v>-2.053435114503817</v>
      </c>
      <c r="CW785" s="318" t="s">
        <v>234</v>
      </c>
      <c r="CX785" s="311" t="str">
        <f t="shared" si="951"/>
        <v>loc</v>
      </c>
      <c r="CY785" s="317" t="s">
        <v>444</v>
      </c>
      <c r="DA785" s="143"/>
      <c r="DB785" s="143">
        <v>29</v>
      </c>
      <c r="DC785" t="str">
        <f t="shared" si="952"/>
        <v>1-30</v>
      </c>
      <c r="DD785">
        <v>1</v>
      </c>
      <c r="DE785">
        <v>1</v>
      </c>
      <c r="DF785">
        <v>1</v>
      </c>
      <c r="DG785">
        <v>1</v>
      </c>
      <c r="DH785">
        <v>0</v>
      </c>
      <c r="DI785">
        <f t="shared" si="960"/>
        <v>4</v>
      </c>
      <c r="DJ785" t="str">
        <f t="shared" si="953"/>
        <v>mixedProduct</v>
      </c>
      <c r="DK785" t="str">
        <f t="shared" si="954"/>
        <v>Upstream</v>
      </c>
      <c r="DL785" t="str">
        <f t="shared" si="955"/>
        <v>Energy</v>
      </c>
      <c r="DM785" t="str">
        <f t="shared" si="956"/>
        <v>Pulp/Paper</v>
      </c>
      <c r="DN785" t="str">
        <f t="shared" si="957"/>
        <v>Timber</v>
      </c>
      <c r="DO785">
        <v>0</v>
      </c>
      <c r="DP785" s="143">
        <v>0</v>
      </c>
      <c r="DQ785" s="143">
        <v>0</v>
      </c>
      <c r="DR785">
        <v>0</v>
      </c>
      <c r="DS785" s="143">
        <v>0</v>
      </c>
      <c r="DT785">
        <f t="shared" si="958"/>
        <v>0</v>
      </c>
      <c r="DU785" s="143" t="str">
        <f t="shared" si="959"/>
        <v>explicit C balance</v>
      </c>
      <c r="DV785" s="143">
        <v>0</v>
      </c>
      <c r="DW785" s="143">
        <v>1</v>
      </c>
      <c r="DX785" s="143">
        <v>1</v>
      </c>
      <c r="DY785" s="143">
        <v>1</v>
      </c>
      <c r="DZ785">
        <v>0</v>
      </c>
      <c r="EA785" s="143">
        <v>0</v>
      </c>
      <c r="EB785" s="143">
        <v>0</v>
      </c>
      <c r="EC785" s="143">
        <v>0</v>
      </c>
      <c r="ED785" s="143">
        <v>0</v>
      </c>
      <c r="EE785">
        <v>0</v>
      </c>
      <c r="EF785">
        <v>1</v>
      </c>
      <c r="EG785" s="143">
        <v>0</v>
      </c>
      <c r="EH785" s="143">
        <v>0</v>
      </c>
      <c r="EI785" s="2">
        <v>0</v>
      </c>
      <c r="EK785" t="str">
        <f t="shared" si="933"/>
        <v/>
      </c>
      <c r="EL785" t="str">
        <f t="shared" si="934"/>
        <v>Ecosystem approach</v>
      </c>
      <c r="EM785" s="2" t="str">
        <f t="shared" si="903"/>
        <v/>
      </c>
      <c r="EN785" s="311" t="s">
        <v>3679</v>
      </c>
      <c r="EP785" t="b">
        <f>IF(ISNUMBER(BU785),IF(ABS(BU785-[1]QC_indicators!$B$2)&gt;3*[1]QC_indicators!$C$2,"C ratio",IF(ISNUMBER(BY785),IF(ABS(BY785-[1]QC_indicators!$B$1)&gt;3*[1]QC_indicators!$C$1,"DF","no"))),IF(ISNUMBER(BY785),IF(ABS(BY785-[1]QC_indicators!$B$1)&gt;3*[1]QC_indicators!$C$1,"DF","no")))</f>
        <v>0</v>
      </c>
    </row>
    <row r="786" spans="1:151" ht="15" hidden="1" customHeight="1">
      <c r="A786" s="318" t="s">
        <v>781</v>
      </c>
      <c r="D786" t="s">
        <v>3672</v>
      </c>
      <c r="E786" s="311" t="s">
        <v>3673</v>
      </c>
      <c r="F786" s="311" t="s">
        <v>3674</v>
      </c>
      <c r="G786" t="s">
        <v>782</v>
      </c>
      <c r="I786">
        <v>2014</v>
      </c>
      <c r="J786">
        <v>34</v>
      </c>
      <c r="K786" s="295" t="s">
        <v>3675</v>
      </c>
      <c r="M786" t="str">
        <f t="shared" si="905"/>
        <v>Haus_2014</v>
      </c>
      <c r="N786" s="311" t="s">
        <v>4382</v>
      </c>
      <c r="O786" s="157" t="s">
        <v>223</v>
      </c>
      <c r="P786" t="s">
        <v>223</v>
      </c>
      <c r="Q786" s="311" t="s">
        <v>389</v>
      </c>
      <c r="R786" s="312"/>
      <c r="S786" s="154" t="s">
        <v>3676</v>
      </c>
      <c r="T786" s="313" t="s">
        <v>3677</v>
      </c>
      <c r="U786" s="143" t="s">
        <v>3678</v>
      </c>
      <c r="V786">
        <v>1</v>
      </c>
      <c r="W786">
        <v>0</v>
      </c>
      <c r="X786">
        <v>0</v>
      </c>
      <c r="Y786">
        <v>0</v>
      </c>
      <c r="Z786">
        <v>0</v>
      </c>
      <c r="AA786">
        <v>0</v>
      </c>
      <c r="AB786">
        <v>0</v>
      </c>
      <c r="AC786">
        <v>0</v>
      </c>
      <c r="AD786">
        <v>0</v>
      </c>
      <c r="AE786">
        <v>0</v>
      </c>
      <c r="AF786">
        <v>0</v>
      </c>
      <c r="AG786">
        <v>0</v>
      </c>
      <c r="AH786">
        <v>0</v>
      </c>
      <c r="AI786">
        <v>0</v>
      </c>
      <c r="AJ786">
        <v>0</v>
      </c>
      <c r="AK786">
        <v>0</v>
      </c>
      <c r="AL786">
        <v>0</v>
      </c>
      <c r="AM786">
        <v>0</v>
      </c>
      <c r="AN786">
        <v>0</v>
      </c>
      <c r="AO786">
        <v>0</v>
      </c>
      <c r="AP786">
        <v>0</v>
      </c>
      <c r="AQ786">
        <v>0</v>
      </c>
      <c r="AR786">
        <v>0</v>
      </c>
      <c r="AS786">
        <v>0</v>
      </c>
      <c r="AT786">
        <v>0</v>
      </c>
      <c r="AU786">
        <v>0</v>
      </c>
      <c r="AV786">
        <v>0</v>
      </c>
      <c r="AW786">
        <v>0</v>
      </c>
      <c r="AX786" s="141">
        <f t="shared" si="935"/>
        <v>1</v>
      </c>
      <c r="AY786" s="141">
        <f t="shared" si="936"/>
        <v>1</v>
      </c>
      <c r="AZ786">
        <f t="shared" si="937"/>
        <v>1</v>
      </c>
      <c r="BA786">
        <f t="shared" si="938"/>
        <v>0</v>
      </c>
      <c r="BB786">
        <f t="shared" si="939"/>
        <v>0</v>
      </c>
      <c r="BC786">
        <f t="shared" si="940"/>
        <v>0</v>
      </c>
      <c r="BD786">
        <f t="shared" si="941"/>
        <v>0</v>
      </c>
      <c r="BE786" t="str" cm="1">
        <f t="array" ref="BE786">IF(AY786=1,INDEX($V$7:$AL$7,MATCH(TRUE,INDEX($V786:$AW786&lt;&gt;0,),0)),IF(AY786=0,INDEX($AM$7:$AW$7,MATCH(1,$AM786:$AW786,0)),IF(BF786="Multiple strategies","mixed drivers",IF(BF786="Supply chain","multiple supply","multiple silviculture"))))</f>
        <v>area subject to harvest</v>
      </c>
      <c r="BF786" s="2" t="str" cm="1">
        <f t="array" ref="BF786">IF(COUNTIF(AZ786:BB786,"&lt;&gt;0")=1,INDEX($V$4:$AW$4,MATCH(TRUE,INDEX($V786:$AW786&lt;&gt;0,),0)),IF(COUNTIF(AZ786:BB786,"&lt;&gt;0")=0,INDEX($AM$4:$AW$4,MATCH(1,$AM786:$AW786,0)),"Multiple strategies"))</f>
        <v>Silviculture for removals</v>
      </c>
      <c r="BG786" s="142"/>
      <c r="BJ786" s="143"/>
      <c r="BL786" s="143"/>
      <c r="BN786" s="158"/>
      <c r="BO786" s="159"/>
      <c r="BP786" s="155" t="s">
        <v>232</v>
      </c>
      <c r="BQ786" s="155" t="s">
        <v>429</v>
      </c>
      <c r="BR786" s="141" t="s">
        <v>784</v>
      </c>
      <c r="BS786" s="151">
        <v>649</v>
      </c>
      <c r="BT786" s="151">
        <v>-852</v>
      </c>
      <c r="BU786" s="144">
        <f t="shared" si="942"/>
        <v>-1.312788906009245</v>
      </c>
      <c r="BV786">
        <f t="shared" si="943"/>
        <v>-1501</v>
      </c>
      <c r="BX786">
        <f t="shared" si="944"/>
        <v>-1501</v>
      </c>
      <c r="BY786" t="str">
        <f t="shared" si="902"/>
        <v/>
      </c>
      <c r="BZ786">
        <v>0</v>
      </c>
      <c r="CA786">
        <v>0</v>
      </c>
      <c r="CB786">
        <v>0</v>
      </c>
      <c r="CC786">
        <v>0</v>
      </c>
      <c r="CD786">
        <v>0</v>
      </c>
      <c r="CE786">
        <v>0</v>
      </c>
      <c r="CF786">
        <v>0</v>
      </c>
      <c r="CG786">
        <v>0</v>
      </c>
      <c r="CH786">
        <v>0</v>
      </c>
      <c r="CI786">
        <v>0</v>
      </c>
      <c r="CJ786">
        <v>0</v>
      </c>
      <c r="CK786">
        <v>0</v>
      </c>
      <c r="CL786">
        <v>0</v>
      </c>
      <c r="CM786">
        <v>0</v>
      </c>
      <c r="CN786" t="str">
        <f t="shared" si="945"/>
        <v>refOK</v>
      </c>
      <c r="CO786"/>
      <c r="CP786"/>
      <c r="CQ786"/>
      <c r="CR786">
        <f t="shared" si="946"/>
        <v>649</v>
      </c>
      <c r="CS786">
        <f t="shared" si="947"/>
        <v>-852</v>
      </c>
      <c r="CT786">
        <f t="shared" si="948"/>
        <v>-1501</v>
      </c>
      <c r="CU786" t="str">
        <f t="shared" si="949"/>
        <v/>
      </c>
      <c r="CV786" s="2">
        <f t="shared" si="950"/>
        <v>-2.3127889060092448</v>
      </c>
      <c r="CW786" s="318" t="s">
        <v>234</v>
      </c>
      <c r="CX786" s="311" t="str">
        <f t="shared" si="951"/>
        <v>loc</v>
      </c>
      <c r="CY786" s="317" t="s">
        <v>444</v>
      </c>
      <c r="DA786" s="143"/>
      <c r="DB786" s="143">
        <v>240</v>
      </c>
      <c r="DC786" t="str">
        <f t="shared" si="952"/>
        <v>+100</v>
      </c>
      <c r="DD786">
        <v>1</v>
      </c>
      <c r="DE786">
        <v>1</v>
      </c>
      <c r="DF786">
        <v>1</v>
      </c>
      <c r="DG786">
        <v>1</v>
      </c>
      <c r="DH786">
        <v>0</v>
      </c>
      <c r="DI786">
        <f t="shared" si="960"/>
        <v>4</v>
      </c>
      <c r="DJ786" t="str">
        <f t="shared" si="953"/>
        <v>mixedProduct</v>
      </c>
      <c r="DK786" t="str">
        <f t="shared" si="954"/>
        <v>Upstream</v>
      </c>
      <c r="DL786" t="str">
        <f t="shared" si="955"/>
        <v>Energy</v>
      </c>
      <c r="DM786" t="str">
        <f t="shared" si="956"/>
        <v>Pulp/Paper</v>
      </c>
      <c r="DN786" t="str">
        <f t="shared" si="957"/>
        <v>Timber</v>
      </c>
      <c r="DO786">
        <v>0</v>
      </c>
      <c r="DP786" s="143">
        <v>0</v>
      </c>
      <c r="DQ786" s="143">
        <v>0</v>
      </c>
      <c r="DR786">
        <v>0</v>
      </c>
      <c r="DS786" s="143">
        <v>0</v>
      </c>
      <c r="DT786">
        <f t="shared" si="958"/>
        <v>0</v>
      </c>
      <c r="DU786" s="143" t="str">
        <f t="shared" si="959"/>
        <v>explicit C balance</v>
      </c>
      <c r="DV786" s="143">
        <v>0</v>
      </c>
      <c r="DW786" s="143">
        <v>1</v>
      </c>
      <c r="DX786" s="143">
        <v>1</v>
      </c>
      <c r="DY786" s="143">
        <v>1</v>
      </c>
      <c r="DZ786">
        <v>0</v>
      </c>
      <c r="EA786" s="143">
        <v>0</v>
      </c>
      <c r="EB786" s="143">
        <v>0</v>
      </c>
      <c r="EC786" s="143">
        <v>0</v>
      </c>
      <c r="ED786" s="143">
        <v>0</v>
      </c>
      <c r="EE786">
        <v>0</v>
      </c>
      <c r="EF786">
        <v>1</v>
      </c>
      <c r="EG786" s="143">
        <v>0</v>
      </c>
      <c r="EH786" s="143">
        <v>0</v>
      </c>
      <c r="EI786" s="2">
        <v>0</v>
      </c>
      <c r="EK786" t="str">
        <f t="shared" si="933"/>
        <v/>
      </c>
      <c r="EL786" t="str">
        <f t="shared" si="934"/>
        <v>Ecosystem approach</v>
      </c>
      <c r="EM786" s="2" t="str">
        <f t="shared" si="903"/>
        <v/>
      </c>
      <c r="EN786" s="311" t="s">
        <v>3679</v>
      </c>
      <c r="EP786" t="b">
        <f>IF(ISNUMBER(BU786),IF(ABS(BU786-[1]QC_indicators!$B$2)&gt;3*[1]QC_indicators!$C$2,"C ratio",IF(ISNUMBER(BY786),IF(ABS(BY786-[1]QC_indicators!$B$1)&gt;3*[1]QC_indicators!$C$1,"DF","no"))),IF(ISNUMBER(BY786),IF(ABS(BY786-[1]QC_indicators!$B$1)&gt;3*[1]QC_indicators!$C$1,"DF","no")))</f>
        <v>0</v>
      </c>
    </row>
    <row r="787" spans="1:151" ht="15" hidden="1" customHeight="1">
      <c r="A787" s="318" t="s">
        <v>781</v>
      </c>
      <c r="D787" t="s">
        <v>3672</v>
      </c>
      <c r="E787" s="311" t="s">
        <v>3673</v>
      </c>
      <c r="F787" s="311" t="s">
        <v>3674</v>
      </c>
      <c r="G787" t="s">
        <v>782</v>
      </c>
      <c r="I787">
        <v>2014</v>
      </c>
      <c r="J787">
        <v>34</v>
      </c>
      <c r="K787" s="295" t="s">
        <v>3675</v>
      </c>
      <c r="M787" t="str">
        <f t="shared" si="905"/>
        <v>Haus_2014</v>
      </c>
      <c r="N787" s="311" t="s">
        <v>4382</v>
      </c>
      <c r="O787" s="157" t="s">
        <v>223</v>
      </c>
      <c r="P787" t="s">
        <v>223</v>
      </c>
      <c r="Q787" s="311" t="s">
        <v>389</v>
      </c>
      <c r="R787" s="312"/>
      <c r="S787" s="154" t="s">
        <v>3676</v>
      </c>
      <c r="T787" s="313" t="s">
        <v>3677</v>
      </c>
      <c r="U787" s="143" t="s">
        <v>3682</v>
      </c>
      <c r="V787">
        <v>1</v>
      </c>
      <c r="W787">
        <v>0</v>
      </c>
      <c r="X787">
        <v>0</v>
      </c>
      <c r="Y787">
        <v>0</v>
      </c>
      <c r="Z787">
        <v>0</v>
      </c>
      <c r="AA787">
        <v>0</v>
      </c>
      <c r="AB787">
        <v>0</v>
      </c>
      <c r="AC787">
        <v>0</v>
      </c>
      <c r="AD787">
        <v>0</v>
      </c>
      <c r="AE787">
        <v>0</v>
      </c>
      <c r="AF787">
        <v>0</v>
      </c>
      <c r="AG787">
        <v>0</v>
      </c>
      <c r="AH787">
        <v>0</v>
      </c>
      <c r="AI787">
        <v>0</v>
      </c>
      <c r="AJ787">
        <v>0</v>
      </c>
      <c r="AK787">
        <v>0</v>
      </c>
      <c r="AL787">
        <v>0</v>
      </c>
      <c r="AM787">
        <v>0</v>
      </c>
      <c r="AN787">
        <v>0</v>
      </c>
      <c r="AO787">
        <v>0</v>
      </c>
      <c r="AP787">
        <v>0</v>
      </c>
      <c r="AQ787">
        <v>0</v>
      </c>
      <c r="AR787">
        <v>0</v>
      </c>
      <c r="AS787">
        <v>0</v>
      </c>
      <c r="AT787">
        <v>0</v>
      </c>
      <c r="AU787">
        <v>0</v>
      </c>
      <c r="AV787">
        <v>0</v>
      </c>
      <c r="AW787">
        <v>0</v>
      </c>
      <c r="AX787" s="141">
        <f t="shared" si="935"/>
        <v>1</v>
      </c>
      <c r="AY787" s="141">
        <f t="shared" si="936"/>
        <v>1</v>
      </c>
      <c r="AZ787">
        <f t="shared" si="937"/>
        <v>1</v>
      </c>
      <c r="BA787">
        <f t="shared" si="938"/>
        <v>0</v>
      </c>
      <c r="BB787">
        <f t="shared" si="939"/>
        <v>0</v>
      </c>
      <c r="BC787">
        <f t="shared" si="940"/>
        <v>0</v>
      </c>
      <c r="BD787">
        <f t="shared" si="941"/>
        <v>0</v>
      </c>
      <c r="BE787" t="str" cm="1">
        <f t="array" ref="BE787">IF(AY787=1,INDEX($V$7:$AL$7,MATCH(TRUE,INDEX($V787:$AW787&lt;&gt;0,),0)),IF(AY787=0,INDEX($AM$7:$AW$7,MATCH(1,$AM787:$AW787,0)),IF(BF787="Multiple strategies","mixed drivers",IF(BF787="Supply chain","multiple supply","multiple silviculture"))))</f>
        <v>area subject to harvest</v>
      </c>
      <c r="BF787" s="2" t="str" cm="1">
        <f t="array" ref="BF787">IF(COUNTIF(AZ787:BB787,"&lt;&gt;0")=1,INDEX($V$4:$AW$4,MATCH(TRUE,INDEX($V787:$AW787&lt;&gt;0,),0)),IF(COUNTIF(AZ787:BB787,"&lt;&gt;0")=0,INDEX($AM$4:$AW$4,MATCH(1,$AM787:$AW787,0)),"Multiple strategies"))</f>
        <v>Silviculture for removals</v>
      </c>
      <c r="BG787" s="142"/>
      <c r="BJ787" s="143"/>
      <c r="BL787" s="143"/>
      <c r="BN787" s="158"/>
      <c r="BO787" s="159"/>
      <c r="BP787" s="155" t="s">
        <v>232</v>
      </c>
      <c r="BQ787" s="155" t="s">
        <v>786</v>
      </c>
      <c r="BR787" s="141" t="s">
        <v>784</v>
      </c>
      <c r="BS787" s="151">
        <v>608</v>
      </c>
      <c r="BT787" s="151">
        <v>513</v>
      </c>
      <c r="BU787" s="144">
        <f t="shared" si="942"/>
        <v>0.84375</v>
      </c>
      <c r="BV787">
        <f t="shared" si="943"/>
        <v>-95</v>
      </c>
      <c r="BX787">
        <f t="shared" si="944"/>
        <v>-95</v>
      </c>
      <c r="BY787" t="str">
        <f t="shared" si="902"/>
        <v/>
      </c>
      <c r="BZ787">
        <v>0</v>
      </c>
      <c r="CA787">
        <v>0</v>
      </c>
      <c r="CB787">
        <v>0</v>
      </c>
      <c r="CC787">
        <v>0</v>
      </c>
      <c r="CD787">
        <v>0</v>
      </c>
      <c r="CE787">
        <v>0</v>
      </c>
      <c r="CF787">
        <v>0</v>
      </c>
      <c r="CG787">
        <v>0</v>
      </c>
      <c r="CH787">
        <v>0</v>
      </c>
      <c r="CI787">
        <v>0</v>
      </c>
      <c r="CJ787">
        <v>0</v>
      </c>
      <c r="CK787">
        <v>0</v>
      </c>
      <c r="CL787">
        <v>0</v>
      </c>
      <c r="CM787">
        <v>0</v>
      </c>
      <c r="CN787" t="str">
        <f t="shared" si="945"/>
        <v>refOK</v>
      </c>
      <c r="CO787"/>
      <c r="CP787"/>
      <c r="CQ787"/>
      <c r="CR787">
        <f t="shared" si="946"/>
        <v>608</v>
      </c>
      <c r="CS787">
        <f t="shared" si="947"/>
        <v>513</v>
      </c>
      <c r="CT787">
        <f t="shared" si="948"/>
        <v>-95</v>
      </c>
      <c r="CU787" t="str">
        <f t="shared" si="949"/>
        <v/>
      </c>
      <c r="CV787" s="2">
        <f t="shared" si="950"/>
        <v>-0.15625</v>
      </c>
      <c r="CW787" s="318" t="s">
        <v>234</v>
      </c>
      <c r="CX787" s="311" t="str">
        <f t="shared" si="951"/>
        <v>loc</v>
      </c>
      <c r="CY787" s="317" t="s">
        <v>444</v>
      </c>
      <c r="DA787" s="143"/>
      <c r="DB787" s="143">
        <v>69</v>
      </c>
      <c r="DC787" t="str">
        <f t="shared" si="952"/>
        <v>31-70</v>
      </c>
      <c r="DD787">
        <v>1</v>
      </c>
      <c r="DE787">
        <v>1</v>
      </c>
      <c r="DF787">
        <v>1</v>
      </c>
      <c r="DG787">
        <v>1</v>
      </c>
      <c r="DH787">
        <v>0</v>
      </c>
      <c r="DI787">
        <f t="shared" si="960"/>
        <v>4</v>
      </c>
      <c r="DJ787" t="str">
        <f t="shared" si="953"/>
        <v>mixedProduct</v>
      </c>
      <c r="DK787" t="str">
        <f t="shared" si="954"/>
        <v>Upstream</v>
      </c>
      <c r="DL787" t="str">
        <f t="shared" si="955"/>
        <v>Energy</v>
      </c>
      <c r="DM787" t="str">
        <f t="shared" si="956"/>
        <v>Pulp/Paper</v>
      </c>
      <c r="DN787" t="str">
        <f t="shared" si="957"/>
        <v>Timber</v>
      </c>
      <c r="DO787">
        <v>0</v>
      </c>
      <c r="DP787" s="143">
        <v>0</v>
      </c>
      <c r="DQ787" s="143">
        <v>0</v>
      </c>
      <c r="DR787">
        <v>0</v>
      </c>
      <c r="DS787" s="143">
        <v>0</v>
      </c>
      <c r="DT787">
        <f t="shared" si="958"/>
        <v>0</v>
      </c>
      <c r="DU787" s="143" t="str">
        <f t="shared" si="959"/>
        <v>explicit C balance</v>
      </c>
      <c r="DV787" s="143">
        <v>0</v>
      </c>
      <c r="DW787" s="143">
        <v>1</v>
      </c>
      <c r="DX787" s="143">
        <v>1</v>
      </c>
      <c r="DY787" s="143">
        <v>1</v>
      </c>
      <c r="DZ787">
        <v>0</v>
      </c>
      <c r="EA787" s="143">
        <v>0</v>
      </c>
      <c r="EB787" s="143">
        <v>0</v>
      </c>
      <c r="EC787" s="143">
        <v>0</v>
      </c>
      <c r="ED787" s="143">
        <v>0</v>
      </c>
      <c r="EE787">
        <v>0</v>
      </c>
      <c r="EF787">
        <v>1</v>
      </c>
      <c r="EG787" s="143">
        <v>0</v>
      </c>
      <c r="EH787" s="143">
        <v>0</v>
      </c>
      <c r="EI787" s="2">
        <v>0</v>
      </c>
      <c r="EK787" t="str">
        <f t="shared" si="933"/>
        <v/>
      </c>
      <c r="EL787" t="str">
        <f t="shared" si="934"/>
        <v>Ecosystem approach</v>
      </c>
      <c r="EM787" s="2" t="str">
        <f t="shared" si="903"/>
        <v/>
      </c>
      <c r="EN787" s="311" t="s">
        <v>3679</v>
      </c>
      <c r="EP787" t="b">
        <f>IF(ISNUMBER(BU787),IF(ABS(BU787-[1]QC_indicators!$B$2)&gt;3*[1]QC_indicators!$C$2,"C ratio",IF(ISNUMBER(BY787),IF(ABS(BY787-[1]QC_indicators!$B$1)&gt;3*[1]QC_indicators!$C$1,"DF","no"))),IF(ISNUMBER(BY787),IF(ABS(BY787-[1]QC_indicators!$B$1)&gt;3*[1]QC_indicators!$C$1,"DF","no")))</f>
        <v>0</v>
      </c>
    </row>
    <row r="788" spans="1:151" ht="15" hidden="1" customHeight="1">
      <c r="A788" s="318" t="s">
        <v>781</v>
      </c>
      <c r="D788" t="s">
        <v>3672</v>
      </c>
      <c r="E788" s="311" t="s">
        <v>3673</v>
      </c>
      <c r="F788" s="311" t="s">
        <v>3674</v>
      </c>
      <c r="G788" t="s">
        <v>782</v>
      </c>
      <c r="I788">
        <v>2014</v>
      </c>
      <c r="J788">
        <v>34</v>
      </c>
      <c r="K788" s="295" t="s">
        <v>3675</v>
      </c>
      <c r="M788" t="str">
        <f t="shared" si="905"/>
        <v>Haus_2014</v>
      </c>
      <c r="N788" s="311" t="s">
        <v>4382</v>
      </c>
      <c r="O788" s="157" t="s">
        <v>223</v>
      </c>
      <c r="P788" t="s">
        <v>223</v>
      </c>
      <c r="Q788" s="311" t="s">
        <v>389</v>
      </c>
      <c r="R788" s="312"/>
      <c r="S788" s="154" t="s">
        <v>3676</v>
      </c>
      <c r="T788" s="313" t="s">
        <v>3680</v>
      </c>
      <c r="U788" s="143" t="s">
        <v>3682</v>
      </c>
      <c r="V788">
        <v>1</v>
      </c>
      <c r="W788">
        <v>0</v>
      </c>
      <c r="X788">
        <v>0</v>
      </c>
      <c r="Y788">
        <v>0</v>
      </c>
      <c r="Z788">
        <v>0</v>
      </c>
      <c r="AA788">
        <v>0</v>
      </c>
      <c r="AB788">
        <v>0</v>
      </c>
      <c r="AC788">
        <v>0</v>
      </c>
      <c r="AD788">
        <v>0</v>
      </c>
      <c r="AE788">
        <v>0</v>
      </c>
      <c r="AF788">
        <v>0</v>
      </c>
      <c r="AG788">
        <v>0</v>
      </c>
      <c r="AH788">
        <v>0</v>
      </c>
      <c r="AI788">
        <v>0</v>
      </c>
      <c r="AJ788">
        <v>0</v>
      </c>
      <c r="AK788">
        <v>0</v>
      </c>
      <c r="AL788">
        <v>0</v>
      </c>
      <c r="AM788">
        <v>0</v>
      </c>
      <c r="AN788">
        <v>0</v>
      </c>
      <c r="AO788">
        <v>0</v>
      </c>
      <c r="AP788">
        <v>0</v>
      </c>
      <c r="AQ788">
        <v>0</v>
      </c>
      <c r="AR788">
        <v>0</v>
      </c>
      <c r="AS788">
        <v>0</v>
      </c>
      <c r="AT788">
        <v>0</v>
      </c>
      <c r="AU788">
        <v>0</v>
      </c>
      <c r="AV788">
        <v>0</v>
      </c>
      <c r="AW788">
        <v>0</v>
      </c>
      <c r="AX788" s="141">
        <f t="shared" si="935"/>
        <v>1</v>
      </c>
      <c r="AY788" s="141">
        <f t="shared" si="936"/>
        <v>1</v>
      </c>
      <c r="AZ788">
        <f t="shared" si="937"/>
        <v>1</v>
      </c>
      <c r="BA788">
        <f t="shared" si="938"/>
        <v>0</v>
      </c>
      <c r="BB788">
        <f t="shared" si="939"/>
        <v>0</v>
      </c>
      <c r="BC788">
        <f t="shared" si="940"/>
        <v>0</v>
      </c>
      <c r="BD788">
        <f t="shared" si="941"/>
        <v>0</v>
      </c>
      <c r="BE788" t="str" cm="1">
        <f t="array" ref="BE788">IF(AY788=1,INDEX($V$7:$AL$7,MATCH(TRUE,INDEX($V788:$AW788&lt;&gt;0,),0)),IF(AY788=0,INDEX($AM$7:$AW$7,MATCH(1,$AM788:$AW788,0)),IF(BF788="Multiple strategies","mixed drivers",IF(BF788="Supply chain","multiple supply","multiple silviculture"))))</f>
        <v>area subject to harvest</v>
      </c>
      <c r="BF788" s="2" t="str" cm="1">
        <f t="array" ref="BF788">IF(COUNTIF(AZ788:BB788,"&lt;&gt;0")=1,INDEX($V$4:$AW$4,MATCH(TRUE,INDEX($V788:$AW788&lt;&gt;0,),0)),IF(COUNTIF(AZ788:BB788,"&lt;&gt;0")=0,INDEX($AM$4:$AW$4,MATCH(1,$AM788:$AW788,0)),"Multiple strategies"))</f>
        <v>Silviculture for removals</v>
      </c>
      <c r="BG788" s="142"/>
      <c r="BJ788" s="143"/>
      <c r="BL788" s="143"/>
      <c r="BN788" s="158"/>
      <c r="BO788" s="159"/>
      <c r="BP788" s="155" t="s">
        <v>232</v>
      </c>
      <c r="BQ788" s="155" t="s">
        <v>787</v>
      </c>
      <c r="BR788" s="141" t="s">
        <v>784</v>
      </c>
      <c r="BS788" s="151">
        <v>766</v>
      </c>
      <c r="BT788" s="151">
        <v>513</v>
      </c>
      <c r="BU788" s="144">
        <f t="shared" si="942"/>
        <v>0.66971279373368142</v>
      </c>
      <c r="BV788">
        <f t="shared" si="943"/>
        <v>-253</v>
      </c>
      <c r="BX788">
        <f t="shared" si="944"/>
        <v>-253</v>
      </c>
      <c r="BY788" t="str">
        <f t="shared" si="902"/>
        <v/>
      </c>
      <c r="BZ788">
        <v>0</v>
      </c>
      <c r="CA788">
        <v>0</v>
      </c>
      <c r="CB788">
        <v>0</v>
      </c>
      <c r="CC788">
        <v>0</v>
      </c>
      <c r="CD788">
        <v>0</v>
      </c>
      <c r="CE788">
        <v>0</v>
      </c>
      <c r="CF788">
        <v>0</v>
      </c>
      <c r="CG788">
        <v>0</v>
      </c>
      <c r="CH788">
        <v>0</v>
      </c>
      <c r="CI788">
        <v>0</v>
      </c>
      <c r="CJ788">
        <v>0</v>
      </c>
      <c r="CK788">
        <v>0</v>
      </c>
      <c r="CL788">
        <v>0</v>
      </c>
      <c r="CM788">
        <v>0</v>
      </c>
      <c r="CN788" t="str">
        <f t="shared" si="945"/>
        <v>refOK</v>
      </c>
      <c r="CO788"/>
      <c r="CP788"/>
      <c r="CQ788"/>
      <c r="CR788">
        <f t="shared" si="946"/>
        <v>766</v>
      </c>
      <c r="CS788">
        <f t="shared" si="947"/>
        <v>513</v>
      </c>
      <c r="CT788">
        <f t="shared" si="948"/>
        <v>-253</v>
      </c>
      <c r="CU788" t="str">
        <f t="shared" si="949"/>
        <v/>
      </c>
      <c r="CV788" s="2">
        <f t="shared" si="950"/>
        <v>-0.33028720626631852</v>
      </c>
      <c r="CW788" s="318" t="s">
        <v>234</v>
      </c>
      <c r="CX788" s="311" t="str">
        <f t="shared" si="951"/>
        <v>loc</v>
      </c>
      <c r="CY788" s="317" t="s">
        <v>444</v>
      </c>
      <c r="DA788" s="143"/>
      <c r="DB788" s="143">
        <v>69</v>
      </c>
      <c r="DC788" t="str">
        <f t="shared" si="952"/>
        <v>31-70</v>
      </c>
      <c r="DD788">
        <v>1</v>
      </c>
      <c r="DE788">
        <v>1</v>
      </c>
      <c r="DF788">
        <v>1</v>
      </c>
      <c r="DG788">
        <v>1</v>
      </c>
      <c r="DH788">
        <v>0</v>
      </c>
      <c r="DI788">
        <f t="shared" si="960"/>
        <v>4</v>
      </c>
      <c r="DJ788" t="str">
        <f t="shared" si="953"/>
        <v>mixedProduct</v>
      </c>
      <c r="DK788" t="str">
        <f t="shared" si="954"/>
        <v>Upstream</v>
      </c>
      <c r="DL788" t="str">
        <f t="shared" si="955"/>
        <v>Energy</v>
      </c>
      <c r="DM788" t="str">
        <f t="shared" si="956"/>
        <v>Pulp/Paper</v>
      </c>
      <c r="DN788" t="str">
        <f t="shared" si="957"/>
        <v>Timber</v>
      </c>
      <c r="DO788">
        <v>0</v>
      </c>
      <c r="DP788" s="143">
        <v>0</v>
      </c>
      <c r="DQ788" s="143">
        <v>0</v>
      </c>
      <c r="DR788">
        <v>0</v>
      </c>
      <c r="DS788" s="143">
        <v>0</v>
      </c>
      <c r="DT788">
        <f t="shared" si="958"/>
        <v>0</v>
      </c>
      <c r="DU788" s="143" t="str">
        <f t="shared" si="959"/>
        <v>explicit C balance</v>
      </c>
      <c r="DV788" s="143">
        <v>0</v>
      </c>
      <c r="DW788" s="143">
        <v>1</v>
      </c>
      <c r="DX788" s="143">
        <v>1</v>
      </c>
      <c r="DY788" s="143">
        <v>1</v>
      </c>
      <c r="DZ788">
        <v>0</v>
      </c>
      <c r="EA788" s="143">
        <v>0</v>
      </c>
      <c r="EB788" s="143">
        <v>0</v>
      </c>
      <c r="EC788" s="143">
        <v>0</v>
      </c>
      <c r="ED788" s="143">
        <v>0</v>
      </c>
      <c r="EE788">
        <v>0</v>
      </c>
      <c r="EF788">
        <v>1</v>
      </c>
      <c r="EG788" s="143">
        <v>0</v>
      </c>
      <c r="EH788" s="143">
        <v>0</v>
      </c>
      <c r="EI788" s="2">
        <v>0</v>
      </c>
      <c r="EK788" t="str">
        <f t="shared" si="933"/>
        <v/>
      </c>
      <c r="EL788" t="str">
        <f t="shared" si="934"/>
        <v>Ecosystem approach</v>
      </c>
      <c r="EM788" s="2" t="str">
        <f t="shared" si="903"/>
        <v/>
      </c>
      <c r="EN788" s="311" t="s">
        <v>3679</v>
      </c>
      <c r="EP788" t="b">
        <f>IF(ISNUMBER(BU788),IF(ABS(BU788-[1]QC_indicators!$B$2)&gt;3*[1]QC_indicators!$C$2,"C ratio",IF(ISNUMBER(BY788),IF(ABS(BY788-[1]QC_indicators!$B$1)&gt;3*[1]QC_indicators!$C$1,"DF","no"))),IF(ISNUMBER(BY788),IF(ABS(BY788-[1]QC_indicators!$B$1)&gt;3*[1]QC_indicators!$C$1,"DF","no")))</f>
        <v>0</v>
      </c>
    </row>
    <row r="789" spans="1:151" ht="15" hidden="1" customHeight="1">
      <c r="A789" s="318" t="s">
        <v>781</v>
      </c>
      <c r="D789" t="s">
        <v>3672</v>
      </c>
      <c r="E789" s="311" t="s">
        <v>3673</v>
      </c>
      <c r="F789" s="311" t="s">
        <v>3674</v>
      </c>
      <c r="G789" t="s">
        <v>782</v>
      </c>
      <c r="I789">
        <v>2014</v>
      </c>
      <c r="J789">
        <v>34</v>
      </c>
      <c r="K789" s="295" t="s">
        <v>3675</v>
      </c>
      <c r="M789" t="str">
        <f t="shared" si="905"/>
        <v>Haus_2014</v>
      </c>
      <c r="N789" s="311" t="s">
        <v>4382</v>
      </c>
      <c r="O789" s="157" t="s">
        <v>223</v>
      </c>
      <c r="P789" t="s">
        <v>223</v>
      </c>
      <c r="Q789" s="311" t="s">
        <v>389</v>
      </c>
      <c r="R789" s="312"/>
      <c r="S789" s="154" t="s">
        <v>3676</v>
      </c>
      <c r="T789" s="313" t="s">
        <v>3677</v>
      </c>
      <c r="U789" s="143" t="s">
        <v>3682</v>
      </c>
      <c r="V789">
        <v>1</v>
      </c>
      <c r="W789">
        <v>0</v>
      </c>
      <c r="X789">
        <v>0</v>
      </c>
      <c r="Y789">
        <v>0</v>
      </c>
      <c r="Z789">
        <v>0</v>
      </c>
      <c r="AA789">
        <v>0</v>
      </c>
      <c r="AB789">
        <v>0</v>
      </c>
      <c r="AC789">
        <v>0</v>
      </c>
      <c r="AD789">
        <v>0</v>
      </c>
      <c r="AE789">
        <v>0</v>
      </c>
      <c r="AF789">
        <v>0</v>
      </c>
      <c r="AG789">
        <v>0</v>
      </c>
      <c r="AH789">
        <v>0</v>
      </c>
      <c r="AI789">
        <v>0</v>
      </c>
      <c r="AJ789">
        <v>0</v>
      </c>
      <c r="AK789">
        <v>0</v>
      </c>
      <c r="AL789">
        <v>0</v>
      </c>
      <c r="AM789">
        <v>0</v>
      </c>
      <c r="AN789">
        <v>0</v>
      </c>
      <c r="AO789">
        <v>0</v>
      </c>
      <c r="AP789">
        <v>0</v>
      </c>
      <c r="AQ789">
        <v>0</v>
      </c>
      <c r="AR789">
        <v>0</v>
      </c>
      <c r="AS789">
        <v>0</v>
      </c>
      <c r="AT789">
        <v>0</v>
      </c>
      <c r="AU789">
        <v>0</v>
      </c>
      <c r="AV789">
        <v>0</v>
      </c>
      <c r="AW789">
        <v>0</v>
      </c>
      <c r="AX789" s="141">
        <f t="shared" si="935"/>
        <v>1</v>
      </c>
      <c r="AY789" s="141">
        <f t="shared" si="936"/>
        <v>1</v>
      </c>
      <c r="AZ789">
        <f t="shared" si="937"/>
        <v>1</v>
      </c>
      <c r="BA789">
        <f t="shared" si="938"/>
        <v>0</v>
      </c>
      <c r="BB789">
        <f t="shared" si="939"/>
        <v>0</v>
      </c>
      <c r="BC789">
        <f t="shared" si="940"/>
        <v>0</v>
      </c>
      <c r="BD789">
        <f t="shared" si="941"/>
        <v>0</v>
      </c>
      <c r="BE789" t="str" cm="1">
        <f t="array" ref="BE789">IF(AY789=1,INDEX($V$7:$AL$7,MATCH(TRUE,INDEX($V789:$AW789&lt;&gt;0,),0)),IF(AY789=0,INDEX($AM$7:$AW$7,MATCH(1,$AM789:$AW789,0)),IF(BF789="Multiple strategies","mixed drivers",IF(BF789="Supply chain","multiple supply","multiple silviculture"))))</f>
        <v>area subject to harvest</v>
      </c>
      <c r="BF789" s="2" t="str" cm="1">
        <f t="array" ref="BF789">IF(COUNTIF(AZ789:BB789,"&lt;&gt;0")=1,INDEX($V$4:$AW$4,MATCH(TRUE,INDEX($V789:$AW789&lt;&gt;0,),0)),IF(COUNTIF(AZ789:BB789,"&lt;&gt;0")=0,INDEX($AM$4:$AW$4,MATCH(1,$AM789:$AW789,0)),"Multiple strategies"))</f>
        <v>Silviculture for removals</v>
      </c>
      <c r="BG789" s="142"/>
      <c r="BJ789" s="143"/>
      <c r="BL789" s="143"/>
      <c r="BN789" s="158"/>
      <c r="BO789" s="159"/>
      <c r="BP789" s="155" t="s">
        <v>232</v>
      </c>
      <c r="BQ789" s="155" t="s">
        <v>3683</v>
      </c>
      <c r="BR789" s="141" t="s">
        <v>784</v>
      </c>
      <c r="BS789" s="151">
        <v>131</v>
      </c>
      <c r="BT789" s="151">
        <v>47</v>
      </c>
      <c r="BU789" s="144">
        <f t="shared" si="942"/>
        <v>0.35877862595419846</v>
      </c>
      <c r="BV789">
        <f t="shared" si="943"/>
        <v>-84</v>
      </c>
      <c r="BX789">
        <f t="shared" si="944"/>
        <v>-84</v>
      </c>
      <c r="BY789" t="str">
        <f t="shared" si="902"/>
        <v/>
      </c>
      <c r="BZ789">
        <v>0</v>
      </c>
      <c r="CA789">
        <v>0</v>
      </c>
      <c r="CB789">
        <v>0</v>
      </c>
      <c r="CC789">
        <v>0</v>
      </c>
      <c r="CD789">
        <v>0</v>
      </c>
      <c r="CE789">
        <v>0</v>
      </c>
      <c r="CF789">
        <v>0</v>
      </c>
      <c r="CG789">
        <v>0</v>
      </c>
      <c r="CH789">
        <v>0</v>
      </c>
      <c r="CI789">
        <v>0</v>
      </c>
      <c r="CJ789">
        <v>0</v>
      </c>
      <c r="CK789">
        <v>0</v>
      </c>
      <c r="CL789">
        <v>0</v>
      </c>
      <c r="CM789">
        <v>0</v>
      </c>
      <c r="CN789" t="str">
        <f t="shared" si="945"/>
        <v>refOK</v>
      </c>
      <c r="CO789"/>
      <c r="CP789"/>
      <c r="CQ789"/>
      <c r="CR789">
        <f t="shared" si="946"/>
        <v>131</v>
      </c>
      <c r="CS789">
        <f t="shared" si="947"/>
        <v>47</v>
      </c>
      <c r="CT789">
        <f t="shared" si="948"/>
        <v>-84</v>
      </c>
      <c r="CU789" t="str">
        <f t="shared" si="949"/>
        <v/>
      </c>
      <c r="CV789" s="2">
        <f t="shared" si="950"/>
        <v>-0.64122137404580148</v>
      </c>
      <c r="CW789" s="318" t="s">
        <v>234</v>
      </c>
      <c r="CX789" s="311" t="str">
        <f t="shared" si="951"/>
        <v>loc</v>
      </c>
      <c r="CY789" s="317" t="s">
        <v>444</v>
      </c>
      <c r="DA789" s="143"/>
      <c r="DB789" s="143">
        <v>29</v>
      </c>
      <c r="DC789" t="str">
        <f t="shared" si="952"/>
        <v>1-30</v>
      </c>
      <c r="DD789">
        <v>1</v>
      </c>
      <c r="DE789">
        <v>1</v>
      </c>
      <c r="DF789">
        <v>1</v>
      </c>
      <c r="DG789">
        <v>1</v>
      </c>
      <c r="DH789">
        <v>0</v>
      </c>
      <c r="DI789">
        <f t="shared" si="960"/>
        <v>4</v>
      </c>
      <c r="DJ789" t="str">
        <f t="shared" si="953"/>
        <v>mixedProduct</v>
      </c>
      <c r="DK789" t="str">
        <f t="shared" si="954"/>
        <v>Upstream</v>
      </c>
      <c r="DL789" t="str">
        <f t="shared" si="955"/>
        <v>Energy</v>
      </c>
      <c r="DM789" t="str">
        <f t="shared" si="956"/>
        <v>Pulp/Paper</v>
      </c>
      <c r="DN789" t="str">
        <f t="shared" si="957"/>
        <v>Timber</v>
      </c>
      <c r="DO789">
        <v>0</v>
      </c>
      <c r="DP789" s="143">
        <v>0</v>
      </c>
      <c r="DQ789" s="143">
        <v>0</v>
      </c>
      <c r="DR789">
        <v>0</v>
      </c>
      <c r="DS789" s="143">
        <v>0</v>
      </c>
      <c r="DT789">
        <f t="shared" si="958"/>
        <v>0</v>
      </c>
      <c r="DU789" s="143" t="str">
        <f t="shared" si="959"/>
        <v>explicit C balance</v>
      </c>
      <c r="DV789" s="143">
        <v>0</v>
      </c>
      <c r="DW789" s="143">
        <v>1</v>
      </c>
      <c r="DX789" s="143">
        <v>1</v>
      </c>
      <c r="DY789" s="143">
        <v>1</v>
      </c>
      <c r="DZ789">
        <v>0</v>
      </c>
      <c r="EA789" s="143">
        <v>0</v>
      </c>
      <c r="EB789" s="143">
        <v>0</v>
      </c>
      <c r="EC789" s="143">
        <v>0</v>
      </c>
      <c r="ED789" s="143">
        <v>0</v>
      </c>
      <c r="EE789">
        <v>0</v>
      </c>
      <c r="EF789">
        <v>1</v>
      </c>
      <c r="EG789" s="143">
        <v>0</v>
      </c>
      <c r="EH789" s="143">
        <v>0</v>
      </c>
      <c r="EI789" s="2">
        <v>0</v>
      </c>
      <c r="EK789" t="str">
        <f t="shared" si="933"/>
        <v/>
      </c>
      <c r="EL789" t="str">
        <f t="shared" si="934"/>
        <v>Ecosystem approach</v>
      </c>
      <c r="EM789" s="2" t="str">
        <f t="shared" si="903"/>
        <v/>
      </c>
      <c r="EN789" s="311" t="s">
        <v>3679</v>
      </c>
      <c r="EP789" t="b">
        <f>IF(ISNUMBER(BU789),IF(ABS(BU789-[1]QC_indicators!$B$2)&gt;3*[1]QC_indicators!$C$2,"C ratio",IF(ISNUMBER(BY789),IF(ABS(BY789-[1]QC_indicators!$B$1)&gt;3*[1]QC_indicators!$C$1,"DF","no"))),IF(ISNUMBER(BY789),IF(ABS(BY789-[1]QC_indicators!$B$1)&gt;3*[1]QC_indicators!$C$1,"DF","no")))</f>
        <v>0</v>
      </c>
    </row>
    <row r="790" spans="1:151" ht="15" hidden="1" customHeight="1">
      <c r="A790" s="318" t="s">
        <v>781</v>
      </c>
      <c r="D790" t="s">
        <v>3672</v>
      </c>
      <c r="E790" s="311" t="s">
        <v>3673</v>
      </c>
      <c r="F790" s="311" t="s">
        <v>3674</v>
      </c>
      <c r="G790" t="s">
        <v>782</v>
      </c>
      <c r="I790">
        <v>2014</v>
      </c>
      <c r="J790">
        <v>34</v>
      </c>
      <c r="K790" s="295" t="s">
        <v>3675</v>
      </c>
      <c r="M790" t="str">
        <f t="shared" si="905"/>
        <v>Haus_2014</v>
      </c>
      <c r="N790" s="311" t="s">
        <v>4382</v>
      </c>
      <c r="O790" s="157" t="s">
        <v>223</v>
      </c>
      <c r="P790" t="s">
        <v>223</v>
      </c>
      <c r="Q790" s="311" t="s">
        <v>389</v>
      </c>
      <c r="R790" s="312"/>
      <c r="S790" s="154" t="s">
        <v>3676</v>
      </c>
      <c r="T790" s="313" t="s">
        <v>3680</v>
      </c>
      <c r="U790" s="143" t="s">
        <v>3682</v>
      </c>
      <c r="V790">
        <v>1</v>
      </c>
      <c r="W790">
        <v>0</v>
      </c>
      <c r="X790">
        <v>0</v>
      </c>
      <c r="Y790">
        <v>0</v>
      </c>
      <c r="Z790">
        <v>0</v>
      </c>
      <c r="AA790">
        <v>0</v>
      </c>
      <c r="AB790">
        <v>0</v>
      </c>
      <c r="AC790">
        <v>0</v>
      </c>
      <c r="AD790">
        <v>0</v>
      </c>
      <c r="AE790">
        <v>0</v>
      </c>
      <c r="AF790">
        <v>0</v>
      </c>
      <c r="AG790">
        <v>0</v>
      </c>
      <c r="AH790">
        <v>0</v>
      </c>
      <c r="AI790">
        <v>0</v>
      </c>
      <c r="AJ790">
        <v>0</v>
      </c>
      <c r="AK790">
        <v>0</v>
      </c>
      <c r="AL790">
        <v>0</v>
      </c>
      <c r="AM790">
        <v>0</v>
      </c>
      <c r="AN790">
        <v>0</v>
      </c>
      <c r="AO790">
        <v>0</v>
      </c>
      <c r="AP790">
        <v>0</v>
      </c>
      <c r="AQ790">
        <v>0</v>
      </c>
      <c r="AR790">
        <v>0</v>
      </c>
      <c r="AS790">
        <v>0</v>
      </c>
      <c r="AT790">
        <v>0</v>
      </c>
      <c r="AU790">
        <v>0</v>
      </c>
      <c r="AV790">
        <v>0</v>
      </c>
      <c r="AW790">
        <v>0</v>
      </c>
      <c r="AX790" s="141">
        <f t="shared" si="935"/>
        <v>1</v>
      </c>
      <c r="AY790" s="141">
        <f t="shared" si="936"/>
        <v>1</v>
      </c>
      <c r="AZ790">
        <f t="shared" si="937"/>
        <v>1</v>
      </c>
      <c r="BA790">
        <f t="shared" si="938"/>
        <v>0</v>
      </c>
      <c r="BB790">
        <f t="shared" si="939"/>
        <v>0</v>
      </c>
      <c r="BC790">
        <f t="shared" si="940"/>
        <v>0</v>
      </c>
      <c r="BD790">
        <f t="shared" si="941"/>
        <v>0</v>
      </c>
      <c r="BE790" t="str" cm="1">
        <f t="array" ref="BE790">IF(AY790=1,INDEX($V$7:$AL$7,MATCH(TRUE,INDEX($V790:$AW790&lt;&gt;0,),0)),IF(AY790=0,INDEX($AM$7:$AW$7,MATCH(1,$AM790:$AW790,0)),IF(BF790="Multiple strategies","mixed drivers",IF(BF790="Supply chain","multiple supply","multiple silviculture"))))</f>
        <v>area subject to harvest</v>
      </c>
      <c r="BF790" s="2" t="str" cm="1">
        <f t="array" ref="BF790">IF(COUNTIF(AZ790:BB790,"&lt;&gt;0")=1,INDEX($V$4:$AW$4,MATCH(TRUE,INDEX($V790:$AW790&lt;&gt;0,),0)),IF(COUNTIF(AZ790:BB790,"&lt;&gt;0")=0,INDEX($AM$4:$AW$4,MATCH(1,$AM790:$AW790,0)),"Multiple strategies"))</f>
        <v>Silviculture for removals</v>
      </c>
      <c r="BG790" s="142"/>
      <c r="BJ790" s="143"/>
      <c r="BL790" s="143"/>
      <c r="BN790" s="158"/>
      <c r="BO790" s="159"/>
      <c r="BP790" s="155" t="s">
        <v>232</v>
      </c>
      <c r="BQ790" s="155" t="s">
        <v>3684</v>
      </c>
      <c r="BR790" s="141" t="s">
        <v>784</v>
      </c>
      <c r="BS790" s="151">
        <v>141</v>
      </c>
      <c r="BT790" s="151">
        <v>47</v>
      </c>
      <c r="BU790" s="144">
        <f t="shared" si="942"/>
        <v>0.33333333333333331</v>
      </c>
      <c r="BV790">
        <f t="shared" si="943"/>
        <v>-94</v>
      </c>
      <c r="BX790">
        <f t="shared" si="944"/>
        <v>-94</v>
      </c>
      <c r="BY790" t="str">
        <f t="shared" si="902"/>
        <v/>
      </c>
      <c r="BZ790">
        <v>0</v>
      </c>
      <c r="CA790">
        <v>0</v>
      </c>
      <c r="CB790">
        <v>0</v>
      </c>
      <c r="CC790">
        <v>0</v>
      </c>
      <c r="CD790">
        <v>0</v>
      </c>
      <c r="CE790">
        <v>0</v>
      </c>
      <c r="CF790">
        <v>0</v>
      </c>
      <c r="CG790">
        <v>0</v>
      </c>
      <c r="CH790">
        <v>0</v>
      </c>
      <c r="CI790">
        <v>0</v>
      </c>
      <c r="CJ790">
        <v>0</v>
      </c>
      <c r="CK790">
        <v>0</v>
      </c>
      <c r="CL790">
        <v>0</v>
      </c>
      <c r="CM790">
        <v>0</v>
      </c>
      <c r="CN790" t="str">
        <f t="shared" si="945"/>
        <v>refOK</v>
      </c>
      <c r="CO790"/>
      <c r="CP790"/>
      <c r="CQ790"/>
      <c r="CR790">
        <f t="shared" si="946"/>
        <v>141</v>
      </c>
      <c r="CS790">
        <f t="shared" si="947"/>
        <v>47</v>
      </c>
      <c r="CT790">
        <f t="shared" si="948"/>
        <v>-94</v>
      </c>
      <c r="CU790" t="str">
        <f t="shared" si="949"/>
        <v/>
      </c>
      <c r="CV790" s="2">
        <f t="shared" si="950"/>
        <v>-0.66666666666666663</v>
      </c>
      <c r="CW790" s="318" t="s">
        <v>234</v>
      </c>
      <c r="CX790" s="311" t="str">
        <f t="shared" si="951"/>
        <v>loc</v>
      </c>
      <c r="CY790" s="317" t="s">
        <v>444</v>
      </c>
      <c r="DA790" s="143"/>
      <c r="DB790" s="143">
        <v>29</v>
      </c>
      <c r="DC790" t="str">
        <f t="shared" si="952"/>
        <v>1-30</v>
      </c>
      <c r="DD790">
        <v>1</v>
      </c>
      <c r="DE790">
        <v>1</v>
      </c>
      <c r="DF790">
        <v>1</v>
      </c>
      <c r="DG790">
        <v>1</v>
      </c>
      <c r="DH790">
        <v>0</v>
      </c>
      <c r="DI790">
        <f t="shared" si="960"/>
        <v>4</v>
      </c>
      <c r="DJ790" t="str">
        <f t="shared" si="953"/>
        <v>mixedProduct</v>
      </c>
      <c r="DK790" t="str">
        <f t="shared" si="954"/>
        <v>Upstream</v>
      </c>
      <c r="DL790" t="str">
        <f t="shared" si="955"/>
        <v>Energy</v>
      </c>
      <c r="DM790" t="str">
        <f t="shared" si="956"/>
        <v>Pulp/Paper</v>
      </c>
      <c r="DN790" t="str">
        <f t="shared" si="957"/>
        <v>Timber</v>
      </c>
      <c r="DO790">
        <v>0</v>
      </c>
      <c r="DP790" s="143">
        <v>0</v>
      </c>
      <c r="DQ790" s="143">
        <v>0</v>
      </c>
      <c r="DR790">
        <v>0</v>
      </c>
      <c r="DS790" s="143">
        <v>0</v>
      </c>
      <c r="DT790">
        <f t="shared" si="958"/>
        <v>0</v>
      </c>
      <c r="DU790" s="143" t="str">
        <f t="shared" si="959"/>
        <v>explicit C balance</v>
      </c>
      <c r="DV790" s="143">
        <v>0</v>
      </c>
      <c r="DW790" s="143">
        <v>1</v>
      </c>
      <c r="DX790" s="143">
        <v>1</v>
      </c>
      <c r="DY790" s="143">
        <v>1</v>
      </c>
      <c r="DZ790">
        <v>0</v>
      </c>
      <c r="EA790" s="143">
        <v>0</v>
      </c>
      <c r="EB790" s="143">
        <v>0</v>
      </c>
      <c r="EC790" s="143">
        <v>0</v>
      </c>
      <c r="ED790" s="143">
        <v>0</v>
      </c>
      <c r="EE790">
        <v>0</v>
      </c>
      <c r="EF790">
        <v>1</v>
      </c>
      <c r="EG790" s="143">
        <v>0</v>
      </c>
      <c r="EH790" s="143">
        <v>0</v>
      </c>
      <c r="EI790" s="2">
        <v>0</v>
      </c>
      <c r="EK790" t="str">
        <f t="shared" si="933"/>
        <v/>
      </c>
      <c r="EL790" t="str">
        <f t="shared" si="934"/>
        <v>Ecosystem approach</v>
      </c>
      <c r="EM790" s="2" t="str">
        <f t="shared" si="903"/>
        <v/>
      </c>
      <c r="EN790" s="311" t="s">
        <v>3679</v>
      </c>
      <c r="EP790" t="b">
        <f>IF(ISNUMBER(BU790),IF(ABS(BU790-[1]QC_indicators!$B$2)&gt;3*[1]QC_indicators!$C$2,"C ratio",IF(ISNUMBER(BY790),IF(ABS(BY790-[1]QC_indicators!$B$1)&gt;3*[1]QC_indicators!$C$1,"DF","no"))),IF(ISNUMBER(BY790),IF(ABS(BY790-[1]QC_indicators!$B$1)&gt;3*[1]QC_indicators!$C$1,"DF","no")))</f>
        <v>0</v>
      </c>
    </row>
    <row r="791" spans="1:151" ht="15" hidden="1" customHeight="1">
      <c r="A791" s="318" t="s">
        <v>781</v>
      </c>
      <c r="D791" t="s">
        <v>3672</v>
      </c>
      <c r="E791" s="311" t="s">
        <v>3673</v>
      </c>
      <c r="F791" s="311" t="s">
        <v>3674</v>
      </c>
      <c r="G791" t="s">
        <v>782</v>
      </c>
      <c r="I791">
        <v>2014</v>
      </c>
      <c r="J791">
        <v>34</v>
      </c>
      <c r="K791" s="295" t="s">
        <v>3675</v>
      </c>
      <c r="M791" t="str">
        <f t="shared" si="905"/>
        <v>Haus_2014</v>
      </c>
      <c r="N791" s="311" t="s">
        <v>4382</v>
      </c>
      <c r="O791" s="157" t="s">
        <v>223</v>
      </c>
      <c r="P791" t="s">
        <v>223</v>
      </c>
      <c r="Q791" s="311" t="s">
        <v>389</v>
      </c>
      <c r="R791" s="312"/>
      <c r="S791" s="154" t="s">
        <v>3676</v>
      </c>
      <c r="T791" s="313" t="s">
        <v>3680</v>
      </c>
      <c r="U791" s="143" t="s">
        <v>3682</v>
      </c>
      <c r="V791">
        <v>1</v>
      </c>
      <c r="W791">
        <v>0</v>
      </c>
      <c r="X791">
        <v>0</v>
      </c>
      <c r="Y791">
        <v>0</v>
      </c>
      <c r="Z791">
        <v>0</v>
      </c>
      <c r="AA791">
        <v>0</v>
      </c>
      <c r="AB791">
        <v>0</v>
      </c>
      <c r="AC791">
        <v>0</v>
      </c>
      <c r="AD791">
        <v>0</v>
      </c>
      <c r="AE791">
        <v>0</v>
      </c>
      <c r="AF791">
        <v>0</v>
      </c>
      <c r="AG791">
        <v>0</v>
      </c>
      <c r="AH791">
        <v>0</v>
      </c>
      <c r="AI791">
        <v>0</v>
      </c>
      <c r="AJ791">
        <v>0</v>
      </c>
      <c r="AK791">
        <v>0</v>
      </c>
      <c r="AL791">
        <v>0</v>
      </c>
      <c r="AM791">
        <v>0</v>
      </c>
      <c r="AN791">
        <v>0</v>
      </c>
      <c r="AO791">
        <v>0</v>
      </c>
      <c r="AP791">
        <v>0</v>
      </c>
      <c r="AQ791">
        <v>0</v>
      </c>
      <c r="AR791">
        <v>0</v>
      </c>
      <c r="AS791">
        <v>0</v>
      </c>
      <c r="AT791">
        <v>0</v>
      </c>
      <c r="AU791">
        <v>0</v>
      </c>
      <c r="AV791">
        <v>0</v>
      </c>
      <c r="AW791">
        <v>0</v>
      </c>
      <c r="AX791" s="141">
        <f t="shared" si="935"/>
        <v>1</v>
      </c>
      <c r="AY791" s="141">
        <f t="shared" si="936"/>
        <v>1</v>
      </c>
      <c r="AZ791">
        <f t="shared" si="937"/>
        <v>1</v>
      </c>
      <c r="BA791">
        <f t="shared" si="938"/>
        <v>0</v>
      </c>
      <c r="BB791">
        <f t="shared" si="939"/>
        <v>0</v>
      </c>
      <c r="BC791">
        <f t="shared" si="940"/>
        <v>0</v>
      </c>
      <c r="BD791">
        <f t="shared" si="941"/>
        <v>0</v>
      </c>
      <c r="BE791" t="str" cm="1">
        <f t="array" ref="BE791">IF(AY791=1,INDEX($V$7:$AL$7,MATCH(TRUE,INDEX($V791:$AW791&lt;&gt;0,),0)),IF(AY791=0,INDEX($AM$7:$AW$7,MATCH(1,$AM791:$AW791,0)),IF(BF791="Multiple strategies","mixed drivers",IF(BF791="Supply chain","multiple supply","multiple silviculture"))))</f>
        <v>area subject to harvest</v>
      </c>
      <c r="BF791" s="2" t="str" cm="1">
        <f t="array" ref="BF791">IF(COUNTIF(AZ791:BB791,"&lt;&gt;0")=1,INDEX($V$4:$AW$4,MATCH(TRUE,INDEX($V791:$AW791&lt;&gt;0,),0)),IF(COUNTIF(AZ791:BB791,"&lt;&gt;0")=0,INDEX($AM$4:$AW$4,MATCH(1,$AM791:$AW791,0)),"Multiple strategies"))</f>
        <v>Silviculture for removals</v>
      </c>
      <c r="BG791" s="142"/>
      <c r="BJ791" s="143"/>
      <c r="BL791" s="143"/>
      <c r="BN791" s="158"/>
      <c r="BO791" s="159"/>
      <c r="BP791" s="155" t="s">
        <v>232</v>
      </c>
      <c r="BQ791" s="155" t="s">
        <v>429</v>
      </c>
      <c r="BR791" s="141" t="s">
        <v>784</v>
      </c>
      <c r="BS791" s="151">
        <v>992</v>
      </c>
      <c r="BT791" s="151">
        <v>-1716</v>
      </c>
      <c r="BU791" s="144">
        <f t="shared" si="942"/>
        <v>-1.7298387096774193</v>
      </c>
      <c r="BV791">
        <f t="shared" si="943"/>
        <v>-2708</v>
      </c>
      <c r="BX791">
        <f t="shared" si="944"/>
        <v>-2708</v>
      </c>
      <c r="BY791" t="str">
        <f t="shared" si="902"/>
        <v/>
      </c>
      <c r="BZ791">
        <v>0</v>
      </c>
      <c r="CA791">
        <v>0</v>
      </c>
      <c r="CB791">
        <v>0</v>
      </c>
      <c r="CC791">
        <v>0</v>
      </c>
      <c r="CD791">
        <v>0</v>
      </c>
      <c r="CE791">
        <v>0</v>
      </c>
      <c r="CF791">
        <v>0</v>
      </c>
      <c r="CG791">
        <v>0</v>
      </c>
      <c r="CH791">
        <v>0</v>
      </c>
      <c r="CI791">
        <v>0</v>
      </c>
      <c r="CJ791">
        <v>0</v>
      </c>
      <c r="CK791">
        <v>0</v>
      </c>
      <c r="CL791">
        <v>0</v>
      </c>
      <c r="CM791">
        <v>0</v>
      </c>
      <c r="CN791" t="str">
        <f t="shared" si="945"/>
        <v>refOK</v>
      </c>
      <c r="CO791"/>
      <c r="CP791"/>
      <c r="CQ791"/>
      <c r="CR791">
        <f t="shared" si="946"/>
        <v>992</v>
      </c>
      <c r="CS791">
        <f t="shared" si="947"/>
        <v>-1716</v>
      </c>
      <c r="CT791">
        <f t="shared" si="948"/>
        <v>-2708</v>
      </c>
      <c r="CU791" t="str">
        <f t="shared" si="949"/>
        <v/>
      </c>
      <c r="CV791" s="2">
        <f t="shared" si="950"/>
        <v>-2.7298387096774195</v>
      </c>
      <c r="CW791" s="318" t="s">
        <v>234</v>
      </c>
      <c r="CX791" s="311" t="str">
        <f t="shared" si="951"/>
        <v>loc</v>
      </c>
      <c r="CY791" s="317" t="s">
        <v>444</v>
      </c>
      <c r="DA791" s="143"/>
      <c r="DB791" s="143">
        <v>240</v>
      </c>
      <c r="DC791" t="str">
        <f t="shared" si="952"/>
        <v>+100</v>
      </c>
      <c r="DD791">
        <v>1</v>
      </c>
      <c r="DE791">
        <v>1</v>
      </c>
      <c r="DF791">
        <v>1</v>
      </c>
      <c r="DG791">
        <v>1</v>
      </c>
      <c r="DH791">
        <v>0</v>
      </c>
      <c r="DI791">
        <f t="shared" si="960"/>
        <v>4</v>
      </c>
      <c r="DJ791" t="str">
        <f t="shared" si="953"/>
        <v>mixedProduct</v>
      </c>
      <c r="DK791" t="str">
        <f t="shared" si="954"/>
        <v>Upstream</v>
      </c>
      <c r="DL791" t="str">
        <f t="shared" si="955"/>
        <v>Energy</v>
      </c>
      <c r="DM791" t="str">
        <f t="shared" si="956"/>
        <v>Pulp/Paper</v>
      </c>
      <c r="DN791" t="str">
        <f t="shared" si="957"/>
        <v>Timber</v>
      </c>
      <c r="DO791">
        <v>0</v>
      </c>
      <c r="DP791" s="143">
        <v>0</v>
      </c>
      <c r="DQ791" s="143">
        <v>0</v>
      </c>
      <c r="DR791">
        <v>0</v>
      </c>
      <c r="DS791" s="143">
        <v>0</v>
      </c>
      <c r="DT791">
        <f t="shared" si="958"/>
        <v>0</v>
      </c>
      <c r="DU791" s="143" t="str">
        <f t="shared" si="959"/>
        <v>explicit C balance</v>
      </c>
      <c r="DV791" s="143">
        <v>0</v>
      </c>
      <c r="DW791" s="143">
        <v>1</v>
      </c>
      <c r="DX791" s="143">
        <v>1</v>
      </c>
      <c r="DY791" s="143">
        <v>1</v>
      </c>
      <c r="DZ791">
        <v>0</v>
      </c>
      <c r="EA791" s="143">
        <v>0</v>
      </c>
      <c r="EB791" s="143">
        <v>0</v>
      </c>
      <c r="EC791" s="143">
        <v>0</v>
      </c>
      <c r="ED791" s="143">
        <v>0</v>
      </c>
      <c r="EE791">
        <v>0</v>
      </c>
      <c r="EF791">
        <v>1</v>
      </c>
      <c r="EG791" s="143">
        <v>0</v>
      </c>
      <c r="EH791" s="143">
        <v>0</v>
      </c>
      <c r="EI791" s="2">
        <v>0</v>
      </c>
      <c r="EK791" t="str">
        <f t="shared" si="933"/>
        <v/>
      </c>
      <c r="EL791" t="str">
        <f t="shared" si="934"/>
        <v>Ecosystem approach</v>
      </c>
      <c r="EM791" s="2" t="str">
        <f t="shared" si="903"/>
        <v/>
      </c>
      <c r="EN791" s="311" t="s">
        <v>3679</v>
      </c>
      <c r="EP791" t="b">
        <f>IF(ISNUMBER(BU791),IF(ABS(BU791-[1]QC_indicators!$B$2)&gt;3*[1]QC_indicators!$C$2,"C ratio",IF(ISNUMBER(BY791),IF(ABS(BY791-[1]QC_indicators!$B$1)&gt;3*[1]QC_indicators!$C$1,"DF","no"))),IF(ISNUMBER(BY791),IF(ABS(BY791-[1]QC_indicators!$B$1)&gt;3*[1]QC_indicators!$C$1,"DF","no")))</f>
        <v>0</v>
      </c>
    </row>
    <row r="792" spans="1:151" ht="15" hidden="1" customHeight="1">
      <c r="A792" s="1" t="s">
        <v>614</v>
      </c>
      <c r="B792" t="s">
        <v>1718</v>
      </c>
      <c r="C792" t="s">
        <v>1719</v>
      </c>
      <c r="D792" t="s">
        <v>1720</v>
      </c>
      <c r="E792" t="s">
        <v>1721</v>
      </c>
      <c r="F792" t="s">
        <v>1722</v>
      </c>
      <c r="G792" t="s">
        <v>620</v>
      </c>
      <c r="H792" t="s">
        <v>254</v>
      </c>
      <c r="I792">
        <v>2021</v>
      </c>
      <c r="J792">
        <v>2</v>
      </c>
      <c r="K792" t="s">
        <v>1723</v>
      </c>
      <c r="M792" t="str">
        <f t="shared" si="905"/>
        <v>Hawkins_2021</v>
      </c>
      <c r="N792" t="s">
        <v>222</v>
      </c>
      <c r="O792" s="145" t="s">
        <v>513</v>
      </c>
      <c r="Q792" t="s">
        <v>256</v>
      </c>
      <c r="R792" s="2" t="s">
        <v>274</v>
      </c>
      <c r="S792" s="1" t="s">
        <v>1734</v>
      </c>
      <c r="T792" t="s">
        <v>1043</v>
      </c>
      <c r="U792" t="s">
        <v>1725</v>
      </c>
      <c r="V792">
        <v>0</v>
      </c>
      <c r="W792">
        <v>0</v>
      </c>
      <c r="X792">
        <v>0</v>
      </c>
      <c r="Y792">
        <v>0</v>
      </c>
      <c r="Z792">
        <v>0</v>
      </c>
      <c r="AA792">
        <v>0</v>
      </c>
      <c r="AB792">
        <v>0</v>
      </c>
      <c r="AC792">
        <v>0</v>
      </c>
      <c r="AD792">
        <v>0</v>
      </c>
      <c r="AE792">
        <v>0</v>
      </c>
      <c r="AF792">
        <v>0</v>
      </c>
      <c r="AG792">
        <v>0</v>
      </c>
      <c r="AH792">
        <v>0</v>
      </c>
      <c r="AI792">
        <v>0</v>
      </c>
      <c r="AJ792">
        <v>0</v>
      </c>
      <c r="AK792">
        <v>1</v>
      </c>
      <c r="AL792">
        <v>0</v>
      </c>
      <c r="AM792">
        <v>0</v>
      </c>
      <c r="AN792">
        <v>0</v>
      </c>
      <c r="AO792">
        <v>0</v>
      </c>
      <c r="AP792">
        <v>0</v>
      </c>
      <c r="AQ792">
        <v>0</v>
      </c>
      <c r="AR792">
        <v>0</v>
      </c>
      <c r="AS792">
        <v>0</v>
      </c>
      <c r="AT792">
        <v>0</v>
      </c>
      <c r="AU792">
        <v>0</v>
      </c>
      <c r="AV792">
        <v>0</v>
      </c>
      <c r="AW792">
        <v>0</v>
      </c>
      <c r="AX792" s="141">
        <f t="shared" si="935"/>
        <v>1</v>
      </c>
      <c r="AY792" s="141">
        <f t="shared" si="936"/>
        <v>1</v>
      </c>
      <c r="AZ792">
        <f t="shared" si="937"/>
        <v>0</v>
      </c>
      <c r="BA792">
        <f t="shared" si="938"/>
        <v>0</v>
      </c>
      <c r="BB792">
        <f t="shared" si="939"/>
        <v>1</v>
      </c>
      <c r="BC792">
        <f t="shared" si="940"/>
        <v>0</v>
      </c>
      <c r="BD792">
        <f t="shared" si="941"/>
        <v>0</v>
      </c>
      <c r="BE792" t="str">
        <f t="array" ref="BE792">IF(AY792=1,INDEX($V$7:$AL$7,MATCH(TRUE,INDEX($V792:$AW792&lt;&gt;0,),0)),IF(AY792=0,INDEX($AM$7:$AW$7,MATCH(1,$AM792:$AW792,0)),IF(BF792="Multiple strategies","mixed drivers",IF(BF792="Supply chain","multiple supply","multiple silviculture"))))</f>
        <v>technologies/design switch</v>
      </c>
      <c r="BF792" s="2" t="str" cm="1">
        <f t="array" ref="BF792">IF(COUNTIF(AZ792:BB792,"&lt;&gt;0")=1,INDEX($V$4:$AW$4,MATCH(TRUE,INDEX($V792:$AW792&lt;&gt;0,),0)),IF(COUNTIF(AZ792:BB792,"&lt;&gt;0")=0,INDEX($AM$4:$AW$4,MATCH(1,$AM792:$AW792,0)),"Multiple strategies"))</f>
        <v>Technology</v>
      </c>
      <c r="BG792" s="1" t="s">
        <v>229</v>
      </c>
      <c r="BH792" t="s">
        <v>229</v>
      </c>
      <c r="BJ792" t="s">
        <v>756</v>
      </c>
      <c r="BK792">
        <v>0</v>
      </c>
      <c r="BL792">
        <v>1105.3</v>
      </c>
      <c r="BN792">
        <f t="shared" ref="BN792:BN805" si="961">BL792-BK792</f>
        <v>1105.3</v>
      </c>
      <c r="BO792">
        <f t="shared" ref="BO792:BO803" si="962">BN792*t_to_m3</f>
        <v>2255.7142857142858</v>
      </c>
      <c r="BP792" t="s">
        <v>232</v>
      </c>
      <c r="BQ792" s="264" t="s">
        <v>3260</v>
      </c>
      <c r="BR792" t="s">
        <v>728</v>
      </c>
      <c r="BS792" s="179">
        <v>-862000</v>
      </c>
      <c r="BT792" s="179">
        <v>-816000</v>
      </c>
      <c r="BU792" s="144">
        <f t="shared" ref="BU792:BU803" si="963">IFERROR(BT792/BS792,"")</f>
        <v>0.94663573085846864</v>
      </c>
      <c r="BV792" s="179">
        <f t="shared" si="943"/>
        <v>46000</v>
      </c>
      <c r="BW792" s="179"/>
      <c r="BX792">
        <f t="shared" ref="BX792:BX805" si="964">BV792/1000</f>
        <v>46</v>
      </c>
      <c r="BY792">
        <f t="shared" si="902"/>
        <v>2.039265357821406E-2</v>
      </c>
      <c r="BZ792">
        <v>0</v>
      </c>
      <c r="CA792">
        <v>1</v>
      </c>
      <c r="CB792">
        <v>0</v>
      </c>
      <c r="CC792">
        <v>1</v>
      </c>
      <c r="CD792">
        <v>0</v>
      </c>
      <c r="CE792">
        <v>0</v>
      </c>
      <c r="CF792">
        <v>0</v>
      </c>
      <c r="CG792">
        <v>1</v>
      </c>
      <c r="CH792">
        <v>0</v>
      </c>
      <c r="CI792">
        <v>0</v>
      </c>
      <c r="CJ792">
        <v>0</v>
      </c>
      <c r="CK792">
        <v>0</v>
      </c>
      <c r="CL792">
        <v>0</v>
      </c>
      <c r="CM792">
        <v>0</v>
      </c>
      <c r="CN792" t="str">
        <f t="shared" si="945"/>
        <v>refOK</v>
      </c>
      <c r="CO792">
        <f t="shared" ref="CO792:CO803" si="965">IF($CN792="refNeedCorrection",BL792,BK792)</f>
        <v>0</v>
      </c>
      <c r="CP792">
        <f t="shared" ref="CP792:CP803" si="966">IF($CN792="refNeedCorrection",BK792,BL792)</f>
        <v>1105.3</v>
      </c>
      <c r="CQ792">
        <f t="shared" ref="CQ792:CQ805" si="967">IF($CN792="refOK",$BO792,-$BO792)</f>
        <v>2255.7142857142858</v>
      </c>
      <c r="CR792" s="272">
        <f t="shared" si="946"/>
        <v>-862000</v>
      </c>
      <c r="CS792" s="272">
        <f t="shared" si="947"/>
        <v>-816000</v>
      </c>
      <c r="CT792">
        <f t="shared" si="948"/>
        <v>46</v>
      </c>
      <c r="CU792">
        <f t="shared" si="949"/>
        <v>2.039265357821406E-2</v>
      </c>
      <c r="CV792" s="2">
        <f t="shared" si="950"/>
        <v>5.336426914153132E-2</v>
      </c>
      <c r="CW792" s="1" t="s">
        <v>1202</v>
      </c>
      <c r="CX792" t="str">
        <f t="shared" si="951"/>
        <v>reg</v>
      </c>
      <c r="CY792" s="308" t="s">
        <v>3422</v>
      </c>
      <c r="DB792">
        <v>100</v>
      </c>
      <c r="DC792" t="str">
        <f t="shared" si="952"/>
        <v>71-100</v>
      </c>
      <c r="DD792">
        <v>0</v>
      </c>
      <c r="DE792">
        <v>0</v>
      </c>
      <c r="DF792">
        <v>0</v>
      </c>
      <c r="DG792">
        <v>1</v>
      </c>
      <c r="DI792">
        <f t="shared" si="960"/>
        <v>1</v>
      </c>
      <c r="DJ792" t="str">
        <f t="shared" si="953"/>
        <v>TimberInput</v>
      </c>
      <c r="DK792">
        <f t="shared" si="954"/>
        <v>0</v>
      </c>
      <c r="DL792">
        <f t="shared" si="955"/>
        <v>0</v>
      </c>
      <c r="DM792">
        <f t="shared" si="956"/>
        <v>0</v>
      </c>
      <c r="DN792" t="str">
        <f t="shared" si="957"/>
        <v>Timber</v>
      </c>
      <c r="DO792">
        <v>0</v>
      </c>
      <c r="DP792">
        <v>0</v>
      </c>
      <c r="DQ792">
        <v>0</v>
      </c>
      <c r="DR792">
        <v>0</v>
      </c>
      <c r="DS792">
        <v>0</v>
      </c>
      <c r="DT792">
        <f t="shared" si="958"/>
        <v>0</v>
      </c>
      <c r="DU792" s="143" t="str">
        <f t="shared" si="959"/>
        <v>explicit C balance</v>
      </c>
      <c r="DV792">
        <v>0</v>
      </c>
      <c r="DW792">
        <v>0</v>
      </c>
      <c r="DX792">
        <v>0</v>
      </c>
      <c r="DY792">
        <v>1</v>
      </c>
      <c r="DZ792">
        <v>0</v>
      </c>
      <c r="EA792" s="143">
        <v>0</v>
      </c>
      <c r="EB792">
        <v>1</v>
      </c>
      <c r="EC792">
        <v>1</v>
      </c>
      <c r="ED792">
        <v>1</v>
      </c>
      <c r="EE792">
        <v>1</v>
      </c>
      <c r="EF792">
        <v>1</v>
      </c>
      <c r="EG792">
        <v>1</v>
      </c>
      <c r="EH792">
        <v>0</v>
      </c>
      <c r="EI792" s="2">
        <v>0</v>
      </c>
      <c r="EK792" t="str">
        <f t="shared" ref="EK792:EK805" si="968">IF(AND(AND(AND(OR($DX792=1,$DW792=1),OR($EC792=1,$EA792=1)),SUM($DV792:$DZ792,$EF792)&gt;=4),SUM($EA792:$EE792)&gt;=2),"Whole sector","")</f>
        <v/>
      </c>
      <c r="EL792" t="str">
        <f t="shared" ref="EL792:EL805" si="969">IF(AND(AND(OR($DX792=1,$DW792=1),AND($EC792=0,$EA792=0)),SUM($DV792:$DZ792,$EF792)&gt;=4),"Ecosystem approach","")</f>
        <v/>
      </c>
      <c r="EM792" s="2" t="str">
        <f t="shared" si="903"/>
        <v>Technology approach</v>
      </c>
      <c r="EP792" t="str">
        <f>IF(ISNUMBER(BU792),IF(ABS(BU792-[2]QC_indicators!$B$2)&gt;3*[2]QC_indicators!$C$2,"C ratio",IF(ISNUMBER(BY792),IF(ABS(BY792-[2]QC_indicators!$B$1)&gt;3*[2]QC_indicators!$C$1,"DF","no"))),IF(ISNUMBER(BY792),IF(ABS(BY792-[2]QC_indicators!$B$1)&gt;3*[2]QC_indicators!$C$1,"DF","no")))</f>
        <v>no</v>
      </c>
      <c r="ET792" s="264" t="s">
        <v>3150</v>
      </c>
      <c r="EU792" s="264"/>
    </row>
    <row r="793" spans="1:151" ht="15" hidden="1" customHeight="1">
      <c r="A793" s="1" t="s">
        <v>614</v>
      </c>
      <c r="B793" t="s">
        <v>1718</v>
      </c>
      <c r="C793" t="s">
        <v>1719</v>
      </c>
      <c r="D793" t="s">
        <v>1720</v>
      </c>
      <c r="E793" t="s">
        <v>1721</v>
      </c>
      <c r="F793" t="s">
        <v>1722</v>
      </c>
      <c r="G793" t="s">
        <v>620</v>
      </c>
      <c r="H793" t="s">
        <v>254</v>
      </c>
      <c r="I793">
        <v>2021</v>
      </c>
      <c r="J793">
        <v>2</v>
      </c>
      <c r="K793" t="s">
        <v>1723</v>
      </c>
      <c r="M793" t="str">
        <f t="shared" si="905"/>
        <v>Hawkins_2021</v>
      </c>
      <c r="N793" t="s">
        <v>222</v>
      </c>
      <c r="O793" s="145" t="s">
        <v>513</v>
      </c>
      <c r="Q793" t="s">
        <v>256</v>
      </c>
      <c r="R793" s="2" t="s">
        <v>274</v>
      </c>
      <c r="S793" s="1" t="s">
        <v>1735</v>
      </c>
      <c r="T793" t="s">
        <v>665</v>
      </c>
      <c r="U793" t="s">
        <v>1725</v>
      </c>
      <c r="V793">
        <v>0</v>
      </c>
      <c r="W793">
        <v>0</v>
      </c>
      <c r="X793">
        <v>0</v>
      </c>
      <c r="Y793">
        <v>0</v>
      </c>
      <c r="Z793">
        <v>0</v>
      </c>
      <c r="AA793">
        <v>0</v>
      </c>
      <c r="AB793">
        <v>0</v>
      </c>
      <c r="AC793">
        <v>0</v>
      </c>
      <c r="AD793">
        <v>0</v>
      </c>
      <c r="AE793">
        <v>0</v>
      </c>
      <c r="AF793">
        <v>0</v>
      </c>
      <c r="AG793">
        <v>0</v>
      </c>
      <c r="AH793">
        <v>0</v>
      </c>
      <c r="AI793">
        <v>0</v>
      </c>
      <c r="AJ793">
        <v>0</v>
      </c>
      <c r="AK793">
        <v>1</v>
      </c>
      <c r="AL793">
        <v>0</v>
      </c>
      <c r="AM793">
        <v>0</v>
      </c>
      <c r="AN793">
        <v>0</v>
      </c>
      <c r="AO793">
        <v>0</v>
      </c>
      <c r="AP793">
        <v>0</v>
      </c>
      <c r="AQ793">
        <v>0</v>
      </c>
      <c r="AR793">
        <v>0</v>
      </c>
      <c r="AS793">
        <v>0</v>
      </c>
      <c r="AT793">
        <v>0</v>
      </c>
      <c r="AU793">
        <v>0</v>
      </c>
      <c r="AV793">
        <v>0</v>
      </c>
      <c r="AW793">
        <v>0</v>
      </c>
      <c r="AX793" s="141">
        <f t="shared" si="935"/>
        <v>1</v>
      </c>
      <c r="AY793" s="141">
        <f t="shared" si="936"/>
        <v>1</v>
      </c>
      <c r="AZ793">
        <f t="shared" si="937"/>
        <v>0</v>
      </c>
      <c r="BA793">
        <f t="shared" si="938"/>
        <v>0</v>
      </c>
      <c r="BB793">
        <f t="shared" si="939"/>
        <v>1</v>
      </c>
      <c r="BC793">
        <f t="shared" si="940"/>
        <v>0</v>
      </c>
      <c r="BD793">
        <f t="shared" si="941"/>
        <v>0</v>
      </c>
      <c r="BE793" t="str">
        <f t="array" ref="BE793">IF(AY793=1,INDEX($V$7:$AL$7,MATCH(TRUE,INDEX($V793:$AW793&lt;&gt;0,),0)),IF(AY793=0,INDEX($AM$7:$AW$7,MATCH(1,$AM793:$AW793,0)),IF(BF793="Multiple strategies","mixed drivers",IF(BF793="Supply chain","multiple supply","multiple silviculture"))))</f>
        <v>technologies/design switch</v>
      </c>
      <c r="BF793" s="2" t="str" cm="1">
        <f t="array" ref="BF793">IF(COUNTIF(AZ793:BB793,"&lt;&gt;0")=1,INDEX($V$4:$AW$4,MATCH(TRUE,INDEX($V793:$AW793&lt;&gt;0,),0)),IF(COUNTIF(AZ793:BB793,"&lt;&gt;0")=0,INDEX($AM$4:$AW$4,MATCH(1,$AM793:$AW793,0)),"Multiple strategies"))</f>
        <v>Technology</v>
      </c>
      <c r="BG793" s="1" t="s">
        <v>229</v>
      </c>
      <c r="BH793" t="s">
        <v>229</v>
      </c>
      <c r="BJ793" t="s">
        <v>756</v>
      </c>
      <c r="BK793">
        <v>0</v>
      </c>
      <c r="BL793">
        <v>1105.3</v>
      </c>
      <c r="BN793">
        <f t="shared" si="961"/>
        <v>1105.3</v>
      </c>
      <c r="BO793">
        <f t="shared" si="962"/>
        <v>2255.7142857142858</v>
      </c>
      <c r="BP793" t="s">
        <v>232</v>
      </c>
      <c r="BQ793" s="264" t="s">
        <v>3260</v>
      </c>
      <c r="BR793" t="s">
        <v>728</v>
      </c>
      <c r="BS793" s="179">
        <v>-1120000</v>
      </c>
      <c r="BT793" s="179">
        <v>-816000</v>
      </c>
      <c r="BU793" s="144">
        <f t="shared" si="963"/>
        <v>0.72857142857142854</v>
      </c>
      <c r="BV793" s="179">
        <f t="shared" si="943"/>
        <v>304000</v>
      </c>
      <c r="BW793" s="179"/>
      <c r="BX793">
        <f t="shared" si="964"/>
        <v>304</v>
      </c>
      <c r="BY793">
        <f t="shared" si="902"/>
        <v>0.13476884103863204</v>
      </c>
      <c r="BZ793">
        <v>0</v>
      </c>
      <c r="CA793">
        <v>1</v>
      </c>
      <c r="CB793">
        <v>0</v>
      </c>
      <c r="CC793">
        <v>1</v>
      </c>
      <c r="CD793">
        <v>0</v>
      </c>
      <c r="CE793">
        <v>0</v>
      </c>
      <c r="CF793">
        <v>0</v>
      </c>
      <c r="CG793">
        <v>1</v>
      </c>
      <c r="CH793">
        <v>0</v>
      </c>
      <c r="CI793">
        <v>0</v>
      </c>
      <c r="CJ793">
        <v>0</v>
      </c>
      <c r="CK793">
        <v>0</v>
      </c>
      <c r="CL793">
        <v>0</v>
      </c>
      <c r="CM793">
        <v>0</v>
      </c>
      <c r="CN793" t="str">
        <f t="shared" si="945"/>
        <v>refOK</v>
      </c>
      <c r="CO793">
        <f t="shared" si="965"/>
        <v>0</v>
      </c>
      <c r="CP793">
        <f t="shared" si="966"/>
        <v>1105.3</v>
      </c>
      <c r="CQ793">
        <f t="shared" si="967"/>
        <v>2255.7142857142858</v>
      </c>
      <c r="CR793" s="272">
        <f t="shared" si="946"/>
        <v>-1120000</v>
      </c>
      <c r="CS793" s="272">
        <f t="shared" si="947"/>
        <v>-816000</v>
      </c>
      <c r="CT793">
        <f t="shared" si="948"/>
        <v>304</v>
      </c>
      <c r="CU793">
        <f t="shared" si="949"/>
        <v>0.13476884103863204</v>
      </c>
      <c r="CV793" s="2">
        <f t="shared" si="950"/>
        <v>0.27142857142857141</v>
      </c>
      <c r="CW793" s="1" t="s">
        <v>1202</v>
      </c>
      <c r="CX793" t="str">
        <f t="shared" si="951"/>
        <v>reg</v>
      </c>
      <c r="CY793" s="308" t="s">
        <v>3422</v>
      </c>
      <c r="DB793">
        <v>100</v>
      </c>
      <c r="DC793" t="str">
        <f t="shared" si="952"/>
        <v>71-100</v>
      </c>
      <c r="DD793">
        <v>0</v>
      </c>
      <c r="DE793">
        <v>0</v>
      </c>
      <c r="DF793">
        <v>0</v>
      </c>
      <c r="DG793">
        <v>1</v>
      </c>
      <c r="DI793">
        <f t="shared" si="960"/>
        <v>1</v>
      </c>
      <c r="DJ793" t="str">
        <f t="shared" si="953"/>
        <v>TimberInput</v>
      </c>
      <c r="DK793">
        <f t="shared" si="954"/>
        <v>0</v>
      </c>
      <c r="DL793">
        <f t="shared" si="955"/>
        <v>0</v>
      </c>
      <c r="DM793">
        <f t="shared" si="956"/>
        <v>0</v>
      </c>
      <c r="DN793" t="str">
        <f t="shared" si="957"/>
        <v>Timber</v>
      </c>
      <c r="DO793">
        <v>0</v>
      </c>
      <c r="DP793">
        <v>0</v>
      </c>
      <c r="DQ793">
        <v>0</v>
      </c>
      <c r="DR793">
        <v>0</v>
      </c>
      <c r="DS793">
        <v>0</v>
      </c>
      <c r="DT793">
        <f t="shared" si="958"/>
        <v>0</v>
      </c>
      <c r="DU793" s="143" t="str">
        <f t="shared" si="959"/>
        <v>explicit C balance</v>
      </c>
      <c r="DV793">
        <v>0</v>
      </c>
      <c r="DW793">
        <v>0</v>
      </c>
      <c r="DX793">
        <v>0</v>
      </c>
      <c r="DY793">
        <v>1</v>
      </c>
      <c r="DZ793">
        <v>0</v>
      </c>
      <c r="EA793" s="143">
        <v>0</v>
      </c>
      <c r="EB793">
        <v>1</v>
      </c>
      <c r="EC793">
        <v>1</v>
      </c>
      <c r="ED793">
        <v>1</v>
      </c>
      <c r="EE793">
        <v>1</v>
      </c>
      <c r="EF793">
        <v>1</v>
      </c>
      <c r="EG793">
        <v>1</v>
      </c>
      <c r="EH793">
        <v>0</v>
      </c>
      <c r="EI793" s="2">
        <v>0</v>
      </c>
      <c r="EK793" t="str">
        <f t="shared" si="968"/>
        <v/>
      </c>
      <c r="EL793" t="str">
        <f t="shared" si="969"/>
        <v/>
      </c>
      <c r="EM793" s="2" t="str">
        <f t="shared" si="903"/>
        <v>Technology approach</v>
      </c>
      <c r="EP793" t="str">
        <f>IF(ISNUMBER(BU793),IF(ABS(BU793-[2]QC_indicators!$B$2)&gt;3*[2]QC_indicators!$C$2,"C ratio",IF(ISNUMBER(BY793),IF(ABS(BY793-[2]QC_indicators!$B$1)&gt;3*[2]QC_indicators!$C$1,"DF","no"))),IF(ISNUMBER(BY793),IF(ABS(BY793-[2]QC_indicators!$B$1)&gt;3*[2]QC_indicators!$C$1,"DF","no")))</f>
        <v>no</v>
      </c>
      <c r="ET793" s="264" t="s">
        <v>3150</v>
      </c>
      <c r="EU793" s="264"/>
    </row>
    <row r="794" spans="1:151" ht="15" hidden="1" customHeight="1">
      <c r="A794" s="1" t="s">
        <v>614</v>
      </c>
      <c r="B794" t="s">
        <v>1718</v>
      </c>
      <c r="C794" t="s">
        <v>1719</v>
      </c>
      <c r="D794" t="s">
        <v>1720</v>
      </c>
      <c r="E794" t="s">
        <v>1721</v>
      </c>
      <c r="F794" t="s">
        <v>1722</v>
      </c>
      <c r="G794" t="s">
        <v>620</v>
      </c>
      <c r="H794" t="s">
        <v>254</v>
      </c>
      <c r="I794">
        <v>2021</v>
      </c>
      <c r="J794">
        <v>2</v>
      </c>
      <c r="K794" t="s">
        <v>1723</v>
      </c>
      <c r="M794" t="str">
        <f t="shared" si="905"/>
        <v>Hawkins_2021</v>
      </c>
      <c r="N794" t="s">
        <v>222</v>
      </c>
      <c r="O794" s="145" t="s">
        <v>513</v>
      </c>
      <c r="Q794" t="s">
        <v>256</v>
      </c>
      <c r="R794" s="2" t="s">
        <v>274</v>
      </c>
      <c r="S794" s="1" t="s">
        <v>1736</v>
      </c>
      <c r="T794" t="s">
        <v>1043</v>
      </c>
      <c r="U794" t="s">
        <v>1725</v>
      </c>
      <c r="V794">
        <v>0</v>
      </c>
      <c r="W794">
        <v>0</v>
      </c>
      <c r="X794">
        <v>0</v>
      </c>
      <c r="Y794">
        <v>0</v>
      </c>
      <c r="Z794">
        <v>0</v>
      </c>
      <c r="AA794">
        <v>0</v>
      </c>
      <c r="AB794">
        <v>0</v>
      </c>
      <c r="AC794">
        <v>0</v>
      </c>
      <c r="AD794">
        <v>0</v>
      </c>
      <c r="AE794">
        <v>0</v>
      </c>
      <c r="AF794">
        <v>0</v>
      </c>
      <c r="AG794">
        <v>0</v>
      </c>
      <c r="AH794">
        <v>0</v>
      </c>
      <c r="AI794">
        <v>0</v>
      </c>
      <c r="AJ794">
        <v>0</v>
      </c>
      <c r="AK794">
        <v>1</v>
      </c>
      <c r="AL794">
        <v>0</v>
      </c>
      <c r="AM794">
        <v>0</v>
      </c>
      <c r="AN794">
        <v>0</v>
      </c>
      <c r="AO794">
        <v>0</v>
      </c>
      <c r="AP794">
        <v>0</v>
      </c>
      <c r="AQ794">
        <v>0</v>
      </c>
      <c r="AR794">
        <v>0</v>
      </c>
      <c r="AS794">
        <v>0</v>
      </c>
      <c r="AT794">
        <v>0</v>
      </c>
      <c r="AU794">
        <v>0</v>
      </c>
      <c r="AV794">
        <v>0</v>
      </c>
      <c r="AW794">
        <v>0</v>
      </c>
      <c r="AX794" s="141">
        <f t="shared" si="935"/>
        <v>1</v>
      </c>
      <c r="AY794" s="141">
        <f t="shared" si="936"/>
        <v>1</v>
      </c>
      <c r="AZ794">
        <f t="shared" si="937"/>
        <v>0</v>
      </c>
      <c r="BA794">
        <f t="shared" si="938"/>
        <v>0</v>
      </c>
      <c r="BB794">
        <f t="shared" si="939"/>
        <v>1</v>
      </c>
      <c r="BC794">
        <f t="shared" si="940"/>
        <v>0</v>
      </c>
      <c r="BD794">
        <f t="shared" si="941"/>
        <v>0</v>
      </c>
      <c r="BE794" t="str">
        <f t="array" ref="BE794">IF(AY794=1,INDEX($V$7:$AL$7,MATCH(TRUE,INDEX($V794:$AW794&lt;&gt;0,),0)),IF(AY794=0,INDEX($AM$7:$AW$7,MATCH(1,$AM794:$AW794,0)),IF(BF794="Multiple strategies","mixed drivers",IF(BF794="Supply chain","multiple supply","multiple silviculture"))))</f>
        <v>technologies/design switch</v>
      </c>
      <c r="BF794" s="2" t="str" cm="1">
        <f t="array" ref="BF794">IF(COUNTIF(AZ794:BB794,"&lt;&gt;0")=1,INDEX($V$4:$AW$4,MATCH(TRUE,INDEX($V794:$AW794&lt;&gt;0,),0)),IF(COUNTIF(AZ794:BB794,"&lt;&gt;0")=0,INDEX($AM$4:$AW$4,MATCH(1,$AM794:$AW794,0)),"Multiple strategies"))</f>
        <v>Technology</v>
      </c>
      <c r="BG794" s="1" t="s">
        <v>229</v>
      </c>
      <c r="BH794" t="s">
        <v>229</v>
      </c>
      <c r="BJ794" t="s">
        <v>756</v>
      </c>
      <c r="BK794">
        <v>0</v>
      </c>
      <c r="BL794">
        <v>1105.3</v>
      </c>
      <c r="BN794">
        <f t="shared" si="961"/>
        <v>1105.3</v>
      </c>
      <c r="BO794">
        <f t="shared" si="962"/>
        <v>2255.7142857142858</v>
      </c>
      <c r="BP794" t="s">
        <v>232</v>
      </c>
      <c r="BQ794" s="264" t="s">
        <v>3260</v>
      </c>
      <c r="BR794" t="s">
        <v>728</v>
      </c>
      <c r="BS794" s="179">
        <v>-2200000</v>
      </c>
      <c r="BT794" s="179">
        <v>-1310000</v>
      </c>
      <c r="BU794" s="144">
        <f t="shared" si="963"/>
        <v>0.59545454545454546</v>
      </c>
      <c r="BV794" s="179">
        <f t="shared" si="943"/>
        <v>890000</v>
      </c>
      <c r="BW794" s="179"/>
      <c r="BX794">
        <f t="shared" si="964"/>
        <v>890</v>
      </c>
      <c r="BY794">
        <f t="shared" si="902"/>
        <v>0.39455351488283724</v>
      </c>
      <c r="BZ794">
        <v>0</v>
      </c>
      <c r="CA794">
        <v>1</v>
      </c>
      <c r="CB794">
        <v>0</v>
      </c>
      <c r="CC794">
        <v>1</v>
      </c>
      <c r="CD794">
        <v>0</v>
      </c>
      <c r="CE794">
        <v>0</v>
      </c>
      <c r="CF794">
        <v>0</v>
      </c>
      <c r="CG794">
        <v>1</v>
      </c>
      <c r="CH794">
        <v>0</v>
      </c>
      <c r="CI794">
        <v>0</v>
      </c>
      <c r="CJ794">
        <v>0</v>
      </c>
      <c r="CK794">
        <v>0</v>
      </c>
      <c r="CL794">
        <v>0</v>
      </c>
      <c r="CM794">
        <v>0</v>
      </c>
      <c r="CN794" t="str">
        <f t="shared" si="945"/>
        <v>refOK</v>
      </c>
      <c r="CO794">
        <f t="shared" si="965"/>
        <v>0</v>
      </c>
      <c r="CP794">
        <f t="shared" si="966"/>
        <v>1105.3</v>
      </c>
      <c r="CQ794">
        <f t="shared" si="967"/>
        <v>2255.7142857142858</v>
      </c>
      <c r="CR794" s="273">
        <f t="shared" si="946"/>
        <v>-2200000</v>
      </c>
      <c r="CS794" s="273">
        <f t="shared" si="947"/>
        <v>-1310000</v>
      </c>
      <c r="CT794">
        <f t="shared" si="948"/>
        <v>890</v>
      </c>
      <c r="CU794">
        <f t="shared" si="949"/>
        <v>0.39455351488283724</v>
      </c>
      <c r="CV794" s="2">
        <f t="shared" si="950"/>
        <v>0.40454545454545454</v>
      </c>
      <c r="CW794" s="1" t="s">
        <v>1202</v>
      </c>
      <c r="CX794" t="str">
        <f t="shared" si="951"/>
        <v>reg</v>
      </c>
      <c r="CY794" s="308" t="s">
        <v>3422</v>
      </c>
      <c r="DB794">
        <v>2</v>
      </c>
      <c r="DC794" t="str">
        <f t="shared" si="952"/>
        <v>1-30</v>
      </c>
      <c r="DD794">
        <v>0</v>
      </c>
      <c r="DE794">
        <v>0</v>
      </c>
      <c r="DF794">
        <v>0</v>
      </c>
      <c r="DG794">
        <v>1</v>
      </c>
      <c r="DI794">
        <f t="shared" si="960"/>
        <v>1</v>
      </c>
      <c r="DJ794" t="str">
        <f t="shared" si="953"/>
        <v>TimberInput</v>
      </c>
      <c r="DK794">
        <f t="shared" si="954"/>
        <v>0</v>
      </c>
      <c r="DL794">
        <f t="shared" si="955"/>
        <v>0</v>
      </c>
      <c r="DM794">
        <f t="shared" si="956"/>
        <v>0</v>
      </c>
      <c r="DN794" t="str">
        <f t="shared" si="957"/>
        <v>Timber</v>
      </c>
      <c r="DO794">
        <v>0</v>
      </c>
      <c r="DP794">
        <v>0</v>
      </c>
      <c r="DQ794">
        <v>0</v>
      </c>
      <c r="DR794">
        <v>0</v>
      </c>
      <c r="DS794">
        <v>0</v>
      </c>
      <c r="DT794">
        <f t="shared" si="958"/>
        <v>0</v>
      </c>
      <c r="DU794" s="143" t="str">
        <f t="shared" si="959"/>
        <v>explicit C balance</v>
      </c>
      <c r="DV794">
        <v>0</v>
      </c>
      <c r="DW794">
        <v>0</v>
      </c>
      <c r="DX794">
        <v>0</v>
      </c>
      <c r="DY794">
        <v>1</v>
      </c>
      <c r="DZ794">
        <v>0</v>
      </c>
      <c r="EA794" s="143">
        <v>0</v>
      </c>
      <c r="EB794">
        <v>1</v>
      </c>
      <c r="EC794">
        <v>1</v>
      </c>
      <c r="ED794">
        <v>1</v>
      </c>
      <c r="EE794">
        <v>1</v>
      </c>
      <c r="EF794">
        <v>1</v>
      </c>
      <c r="EG794">
        <v>1</v>
      </c>
      <c r="EH794">
        <v>0</v>
      </c>
      <c r="EI794" s="2">
        <v>0</v>
      </c>
      <c r="EK794" t="str">
        <f t="shared" si="968"/>
        <v/>
      </c>
      <c r="EL794" t="str">
        <f t="shared" si="969"/>
        <v/>
      </c>
      <c r="EM794" s="2" t="str">
        <f t="shared" si="903"/>
        <v>Technology approach</v>
      </c>
      <c r="EP794" t="str">
        <f>IF(ISNUMBER(BU794),IF(ABS(BU794-[2]QC_indicators!$B$2)&gt;3*[2]QC_indicators!$C$2,"C ratio",IF(ISNUMBER(BY794),IF(ABS(BY794-[2]QC_indicators!$B$1)&gt;3*[2]QC_indicators!$C$1,"DF","no"))),IF(ISNUMBER(BY794),IF(ABS(BY794-[2]QC_indicators!$B$1)&gt;3*[2]QC_indicators!$C$1,"DF","no")))</f>
        <v>no</v>
      </c>
      <c r="ET794" s="264" t="s">
        <v>3150</v>
      </c>
      <c r="EU794" s="264"/>
    </row>
    <row r="795" spans="1:151" ht="15" hidden="1" customHeight="1">
      <c r="A795" s="1" t="s">
        <v>614</v>
      </c>
      <c r="B795" t="s">
        <v>1718</v>
      </c>
      <c r="C795" t="s">
        <v>1719</v>
      </c>
      <c r="D795" t="s">
        <v>1720</v>
      </c>
      <c r="E795" t="s">
        <v>1721</v>
      </c>
      <c r="F795" t="s">
        <v>1722</v>
      </c>
      <c r="G795" t="s">
        <v>620</v>
      </c>
      <c r="H795" t="s">
        <v>254</v>
      </c>
      <c r="I795">
        <v>2021</v>
      </c>
      <c r="J795">
        <v>2</v>
      </c>
      <c r="K795" t="s">
        <v>1723</v>
      </c>
      <c r="M795" t="str">
        <f t="shared" si="905"/>
        <v>Hawkins_2021</v>
      </c>
      <c r="N795" t="s">
        <v>222</v>
      </c>
      <c r="O795" s="145" t="s">
        <v>513</v>
      </c>
      <c r="Q795" t="s">
        <v>256</v>
      </c>
      <c r="R795" s="2" t="s">
        <v>274</v>
      </c>
      <c r="S795" s="1" t="s">
        <v>1737</v>
      </c>
      <c r="T795" t="s">
        <v>1043</v>
      </c>
      <c r="U795" t="s">
        <v>1725</v>
      </c>
      <c r="V795">
        <v>0</v>
      </c>
      <c r="W795">
        <v>0</v>
      </c>
      <c r="X795">
        <v>0</v>
      </c>
      <c r="Y795">
        <v>0</v>
      </c>
      <c r="Z795">
        <v>0</v>
      </c>
      <c r="AA795">
        <v>0</v>
      </c>
      <c r="AB795">
        <v>0</v>
      </c>
      <c r="AC795">
        <v>0</v>
      </c>
      <c r="AD795">
        <v>0</v>
      </c>
      <c r="AE795">
        <v>0</v>
      </c>
      <c r="AF795">
        <v>0</v>
      </c>
      <c r="AG795">
        <v>0</v>
      </c>
      <c r="AH795">
        <v>0</v>
      </c>
      <c r="AI795">
        <v>0</v>
      </c>
      <c r="AJ795">
        <v>0</v>
      </c>
      <c r="AK795">
        <v>1</v>
      </c>
      <c r="AL795">
        <v>0</v>
      </c>
      <c r="AM795">
        <v>0</v>
      </c>
      <c r="AN795">
        <v>0</v>
      </c>
      <c r="AO795">
        <v>0</v>
      </c>
      <c r="AP795">
        <v>0</v>
      </c>
      <c r="AQ795">
        <v>0</v>
      </c>
      <c r="AR795">
        <v>0</v>
      </c>
      <c r="AS795">
        <v>0</v>
      </c>
      <c r="AT795">
        <v>0</v>
      </c>
      <c r="AU795">
        <v>0</v>
      </c>
      <c r="AV795">
        <v>0</v>
      </c>
      <c r="AW795">
        <v>0</v>
      </c>
      <c r="AX795" s="141">
        <f t="shared" si="935"/>
        <v>1</v>
      </c>
      <c r="AY795" s="141">
        <f t="shared" si="936"/>
        <v>1</v>
      </c>
      <c r="AZ795">
        <f t="shared" si="937"/>
        <v>0</v>
      </c>
      <c r="BA795">
        <f t="shared" si="938"/>
        <v>0</v>
      </c>
      <c r="BB795">
        <f t="shared" si="939"/>
        <v>1</v>
      </c>
      <c r="BC795">
        <f t="shared" si="940"/>
        <v>0</v>
      </c>
      <c r="BD795">
        <f t="shared" si="941"/>
        <v>0</v>
      </c>
      <c r="BE795" t="str">
        <f t="array" ref="BE795">IF(AY795=1,INDEX($V$7:$AL$7,MATCH(TRUE,INDEX($V795:$AW795&lt;&gt;0,),0)),IF(AY795=0,INDEX($AM$7:$AW$7,MATCH(1,$AM795:$AW795,0)),IF(BF795="Multiple strategies","mixed drivers",IF(BF795="Supply chain","multiple supply","multiple silviculture"))))</f>
        <v>technologies/design switch</v>
      </c>
      <c r="BF795" s="2" t="str" cm="1">
        <f t="array" ref="BF795">IF(COUNTIF(AZ795:BB795,"&lt;&gt;0")=1,INDEX($V$4:$AW$4,MATCH(TRUE,INDEX($V795:$AW795&lt;&gt;0,),0)),IF(COUNTIF(AZ795:BB795,"&lt;&gt;0")=0,INDEX($AM$4:$AW$4,MATCH(1,$AM795:$AW795,0)),"Multiple strategies"))</f>
        <v>Technology</v>
      </c>
      <c r="BG795" s="1" t="s">
        <v>229</v>
      </c>
      <c r="BH795" t="s">
        <v>229</v>
      </c>
      <c r="BJ795" t="s">
        <v>756</v>
      </c>
      <c r="BK795">
        <v>0</v>
      </c>
      <c r="BL795">
        <v>1105.3</v>
      </c>
      <c r="BN795">
        <f t="shared" si="961"/>
        <v>1105.3</v>
      </c>
      <c r="BO795">
        <f t="shared" si="962"/>
        <v>2255.7142857142858</v>
      </c>
      <c r="BP795" t="s">
        <v>232</v>
      </c>
      <c r="BQ795" s="264" t="s">
        <v>3260</v>
      </c>
      <c r="BR795" t="s">
        <v>728</v>
      </c>
      <c r="BS795" s="179">
        <v>-1250000</v>
      </c>
      <c r="BT795" s="179">
        <v>10200</v>
      </c>
      <c r="BU795" s="144">
        <f t="shared" si="963"/>
        <v>-8.1600000000000006E-3</v>
      </c>
      <c r="BV795" s="179">
        <f t="shared" si="943"/>
        <v>1260200</v>
      </c>
      <c r="BW795" s="179"/>
      <c r="BX795">
        <f t="shared" si="964"/>
        <v>1260.2</v>
      </c>
      <c r="BY795">
        <f t="shared" si="902"/>
        <v>0.55867004433185563</v>
      </c>
      <c r="BZ795">
        <v>0</v>
      </c>
      <c r="CA795">
        <v>1</v>
      </c>
      <c r="CB795">
        <v>0</v>
      </c>
      <c r="CC795">
        <v>1</v>
      </c>
      <c r="CD795">
        <v>0</v>
      </c>
      <c r="CE795">
        <v>0</v>
      </c>
      <c r="CF795">
        <v>0</v>
      </c>
      <c r="CG795">
        <v>1</v>
      </c>
      <c r="CH795">
        <v>0</v>
      </c>
      <c r="CI795">
        <v>0</v>
      </c>
      <c r="CJ795">
        <v>0</v>
      </c>
      <c r="CK795">
        <v>0</v>
      </c>
      <c r="CL795">
        <v>0</v>
      </c>
      <c r="CM795">
        <v>0</v>
      </c>
      <c r="CN795" t="str">
        <f t="shared" si="945"/>
        <v>refOK</v>
      </c>
      <c r="CO795">
        <f t="shared" si="965"/>
        <v>0</v>
      </c>
      <c r="CP795">
        <f t="shared" si="966"/>
        <v>1105.3</v>
      </c>
      <c r="CQ795">
        <f t="shared" si="967"/>
        <v>2255.7142857142858</v>
      </c>
      <c r="CR795" s="273">
        <f t="shared" si="946"/>
        <v>-1250000</v>
      </c>
      <c r="CS795" s="273">
        <f t="shared" si="947"/>
        <v>10200</v>
      </c>
      <c r="CT795">
        <f t="shared" si="948"/>
        <v>1260.2</v>
      </c>
      <c r="CU795">
        <f t="shared" si="949"/>
        <v>0.55867004433185563</v>
      </c>
      <c r="CV795" s="2">
        <f t="shared" si="950"/>
        <v>1.0081599999999999</v>
      </c>
      <c r="CW795" s="1" t="s">
        <v>1202</v>
      </c>
      <c r="CX795" t="str">
        <f t="shared" si="951"/>
        <v>reg</v>
      </c>
      <c r="CY795" s="308" t="s">
        <v>3422</v>
      </c>
      <c r="DB795">
        <v>35</v>
      </c>
      <c r="DC795" t="str">
        <f t="shared" si="952"/>
        <v>31-70</v>
      </c>
      <c r="DD795">
        <v>0</v>
      </c>
      <c r="DE795">
        <v>0</v>
      </c>
      <c r="DF795">
        <v>0</v>
      </c>
      <c r="DG795">
        <v>1</v>
      </c>
      <c r="DI795">
        <f t="shared" si="960"/>
        <v>1</v>
      </c>
      <c r="DJ795" t="str">
        <f t="shared" si="953"/>
        <v>TimberInput</v>
      </c>
      <c r="DK795">
        <f t="shared" si="954"/>
        <v>0</v>
      </c>
      <c r="DL795">
        <f t="shared" si="955"/>
        <v>0</v>
      </c>
      <c r="DM795">
        <f t="shared" si="956"/>
        <v>0</v>
      </c>
      <c r="DN795" t="str">
        <f t="shared" si="957"/>
        <v>Timber</v>
      </c>
      <c r="DO795">
        <v>0</v>
      </c>
      <c r="DP795">
        <v>0</v>
      </c>
      <c r="DQ795">
        <v>0</v>
      </c>
      <c r="DR795">
        <v>0</v>
      </c>
      <c r="DS795">
        <v>0</v>
      </c>
      <c r="DT795">
        <f t="shared" si="958"/>
        <v>0</v>
      </c>
      <c r="DU795" s="143" t="str">
        <f t="shared" si="959"/>
        <v>explicit C balance</v>
      </c>
      <c r="DV795">
        <v>0</v>
      </c>
      <c r="DW795">
        <v>0</v>
      </c>
      <c r="DX795">
        <v>0</v>
      </c>
      <c r="DY795">
        <v>1</v>
      </c>
      <c r="DZ795">
        <v>0</v>
      </c>
      <c r="EA795" s="143">
        <v>0</v>
      </c>
      <c r="EB795">
        <v>1</v>
      </c>
      <c r="EC795">
        <v>1</v>
      </c>
      <c r="ED795">
        <v>1</v>
      </c>
      <c r="EE795">
        <v>1</v>
      </c>
      <c r="EF795">
        <v>1</v>
      </c>
      <c r="EG795">
        <v>1</v>
      </c>
      <c r="EH795">
        <v>0</v>
      </c>
      <c r="EI795" s="2">
        <v>0</v>
      </c>
      <c r="EK795" t="str">
        <f t="shared" si="968"/>
        <v/>
      </c>
      <c r="EL795" t="str">
        <f t="shared" si="969"/>
        <v/>
      </c>
      <c r="EM795" s="2" t="str">
        <f t="shared" si="903"/>
        <v>Technology approach</v>
      </c>
      <c r="EP795" t="str">
        <f>IF(ISNUMBER(BU795),IF(ABS(BU795-[2]QC_indicators!$B$2)&gt;3*[2]QC_indicators!$C$2,"C ratio",IF(ISNUMBER(BY795),IF(ABS(BY795-[2]QC_indicators!$B$1)&gt;3*[2]QC_indicators!$C$1,"DF","no"))),IF(ISNUMBER(BY795),IF(ABS(BY795-[2]QC_indicators!$B$1)&gt;3*[2]QC_indicators!$C$1,"DF","no")))</f>
        <v>no</v>
      </c>
      <c r="ET795" s="264" t="s">
        <v>3150</v>
      </c>
      <c r="EU795" s="264"/>
    </row>
    <row r="796" spans="1:151" ht="15" hidden="1" customHeight="1">
      <c r="A796" s="1" t="s">
        <v>614</v>
      </c>
      <c r="B796" t="s">
        <v>1718</v>
      </c>
      <c r="C796" t="s">
        <v>1719</v>
      </c>
      <c r="D796" t="s">
        <v>1720</v>
      </c>
      <c r="E796" t="s">
        <v>1721</v>
      </c>
      <c r="F796" t="s">
        <v>1722</v>
      </c>
      <c r="G796" t="s">
        <v>620</v>
      </c>
      <c r="H796" t="s">
        <v>254</v>
      </c>
      <c r="I796">
        <v>2021</v>
      </c>
      <c r="J796">
        <v>2</v>
      </c>
      <c r="K796" t="s">
        <v>1723</v>
      </c>
      <c r="M796" t="str">
        <f t="shared" si="905"/>
        <v>Hawkins_2021</v>
      </c>
      <c r="N796" t="s">
        <v>222</v>
      </c>
      <c r="O796" s="145" t="s">
        <v>513</v>
      </c>
      <c r="Q796" t="s">
        <v>256</v>
      </c>
      <c r="R796" s="2" t="s">
        <v>274</v>
      </c>
      <c r="S796" s="1" t="s">
        <v>1738</v>
      </c>
      <c r="T796" t="s">
        <v>665</v>
      </c>
      <c r="U796" t="s">
        <v>1725</v>
      </c>
      <c r="V796">
        <v>0</v>
      </c>
      <c r="W796">
        <v>0</v>
      </c>
      <c r="X796">
        <v>0</v>
      </c>
      <c r="Y796">
        <v>0</v>
      </c>
      <c r="Z796">
        <v>0</v>
      </c>
      <c r="AA796">
        <v>0</v>
      </c>
      <c r="AB796">
        <v>0</v>
      </c>
      <c r="AC796">
        <v>0</v>
      </c>
      <c r="AD796">
        <v>0</v>
      </c>
      <c r="AE796">
        <v>0</v>
      </c>
      <c r="AF796">
        <v>0</v>
      </c>
      <c r="AG796">
        <v>0</v>
      </c>
      <c r="AH796">
        <v>0</v>
      </c>
      <c r="AI796">
        <v>0</v>
      </c>
      <c r="AJ796">
        <v>0</v>
      </c>
      <c r="AK796">
        <v>1</v>
      </c>
      <c r="AL796">
        <v>0</v>
      </c>
      <c r="AM796">
        <v>0</v>
      </c>
      <c r="AN796">
        <v>0</v>
      </c>
      <c r="AO796">
        <v>0</v>
      </c>
      <c r="AP796">
        <v>0</v>
      </c>
      <c r="AQ796">
        <v>0</v>
      </c>
      <c r="AR796">
        <v>0</v>
      </c>
      <c r="AS796">
        <v>0</v>
      </c>
      <c r="AT796">
        <v>0</v>
      </c>
      <c r="AU796">
        <v>0</v>
      </c>
      <c r="AV796">
        <v>0</v>
      </c>
      <c r="AW796">
        <v>0</v>
      </c>
      <c r="AX796" s="141">
        <f t="shared" si="935"/>
        <v>1</v>
      </c>
      <c r="AY796" s="141">
        <f t="shared" si="936"/>
        <v>1</v>
      </c>
      <c r="AZ796">
        <f t="shared" si="937"/>
        <v>0</v>
      </c>
      <c r="BA796">
        <f t="shared" si="938"/>
        <v>0</v>
      </c>
      <c r="BB796">
        <f t="shared" si="939"/>
        <v>1</v>
      </c>
      <c r="BC796">
        <f t="shared" si="940"/>
        <v>0</v>
      </c>
      <c r="BD796">
        <f t="shared" si="941"/>
        <v>0</v>
      </c>
      <c r="BE796" t="str">
        <f t="array" ref="BE796">IF(AY796=1,INDEX($V$7:$AL$7,MATCH(TRUE,INDEX($V796:$AW796&lt;&gt;0,),0)),IF(AY796=0,INDEX($AM$7:$AW$7,MATCH(1,$AM796:$AW796,0)),IF(BF796="Multiple strategies","mixed drivers",IF(BF796="Supply chain","multiple supply","multiple silviculture"))))</f>
        <v>technologies/design switch</v>
      </c>
      <c r="BF796" s="2" t="str" cm="1">
        <f t="array" ref="BF796">IF(COUNTIF(AZ796:BB796,"&lt;&gt;0")=1,INDEX($V$4:$AW$4,MATCH(TRUE,INDEX($V796:$AW796&lt;&gt;0,),0)),IF(COUNTIF(AZ796:BB796,"&lt;&gt;0")=0,INDEX($AM$4:$AW$4,MATCH(1,$AM796:$AW796,0)),"Multiple strategies"))</f>
        <v>Technology</v>
      </c>
      <c r="BG796" s="1" t="s">
        <v>229</v>
      </c>
      <c r="BH796" t="s">
        <v>229</v>
      </c>
      <c r="BJ796" t="s">
        <v>756</v>
      </c>
      <c r="BK796">
        <v>0</v>
      </c>
      <c r="BL796">
        <v>1105.3</v>
      </c>
      <c r="BN796">
        <f t="shared" si="961"/>
        <v>1105.3</v>
      </c>
      <c r="BO796">
        <f t="shared" si="962"/>
        <v>2255.7142857142858</v>
      </c>
      <c r="BP796" t="s">
        <v>232</v>
      </c>
      <c r="BQ796" s="264" t="s">
        <v>3260</v>
      </c>
      <c r="BR796" t="s">
        <v>728</v>
      </c>
      <c r="BS796" s="179">
        <v>-2790000</v>
      </c>
      <c r="BT796" s="179">
        <v>-1310000</v>
      </c>
      <c r="BU796" s="144">
        <f t="shared" si="963"/>
        <v>0.46953405017921146</v>
      </c>
      <c r="BV796" s="179">
        <f t="shared" si="943"/>
        <v>1480000</v>
      </c>
      <c r="BW796" s="179"/>
      <c r="BX796">
        <f t="shared" si="964"/>
        <v>1480</v>
      </c>
      <c r="BY796">
        <f t="shared" si="902"/>
        <v>0.6561114629512349</v>
      </c>
      <c r="BZ796">
        <v>0</v>
      </c>
      <c r="CA796">
        <v>1</v>
      </c>
      <c r="CB796">
        <v>0</v>
      </c>
      <c r="CC796">
        <v>1</v>
      </c>
      <c r="CD796">
        <v>0</v>
      </c>
      <c r="CE796">
        <v>0</v>
      </c>
      <c r="CF796">
        <v>0</v>
      </c>
      <c r="CG796">
        <v>1</v>
      </c>
      <c r="CH796">
        <v>0</v>
      </c>
      <c r="CI796">
        <v>0</v>
      </c>
      <c r="CJ796">
        <v>0</v>
      </c>
      <c r="CK796">
        <v>0</v>
      </c>
      <c r="CL796">
        <v>0</v>
      </c>
      <c r="CM796">
        <v>0</v>
      </c>
      <c r="CN796" t="str">
        <f t="shared" si="945"/>
        <v>refOK</v>
      </c>
      <c r="CO796">
        <f t="shared" si="965"/>
        <v>0</v>
      </c>
      <c r="CP796">
        <f t="shared" si="966"/>
        <v>1105.3</v>
      </c>
      <c r="CQ796">
        <f t="shared" si="967"/>
        <v>2255.7142857142858</v>
      </c>
      <c r="CR796" s="273">
        <f t="shared" si="946"/>
        <v>-2790000</v>
      </c>
      <c r="CS796" s="273">
        <f t="shared" si="947"/>
        <v>-1310000</v>
      </c>
      <c r="CT796">
        <f t="shared" si="948"/>
        <v>1480</v>
      </c>
      <c r="CU796">
        <f t="shared" si="949"/>
        <v>0.6561114629512349</v>
      </c>
      <c r="CV796" s="2">
        <f t="shared" si="950"/>
        <v>0.53046594982078854</v>
      </c>
      <c r="CW796" s="1" t="s">
        <v>1202</v>
      </c>
      <c r="CX796" t="str">
        <f t="shared" si="951"/>
        <v>reg</v>
      </c>
      <c r="CY796" s="308" t="s">
        <v>3422</v>
      </c>
      <c r="DB796">
        <v>2</v>
      </c>
      <c r="DC796" t="str">
        <f t="shared" si="952"/>
        <v>1-30</v>
      </c>
      <c r="DD796">
        <v>0</v>
      </c>
      <c r="DE796">
        <v>0</v>
      </c>
      <c r="DF796">
        <v>0</v>
      </c>
      <c r="DG796">
        <v>1</v>
      </c>
      <c r="DI796">
        <f t="shared" si="960"/>
        <v>1</v>
      </c>
      <c r="DJ796" t="str">
        <f t="shared" si="953"/>
        <v>TimberInput</v>
      </c>
      <c r="DK796">
        <f t="shared" si="954"/>
        <v>0</v>
      </c>
      <c r="DL796">
        <f t="shared" si="955"/>
        <v>0</v>
      </c>
      <c r="DM796">
        <f t="shared" si="956"/>
        <v>0</v>
      </c>
      <c r="DN796" t="str">
        <f t="shared" si="957"/>
        <v>Timber</v>
      </c>
      <c r="DO796">
        <v>0</v>
      </c>
      <c r="DP796">
        <v>0</v>
      </c>
      <c r="DQ796">
        <v>0</v>
      </c>
      <c r="DR796">
        <v>0</v>
      </c>
      <c r="DS796">
        <v>0</v>
      </c>
      <c r="DT796">
        <f t="shared" si="958"/>
        <v>0</v>
      </c>
      <c r="DU796" s="143" t="str">
        <f t="shared" si="959"/>
        <v>explicit C balance</v>
      </c>
      <c r="DV796">
        <v>0</v>
      </c>
      <c r="DW796">
        <v>0</v>
      </c>
      <c r="DX796">
        <v>0</v>
      </c>
      <c r="DY796">
        <v>1</v>
      </c>
      <c r="DZ796">
        <v>0</v>
      </c>
      <c r="EA796" s="143">
        <v>0</v>
      </c>
      <c r="EB796">
        <v>1</v>
      </c>
      <c r="EC796">
        <v>1</v>
      </c>
      <c r="ED796">
        <v>1</v>
      </c>
      <c r="EE796">
        <v>1</v>
      </c>
      <c r="EF796">
        <v>1</v>
      </c>
      <c r="EG796">
        <v>1</v>
      </c>
      <c r="EH796">
        <v>0</v>
      </c>
      <c r="EI796" s="2">
        <v>0</v>
      </c>
      <c r="EK796" t="str">
        <f t="shared" si="968"/>
        <v/>
      </c>
      <c r="EL796" t="str">
        <f t="shared" si="969"/>
        <v/>
      </c>
      <c r="EM796" s="2" t="str">
        <f t="shared" si="903"/>
        <v>Technology approach</v>
      </c>
      <c r="EP796" t="str">
        <f>IF(ISNUMBER(BU796),IF(ABS(BU796-[2]QC_indicators!$B$2)&gt;3*[2]QC_indicators!$C$2,"C ratio",IF(ISNUMBER(BY796),IF(ABS(BY796-[2]QC_indicators!$B$1)&gt;3*[2]QC_indicators!$C$1,"DF","no"))),IF(ISNUMBER(BY796),IF(ABS(BY796-[2]QC_indicators!$B$1)&gt;3*[2]QC_indicators!$C$1,"DF","no")))</f>
        <v>no</v>
      </c>
      <c r="ET796" s="264" t="s">
        <v>3150</v>
      </c>
      <c r="EU796" s="264"/>
    </row>
    <row r="797" spans="1:151" ht="15" hidden="1" customHeight="1">
      <c r="A797" s="1" t="s">
        <v>614</v>
      </c>
      <c r="B797" t="s">
        <v>1718</v>
      </c>
      <c r="C797" t="s">
        <v>1719</v>
      </c>
      <c r="D797" t="s">
        <v>1720</v>
      </c>
      <c r="E797" t="s">
        <v>1721</v>
      </c>
      <c r="F797" t="s">
        <v>1722</v>
      </c>
      <c r="G797" t="s">
        <v>620</v>
      </c>
      <c r="H797" t="s">
        <v>254</v>
      </c>
      <c r="I797">
        <v>2021</v>
      </c>
      <c r="J797">
        <v>2</v>
      </c>
      <c r="K797" t="s">
        <v>1723</v>
      </c>
      <c r="M797" t="str">
        <f t="shared" si="905"/>
        <v>Hawkins_2021</v>
      </c>
      <c r="N797" t="s">
        <v>222</v>
      </c>
      <c r="O797" s="145" t="s">
        <v>513</v>
      </c>
      <c r="Q797" t="s">
        <v>256</v>
      </c>
      <c r="R797" s="2" t="s">
        <v>274</v>
      </c>
      <c r="S797" s="1" t="s">
        <v>1739</v>
      </c>
      <c r="T797" t="s">
        <v>665</v>
      </c>
      <c r="U797" t="s">
        <v>1725</v>
      </c>
      <c r="V797">
        <v>0</v>
      </c>
      <c r="W797">
        <v>0</v>
      </c>
      <c r="X797">
        <v>0</v>
      </c>
      <c r="Y797">
        <v>0</v>
      </c>
      <c r="Z797">
        <v>0</v>
      </c>
      <c r="AA797">
        <v>0</v>
      </c>
      <c r="AB797">
        <v>0</v>
      </c>
      <c r="AC797">
        <v>0</v>
      </c>
      <c r="AD797">
        <v>0</v>
      </c>
      <c r="AE797">
        <v>0</v>
      </c>
      <c r="AF797">
        <v>0</v>
      </c>
      <c r="AG797">
        <v>0</v>
      </c>
      <c r="AH797">
        <v>0</v>
      </c>
      <c r="AI797">
        <v>0</v>
      </c>
      <c r="AJ797">
        <v>0</v>
      </c>
      <c r="AK797">
        <v>1</v>
      </c>
      <c r="AL797">
        <v>0</v>
      </c>
      <c r="AM797">
        <v>0</v>
      </c>
      <c r="AN797">
        <v>0</v>
      </c>
      <c r="AO797">
        <v>0</v>
      </c>
      <c r="AP797">
        <v>0</v>
      </c>
      <c r="AQ797">
        <v>0</v>
      </c>
      <c r="AR797">
        <v>0</v>
      </c>
      <c r="AS797">
        <v>0</v>
      </c>
      <c r="AT797">
        <v>0</v>
      </c>
      <c r="AU797">
        <v>0</v>
      </c>
      <c r="AV797">
        <v>0</v>
      </c>
      <c r="AW797">
        <v>0</v>
      </c>
      <c r="AX797" s="141">
        <f t="shared" si="935"/>
        <v>1</v>
      </c>
      <c r="AY797" s="141">
        <f t="shared" si="936"/>
        <v>1</v>
      </c>
      <c r="AZ797">
        <f t="shared" si="937"/>
        <v>0</v>
      </c>
      <c r="BA797">
        <f t="shared" si="938"/>
        <v>0</v>
      </c>
      <c r="BB797">
        <f t="shared" si="939"/>
        <v>1</v>
      </c>
      <c r="BC797">
        <f t="shared" si="940"/>
        <v>0</v>
      </c>
      <c r="BD797">
        <f t="shared" si="941"/>
        <v>0</v>
      </c>
      <c r="BE797" t="str">
        <f t="array" ref="BE797">IF(AY797=1,INDEX($V$7:$AL$7,MATCH(TRUE,INDEX($V797:$AW797&lt;&gt;0,),0)),IF(AY797=0,INDEX($AM$7:$AW$7,MATCH(1,$AM797:$AW797,0)),IF(BF797="Multiple strategies","mixed drivers",IF(BF797="Supply chain","multiple supply","multiple silviculture"))))</f>
        <v>technologies/design switch</v>
      </c>
      <c r="BF797" s="2" t="str" cm="1">
        <f t="array" ref="BF797">IF(COUNTIF(AZ797:BB797,"&lt;&gt;0")=1,INDEX($V$4:$AW$4,MATCH(TRUE,INDEX($V797:$AW797&lt;&gt;0,),0)),IF(COUNTIF(AZ797:BB797,"&lt;&gt;0")=0,INDEX($AM$4:$AW$4,MATCH(1,$AM797:$AW797,0)),"Multiple strategies"))</f>
        <v>Technology</v>
      </c>
      <c r="BG797" s="1" t="s">
        <v>229</v>
      </c>
      <c r="BH797" t="s">
        <v>229</v>
      </c>
      <c r="BJ797" t="s">
        <v>756</v>
      </c>
      <c r="BK797">
        <v>0</v>
      </c>
      <c r="BL797">
        <v>1105.3</v>
      </c>
      <c r="BN797">
        <f t="shared" si="961"/>
        <v>1105.3</v>
      </c>
      <c r="BO797">
        <f t="shared" si="962"/>
        <v>2255.7142857142858</v>
      </c>
      <c r="BP797" t="s">
        <v>232</v>
      </c>
      <c r="BQ797" s="264" t="s">
        <v>3260</v>
      </c>
      <c r="BR797" t="s">
        <v>728</v>
      </c>
      <c r="BS797" s="179">
        <v>-1580000</v>
      </c>
      <c r="BT797" s="179">
        <v>10200</v>
      </c>
      <c r="BU797" s="144">
        <f t="shared" si="963"/>
        <v>-6.4556962025316455E-3</v>
      </c>
      <c r="BV797" s="179">
        <f t="shared" si="943"/>
        <v>1590200</v>
      </c>
      <c r="BW797" s="179"/>
      <c r="BX797">
        <f t="shared" si="964"/>
        <v>1590.2</v>
      </c>
      <c r="BY797">
        <f t="shared" si="902"/>
        <v>0.7049651678277391</v>
      </c>
      <c r="BZ797">
        <v>0</v>
      </c>
      <c r="CA797">
        <v>1</v>
      </c>
      <c r="CB797">
        <v>0</v>
      </c>
      <c r="CC797">
        <v>1</v>
      </c>
      <c r="CD797">
        <v>0</v>
      </c>
      <c r="CE797">
        <v>0</v>
      </c>
      <c r="CF797">
        <v>0</v>
      </c>
      <c r="CG797">
        <v>1</v>
      </c>
      <c r="CH797">
        <v>0</v>
      </c>
      <c r="CI797">
        <v>0</v>
      </c>
      <c r="CJ797">
        <v>0</v>
      </c>
      <c r="CK797">
        <v>0</v>
      </c>
      <c r="CL797">
        <v>0</v>
      </c>
      <c r="CM797">
        <v>0</v>
      </c>
      <c r="CN797" t="str">
        <f t="shared" si="945"/>
        <v>refOK</v>
      </c>
      <c r="CO797">
        <f t="shared" si="965"/>
        <v>0</v>
      </c>
      <c r="CP797">
        <f t="shared" si="966"/>
        <v>1105.3</v>
      </c>
      <c r="CQ797">
        <f t="shared" si="967"/>
        <v>2255.7142857142858</v>
      </c>
      <c r="CR797" s="273">
        <f t="shared" si="946"/>
        <v>-1580000</v>
      </c>
      <c r="CS797" s="273">
        <f t="shared" si="947"/>
        <v>10200</v>
      </c>
      <c r="CT797">
        <f t="shared" si="948"/>
        <v>1590.2</v>
      </c>
      <c r="CU797">
        <f t="shared" si="949"/>
        <v>0.7049651678277391</v>
      </c>
      <c r="CV797" s="2">
        <f t="shared" si="950"/>
        <v>1.0064556962025317</v>
      </c>
      <c r="CW797" s="1" t="s">
        <v>1202</v>
      </c>
      <c r="CX797" t="str">
        <f t="shared" si="951"/>
        <v>reg</v>
      </c>
      <c r="CY797" s="308" t="s">
        <v>3422</v>
      </c>
      <c r="DB797">
        <v>35</v>
      </c>
      <c r="DC797" t="str">
        <f t="shared" si="952"/>
        <v>31-70</v>
      </c>
      <c r="DD797">
        <v>0</v>
      </c>
      <c r="DE797">
        <v>0</v>
      </c>
      <c r="DF797">
        <v>0</v>
      </c>
      <c r="DG797">
        <v>1</v>
      </c>
      <c r="DI797">
        <f t="shared" si="960"/>
        <v>1</v>
      </c>
      <c r="DJ797" t="str">
        <f t="shared" si="953"/>
        <v>TimberInput</v>
      </c>
      <c r="DK797">
        <f t="shared" si="954"/>
        <v>0</v>
      </c>
      <c r="DL797">
        <f t="shared" si="955"/>
        <v>0</v>
      </c>
      <c r="DM797">
        <f t="shared" si="956"/>
        <v>0</v>
      </c>
      <c r="DN797" t="str">
        <f t="shared" si="957"/>
        <v>Timber</v>
      </c>
      <c r="DO797">
        <v>0</v>
      </c>
      <c r="DP797">
        <v>0</v>
      </c>
      <c r="DQ797">
        <v>0</v>
      </c>
      <c r="DR797">
        <v>0</v>
      </c>
      <c r="DS797">
        <v>0</v>
      </c>
      <c r="DT797">
        <f t="shared" si="958"/>
        <v>0</v>
      </c>
      <c r="DU797" s="143" t="str">
        <f t="shared" si="959"/>
        <v>explicit C balance</v>
      </c>
      <c r="DV797">
        <v>0</v>
      </c>
      <c r="DW797">
        <v>0</v>
      </c>
      <c r="DX797">
        <v>0</v>
      </c>
      <c r="DY797">
        <v>1</v>
      </c>
      <c r="DZ797">
        <v>0</v>
      </c>
      <c r="EA797" s="143">
        <v>0</v>
      </c>
      <c r="EB797">
        <v>1</v>
      </c>
      <c r="EC797">
        <v>1</v>
      </c>
      <c r="ED797">
        <v>1</v>
      </c>
      <c r="EE797">
        <v>1</v>
      </c>
      <c r="EF797">
        <v>1</v>
      </c>
      <c r="EG797">
        <v>1</v>
      </c>
      <c r="EH797">
        <v>0</v>
      </c>
      <c r="EI797" s="2">
        <v>0</v>
      </c>
      <c r="EK797" t="str">
        <f t="shared" si="968"/>
        <v/>
      </c>
      <c r="EL797" t="str">
        <f t="shared" si="969"/>
        <v/>
      </c>
      <c r="EM797" s="2" t="str">
        <f t="shared" si="903"/>
        <v>Technology approach</v>
      </c>
      <c r="EP797" t="str">
        <f>IF(ISNUMBER(BU797),IF(ABS(BU797-[2]QC_indicators!$B$2)&gt;3*[2]QC_indicators!$C$2,"C ratio",IF(ISNUMBER(BY797),IF(ABS(BY797-[2]QC_indicators!$B$1)&gt;3*[2]QC_indicators!$C$1,"DF","no"))),IF(ISNUMBER(BY797),IF(ABS(BY797-[2]QC_indicators!$B$1)&gt;3*[2]QC_indicators!$C$1,"DF","no")))</f>
        <v>no</v>
      </c>
      <c r="ET797" s="264" t="s">
        <v>3150</v>
      </c>
      <c r="EU797" s="264"/>
    </row>
    <row r="798" spans="1:151" ht="15" hidden="1" customHeight="1">
      <c r="A798" s="1" t="s">
        <v>614</v>
      </c>
      <c r="B798" t="s">
        <v>1718</v>
      </c>
      <c r="C798" t="s">
        <v>1719</v>
      </c>
      <c r="D798" t="s">
        <v>1720</v>
      </c>
      <c r="E798" t="s">
        <v>1721</v>
      </c>
      <c r="F798" t="s">
        <v>1722</v>
      </c>
      <c r="G798" t="s">
        <v>620</v>
      </c>
      <c r="H798" t="s">
        <v>254</v>
      </c>
      <c r="I798">
        <v>2021</v>
      </c>
      <c r="J798">
        <v>2</v>
      </c>
      <c r="K798" t="s">
        <v>1723</v>
      </c>
      <c r="M798" t="str">
        <f t="shared" si="905"/>
        <v>Hawkins_2021</v>
      </c>
      <c r="N798" t="s">
        <v>222</v>
      </c>
      <c r="O798" s="145" t="s">
        <v>513</v>
      </c>
      <c r="Q798" t="s">
        <v>256</v>
      </c>
      <c r="R798" s="2" t="s">
        <v>274</v>
      </c>
      <c r="S798" s="1" t="s">
        <v>1732</v>
      </c>
      <c r="T798" t="s">
        <v>1730</v>
      </c>
      <c r="U798" t="s">
        <v>1725</v>
      </c>
      <c r="V798">
        <v>0</v>
      </c>
      <c r="W798">
        <v>0</v>
      </c>
      <c r="X798">
        <v>0</v>
      </c>
      <c r="Y798">
        <v>0</v>
      </c>
      <c r="Z798">
        <v>0</v>
      </c>
      <c r="AA798">
        <v>1</v>
      </c>
      <c r="AB798">
        <v>0</v>
      </c>
      <c r="AC798">
        <v>0</v>
      </c>
      <c r="AD798">
        <v>0</v>
      </c>
      <c r="AE798">
        <v>0</v>
      </c>
      <c r="AF798">
        <v>0</v>
      </c>
      <c r="AG798">
        <v>0</v>
      </c>
      <c r="AH798">
        <v>0</v>
      </c>
      <c r="AI798">
        <v>0</v>
      </c>
      <c r="AJ798">
        <v>0</v>
      </c>
      <c r="AK798">
        <v>0</v>
      </c>
      <c r="AL798">
        <v>0</v>
      </c>
      <c r="AM798">
        <v>0</v>
      </c>
      <c r="AN798">
        <v>0</v>
      </c>
      <c r="AO798">
        <v>0</v>
      </c>
      <c r="AP798">
        <v>0</v>
      </c>
      <c r="AQ798">
        <v>0</v>
      </c>
      <c r="AR798">
        <v>0</v>
      </c>
      <c r="AS798">
        <v>0</v>
      </c>
      <c r="AT798">
        <v>0</v>
      </c>
      <c r="AU798">
        <v>0</v>
      </c>
      <c r="AV798">
        <v>0</v>
      </c>
      <c r="AW798">
        <v>0</v>
      </c>
      <c r="AX798" s="141">
        <f t="shared" si="935"/>
        <v>1</v>
      </c>
      <c r="AY798" s="141">
        <f t="shared" si="936"/>
        <v>1</v>
      </c>
      <c r="AZ798">
        <f t="shared" si="937"/>
        <v>1</v>
      </c>
      <c r="BA798">
        <f t="shared" si="938"/>
        <v>0</v>
      </c>
      <c r="BB798">
        <f t="shared" si="939"/>
        <v>0</v>
      </c>
      <c r="BC798">
        <f t="shared" si="940"/>
        <v>0</v>
      </c>
      <c r="BD798">
        <f t="shared" si="941"/>
        <v>0</v>
      </c>
      <c r="BE798" t="str">
        <f t="array" ref="BE798">IF(AY798=1,INDEX($V$7:$AL$7,MATCH(TRUE,INDEX($V798:$AW798&lt;&gt;0,),0)),IF(AY798=0,INDEX($AM$7:$AW$7,MATCH(1,$AM798:$AW798,0)),IF(BF798="Multiple strategies","mixed drivers",IF(BF798="Supply chain","multiple supply","multiple silviculture"))))</f>
        <v>plantation density</v>
      </c>
      <c r="BF798" s="2" t="str" cm="1">
        <f t="array" ref="BF798">IF(COUNTIF(AZ798:BB798,"&lt;&gt;0")=1,INDEX($V$4:$AW$4,MATCH(TRUE,INDEX($V798:$AW798&lt;&gt;0,),0)),IF(COUNTIF(AZ798:BB798,"&lt;&gt;0")=0,INDEX($AM$4:$AW$4,MATCH(1,$AM798:$AW798,0)),"Multiple strategies"))</f>
        <v>Silviculture for productivity</v>
      </c>
      <c r="BG798" s="1" t="s">
        <v>229</v>
      </c>
      <c r="BH798" t="s">
        <v>229</v>
      </c>
      <c r="BJ798" t="s">
        <v>756</v>
      </c>
      <c r="BK798">
        <v>1105.3</v>
      </c>
      <c r="BL798">
        <v>1105.3</v>
      </c>
      <c r="BN798">
        <f t="shared" si="961"/>
        <v>0</v>
      </c>
      <c r="BO798">
        <f t="shared" si="962"/>
        <v>0</v>
      </c>
      <c r="BP798" t="s">
        <v>232</v>
      </c>
      <c r="BQ798" s="264" t="s">
        <v>3260</v>
      </c>
      <c r="BR798" t="s">
        <v>728</v>
      </c>
      <c r="BS798" s="179">
        <v>-1400000</v>
      </c>
      <c r="BT798" s="179">
        <v>-816000</v>
      </c>
      <c r="BU798" s="144">
        <f t="shared" si="963"/>
        <v>0.58285714285714285</v>
      </c>
      <c r="BV798" s="179">
        <f t="shared" si="943"/>
        <v>584000</v>
      </c>
      <c r="BW798" s="179"/>
      <c r="BX798">
        <f t="shared" si="964"/>
        <v>584</v>
      </c>
      <c r="BY798" t="str">
        <f t="shared" si="902"/>
        <v/>
      </c>
      <c r="BZ798">
        <v>0</v>
      </c>
      <c r="CA798">
        <v>1</v>
      </c>
      <c r="CB798">
        <v>0</v>
      </c>
      <c r="CC798">
        <v>1</v>
      </c>
      <c r="CD798">
        <v>0</v>
      </c>
      <c r="CE798">
        <v>0</v>
      </c>
      <c r="CF798">
        <v>0</v>
      </c>
      <c r="CG798">
        <v>1</v>
      </c>
      <c r="CH798">
        <v>0</v>
      </c>
      <c r="CI798">
        <v>0</v>
      </c>
      <c r="CJ798">
        <v>0</v>
      </c>
      <c r="CK798">
        <v>0</v>
      </c>
      <c r="CL798">
        <v>0</v>
      </c>
      <c r="CM798">
        <v>0</v>
      </c>
      <c r="CN798" t="str">
        <f t="shared" si="945"/>
        <v>refOK</v>
      </c>
      <c r="CO798">
        <f t="shared" si="965"/>
        <v>1105.3</v>
      </c>
      <c r="CP798">
        <f t="shared" si="966"/>
        <v>1105.3</v>
      </c>
      <c r="CQ798">
        <f t="shared" si="967"/>
        <v>0</v>
      </c>
      <c r="CR798">
        <f t="shared" si="946"/>
        <v>-1400000</v>
      </c>
      <c r="CS798">
        <f t="shared" si="947"/>
        <v>-816000</v>
      </c>
      <c r="CT798">
        <f t="shared" si="948"/>
        <v>584</v>
      </c>
      <c r="CU798" t="str">
        <f t="shared" si="949"/>
        <v/>
      </c>
      <c r="CV798" s="2">
        <f t="shared" si="950"/>
        <v>0.41714285714285715</v>
      </c>
      <c r="CW798" s="1" t="s">
        <v>1202</v>
      </c>
      <c r="CX798" t="str">
        <f t="shared" si="951"/>
        <v>reg</v>
      </c>
      <c r="CY798" s="308" t="s">
        <v>3422</v>
      </c>
      <c r="DB798">
        <v>100</v>
      </c>
      <c r="DC798" t="str">
        <f t="shared" si="952"/>
        <v>71-100</v>
      </c>
      <c r="DD798">
        <v>0</v>
      </c>
      <c r="DE798">
        <v>0</v>
      </c>
      <c r="DF798">
        <v>0</v>
      </c>
      <c r="DG798">
        <v>1</v>
      </c>
      <c r="DI798">
        <f t="shared" si="960"/>
        <v>1</v>
      </c>
      <c r="DJ798" t="str">
        <f t="shared" si="953"/>
        <v>TimberInput</v>
      </c>
      <c r="DK798">
        <f t="shared" si="954"/>
        <v>0</v>
      </c>
      <c r="DL798">
        <f t="shared" si="955"/>
        <v>0</v>
      </c>
      <c r="DM798">
        <f t="shared" si="956"/>
        <v>0</v>
      </c>
      <c r="DN798" t="str">
        <f t="shared" si="957"/>
        <v>Timber</v>
      </c>
      <c r="DO798">
        <v>0</v>
      </c>
      <c r="DP798">
        <v>0</v>
      </c>
      <c r="DQ798">
        <v>0</v>
      </c>
      <c r="DR798">
        <v>0</v>
      </c>
      <c r="DS798">
        <v>0</v>
      </c>
      <c r="DT798">
        <f t="shared" si="958"/>
        <v>0</v>
      </c>
      <c r="DU798" s="143" t="str">
        <f t="shared" si="959"/>
        <v>explicit C balance</v>
      </c>
      <c r="DV798">
        <v>0</v>
      </c>
      <c r="DW798">
        <v>0</v>
      </c>
      <c r="DX798">
        <v>1</v>
      </c>
      <c r="DY798">
        <v>1</v>
      </c>
      <c r="DZ798">
        <v>1</v>
      </c>
      <c r="EA798">
        <v>1</v>
      </c>
      <c r="EB798">
        <v>1</v>
      </c>
      <c r="EC798">
        <v>1</v>
      </c>
      <c r="ED798">
        <v>1</v>
      </c>
      <c r="EE798">
        <v>1</v>
      </c>
      <c r="EF798">
        <v>1</v>
      </c>
      <c r="EG798">
        <v>1</v>
      </c>
      <c r="EH798">
        <v>0</v>
      </c>
      <c r="EI798" s="2">
        <v>0</v>
      </c>
      <c r="EK798" t="str">
        <f t="shared" si="968"/>
        <v>Whole sector</v>
      </c>
      <c r="EL798" t="str">
        <f t="shared" si="969"/>
        <v/>
      </c>
      <c r="EM798" s="2" t="str">
        <f t="shared" si="903"/>
        <v/>
      </c>
      <c r="EN798" t="s">
        <v>1731</v>
      </c>
      <c r="EP798" t="b">
        <f>IF(ISNUMBER(BU798),IF(ABS(BU798-[2]QC_indicators!$B$2)&gt;3*[2]QC_indicators!$C$2,"C ratio",IF(ISNUMBER(BY798),IF(ABS(BY798-[2]QC_indicators!$B$1)&gt;3*[2]QC_indicators!$C$1,"DF","no"))),IF(ISNUMBER(BY798),IF(ABS(BY798-[2]QC_indicators!$B$1)&gt;3*[2]QC_indicators!$C$1,"DF","no")))</f>
        <v>0</v>
      </c>
      <c r="ET798" s="264" t="s">
        <v>3150</v>
      </c>
    </row>
    <row r="799" spans="1:151" ht="15" hidden="1" customHeight="1">
      <c r="A799" s="1" t="s">
        <v>614</v>
      </c>
      <c r="B799" t="s">
        <v>1718</v>
      </c>
      <c r="C799" t="s">
        <v>1719</v>
      </c>
      <c r="D799" t="s">
        <v>1720</v>
      </c>
      <c r="E799" t="s">
        <v>1721</v>
      </c>
      <c r="F799" t="s">
        <v>1722</v>
      </c>
      <c r="G799" t="s">
        <v>620</v>
      </c>
      <c r="H799" t="s">
        <v>254</v>
      </c>
      <c r="I799">
        <v>2021</v>
      </c>
      <c r="J799">
        <v>2</v>
      </c>
      <c r="K799" t="s">
        <v>1723</v>
      </c>
      <c r="M799" t="str">
        <f t="shared" si="905"/>
        <v>Hawkins_2021</v>
      </c>
      <c r="N799" t="s">
        <v>222</v>
      </c>
      <c r="O799" s="145" t="s">
        <v>513</v>
      </c>
      <c r="Q799" t="s">
        <v>256</v>
      </c>
      <c r="R799" s="2" t="s">
        <v>274</v>
      </c>
      <c r="S799" s="1" t="s">
        <v>1729</v>
      </c>
      <c r="T799" t="s">
        <v>1730</v>
      </c>
      <c r="U799" t="s">
        <v>1725</v>
      </c>
      <c r="V799">
        <v>0</v>
      </c>
      <c r="W799">
        <v>0</v>
      </c>
      <c r="X799">
        <v>0</v>
      </c>
      <c r="Y799">
        <v>0</v>
      </c>
      <c r="Z799">
        <v>0</v>
      </c>
      <c r="AA799">
        <v>1</v>
      </c>
      <c r="AB799">
        <v>0</v>
      </c>
      <c r="AC799">
        <v>0</v>
      </c>
      <c r="AD799">
        <v>0</v>
      </c>
      <c r="AE799">
        <v>0</v>
      </c>
      <c r="AF799">
        <v>0</v>
      </c>
      <c r="AG799">
        <v>0</v>
      </c>
      <c r="AH799">
        <v>0</v>
      </c>
      <c r="AI799">
        <v>0</v>
      </c>
      <c r="AJ799">
        <v>0</v>
      </c>
      <c r="AK799">
        <v>0</v>
      </c>
      <c r="AL799">
        <v>0</v>
      </c>
      <c r="AM799">
        <v>0</v>
      </c>
      <c r="AN799">
        <v>0</v>
      </c>
      <c r="AO799">
        <v>0</v>
      </c>
      <c r="AP799">
        <v>0</v>
      </c>
      <c r="AQ799">
        <v>0</v>
      </c>
      <c r="AR799">
        <v>0</v>
      </c>
      <c r="AS799">
        <v>0</v>
      </c>
      <c r="AT799">
        <v>0</v>
      </c>
      <c r="AU799">
        <v>0</v>
      </c>
      <c r="AV799">
        <v>0</v>
      </c>
      <c r="AW799">
        <v>0</v>
      </c>
      <c r="AX799" s="141">
        <f t="shared" si="935"/>
        <v>1</v>
      </c>
      <c r="AY799" s="141">
        <f t="shared" si="936"/>
        <v>1</v>
      </c>
      <c r="AZ799">
        <f t="shared" si="937"/>
        <v>1</v>
      </c>
      <c r="BA799">
        <f t="shared" si="938"/>
        <v>0</v>
      </c>
      <c r="BB799">
        <f t="shared" si="939"/>
        <v>0</v>
      </c>
      <c r="BC799">
        <f t="shared" si="940"/>
        <v>0</v>
      </c>
      <c r="BD799">
        <f t="shared" si="941"/>
        <v>0</v>
      </c>
      <c r="BE799" t="str">
        <f t="array" ref="BE799">IF(AY799=1,INDEX($V$7:$AL$7,MATCH(TRUE,INDEX($V799:$AW799&lt;&gt;0,),0)),IF(AY799=0,INDEX($AM$7:$AW$7,MATCH(1,$AM799:$AW799,0)),IF(BF799="Multiple strategies","mixed drivers",IF(BF799="Supply chain","multiple supply","multiple silviculture"))))</f>
        <v>plantation density</v>
      </c>
      <c r="BF799" s="2" t="str" cm="1">
        <f t="array" ref="BF799">IF(COUNTIF(AZ799:BB799,"&lt;&gt;0")=1,INDEX($V$4:$AW$4,MATCH(TRUE,INDEX($V799:$AW799&lt;&gt;0,),0)),IF(COUNTIF(AZ799:BB799,"&lt;&gt;0")=0,INDEX($AM$4:$AW$4,MATCH(1,$AM799:$AW799,0)),"Multiple strategies"))</f>
        <v>Silviculture for productivity</v>
      </c>
      <c r="BG799" s="1" t="s">
        <v>229</v>
      </c>
      <c r="BH799" t="s">
        <v>229</v>
      </c>
      <c r="BJ799" t="s">
        <v>756</v>
      </c>
      <c r="BK799">
        <v>1105.3</v>
      </c>
      <c r="BL799">
        <v>1105.3</v>
      </c>
      <c r="BN799">
        <f t="shared" si="961"/>
        <v>0</v>
      </c>
      <c r="BO799">
        <f t="shared" si="962"/>
        <v>0</v>
      </c>
      <c r="BP799" t="s">
        <v>232</v>
      </c>
      <c r="BQ799" s="264" t="s">
        <v>3260</v>
      </c>
      <c r="BR799" t="s">
        <v>728</v>
      </c>
      <c r="BS799" s="179">
        <v>-745000</v>
      </c>
      <c r="BT799" s="179">
        <v>10200</v>
      </c>
      <c r="BU799" s="144">
        <f t="shared" si="963"/>
        <v>-1.3691275167785235E-2</v>
      </c>
      <c r="BV799" s="179">
        <f t="shared" si="943"/>
        <v>755200</v>
      </c>
      <c r="BW799" s="179"/>
      <c r="BX799">
        <f t="shared" si="964"/>
        <v>755.2</v>
      </c>
      <c r="BY799" t="str">
        <f t="shared" si="902"/>
        <v/>
      </c>
      <c r="BZ799">
        <v>0</v>
      </c>
      <c r="CA799">
        <v>1</v>
      </c>
      <c r="CB799">
        <v>0</v>
      </c>
      <c r="CC799">
        <v>1</v>
      </c>
      <c r="CD799">
        <v>0</v>
      </c>
      <c r="CE799">
        <v>0</v>
      </c>
      <c r="CF799">
        <v>0</v>
      </c>
      <c r="CG799">
        <v>1</v>
      </c>
      <c r="CH799">
        <v>0</v>
      </c>
      <c r="CI799">
        <v>0</v>
      </c>
      <c r="CJ799">
        <v>0</v>
      </c>
      <c r="CK799">
        <v>0</v>
      </c>
      <c r="CL799">
        <v>0</v>
      </c>
      <c r="CM799">
        <v>0</v>
      </c>
      <c r="CN799" t="str">
        <f t="shared" si="945"/>
        <v>refOK</v>
      </c>
      <c r="CO799">
        <f t="shared" si="965"/>
        <v>1105.3</v>
      </c>
      <c r="CP799">
        <f t="shared" si="966"/>
        <v>1105.3</v>
      </c>
      <c r="CQ799">
        <f t="shared" si="967"/>
        <v>0</v>
      </c>
      <c r="CR799">
        <f t="shared" si="946"/>
        <v>-745000</v>
      </c>
      <c r="CS799">
        <f t="shared" si="947"/>
        <v>10200</v>
      </c>
      <c r="CT799">
        <f t="shared" si="948"/>
        <v>755.2</v>
      </c>
      <c r="CU799" t="str">
        <f t="shared" si="949"/>
        <v/>
      </c>
      <c r="CV799" s="2">
        <f t="shared" si="950"/>
        <v>1.0136912751677853</v>
      </c>
      <c r="CW799" s="1" t="s">
        <v>1202</v>
      </c>
      <c r="CX799" t="str">
        <f t="shared" si="951"/>
        <v>reg</v>
      </c>
      <c r="CY799" s="308" t="s">
        <v>3422</v>
      </c>
      <c r="DB799">
        <v>35</v>
      </c>
      <c r="DC799" t="str">
        <f t="shared" si="952"/>
        <v>31-70</v>
      </c>
      <c r="DD799">
        <v>0</v>
      </c>
      <c r="DE799">
        <v>0</v>
      </c>
      <c r="DF799">
        <v>0</v>
      </c>
      <c r="DG799">
        <v>1</v>
      </c>
      <c r="DI799">
        <f t="shared" si="960"/>
        <v>1</v>
      </c>
      <c r="DJ799" t="str">
        <f t="shared" si="953"/>
        <v>TimberInput</v>
      </c>
      <c r="DK799">
        <f t="shared" si="954"/>
        <v>0</v>
      </c>
      <c r="DL799">
        <f t="shared" si="955"/>
        <v>0</v>
      </c>
      <c r="DM799">
        <f t="shared" si="956"/>
        <v>0</v>
      </c>
      <c r="DN799" t="str">
        <f t="shared" si="957"/>
        <v>Timber</v>
      </c>
      <c r="DO799">
        <v>0</v>
      </c>
      <c r="DP799">
        <v>0</v>
      </c>
      <c r="DQ799">
        <v>0</v>
      </c>
      <c r="DR799">
        <v>0</v>
      </c>
      <c r="DS799">
        <v>0</v>
      </c>
      <c r="DT799">
        <f t="shared" si="958"/>
        <v>0</v>
      </c>
      <c r="DU799" s="143" t="str">
        <f t="shared" si="959"/>
        <v>explicit C balance</v>
      </c>
      <c r="DV799">
        <v>0</v>
      </c>
      <c r="DW799">
        <v>0</v>
      </c>
      <c r="DX799">
        <v>1</v>
      </c>
      <c r="DY799">
        <v>1</v>
      </c>
      <c r="DZ799">
        <v>1</v>
      </c>
      <c r="EA799">
        <v>1</v>
      </c>
      <c r="EB799">
        <v>1</v>
      </c>
      <c r="EC799">
        <v>1</v>
      </c>
      <c r="ED799">
        <v>1</v>
      </c>
      <c r="EE799">
        <v>1</v>
      </c>
      <c r="EF799">
        <v>1</v>
      </c>
      <c r="EG799">
        <v>1</v>
      </c>
      <c r="EH799">
        <v>0</v>
      </c>
      <c r="EI799" s="2">
        <v>0</v>
      </c>
      <c r="EK799" t="str">
        <f t="shared" si="968"/>
        <v>Whole sector</v>
      </c>
      <c r="EL799" t="str">
        <f t="shared" si="969"/>
        <v/>
      </c>
      <c r="EM799" s="2" t="str">
        <f t="shared" si="903"/>
        <v/>
      </c>
      <c r="EN799" t="s">
        <v>1731</v>
      </c>
      <c r="EP799" t="b">
        <f>IF(ISNUMBER(BU799),IF(ABS(BU799-[2]QC_indicators!$B$2)&gt;3*[2]QC_indicators!$C$2,"C ratio",IF(ISNUMBER(BY799),IF(ABS(BY799-[2]QC_indicators!$B$1)&gt;3*[2]QC_indicators!$C$1,"DF","no"))),IF(ISNUMBER(BY799),IF(ABS(BY799-[2]QC_indicators!$B$1)&gt;3*[2]QC_indicators!$C$1,"DF","no")))</f>
        <v>0</v>
      </c>
      <c r="ET799" s="264" t="s">
        <v>3150</v>
      </c>
    </row>
    <row r="800" spans="1:151" ht="15" hidden="1" customHeight="1">
      <c r="A800" s="1" t="s">
        <v>614</v>
      </c>
      <c r="B800" t="s">
        <v>1718</v>
      </c>
      <c r="C800" t="s">
        <v>1719</v>
      </c>
      <c r="D800" t="s">
        <v>1720</v>
      </c>
      <c r="E800" t="s">
        <v>1721</v>
      </c>
      <c r="F800" t="s">
        <v>1722</v>
      </c>
      <c r="G800" t="s">
        <v>620</v>
      </c>
      <c r="H800" t="s">
        <v>254</v>
      </c>
      <c r="I800">
        <v>2021</v>
      </c>
      <c r="J800">
        <v>2</v>
      </c>
      <c r="K800" t="s">
        <v>1723</v>
      </c>
      <c r="M800" t="str">
        <f t="shared" si="905"/>
        <v>Hawkins_2021</v>
      </c>
      <c r="N800" t="s">
        <v>222</v>
      </c>
      <c r="O800" s="145" t="s">
        <v>513</v>
      </c>
      <c r="Q800" t="s">
        <v>256</v>
      </c>
      <c r="R800" s="2" t="s">
        <v>274</v>
      </c>
      <c r="S800" s="1" t="s">
        <v>1733</v>
      </c>
      <c r="T800" t="s">
        <v>1730</v>
      </c>
      <c r="U800" t="s">
        <v>1725</v>
      </c>
      <c r="V800">
        <v>0</v>
      </c>
      <c r="W800">
        <v>0</v>
      </c>
      <c r="X800">
        <v>0</v>
      </c>
      <c r="Y800">
        <v>0</v>
      </c>
      <c r="Z800">
        <v>0</v>
      </c>
      <c r="AA800">
        <v>1</v>
      </c>
      <c r="AB800">
        <v>0</v>
      </c>
      <c r="AC800">
        <v>0</v>
      </c>
      <c r="AD800">
        <v>0</v>
      </c>
      <c r="AE800">
        <v>0</v>
      </c>
      <c r="AF800">
        <v>0</v>
      </c>
      <c r="AG800">
        <v>0</v>
      </c>
      <c r="AH800">
        <v>0</v>
      </c>
      <c r="AI800">
        <v>0</v>
      </c>
      <c r="AJ800">
        <v>0</v>
      </c>
      <c r="AK800">
        <v>0</v>
      </c>
      <c r="AL800">
        <v>0</v>
      </c>
      <c r="AM800">
        <v>0</v>
      </c>
      <c r="AN800">
        <v>0</v>
      </c>
      <c r="AO800">
        <v>0</v>
      </c>
      <c r="AP800">
        <v>0</v>
      </c>
      <c r="AQ800">
        <v>0</v>
      </c>
      <c r="AR800">
        <v>0</v>
      </c>
      <c r="AS800">
        <v>0</v>
      </c>
      <c r="AT800">
        <v>0</v>
      </c>
      <c r="AU800">
        <v>0</v>
      </c>
      <c r="AV800">
        <v>0</v>
      </c>
      <c r="AW800">
        <v>0</v>
      </c>
      <c r="AX800" s="141">
        <f t="shared" si="935"/>
        <v>1</v>
      </c>
      <c r="AY800" s="141">
        <f t="shared" si="936"/>
        <v>1</v>
      </c>
      <c r="AZ800">
        <f t="shared" si="937"/>
        <v>1</v>
      </c>
      <c r="BA800">
        <f t="shared" si="938"/>
        <v>0</v>
      </c>
      <c r="BB800">
        <f t="shared" si="939"/>
        <v>0</v>
      </c>
      <c r="BC800">
        <f t="shared" si="940"/>
        <v>0</v>
      </c>
      <c r="BD800">
        <f t="shared" si="941"/>
        <v>0</v>
      </c>
      <c r="BE800" t="str">
        <f t="array" ref="BE800">IF(AY800=1,INDEX($V$7:$AL$7,MATCH(TRUE,INDEX($V800:$AW800&lt;&gt;0,),0)),IF(AY800=0,INDEX($AM$7:$AW$7,MATCH(1,$AM800:$AW800,0)),IF(BF800="Multiple strategies","mixed drivers",IF(BF800="Supply chain","multiple supply","multiple silviculture"))))</f>
        <v>plantation density</v>
      </c>
      <c r="BF800" s="2" t="str" cm="1">
        <f t="array" ref="BF800">IF(COUNTIF(AZ800:BB800,"&lt;&gt;0")=1,INDEX($V$4:$AW$4,MATCH(TRUE,INDEX($V800:$AW800&lt;&gt;0,),0)),IF(COUNTIF(AZ800:BB800,"&lt;&gt;0")=0,INDEX($AM$4:$AW$4,MATCH(1,$AM800:$AW800,0)),"Multiple strategies"))</f>
        <v>Silviculture for productivity</v>
      </c>
      <c r="BG800" s="1" t="s">
        <v>229</v>
      </c>
      <c r="BH800" t="s">
        <v>229</v>
      </c>
      <c r="BJ800" t="s">
        <v>756</v>
      </c>
      <c r="BK800">
        <v>1105.3</v>
      </c>
      <c r="BL800">
        <v>1105.3</v>
      </c>
      <c r="BN800">
        <f t="shared" si="961"/>
        <v>0</v>
      </c>
      <c r="BO800">
        <f t="shared" si="962"/>
        <v>0</v>
      </c>
      <c r="BP800" t="s">
        <v>232</v>
      </c>
      <c r="BQ800" s="264" t="s">
        <v>3260</v>
      </c>
      <c r="BR800" t="s">
        <v>728</v>
      </c>
      <c r="BS800" s="179">
        <v>-1310000</v>
      </c>
      <c r="BT800" s="179">
        <v>-1310000</v>
      </c>
      <c r="BU800" s="144">
        <f t="shared" si="963"/>
        <v>1</v>
      </c>
      <c r="BV800" s="179">
        <f t="shared" si="943"/>
        <v>0</v>
      </c>
      <c r="BW800" s="179"/>
      <c r="BX800">
        <f t="shared" si="964"/>
        <v>0</v>
      </c>
      <c r="BY800" t="str">
        <f t="shared" si="902"/>
        <v/>
      </c>
      <c r="BZ800">
        <v>0</v>
      </c>
      <c r="CA800">
        <v>1</v>
      </c>
      <c r="CB800">
        <v>0</v>
      </c>
      <c r="CC800">
        <v>1</v>
      </c>
      <c r="CD800">
        <v>0</v>
      </c>
      <c r="CE800">
        <v>0</v>
      </c>
      <c r="CF800">
        <v>0</v>
      </c>
      <c r="CG800">
        <v>1</v>
      </c>
      <c r="CH800">
        <v>0</v>
      </c>
      <c r="CI800">
        <v>0</v>
      </c>
      <c r="CJ800">
        <v>0</v>
      </c>
      <c r="CK800">
        <v>0</v>
      </c>
      <c r="CL800">
        <v>0</v>
      </c>
      <c r="CM800">
        <v>0</v>
      </c>
      <c r="CN800" t="str">
        <f t="shared" si="945"/>
        <v>refOK</v>
      </c>
      <c r="CO800">
        <f t="shared" si="965"/>
        <v>1105.3</v>
      </c>
      <c r="CP800">
        <f t="shared" si="966"/>
        <v>1105.3</v>
      </c>
      <c r="CQ800">
        <f t="shared" si="967"/>
        <v>0</v>
      </c>
      <c r="CR800">
        <f t="shared" si="946"/>
        <v>-1310000</v>
      </c>
      <c r="CS800">
        <f t="shared" si="947"/>
        <v>-1310000</v>
      </c>
      <c r="CT800">
        <f t="shared" si="948"/>
        <v>0</v>
      </c>
      <c r="CU800" t="str">
        <f t="shared" si="949"/>
        <v/>
      </c>
      <c r="CV800" s="2">
        <f t="shared" si="950"/>
        <v>0</v>
      </c>
      <c r="CW800" s="1" t="s">
        <v>1202</v>
      </c>
      <c r="CX800" t="str">
        <f t="shared" si="951"/>
        <v>reg</v>
      </c>
      <c r="CY800" s="308" t="s">
        <v>3422</v>
      </c>
      <c r="DB800">
        <v>2</v>
      </c>
      <c r="DC800" t="str">
        <f t="shared" si="952"/>
        <v>1-30</v>
      </c>
      <c r="DD800">
        <v>0</v>
      </c>
      <c r="DE800">
        <v>0</v>
      </c>
      <c r="DF800">
        <v>0</v>
      </c>
      <c r="DG800">
        <v>1</v>
      </c>
      <c r="DI800">
        <f t="shared" si="960"/>
        <v>1</v>
      </c>
      <c r="DJ800" t="str">
        <f t="shared" si="953"/>
        <v>TimberInput</v>
      </c>
      <c r="DK800">
        <f t="shared" si="954"/>
        <v>0</v>
      </c>
      <c r="DL800">
        <f t="shared" si="955"/>
        <v>0</v>
      </c>
      <c r="DM800">
        <f t="shared" si="956"/>
        <v>0</v>
      </c>
      <c r="DN800" t="str">
        <f t="shared" si="957"/>
        <v>Timber</v>
      </c>
      <c r="DO800">
        <v>0</v>
      </c>
      <c r="DP800">
        <v>0</v>
      </c>
      <c r="DQ800">
        <v>0</v>
      </c>
      <c r="DR800">
        <v>0</v>
      </c>
      <c r="DS800">
        <v>0</v>
      </c>
      <c r="DT800">
        <f t="shared" si="958"/>
        <v>0</v>
      </c>
      <c r="DU800" s="143" t="str">
        <f t="shared" si="959"/>
        <v>explicit C balance</v>
      </c>
      <c r="DV800">
        <v>0</v>
      </c>
      <c r="DW800">
        <v>0</v>
      </c>
      <c r="DX800">
        <v>1</v>
      </c>
      <c r="DY800">
        <v>1</v>
      </c>
      <c r="DZ800">
        <v>1</v>
      </c>
      <c r="EA800">
        <v>1</v>
      </c>
      <c r="EB800">
        <v>1</v>
      </c>
      <c r="EC800">
        <v>1</v>
      </c>
      <c r="ED800">
        <v>1</v>
      </c>
      <c r="EE800">
        <v>1</v>
      </c>
      <c r="EF800">
        <v>1</v>
      </c>
      <c r="EG800">
        <v>1</v>
      </c>
      <c r="EH800">
        <v>0</v>
      </c>
      <c r="EI800" s="2">
        <v>0</v>
      </c>
      <c r="EK800" t="str">
        <f t="shared" si="968"/>
        <v>Whole sector</v>
      </c>
      <c r="EL800" t="str">
        <f t="shared" si="969"/>
        <v/>
      </c>
      <c r="EM800" s="2" t="str">
        <f t="shared" si="903"/>
        <v/>
      </c>
      <c r="EN800" t="s">
        <v>1731</v>
      </c>
      <c r="EP800" t="b">
        <f>IF(ISNUMBER(BU800),IF(ABS(BU800-[2]QC_indicators!$B$2)&gt;3*[2]QC_indicators!$C$2,"C ratio",IF(ISNUMBER(BY800),IF(ABS(BY800-[2]QC_indicators!$B$1)&gt;3*[2]QC_indicators!$C$1,"DF","no"))),IF(ISNUMBER(BY800),IF(ABS(BY800-[2]QC_indicators!$B$1)&gt;3*[2]QC_indicators!$C$1,"DF","no")))</f>
        <v>0</v>
      </c>
      <c r="ET800" s="264" t="s">
        <v>3150</v>
      </c>
    </row>
    <row r="801" spans="1:150" ht="15" hidden="1" customHeight="1">
      <c r="A801" s="1" t="s">
        <v>614</v>
      </c>
      <c r="B801" t="s">
        <v>1718</v>
      </c>
      <c r="C801" t="s">
        <v>1719</v>
      </c>
      <c r="D801" t="s">
        <v>1720</v>
      </c>
      <c r="E801" t="s">
        <v>1721</v>
      </c>
      <c r="F801" t="s">
        <v>1722</v>
      </c>
      <c r="G801" t="s">
        <v>620</v>
      </c>
      <c r="H801" t="s">
        <v>254</v>
      </c>
      <c r="I801">
        <v>2021</v>
      </c>
      <c r="J801">
        <v>2</v>
      </c>
      <c r="K801" t="s">
        <v>1723</v>
      </c>
      <c r="M801" t="str">
        <f t="shared" si="905"/>
        <v>Hawkins_2021</v>
      </c>
      <c r="N801" t="s">
        <v>222</v>
      </c>
      <c r="O801" s="145" t="s">
        <v>513</v>
      </c>
      <c r="Q801" t="s">
        <v>256</v>
      </c>
      <c r="R801" s="2" t="s">
        <v>274</v>
      </c>
      <c r="S801" s="1" t="s">
        <v>1724</v>
      </c>
      <c r="T801" t="s">
        <v>1725</v>
      </c>
      <c r="U801" t="s">
        <v>1726</v>
      </c>
      <c r="V801">
        <v>0</v>
      </c>
      <c r="W801">
        <v>0</v>
      </c>
      <c r="X801">
        <v>0</v>
      </c>
      <c r="Y801">
        <v>0</v>
      </c>
      <c r="Z801">
        <v>0</v>
      </c>
      <c r="AA801">
        <v>0</v>
      </c>
      <c r="AB801">
        <v>0</v>
      </c>
      <c r="AC801">
        <v>0</v>
      </c>
      <c r="AD801">
        <v>0</v>
      </c>
      <c r="AE801">
        <v>0</v>
      </c>
      <c r="AF801">
        <v>0</v>
      </c>
      <c r="AG801">
        <v>0</v>
      </c>
      <c r="AH801">
        <v>0</v>
      </c>
      <c r="AI801">
        <v>0</v>
      </c>
      <c r="AJ801">
        <v>0</v>
      </c>
      <c r="AK801">
        <v>0</v>
      </c>
      <c r="AL801">
        <v>1</v>
      </c>
      <c r="AM801">
        <v>0</v>
      </c>
      <c r="AN801">
        <v>0</v>
      </c>
      <c r="AO801">
        <v>0</v>
      </c>
      <c r="AP801">
        <v>0</v>
      </c>
      <c r="AQ801">
        <v>0</v>
      </c>
      <c r="AR801">
        <v>0</v>
      </c>
      <c r="AS801">
        <v>0</v>
      </c>
      <c r="AT801">
        <v>0</v>
      </c>
      <c r="AU801">
        <v>0</v>
      </c>
      <c r="AV801">
        <v>0</v>
      </c>
      <c r="AW801">
        <v>0</v>
      </c>
      <c r="AX801" s="141">
        <f t="shared" si="935"/>
        <v>1</v>
      </c>
      <c r="AY801" s="141">
        <f t="shared" si="936"/>
        <v>1</v>
      </c>
      <c r="AZ801">
        <f t="shared" si="937"/>
        <v>0</v>
      </c>
      <c r="BA801">
        <f t="shared" si="938"/>
        <v>0</v>
      </c>
      <c r="BB801">
        <f t="shared" si="939"/>
        <v>1</v>
      </c>
      <c r="BC801">
        <f t="shared" si="940"/>
        <v>0</v>
      </c>
      <c r="BD801">
        <f t="shared" si="941"/>
        <v>0</v>
      </c>
      <c r="BE801" t="str">
        <f t="array" ref="BE801">IF(AY801=1,INDEX($V$7:$AL$7,MATCH(TRUE,INDEX($V801:$AW801&lt;&gt;0,),0)),IF(AY801=0,INDEX($AM$7:$AW$7,MATCH(1,$AM801:$AW801,0)),IF(BF801="Multiple strategies","mixed drivers",IF(BF801="Supply chain","multiple supply","multiple silviculture"))))</f>
        <v>CCS</v>
      </c>
      <c r="BF801" s="2" t="str" cm="1">
        <f t="array" ref="BF801">IF(COUNTIF(AZ801:BB801,"&lt;&gt;0")=1,INDEX($V$4:$AW$4,MATCH(TRUE,INDEX($V801:$AW801&lt;&gt;0,),0)),IF(COUNTIF(AZ801:BB801,"&lt;&gt;0")=0,INDEX($AM$4:$AW$4,MATCH(1,$AM801:$AW801,0)),"Multiple strategies"))</f>
        <v>Technology</v>
      </c>
      <c r="BG801" s="1" t="s">
        <v>229</v>
      </c>
      <c r="BH801" t="s">
        <v>229</v>
      </c>
      <c r="BJ801" t="s">
        <v>756</v>
      </c>
      <c r="BK801">
        <v>1105.3</v>
      </c>
      <c r="BL801">
        <v>1105.3</v>
      </c>
      <c r="BN801">
        <f t="shared" si="961"/>
        <v>0</v>
      </c>
      <c r="BO801">
        <f t="shared" si="962"/>
        <v>0</v>
      </c>
      <c r="BP801" t="s">
        <v>232</v>
      </c>
      <c r="BQ801" s="264" t="s">
        <v>3260</v>
      </c>
      <c r="BR801" t="s">
        <v>728</v>
      </c>
      <c r="BS801" s="179">
        <v>-816000</v>
      </c>
      <c r="BT801" s="179">
        <v>27900</v>
      </c>
      <c r="BU801" s="144">
        <f t="shared" si="963"/>
        <v>-3.4191176470588239E-2</v>
      </c>
      <c r="BV801" s="179">
        <f t="shared" si="943"/>
        <v>843900</v>
      </c>
      <c r="BW801" s="179"/>
      <c r="BX801">
        <f t="shared" si="964"/>
        <v>843.9</v>
      </c>
      <c r="BY801" t="str">
        <f t="shared" si="902"/>
        <v/>
      </c>
      <c r="BZ801">
        <v>0</v>
      </c>
      <c r="CA801">
        <v>1</v>
      </c>
      <c r="CB801">
        <v>0</v>
      </c>
      <c r="CC801">
        <v>1</v>
      </c>
      <c r="CD801">
        <v>0</v>
      </c>
      <c r="CE801">
        <v>0</v>
      </c>
      <c r="CF801">
        <v>0</v>
      </c>
      <c r="CG801">
        <v>1</v>
      </c>
      <c r="CH801">
        <v>0</v>
      </c>
      <c r="CI801">
        <v>0</v>
      </c>
      <c r="CJ801">
        <v>0</v>
      </c>
      <c r="CK801">
        <v>0</v>
      </c>
      <c r="CL801">
        <v>0</v>
      </c>
      <c r="CM801">
        <v>0</v>
      </c>
      <c r="CN801" t="str">
        <f t="shared" si="945"/>
        <v>refOK</v>
      </c>
      <c r="CO801">
        <f t="shared" si="965"/>
        <v>1105.3</v>
      </c>
      <c r="CP801">
        <f t="shared" si="966"/>
        <v>1105.3</v>
      </c>
      <c r="CQ801">
        <f t="shared" si="967"/>
        <v>0</v>
      </c>
      <c r="CR801">
        <f t="shared" si="946"/>
        <v>-816000</v>
      </c>
      <c r="CS801">
        <f t="shared" si="947"/>
        <v>27900</v>
      </c>
      <c r="CT801">
        <f t="shared" si="948"/>
        <v>843.9</v>
      </c>
      <c r="CU801" t="str">
        <f t="shared" si="949"/>
        <v/>
      </c>
      <c r="CV801" s="2">
        <f t="shared" si="950"/>
        <v>1.0341911764705882</v>
      </c>
      <c r="CW801" s="1" t="s">
        <v>1202</v>
      </c>
      <c r="CX801" t="str">
        <f t="shared" si="951"/>
        <v>reg</v>
      </c>
      <c r="CY801" s="308" t="s">
        <v>3422</v>
      </c>
      <c r="DB801">
        <v>100</v>
      </c>
      <c r="DC801" t="str">
        <f t="shared" si="952"/>
        <v>71-100</v>
      </c>
      <c r="DD801">
        <v>0</v>
      </c>
      <c r="DE801">
        <v>0</v>
      </c>
      <c r="DF801">
        <v>0</v>
      </c>
      <c r="DG801">
        <v>1</v>
      </c>
      <c r="DI801">
        <f t="shared" si="960"/>
        <v>1</v>
      </c>
      <c r="DJ801" t="str">
        <f t="shared" si="953"/>
        <v>TimberInput</v>
      </c>
      <c r="DK801">
        <f t="shared" si="954"/>
        <v>0</v>
      </c>
      <c r="DL801">
        <f t="shared" si="955"/>
        <v>0</v>
      </c>
      <c r="DM801">
        <f t="shared" si="956"/>
        <v>0</v>
      </c>
      <c r="DN801" t="str">
        <f t="shared" si="957"/>
        <v>Timber</v>
      </c>
      <c r="DO801">
        <v>0</v>
      </c>
      <c r="DP801">
        <v>0</v>
      </c>
      <c r="DQ801">
        <v>0</v>
      </c>
      <c r="DR801">
        <v>0</v>
      </c>
      <c r="DS801">
        <v>0</v>
      </c>
      <c r="DT801">
        <f t="shared" si="958"/>
        <v>0</v>
      </c>
      <c r="DU801" s="143" t="str">
        <f t="shared" si="959"/>
        <v>explicit C balance</v>
      </c>
      <c r="DV801">
        <v>0</v>
      </c>
      <c r="DW801">
        <v>0</v>
      </c>
      <c r="DX801">
        <v>0</v>
      </c>
      <c r="DY801">
        <v>1</v>
      </c>
      <c r="DZ801">
        <v>0</v>
      </c>
      <c r="EA801" s="143">
        <v>0</v>
      </c>
      <c r="EB801">
        <v>1</v>
      </c>
      <c r="EC801">
        <v>1</v>
      </c>
      <c r="ED801">
        <v>1</v>
      </c>
      <c r="EE801">
        <v>1</v>
      </c>
      <c r="EF801">
        <v>1</v>
      </c>
      <c r="EG801">
        <v>1</v>
      </c>
      <c r="EH801">
        <v>0</v>
      </c>
      <c r="EI801" s="2">
        <v>0</v>
      </c>
      <c r="EK801" t="str">
        <f t="shared" si="968"/>
        <v/>
      </c>
      <c r="EL801" t="str">
        <f t="shared" si="969"/>
        <v/>
      </c>
      <c r="EM801" s="2" t="str">
        <f t="shared" si="903"/>
        <v>Technology approach</v>
      </c>
      <c r="EP801" t="b">
        <f>IF(ISNUMBER(BU801),IF(ABS(BU801-[2]QC_indicators!$B$2)&gt;3*[2]QC_indicators!$C$2,"C ratio",IF(ISNUMBER(BY801),IF(ABS(BY801-[2]QC_indicators!$B$1)&gt;3*[2]QC_indicators!$C$1,"DF","no"))),IF(ISNUMBER(BY801),IF(ABS(BY801-[2]QC_indicators!$B$1)&gt;3*[2]QC_indicators!$C$1,"DF","no")))</f>
        <v>0</v>
      </c>
      <c r="ET801" s="264" t="s">
        <v>3150</v>
      </c>
    </row>
    <row r="802" spans="1:150" ht="15" hidden="1" customHeight="1">
      <c r="A802" s="1" t="s">
        <v>614</v>
      </c>
      <c r="B802" t="s">
        <v>1718</v>
      </c>
      <c r="C802" t="s">
        <v>1719</v>
      </c>
      <c r="D802" t="s">
        <v>1720</v>
      </c>
      <c r="E802" t="s">
        <v>1721</v>
      </c>
      <c r="F802" t="s">
        <v>1722</v>
      </c>
      <c r="G802" t="s">
        <v>620</v>
      </c>
      <c r="H802" t="s">
        <v>254</v>
      </c>
      <c r="I802">
        <v>2021</v>
      </c>
      <c r="J802">
        <v>2</v>
      </c>
      <c r="K802" t="s">
        <v>1723</v>
      </c>
      <c r="M802" t="str">
        <f t="shared" si="905"/>
        <v>Hawkins_2021</v>
      </c>
      <c r="N802" t="s">
        <v>222</v>
      </c>
      <c r="O802" s="145" t="s">
        <v>513</v>
      </c>
      <c r="Q802" t="s">
        <v>256</v>
      </c>
      <c r="R802" s="2" t="s">
        <v>274</v>
      </c>
      <c r="S802" s="1" t="s">
        <v>1727</v>
      </c>
      <c r="T802" t="s">
        <v>1725</v>
      </c>
      <c r="U802" t="s">
        <v>1726</v>
      </c>
      <c r="V802">
        <v>0</v>
      </c>
      <c r="W802">
        <v>0</v>
      </c>
      <c r="X802">
        <v>0</v>
      </c>
      <c r="Y802">
        <v>0</v>
      </c>
      <c r="Z802">
        <v>0</v>
      </c>
      <c r="AA802">
        <v>0</v>
      </c>
      <c r="AB802">
        <v>0</v>
      </c>
      <c r="AC802">
        <v>0</v>
      </c>
      <c r="AD802">
        <v>0</v>
      </c>
      <c r="AE802">
        <v>0</v>
      </c>
      <c r="AF802">
        <v>0</v>
      </c>
      <c r="AG802">
        <v>0</v>
      </c>
      <c r="AH802">
        <v>0</v>
      </c>
      <c r="AI802">
        <v>0</v>
      </c>
      <c r="AJ802">
        <v>0</v>
      </c>
      <c r="AK802">
        <v>0</v>
      </c>
      <c r="AL802">
        <v>1</v>
      </c>
      <c r="AM802">
        <v>0</v>
      </c>
      <c r="AN802">
        <v>0</v>
      </c>
      <c r="AO802">
        <v>0</v>
      </c>
      <c r="AP802">
        <v>0</v>
      </c>
      <c r="AQ802">
        <v>0</v>
      </c>
      <c r="AR802">
        <v>0</v>
      </c>
      <c r="AS802">
        <v>0</v>
      </c>
      <c r="AT802">
        <v>0</v>
      </c>
      <c r="AU802">
        <v>0</v>
      </c>
      <c r="AV802">
        <v>0</v>
      </c>
      <c r="AW802">
        <v>0</v>
      </c>
      <c r="AX802" s="141">
        <f t="shared" si="935"/>
        <v>1</v>
      </c>
      <c r="AY802" s="141">
        <f t="shared" si="936"/>
        <v>1</v>
      </c>
      <c r="AZ802">
        <f t="shared" si="937"/>
        <v>0</v>
      </c>
      <c r="BA802">
        <f t="shared" si="938"/>
        <v>0</v>
      </c>
      <c r="BB802">
        <f t="shared" si="939"/>
        <v>1</v>
      </c>
      <c r="BC802">
        <f t="shared" si="940"/>
        <v>0</v>
      </c>
      <c r="BD802">
        <f t="shared" si="941"/>
        <v>0</v>
      </c>
      <c r="BE802" t="str">
        <f t="array" ref="BE802">IF(AY802=1,INDEX($V$7:$AL$7,MATCH(TRUE,INDEX($V802:$AW802&lt;&gt;0,),0)),IF(AY802=0,INDEX($AM$7:$AW$7,MATCH(1,$AM802:$AW802,0)),IF(BF802="Multiple strategies","mixed drivers",IF(BF802="Supply chain","multiple supply","multiple silviculture"))))</f>
        <v>CCS</v>
      </c>
      <c r="BF802" s="2" t="str" cm="1">
        <f t="array" ref="BF802">IF(COUNTIF(AZ802:BB802,"&lt;&gt;0")=1,INDEX($V$4:$AW$4,MATCH(TRUE,INDEX($V802:$AW802&lt;&gt;0,),0)),IF(COUNTIF(AZ802:BB802,"&lt;&gt;0")=0,INDEX($AM$4:$AW$4,MATCH(1,$AM802:$AW802,0)),"Multiple strategies"))</f>
        <v>Technology</v>
      </c>
      <c r="BG802" s="1" t="s">
        <v>229</v>
      </c>
      <c r="BH802" t="s">
        <v>229</v>
      </c>
      <c r="BJ802" t="s">
        <v>756</v>
      </c>
      <c r="BK802">
        <v>1105.3</v>
      </c>
      <c r="BL802">
        <v>1105.3</v>
      </c>
      <c r="BN802">
        <f t="shared" si="961"/>
        <v>0</v>
      </c>
      <c r="BO802">
        <f t="shared" si="962"/>
        <v>0</v>
      </c>
      <c r="BP802" t="s">
        <v>232</v>
      </c>
      <c r="BQ802" s="264" t="s">
        <v>3260</v>
      </c>
      <c r="BR802" t="s">
        <v>728</v>
      </c>
      <c r="BS802" s="179">
        <v>10200</v>
      </c>
      <c r="BT802" s="179">
        <v>10200</v>
      </c>
      <c r="BU802" s="144">
        <f t="shared" si="963"/>
        <v>1</v>
      </c>
      <c r="BV802" s="179">
        <f t="shared" si="943"/>
        <v>0</v>
      </c>
      <c r="BW802" s="179"/>
      <c r="BX802">
        <f t="shared" si="964"/>
        <v>0</v>
      </c>
      <c r="BY802" t="str">
        <f t="shared" si="902"/>
        <v/>
      </c>
      <c r="BZ802">
        <v>0</v>
      </c>
      <c r="CA802">
        <v>1</v>
      </c>
      <c r="CB802">
        <v>0</v>
      </c>
      <c r="CC802">
        <v>1</v>
      </c>
      <c r="CD802">
        <v>0</v>
      </c>
      <c r="CE802">
        <v>0</v>
      </c>
      <c r="CF802">
        <v>0</v>
      </c>
      <c r="CG802">
        <v>1</v>
      </c>
      <c r="CH802">
        <v>0</v>
      </c>
      <c r="CI802">
        <v>0</v>
      </c>
      <c r="CJ802">
        <v>0</v>
      </c>
      <c r="CK802">
        <v>0</v>
      </c>
      <c r="CL802">
        <v>0</v>
      </c>
      <c r="CM802">
        <v>0</v>
      </c>
      <c r="CN802" t="str">
        <f t="shared" si="945"/>
        <v>refOK</v>
      </c>
      <c r="CO802">
        <f t="shared" si="965"/>
        <v>1105.3</v>
      </c>
      <c r="CP802">
        <f t="shared" si="966"/>
        <v>1105.3</v>
      </c>
      <c r="CQ802">
        <f t="shared" si="967"/>
        <v>0</v>
      </c>
      <c r="CR802">
        <f t="shared" si="946"/>
        <v>10200</v>
      </c>
      <c r="CS802">
        <f t="shared" si="947"/>
        <v>10200</v>
      </c>
      <c r="CT802">
        <f t="shared" si="948"/>
        <v>0</v>
      </c>
      <c r="CU802" t="str">
        <f t="shared" si="949"/>
        <v/>
      </c>
      <c r="CV802" s="2">
        <f t="shared" si="950"/>
        <v>0</v>
      </c>
      <c r="CW802" s="1" t="s">
        <v>1202</v>
      </c>
      <c r="CX802" t="str">
        <f t="shared" si="951"/>
        <v>reg</v>
      </c>
      <c r="CY802" s="308" t="s">
        <v>3422</v>
      </c>
      <c r="DB802">
        <v>35</v>
      </c>
      <c r="DC802" t="str">
        <f t="shared" si="952"/>
        <v>31-70</v>
      </c>
      <c r="DD802">
        <v>0</v>
      </c>
      <c r="DE802">
        <v>0</v>
      </c>
      <c r="DF802">
        <v>0</v>
      </c>
      <c r="DG802">
        <v>1</v>
      </c>
      <c r="DI802">
        <f t="shared" si="960"/>
        <v>1</v>
      </c>
      <c r="DJ802" t="str">
        <f t="shared" si="953"/>
        <v>TimberInput</v>
      </c>
      <c r="DK802">
        <f t="shared" si="954"/>
        <v>0</v>
      </c>
      <c r="DL802">
        <f t="shared" si="955"/>
        <v>0</v>
      </c>
      <c r="DM802">
        <f t="shared" si="956"/>
        <v>0</v>
      </c>
      <c r="DN802" t="str">
        <f t="shared" si="957"/>
        <v>Timber</v>
      </c>
      <c r="DO802">
        <v>0</v>
      </c>
      <c r="DP802">
        <v>0</v>
      </c>
      <c r="DQ802">
        <v>0</v>
      </c>
      <c r="DR802">
        <v>0</v>
      </c>
      <c r="DS802">
        <v>0</v>
      </c>
      <c r="DT802">
        <f t="shared" si="958"/>
        <v>0</v>
      </c>
      <c r="DU802" s="143" t="str">
        <f t="shared" si="959"/>
        <v>explicit C balance</v>
      </c>
      <c r="DV802">
        <v>0</v>
      </c>
      <c r="DW802">
        <v>0</v>
      </c>
      <c r="DX802">
        <v>0</v>
      </c>
      <c r="DY802">
        <v>1</v>
      </c>
      <c r="DZ802">
        <v>0</v>
      </c>
      <c r="EA802" s="143">
        <v>0</v>
      </c>
      <c r="EB802">
        <v>1</v>
      </c>
      <c r="EC802">
        <v>1</v>
      </c>
      <c r="ED802">
        <v>1</v>
      </c>
      <c r="EE802">
        <v>1</v>
      </c>
      <c r="EF802">
        <v>1</v>
      </c>
      <c r="EG802">
        <v>1</v>
      </c>
      <c r="EH802">
        <v>0</v>
      </c>
      <c r="EI802" s="2">
        <v>0</v>
      </c>
      <c r="EK802" t="str">
        <f t="shared" si="968"/>
        <v/>
      </c>
      <c r="EL802" t="str">
        <f t="shared" si="969"/>
        <v/>
      </c>
      <c r="EM802" s="2" t="str">
        <f t="shared" si="903"/>
        <v>Technology approach</v>
      </c>
      <c r="EP802" t="b">
        <f>IF(ISNUMBER(BU802),IF(ABS(BU802-[2]QC_indicators!$B$2)&gt;3*[2]QC_indicators!$C$2,"C ratio",IF(ISNUMBER(BY802),IF(ABS(BY802-[2]QC_indicators!$B$1)&gt;3*[2]QC_indicators!$C$1,"DF","no"))),IF(ISNUMBER(BY802),IF(ABS(BY802-[2]QC_indicators!$B$1)&gt;3*[2]QC_indicators!$C$1,"DF","no")))</f>
        <v>0</v>
      </c>
      <c r="ET802" s="264" t="s">
        <v>3150</v>
      </c>
    </row>
    <row r="803" spans="1:150" ht="15" hidden="1" customHeight="1">
      <c r="A803" s="1" t="s">
        <v>614</v>
      </c>
      <c r="B803" t="s">
        <v>1718</v>
      </c>
      <c r="C803" t="s">
        <v>1719</v>
      </c>
      <c r="D803" t="s">
        <v>1720</v>
      </c>
      <c r="E803" t="s">
        <v>1721</v>
      </c>
      <c r="F803" t="s">
        <v>1722</v>
      </c>
      <c r="G803" t="s">
        <v>620</v>
      </c>
      <c r="H803" t="s">
        <v>254</v>
      </c>
      <c r="I803">
        <v>2021</v>
      </c>
      <c r="J803">
        <v>2</v>
      </c>
      <c r="K803" t="s">
        <v>1723</v>
      </c>
      <c r="M803" t="str">
        <f t="shared" si="905"/>
        <v>Hawkins_2021</v>
      </c>
      <c r="N803" t="s">
        <v>222</v>
      </c>
      <c r="O803" s="145" t="s">
        <v>513</v>
      </c>
      <c r="Q803" t="s">
        <v>256</v>
      </c>
      <c r="R803" s="2" t="s">
        <v>274</v>
      </c>
      <c r="S803" s="1" t="s">
        <v>1728</v>
      </c>
      <c r="T803" t="s">
        <v>1725</v>
      </c>
      <c r="U803" t="s">
        <v>1726</v>
      </c>
      <c r="V803">
        <v>0</v>
      </c>
      <c r="W803">
        <v>0</v>
      </c>
      <c r="X803">
        <v>0</v>
      </c>
      <c r="Y803">
        <v>0</v>
      </c>
      <c r="Z803">
        <v>0</v>
      </c>
      <c r="AA803">
        <v>0</v>
      </c>
      <c r="AB803">
        <v>0</v>
      </c>
      <c r="AC803">
        <v>0</v>
      </c>
      <c r="AD803">
        <v>0</v>
      </c>
      <c r="AE803">
        <v>0</v>
      </c>
      <c r="AF803">
        <v>0</v>
      </c>
      <c r="AG803">
        <v>0</v>
      </c>
      <c r="AH803">
        <v>0</v>
      </c>
      <c r="AI803">
        <v>0</v>
      </c>
      <c r="AJ803">
        <v>0</v>
      </c>
      <c r="AK803">
        <v>0</v>
      </c>
      <c r="AL803">
        <v>1</v>
      </c>
      <c r="AM803">
        <v>0</v>
      </c>
      <c r="AN803">
        <v>0</v>
      </c>
      <c r="AO803">
        <v>0</v>
      </c>
      <c r="AP803">
        <v>0</v>
      </c>
      <c r="AQ803">
        <v>0</v>
      </c>
      <c r="AR803">
        <v>0</v>
      </c>
      <c r="AS803">
        <v>0</v>
      </c>
      <c r="AT803">
        <v>0</v>
      </c>
      <c r="AU803">
        <v>0</v>
      </c>
      <c r="AV803">
        <v>0</v>
      </c>
      <c r="AW803">
        <v>0</v>
      </c>
      <c r="AX803" s="141">
        <f t="shared" si="935"/>
        <v>1</v>
      </c>
      <c r="AY803" s="141">
        <f t="shared" si="936"/>
        <v>1</v>
      </c>
      <c r="AZ803">
        <f t="shared" si="937"/>
        <v>0</v>
      </c>
      <c r="BA803">
        <f t="shared" si="938"/>
        <v>0</v>
      </c>
      <c r="BB803">
        <f t="shared" si="939"/>
        <v>1</v>
      </c>
      <c r="BC803">
        <f t="shared" si="940"/>
        <v>0</v>
      </c>
      <c r="BD803">
        <f t="shared" si="941"/>
        <v>0</v>
      </c>
      <c r="BE803" t="str">
        <f t="array" ref="BE803">IF(AY803=1,INDEX($V$7:$AL$7,MATCH(TRUE,INDEX($V803:$AW803&lt;&gt;0,),0)),IF(AY803=0,INDEX($AM$7:$AW$7,MATCH(1,$AM803:$AW803,0)),IF(BF803="Multiple strategies","mixed drivers",IF(BF803="Supply chain","multiple supply","multiple silviculture"))))</f>
        <v>CCS</v>
      </c>
      <c r="BF803" s="2" t="str" cm="1">
        <f t="array" ref="BF803">IF(COUNTIF(AZ803:BB803,"&lt;&gt;0")=1,INDEX($V$4:$AW$4,MATCH(TRUE,INDEX($V803:$AW803&lt;&gt;0,),0)),IF(COUNTIF(AZ803:BB803,"&lt;&gt;0")=0,INDEX($AM$4:$AW$4,MATCH(1,$AM803:$AW803,0)),"Multiple strategies"))</f>
        <v>Technology</v>
      </c>
      <c r="BG803" s="1" t="s">
        <v>229</v>
      </c>
      <c r="BH803" t="s">
        <v>229</v>
      </c>
      <c r="BJ803" t="s">
        <v>756</v>
      </c>
      <c r="BK803">
        <v>1105.3</v>
      </c>
      <c r="BL803">
        <v>1105.3</v>
      </c>
      <c r="BN803">
        <f t="shared" si="961"/>
        <v>0</v>
      </c>
      <c r="BO803">
        <f t="shared" si="962"/>
        <v>0</v>
      </c>
      <c r="BP803" t="s">
        <v>232</v>
      </c>
      <c r="BQ803" s="264" t="s">
        <v>3260</v>
      </c>
      <c r="BR803" t="s">
        <v>728</v>
      </c>
      <c r="BS803" s="179">
        <v>-1310000</v>
      </c>
      <c r="BT803" s="179">
        <v>-1310000</v>
      </c>
      <c r="BU803" s="144">
        <f t="shared" si="963"/>
        <v>1</v>
      </c>
      <c r="BV803" s="179">
        <f t="shared" si="943"/>
        <v>0</v>
      </c>
      <c r="BW803" s="179"/>
      <c r="BX803">
        <f t="shared" si="964"/>
        <v>0</v>
      </c>
      <c r="BY803" t="str">
        <f t="shared" si="902"/>
        <v/>
      </c>
      <c r="BZ803">
        <v>0</v>
      </c>
      <c r="CA803">
        <v>1</v>
      </c>
      <c r="CB803">
        <v>0</v>
      </c>
      <c r="CC803">
        <v>1</v>
      </c>
      <c r="CD803">
        <v>0</v>
      </c>
      <c r="CE803">
        <v>0</v>
      </c>
      <c r="CF803">
        <v>0</v>
      </c>
      <c r="CG803">
        <v>1</v>
      </c>
      <c r="CH803">
        <v>0</v>
      </c>
      <c r="CI803">
        <v>0</v>
      </c>
      <c r="CJ803">
        <v>0</v>
      </c>
      <c r="CK803">
        <v>0</v>
      </c>
      <c r="CL803">
        <v>0</v>
      </c>
      <c r="CM803">
        <v>0</v>
      </c>
      <c r="CN803" t="str">
        <f t="shared" si="945"/>
        <v>refOK</v>
      </c>
      <c r="CO803">
        <f t="shared" si="965"/>
        <v>1105.3</v>
      </c>
      <c r="CP803">
        <f t="shared" si="966"/>
        <v>1105.3</v>
      </c>
      <c r="CQ803">
        <f t="shared" si="967"/>
        <v>0</v>
      </c>
      <c r="CR803">
        <f t="shared" si="946"/>
        <v>-1310000</v>
      </c>
      <c r="CS803">
        <f t="shared" si="947"/>
        <v>-1310000</v>
      </c>
      <c r="CT803">
        <f t="shared" si="948"/>
        <v>0</v>
      </c>
      <c r="CU803" t="str">
        <f t="shared" si="949"/>
        <v/>
      </c>
      <c r="CV803" s="2">
        <f t="shared" si="950"/>
        <v>0</v>
      </c>
      <c r="CW803" s="1" t="s">
        <v>1202</v>
      </c>
      <c r="CX803" t="str">
        <f t="shared" si="951"/>
        <v>reg</v>
      </c>
      <c r="CY803" s="308" t="s">
        <v>3422</v>
      </c>
      <c r="DB803">
        <v>2</v>
      </c>
      <c r="DC803" t="str">
        <f t="shared" si="952"/>
        <v>1-30</v>
      </c>
      <c r="DD803">
        <v>0</v>
      </c>
      <c r="DE803">
        <v>0</v>
      </c>
      <c r="DF803">
        <v>0</v>
      </c>
      <c r="DG803">
        <v>1</v>
      </c>
      <c r="DI803">
        <f t="shared" si="960"/>
        <v>1</v>
      </c>
      <c r="DJ803" t="str">
        <f t="shared" si="953"/>
        <v>TimberInput</v>
      </c>
      <c r="DK803">
        <f t="shared" si="954"/>
        <v>0</v>
      </c>
      <c r="DL803">
        <f t="shared" si="955"/>
        <v>0</v>
      </c>
      <c r="DM803">
        <f t="shared" si="956"/>
        <v>0</v>
      </c>
      <c r="DN803" t="str">
        <f t="shared" si="957"/>
        <v>Timber</v>
      </c>
      <c r="DO803">
        <v>0</v>
      </c>
      <c r="DP803">
        <v>0</v>
      </c>
      <c r="DQ803">
        <v>0</v>
      </c>
      <c r="DR803">
        <v>0</v>
      </c>
      <c r="DS803">
        <v>0</v>
      </c>
      <c r="DT803">
        <f t="shared" si="958"/>
        <v>0</v>
      </c>
      <c r="DU803" s="143" t="str">
        <f t="shared" si="959"/>
        <v>explicit C balance</v>
      </c>
      <c r="DV803">
        <v>0</v>
      </c>
      <c r="DW803">
        <v>0</v>
      </c>
      <c r="DX803">
        <v>0</v>
      </c>
      <c r="DY803">
        <v>1</v>
      </c>
      <c r="DZ803">
        <v>0</v>
      </c>
      <c r="EA803" s="143">
        <v>0</v>
      </c>
      <c r="EB803">
        <v>1</v>
      </c>
      <c r="EC803">
        <v>1</v>
      </c>
      <c r="ED803">
        <v>1</v>
      </c>
      <c r="EE803">
        <v>1</v>
      </c>
      <c r="EF803">
        <v>1</v>
      </c>
      <c r="EG803">
        <v>1</v>
      </c>
      <c r="EH803">
        <v>0</v>
      </c>
      <c r="EI803" s="2">
        <v>0</v>
      </c>
      <c r="EK803" t="str">
        <f t="shared" si="968"/>
        <v/>
      </c>
      <c r="EL803" t="str">
        <f t="shared" si="969"/>
        <v/>
      </c>
      <c r="EM803" s="2" t="str">
        <f t="shared" si="903"/>
        <v>Technology approach</v>
      </c>
      <c r="EP803" t="b">
        <f>IF(ISNUMBER(BU803),IF(ABS(BU803-[2]QC_indicators!$B$2)&gt;3*[2]QC_indicators!$C$2,"C ratio",IF(ISNUMBER(BY803),IF(ABS(BY803-[2]QC_indicators!$B$1)&gt;3*[2]QC_indicators!$C$1,"DF","no"))),IF(ISNUMBER(BY803),IF(ABS(BY803-[2]QC_indicators!$B$1)&gt;3*[2]QC_indicators!$C$1,"DF","no")))</f>
        <v>0</v>
      </c>
      <c r="ET803" s="264" t="s">
        <v>3150</v>
      </c>
    </row>
    <row r="804" spans="1:150" ht="15" hidden="1" customHeight="1">
      <c r="A804" s="1" t="s">
        <v>599</v>
      </c>
      <c r="B804" t="s">
        <v>788</v>
      </c>
      <c r="C804" t="s">
        <v>789</v>
      </c>
      <c r="D804" t="s">
        <v>790</v>
      </c>
      <c r="E804" t="s">
        <v>791</v>
      </c>
      <c r="F804" t="s">
        <v>792</v>
      </c>
      <c r="G804" t="s">
        <v>605</v>
      </c>
      <c r="H804" t="s">
        <v>254</v>
      </c>
      <c r="I804">
        <v>2022</v>
      </c>
      <c r="J804">
        <v>2</v>
      </c>
      <c r="K804" t="s">
        <v>793</v>
      </c>
      <c r="M804" t="str">
        <f t="shared" si="905"/>
        <v>Hegeir_2022</v>
      </c>
      <c r="N804" t="s">
        <v>222</v>
      </c>
      <c r="O804" s="161" t="s">
        <v>223</v>
      </c>
      <c r="Q804" t="s">
        <v>389</v>
      </c>
      <c r="R804" s="2" t="s">
        <v>274</v>
      </c>
      <c r="S804" s="154" t="s">
        <v>794</v>
      </c>
      <c r="T804" s="149" t="s">
        <v>795</v>
      </c>
      <c r="U804" t="s">
        <v>624</v>
      </c>
      <c r="V804">
        <v>0</v>
      </c>
      <c r="W804">
        <v>0</v>
      </c>
      <c r="X804">
        <v>0</v>
      </c>
      <c r="Y804">
        <v>0</v>
      </c>
      <c r="Z804">
        <v>0</v>
      </c>
      <c r="AA804">
        <v>0</v>
      </c>
      <c r="AB804">
        <v>0</v>
      </c>
      <c r="AC804">
        <v>0</v>
      </c>
      <c r="AD804">
        <v>0</v>
      </c>
      <c r="AE804">
        <v>0</v>
      </c>
      <c r="AF804">
        <v>0</v>
      </c>
      <c r="AG804">
        <v>0</v>
      </c>
      <c r="AH804">
        <v>0</v>
      </c>
      <c r="AI804">
        <v>0</v>
      </c>
      <c r="AJ804">
        <v>0</v>
      </c>
      <c r="AK804">
        <v>1</v>
      </c>
      <c r="AL804">
        <v>0</v>
      </c>
      <c r="AM804">
        <v>0</v>
      </c>
      <c r="AN804">
        <v>0</v>
      </c>
      <c r="AO804">
        <v>0</v>
      </c>
      <c r="AP804">
        <v>0</v>
      </c>
      <c r="AQ804">
        <v>0</v>
      </c>
      <c r="AR804">
        <v>0</v>
      </c>
      <c r="AS804">
        <v>0</v>
      </c>
      <c r="AT804">
        <v>0</v>
      </c>
      <c r="AU804">
        <v>0</v>
      </c>
      <c r="AV804">
        <v>0</v>
      </c>
      <c r="AW804">
        <v>0</v>
      </c>
      <c r="AX804" s="141">
        <f t="shared" si="935"/>
        <v>1</v>
      </c>
      <c r="AY804" s="141">
        <f t="shared" si="936"/>
        <v>1</v>
      </c>
      <c r="AZ804">
        <f t="shared" si="937"/>
        <v>0</v>
      </c>
      <c r="BA804">
        <f t="shared" si="938"/>
        <v>0</v>
      </c>
      <c r="BB804">
        <f t="shared" si="939"/>
        <v>1</v>
      </c>
      <c r="BC804">
        <f t="shared" si="940"/>
        <v>0</v>
      </c>
      <c r="BD804">
        <f t="shared" si="941"/>
        <v>0</v>
      </c>
      <c r="BE804" t="str">
        <f t="array" ref="BE804">IF(AY804=1,INDEX($V$7:$AL$7,MATCH(TRUE,INDEX($V804:$AW804&lt;&gt;0,),0)),IF(AY804=0,INDEX($AM$7:$AW$7,MATCH(1,$AM804:$AW804,0)),IF(BF804="Multiple strategies","mixed drivers",IF(BF804="Supply chain","multiple supply","multiple silviculture"))))</f>
        <v>technologies/design switch</v>
      </c>
      <c r="BF804" s="2" t="str" cm="1">
        <f t="array" ref="BF804">IF(COUNTIF(AZ804:BB804,"&lt;&gt;0")=1,INDEX($V$4:$AW$4,MATCH(TRUE,INDEX($V804:$AW804&lt;&gt;0,),0)),IF(COUNTIF(AZ804:BB804,"&lt;&gt;0")=0,INDEX($AM$4:$AW$4,MATCH(1,$AM804:$AW804,0)),"Multiple strategies"))</f>
        <v>Technology</v>
      </c>
      <c r="BG804" s="1" t="s">
        <v>229</v>
      </c>
      <c r="BH804" t="s">
        <v>796</v>
      </c>
      <c r="BJ804" t="s">
        <v>797</v>
      </c>
      <c r="BK804">
        <v>0</v>
      </c>
      <c r="BL804">
        <f>94.91/(25*42)</f>
        <v>9.0390476190476188E-2</v>
      </c>
      <c r="BN804">
        <f t="shared" si="961"/>
        <v>9.0390476190476188E-2</v>
      </c>
      <c r="BO804">
        <f>BL804-BK804</f>
        <v>9.0390476190476188E-2</v>
      </c>
      <c r="BP804" t="s">
        <v>395</v>
      </c>
      <c r="BR804" t="s">
        <v>262</v>
      </c>
      <c r="BS804">
        <v>47.96</v>
      </c>
      <c r="BT804">
        <v>-39.9</v>
      </c>
      <c r="BV804">
        <f t="shared" si="943"/>
        <v>-87.86</v>
      </c>
      <c r="BX804">
        <f t="shared" si="964"/>
        <v>-8.7859999999999994E-2</v>
      </c>
      <c r="BY804">
        <f t="shared" si="902"/>
        <v>-0.97200505742282162</v>
      </c>
      <c r="BZ804">
        <v>0</v>
      </c>
      <c r="CA804">
        <v>0</v>
      </c>
      <c r="CB804">
        <v>0</v>
      </c>
      <c r="CC804">
        <v>0</v>
      </c>
      <c r="CD804">
        <v>0</v>
      </c>
      <c r="CE804">
        <v>0</v>
      </c>
      <c r="CF804">
        <v>0</v>
      </c>
      <c r="CG804">
        <v>0</v>
      </c>
      <c r="CH804">
        <v>0</v>
      </c>
      <c r="CI804">
        <v>0</v>
      </c>
      <c r="CJ804">
        <v>0</v>
      </c>
      <c r="CK804">
        <v>0</v>
      </c>
      <c r="CL804">
        <v>0</v>
      </c>
      <c r="CM804">
        <v>0</v>
      </c>
      <c r="CN804" t="str">
        <f t="shared" si="945"/>
        <v>refOK</v>
      </c>
      <c r="CO804">
        <f>IF($CN804="refOK",$BK804,$BL804)</f>
        <v>0</v>
      </c>
      <c r="CP804">
        <f>IF($CN804="refOK",$BL804,$BK804)</f>
        <v>9.0390476190476188E-2</v>
      </c>
      <c r="CQ804">
        <f t="shared" si="967"/>
        <v>9.0390476190476188E-2</v>
      </c>
      <c r="CR804">
        <f t="shared" si="946"/>
        <v>-47.96</v>
      </c>
      <c r="CS804">
        <f t="shared" si="947"/>
        <v>39.9</v>
      </c>
      <c r="CT804">
        <f t="shared" si="948"/>
        <v>8.7859999999999994E-2</v>
      </c>
      <c r="CU804">
        <f t="shared" si="949"/>
        <v>0.97200505742282162</v>
      </c>
      <c r="CV804" s="2">
        <f t="shared" si="950"/>
        <v>1.8319432860717264</v>
      </c>
      <c r="CW804" s="162" t="s">
        <v>263</v>
      </c>
      <c r="CX804" t="str">
        <f t="shared" si="951"/>
        <v>loc</v>
      </c>
      <c r="CY804" t="s">
        <v>264</v>
      </c>
      <c r="DB804">
        <v>0</v>
      </c>
      <c r="DC804" t="str">
        <f t="shared" si="952"/>
        <v>0</v>
      </c>
      <c r="DD804">
        <v>0</v>
      </c>
      <c r="DE804">
        <v>0</v>
      </c>
      <c r="DF804">
        <v>0</v>
      </c>
      <c r="DG804">
        <v>1</v>
      </c>
      <c r="DH804">
        <v>0</v>
      </c>
      <c r="DI804">
        <f t="shared" si="960"/>
        <v>1</v>
      </c>
      <c r="DJ804" t="str">
        <f t="shared" si="953"/>
        <v>TimberInput</v>
      </c>
      <c r="DK804">
        <f t="shared" si="954"/>
        <v>0</v>
      </c>
      <c r="DL804">
        <f t="shared" si="955"/>
        <v>0</v>
      </c>
      <c r="DM804">
        <f t="shared" si="956"/>
        <v>0</v>
      </c>
      <c r="DN804" t="str">
        <f t="shared" si="957"/>
        <v>Timber</v>
      </c>
      <c r="DO804">
        <v>0</v>
      </c>
      <c r="DP804">
        <v>0</v>
      </c>
      <c r="DQ804">
        <v>0</v>
      </c>
      <c r="DR804">
        <v>0</v>
      </c>
      <c r="DS804">
        <v>0</v>
      </c>
      <c r="DT804">
        <f t="shared" si="958"/>
        <v>0</v>
      </c>
      <c r="DU804" s="143" t="str">
        <f t="shared" si="959"/>
        <v>explicit C balance</v>
      </c>
      <c r="DV804">
        <v>0</v>
      </c>
      <c r="DW804">
        <v>0</v>
      </c>
      <c r="DX804">
        <v>0</v>
      </c>
      <c r="DY804">
        <v>1</v>
      </c>
      <c r="DZ804">
        <v>0</v>
      </c>
      <c r="EA804">
        <v>0</v>
      </c>
      <c r="EB804">
        <v>1</v>
      </c>
      <c r="EC804">
        <v>1</v>
      </c>
      <c r="ED804">
        <v>0</v>
      </c>
      <c r="EE804">
        <v>0</v>
      </c>
      <c r="EF804">
        <v>0</v>
      </c>
      <c r="EG804">
        <v>0</v>
      </c>
      <c r="EH804">
        <v>0</v>
      </c>
      <c r="EI804" s="2">
        <v>0</v>
      </c>
      <c r="EK804" t="str">
        <f t="shared" si="968"/>
        <v/>
      </c>
      <c r="EL804" t="str">
        <f t="shared" si="969"/>
        <v/>
      </c>
      <c r="EM804" s="2" t="str">
        <f t="shared" si="903"/>
        <v>Technology approach</v>
      </c>
      <c r="EP804" t="str">
        <f>IF(ISNUMBER(BU804),IF(ABS(BU804-[2]QC_indicators!$B$2)&gt;3*[2]QC_indicators!$C$2,"C ratio",IF(ISNUMBER(BY804),IF(ABS(BY804-[2]QC_indicators!$B$1)&gt;3*[2]QC_indicators!$C$1,"DF","no"))),IF(ISNUMBER(BY804),IF(ABS(BY804-[2]QC_indicators!$B$1)&gt;3*[2]QC_indicators!$C$1,"DF","no")))</f>
        <v>no</v>
      </c>
      <c r="ET804" s="264" t="s">
        <v>3150</v>
      </c>
    </row>
    <row r="805" spans="1:150" ht="15" hidden="1" customHeight="1">
      <c r="A805" s="1" t="s">
        <v>599</v>
      </c>
      <c r="B805" t="s">
        <v>788</v>
      </c>
      <c r="C805" t="s">
        <v>789</v>
      </c>
      <c r="D805" t="s">
        <v>790</v>
      </c>
      <c r="E805" t="s">
        <v>791</v>
      </c>
      <c r="F805" t="s">
        <v>792</v>
      </c>
      <c r="G805" t="s">
        <v>605</v>
      </c>
      <c r="H805" t="s">
        <v>254</v>
      </c>
      <c r="I805">
        <v>2022</v>
      </c>
      <c r="J805">
        <v>2</v>
      </c>
      <c r="K805" t="s">
        <v>793</v>
      </c>
      <c r="M805" t="str">
        <f t="shared" si="905"/>
        <v>Hegeir_2022</v>
      </c>
      <c r="N805" t="s">
        <v>222</v>
      </c>
      <c r="O805" s="161" t="s">
        <v>223</v>
      </c>
      <c r="Q805" t="s">
        <v>389</v>
      </c>
      <c r="R805" s="2" t="s">
        <v>274</v>
      </c>
      <c r="S805" s="154" t="s">
        <v>794</v>
      </c>
      <c r="T805" s="149" t="s">
        <v>629</v>
      </c>
      <c r="U805" t="s">
        <v>624</v>
      </c>
      <c r="V805">
        <v>0</v>
      </c>
      <c r="W805">
        <v>0</v>
      </c>
      <c r="X805">
        <v>0</v>
      </c>
      <c r="Y805">
        <v>0</v>
      </c>
      <c r="Z805">
        <v>0</v>
      </c>
      <c r="AA805">
        <v>0</v>
      </c>
      <c r="AB805">
        <v>0</v>
      </c>
      <c r="AC805">
        <v>0</v>
      </c>
      <c r="AD805">
        <v>0</v>
      </c>
      <c r="AE805">
        <v>0</v>
      </c>
      <c r="AF805">
        <v>0</v>
      </c>
      <c r="AG805">
        <v>0</v>
      </c>
      <c r="AH805">
        <v>0</v>
      </c>
      <c r="AI805">
        <v>0</v>
      </c>
      <c r="AJ805">
        <v>0</v>
      </c>
      <c r="AK805">
        <v>1</v>
      </c>
      <c r="AL805">
        <v>0</v>
      </c>
      <c r="AM805">
        <v>0</v>
      </c>
      <c r="AN805">
        <v>0</v>
      </c>
      <c r="AO805">
        <v>0</v>
      </c>
      <c r="AP805">
        <v>0</v>
      </c>
      <c r="AQ805">
        <v>0</v>
      </c>
      <c r="AR805">
        <v>0</v>
      </c>
      <c r="AS805">
        <v>0</v>
      </c>
      <c r="AT805">
        <v>0</v>
      </c>
      <c r="AU805">
        <v>0</v>
      </c>
      <c r="AV805">
        <v>0</v>
      </c>
      <c r="AW805">
        <v>0</v>
      </c>
      <c r="AX805" s="141">
        <f t="shared" si="935"/>
        <v>1</v>
      </c>
      <c r="AY805" s="141">
        <f t="shared" si="936"/>
        <v>1</v>
      </c>
      <c r="AZ805">
        <f t="shared" si="937"/>
        <v>0</v>
      </c>
      <c r="BA805">
        <f t="shared" si="938"/>
        <v>0</v>
      </c>
      <c r="BB805">
        <f t="shared" si="939"/>
        <v>1</v>
      </c>
      <c r="BC805">
        <f t="shared" si="940"/>
        <v>0</v>
      </c>
      <c r="BD805">
        <f t="shared" si="941"/>
        <v>0</v>
      </c>
      <c r="BE805" t="str">
        <f t="array" ref="BE805">IF(AY805=1,INDEX($V$7:$AL$7,MATCH(TRUE,INDEX($V805:$AW805&lt;&gt;0,),0)),IF(AY805=0,INDEX($AM$7:$AW$7,MATCH(1,$AM805:$AW805,0)),IF(BF805="Multiple strategies","mixed drivers",IF(BF805="Supply chain","multiple supply","multiple silviculture"))))</f>
        <v>technologies/design switch</v>
      </c>
      <c r="BF805" s="2" t="str" cm="1">
        <f t="array" ref="BF805">IF(COUNTIF(AZ805:BB805,"&lt;&gt;0")=1,INDEX($V$4:$AW$4,MATCH(TRUE,INDEX($V805:$AW805&lt;&gt;0,),0)),IF(COUNTIF(AZ805:BB805,"&lt;&gt;0")=0,INDEX($AM$4:$AW$4,MATCH(1,$AM805:$AW805,0)),"Multiple strategies"))</f>
        <v>Technology</v>
      </c>
      <c r="BG805" s="1" t="s">
        <v>229</v>
      </c>
      <c r="BH805" t="s">
        <v>796</v>
      </c>
      <c r="BJ805" t="s">
        <v>797</v>
      </c>
      <c r="BK805">
        <v>0</v>
      </c>
      <c r="BL805">
        <f>94.91/(25*42)</f>
        <v>9.0390476190476188E-2</v>
      </c>
      <c r="BN805">
        <f t="shared" si="961"/>
        <v>9.0390476190476188E-2</v>
      </c>
      <c r="BO805">
        <f>BL805-BK805</f>
        <v>9.0390476190476188E-2</v>
      </c>
      <c r="BP805" t="s">
        <v>395</v>
      </c>
      <c r="BR805" t="s">
        <v>262</v>
      </c>
      <c r="BS805">
        <v>39.29</v>
      </c>
      <c r="BT805">
        <v>-39.9</v>
      </c>
      <c r="BV805">
        <f t="shared" si="943"/>
        <v>-79.19</v>
      </c>
      <c r="BX805">
        <f t="shared" si="964"/>
        <v>-7.9189999999999997E-2</v>
      </c>
      <c r="BY805">
        <f t="shared" si="902"/>
        <v>-0.87608787272152566</v>
      </c>
      <c r="BZ805">
        <v>0</v>
      </c>
      <c r="CA805">
        <v>0</v>
      </c>
      <c r="CB805">
        <v>0</v>
      </c>
      <c r="CC805">
        <v>0</v>
      </c>
      <c r="CD805">
        <v>0</v>
      </c>
      <c r="CE805">
        <v>0</v>
      </c>
      <c r="CF805">
        <v>0</v>
      </c>
      <c r="CG805">
        <v>0</v>
      </c>
      <c r="CH805">
        <v>0</v>
      </c>
      <c r="CI805">
        <v>0</v>
      </c>
      <c r="CJ805">
        <v>0</v>
      </c>
      <c r="CK805">
        <v>0</v>
      </c>
      <c r="CL805">
        <v>0</v>
      </c>
      <c r="CM805">
        <v>0</v>
      </c>
      <c r="CN805" t="str">
        <f t="shared" si="945"/>
        <v>refOK</v>
      </c>
      <c r="CO805">
        <f>IF($CN805="refOK",$BK805,$BL805)</f>
        <v>0</v>
      </c>
      <c r="CP805">
        <f>IF($CN805="refOK",$BL805,$BK805)</f>
        <v>9.0390476190476188E-2</v>
      </c>
      <c r="CQ805">
        <f t="shared" si="967"/>
        <v>9.0390476190476188E-2</v>
      </c>
      <c r="CR805">
        <f t="shared" si="946"/>
        <v>-39.29</v>
      </c>
      <c r="CS805">
        <f t="shared" si="947"/>
        <v>39.9</v>
      </c>
      <c r="CT805">
        <f t="shared" si="948"/>
        <v>7.9189999999999997E-2</v>
      </c>
      <c r="CU805">
        <f t="shared" si="949"/>
        <v>0.87608787272152566</v>
      </c>
      <c r="CV805" s="2">
        <f t="shared" si="950"/>
        <v>2.0155255790277424</v>
      </c>
      <c r="CW805" s="162" t="s">
        <v>263</v>
      </c>
      <c r="CX805" t="str">
        <f t="shared" si="951"/>
        <v>loc</v>
      </c>
      <c r="CY805" t="s">
        <v>264</v>
      </c>
      <c r="DB805">
        <v>0</v>
      </c>
      <c r="DC805" t="str">
        <f t="shared" si="952"/>
        <v>0</v>
      </c>
      <c r="DD805">
        <v>0</v>
      </c>
      <c r="DE805">
        <v>0</v>
      </c>
      <c r="DF805">
        <v>0</v>
      </c>
      <c r="DG805">
        <v>1</v>
      </c>
      <c r="DH805">
        <v>0</v>
      </c>
      <c r="DI805">
        <f t="shared" si="960"/>
        <v>1</v>
      </c>
      <c r="DJ805" t="str">
        <f t="shared" si="953"/>
        <v>TimberInput</v>
      </c>
      <c r="DK805">
        <f t="shared" si="954"/>
        <v>0</v>
      </c>
      <c r="DL805">
        <f t="shared" si="955"/>
        <v>0</v>
      </c>
      <c r="DM805">
        <f t="shared" si="956"/>
        <v>0</v>
      </c>
      <c r="DN805" t="str">
        <f t="shared" si="957"/>
        <v>Timber</v>
      </c>
      <c r="DO805">
        <v>0</v>
      </c>
      <c r="DP805">
        <v>0</v>
      </c>
      <c r="DQ805">
        <v>0</v>
      </c>
      <c r="DR805">
        <v>0</v>
      </c>
      <c r="DS805">
        <v>0</v>
      </c>
      <c r="DT805">
        <f t="shared" si="958"/>
        <v>0</v>
      </c>
      <c r="DU805" s="143" t="str">
        <f t="shared" si="959"/>
        <v>explicit C balance</v>
      </c>
      <c r="DV805">
        <v>0</v>
      </c>
      <c r="DW805">
        <v>0</v>
      </c>
      <c r="DX805">
        <v>0</v>
      </c>
      <c r="DY805">
        <v>1</v>
      </c>
      <c r="DZ805">
        <v>0</v>
      </c>
      <c r="EA805">
        <v>0</v>
      </c>
      <c r="EB805">
        <v>1</v>
      </c>
      <c r="EC805">
        <v>1</v>
      </c>
      <c r="ED805">
        <v>0</v>
      </c>
      <c r="EE805">
        <v>0</v>
      </c>
      <c r="EF805">
        <v>0</v>
      </c>
      <c r="EG805">
        <v>0</v>
      </c>
      <c r="EH805">
        <v>0</v>
      </c>
      <c r="EI805" s="2">
        <v>0</v>
      </c>
      <c r="EK805" t="str">
        <f t="shared" si="968"/>
        <v/>
      </c>
      <c r="EL805" t="str">
        <f t="shared" si="969"/>
        <v/>
      </c>
      <c r="EM805" s="2" t="str">
        <f t="shared" si="903"/>
        <v>Technology approach</v>
      </c>
      <c r="EP805" t="str">
        <f>IF(ISNUMBER(BU805),IF(ABS(BU805-[2]QC_indicators!$B$2)&gt;3*[2]QC_indicators!$C$2,"C ratio",IF(ISNUMBER(BY805),IF(ABS(BY805-[2]QC_indicators!$B$1)&gt;3*[2]QC_indicators!$C$1,"DF","no"))),IF(ISNUMBER(BY805),IF(ABS(BY805-[2]QC_indicators!$B$1)&gt;3*[2]QC_indicators!$C$1,"DF","no")))</f>
        <v>no</v>
      </c>
      <c r="ET805" s="264" t="s">
        <v>3150</v>
      </c>
    </row>
    <row r="806" spans="1:150" ht="15" hidden="1" customHeight="1">
      <c r="A806" s="1" t="s">
        <v>848</v>
      </c>
      <c r="B806" t="s">
        <v>5122</v>
      </c>
      <c r="C806" t="s">
        <v>5123</v>
      </c>
      <c r="D806" t="s">
        <v>5124</v>
      </c>
      <c r="E806" t="s">
        <v>5125</v>
      </c>
      <c r="F806" t="s">
        <v>5126</v>
      </c>
      <c r="G806" t="s">
        <v>854</v>
      </c>
      <c r="H806" t="s">
        <v>3790</v>
      </c>
      <c r="I806">
        <v>2019</v>
      </c>
      <c r="J806">
        <v>79</v>
      </c>
      <c r="K806" t="s">
        <v>5127</v>
      </c>
      <c r="M806" t="str">
        <f t="shared" si="905"/>
        <v>Hertwich_2019</v>
      </c>
      <c r="N806" t="s">
        <v>2585</v>
      </c>
      <c r="O806" s="145" t="s">
        <v>513</v>
      </c>
      <c r="Q806" s="311" t="s">
        <v>256</v>
      </c>
      <c r="R806" s="312"/>
      <c r="AX806" s="141"/>
      <c r="AY806" s="141"/>
      <c r="BE806"/>
      <c r="BF806" s="2"/>
      <c r="BU806" s="144"/>
      <c r="BY806" t="str">
        <f t="shared" si="902"/>
        <v/>
      </c>
      <c r="CN806"/>
      <c r="CO806"/>
      <c r="CP806"/>
      <c r="CQ806"/>
      <c r="CR806"/>
      <c r="CS806"/>
      <c r="CT806"/>
      <c r="CU806"/>
      <c r="CV806" s="2"/>
      <c r="CX806"/>
      <c r="DC806"/>
      <c r="DI806"/>
      <c r="DJ806"/>
      <c r="DK806"/>
      <c r="DL806"/>
      <c r="DM806"/>
      <c r="DN806"/>
      <c r="DT806"/>
      <c r="DU806" s="143"/>
      <c r="EK806" t="str">
        <f t="shared" ref="EK806:EK823" si="970">IF(AND(AND(AND(OR($DX806=1,$DW806=1),OR($EC806=1,$EA806=1)),SUM($DV806:$DZ806,$EF806)&gt;=3),SUM($EA806:$EE806)&gt;=2),"Whole sector","")</f>
        <v/>
      </c>
      <c r="EL806" t="str">
        <f t="shared" ref="EL806:EL823" si="971">IF(AND(AND(OR($DX806=1,$DW806=1),AND($EC806=0,$EA806=0)),SUM($DV806:$DZ806,$EF806)&gt;=3),"Ecosystem approach","")</f>
        <v/>
      </c>
      <c r="EM806" s="2" t="str">
        <f t="shared" si="903"/>
        <v/>
      </c>
      <c r="EO806" t="s">
        <v>450</v>
      </c>
      <c r="EP806" t="b">
        <f>IF(ISNUMBER(BU806),IF(ABS(BU806-[1]QC_indicators!$B$2)&gt;3*[1]QC_indicators!$C$2,"C ratio",IF(ISNUMBER(BY806),IF(ABS(BY806-[1]QC_indicators!$B$1)&gt;3*[1]QC_indicators!$C$1,"DF","no"))),IF(ISNUMBER(BY806),IF(ABS(BY806-[1]QC_indicators!$B$1)&gt;3*[1]QC_indicators!$C$1,"DF","no")))</f>
        <v>0</v>
      </c>
    </row>
    <row r="807" spans="1:150" ht="15" hidden="1" customHeight="1">
      <c r="A807" s="1" t="s">
        <v>1126</v>
      </c>
      <c r="B807" t="s">
        <v>4419</v>
      </c>
      <c r="C807" t="s">
        <v>4420</v>
      </c>
      <c r="D807" t="s">
        <v>4421</v>
      </c>
      <c r="E807" t="s">
        <v>4422</v>
      </c>
      <c r="F807" t="s">
        <v>4423</v>
      </c>
      <c r="G807" t="s">
        <v>1132</v>
      </c>
      <c r="H807" t="s">
        <v>254</v>
      </c>
      <c r="I807">
        <v>2017</v>
      </c>
      <c r="J807">
        <v>71</v>
      </c>
      <c r="K807" t="s">
        <v>4424</v>
      </c>
      <c r="L807" t="s">
        <v>388</v>
      </c>
      <c r="M807" t="str">
        <f t="shared" si="905"/>
        <v>Hildebrandt_2017a</v>
      </c>
      <c r="N807" t="s">
        <v>2581</v>
      </c>
      <c r="O807" s="145" t="s">
        <v>513</v>
      </c>
      <c r="Q807" s="311" t="s">
        <v>256</v>
      </c>
      <c r="R807" s="312"/>
      <c r="AX807" s="141"/>
      <c r="AY807" s="141"/>
      <c r="BE807"/>
      <c r="BF807" s="2"/>
      <c r="BU807" s="144"/>
      <c r="BY807" t="str">
        <f t="shared" si="902"/>
        <v/>
      </c>
      <c r="CN807"/>
      <c r="CO807"/>
      <c r="CP807"/>
      <c r="CQ807"/>
      <c r="CR807"/>
      <c r="CS807"/>
      <c r="CT807"/>
      <c r="CU807"/>
      <c r="CV807" s="2"/>
      <c r="CX807" s="311"/>
      <c r="DC807"/>
      <c r="DI807"/>
      <c r="DJ807"/>
      <c r="DK807"/>
      <c r="DL807"/>
      <c r="DM807"/>
      <c r="DN807"/>
      <c r="DT807"/>
      <c r="DU807" s="143"/>
      <c r="EK807" t="str">
        <f t="shared" si="970"/>
        <v/>
      </c>
      <c r="EL807" t="str">
        <f t="shared" si="971"/>
        <v/>
      </c>
      <c r="EM807" s="2" t="str">
        <f t="shared" si="903"/>
        <v/>
      </c>
      <c r="EN807" t="s">
        <v>4425</v>
      </c>
      <c r="EO807" t="s">
        <v>4426</v>
      </c>
      <c r="EP807" t="b">
        <f>IF(ISNUMBER(BU807),IF(ABS(BU807-[1]QC_indicators!$B$2)&gt;3*[1]QC_indicators!$C$2,"C ratio",IF(ISNUMBER(BY807),IF(ABS(BY807-[1]QC_indicators!$B$1)&gt;3*[1]QC_indicators!$C$1,"DF","no"))),IF(ISNUMBER(BY807),IF(ABS(BY807-[1]QC_indicators!$B$1)&gt;3*[1]QC_indicators!$C$1,"DF","no")))</f>
        <v>0</v>
      </c>
    </row>
    <row r="808" spans="1:150" ht="15" hidden="1" customHeight="1">
      <c r="A808" s="1" t="s">
        <v>4978</v>
      </c>
      <c r="B808" t="s">
        <v>4979</v>
      </c>
      <c r="C808" t="s">
        <v>544</v>
      </c>
      <c r="D808" t="s">
        <v>4980</v>
      </c>
      <c r="E808" t="s">
        <v>4981</v>
      </c>
      <c r="F808" t="s">
        <v>4982</v>
      </c>
      <c r="G808" t="s">
        <v>544</v>
      </c>
      <c r="H808" t="s">
        <v>3964</v>
      </c>
      <c r="I808">
        <v>2017</v>
      </c>
      <c r="J808">
        <v>1</v>
      </c>
      <c r="K808" t="s">
        <v>544</v>
      </c>
      <c r="L808" s="311" t="s">
        <v>406</v>
      </c>
      <c r="M808" t="str">
        <f t="shared" si="905"/>
        <v>Hildebrandt_2017b</v>
      </c>
      <c r="N808" t="s">
        <v>2583</v>
      </c>
      <c r="O808" s="145" t="s">
        <v>513</v>
      </c>
      <c r="P808" s="141"/>
      <c r="Q808" s="311" t="s">
        <v>256</v>
      </c>
      <c r="R808" s="312"/>
      <c r="AX808" s="141"/>
      <c r="AY808" s="141"/>
      <c r="BE808"/>
      <c r="BF808" s="2"/>
      <c r="BU808" s="144"/>
      <c r="BY808" t="str">
        <f t="shared" si="902"/>
        <v/>
      </c>
      <c r="CN808"/>
      <c r="CO808"/>
      <c r="CP808"/>
      <c r="CQ808"/>
      <c r="CR808"/>
      <c r="CS808"/>
      <c r="CT808"/>
      <c r="CU808"/>
      <c r="CV808" s="2"/>
      <c r="CX808"/>
      <c r="DC808"/>
      <c r="DI808"/>
      <c r="DJ808"/>
      <c r="DK808"/>
      <c r="DL808"/>
      <c r="DM808"/>
      <c r="DN808"/>
      <c r="DT808"/>
      <c r="DU808" s="143"/>
      <c r="EK808" t="str">
        <f t="shared" si="970"/>
        <v/>
      </c>
      <c r="EL808" t="str">
        <f t="shared" si="971"/>
        <v/>
      </c>
      <c r="EM808" s="2" t="str">
        <f t="shared" si="903"/>
        <v/>
      </c>
      <c r="EO808" t="s">
        <v>450</v>
      </c>
      <c r="EP808" t="b">
        <f>IF(ISNUMBER(BU808),IF(ABS(BU808-[1]QC_indicators!$B$2)&gt;3*[1]QC_indicators!$C$2,"C ratio",IF(ISNUMBER(BY808),IF(ABS(BY808-[1]QC_indicators!$B$1)&gt;3*[1]QC_indicators!$C$1,"DF","no"))),IF(ISNUMBER(BY808),IF(ABS(BY808-[1]QC_indicators!$B$1)&gt;3*[1]QC_indicators!$C$1,"DF","no")))</f>
        <v>0</v>
      </c>
    </row>
    <row r="809" spans="1:150" ht="15" hidden="1" customHeight="1">
      <c r="A809" s="1" t="s">
        <v>667</v>
      </c>
      <c r="B809" t="s">
        <v>3685</v>
      </c>
      <c r="C809" t="s">
        <v>3686</v>
      </c>
      <c r="D809" t="s">
        <v>3687</v>
      </c>
      <c r="E809" t="s">
        <v>3688</v>
      </c>
      <c r="F809" t="s">
        <v>3689</v>
      </c>
      <c r="G809" t="s">
        <v>673</v>
      </c>
      <c r="H809" t="s">
        <v>254</v>
      </c>
      <c r="I809">
        <v>2018</v>
      </c>
      <c r="J809">
        <v>27</v>
      </c>
      <c r="K809" t="s">
        <v>3690</v>
      </c>
      <c r="L809" t="s">
        <v>388</v>
      </c>
      <c r="M809" t="str">
        <f t="shared" si="905"/>
        <v>Hossain_2018a</v>
      </c>
      <c r="N809" s="311" t="s">
        <v>4382</v>
      </c>
      <c r="O809" s="145" t="s">
        <v>513</v>
      </c>
      <c r="Q809" s="311" t="s">
        <v>256</v>
      </c>
      <c r="R809" s="312"/>
      <c r="S809" s="1" t="s">
        <v>3691</v>
      </c>
      <c r="T809" t="s">
        <v>3692</v>
      </c>
      <c r="U809" t="s">
        <v>3693</v>
      </c>
      <c r="V809">
        <v>0</v>
      </c>
      <c r="W809">
        <v>0</v>
      </c>
      <c r="X809">
        <v>0</v>
      </c>
      <c r="Y809">
        <v>0</v>
      </c>
      <c r="Z809">
        <v>0</v>
      </c>
      <c r="AA809">
        <v>0</v>
      </c>
      <c r="AB809">
        <v>0</v>
      </c>
      <c r="AC809">
        <v>0</v>
      </c>
      <c r="AD809">
        <v>0</v>
      </c>
      <c r="AE809">
        <v>0</v>
      </c>
      <c r="AF809">
        <v>0</v>
      </c>
      <c r="AG809">
        <v>1</v>
      </c>
      <c r="AH809">
        <v>0</v>
      </c>
      <c r="AI809">
        <v>0</v>
      </c>
      <c r="AJ809">
        <v>0</v>
      </c>
      <c r="AK809">
        <v>2</v>
      </c>
      <c r="AL809">
        <v>0</v>
      </c>
      <c r="AM809">
        <v>0</v>
      </c>
      <c r="AN809">
        <v>0</v>
      </c>
      <c r="AO809">
        <v>0</v>
      </c>
      <c r="AP809">
        <v>0</v>
      </c>
      <c r="AQ809">
        <v>0</v>
      </c>
      <c r="AR809">
        <v>0</v>
      </c>
      <c r="AS809">
        <v>0</v>
      </c>
      <c r="AT809">
        <v>0</v>
      </c>
      <c r="AU809">
        <v>0</v>
      </c>
      <c r="AV809">
        <v>0</v>
      </c>
      <c r="AW809">
        <v>0</v>
      </c>
      <c r="AX809" s="141">
        <f t="shared" ref="AX809:AX814" si="972">COUNTIF(V809:AW809,"&lt;&gt;0")</f>
        <v>2</v>
      </c>
      <c r="AY809" s="141">
        <f t="shared" ref="AY809:AY814" si="973">COUNTIF(V809:AL809,"&lt;&gt;0")</f>
        <v>2</v>
      </c>
      <c r="AZ809">
        <f t="shared" ref="AZ809:AZ814" si="974">COUNTIF(V809:AC809,"&lt;&gt;0")</f>
        <v>0</v>
      </c>
      <c r="BA809">
        <f t="shared" ref="BA809:BA814" si="975">COUNTIF(AD809:AI809,"&lt;&gt;0")</f>
        <v>1</v>
      </c>
      <c r="BB809">
        <f t="shared" ref="BB809:BB814" si="976">COUNTIF(AJ809:AL809,"&lt;&gt;0")</f>
        <v>1</v>
      </c>
      <c r="BC809">
        <f t="shared" ref="BC809:BC814" si="977">COUNTIF(AS809:AW809,"&lt;&gt;0")</f>
        <v>0</v>
      </c>
      <c r="BD809">
        <f t="shared" ref="BD809:BD814" si="978">COUNTIF(AM809:AR809,"&lt;&gt;0")</f>
        <v>0</v>
      </c>
      <c r="BE809" t="str" cm="1">
        <f t="array" ref="BE809">IF(AY809=1,INDEX($V$7:$AL$7,MATCH(TRUE,INDEX($V809:$AW809&lt;&gt;0,),0)),IF(AY809=0,INDEX($AM$7:$AW$7,MATCH(1,$AM809:$AW809,0)),IF(BF809="Multiple strategies","mixed drivers",IF(BF809="Supply chain","multiple supply","multiple silviculture"))))</f>
        <v>mixed drivers</v>
      </c>
      <c r="BF809" s="2" t="str" cm="1">
        <f t="array" ref="BF809">IF(COUNTIF(AZ809:BB809,"&lt;&gt;0")=1,INDEX($V$4:$AW$4,MATCH(TRUE,INDEX($V809:$AW809&lt;&gt;0,),0)),IF(COUNTIF(AZ809:BB809,"&lt;&gt;0")=0,INDEX($AM$4:$AW$4,MATCH(1,$AM809:$AW809,0)),"Multiple strategies"))</f>
        <v>Multiple strategies</v>
      </c>
      <c r="BP809" t="s">
        <v>232</v>
      </c>
      <c r="BR809" t="s">
        <v>3694</v>
      </c>
      <c r="BS809">
        <v>-957</v>
      </c>
      <c r="BT809">
        <v>-994</v>
      </c>
      <c r="BU809" s="144">
        <f t="shared" ref="BU809:BU814" si="979">IFERROR(BT809/BS809,"")</f>
        <v>1.038662486938349</v>
      </c>
      <c r="BV809">
        <f>BT809-BS809</f>
        <v>-37</v>
      </c>
      <c r="BX809">
        <f t="shared" ref="BX809:BX814" si="980">BV809/1000</f>
        <v>-3.6999999999999998E-2</v>
      </c>
      <c r="BY809" t="str">
        <f t="shared" si="902"/>
        <v/>
      </c>
      <c r="BZ809">
        <v>0</v>
      </c>
      <c r="CA809">
        <v>0</v>
      </c>
      <c r="CB809">
        <v>0</v>
      </c>
      <c r="CC809">
        <v>0</v>
      </c>
      <c r="CD809">
        <v>0</v>
      </c>
      <c r="CE809">
        <v>0</v>
      </c>
      <c r="CF809">
        <v>0</v>
      </c>
      <c r="CG809">
        <v>0</v>
      </c>
      <c r="CH809">
        <v>0</v>
      </c>
      <c r="CI809">
        <v>0</v>
      </c>
      <c r="CJ809">
        <v>0</v>
      </c>
      <c r="CK809">
        <v>0</v>
      </c>
      <c r="CL809">
        <v>0</v>
      </c>
      <c r="CM809">
        <v>0</v>
      </c>
      <c r="CN809" t="str">
        <f t="shared" ref="CN809:CN814" si="981">IF(BL809&lt;BK809,"refNeedCorrection","refOK")</f>
        <v>refOK</v>
      </c>
      <c r="CO809"/>
      <c r="CP809"/>
      <c r="CQ809"/>
      <c r="CR809">
        <f t="shared" ref="CR809:CR814" si="982">IF($CN809="refOK",$BS809,$BT809)*IF($BP809="Emissions positive",-1,1)</f>
        <v>-957</v>
      </c>
      <c r="CS809">
        <f t="shared" ref="CS809:CS814" si="983">IF($CN809="refOK",$BT809,$BS809)*IF($BP809="Emissions positive",-1,1)</f>
        <v>-994</v>
      </c>
      <c r="CT809">
        <f t="shared" ref="CT809:CT814" si="984">IF($CN809="refNeedCorrection",-BX809,BX809)*IF($BP809="Emissions positive",-1,1)</f>
        <v>-3.6999999999999998E-2</v>
      </c>
      <c r="CU809" t="str">
        <f t="shared" ref="CU809:CU814" si="985">IFERROR(CT809/CQ809,"")</f>
        <v/>
      </c>
      <c r="CV809" s="2">
        <f t="shared" ref="CV809:CV814" si="986">IFERROR((CS809-CR809)/ABS(CR809),"")</f>
        <v>-3.8662486938349006E-2</v>
      </c>
      <c r="CW809" s="1" t="s">
        <v>347</v>
      </c>
      <c r="CX809" s="311" t="str">
        <f t="shared" ref="CX809:CX814" si="987">IF(OR($CW809="prd",$CW809="std",$CW809="cit"),"loc",IF(OR($CW809="eur",$CW809="reg",$CW809="coy"),"reg",$CW809))</f>
        <v>loc</v>
      </c>
      <c r="CY809" t="s">
        <v>680</v>
      </c>
      <c r="DB809">
        <v>0</v>
      </c>
      <c r="DC809" t="str">
        <f t="shared" ref="DC809:DC814" si="988">IF(DB809=0,"0",IF(AND(DB809&gt;=1,DB809&lt;=30),"1-30",IF(AND(DB809&gt;30,DB809&lt;=70),"31-70",IF(AND(DB809&gt;70,DB809&lt;=100),"71-100",IF(DB809&gt;100,"+100")))))</f>
        <v>0</v>
      </c>
      <c r="DD809">
        <v>0</v>
      </c>
      <c r="DE809">
        <v>0</v>
      </c>
      <c r="DF809">
        <v>0</v>
      </c>
      <c r="DG809">
        <v>1</v>
      </c>
      <c r="DI809">
        <f t="shared" ref="DI809:DI814" si="989">SUM(DD809:DG809)</f>
        <v>1</v>
      </c>
      <c r="DJ809" t="str">
        <f t="shared" ref="DJ809:DJ814" si="990">IF(DI809=1,INDEX($DD$7:$DG$7,MATCH(1,$DD809:$DG809,0)),"mixedProduct")</f>
        <v>TimberInput</v>
      </c>
      <c r="DK809">
        <f t="shared" ref="DK809:DN814" si="991">IF(DD809=1,DK$7,0)</f>
        <v>0</v>
      </c>
      <c r="DL809">
        <f t="shared" si="991"/>
        <v>0</v>
      </c>
      <c r="DM809">
        <f t="shared" si="991"/>
        <v>0</v>
      </c>
      <c r="DN809" t="str">
        <f t="shared" si="991"/>
        <v>Timber</v>
      </c>
      <c r="DO809">
        <v>1</v>
      </c>
      <c r="DP809">
        <v>0</v>
      </c>
      <c r="DQ809">
        <v>0</v>
      </c>
      <c r="DR809">
        <v>0</v>
      </c>
      <c r="DS809">
        <v>0</v>
      </c>
      <c r="DT809">
        <f t="shared" ref="DT809:DT814" si="992">SUM(DO809:DP809)</f>
        <v>1</v>
      </c>
      <c r="DU809" s="143" t="str">
        <f t="shared" ref="DU809:DU814" si="993">IF(DO809=1,"self-calculated DF",IF(DP809=1,"external DF used","explicit C balance"))</f>
        <v>self-calculated DF</v>
      </c>
      <c r="DV809">
        <v>0</v>
      </c>
      <c r="DW809">
        <v>0</v>
      </c>
      <c r="DX809">
        <v>0</v>
      </c>
      <c r="DY809">
        <v>0</v>
      </c>
      <c r="DZ809">
        <v>0</v>
      </c>
      <c r="EA809" s="143">
        <v>0</v>
      </c>
      <c r="EB809">
        <v>0</v>
      </c>
      <c r="EC809">
        <v>1</v>
      </c>
      <c r="ED809">
        <v>0</v>
      </c>
      <c r="EE809">
        <v>0</v>
      </c>
      <c r="EF809">
        <v>0</v>
      </c>
      <c r="EG809">
        <v>0</v>
      </c>
      <c r="EH809">
        <v>0</v>
      </c>
      <c r="EI809" s="2">
        <v>0</v>
      </c>
      <c r="EK809" t="str">
        <f t="shared" si="970"/>
        <v/>
      </c>
      <c r="EL809" t="str">
        <f t="shared" si="971"/>
        <v/>
      </c>
      <c r="EM809" s="2" t="str">
        <f t="shared" si="903"/>
        <v/>
      </c>
      <c r="EP809" t="b">
        <f>IF(ISNUMBER(BU809),IF(ABS(BU809-[1]QC_indicators!$B$2)&gt;3*[1]QC_indicators!$C$2,"C ratio",IF(ISNUMBER(BY809),IF(ABS(BY809-[1]QC_indicators!$B$1)&gt;3*[1]QC_indicators!$C$1,"DF","no"))),IF(ISNUMBER(BY809),IF(ABS(BY809-[1]QC_indicators!$B$1)&gt;3*[1]QC_indicators!$C$1,"DF","no")))</f>
        <v>0</v>
      </c>
    </row>
    <row r="810" spans="1:150" ht="15" hidden="1" customHeight="1">
      <c r="A810" s="1" t="s">
        <v>667</v>
      </c>
      <c r="B810" t="s">
        <v>3685</v>
      </c>
      <c r="C810" t="s">
        <v>3686</v>
      </c>
      <c r="D810" t="s">
        <v>3687</v>
      </c>
      <c r="E810" t="s">
        <v>3688</v>
      </c>
      <c r="F810" t="s">
        <v>3689</v>
      </c>
      <c r="G810" t="s">
        <v>673</v>
      </c>
      <c r="H810" t="s">
        <v>254</v>
      </c>
      <c r="I810">
        <v>2018</v>
      </c>
      <c r="J810">
        <v>27</v>
      </c>
      <c r="K810" t="s">
        <v>3690</v>
      </c>
      <c r="L810" t="s">
        <v>388</v>
      </c>
      <c r="M810" t="str">
        <f t="shared" si="905"/>
        <v>Hossain_2018a</v>
      </c>
      <c r="N810" s="311" t="s">
        <v>4382</v>
      </c>
      <c r="O810" s="145" t="s">
        <v>513</v>
      </c>
      <c r="Q810" s="311" t="s">
        <v>256</v>
      </c>
      <c r="R810" s="312"/>
      <c r="S810" s="1" t="s">
        <v>3695</v>
      </c>
      <c r="T810" t="s">
        <v>3692</v>
      </c>
      <c r="U810" t="s">
        <v>3696</v>
      </c>
      <c r="V810">
        <v>0</v>
      </c>
      <c r="W810">
        <v>0</v>
      </c>
      <c r="X810">
        <v>0</v>
      </c>
      <c r="Y810">
        <v>0</v>
      </c>
      <c r="Z810">
        <v>0</v>
      </c>
      <c r="AA810">
        <v>0</v>
      </c>
      <c r="AB810">
        <v>0</v>
      </c>
      <c r="AC810">
        <v>0</v>
      </c>
      <c r="AD810">
        <v>0</v>
      </c>
      <c r="AE810">
        <v>0</v>
      </c>
      <c r="AF810">
        <v>0</v>
      </c>
      <c r="AG810">
        <v>1</v>
      </c>
      <c r="AH810">
        <v>0</v>
      </c>
      <c r="AI810">
        <v>0</v>
      </c>
      <c r="AJ810">
        <v>0</v>
      </c>
      <c r="AK810">
        <v>2</v>
      </c>
      <c r="AL810">
        <v>0</v>
      </c>
      <c r="AM810">
        <v>0</v>
      </c>
      <c r="AN810">
        <v>0</v>
      </c>
      <c r="AO810">
        <v>0</v>
      </c>
      <c r="AP810">
        <v>0</v>
      </c>
      <c r="AQ810">
        <v>0</v>
      </c>
      <c r="AR810">
        <v>0</v>
      </c>
      <c r="AS810">
        <v>0</v>
      </c>
      <c r="AT810">
        <v>0</v>
      </c>
      <c r="AU810">
        <v>0</v>
      </c>
      <c r="AV810">
        <v>0</v>
      </c>
      <c r="AW810">
        <v>0</v>
      </c>
      <c r="AX810" s="141">
        <f t="shared" si="972"/>
        <v>2</v>
      </c>
      <c r="AY810" s="141">
        <f t="shared" si="973"/>
        <v>2</v>
      </c>
      <c r="AZ810">
        <f t="shared" si="974"/>
        <v>0</v>
      </c>
      <c r="BA810">
        <f t="shared" si="975"/>
        <v>1</v>
      </c>
      <c r="BB810">
        <f t="shared" si="976"/>
        <v>1</v>
      </c>
      <c r="BC810">
        <f t="shared" si="977"/>
        <v>0</v>
      </c>
      <c r="BD810">
        <f t="shared" si="978"/>
        <v>0</v>
      </c>
      <c r="BE810" t="str" cm="1">
        <f t="array" ref="BE810">IF(AY810=1,INDEX($V$7:$AL$7,MATCH(TRUE,INDEX($V810:$AW810&lt;&gt;0,),0)),IF(AY810=0,INDEX($AM$7:$AW$7,MATCH(1,$AM810:$AW810,0)),IF(BF810="Multiple strategies","mixed drivers",IF(BF810="Supply chain","multiple supply","multiple silviculture"))))</f>
        <v>mixed drivers</v>
      </c>
      <c r="BF810" s="2" t="str" cm="1">
        <f t="array" ref="BF810">IF(COUNTIF(AZ810:BB810,"&lt;&gt;0")=1,INDEX($V$4:$AW$4,MATCH(TRUE,INDEX($V810:$AW810&lt;&gt;0,),0)),IF(COUNTIF(AZ810:BB810,"&lt;&gt;0")=0,INDEX($AM$4:$AW$4,MATCH(1,$AM810:$AW810,0)),"Multiple strategies"))</f>
        <v>Multiple strategies</v>
      </c>
      <c r="BP810" t="s">
        <v>232</v>
      </c>
      <c r="BR810" t="s">
        <v>3694</v>
      </c>
      <c r="BS810">
        <v>-957</v>
      </c>
      <c r="BT810">
        <v>-906</v>
      </c>
      <c r="BU810" s="144">
        <f t="shared" si="979"/>
        <v>0.94670846394984332</v>
      </c>
      <c r="BV810">
        <f>BT810-BS810</f>
        <v>51</v>
      </c>
      <c r="BX810">
        <f t="shared" si="980"/>
        <v>5.0999999999999997E-2</v>
      </c>
      <c r="BY810" t="str">
        <f t="shared" ref="BY810:BY873" si="994">IFERROR(BX810/BO810,"")</f>
        <v/>
      </c>
      <c r="BZ810">
        <v>0</v>
      </c>
      <c r="CA810">
        <v>0</v>
      </c>
      <c r="CB810">
        <v>0</v>
      </c>
      <c r="CC810">
        <v>0</v>
      </c>
      <c r="CD810">
        <v>0</v>
      </c>
      <c r="CE810">
        <v>0</v>
      </c>
      <c r="CF810">
        <v>0</v>
      </c>
      <c r="CG810">
        <v>0</v>
      </c>
      <c r="CH810">
        <v>0</v>
      </c>
      <c r="CI810">
        <v>0</v>
      </c>
      <c r="CJ810">
        <v>0</v>
      </c>
      <c r="CK810">
        <v>0</v>
      </c>
      <c r="CL810">
        <v>0</v>
      </c>
      <c r="CM810">
        <v>0</v>
      </c>
      <c r="CN810" t="str">
        <f t="shared" si="981"/>
        <v>refOK</v>
      </c>
      <c r="CO810"/>
      <c r="CP810"/>
      <c r="CQ810"/>
      <c r="CR810">
        <f t="shared" si="982"/>
        <v>-957</v>
      </c>
      <c r="CS810">
        <f t="shared" si="983"/>
        <v>-906</v>
      </c>
      <c r="CT810">
        <f t="shared" si="984"/>
        <v>5.0999999999999997E-2</v>
      </c>
      <c r="CU810" t="str">
        <f t="shared" si="985"/>
        <v/>
      </c>
      <c r="CV810" s="2">
        <f t="shared" si="986"/>
        <v>5.329153605015674E-2</v>
      </c>
      <c r="CW810" s="1" t="s">
        <v>347</v>
      </c>
      <c r="CX810" s="311" t="str">
        <f t="shared" si="987"/>
        <v>loc</v>
      </c>
      <c r="CY810" t="s">
        <v>680</v>
      </c>
      <c r="DB810">
        <v>0</v>
      </c>
      <c r="DC810" t="str">
        <f t="shared" si="988"/>
        <v>0</v>
      </c>
      <c r="DD810">
        <v>0</v>
      </c>
      <c r="DE810">
        <v>0</v>
      </c>
      <c r="DF810">
        <v>0</v>
      </c>
      <c r="DG810">
        <v>1</v>
      </c>
      <c r="DI810">
        <f t="shared" si="989"/>
        <v>1</v>
      </c>
      <c r="DJ810" t="str">
        <f t="shared" si="990"/>
        <v>TimberInput</v>
      </c>
      <c r="DK810">
        <f t="shared" si="991"/>
        <v>0</v>
      </c>
      <c r="DL810">
        <f t="shared" si="991"/>
        <v>0</v>
      </c>
      <c r="DM810">
        <f t="shared" si="991"/>
        <v>0</v>
      </c>
      <c r="DN810" t="str">
        <f t="shared" si="991"/>
        <v>Timber</v>
      </c>
      <c r="DO810">
        <v>1</v>
      </c>
      <c r="DP810">
        <v>0</v>
      </c>
      <c r="DQ810">
        <v>0</v>
      </c>
      <c r="DR810">
        <v>0</v>
      </c>
      <c r="DS810">
        <v>0</v>
      </c>
      <c r="DT810">
        <f t="shared" si="992"/>
        <v>1</v>
      </c>
      <c r="DU810" s="143" t="str">
        <f t="shared" si="993"/>
        <v>self-calculated DF</v>
      </c>
      <c r="DV810">
        <v>0</v>
      </c>
      <c r="DW810">
        <v>0</v>
      </c>
      <c r="DX810">
        <v>0</v>
      </c>
      <c r="DY810">
        <v>0</v>
      </c>
      <c r="DZ810">
        <v>0</v>
      </c>
      <c r="EA810" s="143">
        <v>0</v>
      </c>
      <c r="EB810">
        <v>0</v>
      </c>
      <c r="EC810">
        <v>1</v>
      </c>
      <c r="ED810">
        <v>0</v>
      </c>
      <c r="EE810">
        <v>0</v>
      </c>
      <c r="EF810">
        <v>0</v>
      </c>
      <c r="EG810">
        <v>0</v>
      </c>
      <c r="EH810">
        <v>0</v>
      </c>
      <c r="EI810" s="2">
        <v>0</v>
      </c>
      <c r="EK810" t="str">
        <f t="shared" si="970"/>
        <v/>
      </c>
      <c r="EL810" t="str">
        <f t="shared" si="971"/>
        <v/>
      </c>
      <c r="EM810" s="2" t="str">
        <f t="shared" si="903"/>
        <v/>
      </c>
      <c r="EP810" t="b">
        <f>IF(ISNUMBER(BU810),IF(ABS(BU810-[1]QC_indicators!$B$2)&gt;3*[1]QC_indicators!$C$2,"C ratio",IF(ISNUMBER(BY810),IF(ABS(BY810-[1]QC_indicators!$B$1)&gt;3*[1]QC_indicators!$C$1,"DF","no"))),IF(ISNUMBER(BY810),IF(ABS(BY810-[1]QC_indicators!$B$1)&gt;3*[1]QC_indicators!$C$1,"DF","no")))</f>
        <v>0</v>
      </c>
    </row>
    <row r="811" spans="1:150" ht="15" hidden="1" customHeight="1">
      <c r="A811" s="1" t="s">
        <v>667</v>
      </c>
      <c r="B811" t="s">
        <v>3685</v>
      </c>
      <c r="C811" t="s">
        <v>3686</v>
      </c>
      <c r="D811" t="s">
        <v>3687</v>
      </c>
      <c r="E811" t="s">
        <v>3688</v>
      </c>
      <c r="F811" t="s">
        <v>3689</v>
      </c>
      <c r="G811" t="s">
        <v>673</v>
      </c>
      <c r="H811" t="s">
        <v>254</v>
      </c>
      <c r="I811">
        <v>2018</v>
      </c>
      <c r="J811">
        <v>27</v>
      </c>
      <c r="K811" t="s">
        <v>3690</v>
      </c>
      <c r="L811" t="s">
        <v>388</v>
      </c>
      <c r="M811" t="str">
        <f t="shared" si="905"/>
        <v>Hossain_2018a</v>
      </c>
      <c r="N811" s="311" t="s">
        <v>4382</v>
      </c>
      <c r="O811" s="145" t="s">
        <v>513</v>
      </c>
      <c r="Q811" s="311" t="s">
        <v>256</v>
      </c>
      <c r="R811" s="312"/>
      <c r="S811" s="1" t="s">
        <v>3697</v>
      </c>
      <c r="T811" t="s">
        <v>3692</v>
      </c>
      <c r="U811" t="s">
        <v>3698</v>
      </c>
      <c r="V811">
        <v>0</v>
      </c>
      <c r="W811">
        <v>0</v>
      </c>
      <c r="X811">
        <v>0</v>
      </c>
      <c r="Y811">
        <v>0</v>
      </c>
      <c r="Z811">
        <v>0</v>
      </c>
      <c r="AA811">
        <v>0</v>
      </c>
      <c r="AB811">
        <v>0</v>
      </c>
      <c r="AC811">
        <v>0</v>
      </c>
      <c r="AD811">
        <v>0</v>
      </c>
      <c r="AE811">
        <v>0</v>
      </c>
      <c r="AF811">
        <v>0</v>
      </c>
      <c r="AG811">
        <v>1</v>
      </c>
      <c r="AH811">
        <v>0</v>
      </c>
      <c r="AI811">
        <v>2</v>
      </c>
      <c r="AJ811">
        <v>0</v>
      </c>
      <c r="AK811">
        <v>2</v>
      </c>
      <c r="AL811">
        <v>0</v>
      </c>
      <c r="AM811">
        <v>0</v>
      </c>
      <c r="AN811">
        <v>0</v>
      </c>
      <c r="AO811">
        <v>0</v>
      </c>
      <c r="AP811">
        <v>0</v>
      </c>
      <c r="AQ811">
        <v>0</v>
      </c>
      <c r="AR811">
        <v>0</v>
      </c>
      <c r="AS811">
        <v>0</v>
      </c>
      <c r="AT811">
        <v>0</v>
      </c>
      <c r="AU811">
        <v>0</v>
      </c>
      <c r="AV811">
        <v>0</v>
      </c>
      <c r="AW811">
        <v>0</v>
      </c>
      <c r="AX811" s="141">
        <f t="shared" si="972"/>
        <v>3</v>
      </c>
      <c r="AY811" s="141">
        <f t="shared" si="973"/>
        <v>3</v>
      </c>
      <c r="AZ811">
        <f t="shared" si="974"/>
        <v>0</v>
      </c>
      <c r="BA811">
        <f t="shared" si="975"/>
        <v>2</v>
      </c>
      <c r="BB811">
        <f t="shared" si="976"/>
        <v>1</v>
      </c>
      <c r="BC811">
        <f t="shared" si="977"/>
        <v>0</v>
      </c>
      <c r="BD811">
        <f t="shared" si="978"/>
        <v>0</v>
      </c>
      <c r="BE811" t="str" cm="1">
        <f t="array" ref="BE811">IF(AY811=1,INDEX($V$7:$AL$7,MATCH(TRUE,INDEX($V811:$AW811&lt;&gt;0,),0)),IF(AY811=0,INDEX($AM$7:$AW$7,MATCH(1,$AM811:$AW811,0)),IF(BF811="Multiple strategies","mixed drivers",IF(BF811="Supply chain","multiple supply","multiple silviculture"))))</f>
        <v>mixed drivers</v>
      </c>
      <c r="BF811" s="2" t="str" cm="1">
        <f t="array" ref="BF811">IF(COUNTIF(AZ811:BB811,"&lt;&gt;0")=1,INDEX($V$4:$AW$4,MATCH(TRUE,INDEX($V811:$AW811&lt;&gt;0,),0)),IF(COUNTIF(AZ811:BB811,"&lt;&gt;0")=0,INDEX($AM$4:$AW$4,MATCH(1,$AM811:$AW811,0)),"Multiple strategies"))</f>
        <v>Multiple strategies</v>
      </c>
      <c r="BP811" t="s">
        <v>232</v>
      </c>
      <c r="BR811" t="s">
        <v>3694</v>
      </c>
      <c r="BS811">
        <v>-957</v>
      </c>
      <c r="BT811">
        <v>-873</v>
      </c>
      <c r="BU811" s="144">
        <f t="shared" si="979"/>
        <v>0.91222570532915359</v>
      </c>
      <c r="BV811">
        <f>BT811-BS811</f>
        <v>84</v>
      </c>
      <c r="BX811">
        <f t="shared" si="980"/>
        <v>8.4000000000000005E-2</v>
      </c>
      <c r="BY811" t="str">
        <f t="shared" si="994"/>
        <v/>
      </c>
      <c r="BZ811">
        <v>0</v>
      </c>
      <c r="CA811">
        <v>0</v>
      </c>
      <c r="CB811">
        <v>0</v>
      </c>
      <c r="CC811">
        <v>0</v>
      </c>
      <c r="CD811">
        <v>0</v>
      </c>
      <c r="CE811">
        <v>0</v>
      </c>
      <c r="CF811">
        <v>0</v>
      </c>
      <c r="CG811">
        <v>0</v>
      </c>
      <c r="CH811">
        <v>0</v>
      </c>
      <c r="CI811">
        <v>0</v>
      </c>
      <c r="CJ811">
        <v>0</v>
      </c>
      <c r="CK811">
        <v>0</v>
      </c>
      <c r="CL811">
        <v>0</v>
      </c>
      <c r="CM811">
        <v>0</v>
      </c>
      <c r="CN811" t="str">
        <f t="shared" si="981"/>
        <v>refOK</v>
      </c>
      <c r="CO811"/>
      <c r="CP811"/>
      <c r="CQ811"/>
      <c r="CR811">
        <f t="shared" si="982"/>
        <v>-957</v>
      </c>
      <c r="CS811">
        <f t="shared" si="983"/>
        <v>-873</v>
      </c>
      <c r="CT811">
        <f t="shared" si="984"/>
        <v>8.4000000000000005E-2</v>
      </c>
      <c r="CU811" t="str">
        <f t="shared" si="985"/>
        <v/>
      </c>
      <c r="CV811" s="2">
        <f t="shared" si="986"/>
        <v>8.7774294670846395E-2</v>
      </c>
      <c r="CW811" s="1" t="s">
        <v>347</v>
      </c>
      <c r="CX811" s="311" t="str">
        <f t="shared" si="987"/>
        <v>loc</v>
      </c>
      <c r="CY811" t="s">
        <v>680</v>
      </c>
      <c r="DB811">
        <v>0</v>
      </c>
      <c r="DC811" t="str">
        <f t="shared" si="988"/>
        <v>0</v>
      </c>
      <c r="DD811">
        <v>0</v>
      </c>
      <c r="DE811">
        <v>0</v>
      </c>
      <c r="DF811">
        <v>0</v>
      </c>
      <c r="DG811">
        <v>1</v>
      </c>
      <c r="DI811">
        <f t="shared" si="989"/>
        <v>1</v>
      </c>
      <c r="DJ811" t="str">
        <f t="shared" si="990"/>
        <v>TimberInput</v>
      </c>
      <c r="DK811">
        <f t="shared" si="991"/>
        <v>0</v>
      </c>
      <c r="DL811">
        <f t="shared" si="991"/>
        <v>0</v>
      </c>
      <c r="DM811">
        <f t="shared" si="991"/>
        <v>0</v>
      </c>
      <c r="DN811" t="str">
        <f t="shared" si="991"/>
        <v>Timber</v>
      </c>
      <c r="DO811">
        <v>1</v>
      </c>
      <c r="DP811">
        <v>0</v>
      </c>
      <c r="DQ811">
        <v>0</v>
      </c>
      <c r="DR811">
        <v>0</v>
      </c>
      <c r="DS811">
        <v>0</v>
      </c>
      <c r="DT811">
        <f t="shared" si="992"/>
        <v>1</v>
      </c>
      <c r="DU811" s="143" t="str">
        <f t="shared" si="993"/>
        <v>self-calculated DF</v>
      </c>
      <c r="DV811">
        <v>0</v>
      </c>
      <c r="DW811">
        <v>0</v>
      </c>
      <c r="DX811">
        <v>0</v>
      </c>
      <c r="DY811">
        <v>0</v>
      </c>
      <c r="DZ811">
        <v>0</v>
      </c>
      <c r="EA811" s="143">
        <v>0</v>
      </c>
      <c r="EB811">
        <v>0</v>
      </c>
      <c r="EC811">
        <v>1</v>
      </c>
      <c r="ED811">
        <v>0</v>
      </c>
      <c r="EE811">
        <v>1</v>
      </c>
      <c r="EF811">
        <v>0</v>
      </c>
      <c r="EG811">
        <v>0</v>
      </c>
      <c r="EH811">
        <v>0</v>
      </c>
      <c r="EI811" s="2">
        <v>0</v>
      </c>
      <c r="EK811" t="str">
        <f t="shared" si="970"/>
        <v/>
      </c>
      <c r="EL811" t="str">
        <f t="shared" si="971"/>
        <v/>
      </c>
      <c r="EM811" s="2" t="str">
        <f t="shared" si="903"/>
        <v>Technology approach</v>
      </c>
      <c r="EP811" t="b">
        <f>IF(ISNUMBER(BU811),IF(ABS(BU811-[1]QC_indicators!$B$2)&gt;3*[1]QC_indicators!$C$2,"C ratio",IF(ISNUMBER(BY811),IF(ABS(BY811-[1]QC_indicators!$B$1)&gt;3*[1]QC_indicators!$C$1,"DF","no"))),IF(ISNUMBER(BY811),IF(ABS(BY811-[1]QC_indicators!$B$1)&gt;3*[1]QC_indicators!$C$1,"DF","no")))</f>
        <v>0</v>
      </c>
    </row>
    <row r="812" spans="1:150" ht="15" hidden="1" customHeight="1">
      <c r="A812" s="1" t="s">
        <v>587</v>
      </c>
      <c r="B812" t="s">
        <v>3699</v>
      </c>
      <c r="C812" t="s">
        <v>3700</v>
      </c>
      <c r="D812" t="s">
        <v>3701</v>
      </c>
      <c r="E812" t="s">
        <v>3702</v>
      </c>
      <c r="F812" t="s">
        <v>3703</v>
      </c>
      <c r="G812" t="s">
        <v>593</v>
      </c>
      <c r="H812" t="s">
        <v>254</v>
      </c>
      <c r="I812">
        <v>2018</v>
      </c>
      <c r="J812">
        <v>40</v>
      </c>
      <c r="K812" t="s">
        <v>3704</v>
      </c>
      <c r="L812" t="s">
        <v>406</v>
      </c>
      <c r="M812" t="str">
        <f t="shared" si="905"/>
        <v>Hossain_2018b</v>
      </c>
      <c r="N812" s="311" t="s">
        <v>4382</v>
      </c>
      <c r="O812" s="145" t="s">
        <v>513</v>
      </c>
      <c r="Q812" s="311" t="s">
        <v>256</v>
      </c>
      <c r="R812" s="312"/>
      <c r="S812" s="1" t="s">
        <v>3705</v>
      </c>
      <c r="T812" t="s">
        <v>3692</v>
      </c>
      <c r="U812" t="s">
        <v>3706</v>
      </c>
      <c r="V812">
        <v>0</v>
      </c>
      <c r="W812">
        <v>0</v>
      </c>
      <c r="X812">
        <v>0</v>
      </c>
      <c r="Y812">
        <v>0</v>
      </c>
      <c r="Z812">
        <v>0</v>
      </c>
      <c r="AA812">
        <v>0</v>
      </c>
      <c r="AB812">
        <v>0</v>
      </c>
      <c r="AC812">
        <v>0</v>
      </c>
      <c r="AD812">
        <v>0</v>
      </c>
      <c r="AE812">
        <v>0</v>
      </c>
      <c r="AF812">
        <v>0</v>
      </c>
      <c r="AG812">
        <v>1</v>
      </c>
      <c r="AH812">
        <v>0</v>
      </c>
      <c r="AI812">
        <v>0</v>
      </c>
      <c r="AJ812">
        <v>0</v>
      </c>
      <c r="AK812">
        <v>2</v>
      </c>
      <c r="AL812">
        <v>0</v>
      </c>
      <c r="AM812">
        <v>0</v>
      </c>
      <c r="AN812">
        <v>0</v>
      </c>
      <c r="AO812">
        <v>0</v>
      </c>
      <c r="AP812">
        <v>0</v>
      </c>
      <c r="AQ812">
        <v>0</v>
      </c>
      <c r="AR812">
        <v>0</v>
      </c>
      <c r="AS812">
        <v>0</v>
      </c>
      <c r="AT812">
        <v>0</v>
      </c>
      <c r="AU812">
        <v>0</v>
      </c>
      <c r="AV812">
        <v>0</v>
      </c>
      <c r="AW812">
        <v>0</v>
      </c>
      <c r="AX812" s="141">
        <f t="shared" si="972"/>
        <v>2</v>
      </c>
      <c r="AY812" s="141">
        <f t="shared" si="973"/>
        <v>2</v>
      </c>
      <c r="AZ812">
        <f t="shared" si="974"/>
        <v>0</v>
      </c>
      <c r="BA812">
        <f t="shared" si="975"/>
        <v>1</v>
      </c>
      <c r="BB812">
        <f t="shared" si="976"/>
        <v>1</v>
      </c>
      <c r="BC812">
        <f t="shared" si="977"/>
        <v>0</v>
      </c>
      <c r="BD812">
        <f t="shared" si="978"/>
        <v>0</v>
      </c>
      <c r="BE812" t="str" cm="1">
        <f t="array" ref="BE812">IF(AY812=1,INDEX($V$7:$AL$7,MATCH(TRUE,INDEX($V812:$AW812&lt;&gt;0,),0)),IF(AY812=0,INDEX($AM$7:$AW$7,MATCH(1,$AM812:$AW812,0)),IF(BF812="Multiple strategies","mixed drivers",IF(BF812="Supply chain","multiple supply","multiple silviculture"))))</f>
        <v>mixed drivers</v>
      </c>
      <c r="BF812" s="2" t="str" cm="1">
        <f t="array" ref="BF812">IF(COUNTIF(AZ812:BB812,"&lt;&gt;0")=1,INDEX($V$4:$AW$4,MATCH(TRUE,INDEX($V812:$AW812&lt;&gt;0,),0)),IF(COUNTIF(AZ812:BB812,"&lt;&gt;0")=0,INDEX($AM$4:$AW$4,MATCH(1,$AM812:$AW812,0)),"Multiple strategies"))</f>
        <v>Multiple strategies</v>
      </c>
      <c r="BP812" t="s">
        <v>232</v>
      </c>
      <c r="BR812" t="s">
        <v>3707</v>
      </c>
      <c r="BS812">
        <v>-313</v>
      </c>
      <c r="BT812">
        <v>-295</v>
      </c>
      <c r="BU812" s="144">
        <f t="shared" si="979"/>
        <v>0.94249201277955275</v>
      </c>
      <c r="BV812">
        <f>BT812-BS812</f>
        <v>18</v>
      </c>
      <c r="BX812">
        <f t="shared" si="980"/>
        <v>1.7999999999999999E-2</v>
      </c>
      <c r="BY812" t="str">
        <f t="shared" si="994"/>
        <v/>
      </c>
      <c r="BZ812">
        <v>0</v>
      </c>
      <c r="CA812">
        <v>0</v>
      </c>
      <c r="CB812">
        <v>0</v>
      </c>
      <c r="CC812">
        <v>0</v>
      </c>
      <c r="CD812">
        <v>0</v>
      </c>
      <c r="CE812">
        <v>0</v>
      </c>
      <c r="CF812">
        <v>0</v>
      </c>
      <c r="CG812">
        <v>0</v>
      </c>
      <c r="CH812">
        <v>0</v>
      </c>
      <c r="CI812">
        <v>0</v>
      </c>
      <c r="CJ812">
        <v>0</v>
      </c>
      <c r="CK812">
        <v>0</v>
      </c>
      <c r="CL812">
        <v>0</v>
      </c>
      <c r="CM812">
        <v>0</v>
      </c>
      <c r="CN812" t="str">
        <f t="shared" si="981"/>
        <v>refOK</v>
      </c>
      <c r="CO812"/>
      <c r="CP812"/>
      <c r="CQ812"/>
      <c r="CR812">
        <f t="shared" si="982"/>
        <v>-313</v>
      </c>
      <c r="CS812">
        <f t="shared" si="983"/>
        <v>-295</v>
      </c>
      <c r="CT812">
        <f t="shared" si="984"/>
        <v>1.7999999999999999E-2</v>
      </c>
      <c r="CU812" t="str">
        <f t="shared" si="985"/>
        <v/>
      </c>
      <c r="CV812" s="2">
        <f t="shared" si="986"/>
        <v>5.7507987220447282E-2</v>
      </c>
      <c r="CW812" s="1" t="s">
        <v>347</v>
      </c>
      <c r="CX812" s="311" t="str">
        <f t="shared" si="987"/>
        <v>loc</v>
      </c>
      <c r="CY812" t="s">
        <v>680</v>
      </c>
      <c r="DB812">
        <v>0</v>
      </c>
      <c r="DC812" t="str">
        <f t="shared" si="988"/>
        <v>0</v>
      </c>
      <c r="DD812">
        <v>0</v>
      </c>
      <c r="DE812">
        <v>0</v>
      </c>
      <c r="DF812">
        <v>0</v>
      </c>
      <c r="DG812">
        <v>1</v>
      </c>
      <c r="DI812">
        <f t="shared" si="989"/>
        <v>1</v>
      </c>
      <c r="DJ812" t="str">
        <f t="shared" si="990"/>
        <v>TimberInput</v>
      </c>
      <c r="DK812">
        <f t="shared" si="991"/>
        <v>0</v>
      </c>
      <c r="DL812">
        <f t="shared" si="991"/>
        <v>0</v>
      </c>
      <c r="DM812">
        <f t="shared" si="991"/>
        <v>0</v>
      </c>
      <c r="DN812" t="str">
        <f t="shared" si="991"/>
        <v>Timber</v>
      </c>
      <c r="DO812">
        <v>1</v>
      </c>
      <c r="DP812">
        <v>0</v>
      </c>
      <c r="DQ812">
        <v>0</v>
      </c>
      <c r="DR812">
        <v>0</v>
      </c>
      <c r="DS812">
        <v>0</v>
      </c>
      <c r="DT812">
        <f t="shared" si="992"/>
        <v>1</v>
      </c>
      <c r="DU812" s="143" t="str">
        <f t="shared" si="993"/>
        <v>self-calculated DF</v>
      </c>
      <c r="DV812">
        <v>0</v>
      </c>
      <c r="DW812">
        <v>0</v>
      </c>
      <c r="DX812">
        <v>0</v>
      </c>
      <c r="DY812">
        <v>0</v>
      </c>
      <c r="DZ812">
        <v>0</v>
      </c>
      <c r="EA812" s="143">
        <v>0</v>
      </c>
      <c r="EB812">
        <v>0</v>
      </c>
      <c r="EC812">
        <v>1</v>
      </c>
      <c r="ED812">
        <v>0</v>
      </c>
      <c r="EE812">
        <v>0</v>
      </c>
      <c r="EF812">
        <v>0</v>
      </c>
      <c r="EG812">
        <v>0</v>
      </c>
      <c r="EH812">
        <v>0</v>
      </c>
      <c r="EI812" s="2">
        <v>0</v>
      </c>
      <c r="EK812" t="str">
        <f t="shared" si="970"/>
        <v/>
      </c>
      <c r="EL812" t="str">
        <f t="shared" si="971"/>
        <v/>
      </c>
      <c r="EM812" s="2" t="str">
        <f t="shared" ref="EM812:EM875" si="995">IF(AND(AND(AND($DX812=0,$DW812=0),OR($EC812=1,$EA812=1)),SUM($EB812:$EE812)&gt;=2),"Technology approach","")</f>
        <v/>
      </c>
      <c r="EP812" t="b">
        <f>IF(ISNUMBER(BU812),IF(ABS(BU812-[1]QC_indicators!$B$2)&gt;3*[1]QC_indicators!$C$2,"C ratio",IF(ISNUMBER(BY812),IF(ABS(BY812-[1]QC_indicators!$B$1)&gt;3*[1]QC_indicators!$C$1,"DF","no"))),IF(ISNUMBER(BY812),IF(ABS(BY812-[1]QC_indicators!$B$1)&gt;3*[1]QC_indicators!$C$1,"DF","no")))</f>
        <v>0</v>
      </c>
    </row>
    <row r="813" spans="1:150" ht="15" hidden="1" customHeight="1">
      <c r="A813" s="1" t="s">
        <v>587</v>
      </c>
      <c r="B813" t="s">
        <v>3699</v>
      </c>
      <c r="C813" t="s">
        <v>3700</v>
      </c>
      <c r="D813" t="s">
        <v>3701</v>
      </c>
      <c r="E813" t="s">
        <v>3702</v>
      </c>
      <c r="F813" t="s">
        <v>3703</v>
      </c>
      <c r="G813" t="s">
        <v>593</v>
      </c>
      <c r="H813" t="s">
        <v>254</v>
      </c>
      <c r="I813">
        <v>2018</v>
      </c>
      <c r="J813">
        <v>40</v>
      </c>
      <c r="K813" t="s">
        <v>3704</v>
      </c>
      <c r="L813" t="s">
        <v>406</v>
      </c>
      <c r="M813" t="str">
        <f t="shared" si="905"/>
        <v>Hossain_2018b</v>
      </c>
      <c r="N813" s="311" t="s">
        <v>4382</v>
      </c>
      <c r="O813" s="145" t="s">
        <v>513</v>
      </c>
      <c r="Q813" s="311" t="s">
        <v>256</v>
      </c>
      <c r="R813" s="312"/>
      <c r="S813" s="1" t="s">
        <v>3705</v>
      </c>
      <c r="T813" t="s">
        <v>3692</v>
      </c>
      <c r="U813" t="s">
        <v>3708</v>
      </c>
      <c r="V813">
        <v>0</v>
      </c>
      <c r="W813">
        <v>0</v>
      </c>
      <c r="X813">
        <v>0</v>
      </c>
      <c r="Y813">
        <v>0</v>
      </c>
      <c r="Z813">
        <v>0</v>
      </c>
      <c r="AA813">
        <v>0</v>
      </c>
      <c r="AB813">
        <v>0</v>
      </c>
      <c r="AC813">
        <v>0</v>
      </c>
      <c r="AD813">
        <v>0</v>
      </c>
      <c r="AE813">
        <v>0</v>
      </c>
      <c r="AF813">
        <v>0</v>
      </c>
      <c r="AG813">
        <v>1</v>
      </c>
      <c r="AH813">
        <v>0</v>
      </c>
      <c r="AI813">
        <v>0</v>
      </c>
      <c r="AJ813">
        <v>0</v>
      </c>
      <c r="AK813">
        <v>2</v>
      </c>
      <c r="AL813">
        <v>0</v>
      </c>
      <c r="AM813">
        <v>0</v>
      </c>
      <c r="AN813">
        <v>0</v>
      </c>
      <c r="AO813">
        <v>0</v>
      </c>
      <c r="AP813">
        <v>0</v>
      </c>
      <c r="AQ813">
        <v>0</v>
      </c>
      <c r="AR813">
        <v>0</v>
      </c>
      <c r="AS813">
        <v>0</v>
      </c>
      <c r="AT813">
        <v>0</v>
      </c>
      <c r="AU813">
        <v>0</v>
      </c>
      <c r="AV813">
        <v>0</v>
      </c>
      <c r="AW813">
        <v>0</v>
      </c>
      <c r="AX813" s="141">
        <f t="shared" si="972"/>
        <v>2</v>
      </c>
      <c r="AY813" s="141">
        <f t="shared" si="973"/>
        <v>2</v>
      </c>
      <c r="AZ813">
        <f t="shared" si="974"/>
        <v>0</v>
      </c>
      <c r="BA813">
        <f t="shared" si="975"/>
        <v>1</v>
      </c>
      <c r="BB813">
        <f t="shared" si="976"/>
        <v>1</v>
      </c>
      <c r="BC813">
        <f t="shared" si="977"/>
        <v>0</v>
      </c>
      <c r="BD813">
        <f t="shared" si="978"/>
        <v>0</v>
      </c>
      <c r="BE813" t="str" cm="1">
        <f t="array" ref="BE813">IF(AY813=1,INDEX($V$7:$AL$7,MATCH(TRUE,INDEX($V813:$AW813&lt;&gt;0,),0)),IF(AY813=0,INDEX($AM$7:$AW$7,MATCH(1,$AM813:$AW813,0)),IF(BF813="Multiple strategies","mixed drivers",IF(BF813="Supply chain","multiple supply","multiple silviculture"))))</f>
        <v>mixed drivers</v>
      </c>
      <c r="BF813" s="2" t="str" cm="1">
        <f t="array" ref="BF813">IF(COUNTIF(AZ813:BB813,"&lt;&gt;0")=1,INDEX($V$4:$AW$4,MATCH(TRUE,INDEX($V813:$AW813&lt;&gt;0,),0)),IF(COUNTIF(AZ813:BB813,"&lt;&gt;0")=0,INDEX($AM$4:$AW$4,MATCH(1,$AM813:$AW813,0)),"Multiple strategies"))</f>
        <v>Multiple strategies</v>
      </c>
      <c r="BP813" t="s">
        <v>232</v>
      </c>
      <c r="BR813" t="s">
        <v>3709</v>
      </c>
      <c r="BU813" s="144" t="str">
        <f t="shared" si="979"/>
        <v/>
      </c>
      <c r="BV813">
        <v>12</v>
      </c>
      <c r="BX813">
        <f t="shared" si="980"/>
        <v>1.2E-2</v>
      </c>
      <c r="BY813" t="str">
        <f t="shared" si="994"/>
        <v/>
      </c>
      <c r="BZ813">
        <v>0</v>
      </c>
      <c r="CA813">
        <v>0</v>
      </c>
      <c r="CB813">
        <v>0</v>
      </c>
      <c r="CC813">
        <v>0</v>
      </c>
      <c r="CD813">
        <v>0</v>
      </c>
      <c r="CE813">
        <v>0</v>
      </c>
      <c r="CF813">
        <v>0</v>
      </c>
      <c r="CG813">
        <v>0</v>
      </c>
      <c r="CH813">
        <v>0</v>
      </c>
      <c r="CI813">
        <v>0</v>
      </c>
      <c r="CJ813">
        <v>0</v>
      </c>
      <c r="CK813">
        <v>0</v>
      </c>
      <c r="CL813">
        <v>0</v>
      </c>
      <c r="CM813">
        <v>0</v>
      </c>
      <c r="CN813" t="str">
        <f t="shared" si="981"/>
        <v>refOK</v>
      </c>
      <c r="CO813"/>
      <c r="CP813"/>
      <c r="CQ813"/>
      <c r="CR813">
        <f t="shared" si="982"/>
        <v>0</v>
      </c>
      <c r="CS813">
        <f t="shared" si="983"/>
        <v>0</v>
      </c>
      <c r="CT813">
        <f t="shared" si="984"/>
        <v>1.2E-2</v>
      </c>
      <c r="CU813" t="str">
        <f t="shared" si="985"/>
        <v/>
      </c>
      <c r="CV813" s="2" t="str">
        <f t="shared" si="986"/>
        <v/>
      </c>
      <c r="CW813" s="1" t="s">
        <v>347</v>
      </c>
      <c r="CX813" s="311" t="str">
        <f t="shared" si="987"/>
        <v>loc</v>
      </c>
      <c r="CY813" t="s">
        <v>680</v>
      </c>
      <c r="DB813">
        <v>0</v>
      </c>
      <c r="DC813" t="str">
        <f t="shared" si="988"/>
        <v>0</v>
      </c>
      <c r="DD813">
        <v>0</v>
      </c>
      <c r="DE813">
        <v>0</v>
      </c>
      <c r="DF813">
        <v>0</v>
      </c>
      <c r="DG813">
        <v>1</v>
      </c>
      <c r="DI813">
        <f t="shared" si="989"/>
        <v>1</v>
      </c>
      <c r="DJ813" t="str">
        <f t="shared" si="990"/>
        <v>TimberInput</v>
      </c>
      <c r="DK813">
        <f t="shared" si="991"/>
        <v>0</v>
      </c>
      <c r="DL813">
        <f t="shared" si="991"/>
        <v>0</v>
      </c>
      <c r="DM813">
        <f t="shared" si="991"/>
        <v>0</v>
      </c>
      <c r="DN813" t="str">
        <f t="shared" si="991"/>
        <v>Timber</v>
      </c>
      <c r="DO813">
        <v>1</v>
      </c>
      <c r="DP813">
        <v>0</v>
      </c>
      <c r="DQ813">
        <v>0</v>
      </c>
      <c r="DR813">
        <v>0</v>
      </c>
      <c r="DS813">
        <v>0</v>
      </c>
      <c r="DT813">
        <f t="shared" si="992"/>
        <v>1</v>
      </c>
      <c r="DU813" s="143" t="str">
        <f t="shared" si="993"/>
        <v>self-calculated DF</v>
      </c>
      <c r="DV813">
        <v>0</v>
      </c>
      <c r="DW813">
        <v>0</v>
      </c>
      <c r="DX813">
        <v>0</v>
      </c>
      <c r="DY813">
        <v>0</v>
      </c>
      <c r="DZ813">
        <v>0</v>
      </c>
      <c r="EA813" s="143">
        <v>0</v>
      </c>
      <c r="EB813">
        <v>0</v>
      </c>
      <c r="EC813">
        <v>1</v>
      </c>
      <c r="ED813">
        <v>0</v>
      </c>
      <c r="EE813">
        <v>0</v>
      </c>
      <c r="EF813">
        <v>0</v>
      </c>
      <c r="EG813">
        <v>0</v>
      </c>
      <c r="EH813">
        <v>0</v>
      </c>
      <c r="EI813" s="2">
        <v>0</v>
      </c>
      <c r="EK813" t="str">
        <f t="shared" si="970"/>
        <v/>
      </c>
      <c r="EL813" t="str">
        <f t="shared" si="971"/>
        <v/>
      </c>
      <c r="EM813" s="2" t="str">
        <f t="shared" si="995"/>
        <v/>
      </c>
      <c r="EP813" t="b">
        <f>IF(ISNUMBER(BU813),IF(ABS(BU813-[1]QC_indicators!$B$2)&gt;3*[1]QC_indicators!$C$2,"C ratio",IF(ISNUMBER(BY813),IF(ABS(BY813-[1]QC_indicators!$B$1)&gt;3*[1]QC_indicators!$C$1,"DF","no"))),IF(ISNUMBER(BY813),IF(ABS(BY813-[1]QC_indicators!$B$1)&gt;3*[1]QC_indicators!$C$1,"DF","no")))</f>
        <v>0</v>
      </c>
    </row>
    <row r="814" spans="1:150" ht="15" hidden="1" customHeight="1">
      <c r="A814" s="1" t="s">
        <v>587</v>
      </c>
      <c r="B814" t="s">
        <v>3699</v>
      </c>
      <c r="C814" t="s">
        <v>3700</v>
      </c>
      <c r="D814" t="s">
        <v>3701</v>
      </c>
      <c r="E814" t="s">
        <v>3702</v>
      </c>
      <c r="F814" t="s">
        <v>3703</v>
      </c>
      <c r="G814" t="s">
        <v>593</v>
      </c>
      <c r="H814" t="s">
        <v>254</v>
      </c>
      <c r="I814">
        <v>2018</v>
      </c>
      <c r="J814">
        <v>40</v>
      </c>
      <c r="K814" t="s">
        <v>3704</v>
      </c>
      <c r="L814" t="s">
        <v>406</v>
      </c>
      <c r="M814" t="str">
        <f t="shared" si="905"/>
        <v>Hossain_2018b</v>
      </c>
      <c r="N814" s="311" t="s">
        <v>4382</v>
      </c>
      <c r="O814" s="145" t="s">
        <v>513</v>
      </c>
      <c r="Q814" s="311" t="s">
        <v>256</v>
      </c>
      <c r="R814" s="312"/>
      <c r="S814" s="1" t="s">
        <v>3705</v>
      </c>
      <c r="T814" t="s">
        <v>798</v>
      </c>
      <c r="U814" t="s">
        <v>3710</v>
      </c>
      <c r="V814">
        <v>0</v>
      </c>
      <c r="W814">
        <v>0</v>
      </c>
      <c r="X814">
        <v>0</v>
      </c>
      <c r="Y814">
        <v>0</v>
      </c>
      <c r="Z814">
        <v>0</v>
      </c>
      <c r="AA814">
        <v>0</v>
      </c>
      <c r="AB814">
        <v>0</v>
      </c>
      <c r="AC814">
        <v>0</v>
      </c>
      <c r="AD814">
        <v>0</v>
      </c>
      <c r="AE814">
        <v>0</v>
      </c>
      <c r="AF814">
        <v>0</v>
      </c>
      <c r="AG814">
        <v>1</v>
      </c>
      <c r="AH814">
        <v>0</v>
      </c>
      <c r="AI814">
        <v>0</v>
      </c>
      <c r="AJ814">
        <v>0</v>
      </c>
      <c r="AK814">
        <v>2</v>
      </c>
      <c r="AL814">
        <v>0</v>
      </c>
      <c r="AM814">
        <v>0</v>
      </c>
      <c r="AN814">
        <v>0</v>
      </c>
      <c r="AO814">
        <v>0</v>
      </c>
      <c r="AP814">
        <v>0</v>
      </c>
      <c r="AQ814">
        <v>0</v>
      </c>
      <c r="AR814">
        <v>0</v>
      </c>
      <c r="AS814">
        <v>0</v>
      </c>
      <c r="AT814">
        <v>0</v>
      </c>
      <c r="AU814">
        <v>0</v>
      </c>
      <c r="AV814">
        <v>0</v>
      </c>
      <c r="AW814">
        <v>0</v>
      </c>
      <c r="AX814" s="141">
        <f t="shared" si="972"/>
        <v>2</v>
      </c>
      <c r="AY814" s="141">
        <f t="shared" si="973"/>
        <v>2</v>
      </c>
      <c r="AZ814">
        <f t="shared" si="974"/>
        <v>0</v>
      </c>
      <c r="BA814">
        <f t="shared" si="975"/>
        <v>1</v>
      </c>
      <c r="BB814">
        <f t="shared" si="976"/>
        <v>1</v>
      </c>
      <c r="BC814">
        <f t="shared" si="977"/>
        <v>0</v>
      </c>
      <c r="BD814">
        <f t="shared" si="978"/>
        <v>0</v>
      </c>
      <c r="BE814" t="str" cm="1">
        <f t="array" ref="BE814">IF(AY814=1,INDEX($V$7:$AL$7,MATCH(TRUE,INDEX($V814:$AW814&lt;&gt;0,),0)),IF(AY814=0,INDEX($AM$7:$AW$7,MATCH(1,$AM814:$AW814,0)),IF(BF814="Multiple strategies","mixed drivers",IF(BF814="Supply chain","multiple supply","multiple silviculture"))))</f>
        <v>mixed drivers</v>
      </c>
      <c r="BF814" s="2" t="str" cm="1">
        <f t="array" ref="BF814">IF(COUNTIF(AZ814:BB814,"&lt;&gt;0")=1,INDEX($V$4:$AW$4,MATCH(TRUE,INDEX($V814:$AW814&lt;&gt;0,),0)),IF(COUNTIF(AZ814:BB814,"&lt;&gt;0")=0,INDEX($AM$4:$AW$4,MATCH(1,$AM814:$AW814,0)),"Multiple strategies"))</f>
        <v>Multiple strategies</v>
      </c>
      <c r="BP814" t="s">
        <v>232</v>
      </c>
      <c r="BR814" t="s">
        <v>3711</v>
      </c>
      <c r="BU814" s="144" t="str">
        <f t="shared" si="979"/>
        <v/>
      </c>
      <c r="BV814">
        <v>1075</v>
      </c>
      <c r="BX814">
        <f t="shared" si="980"/>
        <v>1.075</v>
      </c>
      <c r="BY814" t="str">
        <f t="shared" si="994"/>
        <v/>
      </c>
      <c r="BZ814">
        <v>0</v>
      </c>
      <c r="CA814">
        <v>0</v>
      </c>
      <c r="CB814">
        <v>0</v>
      </c>
      <c r="CC814">
        <v>0</v>
      </c>
      <c r="CD814">
        <v>0</v>
      </c>
      <c r="CE814">
        <v>0</v>
      </c>
      <c r="CF814">
        <v>0</v>
      </c>
      <c r="CG814">
        <v>0</v>
      </c>
      <c r="CH814">
        <v>0</v>
      </c>
      <c r="CI814">
        <v>0</v>
      </c>
      <c r="CJ814">
        <v>0</v>
      </c>
      <c r="CK814">
        <v>0</v>
      </c>
      <c r="CL814">
        <v>0</v>
      </c>
      <c r="CM814">
        <v>0</v>
      </c>
      <c r="CN814" t="str">
        <f t="shared" si="981"/>
        <v>refOK</v>
      </c>
      <c r="CO814"/>
      <c r="CP814"/>
      <c r="CQ814"/>
      <c r="CR814">
        <f t="shared" si="982"/>
        <v>0</v>
      </c>
      <c r="CS814">
        <f t="shared" si="983"/>
        <v>0</v>
      </c>
      <c r="CT814">
        <f t="shared" si="984"/>
        <v>1.075</v>
      </c>
      <c r="CU814" t="str">
        <f t="shared" si="985"/>
        <v/>
      </c>
      <c r="CV814" s="2" t="str">
        <f t="shared" si="986"/>
        <v/>
      </c>
      <c r="CW814" s="1" t="s">
        <v>347</v>
      </c>
      <c r="CX814" s="311" t="str">
        <f t="shared" si="987"/>
        <v>loc</v>
      </c>
      <c r="CY814" t="s">
        <v>680</v>
      </c>
      <c r="DB814">
        <v>0</v>
      </c>
      <c r="DC814" t="str">
        <f t="shared" si="988"/>
        <v>0</v>
      </c>
      <c r="DD814">
        <v>0</v>
      </c>
      <c r="DE814">
        <v>1</v>
      </c>
      <c r="DF814">
        <v>0</v>
      </c>
      <c r="DG814">
        <v>0</v>
      </c>
      <c r="DI814">
        <f t="shared" si="989"/>
        <v>1</v>
      </c>
      <c r="DJ814" t="str">
        <f t="shared" si="990"/>
        <v>EnergyInput</v>
      </c>
      <c r="DK814">
        <f t="shared" si="991"/>
        <v>0</v>
      </c>
      <c r="DL814" t="str">
        <f t="shared" si="991"/>
        <v>Energy</v>
      </c>
      <c r="DM814">
        <f t="shared" si="991"/>
        <v>0</v>
      </c>
      <c r="DN814">
        <f t="shared" si="991"/>
        <v>0</v>
      </c>
      <c r="DO814">
        <v>1</v>
      </c>
      <c r="DP814">
        <v>0</v>
      </c>
      <c r="DQ814">
        <v>0</v>
      </c>
      <c r="DR814">
        <v>0</v>
      </c>
      <c r="DS814">
        <v>0</v>
      </c>
      <c r="DT814">
        <f t="shared" si="992"/>
        <v>1</v>
      </c>
      <c r="DU814" s="143" t="str">
        <f t="shared" si="993"/>
        <v>self-calculated DF</v>
      </c>
      <c r="DV814">
        <v>0</v>
      </c>
      <c r="DW814">
        <v>0</v>
      </c>
      <c r="DX814">
        <v>0</v>
      </c>
      <c r="DY814">
        <v>0</v>
      </c>
      <c r="DZ814">
        <v>0</v>
      </c>
      <c r="EA814" s="143">
        <v>0</v>
      </c>
      <c r="EB814">
        <v>0</v>
      </c>
      <c r="EC814">
        <v>1</v>
      </c>
      <c r="ED814">
        <v>0</v>
      </c>
      <c r="EE814">
        <v>0</v>
      </c>
      <c r="EF814">
        <v>0</v>
      </c>
      <c r="EG814">
        <v>0</v>
      </c>
      <c r="EH814">
        <v>0</v>
      </c>
      <c r="EI814" s="2">
        <v>0</v>
      </c>
      <c r="EK814" t="str">
        <f t="shared" si="970"/>
        <v/>
      </c>
      <c r="EL814" t="str">
        <f t="shared" si="971"/>
        <v/>
      </c>
      <c r="EM814" s="2" t="str">
        <f t="shared" si="995"/>
        <v/>
      </c>
      <c r="EP814" t="b">
        <f>IF(ISNUMBER(BU814),IF(ABS(BU814-[1]QC_indicators!$B$2)&gt;3*[1]QC_indicators!$C$2,"C ratio",IF(ISNUMBER(BY814),IF(ABS(BY814-[1]QC_indicators!$B$1)&gt;3*[1]QC_indicators!$C$1,"DF","no"))),IF(ISNUMBER(BY814),IF(ABS(BY814-[1]QC_indicators!$B$1)&gt;3*[1]QC_indicators!$C$1,"DF","no")))</f>
        <v>0</v>
      </c>
    </row>
    <row r="815" spans="1:150" ht="15" hidden="1" customHeight="1">
      <c r="A815" s="1" t="s">
        <v>4531</v>
      </c>
      <c r="B815" t="s">
        <v>4532</v>
      </c>
      <c r="C815" t="s">
        <v>4533</v>
      </c>
      <c r="D815" t="s">
        <v>4534</v>
      </c>
      <c r="E815" t="s">
        <v>4535</v>
      </c>
      <c r="F815" t="s">
        <v>4536</v>
      </c>
      <c r="G815" t="s">
        <v>4537</v>
      </c>
      <c r="H815" t="s">
        <v>254</v>
      </c>
      <c r="I815">
        <v>2018</v>
      </c>
      <c r="J815">
        <v>6</v>
      </c>
      <c r="K815" t="s">
        <v>4538</v>
      </c>
      <c r="M815" t="str">
        <f t="shared" si="905"/>
        <v>Hu_2018</v>
      </c>
      <c r="N815" t="s">
        <v>2582</v>
      </c>
      <c r="O815" s="145" t="s">
        <v>513</v>
      </c>
      <c r="Q815" s="311" t="s">
        <v>256</v>
      </c>
      <c r="R815" s="312"/>
      <c r="AX815" s="141"/>
      <c r="AY815" s="141"/>
      <c r="BE815"/>
      <c r="BF815" s="2"/>
      <c r="BU815" s="144"/>
      <c r="BY815" t="str">
        <f t="shared" si="994"/>
        <v/>
      </c>
      <c r="CN815"/>
      <c r="CO815"/>
      <c r="CP815"/>
      <c r="CQ815"/>
      <c r="CR815"/>
      <c r="CS815"/>
      <c r="CT815"/>
      <c r="CU815"/>
      <c r="CV815" s="2"/>
      <c r="CX815"/>
      <c r="DC815"/>
      <c r="DI815"/>
      <c r="DJ815"/>
      <c r="DK815"/>
      <c r="DL815"/>
      <c r="DM815"/>
      <c r="DN815"/>
      <c r="DT815"/>
      <c r="DU815" s="143"/>
      <c r="EK815" t="str">
        <f t="shared" si="970"/>
        <v/>
      </c>
      <c r="EL815" t="str">
        <f t="shared" si="971"/>
        <v/>
      </c>
      <c r="EM815" s="2" t="str">
        <f t="shared" si="995"/>
        <v/>
      </c>
      <c r="EO815" t="s">
        <v>450</v>
      </c>
      <c r="EP815" t="b">
        <f>IF(ISNUMBER(BU815),IF(ABS(BU815-[1]QC_indicators!$B$2)&gt;3*[1]QC_indicators!$C$2,"C ratio",IF(ISNUMBER(BY815),IF(ABS(BY815-[1]QC_indicators!$B$1)&gt;3*[1]QC_indicators!$C$1,"DF","no"))),IF(ISNUMBER(BY815),IF(ABS(BY815-[1]QC_indicators!$B$1)&gt;3*[1]QC_indicators!$C$1,"DF","no")))</f>
        <v>0</v>
      </c>
    </row>
    <row r="816" spans="1:150" ht="15" hidden="1" customHeight="1">
      <c r="D816" t="s">
        <v>5128</v>
      </c>
      <c r="E816" t="s">
        <v>5129</v>
      </c>
      <c r="G816" t="s">
        <v>2053</v>
      </c>
      <c r="I816">
        <v>2021</v>
      </c>
      <c r="K816" s="311" t="s">
        <v>5130</v>
      </c>
      <c r="M816" t="str">
        <f t="shared" si="905"/>
        <v>Hurmekoski_2021</v>
      </c>
      <c r="N816" t="s">
        <v>2585</v>
      </c>
      <c r="O816" t="s">
        <v>223</v>
      </c>
      <c r="Q816" s="311" t="s">
        <v>256</v>
      </c>
      <c r="R816" s="312"/>
      <c r="U816" s="143"/>
      <c r="AX816" s="141"/>
      <c r="AY816" s="141"/>
      <c r="BE816"/>
      <c r="BF816" s="2"/>
      <c r="BJ816" s="143"/>
      <c r="BL816" s="143"/>
      <c r="BM816" s="143"/>
      <c r="BN816" s="143"/>
      <c r="BO816" s="143"/>
      <c r="BP816" s="143"/>
      <c r="BQ816" s="143"/>
      <c r="BS816" s="143"/>
      <c r="BY816" t="str">
        <f t="shared" si="994"/>
        <v/>
      </c>
      <c r="CN816"/>
      <c r="CO816"/>
      <c r="CP816"/>
      <c r="CQ816"/>
      <c r="CR816"/>
      <c r="CS816"/>
      <c r="CT816"/>
      <c r="CU816"/>
      <c r="CV816" s="2"/>
      <c r="CX816"/>
      <c r="DA816" s="143"/>
      <c r="DB816" s="143"/>
      <c r="DC816"/>
      <c r="DI816"/>
      <c r="DJ816"/>
      <c r="DK816"/>
      <c r="DL816"/>
      <c r="DM816"/>
      <c r="DN816"/>
      <c r="DP816" s="143"/>
      <c r="DQ816" s="143"/>
      <c r="DS816" s="143"/>
      <c r="DT816"/>
      <c r="DU816" s="143"/>
      <c r="DV816" s="143"/>
      <c r="DW816" s="143"/>
      <c r="EB816" s="143"/>
      <c r="ED816" s="143"/>
      <c r="EG816" s="143"/>
      <c r="EK816" t="str">
        <f t="shared" si="970"/>
        <v/>
      </c>
      <c r="EL816" t="str">
        <f t="shared" si="971"/>
        <v/>
      </c>
      <c r="EM816" s="2" t="str">
        <f t="shared" si="995"/>
        <v/>
      </c>
      <c r="EP816" t="b">
        <f>IF(ISNUMBER(BU816),IF(ABS(BU816-[1]QC_indicators!$B$2)&gt;3*[1]QC_indicators!$C$2,"C ratio",IF(ISNUMBER(BY816),IF(ABS(BY816-[1]QC_indicators!$B$1)&gt;3*[1]QC_indicators!$C$1,"DF","no"))),IF(ISNUMBER(BY816),IF(ABS(BY816-[1]QC_indicators!$B$1)&gt;3*[1]QC_indicators!$C$1,"DF","no")))</f>
        <v>0</v>
      </c>
    </row>
    <row r="817" spans="1:150" ht="15" hidden="1" customHeight="1">
      <c r="A817" s="1" t="s">
        <v>3712</v>
      </c>
      <c r="B817" t="s">
        <v>3713</v>
      </c>
      <c r="C817" t="s">
        <v>3714</v>
      </c>
      <c r="D817" t="s">
        <v>3715</v>
      </c>
      <c r="E817" t="s">
        <v>3716</v>
      </c>
      <c r="F817" t="s">
        <v>3717</v>
      </c>
      <c r="G817" t="s">
        <v>3718</v>
      </c>
      <c r="H817" t="s">
        <v>254</v>
      </c>
      <c r="I817">
        <v>2021</v>
      </c>
      <c r="J817">
        <v>1</v>
      </c>
      <c r="K817" t="s">
        <v>3719</v>
      </c>
      <c r="M817" t="str">
        <f t="shared" si="905"/>
        <v>Iannuzzi_2021</v>
      </c>
      <c r="N817" s="311" t="s">
        <v>4382</v>
      </c>
      <c r="O817" s="145" t="s">
        <v>513</v>
      </c>
      <c r="Q817" s="311" t="s">
        <v>256</v>
      </c>
      <c r="R817" s="312"/>
      <c r="S817" s="1" t="s">
        <v>3720</v>
      </c>
      <c r="T817" t="s">
        <v>3721</v>
      </c>
      <c r="U817" t="s">
        <v>3722</v>
      </c>
      <c r="V817">
        <v>0</v>
      </c>
      <c r="W817">
        <v>0</v>
      </c>
      <c r="X817">
        <v>0</v>
      </c>
      <c r="Y817">
        <v>0</v>
      </c>
      <c r="Z817">
        <v>0</v>
      </c>
      <c r="AA817">
        <v>0</v>
      </c>
      <c r="AB817">
        <v>0</v>
      </c>
      <c r="AC817">
        <v>0</v>
      </c>
      <c r="AD817">
        <v>0</v>
      </c>
      <c r="AE817">
        <v>0</v>
      </c>
      <c r="AF817">
        <v>0</v>
      </c>
      <c r="AG817">
        <v>1</v>
      </c>
      <c r="AH817">
        <v>0</v>
      </c>
      <c r="AI817">
        <v>0</v>
      </c>
      <c r="AJ817">
        <v>0</v>
      </c>
      <c r="AK817">
        <v>0</v>
      </c>
      <c r="AL817">
        <v>0</v>
      </c>
      <c r="AM817">
        <v>0</v>
      </c>
      <c r="AN817">
        <v>0</v>
      </c>
      <c r="AO817">
        <v>0</v>
      </c>
      <c r="AP817">
        <v>0</v>
      </c>
      <c r="AQ817">
        <v>0</v>
      </c>
      <c r="AR817">
        <v>0</v>
      </c>
      <c r="AS817">
        <v>0</v>
      </c>
      <c r="AT817">
        <v>0</v>
      </c>
      <c r="AU817">
        <v>0</v>
      </c>
      <c r="AV817">
        <v>0</v>
      </c>
      <c r="AW817">
        <v>0</v>
      </c>
      <c r="AX817" s="141">
        <f t="shared" ref="AX817:AX822" si="996">COUNTIF(V817:AW817,"&lt;&gt;0")</f>
        <v>1</v>
      </c>
      <c r="AY817" s="141">
        <f t="shared" ref="AY817:AY822" si="997">COUNTIF(V817:AL817,"&lt;&gt;0")</f>
        <v>1</v>
      </c>
      <c r="AZ817">
        <f t="shared" ref="AZ817:AZ822" si="998">COUNTIF(V817:AC817,"&lt;&gt;0")</f>
        <v>0</v>
      </c>
      <c r="BA817">
        <f t="shared" ref="BA817:BA822" si="999">COUNTIF(AD817:AI817,"&lt;&gt;0")</f>
        <v>1</v>
      </c>
      <c r="BB817">
        <f t="shared" ref="BB817:BB822" si="1000">COUNTIF(AJ817:AL817,"&lt;&gt;0")</f>
        <v>0</v>
      </c>
      <c r="BC817">
        <f t="shared" ref="BC817:BC822" si="1001">COUNTIF(AS817:AW817,"&lt;&gt;0")</f>
        <v>0</v>
      </c>
      <c r="BD817">
        <f t="shared" ref="BD817:BD822" si="1002">COUNTIF(AM817:AR817,"&lt;&gt;0")</f>
        <v>0</v>
      </c>
      <c r="BE817" t="str" cm="1">
        <f t="array" ref="BE817">IF(AY817=1,INDEX($V$7:$AL$7,MATCH(TRUE,INDEX($V817:$AW817&lt;&gt;0,),0)),IF(AY817=0,INDEX($AM$7:$AW$7,MATCH(1,$AM817:$AW817,0)),IF(BF817="Multiple strategies","mixed drivers",IF(BF817="Supply chain","multiple supply","multiple silviculture"))))</f>
        <v>recycling</v>
      </c>
      <c r="BF817" s="2" t="str" cm="1">
        <f t="array" ref="BF817">IF(COUNTIF(AZ817:BB817,"&lt;&gt;0")=1,INDEX($V$4:$AW$4,MATCH(TRUE,INDEX($V817:$AW817&lt;&gt;0,),0)),IF(COUNTIF(AZ817:BB817,"&lt;&gt;0")=0,INDEX($AM$4:$AW$4,MATCH(1,$AM817:$AW817,0)),"Multiple strategies"))</f>
        <v>Supply chain</v>
      </c>
      <c r="BP817" t="s">
        <v>232</v>
      </c>
      <c r="BR817" t="s">
        <v>3723</v>
      </c>
      <c r="BS817">
        <v>-97.7</v>
      </c>
      <c r="BT817">
        <v>-43.6</v>
      </c>
      <c r="BU817" s="144">
        <f>IFERROR(BT817/BS817,"")</f>
        <v>0.44626407369498466</v>
      </c>
      <c r="BV817">
        <f>BT817-BS817</f>
        <v>54.1</v>
      </c>
      <c r="BX817">
        <f>BV817/10^6</f>
        <v>5.41E-5</v>
      </c>
      <c r="BY817" t="str">
        <f t="shared" si="994"/>
        <v/>
      </c>
      <c r="BZ817">
        <v>0</v>
      </c>
      <c r="CA817">
        <v>0</v>
      </c>
      <c r="CB817">
        <v>0</v>
      </c>
      <c r="CC817">
        <v>0</v>
      </c>
      <c r="CD817">
        <v>0</v>
      </c>
      <c r="CE817">
        <v>0</v>
      </c>
      <c r="CF817">
        <v>0</v>
      </c>
      <c r="CG817">
        <v>0</v>
      </c>
      <c r="CH817">
        <v>0</v>
      </c>
      <c r="CI817">
        <v>1</v>
      </c>
      <c r="CJ817">
        <v>0</v>
      </c>
      <c r="CK817">
        <v>0</v>
      </c>
      <c r="CL817">
        <v>0</v>
      </c>
      <c r="CM817">
        <v>0</v>
      </c>
      <c r="CN817" t="str">
        <f>IF(BL817&lt;BK817,"refNeedCorrection","refOK")</f>
        <v>refOK</v>
      </c>
      <c r="CO817"/>
      <c r="CP817"/>
      <c r="CQ817"/>
      <c r="CR817">
        <f t="shared" ref="CR817:CR822" si="1003">IF($CN817="refOK",$BS817,$BT817)*IF($BP817="Emissions positive",-1,1)</f>
        <v>-97.7</v>
      </c>
      <c r="CS817">
        <f t="shared" ref="CS817:CS822" si="1004">IF($CN817="refOK",$BT817,$BS817)*IF($BP817="Emissions positive",-1,1)</f>
        <v>-43.6</v>
      </c>
      <c r="CT817">
        <f t="shared" ref="CT817:CT822" si="1005">IF($CN817="refNeedCorrection",-BX817,BX817)*IF($BP817="Emissions positive",-1,1)</f>
        <v>5.41E-5</v>
      </c>
      <c r="CU817" t="str">
        <f t="shared" ref="CU817:CU822" si="1006">IFERROR(CT817/CQ817,"")</f>
        <v/>
      </c>
      <c r="CV817" s="2">
        <f t="shared" ref="CV817:CV822" si="1007">IFERROR((CS817-CR817)/ABS(CR817),"")</f>
        <v>0.55373592630501534</v>
      </c>
      <c r="CW817" s="1" t="s">
        <v>347</v>
      </c>
      <c r="CX817" s="311" t="str">
        <f t="shared" ref="CX817:CX822" si="1008">IF(OR($CW817="prd",$CW817="std",$CW817="cit"),"loc",IF(OR($CW817="eur",$CW817="reg",$CW817="coy"),"reg",$CW817))</f>
        <v>loc</v>
      </c>
      <c r="CY817" t="s">
        <v>3724</v>
      </c>
      <c r="DB817">
        <v>0</v>
      </c>
      <c r="DC817" t="str">
        <f t="shared" ref="DC817:DC822" si="1009">IF(DB817=0,"0",IF(AND(DB817&gt;=1,DB817&lt;=30),"1-30",IF(AND(DB817&gt;30,DB817&lt;=70),"31-70",IF(AND(DB817&gt;70,DB817&lt;=100),"71-100",IF(DB817&gt;100,"+100")))))</f>
        <v>0</v>
      </c>
      <c r="DD817">
        <v>0</v>
      </c>
      <c r="DE817">
        <v>1</v>
      </c>
      <c r="DF817">
        <v>0</v>
      </c>
      <c r="DG817">
        <v>0</v>
      </c>
      <c r="DI817">
        <f t="shared" ref="DI817:DI822" si="1010">SUM(DD817:DG817)</f>
        <v>1</v>
      </c>
      <c r="DJ817" t="str">
        <f t="shared" ref="DJ817:DJ822" si="1011">IF(DI817=1,INDEX($DD$7:$DG$7,MATCH(1,$DD817:$DG817,0)),"mixedProduct")</f>
        <v>EnergyInput</v>
      </c>
      <c r="DK817">
        <f t="shared" ref="DK817:DN822" si="1012">IF(DD817=1,DK$7,0)</f>
        <v>0</v>
      </c>
      <c r="DL817" t="str">
        <f t="shared" si="1012"/>
        <v>Energy</v>
      </c>
      <c r="DM817">
        <f t="shared" si="1012"/>
        <v>0</v>
      </c>
      <c r="DN817">
        <f t="shared" si="1012"/>
        <v>0</v>
      </c>
      <c r="DO817">
        <v>1</v>
      </c>
      <c r="DP817">
        <v>0</v>
      </c>
      <c r="DQ817">
        <v>0</v>
      </c>
      <c r="DR817">
        <v>0</v>
      </c>
      <c r="DS817">
        <v>0</v>
      </c>
      <c r="DT817">
        <f t="shared" ref="DT817:DT822" si="1013">SUM(DO817:DP817)</f>
        <v>1</v>
      </c>
      <c r="DU817" s="143" t="str">
        <f t="shared" ref="DU817:DU822" si="1014">IF(DO817=1,"self-calculated DF",IF(DP817=1,"external DF used","explicit C balance"))</f>
        <v>self-calculated DF</v>
      </c>
      <c r="DV817">
        <v>0</v>
      </c>
      <c r="DW817">
        <v>0</v>
      </c>
      <c r="DX817">
        <v>0</v>
      </c>
      <c r="DY817">
        <v>0</v>
      </c>
      <c r="DZ817">
        <v>0</v>
      </c>
      <c r="EA817" s="143">
        <v>0</v>
      </c>
      <c r="EB817">
        <v>0</v>
      </c>
      <c r="EC817">
        <v>1</v>
      </c>
      <c r="ED817">
        <v>0</v>
      </c>
      <c r="EE817">
        <v>0</v>
      </c>
      <c r="EF817">
        <v>0</v>
      </c>
      <c r="EG817">
        <v>0</v>
      </c>
      <c r="EH817">
        <v>1</v>
      </c>
      <c r="EI817" s="2">
        <v>0</v>
      </c>
      <c r="EK817" t="str">
        <f t="shared" si="970"/>
        <v/>
      </c>
      <c r="EL817" t="str">
        <f t="shared" si="971"/>
        <v/>
      </c>
      <c r="EM817" s="2" t="str">
        <f t="shared" si="995"/>
        <v/>
      </c>
      <c r="EP817" t="b">
        <f>IF(ISNUMBER(BU817),IF(ABS(BU817-[1]QC_indicators!$B$2)&gt;3*[1]QC_indicators!$C$2,"C ratio",IF(ISNUMBER(BY817),IF(ABS(BY817-[1]QC_indicators!$B$1)&gt;3*[1]QC_indicators!$C$1,"DF","no"))),IF(ISNUMBER(BY817),IF(ABS(BY817-[1]QC_indicators!$B$1)&gt;3*[1]QC_indicators!$C$1,"DF","no")))</f>
        <v>0</v>
      </c>
    </row>
    <row r="818" spans="1:150" ht="15" hidden="1" customHeight="1">
      <c r="A818" s="1" t="s">
        <v>3712</v>
      </c>
      <c r="B818" t="s">
        <v>3713</v>
      </c>
      <c r="C818" t="s">
        <v>3714</v>
      </c>
      <c r="D818" t="s">
        <v>3715</v>
      </c>
      <c r="E818" t="s">
        <v>3716</v>
      </c>
      <c r="F818" t="s">
        <v>3717</v>
      </c>
      <c r="G818" t="s">
        <v>3718</v>
      </c>
      <c r="H818" t="s">
        <v>254</v>
      </c>
      <c r="I818">
        <v>2021</v>
      </c>
      <c r="J818">
        <v>1</v>
      </c>
      <c r="K818" t="s">
        <v>3719</v>
      </c>
      <c r="M818" t="str">
        <f t="shared" si="905"/>
        <v>Iannuzzi_2021</v>
      </c>
      <c r="N818" s="311" t="s">
        <v>4382</v>
      </c>
      <c r="O818" s="145" t="s">
        <v>513</v>
      </c>
      <c r="Q818" s="311" t="s">
        <v>256</v>
      </c>
      <c r="R818" s="312"/>
      <c r="S818" s="1" t="s">
        <v>3725</v>
      </c>
      <c r="T818" t="s">
        <v>3721</v>
      </c>
      <c r="U818" t="s">
        <v>3726</v>
      </c>
      <c r="V818">
        <v>0</v>
      </c>
      <c r="W818">
        <v>0</v>
      </c>
      <c r="X818">
        <v>0</v>
      </c>
      <c r="Y818">
        <v>0</v>
      </c>
      <c r="Z818">
        <v>0</v>
      </c>
      <c r="AA818">
        <v>0</v>
      </c>
      <c r="AB818">
        <v>0</v>
      </c>
      <c r="AC818">
        <v>0</v>
      </c>
      <c r="AD818">
        <v>0</v>
      </c>
      <c r="AE818">
        <v>0</v>
      </c>
      <c r="AF818">
        <v>1</v>
      </c>
      <c r="AG818">
        <v>0</v>
      </c>
      <c r="AH818">
        <v>0</v>
      </c>
      <c r="AI818">
        <v>0</v>
      </c>
      <c r="AJ818">
        <v>0</v>
      </c>
      <c r="AK818">
        <v>0</v>
      </c>
      <c r="AL818">
        <v>0</v>
      </c>
      <c r="AM818">
        <v>0</v>
      </c>
      <c r="AN818">
        <v>0</v>
      </c>
      <c r="AO818">
        <v>0</v>
      </c>
      <c r="AP818">
        <v>0</v>
      </c>
      <c r="AQ818">
        <v>0</v>
      </c>
      <c r="AR818">
        <v>0</v>
      </c>
      <c r="AS818">
        <v>0</v>
      </c>
      <c r="AT818">
        <v>0</v>
      </c>
      <c r="AU818">
        <v>0</v>
      </c>
      <c r="AV818">
        <v>0</v>
      </c>
      <c r="AW818">
        <v>0</v>
      </c>
      <c r="AX818" s="141">
        <f t="shared" si="996"/>
        <v>1</v>
      </c>
      <c r="AY818" s="141">
        <f t="shared" si="997"/>
        <v>1</v>
      </c>
      <c r="AZ818">
        <f t="shared" si="998"/>
        <v>0</v>
      </c>
      <c r="BA818">
        <f t="shared" si="999"/>
        <v>1</v>
      </c>
      <c r="BB818">
        <f t="shared" si="1000"/>
        <v>0</v>
      </c>
      <c r="BC818">
        <f t="shared" si="1001"/>
        <v>0</v>
      </c>
      <c r="BD818">
        <f t="shared" si="1002"/>
        <v>0</v>
      </c>
      <c r="BE818" t="str" cm="1">
        <f t="array" ref="BE818">IF(AY818=1,INDEX($V$7:$AL$7,MATCH(TRUE,INDEX($V818:$AW818&lt;&gt;0,),0)),IF(AY818=0,INDEX($AM$7:$AW$7,MATCH(1,$AM818:$AW818,0)),IF(BF818="Multiple strategies","mixed drivers",IF(BF818="Supply chain","multiple supply","multiple silviculture"))))</f>
        <v>supply chain organization</v>
      </c>
      <c r="BF818" s="2" t="str" cm="1">
        <f t="array" ref="BF818">IF(COUNTIF(AZ818:BB818,"&lt;&gt;0")=1,INDEX($V$4:$AW$4,MATCH(TRUE,INDEX($V818:$AW818&lt;&gt;0,),0)),IF(COUNTIF(AZ818:BB818,"&lt;&gt;0")=0,INDEX($AM$4:$AW$4,MATCH(1,$AM818:$AW818,0)),"Multiple strategies"))</f>
        <v>Supply chain</v>
      </c>
      <c r="BP818" t="s">
        <v>232</v>
      </c>
      <c r="BR818" t="s">
        <v>3723</v>
      </c>
      <c r="BS818">
        <v>-97.7</v>
      </c>
      <c r="BT818">
        <v>-43.9</v>
      </c>
      <c r="BU818" s="144">
        <f>IFERROR(BT818/BS818,"")</f>
        <v>0.44933469805527121</v>
      </c>
      <c r="BV818">
        <f>BT818-BS818</f>
        <v>53.800000000000004</v>
      </c>
      <c r="BX818">
        <f>BV818/10^6</f>
        <v>5.3800000000000007E-5</v>
      </c>
      <c r="BY818" t="str">
        <f t="shared" si="994"/>
        <v/>
      </c>
      <c r="BZ818">
        <v>0</v>
      </c>
      <c r="CA818">
        <v>0</v>
      </c>
      <c r="CB818">
        <v>0</v>
      </c>
      <c r="CC818">
        <v>0</v>
      </c>
      <c r="CD818">
        <v>0</v>
      </c>
      <c r="CE818">
        <v>0</v>
      </c>
      <c r="CF818">
        <v>0</v>
      </c>
      <c r="CG818">
        <v>0</v>
      </c>
      <c r="CH818">
        <v>0</v>
      </c>
      <c r="CI818">
        <v>1</v>
      </c>
      <c r="CJ818">
        <v>0</v>
      </c>
      <c r="CK818">
        <v>0</v>
      </c>
      <c r="CL818">
        <v>0</v>
      </c>
      <c r="CM818">
        <v>0</v>
      </c>
      <c r="CN818" t="str">
        <f>IF(BL818&lt;BK818,"refNeedCorrection","refOK")</f>
        <v>refOK</v>
      </c>
      <c r="CO818"/>
      <c r="CP818"/>
      <c r="CQ818"/>
      <c r="CR818">
        <f t="shared" si="1003"/>
        <v>-97.7</v>
      </c>
      <c r="CS818">
        <f t="shared" si="1004"/>
        <v>-43.9</v>
      </c>
      <c r="CT818">
        <f t="shared" si="1005"/>
        <v>5.3800000000000007E-5</v>
      </c>
      <c r="CU818" t="str">
        <f t="shared" si="1006"/>
        <v/>
      </c>
      <c r="CV818" s="2">
        <f t="shared" si="1007"/>
        <v>0.55066530194472874</v>
      </c>
      <c r="CW818" s="1" t="s">
        <v>347</v>
      </c>
      <c r="CX818" s="311" t="str">
        <f t="shared" si="1008"/>
        <v>loc</v>
      </c>
      <c r="CY818" t="s">
        <v>3724</v>
      </c>
      <c r="DB818">
        <v>0</v>
      </c>
      <c r="DC818" t="str">
        <f t="shared" si="1009"/>
        <v>0</v>
      </c>
      <c r="DD818">
        <v>0</v>
      </c>
      <c r="DE818">
        <v>1</v>
      </c>
      <c r="DF818">
        <v>0</v>
      </c>
      <c r="DG818">
        <v>0</v>
      </c>
      <c r="DI818">
        <f t="shared" si="1010"/>
        <v>1</v>
      </c>
      <c r="DJ818" t="str">
        <f t="shared" si="1011"/>
        <v>EnergyInput</v>
      </c>
      <c r="DK818">
        <f t="shared" si="1012"/>
        <v>0</v>
      </c>
      <c r="DL818" t="str">
        <f t="shared" si="1012"/>
        <v>Energy</v>
      </c>
      <c r="DM818">
        <f t="shared" si="1012"/>
        <v>0</v>
      </c>
      <c r="DN818">
        <f t="shared" si="1012"/>
        <v>0</v>
      </c>
      <c r="DO818">
        <v>1</v>
      </c>
      <c r="DP818">
        <v>0</v>
      </c>
      <c r="DQ818">
        <v>0</v>
      </c>
      <c r="DR818">
        <v>0</v>
      </c>
      <c r="DS818">
        <v>0</v>
      </c>
      <c r="DT818">
        <f t="shared" si="1013"/>
        <v>1</v>
      </c>
      <c r="DU818" s="143" t="str">
        <f t="shared" si="1014"/>
        <v>self-calculated DF</v>
      </c>
      <c r="DV818">
        <v>0</v>
      </c>
      <c r="DW818">
        <v>0</v>
      </c>
      <c r="DX818">
        <v>0</v>
      </c>
      <c r="DY818">
        <v>0</v>
      </c>
      <c r="DZ818">
        <v>0</v>
      </c>
      <c r="EA818" s="143">
        <v>0</v>
      </c>
      <c r="EB818">
        <v>0</v>
      </c>
      <c r="EC818">
        <v>1</v>
      </c>
      <c r="ED818">
        <v>0</v>
      </c>
      <c r="EE818">
        <v>0</v>
      </c>
      <c r="EF818">
        <v>0</v>
      </c>
      <c r="EG818">
        <v>0</v>
      </c>
      <c r="EH818">
        <v>1</v>
      </c>
      <c r="EI818" s="2">
        <v>0</v>
      </c>
      <c r="EK818" t="str">
        <f t="shared" si="970"/>
        <v/>
      </c>
      <c r="EL818" t="str">
        <f t="shared" si="971"/>
        <v/>
      </c>
      <c r="EM818" s="2" t="str">
        <f t="shared" si="995"/>
        <v/>
      </c>
      <c r="EP818" t="b">
        <f>IF(ISNUMBER(BU818),IF(ABS(BU818-[1]QC_indicators!$B$2)&gt;3*[1]QC_indicators!$C$2,"C ratio",IF(ISNUMBER(BY818),IF(ABS(BY818-[1]QC_indicators!$B$1)&gt;3*[1]QC_indicators!$C$1,"DF","no"))),IF(ISNUMBER(BY818),IF(ABS(BY818-[1]QC_indicators!$B$1)&gt;3*[1]QC_indicators!$C$1,"DF","no")))</f>
        <v>0</v>
      </c>
    </row>
    <row r="819" spans="1:150" ht="15" hidden="1" customHeight="1">
      <c r="A819" s="1" t="s">
        <v>3727</v>
      </c>
      <c r="B819" t="s">
        <v>3728</v>
      </c>
      <c r="C819" t="s">
        <v>3729</v>
      </c>
      <c r="D819" t="s">
        <v>3730</v>
      </c>
      <c r="E819" t="s">
        <v>3731</v>
      </c>
      <c r="F819" t="s">
        <v>3732</v>
      </c>
      <c r="G819" t="s">
        <v>3733</v>
      </c>
      <c r="H819" t="s">
        <v>254</v>
      </c>
      <c r="I819">
        <v>2022</v>
      </c>
      <c r="J819">
        <v>2</v>
      </c>
      <c r="K819" t="s">
        <v>3734</v>
      </c>
      <c r="M819" t="str">
        <f t="shared" si="905"/>
        <v>Ilari_2022</v>
      </c>
      <c r="N819" s="311" t="s">
        <v>4382</v>
      </c>
      <c r="O819" s="161" t="s">
        <v>223</v>
      </c>
      <c r="Q819" s="311" t="s">
        <v>389</v>
      </c>
      <c r="R819" s="312"/>
      <c r="S819" s="154" t="s">
        <v>3735</v>
      </c>
      <c r="T819" s="313" t="s">
        <v>3736</v>
      </c>
      <c r="U819" s="311" t="s">
        <v>3737</v>
      </c>
      <c r="V819">
        <v>0</v>
      </c>
      <c r="W819">
        <v>0</v>
      </c>
      <c r="X819">
        <v>0</v>
      </c>
      <c r="Y819">
        <v>0</v>
      </c>
      <c r="Z819">
        <v>0</v>
      </c>
      <c r="AA819">
        <v>0</v>
      </c>
      <c r="AB819">
        <v>0</v>
      </c>
      <c r="AC819">
        <v>0</v>
      </c>
      <c r="AD819">
        <v>0</v>
      </c>
      <c r="AE819">
        <v>0</v>
      </c>
      <c r="AF819">
        <v>0</v>
      </c>
      <c r="AG819">
        <v>0</v>
      </c>
      <c r="AH819">
        <v>0</v>
      </c>
      <c r="AI819">
        <v>0</v>
      </c>
      <c r="AJ819">
        <v>0</v>
      </c>
      <c r="AK819">
        <v>1</v>
      </c>
      <c r="AL819">
        <v>0</v>
      </c>
      <c r="AM819">
        <v>0</v>
      </c>
      <c r="AN819">
        <v>0</v>
      </c>
      <c r="AO819">
        <v>0</v>
      </c>
      <c r="AP819">
        <v>0</v>
      </c>
      <c r="AQ819">
        <v>0</v>
      </c>
      <c r="AR819">
        <v>0</v>
      </c>
      <c r="AS819">
        <v>0</v>
      </c>
      <c r="AT819">
        <v>0</v>
      </c>
      <c r="AU819">
        <v>0</v>
      </c>
      <c r="AV819">
        <v>0</v>
      </c>
      <c r="AW819">
        <v>0</v>
      </c>
      <c r="AX819" s="141">
        <f t="shared" si="996"/>
        <v>1</v>
      </c>
      <c r="AY819" s="141">
        <f t="shared" si="997"/>
        <v>1</v>
      </c>
      <c r="AZ819">
        <f t="shared" si="998"/>
        <v>0</v>
      </c>
      <c r="BA819">
        <f t="shared" si="999"/>
        <v>0</v>
      </c>
      <c r="BB819">
        <f t="shared" si="1000"/>
        <v>1</v>
      </c>
      <c r="BC819">
        <f t="shared" si="1001"/>
        <v>0</v>
      </c>
      <c r="BD819">
        <f t="shared" si="1002"/>
        <v>0</v>
      </c>
      <c r="BE819" t="str" cm="1">
        <f t="array" ref="BE819">IF(AY819=1,INDEX($V$7:$AL$7,MATCH(TRUE,INDEX($V819:$AW819&lt;&gt;0,),0)),IF(AY819=0,INDEX($AM$7:$AW$7,MATCH(1,$AM819:$AW819,0)),IF(BF819="Multiple strategies","mixed drivers",IF(BF819="Supply chain","multiple supply","multiple silviculture"))))</f>
        <v>technologies/design switch</v>
      </c>
      <c r="BF819" s="2" t="str" cm="1">
        <f t="array" ref="BF819">IF(COUNTIF(AZ819:BB819,"&lt;&gt;0")=1,INDEX($V$4:$AW$4,MATCH(TRUE,INDEX($V819:$AW819&lt;&gt;0,),0)),IF(COUNTIF(AZ819:BB819,"&lt;&gt;0")=0,INDEX($AM$4:$AW$4,MATCH(1,$AM819:$AW819,0)),"Multiple strategies"))</f>
        <v>Technology</v>
      </c>
      <c r="BG819" s="1" t="s">
        <v>321</v>
      </c>
      <c r="BH819" s="311" t="s">
        <v>3738</v>
      </c>
      <c r="BI819" s="311" t="s">
        <v>699</v>
      </c>
      <c r="BJ819" s="311" t="s">
        <v>3739</v>
      </c>
      <c r="BK819">
        <v>4.5</v>
      </c>
      <c r="BL819">
        <v>4.5</v>
      </c>
      <c r="BN819">
        <f>BL819-BK819</f>
        <v>0</v>
      </c>
      <c r="BO819">
        <f>BN819</f>
        <v>0</v>
      </c>
      <c r="BP819" t="s">
        <v>395</v>
      </c>
      <c r="BQ819" s="311" t="s">
        <v>3740</v>
      </c>
      <c r="BR819" s="311" t="s">
        <v>397</v>
      </c>
      <c r="BS819">
        <v>2.09</v>
      </c>
      <c r="BT819">
        <v>1.97</v>
      </c>
      <c r="BY819" t="str">
        <f t="shared" si="994"/>
        <v/>
      </c>
      <c r="BZ819">
        <v>0</v>
      </c>
      <c r="CA819">
        <v>0</v>
      </c>
      <c r="CB819">
        <v>0</v>
      </c>
      <c r="CC819">
        <v>0</v>
      </c>
      <c r="CD819">
        <v>0</v>
      </c>
      <c r="CE819">
        <v>0</v>
      </c>
      <c r="CF819">
        <v>0</v>
      </c>
      <c r="CG819">
        <v>0</v>
      </c>
      <c r="CH819">
        <v>0</v>
      </c>
      <c r="CI819">
        <v>0</v>
      </c>
      <c r="CJ819">
        <v>0</v>
      </c>
      <c r="CK819">
        <v>0</v>
      </c>
      <c r="CL819">
        <v>0</v>
      </c>
      <c r="CM819">
        <v>0</v>
      </c>
      <c r="CN819" t="str">
        <f>IF($BL819&lt;$BK819,"refNeedCorrection","refOK")</f>
        <v>refOK</v>
      </c>
      <c r="CO819">
        <f>IF($CN819="refOK",$BK819,$BL819)</f>
        <v>4.5</v>
      </c>
      <c r="CP819">
        <f>IF($CN819="refOK",$BL819,$BK819)</f>
        <v>4.5</v>
      </c>
      <c r="CQ819">
        <f>IF($CN819="refOK",$BO819,-$BO819)</f>
        <v>0</v>
      </c>
      <c r="CR819">
        <f t="shared" si="1003"/>
        <v>-2.09</v>
      </c>
      <c r="CS819">
        <f t="shared" si="1004"/>
        <v>-1.97</v>
      </c>
      <c r="CT819">
        <f t="shared" si="1005"/>
        <v>0</v>
      </c>
      <c r="CU819" t="str">
        <f t="shared" si="1006"/>
        <v/>
      </c>
      <c r="CV819" s="2">
        <f t="shared" si="1007"/>
        <v>5.7416267942583678E-2</v>
      </c>
      <c r="CW819" s="318" t="s">
        <v>263</v>
      </c>
      <c r="CX819" s="311" t="str">
        <f t="shared" si="1008"/>
        <v>loc</v>
      </c>
      <c r="CY819" s="311" t="s">
        <v>264</v>
      </c>
      <c r="DC819" t="str">
        <f t="shared" si="1009"/>
        <v>0</v>
      </c>
      <c r="DD819">
        <v>0</v>
      </c>
      <c r="DE819">
        <v>1</v>
      </c>
      <c r="DF819">
        <v>0</v>
      </c>
      <c r="DG819">
        <v>0</v>
      </c>
      <c r="DI819">
        <f t="shared" si="1010"/>
        <v>1</v>
      </c>
      <c r="DJ819" t="str">
        <f t="shared" si="1011"/>
        <v>EnergyInput</v>
      </c>
      <c r="DK819">
        <f t="shared" si="1012"/>
        <v>0</v>
      </c>
      <c r="DL819" t="str">
        <f t="shared" si="1012"/>
        <v>Energy</v>
      </c>
      <c r="DM819">
        <f t="shared" si="1012"/>
        <v>0</v>
      </c>
      <c r="DN819">
        <f t="shared" si="1012"/>
        <v>0</v>
      </c>
      <c r="DT819">
        <f t="shared" si="1013"/>
        <v>0</v>
      </c>
      <c r="DU819" s="143" t="str">
        <f t="shared" si="1014"/>
        <v>explicit C balance</v>
      </c>
      <c r="DV819">
        <v>0</v>
      </c>
      <c r="DW819">
        <v>0</v>
      </c>
      <c r="DX819">
        <v>0</v>
      </c>
      <c r="DY819">
        <v>0</v>
      </c>
      <c r="DZ819">
        <v>1</v>
      </c>
      <c r="EA819">
        <v>0</v>
      </c>
      <c r="EB819">
        <v>1</v>
      </c>
      <c r="EC819">
        <v>1</v>
      </c>
      <c r="ED819">
        <v>0</v>
      </c>
      <c r="EE819">
        <v>0</v>
      </c>
      <c r="EF819">
        <v>0</v>
      </c>
      <c r="EG819">
        <v>0</v>
      </c>
      <c r="EH819">
        <v>0</v>
      </c>
      <c r="EI819" s="2">
        <v>0</v>
      </c>
      <c r="EK819" t="str">
        <f t="shared" si="970"/>
        <v/>
      </c>
      <c r="EL819" t="str">
        <f t="shared" si="971"/>
        <v/>
      </c>
      <c r="EM819" s="2" t="str">
        <f t="shared" si="995"/>
        <v>Technology approach</v>
      </c>
      <c r="EP819" t="b">
        <f>IF(ISNUMBER(BU819),IF(ABS(BU819-[1]QC_indicators!$B$2)&gt;3*[1]QC_indicators!$C$2,"C ratio",IF(ISNUMBER(BY819),IF(ABS(BY819-[1]QC_indicators!$B$1)&gt;3*[1]QC_indicators!$C$1,"DF","no"))),IF(ISNUMBER(BY819),IF(ABS(BY819-[1]QC_indicators!$B$1)&gt;3*[1]QC_indicators!$C$1,"DF","no")))</f>
        <v>0</v>
      </c>
    </row>
    <row r="820" spans="1:150" ht="15" hidden="1" customHeight="1">
      <c r="A820" s="1" t="s">
        <v>3727</v>
      </c>
      <c r="B820" t="s">
        <v>3728</v>
      </c>
      <c r="C820" t="s">
        <v>3729</v>
      </c>
      <c r="D820" t="s">
        <v>3730</v>
      </c>
      <c r="E820" t="s">
        <v>3731</v>
      </c>
      <c r="F820" t="s">
        <v>3732</v>
      </c>
      <c r="G820" t="s">
        <v>3733</v>
      </c>
      <c r="H820" t="s">
        <v>254</v>
      </c>
      <c r="I820">
        <v>2022</v>
      </c>
      <c r="J820">
        <v>2</v>
      </c>
      <c r="K820" t="s">
        <v>3734</v>
      </c>
      <c r="M820" t="str">
        <f t="shared" si="905"/>
        <v>Ilari_2022</v>
      </c>
      <c r="N820" s="311" t="s">
        <v>4382</v>
      </c>
      <c r="O820" s="161" t="s">
        <v>223</v>
      </c>
      <c r="Q820" s="311" t="s">
        <v>389</v>
      </c>
      <c r="R820" s="312"/>
      <c r="S820" s="154" t="s">
        <v>3735</v>
      </c>
      <c r="T820" s="313" t="s">
        <v>3736</v>
      </c>
      <c r="U820" s="311" t="s">
        <v>3741</v>
      </c>
      <c r="V820">
        <v>0</v>
      </c>
      <c r="W820">
        <v>0</v>
      </c>
      <c r="X820">
        <v>0</v>
      </c>
      <c r="Y820">
        <v>0</v>
      </c>
      <c r="Z820">
        <v>0</v>
      </c>
      <c r="AA820">
        <v>0</v>
      </c>
      <c r="AB820">
        <v>0</v>
      </c>
      <c r="AC820">
        <v>0</v>
      </c>
      <c r="AD820">
        <v>0</v>
      </c>
      <c r="AE820">
        <v>0</v>
      </c>
      <c r="AF820">
        <v>0</v>
      </c>
      <c r="AG820">
        <v>0</v>
      </c>
      <c r="AH820">
        <v>0</v>
      </c>
      <c r="AI820">
        <v>0</v>
      </c>
      <c r="AJ820">
        <v>0</v>
      </c>
      <c r="AK820">
        <v>1</v>
      </c>
      <c r="AL820">
        <v>0</v>
      </c>
      <c r="AM820">
        <v>0</v>
      </c>
      <c r="AN820">
        <v>0</v>
      </c>
      <c r="AO820">
        <v>0</v>
      </c>
      <c r="AP820">
        <v>0</v>
      </c>
      <c r="AQ820">
        <v>0</v>
      </c>
      <c r="AR820">
        <v>0</v>
      </c>
      <c r="AS820">
        <v>0</v>
      </c>
      <c r="AT820">
        <v>0</v>
      </c>
      <c r="AU820">
        <v>0</v>
      </c>
      <c r="AV820">
        <v>0</v>
      </c>
      <c r="AW820">
        <v>0</v>
      </c>
      <c r="AX820" s="141">
        <f t="shared" si="996"/>
        <v>1</v>
      </c>
      <c r="AY820" s="141">
        <f t="shared" si="997"/>
        <v>1</v>
      </c>
      <c r="AZ820">
        <f t="shared" si="998"/>
        <v>0</v>
      </c>
      <c r="BA820">
        <f t="shared" si="999"/>
        <v>0</v>
      </c>
      <c r="BB820">
        <f t="shared" si="1000"/>
        <v>1</v>
      </c>
      <c r="BC820">
        <f t="shared" si="1001"/>
        <v>0</v>
      </c>
      <c r="BD820">
        <f t="shared" si="1002"/>
        <v>0</v>
      </c>
      <c r="BE820" t="str" cm="1">
        <f t="array" ref="BE820">IF(AY820=1,INDEX($V$7:$AL$7,MATCH(TRUE,INDEX($V820:$AW820&lt;&gt;0,),0)),IF(AY820=0,INDEX($AM$7:$AW$7,MATCH(1,$AM820:$AW820,0)),IF(BF820="Multiple strategies","mixed drivers",IF(BF820="Supply chain","multiple supply","multiple silviculture"))))</f>
        <v>technologies/design switch</v>
      </c>
      <c r="BF820" s="2" t="str" cm="1">
        <f t="array" ref="BF820">IF(COUNTIF(AZ820:BB820,"&lt;&gt;0")=1,INDEX($V$4:$AW$4,MATCH(TRUE,INDEX($V820:$AW820&lt;&gt;0,),0)),IF(COUNTIF(AZ820:BB820,"&lt;&gt;0")=0,INDEX($AM$4:$AW$4,MATCH(1,$AM820:$AW820,0)),"Multiple strategies"))</f>
        <v>Technology</v>
      </c>
      <c r="BG820" s="1" t="s">
        <v>321</v>
      </c>
      <c r="BH820" s="311" t="s">
        <v>3738</v>
      </c>
      <c r="BI820" s="311" t="s">
        <v>699</v>
      </c>
      <c r="BJ820" s="311" t="s">
        <v>3739</v>
      </c>
      <c r="BK820">
        <v>4.5</v>
      </c>
      <c r="BL820">
        <v>4.5</v>
      </c>
      <c r="BN820">
        <f>BL820-BK820</f>
        <v>0</v>
      </c>
      <c r="BO820">
        <f>BN820</f>
        <v>0</v>
      </c>
      <c r="BP820" t="s">
        <v>395</v>
      </c>
      <c r="BQ820" s="311" t="s">
        <v>3740</v>
      </c>
      <c r="BR820" s="311" t="s">
        <v>397</v>
      </c>
      <c r="BS820">
        <v>2.09</v>
      </c>
      <c r="BT820">
        <v>2.0299999999999998</v>
      </c>
      <c r="BY820" t="str">
        <f t="shared" si="994"/>
        <v/>
      </c>
      <c r="BZ820">
        <v>0</v>
      </c>
      <c r="CA820">
        <v>0</v>
      </c>
      <c r="CB820">
        <v>0</v>
      </c>
      <c r="CC820">
        <v>0</v>
      </c>
      <c r="CD820">
        <v>0</v>
      </c>
      <c r="CE820">
        <v>0</v>
      </c>
      <c r="CF820">
        <v>0</v>
      </c>
      <c r="CG820">
        <v>0</v>
      </c>
      <c r="CH820">
        <v>0</v>
      </c>
      <c r="CI820">
        <v>0</v>
      </c>
      <c r="CJ820">
        <v>0</v>
      </c>
      <c r="CK820">
        <v>0</v>
      </c>
      <c r="CL820">
        <v>0</v>
      </c>
      <c r="CM820">
        <v>0</v>
      </c>
      <c r="CN820" t="str">
        <f>IF($BL820&lt;$BK820,"refNeedCorrection","refOK")</f>
        <v>refOK</v>
      </c>
      <c r="CO820">
        <f>IF($CN820="refOK",$BK820,$BL820)</f>
        <v>4.5</v>
      </c>
      <c r="CP820">
        <f>IF($CN820="refOK",$BL820,$BK820)</f>
        <v>4.5</v>
      </c>
      <c r="CQ820">
        <f>IF($CN820="refOK",$BO820,-$BO820)</f>
        <v>0</v>
      </c>
      <c r="CR820">
        <f t="shared" si="1003"/>
        <v>-2.09</v>
      </c>
      <c r="CS820">
        <f t="shared" si="1004"/>
        <v>-2.0299999999999998</v>
      </c>
      <c r="CT820">
        <f t="shared" si="1005"/>
        <v>0</v>
      </c>
      <c r="CU820" t="str">
        <f t="shared" si="1006"/>
        <v/>
      </c>
      <c r="CV820" s="2">
        <f t="shared" si="1007"/>
        <v>2.8708133971291894E-2</v>
      </c>
      <c r="CW820" s="318" t="s">
        <v>263</v>
      </c>
      <c r="CX820" s="311" t="str">
        <f t="shared" si="1008"/>
        <v>loc</v>
      </c>
      <c r="CY820" s="311" t="s">
        <v>264</v>
      </c>
      <c r="DC820" t="str">
        <f t="shared" si="1009"/>
        <v>0</v>
      </c>
      <c r="DD820">
        <v>0</v>
      </c>
      <c r="DE820">
        <v>1</v>
      </c>
      <c r="DF820">
        <v>0</v>
      </c>
      <c r="DG820">
        <v>0</v>
      </c>
      <c r="DI820">
        <f t="shared" si="1010"/>
        <v>1</v>
      </c>
      <c r="DJ820" t="str">
        <f t="shared" si="1011"/>
        <v>EnergyInput</v>
      </c>
      <c r="DK820">
        <f t="shared" si="1012"/>
        <v>0</v>
      </c>
      <c r="DL820" t="str">
        <f t="shared" si="1012"/>
        <v>Energy</v>
      </c>
      <c r="DM820">
        <f t="shared" si="1012"/>
        <v>0</v>
      </c>
      <c r="DN820">
        <f t="shared" si="1012"/>
        <v>0</v>
      </c>
      <c r="DT820">
        <f t="shared" si="1013"/>
        <v>0</v>
      </c>
      <c r="DU820" s="143" t="str">
        <f t="shared" si="1014"/>
        <v>explicit C balance</v>
      </c>
      <c r="DV820">
        <v>0</v>
      </c>
      <c r="DW820">
        <v>0</v>
      </c>
      <c r="DX820">
        <v>0</v>
      </c>
      <c r="DY820">
        <v>0</v>
      </c>
      <c r="DZ820">
        <v>1</v>
      </c>
      <c r="EA820">
        <v>0</v>
      </c>
      <c r="EB820">
        <v>1</v>
      </c>
      <c r="EC820">
        <v>1</v>
      </c>
      <c r="ED820">
        <v>0</v>
      </c>
      <c r="EE820">
        <v>0</v>
      </c>
      <c r="EF820">
        <v>0</v>
      </c>
      <c r="EG820">
        <v>0</v>
      </c>
      <c r="EH820">
        <v>0</v>
      </c>
      <c r="EI820" s="2">
        <v>0</v>
      </c>
      <c r="EK820" t="str">
        <f t="shared" si="970"/>
        <v/>
      </c>
      <c r="EL820" t="str">
        <f t="shared" si="971"/>
        <v/>
      </c>
      <c r="EM820" s="2" t="str">
        <f t="shared" si="995"/>
        <v>Technology approach</v>
      </c>
      <c r="EP820" t="b">
        <f>IF(ISNUMBER(BU820),IF(ABS(BU820-[1]QC_indicators!$B$2)&gt;3*[1]QC_indicators!$C$2,"C ratio",IF(ISNUMBER(BY820),IF(ABS(BY820-[1]QC_indicators!$B$1)&gt;3*[1]QC_indicators!$C$1,"DF","no"))),IF(ISNUMBER(BY820),IF(ABS(BY820-[1]QC_indicators!$B$1)&gt;3*[1]QC_indicators!$C$1,"DF","no")))</f>
        <v>0</v>
      </c>
    </row>
    <row r="821" spans="1:150" ht="15" hidden="1" customHeight="1">
      <c r="A821" s="1" t="s">
        <v>3727</v>
      </c>
      <c r="B821" t="s">
        <v>3728</v>
      </c>
      <c r="C821" t="s">
        <v>3729</v>
      </c>
      <c r="D821" t="s">
        <v>3730</v>
      </c>
      <c r="E821" t="s">
        <v>3731</v>
      </c>
      <c r="F821" t="s">
        <v>3732</v>
      </c>
      <c r="G821" t="s">
        <v>3733</v>
      </c>
      <c r="H821" t="s">
        <v>254</v>
      </c>
      <c r="I821">
        <v>2022</v>
      </c>
      <c r="J821">
        <v>2</v>
      </c>
      <c r="K821" t="s">
        <v>3734</v>
      </c>
      <c r="M821" t="str">
        <f t="shared" si="905"/>
        <v>Ilari_2022</v>
      </c>
      <c r="N821" s="311" t="s">
        <v>4382</v>
      </c>
      <c r="O821" s="161" t="s">
        <v>223</v>
      </c>
      <c r="Q821" s="311" t="s">
        <v>389</v>
      </c>
      <c r="R821" s="312"/>
      <c r="S821" s="154" t="s">
        <v>3735</v>
      </c>
      <c r="T821" s="313" t="s">
        <v>3736</v>
      </c>
      <c r="U821" s="311" t="s">
        <v>3742</v>
      </c>
      <c r="V821">
        <v>0</v>
      </c>
      <c r="W821">
        <v>0</v>
      </c>
      <c r="X821">
        <v>0</v>
      </c>
      <c r="Y821">
        <v>0</v>
      </c>
      <c r="Z821">
        <v>0</v>
      </c>
      <c r="AA821">
        <v>0</v>
      </c>
      <c r="AB821">
        <v>0</v>
      </c>
      <c r="AC821">
        <v>0</v>
      </c>
      <c r="AD821">
        <v>0</v>
      </c>
      <c r="AE821">
        <v>0</v>
      </c>
      <c r="AF821">
        <v>0</v>
      </c>
      <c r="AG821">
        <v>0</v>
      </c>
      <c r="AH821">
        <v>0</v>
      </c>
      <c r="AI821">
        <v>0</v>
      </c>
      <c r="AJ821">
        <v>0</v>
      </c>
      <c r="AK821">
        <v>1</v>
      </c>
      <c r="AL821">
        <v>0</v>
      </c>
      <c r="AM821">
        <v>0</v>
      </c>
      <c r="AN821">
        <v>0</v>
      </c>
      <c r="AO821">
        <v>0</v>
      </c>
      <c r="AP821">
        <v>0</v>
      </c>
      <c r="AQ821">
        <v>0</v>
      </c>
      <c r="AR821">
        <v>0</v>
      </c>
      <c r="AS821">
        <v>0</v>
      </c>
      <c r="AT821">
        <v>0</v>
      </c>
      <c r="AU821">
        <v>0</v>
      </c>
      <c r="AV821">
        <v>0</v>
      </c>
      <c r="AW821">
        <v>0</v>
      </c>
      <c r="AX821" s="141">
        <f t="shared" si="996"/>
        <v>1</v>
      </c>
      <c r="AY821" s="141">
        <f t="shared" si="997"/>
        <v>1</v>
      </c>
      <c r="AZ821">
        <f t="shared" si="998"/>
        <v>0</v>
      </c>
      <c r="BA821">
        <f t="shared" si="999"/>
        <v>0</v>
      </c>
      <c r="BB821">
        <f t="shared" si="1000"/>
        <v>1</v>
      </c>
      <c r="BC821">
        <f t="shared" si="1001"/>
        <v>0</v>
      </c>
      <c r="BD821">
        <f t="shared" si="1002"/>
        <v>0</v>
      </c>
      <c r="BE821" t="str" cm="1">
        <f t="array" ref="BE821">IF(AY821=1,INDEX($V$7:$AL$7,MATCH(TRUE,INDEX($V821:$AW821&lt;&gt;0,),0)),IF(AY821=0,INDEX($AM$7:$AW$7,MATCH(1,$AM821:$AW821,0)),IF(BF821="Multiple strategies","mixed drivers",IF(BF821="Supply chain","multiple supply","multiple silviculture"))))</f>
        <v>technologies/design switch</v>
      </c>
      <c r="BF821" s="2" t="str" cm="1">
        <f t="array" ref="BF821">IF(COUNTIF(AZ821:BB821,"&lt;&gt;0")=1,INDEX($V$4:$AW$4,MATCH(TRUE,INDEX($V821:$AW821&lt;&gt;0,),0)),IF(COUNTIF(AZ821:BB821,"&lt;&gt;0")=0,INDEX($AM$4:$AW$4,MATCH(1,$AM821:$AW821,0)),"Multiple strategies"))</f>
        <v>Technology</v>
      </c>
      <c r="BG821" s="1" t="s">
        <v>321</v>
      </c>
      <c r="BH821" s="311" t="s">
        <v>3738</v>
      </c>
      <c r="BI821" s="311" t="s">
        <v>699</v>
      </c>
      <c r="BJ821" s="311" t="s">
        <v>3739</v>
      </c>
      <c r="BK821">
        <v>4.5</v>
      </c>
      <c r="BL821">
        <v>4.5</v>
      </c>
      <c r="BN821">
        <f>BL821-BK821</f>
        <v>0</v>
      </c>
      <c r="BO821">
        <f>BN821</f>
        <v>0</v>
      </c>
      <c r="BP821" t="s">
        <v>395</v>
      </c>
      <c r="BQ821" s="311" t="s">
        <v>3740</v>
      </c>
      <c r="BR821" s="311" t="s">
        <v>397</v>
      </c>
      <c r="BS821">
        <v>2.09</v>
      </c>
      <c r="BT821">
        <v>1.87</v>
      </c>
      <c r="BY821" t="str">
        <f t="shared" si="994"/>
        <v/>
      </c>
      <c r="BZ821">
        <v>0</v>
      </c>
      <c r="CA821">
        <v>0</v>
      </c>
      <c r="CB821">
        <v>0</v>
      </c>
      <c r="CC821">
        <v>0</v>
      </c>
      <c r="CD821">
        <v>0</v>
      </c>
      <c r="CE821">
        <v>0</v>
      </c>
      <c r="CF821">
        <v>0</v>
      </c>
      <c r="CG821">
        <v>0</v>
      </c>
      <c r="CH821">
        <v>0</v>
      </c>
      <c r="CI821">
        <v>0</v>
      </c>
      <c r="CJ821">
        <v>0</v>
      </c>
      <c r="CK821">
        <v>0</v>
      </c>
      <c r="CL821">
        <v>0</v>
      </c>
      <c r="CM821">
        <v>0</v>
      </c>
      <c r="CN821" t="str">
        <f>IF($BL821&lt;$BK821,"refNeedCorrection","refOK")</f>
        <v>refOK</v>
      </c>
      <c r="CO821">
        <f>IF($CN821="refOK",$BK821,$BL821)</f>
        <v>4.5</v>
      </c>
      <c r="CP821">
        <f>IF($CN821="refOK",$BL821,$BK821)</f>
        <v>4.5</v>
      </c>
      <c r="CQ821">
        <f>IF($CN821="refOK",$BO821,-$BO821)</f>
        <v>0</v>
      </c>
      <c r="CR821">
        <f t="shared" si="1003"/>
        <v>-2.09</v>
      </c>
      <c r="CS821">
        <f t="shared" si="1004"/>
        <v>-1.87</v>
      </c>
      <c r="CT821">
        <f t="shared" si="1005"/>
        <v>0</v>
      </c>
      <c r="CU821" t="str">
        <f t="shared" si="1006"/>
        <v/>
      </c>
      <c r="CV821" s="2">
        <f t="shared" si="1007"/>
        <v>0.10526315789473673</v>
      </c>
      <c r="CW821" s="318" t="s">
        <v>263</v>
      </c>
      <c r="CX821" s="311" t="str">
        <f t="shared" si="1008"/>
        <v>loc</v>
      </c>
      <c r="CY821" s="311" t="s">
        <v>264</v>
      </c>
      <c r="DC821" t="str">
        <f t="shared" si="1009"/>
        <v>0</v>
      </c>
      <c r="DD821">
        <v>0</v>
      </c>
      <c r="DE821">
        <v>1</v>
      </c>
      <c r="DF821">
        <v>0</v>
      </c>
      <c r="DG821">
        <v>0</v>
      </c>
      <c r="DI821">
        <f t="shared" si="1010"/>
        <v>1</v>
      </c>
      <c r="DJ821" t="str">
        <f t="shared" si="1011"/>
        <v>EnergyInput</v>
      </c>
      <c r="DK821">
        <f t="shared" si="1012"/>
        <v>0</v>
      </c>
      <c r="DL821" t="str">
        <f t="shared" si="1012"/>
        <v>Energy</v>
      </c>
      <c r="DM821">
        <f t="shared" si="1012"/>
        <v>0</v>
      </c>
      <c r="DN821">
        <f t="shared" si="1012"/>
        <v>0</v>
      </c>
      <c r="DT821">
        <f t="shared" si="1013"/>
        <v>0</v>
      </c>
      <c r="DU821" s="143" t="str">
        <f t="shared" si="1014"/>
        <v>explicit C balance</v>
      </c>
      <c r="DV821">
        <v>0</v>
      </c>
      <c r="DW821">
        <v>0</v>
      </c>
      <c r="DX821">
        <v>0</v>
      </c>
      <c r="DY821">
        <v>0</v>
      </c>
      <c r="DZ821">
        <v>1</v>
      </c>
      <c r="EA821">
        <v>0</v>
      </c>
      <c r="EB821">
        <v>1</v>
      </c>
      <c r="EC821">
        <v>1</v>
      </c>
      <c r="ED821">
        <v>0</v>
      </c>
      <c r="EE821">
        <v>0</v>
      </c>
      <c r="EF821">
        <v>0</v>
      </c>
      <c r="EG821">
        <v>0</v>
      </c>
      <c r="EH821">
        <v>0</v>
      </c>
      <c r="EI821" s="2">
        <v>0</v>
      </c>
      <c r="EK821" t="str">
        <f t="shared" si="970"/>
        <v/>
      </c>
      <c r="EL821" t="str">
        <f t="shared" si="971"/>
        <v/>
      </c>
      <c r="EM821" s="2" t="str">
        <f t="shared" si="995"/>
        <v>Technology approach</v>
      </c>
      <c r="EP821" t="b">
        <f>IF(ISNUMBER(BU821),IF(ABS(BU821-[1]QC_indicators!$B$2)&gt;3*[1]QC_indicators!$C$2,"C ratio",IF(ISNUMBER(BY821),IF(ABS(BY821-[1]QC_indicators!$B$1)&gt;3*[1]QC_indicators!$C$1,"DF","no"))),IF(ISNUMBER(BY821),IF(ABS(BY821-[1]QC_indicators!$B$1)&gt;3*[1]QC_indicators!$C$1,"DF","no")))</f>
        <v>0</v>
      </c>
    </row>
    <row r="822" spans="1:150" ht="15" hidden="1" customHeight="1">
      <c r="A822" s="1" t="s">
        <v>3727</v>
      </c>
      <c r="B822" t="s">
        <v>3728</v>
      </c>
      <c r="C822" t="s">
        <v>3729</v>
      </c>
      <c r="D822" t="s">
        <v>3730</v>
      </c>
      <c r="E822" t="s">
        <v>3731</v>
      </c>
      <c r="F822" t="s">
        <v>3732</v>
      </c>
      <c r="G822" t="s">
        <v>3733</v>
      </c>
      <c r="H822" t="s">
        <v>254</v>
      </c>
      <c r="I822">
        <v>2022</v>
      </c>
      <c r="J822">
        <v>2</v>
      </c>
      <c r="K822" t="s">
        <v>3734</v>
      </c>
      <c r="M822" t="str">
        <f t="shared" si="905"/>
        <v>Ilari_2022</v>
      </c>
      <c r="N822" s="311" t="s">
        <v>4382</v>
      </c>
      <c r="O822" s="161" t="s">
        <v>223</v>
      </c>
      <c r="Q822" s="311" t="s">
        <v>389</v>
      </c>
      <c r="R822" s="312"/>
      <c r="S822" s="154" t="s">
        <v>3735</v>
      </c>
      <c r="T822" s="313" t="s">
        <v>3736</v>
      </c>
      <c r="U822" s="311" t="s">
        <v>3743</v>
      </c>
      <c r="V822">
        <v>0</v>
      </c>
      <c r="W822">
        <v>0</v>
      </c>
      <c r="X822">
        <v>0</v>
      </c>
      <c r="Y822">
        <v>0</v>
      </c>
      <c r="Z822">
        <v>0</v>
      </c>
      <c r="AA822">
        <v>0</v>
      </c>
      <c r="AB822">
        <v>0</v>
      </c>
      <c r="AC822">
        <v>0</v>
      </c>
      <c r="AD822">
        <v>0</v>
      </c>
      <c r="AE822">
        <v>0</v>
      </c>
      <c r="AF822">
        <v>0</v>
      </c>
      <c r="AG822">
        <v>0</v>
      </c>
      <c r="AH822">
        <v>0</v>
      </c>
      <c r="AI822">
        <v>0</v>
      </c>
      <c r="AJ822">
        <v>0</v>
      </c>
      <c r="AK822">
        <v>1</v>
      </c>
      <c r="AL822">
        <v>0</v>
      </c>
      <c r="AM822">
        <v>0</v>
      </c>
      <c r="AN822">
        <v>0</v>
      </c>
      <c r="AO822">
        <v>0</v>
      </c>
      <c r="AP822">
        <v>0</v>
      </c>
      <c r="AQ822">
        <v>0</v>
      </c>
      <c r="AR822">
        <v>0</v>
      </c>
      <c r="AS822">
        <v>0</v>
      </c>
      <c r="AT822">
        <v>0</v>
      </c>
      <c r="AU822">
        <v>0</v>
      </c>
      <c r="AV822">
        <v>0</v>
      </c>
      <c r="AW822">
        <v>0</v>
      </c>
      <c r="AX822" s="141">
        <f t="shared" si="996"/>
        <v>1</v>
      </c>
      <c r="AY822" s="141">
        <f t="shared" si="997"/>
        <v>1</v>
      </c>
      <c r="AZ822">
        <f t="shared" si="998"/>
        <v>0</v>
      </c>
      <c r="BA822">
        <f t="shared" si="999"/>
        <v>0</v>
      </c>
      <c r="BB822">
        <f t="shared" si="1000"/>
        <v>1</v>
      </c>
      <c r="BC822">
        <f t="shared" si="1001"/>
        <v>0</v>
      </c>
      <c r="BD822">
        <f t="shared" si="1002"/>
        <v>0</v>
      </c>
      <c r="BE822" t="str" cm="1">
        <f t="array" ref="BE822">IF(AY822=1,INDEX($V$7:$AL$7,MATCH(TRUE,INDEX($V822:$AW822&lt;&gt;0,),0)),IF(AY822=0,INDEX($AM$7:$AW$7,MATCH(1,$AM822:$AW822,0)),IF(BF822="Multiple strategies","mixed drivers",IF(BF822="Supply chain","multiple supply","multiple silviculture"))))</f>
        <v>technologies/design switch</v>
      </c>
      <c r="BF822" s="2" t="str" cm="1">
        <f t="array" ref="BF822">IF(COUNTIF(AZ822:BB822,"&lt;&gt;0")=1,INDEX($V$4:$AW$4,MATCH(TRUE,INDEX($V822:$AW822&lt;&gt;0,),0)),IF(COUNTIF(AZ822:BB822,"&lt;&gt;0")=0,INDEX($AM$4:$AW$4,MATCH(1,$AM822:$AW822,0)),"Multiple strategies"))</f>
        <v>Technology</v>
      </c>
      <c r="BG822" s="1" t="s">
        <v>321</v>
      </c>
      <c r="BH822" s="311" t="s">
        <v>3738</v>
      </c>
      <c r="BI822" s="311" t="s">
        <v>699</v>
      </c>
      <c r="BJ822" s="311" t="s">
        <v>3739</v>
      </c>
      <c r="BK822">
        <v>4.5</v>
      </c>
      <c r="BL822">
        <v>4.5</v>
      </c>
      <c r="BN822">
        <f>BL822-BK822</f>
        <v>0</v>
      </c>
      <c r="BO822">
        <f>BN822</f>
        <v>0</v>
      </c>
      <c r="BP822" t="s">
        <v>395</v>
      </c>
      <c r="BQ822" s="311" t="s">
        <v>3740</v>
      </c>
      <c r="BR822" s="311" t="s">
        <v>397</v>
      </c>
      <c r="BS822">
        <v>2.09</v>
      </c>
      <c r="BT822">
        <v>1.93</v>
      </c>
      <c r="BY822" t="str">
        <f t="shared" si="994"/>
        <v/>
      </c>
      <c r="BZ822">
        <v>0</v>
      </c>
      <c r="CA822">
        <v>0</v>
      </c>
      <c r="CB822">
        <v>0</v>
      </c>
      <c r="CC822">
        <v>0</v>
      </c>
      <c r="CD822">
        <v>0</v>
      </c>
      <c r="CE822">
        <v>0</v>
      </c>
      <c r="CF822">
        <v>0</v>
      </c>
      <c r="CG822">
        <v>0</v>
      </c>
      <c r="CH822">
        <v>0</v>
      </c>
      <c r="CI822">
        <v>0</v>
      </c>
      <c r="CJ822">
        <v>0</v>
      </c>
      <c r="CK822">
        <v>0</v>
      </c>
      <c r="CL822">
        <v>0</v>
      </c>
      <c r="CM822">
        <v>0</v>
      </c>
      <c r="CN822" t="str">
        <f>IF($BL822&lt;$BK822,"refNeedCorrection","refOK")</f>
        <v>refOK</v>
      </c>
      <c r="CO822">
        <f>IF($CN822="refOK",$BK822,$BL822)</f>
        <v>4.5</v>
      </c>
      <c r="CP822">
        <f>IF($CN822="refOK",$BL822,$BK822)</f>
        <v>4.5</v>
      </c>
      <c r="CQ822">
        <f>IF($CN822="refOK",$BO822,-$BO822)</f>
        <v>0</v>
      </c>
      <c r="CR822">
        <f t="shared" si="1003"/>
        <v>-2.09</v>
      </c>
      <c r="CS822">
        <f t="shared" si="1004"/>
        <v>-1.93</v>
      </c>
      <c r="CT822">
        <f t="shared" si="1005"/>
        <v>0</v>
      </c>
      <c r="CU822" t="str">
        <f t="shared" si="1006"/>
        <v/>
      </c>
      <c r="CV822" s="2">
        <f t="shared" si="1007"/>
        <v>7.6555023923444945E-2</v>
      </c>
      <c r="CW822" s="318" t="s">
        <v>263</v>
      </c>
      <c r="CX822" s="311" t="str">
        <f t="shared" si="1008"/>
        <v>loc</v>
      </c>
      <c r="CY822" s="311" t="s">
        <v>264</v>
      </c>
      <c r="DC822" t="str">
        <f t="shared" si="1009"/>
        <v>0</v>
      </c>
      <c r="DD822">
        <v>0</v>
      </c>
      <c r="DE822">
        <v>1</v>
      </c>
      <c r="DF822">
        <v>0</v>
      </c>
      <c r="DG822">
        <v>0</v>
      </c>
      <c r="DI822">
        <f t="shared" si="1010"/>
        <v>1</v>
      </c>
      <c r="DJ822" t="str">
        <f t="shared" si="1011"/>
        <v>EnergyInput</v>
      </c>
      <c r="DK822">
        <f t="shared" si="1012"/>
        <v>0</v>
      </c>
      <c r="DL822" t="str">
        <f t="shared" si="1012"/>
        <v>Energy</v>
      </c>
      <c r="DM822">
        <f t="shared" si="1012"/>
        <v>0</v>
      </c>
      <c r="DN822">
        <f t="shared" si="1012"/>
        <v>0</v>
      </c>
      <c r="DT822">
        <f t="shared" si="1013"/>
        <v>0</v>
      </c>
      <c r="DU822" s="143" t="str">
        <f t="shared" si="1014"/>
        <v>explicit C balance</v>
      </c>
      <c r="DV822">
        <v>0</v>
      </c>
      <c r="DW822">
        <v>0</v>
      </c>
      <c r="DX822">
        <v>0</v>
      </c>
      <c r="DY822">
        <v>0</v>
      </c>
      <c r="DZ822">
        <v>1</v>
      </c>
      <c r="EA822">
        <v>0</v>
      </c>
      <c r="EB822">
        <v>1</v>
      </c>
      <c r="EC822">
        <v>1</v>
      </c>
      <c r="ED822">
        <v>0</v>
      </c>
      <c r="EE822">
        <v>0</v>
      </c>
      <c r="EF822">
        <v>0</v>
      </c>
      <c r="EG822">
        <v>0</v>
      </c>
      <c r="EH822">
        <v>0</v>
      </c>
      <c r="EI822" s="2">
        <v>0</v>
      </c>
      <c r="EK822" t="str">
        <f t="shared" si="970"/>
        <v/>
      </c>
      <c r="EL822" t="str">
        <f t="shared" si="971"/>
        <v/>
      </c>
      <c r="EM822" s="2" t="str">
        <f t="shared" si="995"/>
        <v>Technology approach</v>
      </c>
      <c r="EP822" t="b">
        <f>IF(ISNUMBER(BU822),IF(ABS(BU822-[1]QC_indicators!$B$2)&gt;3*[1]QC_indicators!$C$2,"C ratio",IF(ISNUMBER(BY822),IF(ABS(BY822-[1]QC_indicators!$B$1)&gt;3*[1]QC_indicators!$C$1,"DF","no"))),IF(ISNUMBER(BY822),IF(ABS(BY822-[1]QC_indicators!$B$1)&gt;3*[1]QC_indicators!$C$1,"DF","no")))</f>
        <v>0</v>
      </c>
    </row>
    <row r="823" spans="1:150" ht="15" hidden="1" customHeight="1">
      <c r="A823" s="1" t="s">
        <v>1971</v>
      </c>
      <c r="B823" t="s">
        <v>4809</v>
      </c>
      <c r="C823" t="s">
        <v>4810</v>
      </c>
      <c r="D823" t="s">
        <v>4811</v>
      </c>
      <c r="E823" t="s">
        <v>4812</v>
      </c>
      <c r="F823" t="s">
        <v>4813</v>
      </c>
      <c r="G823" t="s">
        <v>1977</v>
      </c>
      <c r="H823" t="s">
        <v>254</v>
      </c>
      <c r="I823">
        <v>2018</v>
      </c>
      <c r="J823">
        <v>15</v>
      </c>
      <c r="K823" t="s">
        <v>4814</v>
      </c>
      <c r="M823" t="str">
        <f t="shared" si="905"/>
        <v>Iordan_2018</v>
      </c>
      <c r="N823" t="s">
        <v>1351</v>
      </c>
      <c r="O823" s="145" t="s">
        <v>513</v>
      </c>
      <c r="Q823" s="311" t="s">
        <v>256</v>
      </c>
      <c r="R823" s="312"/>
      <c r="AX823" s="141"/>
      <c r="AY823" s="141"/>
      <c r="BE823"/>
      <c r="BF823" s="2"/>
      <c r="BU823" s="144"/>
      <c r="BY823" t="str">
        <f t="shared" si="994"/>
        <v/>
      </c>
      <c r="CN823"/>
      <c r="CO823"/>
      <c r="CP823"/>
      <c r="CQ823"/>
      <c r="CR823"/>
      <c r="CS823"/>
      <c r="CT823"/>
      <c r="CU823"/>
      <c r="CV823" s="2"/>
      <c r="CX823"/>
      <c r="DC823"/>
      <c r="DI823"/>
      <c r="DJ823"/>
      <c r="DK823"/>
      <c r="DL823"/>
      <c r="DM823"/>
      <c r="DN823"/>
      <c r="DT823"/>
      <c r="DU823" s="143"/>
      <c r="EK823" t="str">
        <f t="shared" si="970"/>
        <v/>
      </c>
      <c r="EL823" t="str">
        <f t="shared" si="971"/>
        <v/>
      </c>
      <c r="EM823" s="2" t="str">
        <f t="shared" si="995"/>
        <v/>
      </c>
      <c r="EO823" t="s">
        <v>450</v>
      </c>
      <c r="EP823" t="b">
        <f>IF(ISNUMBER(BU823),IF(ABS(BU823-[1]QC_indicators!$B$2)&gt;3*[1]QC_indicators!$C$2,"C ratio",IF(ISNUMBER(BY823),IF(ABS(BY823-[1]QC_indicators!$B$1)&gt;3*[1]QC_indicators!$C$1,"DF","no"))),IF(ISNUMBER(BY823),IF(ABS(BY823-[1]QC_indicators!$B$1)&gt;3*[1]QC_indicators!$C$1,"DF","no")))</f>
        <v>0</v>
      </c>
    </row>
    <row r="824" spans="1:150" ht="15" hidden="1" customHeight="1">
      <c r="A824" s="1" t="s">
        <v>587</v>
      </c>
      <c r="B824" t="s">
        <v>2530</v>
      </c>
      <c r="C824" t="s">
        <v>2531</v>
      </c>
      <c r="D824" t="s">
        <v>2532</v>
      </c>
      <c r="E824" t="s">
        <v>2533</v>
      </c>
      <c r="F824" t="s">
        <v>2534</v>
      </c>
      <c r="G824" t="s">
        <v>593</v>
      </c>
      <c r="H824" t="s">
        <v>254</v>
      </c>
      <c r="I824">
        <v>2015</v>
      </c>
      <c r="J824">
        <v>46</v>
      </c>
      <c r="K824" t="s">
        <v>2535</v>
      </c>
      <c r="M824" t="str">
        <f t="shared" si="905"/>
        <v>Iritani_2015</v>
      </c>
      <c r="N824" t="s">
        <v>222</v>
      </c>
      <c r="O824" s="145" t="s">
        <v>513</v>
      </c>
      <c r="Q824" t="s">
        <v>256</v>
      </c>
      <c r="R824" s="255" t="s">
        <v>223</v>
      </c>
      <c r="S824" s="1" t="s">
        <v>2536</v>
      </c>
      <c r="T824" s="264" t="s">
        <v>3088</v>
      </c>
      <c r="U824" s="264" t="s">
        <v>3089</v>
      </c>
      <c r="V824">
        <v>0</v>
      </c>
      <c r="W824">
        <v>0</v>
      </c>
      <c r="X824">
        <v>0</v>
      </c>
      <c r="Y824">
        <v>0</v>
      </c>
      <c r="Z824">
        <v>0</v>
      </c>
      <c r="AA824">
        <v>0</v>
      </c>
      <c r="AB824">
        <v>0</v>
      </c>
      <c r="AC824">
        <v>0</v>
      </c>
      <c r="AD824">
        <v>0</v>
      </c>
      <c r="AE824">
        <v>0</v>
      </c>
      <c r="AF824">
        <v>0</v>
      </c>
      <c r="AG824">
        <v>1</v>
      </c>
      <c r="AH824">
        <v>0</v>
      </c>
      <c r="AI824">
        <v>0</v>
      </c>
      <c r="AJ824">
        <v>0</v>
      </c>
      <c r="AK824">
        <v>0</v>
      </c>
      <c r="AL824">
        <v>0</v>
      </c>
      <c r="AM824">
        <v>0</v>
      </c>
      <c r="AN824">
        <v>0</v>
      </c>
      <c r="AO824">
        <v>0</v>
      </c>
      <c r="AP824">
        <v>0</v>
      </c>
      <c r="AQ824">
        <v>0</v>
      </c>
      <c r="AR824">
        <v>0</v>
      </c>
      <c r="AS824">
        <v>0</v>
      </c>
      <c r="AT824">
        <v>0</v>
      </c>
      <c r="AU824">
        <v>0</v>
      </c>
      <c r="AV824">
        <v>0</v>
      </c>
      <c r="AW824">
        <v>0</v>
      </c>
      <c r="AX824" s="141">
        <f>COUNTIF(V824:AW824,"&lt;&gt;0")</f>
        <v>1</v>
      </c>
      <c r="AY824" s="141">
        <f>COUNTIF(V824:AL824,"&lt;&gt;0")</f>
        <v>1</v>
      </c>
      <c r="AZ824">
        <f>COUNTIF(V824:AC824,"&lt;&gt;0")</f>
        <v>0</v>
      </c>
      <c r="BA824">
        <f>COUNTIF(AD824:AI824,"&lt;&gt;0")</f>
        <v>1</v>
      </c>
      <c r="BB824">
        <f>COUNTIF(AJ824:AL824,"&lt;&gt;0")</f>
        <v>0</v>
      </c>
      <c r="BC824">
        <f>COUNTIF(AS824:AW824,"&lt;&gt;0")</f>
        <v>0</v>
      </c>
      <c r="BD824">
        <f>COUNTIF(AM824:AR824,"&lt;&gt;0")</f>
        <v>0</v>
      </c>
      <c r="BE824" t="str">
        <f t="array" ref="BE824">IF(AY824=1,INDEX($V$7:$AL$7,MATCH(TRUE,INDEX($V824:$AW824&lt;&gt;0,),0)),IF(AY824=0,INDEX($AM$7:$AW$7,MATCH(1,$AM824:$AW824,0)),IF(BF824="Multiple strategies","mixed drivers",IF(BF824="Supply chain","multiple supply","multiple silviculture"))))</f>
        <v>recycling</v>
      </c>
      <c r="BF824" s="2" t="str" cm="1">
        <f t="array" ref="BF824">IF(COUNTIF(AZ824:BB824,"&lt;&gt;0")=1,INDEX($V$4:$AW$4,MATCH(TRUE,INDEX($V824:$AW824&lt;&gt;0,),0)),IF(COUNTIF(AZ824:BB824,"&lt;&gt;0")=0,INDEX($AM$4:$AW$4,MATCH(1,$AM824:$AW824,0)),"Multiple strategies"))</f>
        <v>Supply chain</v>
      </c>
      <c r="BG824" s="1" t="s">
        <v>229</v>
      </c>
      <c r="BH824" t="s">
        <v>2537</v>
      </c>
      <c r="BI824" s="264" t="s">
        <v>688</v>
      </c>
      <c r="BJ824" t="s">
        <v>345</v>
      </c>
      <c r="BK824">
        <v>0</v>
      </c>
      <c r="BL824">
        <v>235</v>
      </c>
      <c r="BN824">
        <f>BL824-BK824</f>
        <v>235</v>
      </c>
      <c r="BO824">
        <f>BN824*kg_to_m3</f>
        <v>0.47959183673469391</v>
      </c>
      <c r="BP824" t="s">
        <v>232</v>
      </c>
      <c r="BQ824" s="153" t="s">
        <v>3090</v>
      </c>
      <c r="BR824" t="s">
        <v>728</v>
      </c>
      <c r="BS824">
        <v>-290.75</v>
      </c>
      <c r="BT824">
        <f>-0.52*290.75</f>
        <v>-151.19</v>
      </c>
      <c r="BU824" s="144">
        <f>IFERROR(BT824/BS824,"")</f>
        <v>0.52</v>
      </c>
      <c r="BV824">
        <f>BT824-BS824</f>
        <v>139.56</v>
      </c>
      <c r="BX824">
        <f>BV824/1000</f>
        <v>0.13955999999999999</v>
      </c>
      <c r="BY824">
        <f t="shared" si="994"/>
        <v>0.29099744680851058</v>
      </c>
      <c r="BZ824">
        <v>1</v>
      </c>
      <c r="CA824">
        <v>0</v>
      </c>
      <c r="CB824">
        <v>0</v>
      </c>
      <c r="CC824">
        <v>0</v>
      </c>
      <c r="CD824">
        <v>0</v>
      </c>
      <c r="CE824">
        <v>0</v>
      </c>
      <c r="CF824">
        <v>0</v>
      </c>
      <c r="CG824">
        <v>0</v>
      </c>
      <c r="CH824">
        <v>0</v>
      </c>
      <c r="CI824">
        <v>0</v>
      </c>
      <c r="CJ824">
        <v>0</v>
      </c>
      <c r="CK824">
        <v>0</v>
      </c>
      <c r="CL824">
        <v>0</v>
      </c>
      <c r="CM824">
        <v>0</v>
      </c>
      <c r="CN824" t="str">
        <f>IF($BL824&lt;$BK824,"refNeedCorrection","refOK")</f>
        <v>refOK</v>
      </c>
      <c r="CO824">
        <f>IF($CN824="refOK",$BK824,$BL824)</f>
        <v>0</v>
      </c>
      <c r="CP824">
        <f>IF($CN824="refOK",$BL824,$BK824)</f>
        <v>235</v>
      </c>
      <c r="CQ824">
        <f>IF($CN824="refOK",$BO824,-$BO824)</f>
        <v>0.47959183673469391</v>
      </c>
      <c r="CR824">
        <f>IF($CN824="refOK",$BS824,$BT824)*IF($BP824="Emissions positive",-1,1)</f>
        <v>-290.75</v>
      </c>
      <c r="CS824">
        <f>IF($CN824="refOK",$BT824,$BS824)*IF($BP824="Emissions positive",-1,1)</f>
        <v>-151.19</v>
      </c>
      <c r="CT824">
        <f>IF($CN824="refNeedCorrection",-BX824,BX824)*IF($BP824="Emissions positive",-1,1)</f>
        <v>0.13955999999999999</v>
      </c>
      <c r="CU824">
        <f>IFERROR(CT824/CQ824,"")</f>
        <v>0.29099744680851058</v>
      </c>
      <c r="CV824" s="2">
        <f>IFERROR((CS824-CR824)/ABS(CR824),"")</f>
        <v>0.48</v>
      </c>
      <c r="CW824" s="263" t="s">
        <v>263</v>
      </c>
      <c r="CX824" t="str">
        <f>IF(OR($CW824="prd",$CW824="std",$CW824="cit"),"loc",IF(OR($CW824="eur",$CW824="reg",$CW824="coy"),"reg",$CW824))</f>
        <v>loc</v>
      </c>
      <c r="CY824" s="264" t="s">
        <v>520</v>
      </c>
      <c r="DB824">
        <v>0</v>
      </c>
      <c r="DC824" t="str">
        <f>IF(DB824=0,"0",IF(AND(DB824&gt;=1,DB824&lt;=30),"1-30",IF(AND(DB824&gt;30,DB824&lt;=70),"31-70",IF(AND(DB824&gt;70,DB824&lt;=100),"71-100",IF(DB824&gt;100,"+100")))))</f>
        <v>0</v>
      </c>
      <c r="DD824">
        <v>0</v>
      </c>
      <c r="DE824">
        <v>0</v>
      </c>
      <c r="DF824">
        <v>0</v>
      </c>
      <c r="DG824">
        <v>1</v>
      </c>
      <c r="DI824">
        <f>SUM(DD824:DG824)</f>
        <v>1</v>
      </c>
      <c r="DJ824" t="str">
        <f>IF(DI824=1,INDEX($DD$7:$DG$7,MATCH(1,$DD824:$DG824,0)),"mixedProduct")</f>
        <v>TimberInput</v>
      </c>
      <c r="DK824">
        <f t="shared" ref="DK824:DN825" si="1015">IF(DD824=1,DK$7,0)</f>
        <v>0</v>
      </c>
      <c r="DL824">
        <f t="shared" si="1015"/>
        <v>0</v>
      </c>
      <c r="DM824">
        <f t="shared" si="1015"/>
        <v>0</v>
      </c>
      <c r="DN824" t="str">
        <f t="shared" si="1015"/>
        <v>Timber</v>
      </c>
      <c r="DO824">
        <v>0</v>
      </c>
      <c r="DP824">
        <v>0</v>
      </c>
      <c r="DQ824">
        <v>0</v>
      </c>
      <c r="DR824">
        <v>0</v>
      </c>
      <c r="DS824">
        <v>0</v>
      </c>
      <c r="DT824">
        <f>SUM(DO824:DP824)</f>
        <v>0</v>
      </c>
      <c r="DU824" s="143" t="str">
        <f>IF(DO824=1,"self-calculated DF",IF(DP824=1,"external DF used","explicit C balance"))</f>
        <v>explicit C balance</v>
      </c>
      <c r="DV824">
        <v>0</v>
      </c>
      <c r="DW824">
        <v>0</v>
      </c>
      <c r="DX824">
        <v>0</v>
      </c>
      <c r="DY824">
        <v>0</v>
      </c>
      <c r="DZ824">
        <v>0</v>
      </c>
      <c r="EA824" s="143">
        <v>1</v>
      </c>
      <c r="EB824">
        <v>0</v>
      </c>
      <c r="EC824">
        <v>1</v>
      </c>
      <c r="ED824">
        <v>0</v>
      </c>
      <c r="EE824">
        <v>0</v>
      </c>
      <c r="EF824">
        <v>0</v>
      </c>
      <c r="EG824">
        <v>0</v>
      </c>
      <c r="EH824">
        <v>0</v>
      </c>
      <c r="EI824" s="2">
        <v>0</v>
      </c>
      <c r="EK824" t="str">
        <f>IF(AND(AND(AND(OR($DX824=1,$DW824=1),OR($EC824=1,$EA824=1)),SUM($DV824:$DZ824,$EF824)&gt;=4),SUM($EA824:$EE824)&gt;=2),"Whole sector","")</f>
        <v/>
      </c>
      <c r="EL824" t="str">
        <f>IF(AND(AND(OR($DX824=1,$DW824=1),AND($EC824=0,$EA824=0)),SUM($DV824:$DZ824,$EF824)&gt;=4),"Ecosystem approach","")</f>
        <v/>
      </c>
      <c r="EM824" s="2" t="str">
        <f t="shared" si="995"/>
        <v/>
      </c>
      <c r="EP824" t="str">
        <f>IF(ISNUMBER(BU824),IF(ABS(BU824-[3]QC_indicators!$B$2)&gt;3*[3]QC_indicators!$C$2,"C ratio",IF(ISNUMBER(BY824),IF(ABS(BY824-[3]QC_indicators!$B$1)&gt;3*[3]QC_indicators!$C$1,"DF","no"))),IF(ISNUMBER(BY824),IF(ABS(BY824-[3]QC_indicators!$B$1)&gt;3*[3]QC_indicators!$C$1,"DF","no")))</f>
        <v>no</v>
      </c>
      <c r="ET824" s="264" t="s">
        <v>3091</v>
      </c>
    </row>
    <row r="825" spans="1:150" ht="15" hidden="1" customHeight="1">
      <c r="A825" s="1" t="s">
        <v>587</v>
      </c>
      <c r="B825" t="s">
        <v>2530</v>
      </c>
      <c r="C825" t="s">
        <v>2531</v>
      </c>
      <c r="D825" t="s">
        <v>2532</v>
      </c>
      <c r="E825" t="s">
        <v>2533</v>
      </c>
      <c r="F825" t="s">
        <v>2534</v>
      </c>
      <c r="G825" t="s">
        <v>593</v>
      </c>
      <c r="H825" t="s">
        <v>254</v>
      </c>
      <c r="I825">
        <v>2015</v>
      </c>
      <c r="J825">
        <v>46</v>
      </c>
      <c r="K825" t="s">
        <v>2535</v>
      </c>
      <c r="M825" t="str">
        <f t="shared" si="905"/>
        <v>Iritani_2015</v>
      </c>
      <c r="N825" t="s">
        <v>222</v>
      </c>
      <c r="O825" s="145" t="s">
        <v>513</v>
      </c>
      <c r="Q825" t="s">
        <v>256</v>
      </c>
      <c r="R825" s="255" t="s">
        <v>223</v>
      </c>
      <c r="S825" s="1" t="s">
        <v>2536</v>
      </c>
      <c r="T825" s="264" t="s">
        <v>3088</v>
      </c>
      <c r="U825" s="264" t="s">
        <v>3092</v>
      </c>
      <c r="V825">
        <v>0</v>
      </c>
      <c r="W825">
        <v>0</v>
      </c>
      <c r="X825">
        <v>0</v>
      </c>
      <c r="Y825">
        <v>0</v>
      </c>
      <c r="Z825">
        <v>0</v>
      </c>
      <c r="AA825">
        <v>0</v>
      </c>
      <c r="AB825">
        <v>0</v>
      </c>
      <c r="AC825">
        <v>0</v>
      </c>
      <c r="AD825">
        <v>0</v>
      </c>
      <c r="AE825">
        <v>0</v>
      </c>
      <c r="AF825">
        <v>0</v>
      </c>
      <c r="AG825">
        <v>1</v>
      </c>
      <c r="AH825">
        <v>0</v>
      </c>
      <c r="AI825">
        <v>0</v>
      </c>
      <c r="AJ825">
        <v>0</v>
      </c>
      <c r="AK825">
        <v>0</v>
      </c>
      <c r="AL825">
        <v>0</v>
      </c>
      <c r="AM825">
        <v>0</v>
      </c>
      <c r="AN825">
        <v>0</v>
      </c>
      <c r="AO825">
        <v>0</v>
      </c>
      <c r="AP825">
        <v>0</v>
      </c>
      <c r="AQ825">
        <v>0</v>
      </c>
      <c r="AR825">
        <v>0</v>
      </c>
      <c r="AS825">
        <v>0</v>
      </c>
      <c r="AT825">
        <v>0</v>
      </c>
      <c r="AU825">
        <v>0</v>
      </c>
      <c r="AV825">
        <v>0</v>
      </c>
      <c r="AW825">
        <v>0</v>
      </c>
      <c r="AX825" s="141">
        <f>COUNTIF(V825:AW825,"&lt;&gt;0")</f>
        <v>1</v>
      </c>
      <c r="AY825" s="141">
        <f>COUNTIF(V825:AL825,"&lt;&gt;0")</f>
        <v>1</v>
      </c>
      <c r="AZ825">
        <f>COUNTIF(V825:AC825,"&lt;&gt;0")</f>
        <v>0</v>
      </c>
      <c r="BA825">
        <f>COUNTIF(AD825:AI825,"&lt;&gt;0")</f>
        <v>1</v>
      </c>
      <c r="BB825">
        <f>COUNTIF(AJ825:AL825,"&lt;&gt;0")</f>
        <v>0</v>
      </c>
      <c r="BC825">
        <f>COUNTIF(AS825:AW825,"&lt;&gt;0")</f>
        <v>0</v>
      </c>
      <c r="BD825">
        <f>COUNTIF(AM825:AR825,"&lt;&gt;0")</f>
        <v>0</v>
      </c>
      <c r="BE825" t="str">
        <f t="array" ref="BE825">IF(AY825=1,INDEX($V$7:$AL$7,MATCH(TRUE,INDEX($V825:$AW825&lt;&gt;0,),0)),IF(AY825=0,INDEX($AM$7:$AW$7,MATCH(1,$AM825:$AW825,0)),IF(BF825="Multiple strategies","mixed drivers",IF(BF825="Supply chain","multiple supply","multiple silviculture"))))</f>
        <v>recycling</v>
      </c>
      <c r="BF825" s="2" t="str" cm="1">
        <f t="array" ref="BF825">IF(COUNTIF(AZ825:BB825,"&lt;&gt;0")=1,INDEX($V$4:$AW$4,MATCH(TRUE,INDEX($V825:$AW825&lt;&gt;0,),0)),IF(COUNTIF(AZ825:BB825,"&lt;&gt;0")=0,INDEX($AM$4:$AW$4,MATCH(1,$AM825:$AW825,0)),"Multiple strategies"))</f>
        <v>Supply chain</v>
      </c>
      <c r="BG825" s="1" t="s">
        <v>229</v>
      </c>
      <c r="BH825" t="s">
        <v>2537</v>
      </c>
      <c r="BI825" s="264" t="s">
        <v>688</v>
      </c>
      <c r="BJ825" t="s">
        <v>345</v>
      </c>
      <c r="BK825">
        <v>0</v>
      </c>
      <c r="BL825">
        <v>117.5</v>
      </c>
      <c r="BN825">
        <f>BL825-BK825</f>
        <v>117.5</v>
      </c>
      <c r="BO825">
        <f>BN825*kg_to_m3</f>
        <v>0.23979591836734696</v>
      </c>
      <c r="BP825" t="s">
        <v>232</v>
      </c>
      <c r="BQ825" s="153" t="s">
        <v>3090</v>
      </c>
      <c r="BR825" t="s">
        <v>728</v>
      </c>
      <c r="BS825">
        <v>-290.75</v>
      </c>
      <c r="BT825">
        <f>-0.73*290.75</f>
        <v>-212.2475</v>
      </c>
      <c r="BU825" s="144">
        <f>IFERROR(BT825/BS825,"")</f>
        <v>0.73</v>
      </c>
      <c r="BV825">
        <f>BT825-BS825</f>
        <v>78.502499999999998</v>
      </c>
      <c r="BX825">
        <f>BV825/1000</f>
        <v>7.8502500000000003E-2</v>
      </c>
      <c r="BY825">
        <f t="shared" si="994"/>
        <v>0.32737212765957446</v>
      </c>
      <c r="BZ825">
        <v>1</v>
      </c>
      <c r="CA825">
        <v>0</v>
      </c>
      <c r="CB825">
        <v>0</v>
      </c>
      <c r="CC825">
        <v>0</v>
      </c>
      <c r="CD825">
        <v>0</v>
      </c>
      <c r="CE825">
        <v>0</v>
      </c>
      <c r="CF825">
        <v>0</v>
      </c>
      <c r="CG825">
        <v>0</v>
      </c>
      <c r="CH825">
        <v>0</v>
      </c>
      <c r="CI825">
        <v>0</v>
      </c>
      <c r="CJ825">
        <v>0</v>
      </c>
      <c r="CK825">
        <v>0</v>
      </c>
      <c r="CL825">
        <v>0</v>
      </c>
      <c r="CM825">
        <v>0</v>
      </c>
      <c r="CN825" t="str">
        <f>IF($BL825&lt;$BK825,"refNeedCorrection","refOK")</f>
        <v>refOK</v>
      </c>
      <c r="CO825">
        <f>IF($CN825="refOK",$BK825,$BL825)</f>
        <v>0</v>
      </c>
      <c r="CP825">
        <f>IF($CN825="refOK",$BL825,$BK825)</f>
        <v>117.5</v>
      </c>
      <c r="CQ825">
        <f>IF($CN825="refOK",$BO825,-$BO825)</f>
        <v>0.23979591836734696</v>
      </c>
      <c r="CR825">
        <f>IF($CN825="refOK",$BS825,$BT825)*IF($BP825="Emissions positive",-1,1)</f>
        <v>-290.75</v>
      </c>
      <c r="CS825">
        <f>IF($CN825="refOK",$BT825,$BS825)*IF($BP825="Emissions positive",-1,1)</f>
        <v>-212.2475</v>
      </c>
      <c r="CT825">
        <f>IF($CN825="refNeedCorrection",-BX825,BX825)*IF($BP825="Emissions positive",-1,1)</f>
        <v>7.8502500000000003E-2</v>
      </c>
      <c r="CU825">
        <f>IFERROR(CT825/CQ825,"")</f>
        <v>0.32737212765957446</v>
      </c>
      <c r="CV825" s="2">
        <f>IFERROR((CS825-CR825)/ABS(CR825),"")</f>
        <v>0.27</v>
      </c>
      <c r="CW825" s="263" t="s">
        <v>263</v>
      </c>
      <c r="CX825" t="str">
        <f>IF(OR($CW825="prd",$CW825="std",$CW825="cit"),"loc",IF(OR($CW825="eur",$CW825="reg",$CW825="coy"),"reg",$CW825))</f>
        <v>loc</v>
      </c>
      <c r="CY825" s="264" t="s">
        <v>520</v>
      </c>
      <c r="DB825">
        <v>0</v>
      </c>
      <c r="DC825" t="str">
        <f>IF(DB825=0,"0",IF(AND(DB825&gt;=1,DB825&lt;=30),"1-30",IF(AND(DB825&gt;30,DB825&lt;=70),"31-70",IF(AND(DB825&gt;70,DB825&lt;=100),"71-100",IF(DB825&gt;100,"+100")))))</f>
        <v>0</v>
      </c>
      <c r="DD825">
        <v>0</v>
      </c>
      <c r="DE825">
        <v>0</v>
      </c>
      <c r="DF825">
        <v>0</v>
      </c>
      <c r="DG825">
        <v>1</v>
      </c>
      <c r="DI825">
        <f>SUM(DD825:DG825)</f>
        <v>1</v>
      </c>
      <c r="DJ825" t="str">
        <f>IF(DI825=1,INDEX($DD$7:$DG$7,MATCH(1,$DD825:$DG825,0)),"mixedProduct")</f>
        <v>TimberInput</v>
      </c>
      <c r="DK825">
        <f t="shared" si="1015"/>
        <v>0</v>
      </c>
      <c r="DL825">
        <f t="shared" si="1015"/>
        <v>0</v>
      </c>
      <c r="DM825">
        <f t="shared" si="1015"/>
        <v>0</v>
      </c>
      <c r="DN825" t="str">
        <f t="shared" si="1015"/>
        <v>Timber</v>
      </c>
      <c r="DO825">
        <v>0</v>
      </c>
      <c r="DP825">
        <v>0</v>
      </c>
      <c r="DQ825">
        <v>0</v>
      </c>
      <c r="DR825">
        <v>0</v>
      </c>
      <c r="DS825">
        <v>0</v>
      </c>
      <c r="DT825">
        <f>SUM(DO825:DP825)</f>
        <v>0</v>
      </c>
      <c r="DU825" s="143" t="str">
        <f>IF(DO825=1,"self-calculated DF",IF(DP825=1,"external DF used","explicit C balance"))</f>
        <v>explicit C balance</v>
      </c>
      <c r="DV825">
        <v>0</v>
      </c>
      <c r="DW825">
        <v>0</v>
      </c>
      <c r="DX825">
        <v>0</v>
      </c>
      <c r="DY825">
        <v>0</v>
      </c>
      <c r="DZ825">
        <v>0</v>
      </c>
      <c r="EA825" s="143">
        <v>1</v>
      </c>
      <c r="EB825">
        <v>0</v>
      </c>
      <c r="EC825">
        <v>1</v>
      </c>
      <c r="ED825">
        <v>0</v>
      </c>
      <c r="EE825">
        <v>0</v>
      </c>
      <c r="EF825">
        <v>0</v>
      </c>
      <c r="EG825">
        <v>0</v>
      </c>
      <c r="EH825">
        <v>0</v>
      </c>
      <c r="EI825" s="2">
        <v>0</v>
      </c>
      <c r="EK825" t="str">
        <f>IF(AND(AND(AND(OR($DX825=1,$DW825=1),OR($EC825=1,$EA825=1)),SUM($DV825:$DZ825,$EF825)&gt;=4),SUM($EA825:$EE825)&gt;=2),"Whole sector","")</f>
        <v/>
      </c>
      <c r="EL825" t="str">
        <f>IF(AND(AND(OR($DX825=1,$DW825=1),AND($EC825=0,$EA825=0)),SUM($DV825:$DZ825,$EF825)&gt;=4),"Ecosystem approach","")</f>
        <v/>
      </c>
      <c r="EM825" s="2" t="str">
        <f t="shared" si="995"/>
        <v/>
      </c>
      <c r="EP825" t="str">
        <f>IF(ISNUMBER(BU825),IF(ABS(BU825-[3]QC_indicators!$B$2)&gt;3*[3]QC_indicators!$C$2,"C ratio",IF(ISNUMBER(BY825),IF(ABS(BY825-[3]QC_indicators!$B$1)&gt;3*[3]QC_indicators!$C$1,"DF","no"))),IF(ISNUMBER(BY825),IF(ABS(BY825-[3]QC_indicators!$B$1)&gt;3*[3]QC_indicators!$C$1,"DF","no")))</f>
        <v>no</v>
      </c>
      <c r="ET825" s="264" t="s">
        <v>3091</v>
      </c>
    </row>
    <row r="826" spans="1:150" ht="15" hidden="1" customHeight="1">
      <c r="A826" s="1" t="s">
        <v>4815</v>
      </c>
      <c r="B826" t="s">
        <v>4816</v>
      </c>
      <c r="C826" t="s">
        <v>4817</v>
      </c>
      <c r="D826" t="s">
        <v>4818</v>
      </c>
      <c r="E826" t="s">
        <v>4819</v>
      </c>
      <c r="F826" t="s">
        <v>4820</v>
      </c>
      <c r="G826" t="s">
        <v>4821</v>
      </c>
      <c r="H826" t="s">
        <v>254</v>
      </c>
      <c r="I826">
        <v>2021</v>
      </c>
      <c r="J826">
        <v>0</v>
      </c>
      <c r="K826" t="s">
        <v>4822</v>
      </c>
      <c r="M826" t="str">
        <f t="shared" si="905"/>
        <v>Iswanto; Nurrochmat_2021</v>
      </c>
      <c r="N826" t="s">
        <v>1351</v>
      </c>
      <c r="O826" s="145" t="s">
        <v>513</v>
      </c>
      <c r="Q826" s="311" t="s">
        <v>256</v>
      </c>
      <c r="R826" s="312"/>
      <c r="AX826" s="141"/>
      <c r="AY826" s="141"/>
      <c r="BE826"/>
      <c r="BF826" s="2"/>
      <c r="BU826" s="144"/>
      <c r="BY826" t="str">
        <f t="shared" si="994"/>
        <v/>
      </c>
      <c r="CN826"/>
      <c r="CO826"/>
      <c r="CP826"/>
      <c r="CQ826"/>
      <c r="CR826"/>
      <c r="CS826"/>
      <c r="CT826"/>
      <c r="CU826"/>
      <c r="CV826" s="2"/>
      <c r="CX826"/>
      <c r="DC826"/>
      <c r="DI826"/>
      <c r="DJ826"/>
      <c r="DK826"/>
      <c r="DL826"/>
      <c r="DM826"/>
      <c r="DN826"/>
      <c r="DT826"/>
      <c r="DU826" s="143"/>
      <c r="EK826" t="str">
        <f>IF(AND(AND(AND(OR($DX826=1,$DW826=1),OR($EC826=1,$EA826=1)),SUM($DV826:$DZ826,$EF826)&gt;=3),SUM($EA826:$EE826)&gt;=2),"Whole sector","")</f>
        <v/>
      </c>
      <c r="EL826" t="str">
        <f>IF(AND(AND(OR($DX826=1,$DW826=1),AND($EC826=0,$EA826=0)),SUM($DV826:$DZ826,$EF826)&gt;=3),"Ecosystem approach","")</f>
        <v/>
      </c>
      <c r="EM826" s="2" t="str">
        <f t="shared" si="995"/>
        <v/>
      </c>
      <c r="EN826" t="s">
        <v>4823</v>
      </c>
      <c r="EO826" t="s">
        <v>450</v>
      </c>
      <c r="EP826" t="b">
        <f>IF(ISNUMBER(BU826),IF(ABS(BU826-[1]QC_indicators!$B$2)&gt;3*[1]QC_indicators!$C$2,"C ratio",IF(ISNUMBER(BY826),IF(ABS(BY826-[1]QC_indicators!$B$1)&gt;3*[1]QC_indicators!$C$1,"DF","no"))),IF(ISNUMBER(BY826),IF(ABS(BY826-[1]QC_indicators!$B$1)&gt;3*[1]QC_indicators!$C$1,"DF","no")))</f>
        <v>0</v>
      </c>
    </row>
    <row r="827" spans="1:150" ht="15" hidden="1" customHeight="1">
      <c r="A827" s="1" t="s">
        <v>4824</v>
      </c>
      <c r="B827" t="s">
        <v>4825</v>
      </c>
      <c r="C827" t="s">
        <v>4826</v>
      </c>
      <c r="D827" t="s">
        <v>4827</v>
      </c>
      <c r="E827" t="s">
        <v>4828</v>
      </c>
      <c r="F827" t="s">
        <v>4829</v>
      </c>
      <c r="G827" t="s">
        <v>4830</v>
      </c>
      <c r="H827" t="s">
        <v>254</v>
      </c>
      <c r="I827">
        <v>2015</v>
      </c>
      <c r="J827">
        <v>95</v>
      </c>
      <c r="K827" t="s">
        <v>4831</v>
      </c>
      <c r="M827" t="str">
        <f t="shared" si="905"/>
        <v>Jantz_2015</v>
      </c>
      <c r="N827" s="311" t="s">
        <v>1351</v>
      </c>
      <c r="O827" s="171" t="s">
        <v>513</v>
      </c>
      <c r="P827" t="s">
        <v>223</v>
      </c>
      <c r="Q827" s="311" t="s">
        <v>389</v>
      </c>
      <c r="R827" s="312"/>
      <c r="U827" s="143"/>
      <c r="AX827" s="141"/>
      <c r="AY827" s="141"/>
      <c r="BE827"/>
      <c r="BF827" s="2"/>
      <c r="BG827" s="142"/>
      <c r="BJ827" s="143"/>
      <c r="BL827" s="143"/>
      <c r="BN827" s="158"/>
      <c r="BO827" s="159"/>
      <c r="BS827" s="151"/>
      <c r="BT827" s="151"/>
      <c r="BU827" s="144"/>
      <c r="BY827" t="str">
        <f t="shared" si="994"/>
        <v/>
      </c>
      <c r="BZ827" s="143"/>
      <c r="CA827" s="143"/>
      <c r="CB827" s="143"/>
      <c r="CC827" s="143"/>
      <c r="CD827" s="143"/>
      <c r="CE827" s="143"/>
      <c r="CF827" s="143"/>
      <c r="CG827" s="143"/>
      <c r="CH827" s="143"/>
      <c r="CI827" s="143"/>
      <c r="CJ827" s="143"/>
      <c r="CK827" s="143"/>
      <c r="CL827" s="143"/>
      <c r="CN827"/>
      <c r="CO827"/>
      <c r="CP827"/>
      <c r="CQ827"/>
      <c r="CR827"/>
      <c r="CS827"/>
      <c r="CT827"/>
      <c r="CU827"/>
      <c r="CV827" s="2"/>
      <c r="CX827"/>
      <c r="DA827" s="143"/>
      <c r="DB827" s="143"/>
      <c r="DC827"/>
      <c r="DI827"/>
      <c r="DJ827"/>
      <c r="DK827"/>
      <c r="DL827"/>
      <c r="DM827"/>
      <c r="DN827"/>
      <c r="DT827"/>
      <c r="DU827" s="143"/>
      <c r="DV827" s="143"/>
      <c r="DW827" s="143"/>
      <c r="DX827" s="143"/>
      <c r="DY827" s="143"/>
      <c r="EB827" s="143"/>
      <c r="EC827" s="143"/>
      <c r="ED827" s="143"/>
      <c r="EG827" s="143"/>
      <c r="EH827" s="143"/>
      <c r="EK827" t="str">
        <f>IF(AND(AND(AND(OR($DX827=1,$DW827=1),OR($EC827=1,$EA827=1)),SUM($DV827:$DZ827,$EF827)&gt;=3),SUM($EA827:$EE827)&gt;=2),"Whole sector","")</f>
        <v/>
      </c>
      <c r="EL827" t="str">
        <f>IF(AND(AND(OR($DX827=1,$DW827=1),AND($EC827=0,$EA827=0)),SUM($DV827:$DZ827,$EF827)&gt;=3),"Ecosystem approach","")</f>
        <v/>
      </c>
      <c r="EM827" s="2" t="str">
        <f t="shared" si="995"/>
        <v/>
      </c>
      <c r="EP827" t="b">
        <f>IF(ISNUMBER(BU827),IF(ABS(BU827-[1]QC_indicators!$B$2)&gt;3*[1]QC_indicators!$C$2,"C ratio",IF(ISNUMBER(BY827),IF(ABS(BY827-[1]QC_indicators!$B$1)&gt;3*[1]QC_indicators!$C$1,"DF","no"))),IF(ISNUMBER(BY827),IF(ABS(BY827-[1]QC_indicators!$B$1)&gt;3*[1]QC_indicators!$C$1,"DF","no")))</f>
        <v>0</v>
      </c>
    </row>
    <row r="828" spans="1:150" ht="15" hidden="1" customHeight="1">
      <c r="A828" s="1" t="s">
        <v>1137</v>
      </c>
      <c r="B828" t="s">
        <v>3744</v>
      </c>
      <c r="C828" t="s">
        <v>3745</v>
      </c>
      <c r="D828" t="s">
        <v>3746</v>
      </c>
      <c r="E828" t="s">
        <v>3747</v>
      </c>
      <c r="F828" t="s">
        <v>3748</v>
      </c>
      <c r="G828" t="s">
        <v>1138</v>
      </c>
      <c r="H828" t="s">
        <v>254</v>
      </c>
      <c r="I828">
        <v>2017</v>
      </c>
      <c r="J828">
        <v>12</v>
      </c>
      <c r="K828" t="s">
        <v>3749</v>
      </c>
      <c r="M828" t="str">
        <f t="shared" si="905"/>
        <v>Jasinevicius_2017</v>
      </c>
      <c r="N828" s="311" t="s">
        <v>4382</v>
      </c>
      <c r="O828" s="145" t="s">
        <v>513</v>
      </c>
      <c r="Q828" s="311" t="s">
        <v>256</v>
      </c>
      <c r="R828" s="312"/>
      <c r="S828" s="1" t="s">
        <v>1740</v>
      </c>
      <c r="T828" t="s">
        <v>1154</v>
      </c>
      <c r="U828" t="s">
        <v>3750</v>
      </c>
      <c r="V828">
        <v>0</v>
      </c>
      <c r="W828">
        <v>0</v>
      </c>
      <c r="X828">
        <v>0</v>
      </c>
      <c r="Y828">
        <v>1</v>
      </c>
      <c r="Z828">
        <v>0</v>
      </c>
      <c r="AA828">
        <v>0</v>
      </c>
      <c r="AB828">
        <v>0</v>
      </c>
      <c r="AC828">
        <v>0</v>
      </c>
      <c r="AD828">
        <v>0</v>
      </c>
      <c r="AE828">
        <v>0</v>
      </c>
      <c r="AF828">
        <v>0</v>
      </c>
      <c r="AG828">
        <v>0</v>
      </c>
      <c r="AH828">
        <v>0</v>
      </c>
      <c r="AI828">
        <v>0</v>
      </c>
      <c r="AJ828">
        <v>0</v>
      </c>
      <c r="AK828">
        <v>0</v>
      </c>
      <c r="AL828">
        <v>0</v>
      </c>
      <c r="AM828">
        <v>0</v>
      </c>
      <c r="AN828">
        <v>0</v>
      </c>
      <c r="AO828">
        <v>0</v>
      </c>
      <c r="AP828">
        <v>0</v>
      </c>
      <c r="AQ828">
        <v>0</v>
      </c>
      <c r="AR828">
        <v>0</v>
      </c>
      <c r="AS828">
        <v>0</v>
      </c>
      <c r="AT828">
        <v>0</v>
      </c>
      <c r="AU828">
        <v>0</v>
      </c>
      <c r="AV828">
        <v>0</v>
      </c>
      <c r="AW828">
        <v>0</v>
      </c>
      <c r="AX828" s="141">
        <f t="shared" ref="AX828:AX852" si="1016">COUNTIF(V828:AW828,"&lt;&gt;0")</f>
        <v>1</v>
      </c>
      <c r="AY828" s="141">
        <f t="shared" ref="AY828:AY852" si="1017">COUNTIF(V828:AL828,"&lt;&gt;0")</f>
        <v>1</v>
      </c>
      <c r="AZ828">
        <f t="shared" ref="AZ828:AZ852" si="1018">COUNTIF(V828:AC828,"&lt;&gt;0")</f>
        <v>1</v>
      </c>
      <c r="BA828">
        <f t="shared" ref="BA828:BA852" si="1019">COUNTIF(AD828:AI828,"&lt;&gt;0")</f>
        <v>0</v>
      </c>
      <c r="BB828">
        <f t="shared" ref="BB828:BB852" si="1020">COUNTIF(AJ828:AL828,"&lt;&gt;0")</f>
        <v>0</v>
      </c>
      <c r="BC828">
        <f t="shared" ref="BC828:BC852" si="1021">COUNTIF(AS828:AW828,"&lt;&gt;0")</f>
        <v>0</v>
      </c>
      <c r="BD828">
        <f t="shared" ref="BD828:BD852" si="1022">COUNTIF(AM828:AR828,"&lt;&gt;0")</f>
        <v>0</v>
      </c>
      <c r="BE828" t="str" cm="1">
        <f t="array" ref="BE828">IF(AY828=1,INDEX($V$7:$AL$7,MATCH(TRUE,INDEX($V828:$AW828&lt;&gt;0,),0)),IF(AY828=0,INDEX($AM$7:$AW$7,MATCH(1,$AM828:$AW828,0)),IF(BF828="Multiple strategies","mixed drivers",IF(BF828="Supply chain","multiple supply","multiple silviculture"))))</f>
        <v xml:space="preserve">cutting intensity </v>
      </c>
      <c r="BF828" s="2" t="str" cm="1">
        <f t="array" ref="BF828">IF(COUNTIF(AZ828:BB828,"&lt;&gt;0")=1,INDEX($V$4:$AW$4,MATCH(TRUE,INDEX($V828:$AW828&lt;&gt;0,),0)),IF(COUNTIF(AZ828:BB828,"&lt;&gt;0")=0,INDEX($AM$4:$AW$4,MATCH(1,$AM828:$AW828,0)),"Multiple strategies"))</f>
        <v>Silviculture for removals</v>
      </c>
      <c r="BH828" s="311"/>
      <c r="BJ828" s="311"/>
      <c r="BP828" t="s">
        <v>232</v>
      </c>
      <c r="BQ828" s="311" t="s">
        <v>3683</v>
      </c>
      <c r="BR828" t="s">
        <v>1358</v>
      </c>
      <c r="BS828">
        <v>617</v>
      </c>
      <c r="BT828">
        <v>602</v>
      </c>
      <c r="BU828" s="144">
        <f t="shared" ref="BU828:BU833" si="1023">IFERROR(BT828/BS828,"")</f>
        <v>0.97568881685575359</v>
      </c>
      <c r="BV828">
        <f t="shared" ref="BV828:BV833" si="1024">BT828-BS828</f>
        <v>-15</v>
      </c>
      <c r="BX828">
        <f>BV828*C_to_CO2*10^6</f>
        <v>-55050000</v>
      </c>
      <c r="BY828" t="str">
        <f t="shared" si="994"/>
        <v/>
      </c>
      <c r="BZ828">
        <v>0</v>
      </c>
      <c r="CA828">
        <v>0</v>
      </c>
      <c r="CB828">
        <v>0</v>
      </c>
      <c r="CC828">
        <v>0</v>
      </c>
      <c r="CD828">
        <v>0</v>
      </c>
      <c r="CE828">
        <v>0</v>
      </c>
      <c r="CF828">
        <v>0</v>
      </c>
      <c r="CG828">
        <v>0</v>
      </c>
      <c r="CH828">
        <v>0</v>
      </c>
      <c r="CI828">
        <v>0</v>
      </c>
      <c r="CJ828">
        <v>0</v>
      </c>
      <c r="CK828">
        <v>0</v>
      </c>
      <c r="CL828">
        <v>0</v>
      </c>
      <c r="CM828">
        <v>1</v>
      </c>
      <c r="CN828" t="str">
        <f>IF($BL828&lt;$BK828,"refNeedCorrection","refOK")</f>
        <v>refOK</v>
      </c>
      <c r="CO828">
        <f t="shared" ref="CO828:CO833" si="1025">IF($CN828="refOK",$BK828,$BL828)</f>
        <v>0</v>
      </c>
      <c r="CP828">
        <f t="shared" ref="CP828:CP833" si="1026">IF($CN828="refOK",$BL828,$BK828)</f>
        <v>0</v>
      </c>
      <c r="CQ828">
        <f t="shared" ref="CQ828:CQ833" si="1027">IF($CN828="refOK",$BO828,-$BO828)</f>
        <v>0</v>
      </c>
      <c r="CR828">
        <f t="shared" ref="CR828:CR852" si="1028">IF($CN828="refOK",$BS828,$BT828)*IF($BP828="Emissions positive",-1,1)</f>
        <v>617</v>
      </c>
      <c r="CS828">
        <f t="shared" ref="CS828:CS852" si="1029">IF($CN828="refOK",$BT828,$BS828)*IF($BP828="Emissions positive",-1,1)</f>
        <v>602</v>
      </c>
      <c r="CT828">
        <f t="shared" ref="CT828:CT852" si="1030">IF($CN828="refNeedCorrection",-BX828,BX828)*IF($BP828="Emissions positive",-1,1)</f>
        <v>-55050000</v>
      </c>
      <c r="CU828" t="str">
        <f t="shared" ref="CU828:CU852" si="1031">IFERROR(CT828/CQ828,"")</f>
        <v/>
      </c>
      <c r="CV828" s="2">
        <f t="shared" ref="CV828:CV852" si="1032">IFERROR((CS828-CR828)/ABS(CR828),"")</f>
        <v>-2.4311183144246355E-2</v>
      </c>
      <c r="CW828" s="1" t="s">
        <v>1202</v>
      </c>
      <c r="CX828" s="311" t="str">
        <f t="shared" ref="CX828:CX852" si="1033">IF(OR($CW828="prd",$CW828="std",$CW828="cit"),"loc",IF(OR($CW828="eur",$CW828="reg",$CW828="coy"),"reg",$CW828))</f>
        <v>reg</v>
      </c>
      <c r="CY828" t="s">
        <v>3751</v>
      </c>
      <c r="CZ828">
        <v>1994</v>
      </c>
      <c r="DA828">
        <v>2100</v>
      </c>
      <c r="DB828">
        <f>DA828-CZ828</f>
        <v>106</v>
      </c>
      <c r="DC828" t="str">
        <f t="shared" ref="DC828:DC852" si="1034">IF(DB828=0,"0",IF(AND(DB828&gt;=1,DB828&lt;=30),"1-30",IF(AND(DB828&gt;30,DB828&lt;=70),"31-70",IF(AND(DB828&gt;70,DB828&lt;=100),"71-100",IF(DB828&gt;100,"+100")))))</f>
        <v>+100</v>
      </c>
      <c r="DD828">
        <v>1</v>
      </c>
      <c r="DE828">
        <v>1</v>
      </c>
      <c r="DF828">
        <v>1</v>
      </c>
      <c r="DG828">
        <v>1</v>
      </c>
      <c r="DH828">
        <v>1</v>
      </c>
      <c r="DI828">
        <f t="shared" ref="DI828:DI835" si="1035">SUM(DD828:DG828)</f>
        <v>4</v>
      </c>
      <c r="DJ828" t="str">
        <f t="shared" ref="DJ828:DJ852" si="1036">IF(DI828=1,INDEX($DD$7:$DG$7,MATCH(1,$DD828:$DG828,0)),"mixedProduct")</f>
        <v>mixedProduct</v>
      </c>
      <c r="DK828" t="str">
        <f t="shared" ref="DK828:DK852" si="1037">IF(DD828=1,DK$7,0)</f>
        <v>Upstream</v>
      </c>
      <c r="DL828" t="str">
        <f t="shared" ref="DL828:DL852" si="1038">IF(DE828=1,DL$7,0)</f>
        <v>Energy</v>
      </c>
      <c r="DM828" t="str">
        <f t="shared" ref="DM828:DM852" si="1039">IF(DF828=1,DM$7,0)</f>
        <v>Pulp/Paper</v>
      </c>
      <c r="DN828" t="str">
        <f t="shared" ref="DN828:DN852" si="1040">IF(DG828=1,DN$7,0)</f>
        <v>Timber</v>
      </c>
      <c r="DO828">
        <v>0</v>
      </c>
      <c r="DP828">
        <v>1</v>
      </c>
      <c r="DQ828">
        <v>0</v>
      </c>
      <c r="DR828">
        <v>0</v>
      </c>
      <c r="DS828" t="s">
        <v>3752</v>
      </c>
      <c r="DT828">
        <f t="shared" ref="DT828:DT852" si="1041">SUM(DO828:DP828)</f>
        <v>1</v>
      </c>
      <c r="DU828" s="143" t="str">
        <f t="shared" ref="DU828:DU835" si="1042">IF(DO828=1,"self-calculated DF",IF(DP828=1,"external DF used","explicit C balance"))</f>
        <v>external DF used</v>
      </c>
      <c r="DV828">
        <v>1</v>
      </c>
      <c r="DW828">
        <v>0</v>
      </c>
      <c r="DX828">
        <v>1</v>
      </c>
      <c r="DY828">
        <v>1</v>
      </c>
      <c r="DZ828">
        <v>1</v>
      </c>
      <c r="EA828">
        <v>1</v>
      </c>
      <c r="EB828">
        <v>1</v>
      </c>
      <c r="EC828">
        <v>1</v>
      </c>
      <c r="ED828">
        <v>0</v>
      </c>
      <c r="EE828">
        <v>0</v>
      </c>
      <c r="EF828">
        <v>1</v>
      </c>
      <c r="EG828">
        <v>0</v>
      </c>
      <c r="EH828">
        <v>0</v>
      </c>
      <c r="EI828" s="2">
        <v>0</v>
      </c>
      <c r="EK828" t="str">
        <f>IF(AND(AND(AND(OR($DX828=1,$DW828=1),OR($EC828=1,$EA828=1)),SUM($DV828:$DZ828,$EF828)&gt;=3),SUM($EA828:$EE828)&gt;=2),"Whole sector","")</f>
        <v>Whole sector</v>
      </c>
      <c r="EL828" t="str">
        <f>IF(AND(AND(OR($DX828=1,$DW828=1),AND($EC828=0,$EA828=0)),SUM($DV828:$DZ828,$EF828)&gt;=3),"Ecosystem approach","")</f>
        <v/>
      </c>
      <c r="EM828" s="2" t="str">
        <f t="shared" si="995"/>
        <v/>
      </c>
      <c r="EP828" t="b">
        <f>IF(ISNUMBER(BU828),IF(ABS(BU828-[1]QC_indicators!$B$2)&gt;3*[1]QC_indicators!$C$2,"C ratio",IF(ISNUMBER(BY828),IF(ABS(BY828-[1]QC_indicators!$B$1)&gt;3*[1]QC_indicators!$C$1,"DF","no"))),IF(ISNUMBER(BY828),IF(ABS(BY828-[1]QC_indicators!$B$1)&gt;3*[1]QC_indicators!$C$1,"DF","no")))</f>
        <v>0</v>
      </c>
    </row>
    <row r="829" spans="1:150" ht="15" hidden="1" customHeight="1">
      <c r="A829" s="1" t="s">
        <v>247</v>
      </c>
      <c r="B829" t="s">
        <v>799</v>
      </c>
      <c r="C829" t="s">
        <v>800</v>
      </c>
      <c r="D829" t="s">
        <v>801</v>
      </c>
      <c r="E829" t="s">
        <v>802</v>
      </c>
      <c r="F829" t="s">
        <v>803</v>
      </c>
      <c r="G829" t="s">
        <v>253</v>
      </c>
      <c r="H829" t="s">
        <v>254</v>
      </c>
      <c r="I829">
        <v>2020</v>
      </c>
      <c r="J829">
        <v>15</v>
      </c>
      <c r="K829" t="s">
        <v>804</v>
      </c>
      <c r="M829" t="str">
        <f t="shared" si="905"/>
        <v>Jayalath_2020</v>
      </c>
      <c r="N829" t="s">
        <v>222</v>
      </c>
      <c r="O829" s="145" t="s">
        <v>513</v>
      </c>
      <c r="Q829" t="s">
        <v>256</v>
      </c>
      <c r="R829" s="262" t="s">
        <v>225</v>
      </c>
      <c r="S829" s="1" t="s">
        <v>809</v>
      </c>
      <c r="T829" t="s">
        <v>810</v>
      </c>
      <c r="U829" t="s">
        <v>259</v>
      </c>
      <c r="V829">
        <v>0</v>
      </c>
      <c r="W829">
        <v>0</v>
      </c>
      <c r="X829">
        <v>0</v>
      </c>
      <c r="Y829">
        <v>0</v>
      </c>
      <c r="Z829">
        <v>0</v>
      </c>
      <c r="AA829">
        <v>0</v>
      </c>
      <c r="AB829">
        <v>0</v>
      </c>
      <c r="AC829">
        <v>0</v>
      </c>
      <c r="AD829">
        <v>0</v>
      </c>
      <c r="AE829">
        <v>0</v>
      </c>
      <c r="AF829">
        <v>0</v>
      </c>
      <c r="AG829">
        <v>0</v>
      </c>
      <c r="AH829">
        <v>0</v>
      </c>
      <c r="AI829">
        <v>0</v>
      </c>
      <c r="AJ829">
        <v>0</v>
      </c>
      <c r="AK829">
        <v>1</v>
      </c>
      <c r="AL829">
        <v>0</v>
      </c>
      <c r="AM829">
        <v>0</v>
      </c>
      <c r="AN829">
        <v>0</v>
      </c>
      <c r="AO829">
        <v>0</v>
      </c>
      <c r="AP829">
        <v>0</v>
      </c>
      <c r="AQ829">
        <v>0</v>
      </c>
      <c r="AR829">
        <v>0</v>
      </c>
      <c r="AS829">
        <v>0</v>
      </c>
      <c r="AT829">
        <v>0</v>
      </c>
      <c r="AU829">
        <v>0</v>
      </c>
      <c r="AV829">
        <v>0</v>
      </c>
      <c r="AW829">
        <v>0</v>
      </c>
      <c r="AX829" s="141">
        <f t="shared" si="1016"/>
        <v>1</v>
      </c>
      <c r="AY829" s="141">
        <f t="shared" si="1017"/>
        <v>1</v>
      </c>
      <c r="AZ829">
        <f t="shared" si="1018"/>
        <v>0</v>
      </c>
      <c r="BA829">
        <f t="shared" si="1019"/>
        <v>0</v>
      </c>
      <c r="BB829">
        <f t="shared" si="1020"/>
        <v>1</v>
      </c>
      <c r="BC829">
        <f t="shared" si="1021"/>
        <v>0</v>
      </c>
      <c r="BD829">
        <f t="shared" si="1022"/>
        <v>0</v>
      </c>
      <c r="BE829" t="str">
        <f t="array" ref="BE829">IF(AY829=1,INDEX($V$7:$AL$7,MATCH(TRUE,INDEX($V829:$AW829&lt;&gt;0,),0)),IF(AY829=0,INDEX($AM$7:$AW$7,MATCH(1,$AM829:$AW829,0)),IF(BF829="Multiple strategies","mixed drivers",IF(BF829="Supply chain","multiple supply","multiple silviculture"))))</f>
        <v>technologies/design switch</v>
      </c>
      <c r="BF829" s="2" t="str" cm="1">
        <f t="array" ref="BF829">IF(COUNTIF(AZ829:BB829,"&lt;&gt;0")=1,INDEX($V$4:$AW$4,MATCH(TRUE,INDEX($V829:$AW829&lt;&gt;0,),0)),IF(COUNTIF(AZ829:BB829,"&lt;&gt;0")=0,INDEX($AM$4:$AW$4,MATCH(1,$AM829:$AW829,0)),"Multiple strategies"))</f>
        <v>Technology</v>
      </c>
      <c r="BG829" s="1" t="s">
        <v>229</v>
      </c>
      <c r="BH829" t="s">
        <v>808</v>
      </c>
      <c r="BI829" s="260" t="s">
        <v>3339</v>
      </c>
      <c r="BJ829" t="s">
        <v>345</v>
      </c>
      <c r="BK829" s="264">
        <v>0</v>
      </c>
      <c r="BL829" s="264">
        <v>130669</v>
      </c>
      <c r="BN829">
        <f>BL829-BK829</f>
        <v>130669</v>
      </c>
      <c r="BO829">
        <f>BN829*kg_to_m3</f>
        <v>266.67142857142858</v>
      </c>
      <c r="BP829" t="s">
        <v>395</v>
      </c>
      <c r="BQ829" s="260" t="s">
        <v>3342</v>
      </c>
      <c r="BR829" t="s">
        <v>812</v>
      </c>
      <c r="BS829">
        <v>1387</v>
      </c>
      <c r="BT829">
        <v>686</v>
      </c>
      <c r="BU829" s="144">
        <f t="shared" si="1023"/>
        <v>0.49459264599855801</v>
      </c>
      <c r="BV829">
        <f t="shared" si="1024"/>
        <v>-701</v>
      </c>
      <c r="BX829">
        <f>BV829</f>
        <v>-701</v>
      </c>
      <c r="BY829">
        <f t="shared" si="994"/>
        <v>-2.6287030588739486</v>
      </c>
      <c r="BZ829">
        <v>0</v>
      </c>
      <c r="CA829">
        <v>0</v>
      </c>
      <c r="CB829">
        <v>0</v>
      </c>
      <c r="CC829">
        <v>0</v>
      </c>
      <c r="CD829">
        <v>0</v>
      </c>
      <c r="CE829">
        <v>0</v>
      </c>
      <c r="CF829">
        <v>0</v>
      </c>
      <c r="CG829">
        <v>0</v>
      </c>
      <c r="CH829">
        <v>0</v>
      </c>
      <c r="CI829">
        <v>0</v>
      </c>
      <c r="CJ829">
        <v>0</v>
      </c>
      <c r="CK829">
        <v>0</v>
      </c>
      <c r="CL829">
        <v>0</v>
      </c>
      <c r="CM829">
        <v>1</v>
      </c>
      <c r="CN829" t="str">
        <f t="shared" ref="CN829:CN835" si="1043">IF(BL829&lt;BK829,"refNeedCorrection","refOK")</f>
        <v>refOK</v>
      </c>
      <c r="CO829">
        <f t="shared" si="1025"/>
        <v>0</v>
      </c>
      <c r="CP829">
        <f t="shared" si="1026"/>
        <v>130669</v>
      </c>
      <c r="CQ829">
        <f t="shared" si="1027"/>
        <v>266.67142857142858</v>
      </c>
      <c r="CR829">
        <f t="shared" si="1028"/>
        <v>-1387</v>
      </c>
      <c r="CS829">
        <f t="shared" si="1029"/>
        <v>-686</v>
      </c>
      <c r="CT829">
        <f t="shared" si="1030"/>
        <v>701</v>
      </c>
      <c r="CU829">
        <f t="shared" si="1031"/>
        <v>2.6287030588739486</v>
      </c>
      <c r="CV829" s="2">
        <f t="shared" si="1032"/>
        <v>0.50540735400144199</v>
      </c>
      <c r="CW829" s="1" t="s">
        <v>347</v>
      </c>
      <c r="CX829" t="str">
        <f t="shared" si="1033"/>
        <v>loc</v>
      </c>
      <c r="CY829" t="s">
        <v>574</v>
      </c>
      <c r="DB829">
        <v>0</v>
      </c>
      <c r="DC829" t="str">
        <f t="shared" si="1034"/>
        <v>0</v>
      </c>
      <c r="DD829">
        <v>0</v>
      </c>
      <c r="DE829">
        <v>0</v>
      </c>
      <c r="DF829">
        <v>0</v>
      </c>
      <c r="DG829">
        <v>1</v>
      </c>
      <c r="DI829">
        <f t="shared" si="1035"/>
        <v>1</v>
      </c>
      <c r="DJ829" t="str">
        <f t="shared" si="1036"/>
        <v>TimberInput</v>
      </c>
      <c r="DK829">
        <f t="shared" si="1037"/>
        <v>0</v>
      </c>
      <c r="DL829">
        <f t="shared" si="1038"/>
        <v>0</v>
      </c>
      <c r="DM829">
        <f t="shared" si="1039"/>
        <v>0</v>
      </c>
      <c r="DN829" t="str">
        <f t="shared" si="1040"/>
        <v>Timber</v>
      </c>
      <c r="DO829">
        <v>0</v>
      </c>
      <c r="DP829">
        <v>0</v>
      </c>
      <c r="DQ829">
        <v>0</v>
      </c>
      <c r="DR829">
        <v>0</v>
      </c>
      <c r="DS829">
        <v>0</v>
      </c>
      <c r="DT829">
        <f t="shared" si="1041"/>
        <v>0</v>
      </c>
      <c r="DU829" s="143" t="str">
        <f t="shared" si="1042"/>
        <v>explicit C balance</v>
      </c>
      <c r="DV829">
        <v>0</v>
      </c>
      <c r="DW829">
        <v>0</v>
      </c>
      <c r="DX829">
        <v>0</v>
      </c>
      <c r="DY829">
        <v>0</v>
      </c>
      <c r="DZ829">
        <v>0</v>
      </c>
      <c r="EA829">
        <v>0</v>
      </c>
      <c r="EB829">
        <v>0</v>
      </c>
      <c r="EC829">
        <v>1</v>
      </c>
      <c r="ED829">
        <v>0</v>
      </c>
      <c r="EE829">
        <v>0</v>
      </c>
      <c r="EF829">
        <v>0</v>
      </c>
      <c r="EG829">
        <v>0</v>
      </c>
      <c r="EH829">
        <v>0</v>
      </c>
      <c r="EI829" s="2">
        <v>0</v>
      </c>
      <c r="EK829" t="str">
        <f>IF(AND(AND(AND(OR($DX829=1,$DW829=1),OR($EC829=1,$EA829=1)),SUM($DV829:$DZ829,$EF829)&gt;=4),SUM($EA829:$EE829)&gt;=2),"Whole sector","")</f>
        <v/>
      </c>
      <c r="EL829" t="str">
        <f>IF(AND(AND(OR($DX829=1,$DW829=1),AND($EC829=0,$EA829=0)),SUM($DV829:$DZ829,$EF829)&gt;=4),"Ecosystem approach","")</f>
        <v/>
      </c>
      <c r="EM829" s="2" t="str">
        <f t="shared" si="995"/>
        <v/>
      </c>
      <c r="EP829" t="str">
        <f>IF(ISNUMBER(BU829),IF(ABS(BU829-[5]QC_indicators!$B$2)&gt;3*[5]QC_indicators!$C$2,"C ratio",IF(ISNUMBER(BY829),IF(ABS(BY829-[5]QC_indicators!$B$1)&gt;3*[5]QC_indicators!$C$1,"DF","no"))),IF(ISNUMBER(BY829),IF(ABS(BY829-[5]QC_indicators!$B$1)&gt;3*[5]QC_indicators!$C$1,"DF","no")))</f>
        <v>no</v>
      </c>
      <c r="ER829" s="149" t="s">
        <v>349</v>
      </c>
      <c r="ET829" s="264" t="s">
        <v>3272</v>
      </c>
    </row>
    <row r="830" spans="1:150" ht="15" hidden="1" customHeight="1">
      <c r="A830" s="1" t="s">
        <v>247</v>
      </c>
      <c r="B830" t="s">
        <v>799</v>
      </c>
      <c r="C830" t="s">
        <v>800</v>
      </c>
      <c r="D830" t="s">
        <v>801</v>
      </c>
      <c r="E830" t="s">
        <v>802</v>
      </c>
      <c r="F830" t="s">
        <v>803</v>
      </c>
      <c r="G830" t="s">
        <v>253</v>
      </c>
      <c r="H830" t="s">
        <v>254</v>
      </c>
      <c r="I830">
        <v>2020</v>
      </c>
      <c r="J830">
        <v>15</v>
      </c>
      <c r="K830" t="s">
        <v>804</v>
      </c>
      <c r="M830" t="str">
        <f t="shared" si="905"/>
        <v>Jayalath_2020</v>
      </c>
      <c r="N830" t="s">
        <v>222</v>
      </c>
      <c r="O830" s="145" t="s">
        <v>513</v>
      </c>
      <c r="Q830" t="s">
        <v>256</v>
      </c>
      <c r="R830" s="262" t="s">
        <v>225</v>
      </c>
      <c r="S830" s="1" t="s">
        <v>809</v>
      </c>
      <c r="T830" t="s">
        <v>810</v>
      </c>
      <c r="U830" t="s">
        <v>259</v>
      </c>
      <c r="V830">
        <v>0</v>
      </c>
      <c r="W830">
        <v>0</v>
      </c>
      <c r="X830">
        <v>0</v>
      </c>
      <c r="Y830">
        <v>0</v>
      </c>
      <c r="Z830">
        <v>0</v>
      </c>
      <c r="AA830">
        <v>0</v>
      </c>
      <c r="AB830">
        <v>0</v>
      </c>
      <c r="AC830">
        <v>0</v>
      </c>
      <c r="AD830">
        <v>0</v>
      </c>
      <c r="AE830">
        <v>0</v>
      </c>
      <c r="AF830">
        <v>0</v>
      </c>
      <c r="AG830">
        <v>0</v>
      </c>
      <c r="AH830">
        <v>0</v>
      </c>
      <c r="AI830">
        <v>0</v>
      </c>
      <c r="AJ830">
        <v>0</v>
      </c>
      <c r="AK830">
        <v>1</v>
      </c>
      <c r="AL830">
        <v>0</v>
      </c>
      <c r="AM830">
        <v>0</v>
      </c>
      <c r="AN830">
        <v>0</v>
      </c>
      <c r="AO830">
        <v>0</v>
      </c>
      <c r="AP830">
        <v>0</v>
      </c>
      <c r="AQ830">
        <v>0</v>
      </c>
      <c r="AR830">
        <v>0</v>
      </c>
      <c r="AS830">
        <v>0</v>
      </c>
      <c r="AT830">
        <v>0</v>
      </c>
      <c r="AU830">
        <v>0</v>
      </c>
      <c r="AV830">
        <v>0</v>
      </c>
      <c r="AW830">
        <v>0</v>
      </c>
      <c r="AX830" s="141">
        <f t="shared" si="1016"/>
        <v>1</v>
      </c>
      <c r="AY830" s="141">
        <f t="shared" si="1017"/>
        <v>1</v>
      </c>
      <c r="AZ830">
        <f t="shared" si="1018"/>
        <v>0</v>
      </c>
      <c r="BA830">
        <f t="shared" si="1019"/>
        <v>0</v>
      </c>
      <c r="BB830">
        <f t="shared" si="1020"/>
        <v>1</v>
      </c>
      <c r="BC830">
        <f t="shared" si="1021"/>
        <v>0</v>
      </c>
      <c r="BD830">
        <f t="shared" si="1022"/>
        <v>0</v>
      </c>
      <c r="BE830" t="str">
        <f t="array" ref="BE830">IF(AY830=1,INDEX($V$7:$AL$7,MATCH(TRUE,INDEX($V830:$AW830&lt;&gt;0,),0)),IF(AY830=0,INDEX($AM$7:$AW$7,MATCH(1,$AM830:$AW830,0)),IF(BF830="Multiple strategies","mixed drivers",IF(BF830="Supply chain","multiple supply","multiple silviculture"))))</f>
        <v>technologies/design switch</v>
      </c>
      <c r="BF830" s="2" t="str" cm="1">
        <f t="array" ref="BF830">IF(COUNTIF(AZ830:BB830,"&lt;&gt;0")=1,INDEX($V$4:$AW$4,MATCH(TRUE,INDEX($V830:$AW830&lt;&gt;0,),0)),IF(COUNTIF(AZ830:BB830,"&lt;&gt;0")=0,INDEX($AM$4:$AW$4,MATCH(1,$AM830:$AW830,0)),"Multiple strategies"))</f>
        <v>Technology</v>
      </c>
      <c r="BG830" s="1" t="s">
        <v>229</v>
      </c>
      <c r="BH830" t="s">
        <v>808</v>
      </c>
      <c r="BI830" s="260" t="s">
        <v>3339</v>
      </c>
      <c r="BJ830" t="s">
        <v>345</v>
      </c>
      <c r="BK830" s="264">
        <v>0</v>
      </c>
      <c r="BL830" s="264">
        <f>119193+8552+2924</f>
        <v>130669</v>
      </c>
      <c r="BN830">
        <f>BL830-BK830</f>
        <v>130669</v>
      </c>
      <c r="BO830">
        <f>BN830*kg_to_m3</f>
        <v>266.67142857142858</v>
      </c>
      <c r="BP830" t="s">
        <v>395</v>
      </c>
      <c r="BQ830" s="260" t="s">
        <v>3343</v>
      </c>
      <c r="BR830" t="s">
        <v>812</v>
      </c>
      <c r="BS830">
        <f>(1387+293)+35+7</f>
        <v>1722</v>
      </c>
      <c r="BT830">
        <f>687+353+28+3</f>
        <v>1071</v>
      </c>
      <c r="BU830" s="144">
        <f t="shared" si="1023"/>
        <v>0.62195121951219512</v>
      </c>
      <c r="BV830">
        <f t="shared" si="1024"/>
        <v>-651</v>
      </c>
      <c r="BX830">
        <f>BV830</f>
        <v>-651</v>
      </c>
      <c r="BY830">
        <f t="shared" si="994"/>
        <v>-2.4412064070284458</v>
      </c>
      <c r="BZ830">
        <v>0</v>
      </c>
      <c r="CA830">
        <v>0</v>
      </c>
      <c r="CB830">
        <v>0</v>
      </c>
      <c r="CC830">
        <v>0</v>
      </c>
      <c r="CD830">
        <v>0</v>
      </c>
      <c r="CE830">
        <v>0</v>
      </c>
      <c r="CF830">
        <v>0</v>
      </c>
      <c r="CG830">
        <v>0</v>
      </c>
      <c r="CH830">
        <v>0</v>
      </c>
      <c r="CI830">
        <v>0</v>
      </c>
      <c r="CJ830">
        <v>0</v>
      </c>
      <c r="CK830">
        <v>0</v>
      </c>
      <c r="CL830">
        <v>0</v>
      </c>
      <c r="CM830">
        <v>1</v>
      </c>
      <c r="CN830" t="str">
        <f t="shared" si="1043"/>
        <v>refOK</v>
      </c>
      <c r="CO830">
        <f t="shared" si="1025"/>
        <v>0</v>
      </c>
      <c r="CP830">
        <f t="shared" si="1026"/>
        <v>130669</v>
      </c>
      <c r="CQ830">
        <f t="shared" si="1027"/>
        <v>266.67142857142858</v>
      </c>
      <c r="CR830">
        <f t="shared" si="1028"/>
        <v>-1722</v>
      </c>
      <c r="CS830">
        <f t="shared" si="1029"/>
        <v>-1071</v>
      </c>
      <c r="CT830">
        <f t="shared" si="1030"/>
        <v>651</v>
      </c>
      <c r="CU830">
        <f t="shared" si="1031"/>
        <v>2.4412064070284458</v>
      </c>
      <c r="CV830" s="2">
        <f t="shared" si="1032"/>
        <v>0.37804878048780488</v>
      </c>
      <c r="CW830" s="1" t="s">
        <v>347</v>
      </c>
      <c r="CX830" t="str">
        <f t="shared" si="1033"/>
        <v>loc</v>
      </c>
      <c r="CY830" t="s">
        <v>574</v>
      </c>
      <c r="DB830">
        <v>0</v>
      </c>
      <c r="DC830" t="str">
        <f t="shared" si="1034"/>
        <v>0</v>
      </c>
      <c r="DD830">
        <v>0</v>
      </c>
      <c r="DE830">
        <v>0</v>
      </c>
      <c r="DF830">
        <v>0</v>
      </c>
      <c r="DG830">
        <v>1</v>
      </c>
      <c r="DI830">
        <f t="shared" si="1035"/>
        <v>1</v>
      </c>
      <c r="DJ830" t="str">
        <f t="shared" si="1036"/>
        <v>TimberInput</v>
      </c>
      <c r="DK830">
        <f t="shared" si="1037"/>
        <v>0</v>
      </c>
      <c r="DL830">
        <f t="shared" si="1038"/>
        <v>0</v>
      </c>
      <c r="DM830">
        <f t="shared" si="1039"/>
        <v>0</v>
      </c>
      <c r="DN830" t="str">
        <f t="shared" si="1040"/>
        <v>Timber</v>
      </c>
      <c r="DO830">
        <v>0</v>
      </c>
      <c r="DP830">
        <v>0</v>
      </c>
      <c r="DQ830">
        <v>0</v>
      </c>
      <c r="DR830">
        <v>0</v>
      </c>
      <c r="DS830">
        <v>0</v>
      </c>
      <c r="DT830">
        <f t="shared" si="1041"/>
        <v>0</v>
      </c>
      <c r="DU830" s="143" t="str">
        <f t="shared" si="1042"/>
        <v>explicit C balance</v>
      </c>
      <c r="DV830">
        <v>0</v>
      </c>
      <c r="DW830">
        <v>0</v>
      </c>
      <c r="DX830">
        <v>0</v>
      </c>
      <c r="DY830">
        <v>0</v>
      </c>
      <c r="DZ830">
        <v>0</v>
      </c>
      <c r="EA830">
        <v>1</v>
      </c>
      <c r="EB830">
        <v>0</v>
      </c>
      <c r="EC830">
        <v>1</v>
      </c>
      <c r="ED830">
        <v>1</v>
      </c>
      <c r="EE830">
        <v>1</v>
      </c>
      <c r="EF830">
        <v>0</v>
      </c>
      <c r="EG830">
        <v>0</v>
      </c>
      <c r="EH830">
        <v>0</v>
      </c>
      <c r="EI830" s="2">
        <v>0</v>
      </c>
      <c r="EK830" t="str">
        <f>IF(AND(AND(AND(OR($DX830=1,$DW830=1),OR($EC830=1,$EA830=1)),SUM($DV830:$DZ830,$EF830)&gt;=4),SUM($EA830:$EE830)&gt;=2),"Whole sector","")</f>
        <v/>
      </c>
      <c r="EL830" t="str">
        <f>IF(AND(AND(OR($DX830=1,$DW830=1),AND($EC830=0,$EA830=0)),SUM($DV830:$DZ830,$EF830)&gt;=4),"Ecosystem approach","")</f>
        <v/>
      </c>
      <c r="EM830" s="2" t="str">
        <f t="shared" si="995"/>
        <v>Technology approach</v>
      </c>
      <c r="EP830" t="str">
        <f>IF(ISNUMBER(BU830),IF(ABS(BU830-[5]QC_indicators!$B$2)&gt;3*[5]QC_indicators!$C$2,"C ratio",IF(ISNUMBER(BY830),IF(ABS(BY830-[5]QC_indicators!$B$1)&gt;3*[5]QC_indicators!$C$1,"DF","no"))),IF(ISNUMBER(BY830),IF(ABS(BY830-[5]QC_indicators!$B$1)&gt;3*[5]QC_indicators!$C$1,"DF","no")))</f>
        <v>no</v>
      </c>
      <c r="ER830" s="149" t="s">
        <v>349</v>
      </c>
      <c r="ET830" s="264" t="s">
        <v>3272</v>
      </c>
    </row>
    <row r="831" spans="1:150" ht="15" hidden="1" customHeight="1">
      <c r="A831" s="1" t="s">
        <v>247</v>
      </c>
      <c r="B831" t="s">
        <v>799</v>
      </c>
      <c r="C831" t="s">
        <v>800</v>
      </c>
      <c r="D831" t="s">
        <v>801</v>
      </c>
      <c r="E831" t="s">
        <v>802</v>
      </c>
      <c r="F831" t="s">
        <v>803</v>
      </c>
      <c r="G831" t="s">
        <v>253</v>
      </c>
      <c r="H831" t="s">
        <v>254</v>
      </c>
      <c r="I831">
        <v>2020</v>
      </c>
      <c r="J831">
        <v>15</v>
      </c>
      <c r="K831" t="s">
        <v>804</v>
      </c>
      <c r="M831" t="str">
        <f t="shared" si="905"/>
        <v>Jayalath_2020</v>
      </c>
      <c r="N831" t="s">
        <v>222</v>
      </c>
      <c r="O831" s="145" t="s">
        <v>513</v>
      </c>
      <c r="Q831" t="s">
        <v>256</v>
      </c>
      <c r="R831" s="262" t="s">
        <v>225</v>
      </c>
      <c r="S831" s="1" t="s">
        <v>809</v>
      </c>
      <c r="T831" t="s">
        <v>810</v>
      </c>
      <c r="U831" t="s">
        <v>259</v>
      </c>
      <c r="V831">
        <v>0</v>
      </c>
      <c r="W831">
        <v>0</v>
      </c>
      <c r="X831">
        <v>0</v>
      </c>
      <c r="Y831">
        <v>0</v>
      </c>
      <c r="Z831">
        <v>0</v>
      </c>
      <c r="AA831">
        <v>0</v>
      </c>
      <c r="AB831">
        <v>0</v>
      </c>
      <c r="AC831">
        <v>0</v>
      </c>
      <c r="AD831">
        <v>0</v>
      </c>
      <c r="AE831">
        <v>0</v>
      </c>
      <c r="AF831">
        <v>0</v>
      </c>
      <c r="AG831">
        <v>0</v>
      </c>
      <c r="AH831">
        <v>0</v>
      </c>
      <c r="AI831">
        <v>0</v>
      </c>
      <c r="AJ831">
        <v>0</v>
      </c>
      <c r="AK831">
        <v>1</v>
      </c>
      <c r="AL831">
        <v>0</v>
      </c>
      <c r="AM831">
        <v>0</v>
      </c>
      <c r="AN831">
        <v>0</v>
      </c>
      <c r="AO831">
        <v>0</v>
      </c>
      <c r="AP831">
        <v>0</v>
      </c>
      <c r="AQ831">
        <v>0</v>
      </c>
      <c r="AR831">
        <v>0</v>
      </c>
      <c r="AS831">
        <v>0</v>
      </c>
      <c r="AT831">
        <v>0</v>
      </c>
      <c r="AU831">
        <v>0</v>
      </c>
      <c r="AV831">
        <v>0</v>
      </c>
      <c r="AW831">
        <v>0</v>
      </c>
      <c r="AX831" s="141">
        <f t="shared" si="1016"/>
        <v>1</v>
      </c>
      <c r="AY831" s="141">
        <f t="shared" si="1017"/>
        <v>1</v>
      </c>
      <c r="AZ831">
        <f t="shared" si="1018"/>
        <v>0</v>
      </c>
      <c r="BA831">
        <f t="shared" si="1019"/>
        <v>0</v>
      </c>
      <c r="BB831">
        <f t="shared" si="1020"/>
        <v>1</v>
      </c>
      <c r="BC831">
        <f t="shared" si="1021"/>
        <v>0</v>
      </c>
      <c r="BD831">
        <f t="shared" si="1022"/>
        <v>0</v>
      </c>
      <c r="BE831" t="str">
        <f t="array" ref="BE831">IF(AY831=1,INDEX($V$7:$AL$7,MATCH(TRUE,INDEX($V831:$AW831&lt;&gt;0,),0)),IF(AY831=0,INDEX($AM$7:$AW$7,MATCH(1,$AM831:$AW831,0)),IF(BF831="Multiple strategies","mixed drivers",IF(BF831="Supply chain","multiple supply","multiple silviculture"))))</f>
        <v>technologies/design switch</v>
      </c>
      <c r="BF831" s="2" t="str" cm="1">
        <f t="array" ref="BF831">IF(COUNTIF(AZ831:BB831,"&lt;&gt;0")=1,INDEX($V$4:$AW$4,MATCH(TRUE,INDEX($V831:$AW831&lt;&gt;0,),0)),IF(COUNTIF(AZ831:BB831,"&lt;&gt;0")=0,INDEX($AM$4:$AW$4,MATCH(1,$AM831:$AW831,0)),"Multiple strategies"))</f>
        <v>Technology</v>
      </c>
      <c r="BG831" s="1" t="s">
        <v>229</v>
      </c>
      <c r="BH831" t="s">
        <v>808</v>
      </c>
      <c r="BI831" s="260" t="s">
        <v>3339</v>
      </c>
      <c r="BJ831" t="s">
        <v>345</v>
      </c>
      <c r="BK831" s="264">
        <v>0</v>
      </c>
      <c r="BL831" s="264">
        <v>130669</v>
      </c>
      <c r="BN831">
        <f>BL831-BK831</f>
        <v>130669</v>
      </c>
      <c r="BO831">
        <f>BN831*kg_to_m3</f>
        <v>266.67142857142858</v>
      </c>
      <c r="BP831" t="s">
        <v>395</v>
      </c>
      <c r="BQ831" s="260" t="s">
        <v>3343</v>
      </c>
      <c r="BR831" t="s">
        <v>812</v>
      </c>
      <c r="BS831">
        <f>(1387+293)</f>
        <v>1680</v>
      </c>
      <c r="BT831">
        <f>687+353</f>
        <v>1040</v>
      </c>
      <c r="BU831" s="144">
        <f t="shared" si="1023"/>
        <v>0.61904761904761907</v>
      </c>
      <c r="BV831">
        <f t="shared" si="1024"/>
        <v>-640</v>
      </c>
      <c r="BX831">
        <f>BV831</f>
        <v>-640</v>
      </c>
      <c r="BY831">
        <f t="shared" si="994"/>
        <v>-2.3999571436224354</v>
      </c>
      <c r="BZ831">
        <v>0</v>
      </c>
      <c r="CA831">
        <v>0</v>
      </c>
      <c r="CB831">
        <v>0</v>
      </c>
      <c r="CC831">
        <v>0</v>
      </c>
      <c r="CD831">
        <v>0</v>
      </c>
      <c r="CE831">
        <v>0</v>
      </c>
      <c r="CF831">
        <v>0</v>
      </c>
      <c r="CG831">
        <v>0</v>
      </c>
      <c r="CH831">
        <v>0</v>
      </c>
      <c r="CI831">
        <v>0</v>
      </c>
      <c r="CJ831">
        <v>0</v>
      </c>
      <c r="CK831">
        <v>0</v>
      </c>
      <c r="CL831">
        <v>0</v>
      </c>
      <c r="CM831">
        <v>1</v>
      </c>
      <c r="CN831" t="str">
        <f t="shared" si="1043"/>
        <v>refOK</v>
      </c>
      <c r="CO831">
        <f t="shared" si="1025"/>
        <v>0</v>
      </c>
      <c r="CP831">
        <f t="shared" si="1026"/>
        <v>130669</v>
      </c>
      <c r="CQ831">
        <f t="shared" si="1027"/>
        <v>266.67142857142858</v>
      </c>
      <c r="CR831">
        <f t="shared" si="1028"/>
        <v>-1680</v>
      </c>
      <c r="CS831">
        <f t="shared" si="1029"/>
        <v>-1040</v>
      </c>
      <c r="CT831">
        <f t="shared" si="1030"/>
        <v>640</v>
      </c>
      <c r="CU831">
        <f t="shared" si="1031"/>
        <v>2.3999571436224354</v>
      </c>
      <c r="CV831" s="2">
        <f t="shared" si="1032"/>
        <v>0.38095238095238093</v>
      </c>
      <c r="CW831" s="1" t="s">
        <v>347</v>
      </c>
      <c r="CX831" t="str">
        <f t="shared" si="1033"/>
        <v>loc</v>
      </c>
      <c r="CY831" t="s">
        <v>574</v>
      </c>
      <c r="DB831">
        <v>0</v>
      </c>
      <c r="DC831" t="str">
        <f t="shared" si="1034"/>
        <v>0</v>
      </c>
      <c r="DD831">
        <v>0</v>
      </c>
      <c r="DE831">
        <v>0</v>
      </c>
      <c r="DF831">
        <v>0</v>
      </c>
      <c r="DG831">
        <v>1</v>
      </c>
      <c r="DI831">
        <f t="shared" si="1035"/>
        <v>1</v>
      </c>
      <c r="DJ831" t="str">
        <f t="shared" si="1036"/>
        <v>TimberInput</v>
      </c>
      <c r="DK831">
        <f t="shared" si="1037"/>
        <v>0</v>
      </c>
      <c r="DL831">
        <f t="shared" si="1038"/>
        <v>0</v>
      </c>
      <c r="DM831">
        <f t="shared" si="1039"/>
        <v>0</v>
      </c>
      <c r="DN831" t="str">
        <f t="shared" si="1040"/>
        <v>Timber</v>
      </c>
      <c r="DO831">
        <v>0</v>
      </c>
      <c r="DP831">
        <v>0</v>
      </c>
      <c r="DQ831">
        <v>0</v>
      </c>
      <c r="DR831">
        <v>0</v>
      </c>
      <c r="DS831">
        <v>0</v>
      </c>
      <c r="DT831">
        <f t="shared" si="1041"/>
        <v>0</v>
      </c>
      <c r="DU831" s="143" t="str">
        <f t="shared" si="1042"/>
        <v>explicit C balance</v>
      </c>
      <c r="DV831">
        <v>0</v>
      </c>
      <c r="DW831">
        <v>0</v>
      </c>
      <c r="DX831">
        <v>0</v>
      </c>
      <c r="DY831">
        <v>0</v>
      </c>
      <c r="DZ831">
        <v>0</v>
      </c>
      <c r="EA831">
        <v>0</v>
      </c>
      <c r="EB831">
        <v>0</v>
      </c>
      <c r="EC831">
        <v>1</v>
      </c>
      <c r="ED831">
        <v>1</v>
      </c>
      <c r="EE831">
        <v>0</v>
      </c>
      <c r="EF831">
        <v>0</v>
      </c>
      <c r="EG831">
        <v>0</v>
      </c>
      <c r="EH831">
        <v>0</v>
      </c>
      <c r="EI831" s="2">
        <v>0</v>
      </c>
      <c r="EK831" t="str">
        <f>IF(AND(AND(AND(OR($DX831=1,$DW831=1),OR($EC831=1,$EA831=1)),SUM($DV831:$DZ831,$EF831)&gt;=4),SUM($EA831:$EE831)&gt;=2),"Whole sector","")</f>
        <v/>
      </c>
      <c r="EL831" t="str">
        <f>IF(AND(AND(OR($DX831=1,$DW831=1),AND($EC831=0,$EA831=0)),SUM($DV831:$DZ831,$EF831)&gt;=4),"Ecosystem approach","")</f>
        <v/>
      </c>
      <c r="EM831" s="2" t="str">
        <f t="shared" si="995"/>
        <v>Technology approach</v>
      </c>
      <c r="EP831" t="str">
        <f>IF(ISNUMBER(BU831),IF(ABS(BU831-[5]QC_indicators!$B$2)&gt;3*[5]QC_indicators!$C$2,"C ratio",IF(ISNUMBER(BY831),IF(ABS(BY831-[5]QC_indicators!$B$1)&gt;3*[5]QC_indicators!$C$1,"DF","no"))),IF(ISNUMBER(BY831),IF(ABS(BY831-[5]QC_indicators!$B$1)&gt;3*[5]QC_indicators!$C$1,"DF","no")))</f>
        <v>no</v>
      </c>
      <c r="ER831" s="149" t="s">
        <v>349</v>
      </c>
      <c r="ET831" s="264" t="s">
        <v>3272</v>
      </c>
    </row>
    <row r="832" spans="1:150" ht="15" hidden="1" customHeight="1">
      <c r="A832" s="1" t="s">
        <v>247</v>
      </c>
      <c r="B832" t="s">
        <v>799</v>
      </c>
      <c r="C832" t="s">
        <v>800</v>
      </c>
      <c r="D832" t="s">
        <v>801</v>
      </c>
      <c r="E832" t="s">
        <v>802</v>
      </c>
      <c r="F832" t="s">
        <v>803</v>
      </c>
      <c r="G832" t="s">
        <v>253</v>
      </c>
      <c r="H832" t="s">
        <v>254</v>
      </c>
      <c r="I832">
        <v>2020</v>
      </c>
      <c r="J832">
        <v>15</v>
      </c>
      <c r="K832" t="s">
        <v>804</v>
      </c>
      <c r="M832" t="str">
        <f t="shared" si="905"/>
        <v>Jayalath_2020</v>
      </c>
      <c r="N832" t="s">
        <v>222</v>
      </c>
      <c r="O832" s="145" t="s">
        <v>513</v>
      </c>
      <c r="Q832" t="s">
        <v>256</v>
      </c>
      <c r="R832" s="262" t="s">
        <v>225</v>
      </c>
      <c r="S832" s="1" t="s">
        <v>809</v>
      </c>
      <c r="T832" t="s">
        <v>810</v>
      </c>
      <c r="U832" t="s">
        <v>259</v>
      </c>
      <c r="V832">
        <v>0</v>
      </c>
      <c r="W832">
        <v>0</v>
      </c>
      <c r="X832">
        <v>0</v>
      </c>
      <c r="Y832">
        <v>0</v>
      </c>
      <c r="Z832">
        <v>0</v>
      </c>
      <c r="AA832">
        <v>0</v>
      </c>
      <c r="AB832">
        <v>0</v>
      </c>
      <c r="AC832">
        <v>0</v>
      </c>
      <c r="AD832">
        <v>0</v>
      </c>
      <c r="AE832">
        <v>0</v>
      </c>
      <c r="AF832">
        <v>0</v>
      </c>
      <c r="AG832">
        <v>0</v>
      </c>
      <c r="AH832">
        <v>0</v>
      </c>
      <c r="AI832">
        <v>0</v>
      </c>
      <c r="AJ832">
        <v>0</v>
      </c>
      <c r="AK832">
        <v>1</v>
      </c>
      <c r="AL832">
        <v>0</v>
      </c>
      <c r="AM832">
        <v>0</v>
      </c>
      <c r="AN832">
        <v>0</v>
      </c>
      <c r="AO832">
        <v>0</v>
      </c>
      <c r="AP832">
        <v>0</v>
      </c>
      <c r="AQ832">
        <v>0</v>
      </c>
      <c r="AR832">
        <v>0</v>
      </c>
      <c r="AS832">
        <v>0</v>
      </c>
      <c r="AT832">
        <v>0</v>
      </c>
      <c r="AU832">
        <v>0</v>
      </c>
      <c r="AV832">
        <v>0</v>
      </c>
      <c r="AW832">
        <v>0</v>
      </c>
      <c r="AX832" s="141">
        <f t="shared" si="1016"/>
        <v>1</v>
      </c>
      <c r="AY832" s="141">
        <f t="shared" si="1017"/>
        <v>1</v>
      </c>
      <c r="AZ832">
        <f t="shared" si="1018"/>
        <v>0</v>
      </c>
      <c r="BA832">
        <f t="shared" si="1019"/>
        <v>0</v>
      </c>
      <c r="BB832">
        <f t="shared" si="1020"/>
        <v>1</v>
      </c>
      <c r="BC832">
        <f t="shared" si="1021"/>
        <v>0</v>
      </c>
      <c r="BD832">
        <f t="shared" si="1022"/>
        <v>0</v>
      </c>
      <c r="BE832" t="str">
        <f t="array" ref="BE832">IF(AY832=1,INDEX($V$7:$AL$7,MATCH(TRUE,INDEX($V832:$AW832&lt;&gt;0,),0)),IF(AY832=0,INDEX($AM$7:$AW$7,MATCH(1,$AM832:$AW832,0)),IF(BF832="Multiple strategies","mixed drivers",IF(BF832="Supply chain","multiple supply","multiple silviculture"))))</f>
        <v>technologies/design switch</v>
      </c>
      <c r="BF832" s="2" t="str" cm="1">
        <f t="array" ref="BF832">IF(COUNTIF(AZ832:BB832,"&lt;&gt;0")=1,INDEX($V$4:$AW$4,MATCH(TRUE,INDEX($V832:$AW832&lt;&gt;0,),0)),IF(COUNTIF(AZ832:BB832,"&lt;&gt;0")=0,INDEX($AM$4:$AW$4,MATCH(1,$AM832:$AW832,0)),"Multiple strategies"))</f>
        <v>Technology</v>
      </c>
      <c r="BG832" s="1" t="s">
        <v>229</v>
      </c>
      <c r="BH832" t="s">
        <v>808</v>
      </c>
      <c r="BI832" s="260" t="s">
        <v>3339</v>
      </c>
      <c r="BJ832" t="s">
        <v>345</v>
      </c>
      <c r="BK832" s="264">
        <v>0</v>
      </c>
      <c r="BL832" s="264">
        <f>119193+8552+2924</f>
        <v>130669</v>
      </c>
      <c r="BN832">
        <f>BL832-BK832</f>
        <v>130669</v>
      </c>
      <c r="BO832">
        <f>BN832*kg_to_m3</f>
        <v>266.67142857142858</v>
      </c>
      <c r="BP832" t="s">
        <v>395</v>
      </c>
      <c r="BQ832" s="260" t="s">
        <v>3343</v>
      </c>
      <c r="BR832" t="s">
        <v>812</v>
      </c>
      <c r="BS832">
        <f>(1387+293)+35+7-161.49</f>
        <v>1560.51</v>
      </c>
      <c r="BT832">
        <f>687+353+28+3-64-64</f>
        <v>943</v>
      </c>
      <c r="BU832" s="144">
        <f t="shared" si="1023"/>
        <v>0.60428962326418922</v>
      </c>
      <c r="BV832">
        <f t="shared" si="1024"/>
        <v>-617.51</v>
      </c>
      <c r="BX832">
        <f>BV832</f>
        <v>-617.51</v>
      </c>
      <c r="BY832">
        <f t="shared" si="994"/>
        <v>-2.315621149622328</v>
      </c>
      <c r="BZ832">
        <v>0</v>
      </c>
      <c r="CA832">
        <v>0</v>
      </c>
      <c r="CB832">
        <v>0</v>
      </c>
      <c r="CC832">
        <v>0</v>
      </c>
      <c r="CD832">
        <v>0</v>
      </c>
      <c r="CE832">
        <v>0</v>
      </c>
      <c r="CF832">
        <v>0</v>
      </c>
      <c r="CG832">
        <v>0</v>
      </c>
      <c r="CH832">
        <v>0</v>
      </c>
      <c r="CI832">
        <v>0</v>
      </c>
      <c r="CJ832">
        <v>0</v>
      </c>
      <c r="CK832">
        <v>0</v>
      </c>
      <c r="CL832">
        <v>0</v>
      </c>
      <c r="CM832">
        <v>1</v>
      </c>
      <c r="CN832" t="str">
        <f t="shared" si="1043"/>
        <v>refOK</v>
      </c>
      <c r="CO832">
        <f t="shared" si="1025"/>
        <v>0</v>
      </c>
      <c r="CP832">
        <f t="shared" si="1026"/>
        <v>130669</v>
      </c>
      <c r="CQ832">
        <f t="shared" si="1027"/>
        <v>266.67142857142858</v>
      </c>
      <c r="CR832">
        <f t="shared" si="1028"/>
        <v>-1560.51</v>
      </c>
      <c r="CS832">
        <f t="shared" si="1029"/>
        <v>-943</v>
      </c>
      <c r="CT832">
        <f t="shared" si="1030"/>
        <v>617.51</v>
      </c>
      <c r="CU832">
        <f t="shared" si="1031"/>
        <v>2.315621149622328</v>
      </c>
      <c r="CV832" s="2">
        <f t="shared" si="1032"/>
        <v>0.39571037673581072</v>
      </c>
      <c r="CW832" s="1" t="s">
        <v>347</v>
      </c>
      <c r="CX832" t="str">
        <f t="shared" si="1033"/>
        <v>loc</v>
      </c>
      <c r="CY832" t="s">
        <v>574</v>
      </c>
      <c r="DB832">
        <v>0</v>
      </c>
      <c r="DC832" t="str">
        <f t="shared" si="1034"/>
        <v>0</v>
      </c>
      <c r="DD832">
        <v>0</v>
      </c>
      <c r="DE832">
        <v>0</v>
      </c>
      <c r="DF832">
        <v>0</v>
      </c>
      <c r="DG832">
        <v>1</v>
      </c>
      <c r="DI832">
        <f t="shared" si="1035"/>
        <v>1</v>
      </c>
      <c r="DJ832" t="str">
        <f t="shared" si="1036"/>
        <v>TimberInput</v>
      </c>
      <c r="DK832">
        <f t="shared" si="1037"/>
        <v>0</v>
      </c>
      <c r="DL832">
        <f t="shared" si="1038"/>
        <v>0</v>
      </c>
      <c r="DM832">
        <f t="shared" si="1039"/>
        <v>0</v>
      </c>
      <c r="DN832" t="str">
        <f t="shared" si="1040"/>
        <v>Timber</v>
      </c>
      <c r="DO832">
        <v>0</v>
      </c>
      <c r="DP832">
        <v>0</v>
      </c>
      <c r="DQ832">
        <v>0</v>
      </c>
      <c r="DR832">
        <v>0</v>
      </c>
      <c r="DS832">
        <v>0</v>
      </c>
      <c r="DT832">
        <f t="shared" si="1041"/>
        <v>0</v>
      </c>
      <c r="DU832" s="143" t="str">
        <f t="shared" si="1042"/>
        <v>explicit C balance</v>
      </c>
      <c r="DV832">
        <v>0</v>
      </c>
      <c r="DW832">
        <v>0</v>
      </c>
      <c r="DX832">
        <v>0</v>
      </c>
      <c r="DY832">
        <v>0</v>
      </c>
      <c r="DZ832">
        <v>0</v>
      </c>
      <c r="EA832">
        <v>1</v>
      </c>
      <c r="EB832">
        <v>0</v>
      </c>
      <c r="EC832">
        <v>1</v>
      </c>
      <c r="ED832">
        <v>1</v>
      </c>
      <c r="EE832">
        <v>1</v>
      </c>
      <c r="EF832">
        <v>0</v>
      </c>
      <c r="EG832">
        <v>0</v>
      </c>
      <c r="EH832">
        <v>0</v>
      </c>
      <c r="EI832" s="2">
        <v>0</v>
      </c>
      <c r="EK832" t="str">
        <f>IF(AND(AND(AND(OR($DX832=1,$DW832=1),OR($EC832=1,$EA832=1)),SUM($DV832:$DZ832,$EF832)&gt;=4),SUM($EA832:$EE832)&gt;=2),"Whole sector","")</f>
        <v/>
      </c>
      <c r="EL832" t="str">
        <f>IF(AND(AND(OR($DX832=1,$DW832=1),AND($EC832=0,$EA832=0)),SUM($DV832:$DZ832,$EF832)&gt;=4),"Ecosystem approach","")</f>
        <v/>
      </c>
      <c r="EM832" s="2" t="str">
        <f t="shared" si="995"/>
        <v>Technology approach</v>
      </c>
      <c r="EP832" t="str">
        <f>IF(ISNUMBER(BU832),IF(ABS(BU832-[5]QC_indicators!$B$2)&gt;3*[5]QC_indicators!$C$2,"C ratio",IF(ISNUMBER(BY832),IF(ABS(BY832-[5]QC_indicators!$B$1)&gt;3*[5]QC_indicators!$C$1,"DF","no"))),IF(ISNUMBER(BY832),IF(ABS(BY832-[5]QC_indicators!$B$1)&gt;3*[5]QC_indicators!$C$1,"DF","no")))</f>
        <v>no</v>
      </c>
      <c r="ER832" s="149" t="s">
        <v>349</v>
      </c>
      <c r="ET832" s="264" t="s">
        <v>3272</v>
      </c>
    </row>
    <row r="833" spans="1:151" ht="15" hidden="1" customHeight="1">
      <c r="A833" s="1" t="s">
        <v>247</v>
      </c>
      <c r="B833" t="s">
        <v>799</v>
      </c>
      <c r="C833" t="s">
        <v>800</v>
      </c>
      <c r="D833" t="s">
        <v>801</v>
      </c>
      <c r="E833" t="s">
        <v>802</v>
      </c>
      <c r="F833" t="s">
        <v>803</v>
      </c>
      <c r="G833" t="s">
        <v>253</v>
      </c>
      <c r="H833" t="s">
        <v>254</v>
      </c>
      <c r="I833">
        <v>2020</v>
      </c>
      <c r="J833">
        <v>15</v>
      </c>
      <c r="K833" t="s">
        <v>804</v>
      </c>
      <c r="M833" t="str">
        <f t="shared" ref="M833:M896" si="1044">LEFT($D833,FIND(",",$D833)-1)&amp;"_"&amp;I833&amp;L833</f>
        <v>Jayalath_2020</v>
      </c>
      <c r="N833" t="s">
        <v>222</v>
      </c>
      <c r="O833" s="145" t="s">
        <v>513</v>
      </c>
      <c r="Q833" t="s">
        <v>256</v>
      </c>
      <c r="R833" s="262" t="s">
        <v>225</v>
      </c>
      <c r="S833" s="1" t="s">
        <v>805</v>
      </c>
      <c r="T833" t="s">
        <v>806</v>
      </c>
      <c r="U833" t="s">
        <v>807</v>
      </c>
      <c r="V833">
        <v>0</v>
      </c>
      <c r="W833">
        <v>0</v>
      </c>
      <c r="X833">
        <v>0</v>
      </c>
      <c r="Y833">
        <v>0</v>
      </c>
      <c r="Z833">
        <v>0</v>
      </c>
      <c r="AA833">
        <v>0</v>
      </c>
      <c r="AB833">
        <v>0</v>
      </c>
      <c r="AC833">
        <v>0</v>
      </c>
      <c r="AD833">
        <v>0</v>
      </c>
      <c r="AE833">
        <v>1</v>
      </c>
      <c r="AF833">
        <v>0</v>
      </c>
      <c r="AG833">
        <v>0</v>
      </c>
      <c r="AH833">
        <v>0</v>
      </c>
      <c r="AI833">
        <v>0</v>
      </c>
      <c r="AJ833">
        <v>0</v>
      </c>
      <c r="AK833">
        <v>0</v>
      </c>
      <c r="AL833">
        <v>0</v>
      </c>
      <c r="AM833">
        <v>0</v>
      </c>
      <c r="AN833">
        <v>0</v>
      </c>
      <c r="AO833">
        <v>0</v>
      </c>
      <c r="AP833">
        <v>0</v>
      </c>
      <c r="AQ833">
        <v>0</v>
      </c>
      <c r="AR833">
        <v>0</v>
      </c>
      <c r="AS833">
        <v>0</v>
      </c>
      <c r="AT833">
        <v>0</v>
      </c>
      <c r="AU833">
        <v>0</v>
      </c>
      <c r="AV833">
        <v>0</v>
      </c>
      <c r="AW833">
        <v>0</v>
      </c>
      <c r="AX833" s="141">
        <f t="shared" si="1016"/>
        <v>1</v>
      </c>
      <c r="AY833" s="141">
        <f t="shared" si="1017"/>
        <v>1</v>
      </c>
      <c r="AZ833">
        <f t="shared" si="1018"/>
        <v>0</v>
      </c>
      <c r="BA833">
        <f t="shared" si="1019"/>
        <v>1</v>
      </c>
      <c r="BB833">
        <f t="shared" si="1020"/>
        <v>0</v>
      </c>
      <c r="BC833">
        <f t="shared" si="1021"/>
        <v>0</v>
      </c>
      <c r="BD833">
        <f t="shared" si="1022"/>
        <v>0</v>
      </c>
      <c r="BE833" t="str">
        <f t="array" ref="BE833">IF(AY833=1,INDEX($V$7:$AL$7,MATCH(TRUE,INDEX($V833:$AW833&lt;&gt;0,),0)),IF(AY833=0,INDEX($AM$7:$AW$7,MATCH(1,$AM833:$AW833,0)),IF(BF833="Multiple strategies","mixed drivers",IF(BF833="Supply chain","multiple supply","multiple silviculture"))))</f>
        <v>location of industry</v>
      </c>
      <c r="BF833" s="2" t="str" cm="1">
        <f t="array" ref="BF833">IF(COUNTIF(AZ833:BB833,"&lt;&gt;0")=1,INDEX($V$4:$AW$4,MATCH(TRUE,INDEX($V833:$AW833&lt;&gt;0,),0)),IF(COUNTIF(AZ833:BB833,"&lt;&gt;0")=0,INDEX($AM$4:$AW$4,MATCH(1,$AM833:$AW833,0)),"Multiple strategies"))</f>
        <v>Supply chain</v>
      </c>
      <c r="BG833" s="1" t="s">
        <v>229</v>
      </c>
      <c r="BH833" t="s">
        <v>808</v>
      </c>
      <c r="BI833" s="260" t="s">
        <v>3339</v>
      </c>
      <c r="BJ833" t="s">
        <v>345</v>
      </c>
      <c r="BK833" s="264">
        <f>119193+8552+2924</f>
        <v>130669</v>
      </c>
      <c r="BL833" s="264">
        <f>119193+8552+2924</f>
        <v>130669</v>
      </c>
      <c r="BN833">
        <f>BL833-BK833</f>
        <v>0</v>
      </c>
      <c r="BO833">
        <f>BN833*kg_to_m3</f>
        <v>0</v>
      </c>
      <c r="BP833" t="s">
        <v>395</v>
      </c>
      <c r="BQ833" s="260" t="s">
        <v>3340</v>
      </c>
      <c r="BR833" s="264" t="s">
        <v>3341</v>
      </c>
      <c r="BS833">
        <f>0.538+0.438-0.083</f>
        <v>0.89300000000000002</v>
      </c>
      <c r="BT833">
        <f>0.526+0.314-0.083</f>
        <v>0.75700000000000012</v>
      </c>
      <c r="BU833" s="144">
        <f t="shared" si="1023"/>
        <v>0.84770436730123189</v>
      </c>
      <c r="BV833">
        <f t="shared" si="1024"/>
        <v>-0.1359999999999999</v>
      </c>
      <c r="BX833">
        <f>BV833</f>
        <v>-0.1359999999999999</v>
      </c>
      <c r="BY833" t="str">
        <f t="shared" si="994"/>
        <v/>
      </c>
      <c r="BZ833">
        <v>0</v>
      </c>
      <c r="CA833">
        <v>0</v>
      </c>
      <c r="CB833">
        <v>0</v>
      </c>
      <c r="CC833">
        <v>0</v>
      </c>
      <c r="CD833">
        <v>0</v>
      </c>
      <c r="CE833">
        <v>0</v>
      </c>
      <c r="CF833">
        <v>0</v>
      </c>
      <c r="CG833">
        <v>0</v>
      </c>
      <c r="CH833">
        <v>0</v>
      </c>
      <c r="CI833">
        <v>0</v>
      </c>
      <c r="CJ833">
        <v>0</v>
      </c>
      <c r="CK833">
        <v>0</v>
      </c>
      <c r="CL833">
        <v>0</v>
      </c>
      <c r="CM833">
        <v>1</v>
      </c>
      <c r="CN833" t="str">
        <f t="shared" si="1043"/>
        <v>refOK</v>
      </c>
      <c r="CO833">
        <f t="shared" si="1025"/>
        <v>130669</v>
      </c>
      <c r="CP833">
        <f t="shared" si="1026"/>
        <v>130669</v>
      </c>
      <c r="CQ833">
        <f t="shared" si="1027"/>
        <v>0</v>
      </c>
      <c r="CR833">
        <f t="shared" si="1028"/>
        <v>-0.89300000000000002</v>
      </c>
      <c r="CS833">
        <f t="shared" si="1029"/>
        <v>-0.75700000000000012</v>
      </c>
      <c r="CT833">
        <f t="shared" si="1030"/>
        <v>0.1359999999999999</v>
      </c>
      <c r="CU833" t="str">
        <f t="shared" si="1031"/>
        <v/>
      </c>
      <c r="CV833" s="2">
        <f t="shared" si="1032"/>
        <v>0.15229563269876809</v>
      </c>
      <c r="CW833" s="1" t="s">
        <v>347</v>
      </c>
      <c r="CX833" t="str">
        <f t="shared" si="1033"/>
        <v>loc</v>
      </c>
      <c r="CY833" t="s">
        <v>574</v>
      </c>
      <c r="DB833">
        <v>0</v>
      </c>
      <c r="DC833" t="str">
        <f t="shared" si="1034"/>
        <v>0</v>
      </c>
      <c r="DD833">
        <v>0</v>
      </c>
      <c r="DE833">
        <v>0</v>
      </c>
      <c r="DF833">
        <v>0</v>
      </c>
      <c r="DG833">
        <v>1</v>
      </c>
      <c r="DI833">
        <f t="shared" si="1035"/>
        <v>1</v>
      </c>
      <c r="DJ833" t="str">
        <f t="shared" si="1036"/>
        <v>TimberInput</v>
      </c>
      <c r="DK833">
        <f t="shared" si="1037"/>
        <v>0</v>
      </c>
      <c r="DL833">
        <f t="shared" si="1038"/>
        <v>0</v>
      </c>
      <c r="DM833">
        <f t="shared" si="1039"/>
        <v>0</v>
      </c>
      <c r="DN833" t="str">
        <f t="shared" si="1040"/>
        <v>Timber</v>
      </c>
      <c r="DO833">
        <v>0</v>
      </c>
      <c r="DP833">
        <v>0</v>
      </c>
      <c r="DQ833">
        <v>0</v>
      </c>
      <c r="DR833">
        <v>0</v>
      </c>
      <c r="DS833">
        <v>0</v>
      </c>
      <c r="DT833">
        <f t="shared" si="1041"/>
        <v>0</v>
      </c>
      <c r="DU833" s="143" t="str">
        <f t="shared" si="1042"/>
        <v>explicit C balance</v>
      </c>
      <c r="DV833">
        <v>0</v>
      </c>
      <c r="DW833">
        <v>0</v>
      </c>
      <c r="DX833">
        <v>0</v>
      </c>
      <c r="DY833">
        <v>0</v>
      </c>
      <c r="DZ833">
        <v>0</v>
      </c>
      <c r="EA833">
        <v>1</v>
      </c>
      <c r="EB833">
        <v>0</v>
      </c>
      <c r="EC833">
        <v>1</v>
      </c>
      <c r="ED833">
        <v>1</v>
      </c>
      <c r="EE833">
        <v>1</v>
      </c>
      <c r="EF833">
        <v>0</v>
      </c>
      <c r="EG833">
        <v>0</v>
      </c>
      <c r="EH833">
        <v>0</v>
      </c>
      <c r="EI833" s="2">
        <v>0</v>
      </c>
      <c r="EK833" t="str">
        <f>IF(AND(AND(AND(OR($DX833=1,$DW833=1),OR($EC833=1,$EA833=1)),SUM($DV833:$DZ833,$EF833)&gt;=4),SUM($EA833:$EE833)&gt;=2),"Whole sector","")</f>
        <v/>
      </c>
      <c r="EL833" t="str">
        <f>IF(AND(AND(OR($DX833=1,$DW833=1),AND($EC833=0,$EA833=0)),SUM($DV833:$DZ833,$EF833)&gt;=4),"Ecosystem approach","")</f>
        <v/>
      </c>
      <c r="EM833" s="2" t="str">
        <f t="shared" si="995"/>
        <v>Technology approach</v>
      </c>
      <c r="EP833" t="b">
        <f>IF(ISNUMBER(BU833),IF(ABS(BU833-[5]QC_indicators!$B$2)&gt;3*[5]QC_indicators!$C$2,"C ratio",IF(ISNUMBER(BY833),IF(ABS(BY833-[5]QC_indicators!$B$1)&gt;3*[5]QC_indicators!$C$1,"DF","no"))),IF(ISNUMBER(BY833),IF(ABS(BY833-[5]QC_indicators!$B$1)&gt;3*[5]QC_indicators!$C$1,"DF","no")))</f>
        <v>0</v>
      </c>
      <c r="ER833" s="149" t="s">
        <v>349</v>
      </c>
      <c r="ET833" s="264" t="s">
        <v>3272</v>
      </c>
    </row>
    <row r="834" spans="1:151" ht="15" hidden="1" customHeight="1">
      <c r="A834" s="1" t="s">
        <v>3753</v>
      </c>
      <c r="B834" t="s">
        <v>3754</v>
      </c>
      <c r="C834" t="s">
        <v>3755</v>
      </c>
      <c r="D834" t="s">
        <v>3756</v>
      </c>
      <c r="E834" t="s">
        <v>3757</v>
      </c>
      <c r="F834" t="s">
        <v>3758</v>
      </c>
      <c r="G834" t="s">
        <v>3759</v>
      </c>
      <c r="H834" t="s">
        <v>254</v>
      </c>
      <c r="I834">
        <v>2019</v>
      </c>
      <c r="J834">
        <v>12</v>
      </c>
      <c r="K834" t="s">
        <v>3760</v>
      </c>
      <c r="M834" t="str">
        <f t="shared" si="1044"/>
        <v>Jia_2019</v>
      </c>
      <c r="N834" s="311" t="s">
        <v>4382</v>
      </c>
      <c r="O834" s="145" t="s">
        <v>513</v>
      </c>
      <c r="Q834" s="311" t="s">
        <v>256</v>
      </c>
      <c r="R834" s="312"/>
      <c r="S834" s="1" t="s">
        <v>3761</v>
      </c>
      <c r="T834" t="s">
        <v>3762</v>
      </c>
      <c r="U834" t="s">
        <v>3763</v>
      </c>
      <c r="V834">
        <v>0</v>
      </c>
      <c r="W834">
        <v>0</v>
      </c>
      <c r="X834">
        <v>0</v>
      </c>
      <c r="Y834">
        <v>0</v>
      </c>
      <c r="Z834">
        <v>0</v>
      </c>
      <c r="AA834">
        <v>0</v>
      </c>
      <c r="AB834">
        <v>0</v>
      </c>
      <c r="AC834">
        <v>0</v>
      </c>
      <c r="AD834">
        <v>0</v>
      </c>
      <c r="AE834">
        <v>0</v>
      </c>
      <c r="AF834">
        <v>0</v>
      </c>
      <c r="AG834">
        <v>0</v>
      </c>
      <c r="AH834">
        <v>0</v>
      </c>
      <c r="AI834">
        <v>0</v>
      </c>
      <c r="AJ834">
        <v>0</v>
      </c>
      <c r="AK834">
        <v>1</v>
      </c>
      <c r="AL834">
        <v>0</v>
      </c>
      <c r="AM834">
        <v>0</v>
      </c>
      <c r="AN834">
        <v>0</v>
      </c>
      <c r="AO834">
        <v>0</v>
      </c>
      <c r="AP834">
        <v>0</v>
      </c>
      <c r="AQ834">
        <v>0</v>
      </c>
      <c r="AR834">
        <v>0</v>
      </c>
      <c r="AS834">
        <v>0</v>
      </c>
      <c r="AT834">
        <v>0</v>
      </c>
      <c r="AU834">
        <v>0</v>
      </c>
      <c r="AV834">
        <v>0</v>
      </c>
      <c r="AW834">
        <v>0</v>
      </c>
      <c r="AX834" s="141">
        <f t="shared" si="1016"/>
        <v>1</v>
      </c>
      <c r="AY834" s="141">
        <f t="shared" si="1017"/>
        <v>1</v>
      </c>
      <c r="AZ834">
        <f t="shared" si="1018"/>
        <v>0</v>
      </c>
      <c r="BA834">
        <f t="shared" si="1019"/>
        <v>0</v>
      </c>
      <c r="BB834">
        <f t="shared" si="1020"/>
        <v>1</v>
      </c>
      <c r="BC834">
        <f t="shared" si="1021"/>
        <v>0</v>
      </c>
      <c r="BD834">
        <f t="shared" si="1022"/>
        <v>0</v>
      </c>
      <c r="BE834" t="str" cm="1">
        <f t="array" ref="BE834">IF(AY834=1,INDEX($V$7:$AL$7,MATCH(TRUE,INDEX($V834:$AW834&lt;&gt;0,),0)),IF(AY834=0,INDEX($AM$7:$AW$7,MATCH(1,$AM834:$AW834,0)),IF(BF834="Multiple strategies","mixed drivers",IF(BF834="Supply chain","multiple supply","multiple silviculture"))))</f>
        <v>technologies/design switch</v>
      </c>
      <c r="BF834" s="2" t="str" cm="1">
        <f t="array" ref="BF834">IF(COUNTIF(AZ834:BB834,"&lt;&gt;0")=1,INDEX($V$4:$AW$4,MATCH(TRUE,INDEX($V834:$AW834&lt;&gt;0,),0)),IF(COUNTIF(AZ834:BB834,"&lt;&gt;0")=0,INDEX($AM$4:$AW$4,MATCH(1,$AM834:$AW834,0)),"Multiple strategies"))</f>
        <v>Technology</v>
      </c>
      <c r="BL834" s="143"/>
      <c r="BP834" s="311" t="s">
        <v>232</v>
      </c>
      <c r="BQ834" s="311" t="s">
        <v>3764</v>
      </c>
      <c r="BR834" t="s">
        <v>679</v>
      </c>
      <c r="BS834">
        <v>-18800</v>
      </c>
      <c r="BT834">
        <v>-18296.16</v>
      </c>
      <c r="BU834" s="144">
        <v>0.97319999999999995</v>
      </c>
      <c r="BV834">
        <v>503.84000000000015</v>
      </c>
      <c r="BX834">
        <f>BV834/1000</f>
        <v>0.50384000000000018</v>
      </c>
      <c r="BY834" t="str">
        <f t="shared" si="994"/>
        <v/>
      </c>
      <c r="BZ834">
        <v>1</v>
      </c>
      <c r="CA834">
        <v>0</v>
      </c>
      <c r="CB834">
        <v>0</v>
      </c>
      <c r="CC834">
        <v>0</v>
      </c>
      <c r="CD834">
        <v>0</v>
      </c>
      <c r="CE834">
        <v>1</v>
      </c>
      <c r="CF834">
        <v>0</v>
      </c>
      <c r="CG834">
        <v>0</v>
      </c>
      <c r="CH834">
        <v>0</v>
      </c>
      <c r="CI834">
        <v>0</v>
      </c>
      <c r="CJ834">
        <v>0</v>
      </c>
      <c r="CK834">
        <v>0</v>
      </c>
      <c r="CL834">
        <v>0</v>
      </c>
      <c r="CM834">
        <v>0</v>
      </c>
      <c r="CN834" t="str">
        <f t="shared" si="1043"/>
        <v>refOK</v>
      </c>
      <c r="CO834"/>
      <c r="CP834"/>
      <c r="CQ834"/>
      <c r="CR834">
        <f t="shared" si="1028"/>
        <v>-18800</v>
      </c>
      <c r="CS834">
        <f t="shared" si="1029"/>
        <v>-18296.16</v>
      </c>
      <c r="CT834">
        <f t="shared" si="1030"/>
        <v>0.50384000000000018</v>
      </c>
      <c r="CU834" t="str">
        <f t="shared" si="1031"/>
        <v/>
      </c>
      <c r="CV834" s="2">
        <f t="shared" si="1032"/>
        <v>2.6800000000000008E-2</v>
      </c>
      <c r="CW834" s="1" t="s">
        <v>1202</v>
      </c>
      <c r="CX834" s="311" t="str">
        <f t="shared" si="1033"/>
        <v>reg</v>
      </c>
      <c r="CY834" t="s">
        <v>690</v>
      </c>
      <c r="DB834">
        <v>0</v>
      </c>
      <c r="DC834" t="str">
        <f t="shared" si="1034"/>
        <v>0</v>
      </c>
      <c r="DD834">
        <v>0</v>
      </c>
      <c r="DE834">
        <v>0</v>
      </c>
      <c r="DF834">
        <v>0</v>
      </c>
      <c r="DG834">
        <v>1</v>
      </c>
      <c r="DI834">
        <f t="shared" si="1035"/>
        <v>1</v>
      </c>
      <c r="DJ834" t="str">
        <f t="shared" si="1036"/>
        <v>TimberInput</v>
      </c>
      <c r="DK834">
        <f t="shared" si="1037"/>
        <v>0</v>
      </c>
      <c r="DL834">
        <f t="shared" si="1038"/>
        <v>0</v>
      </c>
      <c r="DM834">
        <f t="shared" si="1039"/>
        <v>0</v>
      </c>
      <c r="DN834" t="str">
        <f t="shared" si="1040"/>
        <v>Timber</v>
      </c>
      <c r="DO834">
        <v>0</v>
      </c>
      <c r="DP834">
        <v>0</v>
      </c>
      <c r="DQ834">
        <v>0</v>
      </c>
      <c r="DR834">
        <v>0</v>
      </c>
      <c r="DS834">
        <v>0</v>
      </c>
      <c r="DT834">
        <f t="shared" si="1041"/>
        <v>0</v>
      </c>
      <c r="DU834" s="143" t="str">
        <f t="shared" si="1042"/>
        <v>explicit C balance</v>
      </c>
      <c r="DV834">
        <v>0</v>
      </c>
      <c r="DW834">
        <v>0</v>
      </c>
      <c r="DX834">
        <v>0</v>
      </c>
      <c r="DY834">
        <v>0</v>
      </c>
      <c r="DZ834">
        <v>0</v>
      </c>
      <c r="EA834" s="143">
        <v>0</v>
      </c>
      <c r="EB834">
        <v>0</v>
      </c>
      <c r="EC834">
        <v>1</v>
      </c>
      <c r="ED834">
        <v>0</v>
      </c>
      <c r="EE834">
        <v>0</v>
      </c>
      <c r="EF834">
        <v>0</v>
      </c>
      <c r="EG834">
        <v>0</v>
      </c>
      <c r="EH834">
        <v>0</v>
      </c>
      <c r="EI834" s="2">
        <v>0</v>
      </c>
      <c r="EK834" t="str">
        <f>IF(AND(AND(AND(OR($DX834=1,$DW834=1),OR($EC834=1,$EA834=1)),SUM($DV834:$DZ834,$EF834)&gt;=3),SUM($EA834:$EE834)&gt;=2),"Whole sector","")</f>
        <v/>
      </c>
      <c r="EL834" t="str">
        <f>IF(AND(AND(OR($DX834=1,$DW834=1),AND($EC834=0,$EA834=0)),SUM($DV834:$DZ834,$EF834)&gt;=3),"Ecosystem approach","")</f>
        <v/>
      </c>
      <c r="EM834" s="2" t="str">
        <f t="shared" si="995"/>
        <v/>
      </c>
      <c r="EP834" t="b">
        <f>IF(ISNUMBER(BU834),IF(ABS(BU834-[1]QC_indicators!$B$2)&gt;3*[1]QC_indicators!$C$2,"C ratio",IF(ISNUMBER(BY834),IF(ABS(BY834-[1]QC_indicators!$B$1)&gt;3*[1]QC_indicators!$C$1,"DF","no"))),IF(ISNUMBER(BY834),IF(ABS(BY834-[1]QC_indicators!$B$1)&gt;3*[1]QC_indicators!$C$1,"DF","no")))</f>
        <v>0</v>
      </c>
      <c r="ER834" s="313" t="s">
        <v>349</v>
      </c>
    </row>
    <row r="835" spans="1:151" ht="15" hidden="1" customHeight="1">
      <c r="A835" s="1" t="s">
        <v>3753</v>
      </c>
      <c r="B835" t="s">
        <v>3754</v>
      </c>
      <c r="C835" t="s">
        <v>3755</v>
      </c>
      <c r="D835" t="s">
        <v>3756</v>
      </c>
      <c r="E835" t="s">
        <v>3757</v>
      </c>
      <c r="F835" t="s">
        <v>3758</v>
      </c>
      <c r="G835" t="s">
        <v>3759</v>
      </c>
      <c r="H835" t="s">
        <v>254</v>
      </c>
      <c r="I835">
        <v>2019</v>
      </c>
      <c r="J835">
        <v>12</v>
      </c>
      <c r="K835" t="s">
        <v>3760</v>
      </c>
      <c r="M835" t="str">
        <f t="shared" si="1044"/>
        <v>Jia_2019</v>
      </c>
      <c r="N835" s="311" t="s">
        <v>4382</v>
      </c>
      <c r="O835" s="145" t="s">
        <v>513</v>
      </c>
      <c r="Q835" s="311" t="s">
        <v>256</v>
      </c>
      <c r="R835" s="312"/>
      <c r="S835" s="1" t="s">
        <v>3765</v>
      </c>
      <c r="T835" t="s">
        <v>3766</v>
      </c>
      <c r="U835" t="s">
        <v>3767</v>
      </c>
      <c r="V835">
        <v>0</v>
      </c>
      <c r="W835">
        <v>0</v>
      </c>
      <c r="X835">
        <v>0</v>
      </c>
      <c r="Y835">
        <v>0</v>
      </c>
      <c r="Z835">
        <v>0</v>
      </c>
      <c r="AA835">
        <v>0</v>
      </c>
      <c r="AB835">
        <v>0</v>
      </c>
      <c r="AC835">
        <v>0</v>
      </c>
      <c r="AD835">
        <v>0</v>
      </c>
      <c r="AE835">
        <v>0</v>
      </c>
      <c r="AF835">
        <v>0</v>
      </c>
      <c r="AG835">
        <v>0</v>
      </c>
      <c r="AH835">
        <v>0</v>
      </c>
      <c r="AI835">
        <v>0</v>
      </c>
      <c r="AJ835">
        <v>0</v>
      </c>
      <c r="AK835">
        <v>1</v>
      </c>
      <c r="AL835">
        <v>0</v>
      </c>
      <c r="AM835">
        <v>0</v>
      </c>
      <c r="AN835">
        <v>0</v>
      </c>
      <c r="AO835">
        <v>0</v>
      </c>
      <c r="AP835">
        <v>0</v>
      </c>
      <c r="AQ835">
        <v>0</v>
      </c>
      <c r="AR835">
        <v>0</v>
      </c>
      <c r="AS835">
        <v>0</v>
      </c>
      <c r="AT835">
        <v>0</v>
      </c>
      <c r="AU835">
        <v>0</v>
      </c>
      <c r="AV835">
        <v>0</v>
      </c>
      <c r="AW835">
        <v>0</v>
      </c>
      <c r="AX835" s="141">
        <f t="shared" si="1016"/>
        <v>1</v>
      </c>
      <c r="AY835" s="141">
        <f t="shared" si="1017"/>
        <v>1</v>
      </c>
      <c r="AZ835">
        <f t="shared" si="1018"/>
        <v>0</v>
      </c>
      <c r="BA835">
        <f t="shared" si="1019"/>
        <v>0</v>
      </c>
      <c r="BB835">
        <f t="shared" si="1020"/>
        <v>1</v>
      </c>
      <c r="BC835">
        <f t="shared" si="1021"/>
        <v>0</v>
      </c>
      <c r="BD835">
        <f t="shared" si="1022"/>
        <v>0</v>
      </c>
      <c r="BE835" t="str" cm="1">
        <f t="array" ref="BE835">IF(AY835=1,INDEX($V$7:$AL$7,MATCH(TRUE,INDEX($V835:$AW835&lt;&gt;0,),0)),IF(AY835=0,INDEX($AM$7:$AW$7,MATCH(1,$AM835:$AW835,0)),IF(BF835="Multiple strategies","mixed drivers",IF(BF835="Supply chain","multiple supply","multiple silviculture"))))</f>
        <v>technologies/design switch</v>
      </c>
      <c r="BF835" s="2" t="str" cm="1">
        <f t="array" ref="BF835">IF(COUNTIF(AZ835:BB835,"&lt;&gt;0")=1,INDEX($V$4:$AW$4,MATCH(TRUE,INDEX($V835:$AW835&lt;&gt;0,),0)),IF(COUNTIF(AZ835:BB835,"&lt;&gt;0")=0,INDEX($AM$4:$AW$4,MATCH(1,$AM835:$AW835,0)),"Multiple strategies"))</f>
        <v>Technology</v>
      </c>
      <c r="BL835" s="143"/>
      <c r="BP835" s="311" t="s">
        <v>232</v>
      </c>
      <c r="BQ835" s="311" t="s">
        <v>3764</v>
      </c>
      <c r="BR835" t="s">
        <v>679</v>
      </c>
      <c r="BS835">
        <v>-18800</v>
      </c>
      <c r="BT835">
        <v>-12374.16</v>
      </c>
      <c r="BU835" s="144">
        <v>0.65820000000000001</v>
      </c>
      <c r="BV835">
        <v>6425.84</v>
      </c>
      <c r="BX835">
        <f>BV835/1000</f>
        <v>6.42584</v>
      </c>
      <c r="BY835" t="str">
        <f t="shared" si="994"/>
        <v/>
      </c>
      <c r="BZ835">
        <v>1</v>
      </c>
      <c r="CA835">
        <v>0</v>
      </c>
      <c r="CB835">
        <v>0</v>
      </c>
      <c r="CC835">
        <v>0</v>
      </c>
      <c r="CD835">
        <v>0</v>
      </c>
      <c r="CE835">
        <v>1</v>
      </c>
      <c r="CF835">
        <v>0</v>
      </c>
      <c r="CG835">
        <v>0</v>
      </c>
      <c r="CH835">
        <v>0</v>
      </c>
      <c r="CI835">
        <v>0</v>
      </c>
      <c r="CJ835">
        <v>0</v>
      </c>
      <c r="CK835">
        <v>0</v>
      </c>
      <c r="CL835">
        <v>0</v>
      </c>
      <c r="CM835">
        <v>0</v>
      </c>
      <c r="CN835" t="str">
        <f t="shared" si="1043"/>
        <v>refOK</v>
      </c>
      <c r="CO835"/>
      <c r="CP835"/>
      <c r="CQ835"/>
      <c r="CR835">
        <f t="shared" si="1028"/>
        <v>-18800</v>
      </c>
      <c r="CS835">
        <f t="shared" si="1029"/>
        <v>-12374.16</v>
      </c>
      <c r="CT835">
        <f t="shared" si="1030"/>
        <v>6.42584</v>
      </c>
      <c r="CU835" t="str">
        <f t="shared" si="1031"/>
        <v/>
      </c>
      <c r="CV835" s="2">
        <f t="shared" si="1032"/>
        <v>0.34179999999999999</v>
      </c>
      <c r="CW835" s="1" t="s">
        <v>1202</v>
      </c>
      <c r="CX835" s="311" t="str">
        <f t="shared" si="1033"/>
        <v>reg</v>
      </c>
      <c r="CY835" t="s">
        <v>690</v>
      </c>
      <c r="DB835">
        <v>0</v>
      </c>
      <c r="DC835" t="str">
        <f t="shared" si="1034"/>
        <v>0</v>
      </c>
      <c r="DD835">
        <v>0</v>
      </c>
      <c r="DE835">
        <v>0</v>
      </c>
      <c r="DF835">
        <v>0</v>
      </c>
      <c r="DG835">
        <v>1</v>
      </c>
      <c r="DI835">
        <f t="shared" si="1035"/>
        <v>1</v>
      </c>
      <c r="DJ835" t="str">
        <f t="shared" si="1036"/>
        <v>TimberInput</v>
      </c>
      <c r="DK835">
        <f t="shared" si="1037"/>
        <v>0</v>
      </c>
      <c r="DL835">
        <f t="shared" si="1038"/>
        <v>0</v>
      </c>
      <c r="DM835">
        <f t="shared" si="1039"/>
        <v>0</v>
      </c>
      <c r="DN835" t="str">
        <f t="shared" si="1040"/>
        <v>Timber</v>
      </c>
      <c r="DO835">
        <v>0</v>
      </c>
      <c r="DP835">
        <v>0</v>
      </c>
      <c r="DQ835">
        <v>0</v>
      </c>
      <c r="DR835">
        <v>0</v>
      </c>
      <c r="DS835">
        <v>0</v>
      </c>
      <c r="DT835">
        <f t="shared" si="1041"/>
        <v>0</v>
      </c>
      <c r="DU835" s="143" t="str">
        <f t="shared" si="1042"/>
        <v>explicit C balance</v>
      </c>
      <c r="DV835">
        <v>0</v>
      </c>
      <c r="DW835">
        <v>0</v>
      </c>
      <c r="DX835">
        <v>0</v>
      </c>
      <c r="DY835">
        <v>0</v>
      </c>
      <c r="DZ835">
        <v>0</v>
      </c>
      <c r="EA835" s="143">
        <v>0</v>
      </c>
      <c r="EB835">
        <v>0</v>
      </c>
      <c r="EC835">
        <v>1</v>
      </c>
      <c r="ED835">
        <v>0</v>
      </c>
      <c r="EE835">
        <v>0</v>
      </c>
      <c r="EF835">
        <v>0</v>
      </c>
      <c r="EG835">
        <v>0</v>
      </c>
      <c r="EH835">
        <v>0</v>
      </c>
      <c r="EI835" s="2">
        <v>0</v>
      </c>
      <c r="EK835" t="str">
        <f>IF(AND(AND(AND(OR($DX835=1,$DW835=1),OR($EC835=1,$EA835=1)),SUM($DV835:$DZ835,$EF835)&gt;=3),SUM($EA835:$EE835)&gt;=2),"Whole sector","")</f>
        <v/>
      </c>
      <c r="EL835" t="str">
        <f>IF(AND(AND(OR($DX835=1,$DW835=1),AND($EC835=0,$EA835=0)),SUM($DV835:$DZ835,$EF835)&gt;=3),"Ecosystem approach","")</f>
        <v/>
      </c>
      <c r="EM835" s="2" t="str">
        <f t="shared" si="995"/>
        <v/>
      </c>
      <c r="EP835" t="b">
        <f>IF(ISNUMBER(BU835),IF(ABS(BU835-[1]QC_indicators!$B$2)&gt;3*[1]QC_indicators!$C$2,"C ratio",IF(ISNUMBER(BY835),IF(ABS(BY835-[1]QC_indicators!$B$1)&gt;3*[1]QC_indicators!$C$1,"DF","no"))),IF(ISNUMBER(BY835),IF(ABS(BY835-[1]QC_indicators!$B$1)&gt;3*[1]QC_indicators!$C$1,"DF","no")))</f>
        <v>0</v>
      </c>
      <c r="ER835" s="313" t="s">
        <v>349</v>
      </c>
    </row>
    <row r="836" spans="1:151" ht="15" hidden="1" customHeight="1">
      <c r="A836" s="1" t="s">
        <v>1377</v>
      </c>
      <c r="B836" t="s">
        <v>1741</v>
      </c>
      <c r="C836" t="s">
        <v>1742</v>
      </c>
      <c r="D836" t="s">
        <v>1743</v>
      </c>
      <c r="E836" t="s">
        <v>1744</v>
      </c>
      <c r="F836" t="s">
        <v>1745</v>
      </c>
      <c r="G836" t="s">
        <v>1383</v>
      </c>
      <c r="H836" t="s">
        <v>254</v>
      </c>
      <c r="I836">
        <v>2019</v>
      </c>
      <c r="J836">
        <v>1</v>
      </c>
      <c r="K836" t="s">
        <v>1746</v>
      </c>
      <c r="M836" t="str">
        <f t="shared" si="1044"/>
        <v>Jones_2019</v>
      </c>
      <c r="N836" t="s">
        <v>222</v>
      </c>
      <c r="O836" s="171" t="s">
        <v>513</v>
      </c>
      <c r="P836" t="s">
        <v>959</v>
      </c>
      <c r="Q836" t="s">
        <v>389</v>
      </c>
      <c r="R836" s="269" t="s">
        <v>274</v>
      </c>
      <c r="S836" s="1" t="s">
        <v>1755</v>
      </c>
      <c r="T836" t="s">
        <v>1756</v>
      </c>
      <c r="U836" t="s">
        <v>1749</v>
      </c>
      <c r="V836" s="274">
        <v>1</v>
      </c>
      <c r="W836" s="274">
        <v>0</v>
      </c>
      <c r="X836" s="274">
        <v>0</v>
      </c>
      <c r="Y836" s="274">
        <v>0</v>
      </c>
      <c r="Z836" s="274">
        <v>0</v>
      </c>
      <c r="AA836" s="274">
        <v>0</v>
      </c>
      <c r="AB836" s="274">
        <v>0</v>
      </c>
      <c r="AC836" s="274">
        <v>0</v>
      </c>
      <c r="AD836" s="274">
        <v>0</v>
      </c>
      <c r="AE836" s="274">
        <v>0</v>
      </c>
      <c r="AF836" s="274">
        <v>0</v>
      </c>
      <c r="AG836" s="274">
        <v>0</v>
      </c>
      <c r="AH836" s="274">
        <v>0</v>
      </c>
      <c r="AI836" s="274">
        <v>0</v>
      </c>
      <c r="AJ836" s="274">
        <v>0</v>
      </c>
      <c r="AK836" s="274">
        <v>0</v>
      </c>
      <c r="AL836" s="274">
        <v>0</v>
      </c>
      <c r="AM836" s="274">
        <v>0</v>
      </c>
      <c r="AN836" s="274">
        <v>0</v>
      </c>
      <c r="AO836" s="274">
        <v>0</v>
      </c>
      <c r="AP836" s="274">
        <v>0</v>
      </c>
      <c r="AQ836" s="274">
        <v>0</v>
      </c>
      <c r="AR836" s="274">
        <v>0</v>
      </c>
      <c r="AS836" s="274">
        <v>0</v>
      </c>
      <c r="AT836" s="274">
        <v>2</v>
      </c>
      <c r="AU836" s="274">
        <v>0</v>
      </c>
      <c r="AV836" s="274">
        <v>0</v>
      </c>
      <c r="AW836" s="274">
        <v>2</v>
      </c>
      <c r="AX836" s="141">
        <f t="shared" si="1016"/>
        <v>3</v>
      </c>
      <c r="AY836" s="141">
        <f t="shared" si="1017"/>
        <v>1</v>
      </c>
      <c r="AZ836">
        <f t="shared" si="1018"/>
        <v>1</v>
      </c>
      <c r="BA836">
        <f t="shared" si="1019"/>
        <v>0</v>
      </c>
      <c r="BB836">
        <f t="shared" si="1020"/>
        <v>0</v>
      </c>
      <c r="BC836">
        <f t="shared" si="1021"/>
        <v>2</v>
      </c>
      <c r="BD836">
        <f t="shared" si="1022"/>
        <v>0</v>
      </c>
      <c r="BE836" s="274" t="str">
        <f t="array" ref="BE836">IF(AY836=1,INDEX($V$7:$AL$7,MATCH(TRUE,INDEX($V836:$AW836&lt;&gt;0,),0)),IF(AY836=0,INDEX($AM$7:$AW$7,MATCH(1,$AM836:$AW836,0)),IF(BF836="Multiple strategies","mixed drivers",IF(BF836="Supply chain","multiple supply","multiple silviculture"))))</f>
        <v>area subject to harvest</v>
      </c>
      <c r="BF836" s="2" t="str" cm="1">
        <f t="array" ref="BF836">IF(COUNTIF(AZ836:BB836,"&lt;&gt;0")=1,INDEX($V$4:$AW$4,MATCH(TRUE,INDEX($V836:$AW836&lt;&gt;0,),0)),IF(COUNTIF(AZ836:BB836,"&lt;&gt;0")=0,INDEX($AM$4:$AW$4,MATCH(1,$AM836:$AW836,0)),"Multiple strategies"))</f>
        <v>Silviculture for removals</v>
      </c>
      <c r="BG836" s="1" t="s">
        <v>321</v>
      </c>
      <c r="BH836" t="s">
        <v>1750</v>
      </c>
      <c r="BI836" t="s">
        <v>1751</v>
      </c>
      <c r="BJ836" t="s">
        <v>498</v>
      </c>
      <c r="BK836">
        <v>1311146022727.2725</v>
      </c>
      <c r="BL836">
        <v>1318747840909.0903</v>
      </c>
      <c r="BM836" t="s">
        <v>544</v>
      </c>
      <c r="BN836">
        <f t="shared" ref="BN836:BN841" si="1045">BL836-BK836</f>
        <v>7601818181.8178711</v>
      </c>
      <c r="BO836">
        <f t="shared" ref="BO836:BO841" si="1046">BN836</f>
        <v>7601818181.8178711</v>
      </c>
      <c r="BP836" t="s">
        <v>395</v>
      </c>
      <c r="BQ836" t="s">
        <v>1752</v>
      </c>
      <c r="BR836" t="s">
        <v>1753</v>
      </c>
      <c r="BS836">
        <v>-5414012.7388535002</v>
      </c>
      <c r="BT836">
        <v>-6942675.1592356702</v>
      </c>
      <c r="BU836" s="144">
        <v>1.4622641509433971</v>
      </c>
      <c r="BV836" s="152">
        <v>-2207207.2072072076</v>
      </c>
      <c r="BX836" s="152">
        <f t="shared" ref="BX836:BX841" si="1047">BV836</f>
        <v>-2207207.2072072076</v>
      </c>
      <c r="BY836">
        <f t="shared" si="994"/>
        <v>-2.9035253861851563E-4</v>
      </c>
      <c r="BZ836">
        <v>0</v>
      </c>
      <c r="CA836">
        <v>0</v>
      </c>
      <c r="CB836">
        <v>0</v>
      </c>
      <c r="CC836">
        <v>0</v>
      </c>
      <c r="CD836">
        <v>0</v>
      </c>
      <c r="CE836">
        <v>0</v>
      </c>
      <c r="CF836">
        <v>0</v>
      </c>
      <c r="CG836">
        <v>0</v>
      </c>
      <c r="CH836">
        <v>0</v>
      </c>
      <c r="CI836">
        <v>0</v>
      </c>
      <c r="CJ836">
        <v>0</v>
      </c>
      <c r="CK836">
        <v>0</v>
      </c>
      <c r="CL836">
        <v>0</v>
      </c>
      <c r="CM836">
        <v>0</v>
      </c>
      <c r="CN836" t="str">
        <f t="shared" ref="CN836:CN850" si="1048">IF($BL836&lt;$BK836,"refNeedCorrection","refOK")</f>
        <v>refOK</v>
      </c>
      <c r="CO836">
        <f t="shared" ref="CO836:CO841" si="1049">IF($CN836="refOK",$BK836,$BL836)</f>
        <v>1311146022727.2725</v>
      </c>
      <c r="CP836">
        <f t="shared" ref="CP836:CP841" si="1050">IF($CN836="refOK",$BL836,$BK836)</f>
        <v>1318747840909.0903</v>
      </c>
      <c r="CQ836">
        <f t="shared" ref="CQ836:CQ841" si="1051">IF($CN836="refOK",$BO836,-$BO836)</f>
        <v>7601818181.8178711</v>
      </c>
      <c r="CR836">
        <f t="shared" si="1028"/>
        <v>5414012.7388535002</v>
      </c>
      <c r="CS836">
        <f t="shared" si="1029"/>
        <v>6942675.1592356702</v>
      </c>
      <c r="CT836">
        <f t="shared" si="1030"/>
        <v>2207207.2072072076</v>
      </c>
      <c r="CU836">
        <f t="shared" si="1031"/>
        <v>2.9035253861851563E-4</v>
      </c>
      <c r="CV836" s="2">
        <f t="shared" si="1032"/>
        <v>0.28235294117647153</v>
      </c>
      <c r="CW836" s="1" t="s">
        <v>1198</v>
      </c>
      <c r="CX836" t="str">
        <f t="shared" si="1033"/>
        <v>reg</v>
      </c>
      <c r="CY836" t="s">
        <v>428</v>
      </c>
      <c r="CZ836">
        <v>2015</v>
      </c>
      <c r="DA836">
        <v>2040</v>
      </c>
      <c r="DB836">
        <v>0</v>
      </c>
      <c r="DC836" t="str">
        <f t="shared" si="1034"/>
        <v>0</v>
      </c>
      <c r="DD836">
        <v>1</v>
      </c>
      <c r="DE836">
        <v>0</v>
      </c>
      <c r="DF836">
        <v>0</v>
      </c>
      <c r="DG836">
        <v>0</v>
      </c>
      <c r="DH836">
        <v>0</v>
      </c>
      <c r="DI836">
        <v>1</v>
      </c>
      <c r="DJ836" t="str">
        <f t="shared" si="1036"/>
        <v>UpstreamInput</v>
      </c>
      <c r="DK836" t="str">
        <f t="shared" si="1037"/>
        <v>Upstream</v>
      </c>
      <c r="DL836">
        <f t="shared" si="1038"/>
        <v>0</v>
      </c>
      <c r="DM836">
        <f t="shared" si="1039"/>
        <v>0</v>
      </c>
      <c r="DN836">
        <f t="shared" si="1040"/>
        <v>0</v>
      </c>
      <c r="DO836">
        <v>0</v>
      </c>
      <c r="DP836">
        <v>0</v>
      </c>
      <c r="DQ836">
        <v>0</v>
      </c>
      <c r="DR836">
        <v>0</v>
      </c>
      <c r="DS836">
        <v>0</v>
      </c>
      <c r="DT836">
        <f t="shared" si="1041"/>
        <v>0</v>
      </c>
      <c r="DU836" s="143" t="s">
        <v>961</v>
      </c>
      <c r="DV836">
        <v>1</v>
      </c>
      <c r="DW836">
        <v>1</v>
      </c>
      <c r="DX836">
        <v>1</v>
      </c>
      <c r="DY836">
        <v>0</v>
      </c>
      <c r="DZ836">
        <v>0</v>
      </c>
      <c r="EA836" s="143">
        <v>0</v>
      </c>
      <c r="EB836">
        <v>0</v>
      </c>
      <c r="EC836">
        <v>0</v>
      </c>
      <c r="ED836">
        <v>0</v>
      </c>
      <c r="EE836">
        <v>0</v>
      </c>
      <c r="EF836">
        <v>1</v>
      </c>
      <c r="EG836">
        <v>0</v>
      </c>
      <c r="EH836">
        <v>1</v>
      </c>
      <c r="EI836" s="2">
        <v>0</v>
      </c>
      <c r="EJ836" s="182"/>
      <c r="EK836" t="str">
        <f t="shared" ref="EK836:EK841" si="1052">IF(AND(AND(AND(OR($DX836=1,$DW836=1),OR($EC836=1,$EA836=1)),SUM($DV836:$DZ836,$EF836)&gt;=4),SUM($EA836:$EE836)&gt;=2),"Whole sector","")</f>
        <v/>
      </c>
      <c r="EL836" t="str">
        <f t="shared" ref="EL836:EL841" si="1053">IF(AND(AND(OR($DX836=1,$DW836=1),AND($EC836=0,$EA836=0)),SUM($DV836:$DZ836,$EF836)&gt;=4),"Ecosystem approach","")</f>
        <v>Ecosystem approach</v>
      </c>
      <c r="EM836" s="2" t="str">
        <f t="shared" si="995"/>
        <v/>
      </c>
      <c r="EP836" t="str">
        <f>IF(ISNUMBER(BU836),IF(ABS(BU836-[2]QC_indicators!$B$2)&gt;3*[2]QC_indicators!$C$2,"C ratio",IF(ISNUMBER(BY836),IF(ABS(BY836-[2]QC_indicators!$B$1)&gt;3*[2]QC_indicators!$C$1,"DF","no"))),IF(ISNUMBER(BY836),IF(ABS(BY836-[2]QC_indicators!$B$1)&gt;3*[2]QC_indicators!$C$1,"DF","no")))</f>
        <v>no</v>
      </c>
      <c r="ER836" t="s">
        <v>1754</v>
      </c>
      <c r="ET836" s="264" t="s">
        <v>3267</v>
      </c>
      <c r="EU836" s="264"/>
    </row>
    <row r="837" spans="1:151" ht="15" hidden="1" customHeight="1">
      <c r="A837" s="1" t="s">
        <v>1377</v>
      </c>
      <c r="B837" t="s">
        <v>1741</v>
      </c>
      <c r="C837" t="s">
        <v>1742</v>
      </c>
      <c r="D837" t="s">
        <v>1743</v>
      </c>
      <c r="E837" t="s">
        <v>1744</v>
      </c>
      <c r="F837" t="s">
        <v>1745</v>
      </c>
      <c r="G837" t="s">
        <v>1383</v>
      </c>
      <c r="H837" t="s">
        <v>254</v>
      </c>
      <c r="I837">
        <v>2019</v>
      </c>
      <c r="J837">
        <v>1</v>
      </c>
      <c r="K837" t="s">
        <v>1746</v>
      </c>
      <c r="M837" t="str">
        <f t="shared" si="1044"/>
        <v>Jones_2019</v>
      </c>
      <c r="N837" t="s">
        <v>222</v>
      </c>
      <c r="O837" s="171" t="s">
        <v>513</v>
      </c>
      <c r="P837" t="s">
        <v>959</v>
      </c>
      <c r="Q837" t="s">
        <v>389</v>
      </c>
      <c r="R837" s="269" t="s">
        <v>274</v>
      </c>
      <c r="S837" s="1" t="s">
        <v>1757</v>
      </c>
      <c r="T837" t="s">
        <v>1758</v>
      </c>
      <c r="U837" t="s">
        <v>1749</v>
      </c>
      <c r="V837" s="274">
        <v>1</v>
      </c>
      <c r="W837" s="274">
        <v>0</v>
      </c>
      <c r="X837" s="274">
        <v>0</v>
      </c>
      <c r="Y837" s="274">
        <v>0</v>
      </c>
      <c r="Z837" s="274">
        <v>0</v>
      </c>
      <c r="AA837" s="274">
        <v>0</v>
      </c>
      <c r="AB837" s="274">
        <v>0</v>
      </c>
      <c r="AC837" s="274">
        <v>0</v>
      </c>
      <c r="AD837" s="274">
        <v>0</v>
      </c>
      <c r="AE837" s="274">
        <v>0</v>
      </c>
      <c r="AF837" s="274">
        <v>0</v>
      </c>
      <c r="AG837" s="274">
        <v>0</v>
      </c>
      <c r="AH837" s="274">
        <v>0</v>
      </c>
      <c r="AI837" s="274">
        <v>0</v>
      </c>
      <c r="AJ837" s="274">
        <v>0</v>
      </c>
      <c r="AK837" s="274">
        <v>0</v>
      </c>
      <c r="AL837" s="274">
        <v>0</v>
      </c>
      <c r="AM837" s="274">
        <v>0</v>
      </c>
      <c r="AN837" s="274">
        <v>0</v>
      </c>
      <c r="AO837" s="274">
        <v>0</v>
      </c>
      <c r="AP837" s="274">
        <v>0</v>
      </c>
      <c r="AQ837" s="274">
        <v>0</v>
      </c>
      <c r="AR837" s="274">
        <v>0</v>
      </c>
      <c r="AS837" s="274">
        <v>0</v>
      </c>
      <c r="AT837" s="274">
        <v>2</v>
      </c>
      <c r="AU837" s="274">
        <v>0</v>
      </c>
      <c r="AV837" s="274">
        <v>0</v>
      </c>
      <c r="AW837" s="274">
        <v>2</v>
      </c>
      <c r="AX837" s="141">
        <f t="shared" si="1016"/>
        <v>3</v>
      </c>
      <c r="AY837" s="141">
        <f t="shared" si="1017"/>
        <v>1</v>
      </c>
      <c r="AZ837">
        <f t="shared" si="1018"/>
        <v>1</v>
      </c>
      <c r="BA837">
        <f t="shared" si="1019"/>
        <v>0</v>
      </c>
      <c r="BB837">
        <f t="shared" si="1020"/>
        <v>0</v>
      </c>
      <c r="BC837">
        <f t="shared" si="1021"/>
        <v>2</v>
      </c>
      <c r="BD837">
        <f t="shared" si="1022"/>
        <v>0</v>
      </c>
      <c r="BE837" s="274" t="str">
        <f t="array" ref="BE837">IF(AY837=1,INDEX($V$7:$AL$7,MATCH(TRUE,INDEX($V837:$AW837&lt;&gt;0,),0)),IF(AY837=0,INDEX($AM$7:$AW$7,MATCH(1,$AM837:$AW837,0)),IF(BF837="Multiple strategies","mixed drivers",IF(BF837="Supply chain","multiple supply","multiple silviculture"))))</f>
        <v>area subject to harvest</v>
      </c>
      <c r="BF837" s="2" t="str" cm="1">
        <f t="array" ref="BF837">IF(COUNTIF(AZ837:BB837,"&lt;&gt;0")=1,INDEX($V$4:$AW$4,MATCH(TRUE,INDEX($V837:$AW837&lt;&gt;0,),0)),IF(COUNTIF(AZ837:BB837,"&lt;&gt;0")=0,INDEX($AM$4:$AW$4,MATCH(1,$AM837:$AW837,0)),"Multiple strategies"))</f>
        <v>Silviculture for removals</v>
      </c>
      <c r="BG837" s="1" t="s">
        <v>321</v>
      </c>
      <c r="BH837" t="s">
        <v>1750</v>
      </c>
      <c r="BI837" t="s">
        <v>1751</v>
      </c>
      <c r="BJ837" t="s">
        <v>498</v>
      </c>
      <c r="BK837">
        <v>1309693749999.9995</v>
      </c>
      <c r="BL837">
        <v>1318747840909.0903</v>
      </c>
      <c r="BM837" t="s">
        <v>544</v>
      </c>
      <c r="BN837">
        <f t="shared" si="1045"/>
        <v>9054090909.0908203</v>
      </c>
      <c r="BO837">
        <f t="shared" si="1046"/>
        <v>9054090909.0908203</v>
      </c>
      <c r="BP837" t="s">
        <v>395</v>
      </c>
      <c r="BQ837" t="s">
        <v>1752</v>
      </c>
      <c r="BR837" t="s">
        <v>1753</v>
      </c>
      <c r="BS837">
        <v>-5095541.4012738802</v>
      </c>
      <c r="BT837">
        <v>-6942675.1592356702</v>
      </c>
      <c r="BU837" s="144">
        <v>1.519607843137238</v>
      </c>
      <c r="BV837" s="152">
        <v>-2387387.3873873334</v>
      </c>
      <c r="BX837" s="152">
        <f t="shared" si="1047"/>
        <v>-2387387.3873873334</v>
      </c>
      <c r="BY837">
        <f t="shared" si="994"/>
        <v>-2.6368051871339854E-4</v>
      </c>
      <c r="BZ837">
        <v>0</v>
      </c>
      <c r="CA837">
        <v>0</v>
      </c>
      <c r="CB837">
        <v>0</v>
      </c>
      <c r="CC837">
        <v>0</v>
      </c>
      <c r="CD837">
        <v>0</v>
      </c>
      <c r="CE837">
        <v>0</v>
      </c>
      <c r="CF837">
        <v>0</v>
      </c>
      <c r="CG837">
        <v>0</v>
      </c>
      <c r="CH837">
        <v>0</v>
      </c>
      <c r="CI837">
        <v>0</v>
      </c>
      <c r="CJ837">
        <v>0</v>
      </c>
      <c r="CK837">
        <v>0</v>
      </c>
      <c r="CL837">
        <v>0</v>
      </c>
      <c r="CM837">
        <v>0</v>
      </c>
      <c r="CN837" t="str">
        <f t="shared" si="1048"/>
        <v>refOK</v>
      </c>
      <c r="CO837">
        <f t="shared" si="1049"/>
        <v>1309693749999.9995</v>
      </c>
      <c r="CP837">
        <f t="shared" si="1050"/>
        <v>1318747840909.0903</v>
      </c>
      <c r="CQ837">
        <f t="shared" si="1051"/>
        <v>9054090909.0908203</v>
      </c>
      <c r="CR837">
        <f t="shared" si="1028"/>
        <v>5095541.4012738802</v>
      </c>
      <c r="CS837">
        <f t="shared" si="1029"/>
        <v>6942675.1592356702</v>
      </c>
      <c r="CT837">
        <f t="shared" si="1030"/>
        <v>2387387.3873873334</v>
      </c>
      <c r="CU837">
        <f t="shared" si="1031"/>
        <v>2.6368051871339854E-4</v>
      </c>
      <c r="CV837" s="2">
        <f t="shared" si="1032"/>
        <v>0.36250000000000165</v>
      </c>
      <c r="CW837" s="1" t="s">
        <v>1198</v>
      </c>
      <c r="CX837" t="str">
        <f t="shared" si="1033"/>
        <v>reg</v>
      </c>
      <c r="CY837" t="s">
        <v>428</v>
      </c>
      <c r="CZ837">
        <v>2015</v>
      </c>
      <c r="DA837">
        <v>2040</v>
      </c>
      <c r="DB837">
        <v>0</v>
      </c>
      <c r="DC837" t="str">
        <f t="shared" si="1034"/>
        <v>0</v>
      </c>
      <c r="DD837">
        <v>1</v>
      </c>
      <c r="DE837">
        <v>0</v>
      </c>
      <c r="DF837">
        <v>0</v>
      </c>
      <c r="DG837">
        <v>0</v>
      </c>
      <c r="DH837">
        <v>0</v>
      </c>
      <c r="DI837">
        <v>1</v>
      </c>
      <c r="DJ837" t="str">
        <f t="shared" si="1036"/>
        <v>UpstreamInput</v>
      </c>
      <c r="DK837" t="str">
        <f t="shared" si="1037"/>
        <v>Upstream</v>
      </c>
      <c r="DL837">
        <f t="shared" si="1038"/>
        <v>0</v>
      </c>
      <c r="DM837">
        <f t="shared" si="1039"/>
        <v>0</v>
      </c>
      <c r="DN837">
        <f t="shared" si="1040"/>
        <v>0</v>
      </c>
      <c r="DO837">
        <v>0</v>
      </c>
      <c r="DP837">
        <v>0</v>
      </c>
      <c r="DQ837">
        <v>0</v>
      </c>
      <c r="DR837">
        <v>0</v>
      </c>
      <c r="DS837">
        <v>0</v>
      </c>
      <c r="DT837">
        <f t="shared" si="1041"/>
        <v>0</v>
      </c>
      <c r="DU837" s="143" t="s">
        <v>961</v>
      </c>
      <c r="DV837">
        <v>1</v>
      </c>
      <c r="DW837">
        <v>1</v>
      </c>
      <c r="DX837">
        <v>1</v>
      </c>
      <c r="DY837">
        <v>0</v>
      </c>
      <c r="DZ837">
        <v>0</v>
      </c>
      <c r="EA837" s="143">
        <v>0</v>
      </c>
      <c r="EB837">
        <v>0</v>
      </c>
      <c r="EC837">
        <v>0</v>
      </c>
      <c r="ED837">
        <v>0</v>
      </c>
      <c r="EE837">
        <v>0</v>
      </c>
      <c r="EF837">
        <v>1</v>
      </c>
      <c r="EG837">
        <v>0</v>
      </c>
      <c r="EH837">
        <v>1</v>
      </c>
      <c r="EI837" s="2">
        <v>0</v>
      </c>
      <c r="EK837" t="str">
        <f t="shared" si="1052"/>
        <v/>
      </c>
      <c r="EL837" t="str">
        <f t="shared" si="1053"/>
        <v>Ecosystem approach</v>
      </c>
      <c r="EM837" s="2" t="str">
        <f t="shared" si="995"/>
        <v/>
      </c>
      <c r="EP837" t="str">
        <f>IF(ISNUMBER(BU837),IF(ABS(BU837-[2]QC_indicators!$B$2)&gt;3*[2]QC_indicators!$C$2,"C ratio",IF(ISNUMBER(BY837),IF(ABS(BY837-[2]QC_indicators!$B$1)&gt;3*[2]QC_indicators!$C$1,"DF","no"))),IF(ISNUMBER(BY837),IF(ABS(BY837-[2]QC_indicators!$B$1)&gt;3*[2]QC_indicators!$C$1,"DF","no")))</f>
        <v>no</v>
      </c>
      <c r="ER837" t="s">
        <v>1754</v>
      </c>
      <c r="ET837" s="264" t="s">
        <v>3267</v>
      </c>
      <c r="EU837" s="264"/>
    </row>
    <row r="838" spans="1:151" ht="15" hidden="1" customHeight="1">
      <c r="A838" s="1" t="s">
        <v>1377</v>
      </c>
      <c r="B838" t="s">
        <v>1741</v>
      </c>
      <c r="C838" t="s">
        <v>1742</v>
      </c>
      <c r="D838" t="s">
        <v>1743</v>
      </c>
      <c r="E838" t="s">
        <v>1744</v>
      </c>
      <c r="F838" t="s">
        <v>1745</v>
      </c>
      <c r="G838" t="s">
        <v>1383</v>
      </c>
      <c r="H838" t="s">
        <v>254</v>
      </c>
      <c r="I838">
        <v>2019</v>
      </c>
      <c r="J838">
        <v>1</v>
      </c>
      <c r="K838" t="s">
        <v>1746</v>
      </c>
      <c r="M838" t="str">
        <f t="shared" si="1044"/>
        <v>Jones_2019</v>
      </c>
      <c r="N838" t="s">
        <v>222</v>
      </c>
      <c r="O838" s="171" t="s">
        <v>513</v>
      </c>
      <c r="P838" t="s">
        <v>959</v>
      </c>
      <c r="Q838" t="s">
        <v>389</v>
      </c>
      <c r="R838" s="269" t="s">
        <v>274</v>
      </c>
      <c r="S838" s="1" t="s">
        <v>1747</v>
      </c>
      <c r="T838" t="s">
        <v>1748</v>
      </c>
      <c r="U838" t="s">
        <v>1749</v>
      </c>
      <c r="V838" s="274">
        <v>1</v>
      </c>
      <c r="W838" s="274">
        <v>0</v>
      </c>
      <c r="X838" s="274">
        <v>0</v>
      </c>
      <c r="Y838" s="274">
        <v>0</v>
      </c>
      <c r="Z838" s="274">
        <v>0</v>
      </c>
      <c r="AA838" s="274">
        <v>0</v>
      </c>
      <c r="AB838" s="274">
        <v>0</v>
      </c>
      <c r="AC838" s="274">
        <v>0</v>
      </c>
      <c r="AD838" s="274">
        <v>0</v>
      </c>
      <c r="AE838" s="274">
        <v>0</v>
      </c>
      <c r="AF838" s="274">
        <v>0</v>
      </c>
      <c r="AG838" s="274">
        <v>0</v>
      </c>
      <c r="AH838" s="274">
        <v>0</v>
      </c>
      <c r="AI838" s="274">
        <v>0</v>
      </c>
      <c r="AJ838" s="274">
        <v>0</v>
      </c>
      <c r="AK838" s="274">
        <v>0</v>
      </c>
      <c r="AL838" s="274">
        <v>0</v>
      </c>
      <c r="AM838" s="274">
        <v>0</v>
      </c>
      <c r="AN838" s="274">
        <v>0</v>
      </c>
      <c r="AO838" s="274">
        <v>0</v>
      </c>
      <c r="AP838" s="274">
        <v>0</v>
      </c>
      <c r="AQ838" s="274">
        <v>0</v>
      </c>
      <c r="AR838" s="274">
        <v>0</v>
      </c>
      <c r="AS838" s="274">
        <v>0</v>
      </c>
      <c r="AT838" s="274">
        <v>2</v>
      </c>
      <c r="AU838" s="274">
        <v>0</v>
      </c>
      <c r="AV838" s="274">
        <v>0</v>
      </c>
      <c r="AW838" s="274">
        <v>2</v>
      </c>
      <c r="AX838" s="141">
        <f t="shared" si="1016"/>
        <v>3</v>
      </c>
      <c r="AY838" s="141">
        <f t="shared" si="1017"/>
        <v>1</v>
      </c>
      <c r="AZ838">
        <f t="shared" si="1018"/>
        <v>1</v>
      </c>
      <c r="BA838">
        <f t="shared" si="1019"/>
        <v>0</v>
      </c>
      <c r="BB838">
        <f t="shared" si="1020"/>
        <v>0</v>
      </c>
      <c r="BC838">
        <f t="shared" si="1021"/>
        <v>2</v>
      </c>
      <c r="BD838">
        <f t="shared" si="1022"/>
        <v>0</v>
      </c>
      <c r="BE838" s="274" t="str">
        <f t="array" ref="BE838">IF(AY838=1,INDEX($V$7:$AL$7,MATCH(TRUE,INDEX($V838:$AW838&lt;&gt;0,),0)),IF(AY838=0,INDEX($AM$7:$AW$7,MATCH(1,$AM838:$AW838,0)),IF(BF838="Multiple strategies","mixed drivers",IF(BF838="Supply chain","multiple supply","multiple silviculture"))))</f>
        <v>area subject to harvest</v>
      </c>
      <c r="BF838" s="2" t="str" cm="1">
        <f t="array" ref="BF838">IF(COUNTIF(AZ838:BB838,"&lt;&gt;0")=1,INDEX($V$4:$AW$4,MATCH(TRUE,INDEX($V838:$AW838&lt;&gt;0,),0)),IF(COUNTIF(AZ838:BB838,"&lt;&gt;0")=0,INDEX($AM$4:$AW$4,MATCH(1,$AM838:$AW838,0)),"Multiple strategies"))</f>
        <v>Silviculture for removals</v>
      </c>
      <c r="BG838" s="1" t="s">
        <v>321</v>
      </c>
      <c r="BH838" t="s">
        <v>1750</v>
      </c>
      <c r="BI838" t="s">
        <v>1751</v>
      </c>
      <c r="BJ838" t="s">
        <v>498</v>
      </c>
      <c r="BK838">
        <v>1311119090909.0903</v>
      </c>
      <c r="BL838">
        <v>1318747840909.0903</v>
      </c>
      <c r="BM838" t="s">
        <v>544</v>
      </c>
      <c r="BN838">
        <f t="shared" si="1045"/>
        <v>7628750000</v>
      </c>
      <c r="BO838">
        <f t="shared" si="1046"/>
        <v>7628750000</v>
      </c>
      <c r="BP838" t="s">
        <v>395</v>
      </c>
      <c r="BQ838" t="s">
        <v>1752</v>
      </c>
      <c r="BR838" t="s">
        <v>1753</v>
      </c>
      <c r="BS838">
        <v>-5605095.5414012698</v>
      </c>
      <c r="BT838">
        <v>-6942675.1592356702</v>
      </c>
      <c r="BU838" s="144">
        <v>1.3963963963963968</v>
      </c>
      <c r="BV838" s="152">
        <v>-1981981.9819819806</v>
      </c>
      <c r="BX838" s="152">
        <f t="shared" si="1047"/>
        <v>-1981981.9819819806</v>
      </c>
      <c r="BY838">
        <f t="shared" si="994"/>
        <v>-2.5980429060881282E-4</v>
      </c>
      <c r="BZ838">
        <v>0</v>
      </c>
      <c r="CA838">
        <v>0</v>
      </c>
      <c r="CB838">
        <v>0</v>
      </c>
      <c r="CC838">
        <v>0</v>
      </c>
      <c r="CD838">
        <v>0</v>
      </c>
      <c r="CE838">
        <v>0</v>
      </c>
      <c r="CF838">
        <v>0</v>
      </c>
      <c r="CG838">
        <v>0</v>
      </c>
      <c r="CH838">
        <v>0</v>
      </c>
      <c r="CI838">
        <v>0</v>
      </c>
      <c r="CJ838">
        <v>0</v>
      </c>
      <c r="CK838">
        <v>0</v>
      </c>
      <c r="CL838">
        <v>0</v>
      </c>
      <c r="CM838">
        <v>0</v>
      </c>
      <c r="CN838" t="str">
        <f t="shared" si="1048"/>
        <v>refOK</v>
      </c>
      <c r="CO838">
        <f t="shared" si="1049"/>
        <v>1311119090909.0903</v>
      </c>
      <c r="CP838">
        <f t="shared" si="1050"/>
        <v>1318747840909.0903</v>
      </c>
      <c r="CQ838">
        <f t="shared" si="1051"/>
        <v>7628750000</v>
      </c>
      <c r="CR838">
        <f t="shared" si="1028"/>
        <v>5605095.5414012698</v>
      </c>
      <c r="CS838">
        <f t="shared" si="1029"/>
        <v>6942675.1592356702</v>
      </c>
      <c r="CT838">
        <f t="shared" si="1030"/>
        <v>1981981.9819819806</v>
      </c>
      <c r="CU838">
        <f t="shared" si="1031"/>
        <v>2.5980429060881282E-4</v>
      </c>
      <c r="CV838" s="2">
        <f t="shared" si="1032"/>
        <v>0.23863636363636478</v>
      </c>
      <c r="CW838" s="1" t="s">
        <v>1198</v>
      </c>
      <c r="CX838" t="str">
        <f t="shared" si="1033"/>
        <v>reg</v>
      </c>
      <c r="CY838" t="s">
        <v>428</v>
      </c>
      <c r="CZ838">
        <v>2015</v>
      </c>
      <c r="DA838">
        <v>2040</v>
      </c>
      <c r="DB838">
        <v>0</v>
      </c>
      <c r="DC838" t="str">
        <f t="shared" si="1034"/>
        <v>0</v>
      </c>
      <c r="DD838">
        <v>1</v>
      </c>
      <c r="DE838">
        <v>0</v>
      </c>
      <c r="DF838">
        <v>0</v>
      </c>
      <c r="DG838">
        <v>0</v>
      </c>
      <c r="DH838">
        <v>0</v>
      </c>
      <c r="DI838">
        <v>1</v>
      </c>
      <c r="DJ838" t="str">
        <f t="shared" si="1036"/>
        <v>UpstreamInput</v>
      </c>
      <c r="DK838" t="str">
        <f t="shared" si="1037"/>
        <v>Upstream</v>
      </c>
      <c r="DL838">
        <f t="shared" si="1038"/>
        <v>0</v>
      </c>
      <c r="DM838">
        <f t="shared" si="1039"/>
        <v>0</v>
      </c>
      <c r="DN838">
        <f t="shared" si="1040"/>
        <v>0</v>
      </c>
      <c r="DO838">
        <v>0</v>
      </c>
      <c r="DP838">
        <v>0</v>
      </c>
      <c r="DQ838">
        <v>0</v>
      </c>
      <c r="DR838">
        <v>0</v>
      </c>
      <c r="DS838">
        <v>0</v>
      </c>
      <c r="DT838">
        <f t="shared" si="1041"/>
        <v>0</v>
      </c>
      <c r="DU838" s="143" t="s">
        <v>961</v>
      </c>
      <c r="DV838">
        <v>1</v>
      </c>
      <c r="DW838">
        <v>1</v>
      </c>
      <c r="DX838">
        <v>1</v>
      </c>
      <c r="DY838">
        <v>0</v>
      </c>
      <c r="DZ838">
        <v>0</v>
      </c>
      <c r="EA838" s="143">
        <v>0</v>
      </c>
      <c r="EB838">
        <v>0</v>
      </c>
      <c r="EC838">
        <v>0</v>
      </c>
      <c r="ED838">
        <v>0</v>
      </c>
      <c r="EE838">
        <v>0</v>
      </c>
      <c r="EF838">
        <v>1</v>
      </c>
      <c r="EG838" s="143">
        <v>0</v>
      </c>
      <c r="EH838" s="143">
        <v>1</v>
      </c>
      <c r="EI838" s="2">
        <v>0</v>
      </c>
      <c r="EK838" t="str">
        <f t="shared" si="1052"/>
        <v/>
      </c>
      <c r="EL838" t="str">
        <f t="shared" si="1053"/>
        <v>Ecosystem approach</v>
      </c>
      <c r="EM838" s="2" t="str">
        <f t="shared" si="995"/>
        <v/>
      </c>
      <c r="EP838" t="str">
        <f>IF(ISNUMBER(BU838),IF(ABS(BU838-[2]QC_indicators!$B$2)&gt;3*[2]QC_indicators!$C$2,"C ratio",IF(ISNUMBER(BY838),IF(ABS(BY838-[2]QC_indicators!$B$1)&gt;3*[2]QC_indicators!$C$1,"DF","no"))),IF(ISNUMBER(BY838),IF(ABS(BY838-[2]QC_indicators!$B$1)&gt;3*[2]QC_indicators!$C$1,"DF","no")))</f>
        <v>no</v>
      </c>
      <c r="ER838" t="s">
        <v>1754</v>
      </c>
      <c r="ET838" s="264" t="s">
        <v>3267</v>
      </c>
      <c r="EU838" s="264"/>
    </row>
    <row r="839" spans="1:151" ht="15" hidden="1" customHeight="1">
      <c r="A839" s="1" t="s">
        <v>1377</v>
      </c>
      <c r="B839" t="s">
        <v>1741</v>
      </c>
      <c r="C839" t="s">
        <v>1742</v>
      </c>
      <c r="D839" t="s">
        <v>1743</v>
      </c>
      <c r="E839" t="s">
        <v>1744</v>
      </c>
      <c r="F839" t="s">
        <v>1745</v>
      </c>
      <c r="G839" t="s">
        <v>1383</v>
      </c>
      <c r="H839" t="s">
        <v>254</v>
      </c>
      <c r="I839">
        <v>2019</v>
      </c>
      <c r="J839">
        <v>1</v>
      </c>
      <c r="K839" t="s">
        <v>1746</v>
      </c>
      <c r="M839" t="str">
        <f t="shared" si="1044"/>
        <v>Jones_2019</v>
      </c>
      <c r="N839" t="s">
        <v>222</v>
      </c>
      <c r="O839" s="171" t="s">
        <v>513</v>
      </c>
      <c r="P839" t="s">
        <v>959</v>
      </c>
      <c r="Q839" t="s">
        <v>389</v>
      </c>
      <c r="R839" s="269" t="s">
        <v>274</v>
      </c>
      <c r="S839" s="1" t="s">
        <v>1747</v>
      </c>
      <c r="T839" t="s">
        <v>1748</v>
      </c>
      <c r="U839" t="s">
        <v>1749</v>
      </c>
      <c r="V839" s="274">
        <v>1</v>
      </c>
      <c r="W839" s="274">
        <v>0</v>
      </c>
      <c r="X839" s="274">
        <v>0</v>
      </c>
      <c r="Y839" s="274">
        <v>0</v>
      </c>
      <c r="Z839" s="274">
        <v>0</v>
      </c>
      <c r="AA839" s="274">
        <v>0</v>
      </c>
      <c r="AB839" s="274">
        <v>0</v>
      </c>
      <c r="AC839" s="274">
        <v>0</v>
      </c>
      <c r="AD839" s="274">
        <v>0</v>
      </c>
      <c r="AE839" s="274">
        <v>0</v>
      </c>
      <c r="AF839" s="274">
        <v>0</v>
      </c>
      <c r="AG839" s="274">
        <v>0</v>
      </c>
      <c r="AH839" s="274">
        <v>0</v>
      </c>
      <c r="AI839" s="274">
        <v>0</v>
      </c>
      <c r="AJ839" s="274">
        <v>0</v>
      </c>
      <c r="AK839" s="274">
        <v>0</v>
      </c>
      <c r="AL839" s="274">
        <v>0</v>
      </c>
      <c r="AM839" s="274">
        <v>0</v>
      </c>
      <c r="AN839" s="274">
        <v>0</v>
      </c>
      <c r="AO839" s="274">
        <v>0</v>
      </c>
      <c r="AP839" s="274">
        <v>0</v>
      </c>
      <c r="AQ839" s="274">
        <v>0</v>
      </c>
      <c r="AR839" s="274">
        <v>0</v>
      </c>
      <c r="AS839" s="274">
        <v>0</v>
      </c>
      <c r="AT839" s="274">
        <v>2</v>
      </c>
      <c r="AU839" s="274">
        <v>0</v>
      </c>
      <c r="AV839" s="274">
        <v>0</v>
      </c>
      <c r="AW839" s="274">
        <v>2</v>
      </c>
      <c r="AX839" s="141">
        <f t="shared" si="1016"/>
        <v>3</v>
      </c>
      <c r="AY839" s="141">
        <f t="shared" si="1017"/>
        <v>1</v>
      </c>
      <c r="AZ839">
        <f t="shared" si="1018"/>
        <v>1</v>
      </c>
      <c r="BA839">
        <f t="shared" si="1019"/>
        <v>0</v>
      </c>
      <c r="BB839">
        <f t="shared" si="1020"/>
        <v>0</v>
      </c>
      <c r="BC839">
        <f t="shared" si="1021"/>
        <v>2</v>
      </c>
      <c r="BD839">
        <f t="shared" si="1022"/>
        <v>0</v>
      </c>
      <c r="BE839" s="274" t="str">
        <f t="array" ref="BE839">IF(AY839=1,INDEX($V$7:$AL$7,MATCH(TRUE,INDEX($V839:$AW839&lt;&gt;0,),0)),IF(AY839=0,INDEX($AM$7:$AW$7,MATCH(1,$AM839:$AW839,0)),IF(BF839="Multiple strategies","mixed drivers",IF(BF839="Supply chain","multiple supply","multiple silviculture"))))</f>
        <v>area subject to harvest</v>
      </c>
      <c r="BF839" s="2" t="str" cm="1">
        <f t="array" ref="BF839">IF(COUNTIF(AZ839:BB839,"&lt;&gt;0")=1,INDEX($V$4:$AW$4,MATCH(TRUE,INDEX($V839:$AW839&lt;&gt;0,),0)),IF(COUNTIF(AZ839:BB839,"&lt;&gt;0")=0,INDEX($AM$4:$AW$4,MATCH(1,$AM839:$AW839,0)),"Multiple strategies"))</f>
        <v>Silviculture for removals</v>
      </c>
      <c r="BG839" s="1" t="s">
        <v>321</v>
      </c>
      <c r="BH839" t="s">
        <v>1750</v>
      </c>
      <c r="BI839" t="s">
        <v>1751</v>
      </c>
      <c r="BJ839" t="s">
        <v>498</v>
      </c>
      <c r="BK839">
        <v>2099896818181.8174</v>
      </c>
      <c r="BL839">
        <v>2126067159090.9072</v>
      </c>
      <c r="BM839" t="s">
        <v>544</v>
      </c>
      <c r="BN839">
        <f t="shared" si="1045"/>
        <v>26170340909.089844</v>
      </c>
      <c r="BO839">
        <f t="shared" si="1046"/>
        <v>26170340909.089844</v>
      </c>
      <c r="BP839" t="s">
        <v>395</v>
      </c>
      <c r="BQ839" t="s">
        <v>1752</v>
      </c>
      <c r="BR839" t="s">
        <v>1753</v>
      </c>
      <c r="BS839">
        <v>-5630630.6306306301</v>
      </c>
      <c r="BT839">
        <v>-9234234.2342342511</v>
      </c>
      <c r="BU839" s="144">
        <v>1.6400000000000032</v>
      </c>
      <c r="BV839" s="152">
        <v>-3603603.603603621</v>
      </c>
      <c r="BX839" s="152">
        <f t="shared" si="1047"/>
        <v>-3603603.603603621</v>
      </c>
      <c r="BY839">
        <f t="shared" si="994"/>
        <v>-1.3769800004217629E-4</v>
      </c>
      <c r="BZ839">
        <v>0</v>
      </c>
      <c r="CA839">
        <v>0</v>
      </c>
      <c r="CB839">
        <v>0</v>
      </c>
      <c r="CC839">
        <v>0</v>
      </c>
      <c r="CD839">
        <v>0</v>
      </c>
      <c r="CE839">
        <v>0</v>
      </c>
      <c r="CF839">
        <v>0</v>
      </c>
      <c r="CG839">
        <v>0</v>
      </c>
      <c r="CH839">
        <v>0</v>
      </c>
      <c r="CI839">
        <v>0</v>
      </c>
      <c r="CJ839">
        <v>0</v>
      </c>
      <c r="CK839">
        <v>0</v>
      </c>
      <c r="CL839">
        <v>0</v>
      </c>
      <c r="CM839">
        <v>0</v>
      </c>
      <c r="CN839" t="str">
        <f t="shared" si="1048"/>
        <v>refOK</v>
      </c>
      <c r="CO839">
        <f t="shared" si="1049"/>
        <v>2099896818181.8174</v>
      </c>
      <c r="CP839">
        <f t="shared" si="1050"/>
        <v>2126067159090.9072</v>
      </c>
      <c r="CQ839">
        <f t="shared" si="1051"/>
        <v>26170340909.089844</v>
      </c>
      <c r="CR839">
        <f t="shared" si="1028"/>
        <v>5630630.6306306301</v>
      </c>
      <c r="CS839">
        <f t="shared" si="1029"/>
        <v>9234234.2342342511</v>
      </c>
      <c r="CT839">
        <f t="shared" si="1030"/>
        <v>3603603.603603621</v>
      </c>
      <c r="CU839">
        <f t="shared" si="1031"/>
        <v>1.3769800004217629E-4</v>
      </c>
      <c r="CV839" s="2">
        <f t="shared" si="1032"/>
        <v>0.64000000000000312</v>
      </c>
      <c r="CW839" s="1" t="s">
        <v>1198</v>
      </c>
      <c r="CX839" t="str">
        <f t="shared" si="1033"/>
        <v>reg</v>
      </c>
      <c r="CY839" t="s">
        <v>428</v>
      </c>
      <c r="CZ839">
        <v>2015</v>
      </c>
      <c r="DA839">
        <v>2060</v>
      </c>
      <c r="DB839">
        <v>0</v>
      </c>
      <c r="DC839" t="str">
        <f t="shared" si="1034"/>
        <v>0</v>
      </c>
      <c r="DD839">
        <v>1</v>
      </c>
      <c r="DE839">
        <v>0</v>
      </c>
      <c r="DF839">
        <v>0</v>
      </c>
      <c r="DG839">
        <v>0</v>
      </c>
      <c r="DH839">
        <v>0</v>
      </c>
      <c r="DI839">
        <v>1</v>
      </c>
      <c r="DJ839" t="str">
        <f t="shared" si="1036"/>
        <v>UpstreamInput</v>
      </c>
      <c r="DK839" t="str">
        <f t="shared" si="1037"/>
        <v>Upstream</v>
      </c>
      <c r="DL839">
        <f t="shared" si="1038"/>
        <v>0</v>
      </c>
      <c r="DM839">
        <f t="shared" si="1039"/>
        <v>0</v>
      </c>
      <c r="DN839">
        <f t="shared" si="1040"/>
        <v>0</v>
      </c>
      <c r="DO839">
        <v>0</v>
      </c>
      <c r="DP839">
        <v>0</v>
      </c>
      <c r="DQ839">
        <v>0</v>
      </c>
      <c r="DR839">
        <v>0</v>
      </c>
      <c r="DS839">
        <v>0</v>
      </c>
      <c r="DT839">
        <f t="shared" si="1041"/>
        <v>0</v>
      </c>
      <c r="DU839" s="143" t="s">
        <v>961</v>
      </c>
      <c r="DV839">
        <v>1</v>
      </c>
      <c r="DW839">
        <v>1</v>
      </c>
      <c r="DX839">
        <v>1</v>
      </c>
      <c r="DY839">
        <v>0</v>
      </c>
      <c r="DZ839">
        <v>0</v>
      </c>
      <c r="EA839" s="143">
        <v>0</v>
      </c>
      <c r="EB839">
        <v>0</v>
      </c>
      <c r="EC839">
        <v>0</v>
      </c>
      <c r="ED839">
        <v>0</v>
      </c>
      <c r="EE839">
        <v>0</v>
      </c>
      <c r="EF839">
        <v>1</v>
      </c>
      <c r="EG839">
        <v>0</v>
      </c>
      <c r="EH839">
        <v>1</v>
      </c>
      <c r="EI839" s="2">
        <v>0</v>
      </c>
      <c r="EK839" t="str">
        <f t="shared" si="1052"/>
        <v/>
      </c>
      <c r="EL839" t="str">
        <f t="shared" si="1053"/>
        <v>Ecosystem approach</v>
      </c>
      <c r="EM839" s="2" t="str">
        <f t="shared" si="995"/>
        <v/>
      </c>
      <c r="EP839" t="str">
        <f>IF(ISNUMBER(BU839),IF(ABS(BU839-[2]QC_indicators!$B$2)&gt;3*[2]QC_indicators!$C$2,"C ratio",IF(ISNUMBER(BY839),IF(ABS(BY839-[2]QC_indicators!$B$1)&gt;3*[2]QC_indicators!$C$1,"DF","no"))),IF(ISNUMBER(BY839),IF(ABS(BY839-[2]QC_indicators!$B$1)&gt;3*[2]QC_indicators!$C$1,"DF","no")))</f>
        <v>no</v>
      </c>
      <c r="ER839" t="s">
        <v>1754</v>
      </c>
      <c r="ET839" s="264" t="s">
        <v>3266</v>
      </c>
      <c r="EU839" s="264"/>
    </row>
    <row r="840" spans="1:151" ht="15" hidden="1" customHeight="1">
      <c r="A840" s="1" t="s">
        <v>1377</v>
      </c>
      <c r="B840" t="s">
        <v>1741</v>
      </c>
      <c r="C840" t="s">
        <v>1742</v>
      </c>
      <c r="D840" t="s">
        <v>1743</v>
      </c>
      <c r="E840" t="s">
        <v>1744</v>
      </c>
      <c r="F840" t="s">
        <v>1745</v>
      </c>
      <c r="G840" t="s">
        <v>1383</v>
      </c>
      <c r="H840" t="s">
        <v>254</v>
      </c>
      <c r="I840">
        <v>2019</v>
      </c>
      <c r="J840">
        <v>1</v>
      </c>
      <c r="K840" t="s">
        <v>1746</v>
      </c>
      <c r="M840" t="str">
        <f t="shared" si="1044"/>
        <v>Jones_2019</v>
      </c>
      <c r="N840" t="s">
        <v>222</v>
      </c>
      <c r="O840" s="171" t="s">
        <v>513</v>
      </c>
      <c r="P840" t="s">
        <v>959</v>
      </c>
      <c r="Q840" t="s">
        <v>389</v>
      </c>
      <c r="R840" s="269" t="s">
        <v>274</v>
      </c>
      <c r="S840" s="1" t="s">
        <v>1755</v>
      </c>
      <c r="T840" t="s">
        <v>1756</v>
      </c>
      <c r="U840" t="s">
        <v>1749</v>
      </c>
      <c r="V840" s="274">
        <v>1</v>
      </c>
      <c r="W840" s="274">
        <v>0</v>
      </c>
      <c r="X840" s="274">
        <v>0</v>
      </c>
      <c r="Y840" s="274">
        <v>0</v>
      </c>
      <c r="Z840" s="274">
        <v>0</v>
      </c>
      <c r="AA840" s="274">
        <v>0</v>
      </c>
      <c r="AB840" s="274">
        <v>0</v>
      </c>
      <c r="AC840" s="274">
        <v>0</v>
      </c>
      <c r="AD840" s="274">
        <v>0</v>
      </c>
      <c r="AE840" s="274">
        <v>0</v>
      </c>
      <c r="AF840" s="274">
        <v>0</v>
      </c>
      <c r="AG840" s="274">
        <v>0</v>
      </c>
      <c r="AH840" s="274">
        <v>0</v>
      </c>
      <c r="AI840" s="274">
        <v>0</v>
      </c>
      <c r="AJ840" s="274">
        <v>0</v>
      </c>
      <c r="AK840" s="274">
        <v>0</v>
      </c>
      <c r="AL840" s="274">
        <v>0</v>
      </c>
      <c r="AM840" s="274">
        <v>0</v>
      </c>
      <c r="AN840" s="274">
        <v>0</v>
      </c>
      <c r="AO840" s="274">
        <v>0</v>
      </c>
      <c r="AP840" s="274">
        <v>0</v>
      </c>
      <c r="AQ840" s="274">
        <v>0</v>
      </c>
      <c r="AR840" s="274">
        <v>0</v>
      </c>
      <c r="AS840" s="274">
        <v>0</v>
      </c>
      <c r="AT840" s="274">
        <v>2</v>
      </c>
      <c r="AU840" s="274">
        <v>0</v>
      </c>
      <c r="AV840" s="274">
        <v>0</v>
      </c>
      <c r="AW840" s="274">
        <v>2</v>
      </c>
      <c r="AX840" s="141">
        <f t="shared" si="1016"/>
        <v>3</v>
      </c>
      <c r="AY840" s="141">
        <f t="shared" si="1017"/>
        <v>1</v>
      </c>
      <c r="AZ840">
        <f t="shared" si="1018"/>
        <v>1</v>
      </c>
      <c r="BA840">
        <f t="shared" si="1019"/>
        <v>0</v>
      </c>
      <c r="BB840">
        <f t="shared" si="1020"/>
        <v>0</v>
      </c>
      <c r="BC840">
        <f t="shared" si="1021"/>
        <v>2</v>
      </c>
      <c r="BD840">
        <f t="shared" si="1022"/>
        <v>0</v>
      </c>
      <c r="BE840" s="274" t="str">
        <f t="array" ref="BE840">IF(AY840=1,INDEX($V$7:$AL$7,MATCH(TRUE,INDEX($V840:$AW840&lt;&gt;0,),0)),IF(AY840=0,INDEX($AM$7:$AW$7,MATCH(1,$AM840:$AW840,0)),IF(BF840="Multiple strategies","mixed drivers",IF(BF840="Supply chain","multiple supply","multiple silviculture"))))</f>
        <v>area subject to harvest</v>
      </c>
      <c r="BF840" s="2" t="str" cm="1">
        <f t="array" ref="BF840">IF(COUNTIF(AZ840:BB840,"&lt;&gt;0")=1,INDEX($V$4:$AW$4,MATCH(TRUE,INDEX($V840:$AW840&lt;&gt;0,),0)),IF(COUNTIF(AZ840:BB840,"&lt;&gt;0")=0,INDEX($AM$4:$AW$4,MATCH(1,$AM840:$AW840,0)),"Multiple strategies"))</f>
        <v>Silviculture for removals</v>
      </c>
      <c r="BG840" s="1" t="s">
        <v>321</v>
      </c>
      <c r="BH840" t="s">
        <v>1750</v>
      </c>
      <c r="BI840" t="s">
        <v>1751</v>
      </c>
      <c r="BJ840" t="s">
        <v>498</v>
      </c>
      <c r="BK840">
        <v>2101773977272.7263</v>
      </c>
      <c r="BL840">
        <v>2126067159090.9072</v>
      </c>
      <c r="BM840" t="s">
        <v>544</v>
      </c>
      <c r="BN840">
        <f t="shared" si="1045"/>
        <v>24293181818.180908</v>
      </c>
      <c r="BO840">
        <f t="shared" si="1046"/>
        <v>24293181818.180908</v>
      </c>
      <c r="BP840" t="s">
        <v>395</v>
      </c>
      <c r="BQ840" t="s">
        <v>1752</v>
      </c>
      <c r="BR840" t="s">
        <v>1753</v>
      </c>
      <c r="BS840">
        <v>-6126126.1261261208</v>
      </c>
      <c r="BT840">
        <v>-9234234.2342342511</v>
      </c>
      <c r="BU840" s="144">
        <v>1.5073529411764746</v>
      </c>
      <c r="BV840" s="152">
        <f>BT840-BS840</f>
        <v>-3108108.1081081303</v>
      </c>
      <c r="BX840" s="152">
        <f t="shared" si="1047"/>
        <v>-3108108.1081081303</v>
      </c>
      <c r="BY840">
        <f t="shared" si="994"/>
        <v>-1.2794158177262873E-4</v>
      </c>
      <c r="BZ840">
        <v>0</v>
      </c>
      <c r="CA840">
        <v>0</v>
      </c>
      <c r="CB840">
        <v>0</v>
      </c>
      <c r="CC840">
        <v>0</v>
      </c>
      <c r="CD840">
        <v>0</v>
      </c>
      <c r="CE840">
        <v>0</v>
      </c>
      <c r="CF840">
        <v>0</v>
      </c>
      <c r="CG840">
        <v>0</v>
      </c>
      <c r="CH840">
        <v>0</v>
      </c>
      <c r="CI840">
        <v>0</v>
      </c>
      <c r="CJ840">
        <v>0</v>
      </c>
      <c r="CK840">
        <v>0</v>
      </c>
      <c r="CL840">
        <v>0</v>
      </c>
      <c r="CM840">
        <v>0</v>
      </c>
      <c r="CN840" t="str">
        <f t="shared" si="1048"/>
        <v>refOK</v>
      </c>
      <c r="CO840">
        <f t="shared" si="1049"/>
        <v>2101773977272.7263</v>
      </c>
      <c r="CP840">
        <f t="shared" si="1050"/>
        <v>2126067159090.9072</v>
      </c>
      <c r="CQ840">
        <f t="shared" si="1051"/>
        <v>24293181818.180908</v>
      </c>
      <c r="CR840">
        <f t="shared" si="1028"/>
        <v>6126126.1261261208</v>
      </c>
      <c r="CS840">
        <f t="shared" si="1029"/>
        <v>9234234.2342342511</v>
      </c>
      <c r="CT840">
        <f t="shared" si="1030"/>
        <v>3108108.1081081303</v>
      </c>
      <c r="CU840">
        <f t="shared" si="1031"/>
        <v>1.2794158177262873E-4</v>
      </c>
      <c r="CV840" s="2">
        <f t="shared" si="1032"/>
        <v>0.50735294117647467</v>
      </c>
      <c r="CW840" s="1" t="s">
        <v>1198</v>
      </c>
      <c r="CX840" t="str">
        <f t="shared" si="1033"/>
        <v>reg</v>
      </c>
      <c r="CY840" t="s">
        <v>428</v>
      </c>
      <c r="CZ840">
        <v>2015</v>
      </c>
      <c r="DA840">
        <v>2060</v>
      </c>
      <c r="DB840">
        <v>0</v>
      </c>
      <c r="DC840" t="str">
        <f t="shared" si="1034"/>
        <v>0</v>
      </c>
      <c r="DD840">
        <v>1</v>
      </c>
      <c r="DE840">
        <v>0</v>
      </c>
      <c r="DF840">
        <v>0</v>
      </c>
      <c r="DG840">
        <v>0</v>
      </c>
      <c r="DH840">
        <v>0</v>
      </c>
      <c r="DI840">
        <v>1</v>
      </c>
      <c r="DJ840" t="str">
        <f t="shared" si="1036"/>
        <v>UpstreamInput</v>
      </c>
      <c r="DK840" t="str">
        <f t="shared" si="1037"/>
        <v>Upstream</v>
      </c>
      <c r="DL840">
        <f t="shared" si="1038"/>
        <v>0</v>
      </c>
      <c r="DM840">
        <f t="shared" si="1039"/>
        <v>0</v>
      </c>
      <c r="DN840">
        <f t="shared" si="1040"/>
        <v>0</v>
      </c>
      <c r="DO840">
        <v>0</v>
      </c>
      <c r="DP840">
        <v>0</v>
      </c>
      <c r="DQ840">
        <v>0</v>
      </c>
      <c r="DR840">
        <v>0</v>
      </c>
      <c r="DS840">
        <v>0</v>
      </c>
      <c r="DT840">
        <f t="shared" si="1041"/>
        <v>0</v>
      </c>
      <c r="DU840" s="143" t="s">
        <v>961</v>
      </c>
      <c r="DV840">
        <v>1</v>
      </c>
      <c r="DW840">
        <v>1</v>
      </c>
      <c r="DX840">
        <v>1</v>
      </c>
      <c r="DY840">
        <v>0</v>
      </c>
      <c r="DZ840">
        <v>0</v>
      </c>
      <c r="EA840" s="143">
        <v>0</v>
      </c>
      <c r="EB840">
        <v>0</v>
      </c>
      <c r="EC840">
        <v>0</v>
      </c>
      <c r="ED840">
        <v>0</v>
      </c>
      <c r="EE840">
        <v>0</v>
      </c>
      <c r="EF840">
        <v>1</v>
      </c>
      <c r="EG840">
        <v>0</v>
      </c>
      <c r="EH840">
        <v>1</v>
      </c>
      <c r="EI840" s="2">
        <v>0</v>
      </c>
      <c r="EK840" t="str">
        <f t="shared" si="1052"/>
        <v/>
      </c>
      <c r="EL840" t="str">
        <f t="shared" si="1053"/>
        <v>Ecosystem approach</v>
      </c>
      <c r="EM840" s="2" t="str">
        <f t="shared" si="995"/>
        <v/>
      </c>
      <c r="EP840" t="str">
        <f>IF(ISNUMBER(BU840),IF(ABS(BU840-[2]QC_indicators!$B$2)&gt;3*[2]QC_indicators!$C$2,"C ratio",IF(ISNUMBER(BY840),IF(ABS(BY840-[2]QC_indicators!$B$1)&gt;3*[2]QC_indicators!$C$1,"DF","no"))),IF(ISNUMBER(BY840),IF(ABS(BY840-[2]QC_indicators!$B$1)&gt;3*[2]QC_indicators!$C$1,"DF","no")))</f>
        <v>no</v>
      </c>
      <c r="ER840" t="s">
        <v>1754</v>
      </c>
      <c r="ET840" s="264" t="s">
        <v>3266</v>
      </c>
      <c r="EU840" s="264"/>
    </row>
    <row r="841" spans="1:151" ht="15" hidden="1" customHeight="1">
      <c r="A841" s="1" t="s">
        <v>1377</v>
      </c>
      <c r="B841" t="s">
        <v>1741</v>
      </c>
      <c r="C841" t="s">
        <v>1742</v>
      </c>
      <c r="D841" t="s">
        <v>1743</v>
      </c>
      <c r="E841" t="s">
        <v>1744</v>
      </c>
      <c r="F841" t="s">
        <v>1745</v>
      </c>
      <c r="G841" t="s">
        <v>1383</v>
      </c>
      <c r="H841" t="s">
        <v>254</v>
      </c>
      <c r="I841">
        <v>2019</v>
      </c>
      <c r="J841">
        <v>1</v>
      </c>
      <c r="K841" t="s">
        <v>1746</v>
      </c>
      <c r="M841" t="str">
        <f t="shared" si="1044"/>
        <v>Jones_2019</v>
      </c>
      <c r="N841" t="s">
        <v>222</v>
      </c>
      <c r="O841" s="171" t="s">
        <v>513</v>
      </c>
      <c r="P841" t="s">
        <v>959</v>
      </c>
      <c r="Q841" t="s">
        <v>389</v>
      </c>
      <c r="R841" s="269" t="s">
        <v>274</v>
      </c>
      <c r="S841" s="1" t="s">
        <v>1757</v>
      </c>
      <c r="T841" t="s">
        <v>1758</v>
      </c>
      <c r="U841" t="s">
        <v>1749</v>
      </c>
      <c r="V841" s="274">
        <v>1</v>
      </c>
      <c r="W841" s="274">
        <v>0</v>
      </c>
      <c r="X841" s="274">
        <v>0</v>
      </c>
      <c r="Y841" s="274">
        <v>0</v>
      </c>
      <c r="Z841" s="274">
        <v>0</v>
      </c>
      <c r="AA841" s="274">
        <v>0</v>
      </c>
      <c r="AB841" s="274">
        <v>0</v>
      </c>
      <c r="AC841" s="274">
        <v>0</v>
      </c>
      <c r="AD841" s="274">
        <v>0</v>
      </c>
      <c r="AE841" s="274">
        <v>0</v>
      </c>
      <c r="AF841" s="274">
        <v>0</v>
      </c>
      <c r="AG841" s="274">
        <v>0</v>
      </c>
      <c r="AH841" s="274">
        <v>0</v>
      </c>
      <c r="AI841" s="274">
        <v>0</v>
      </c>
      <c r="AJ841" s="274">
        <v>0</v>
      </c>
      <c r="AK841" s="274">
        <v>0</v>
      </c>
      <c r="AL841" s="274">
        <v>0</v>
      </c>
      <c r="AM841" s="274">
        <v>0</v>
      </c>
      <c r="AN841" s="274">
        <v>0</v>
      </c>
      <c r="AO841" s="274">
        <v>0</v>
      </c>
      <c r="AP841" s="274">
        <v>0</v>
      </c>
      <c r="AQ841" s="274">
        <v>0</v>
      </c>
      <c r="AR841" s="274">
        <v>0</v>
      </c>
      <c r="AS841" s="274">
        <v>0</v>
      </c>
      <c r="AT841" s="274">
        <v>2</v>
      </c>
      <c r="AU841" s="274">
        <v>0</v>
      </c>
      <c r="AV841" s="274">
        <v>0</v>
      </c>
      <c r="AW841" s="274">
        <v>2</v>
      </c>
      <c r="AX841" s="141">
        <f t="shared" si="1016"/>
        <v>3</v>
      </c>
      <c r="AY841" s="141">
        <f t="shared" si="1017"/>
        <v>1</v>
      </c>
      <c r="AZ841">
        <f t="shared" si="1018"/>
        <v>1</v>
      </c>
      <c r="BA841">
        <f t="shared" si="1019"/>
        <v>0</v>
      </c>
      <c r="BB841">
        <f t="shared" si="1020"/>
        <v>0</v>
      </c>
      <c r="BC841">
        <f t="shared" si="1021"/>
        <v>2</v>
      </c>
      <c r="BD841">
        <f t="shared" si="1022"/>
        <v>0</v>
      </c>
      <c r="BE841" s="274" t="str">
        <f t="array" ref="BE841">IF(AY841=1,INDEX($V$7:$AL$7,MATCH(TRUE,INDEX($V841:$AW841&lt;&gt;0,),0)),IF(AY841=0,INDEX($AM$7:$AW$7,MATCH(1,$AM841:$AW841,0)),IF(BF841="Multiple strategies","mixed drivers",IF(BF841="Supply chain","multiple supply","multiple silviculture"))))</f>
        <v>area subject to harvest</v>
      </c>
      <c r="BF841" s="2" t="str" cm="1">
        <f t="array" ref="BF841">IF(COUNTIF(AZ841:BB841,"&lt;&gt;0")=1,INDEX($V$4:$AW$4,MATCH(TRUE,INDEX($V841:$AW841&lt;&gt;0,),0)),IF(COUNTIF(AZ841:BB841,"&lt;&gt;0")=0,INDEX($AM$4:$AW$4,MATCH(1,$AM841:$AW841,0)),"Multiple strategies"))</f>
        <v>Silviculture for removals</v>
      </c>
      <c r="BG841" s="1" t="s">
        <v>321</v>
      </c>
      <c r="BH841" t="s">
        <v>1750</v>
      </c>
      <c r="BI841" t="s">
        <v>1751</v>
      </c>
      <c r="BJ841" t="s">
        <v>498</v>
      </c>
      <c r="BK841">
        <v>2094218749999.9985</v>
      </c>
      <c r="BL841">
        <v>2126067159090.9072</v>
      </c>
      <c r="BM841" t="s">
        <v>544</v>
      </c>
      <c r="BN841">
        <f t="shared" si="1045"/>
        <v>31848409090.908691</v>
      </c>
      <c r="BO841">
        <f t="shared" si="1046"/>
        <v>31848409090.908691</v>
      </c>
      <c r="BP841" t="s">
        <v>395</v>
      </c>
      <c r="BQ841" t="s">
        <v>1752</v>
      </c>
      <c r="BR841" t="s">
        <v>1753</v>
      </c>
      <c r="BS841">
        <v>-5270270.2702702703</v>
      </c>
      <c r="BT841">
        <v>-9234234.2342342511</v>
      </c>
      <c r="BU841" s="144">
        <v>1.7521367521367552</v>
      </c>
      <c r="BV841" s="152">
        <v>-3963963.9639639808</v>
      </c>
      <c r="BX841" s="152">
        <f t="shared" si="1047"/>
        <v>-3963963.9639639808</v>
      </c>
      <c r="BY841">
        <f t="shared" si="994"/>
        <v>-1.2446348427166859E-4</v>
      </c>
      <c r="BZ841">
        <v>0</v>
      </c>
      <c r="CA841">
        <v>0</v>
      </c>
      <c r="CB841">
        <v>0</v>
      </c>
      <c r="CC841">
        <v>0</v>
      </c>
      <c r="CD841">
        <v>0</v>
      </c>
      <c r="CE841">
        <v>0</v>
      </c>
      <c r="CF841">
        <v>0</v>
      </c>
      <c r="CG841">
        <v>0</v>
      </c>
      <c r="CH841">
        <v>0</v>
      </c>
      <c r="CI841">
        <v>0</v>
      </c>
      <c r="CJ841">
        <v>0</v>
      </c>
      <c r="CK841">
        <v>0</v>
      </c>
      <c r="CL841">
        <v>0</v>
      </c>
      <c r="CM841">
        <v>0</v>
      </c>
      <c r="CN841" t="str">
        <f t="shared" si="1048"/>
        <v>refOK</v>
      </c>
      <c r="CO841">
        <f t="shared" si="1049"/>
        <v>2094218749999.9985</v>
      </c>
      <c r="CP841">
        <f t="shared" si="1050"/>
        <v>2126067159090.9072</v>
      </c>
      <c r="CQ841">
        <f t="shared" si="1051"/>
        <v>31848409090.908691</v>
      </c>
      <c r="CR841">
        <f t="shared" si="1028"/>
        <v>5270270.2702702703</v>
      </c>
      <c r="CS841">
        <f t="shared" si="1029"/>
        <v>9234234.2342342511</v>
      </c>
      <c r="CT841">
        <f t="shared" si="1030"/>
        <v>3963963.9639639808</v>
      </c>
      <c r="CU841">
        <f t="shared" si="1031"/>
        <v>1.2446348427166859E-4</v>
      </c>
      <c r="CV841" s="2">
        <f t="shared" si="1032"/>
        <v>0.75213675213675535</v>
      </c>
      <c r="CW841" s="1" t="s">
        <v>1198</v>
      </c>
      <c r="CX841" t="str">
        <f t="shared" si="1033"/>
        <v>reg</v>
      </c>
      <c r="CY841" t="s">
        <v>428</v>
      </c>
      <c r="CZ841">
        <v>2015</v>
      </c>
      <c r="DA841">
        <v>2060</v>
      </c>
      <c r="DB841">
        <v>0</v>
      </c>
      <c r="DC841" t="str">
        <f t="shared" si="1034"/>
        <v>0</v>
      </c>
      <c r="DD841">
        <v>1</v>
      </c>
      <c r="DE841">
        <v>0</v>
      </c>
      <c r="DF841">
        <v>0</v>
      </c>
      <c r="DG841">
        <v>0</v>
      </c>
      <c r="DH841">
        <v>0</v>
      </c>
      <c r="DI841">
        <v>1</v>
      </c>
      <c r="DJ841" t="str">
        <f t="shared" si="1036"/>
        <v>UpstreamInput</v>
      </c>
      <c r="DK841" t="str">
        <f t="shared" si="1037"/>
        <v>Upstream</v>
      </c>
      <c r="DL841">
        <f t="shared" si="1038"/>
        <v>0</v>
      </c>
      <c r="DM841">
        <f t="shared" si="1039"/>
        <v>0</v>
      </c>
      <c r="DN841">
        <f t="shared" si="1040"/>
        <v>0</v>
      </c>
      <c r="DO841">
        <v>0</v>
      </c>
      <c r="DP841">
        <v>0</v>
      </c>
      <c r="DQ841">
        <v>0</v>
      </c>
      <c r="DR841">
        <v>0</v>
      </c>
      <c r="DS841">
        <v>0</v>
      </c>
      <c r="DT841">
        <f t="shared" si="1041"/>
        <v>0</v>
      </c>
      <c r="DU841" s="143" t="s">
        <v>961</v>
      </c>
      <c r="DV841">
        <v>1</v>
      </c>
      <c r="DW841">
        <v>1</v>
      </c>
      <c r="DX841">
        <v>1</v>
      </c>
      <c r="DY841">
        <v>0</v>
      </c>
      <c r="DZ841">
        <v>0</v>
      </c>
      <c r="EA841" s="143">
        <v>0</v>
      </c>
      <c r="EB841">
        <v>0</v>
      </c>
      <c r="EC841">
        <v>0</v>
      </c>
      <c r="ED841">
        <v>0</v>
      </c>
      <c r="EE841">
        <v>0</v>
      </c>
      <c r="EF841">
        <v>1</v>
      </c>
      <c r="EG841">
        <v>0</v>
      </c>
      <c r="EH841">
        <v>1</v>
      </c>
      <c r="EI841" s="2">
        <v>0</v>
      </c>
      <c r="EK841" t="str">
        <f t="shared" si="1052"/>
        <v/>
      </c>
      <c r="EL841" t="str">
        <f t="shared" si="1053"/>
        <v>Ecosystem approach</v>
      </c>
      <c r="EM841" s="2" t="str">
        <f t="shared" si="995"/>
        <v/>
      </c>
      <c r="EP841" t="str">
        <f>IF(ISNUMBER(BU841),IF(ABS(BU841-[2]QC_indicators!$B$2)&gt;3*[2]QC_indicators!$C$2,"C ratio",IF(ISNUMBER(BY841),IF(ABS(BY841-[2]QC_indicators!$B$1)&gt;3*[2]QC_indicators!$C$1,"DF","no"))),IF(ISNUMBER(BY841),IF(ABS(BY841-[2]QC_indicators!$B$1)&gt;3*[2]QC_indicators!$C$1,"DF","no")))</f>
        <v>no</v>
      </c>
      <c r="ER841" t="s">
        <v>1754</v>
      </c>
      <c r="ET841" s="264" t="s">
        <v>3266</v>
      </c>
      <c r="EU841" s="264"/>
    </row>
    <row r="842" spans="1:151" ht="15" hidden="1" customHeight="1">
      <c r="A842" s="1" t="s">
        <v>1359</v>
      </c>
      <c r="B842" t="s">
        <v>3768</v>
      </c>
      <c r="C842" t="s">
        <v>3769</v>
      </c>
      <c r="D842" t="s">
        <v>3770</v>
      </c>
      <c r="E842" t="s">
        <v>3771</v>
      </c>
      <c r="F842" t="s">
        <v>3772</v>
      </c>
      <c r="G842" t="s">
        <v>1365</v>
      </c>
      <c r="H842" t="s">
        <v>254</v>
      </c>
      <c r="I842">
        <v>2021</v>
      </c>
      <c r="J842">
        <v>2</v>
      </c>
      <c r="K842" t="s">
        <v>3773</v>
      </c>
      <c r="M842" t="str">
        <f t="shared" si="1044"/>
        <v>Jong_2021</v>
      </c>
      <c r="N842" s="311" t="s">
        <v>4382</v>
      </c>
      <c r="O842" s="171" t="s">
        <v>513</v>
      </c>
      <c r="P842" t="s">
        <v>341</v>
      </c>
      <c r="Q842" s="311" t="s">
        <v>389</v>
      </c>
      <c r="R842" s="312"/>
      <c r="S842" s="154" t="s">
        <v>3774</v>
      </c>
      <c r="T842" s="149" t="s">
        <v>3775</v>
      </c>
      <c r="U842" t="s">
        <v>3776</v>
      </c>
      <c r="V842">
        <v>1</v>
      </c>
      <c r="W842">
        <v>0</v>
      </c>
      <c r="X842">
        <v>1</v>
      </c>
      <c r="Y842">
        <v>0</v>
      </c>
      <c r="Z842">
        <v>1</v>
      </c>
      <c r="AA842">
        <v>0</v>
      </c>
      <c r="AB842">
        <v>0</v>
      </c>
      <c r="AC842">
        <v>0</v>
      </c>
      <c r="AD842">
        <v>0</v>
      </c>
      <c r="AE842">
        <v>0</v>
      </c>
      <c r="AF842">
        <v>0</v>
      </c>
      <c r="AG842">
        <v>0</v>
      </c>
      <c r="AH842">
        <v>0</v>
      </c>
      <c r="AI842">
        <v>0</v>
      </c>
      <c r="AJ842">
        <v>0</v>
      </c>
      <c r="AK842">
        <v>0</v>
      </c>
      <c r="AL842">
        <v>0</v>
      </c>
      <c r="AM842">
        <v>0</v>
      </c>
      <c r="AN842">
        <v>0</v>
      </c>
      <c r="AO842">
        <v>0</v>
      </c>
      <c r="AP842">
        <v>0</v>
      </c>
      <c r="AQ842">
        <v>0</v>
      </c>
      <c r="AR842">
        <v>0</v>
      </c>
      <c r="AS842">
        <v>1</v>
      </c>
      <c r="AT842">
        <v>0</v>
      </c>
      <c r="AU842">
        <v>0</v>
      </c>
      <c r="AV842">
        <v>0</v>
      </c>
      <c r="AW842">
        <v>0</v>
      </c>
      <c r="AX842" s="141">
        <f t="shared" si="1016"/>
        <v>4</v>
      </c>
      <c r="AY842" s="141">
        <f t="shared" si="1017"/>
        <v>3</v>
      </c>
      <c r="AZ842">
        <f t="shared" si="1018"/>
        <v>3</v>
      </c>
      <c r="BA842">
        <f t="shared" si="1019"/>
        <v>0</v>
      </c>
      <c r="BB842">
        <f t="shared" si="1020"/>
        <v>0</v>
      </c>
      <c r="BC842">
        <f t="shared" si="1021"/>
        <v>1</v>
      </c>
      <c r="BD842">
        <f t="shared" si="1022"/>
        <v>0</v>
      </c>
      <c r="BE842" t="str" cm="1">
        <f t="array" ref="BE842">IF(AY842=1,INDEX($V$7:$AL$7,MATCH(TRUE,INDEX($V842:$AW842&lt;&gt;0,),0)),IF(AY842=0,INDEX($AM$7:$AW$7,MATCH(1,$AM842:$AW842,0)),IF(BF842="Multiple strategies","mixed drivers",IF(BF842="Supply chain","multiple supply","multiple silviculture"))))</f>
        <v>multiple silviculture</v>
      </c>
      <c r="BF842" s="2" t="str" cm="1">
        <f t="array" ref="BF842">IF(COUNTIF(AZ842:BB842,"&lt;&gt;0")=1,INDEX($V$4:$AW$4,MATCH(TRUE,INDEX($V842:$AW842&lt;&gt;0,),0)),IF(COUNTIF(AZ842:BB842,"&lt;&gt;0")=0,INDEX($AM$4:$AW$4,MATCH(1,$AM842:$AW842,0)),"Multiple strategies"))</f>
        <v>Silviculture for removals</v>
      </c>
      <c r="BG842" s="142"/>
      <c r="BJ842" s="143"/>
      <c r="BL842" s="143"/>
      <c r="BM842" t="str">
        <f>IFERROR(BL842/BK842,"")</f>
        <v/>
      </c>
      <c r="BN842" s="158"/>
      <c r="BO842" s="143"/>
      <c r="BP842" s="149" t="s">
        <v>232</v>
      </c>
      <c r="BR842" s="149" t="s">
        <v>3777</v>
      </c>
      <c r="BS842">
        <v>151.1</v>
      </c>
      <c r="BT842">
        <v>82</v>
      </c>
      <c r="BU842" s="144"/>
      <c r="BV842">
        <f t="shared" ref="BV842:BV852" si="1054">BT842-BS842</f>
        <v>-69.099999999999994</v>
      </c>
      <c r="BY842" t="str">
        <f t="shared" si="994"/>
        <v/>
      </c>
      <c r="BZ842">
        <v>0</v>
      </c>
      <c r="CA842">
        <v>0</v>
      </c>
      <c r="CB842">
        <v>0</v>
      </c>
      <c r="CC842">
        <v>0</v>
      </c>
      <c r="CD842">
        <v>0</v>
      </c>
      <c r="CE842">
        <v>0</v>
      </c>
      <c r="CF842">
        <v>0</v>
      </c>
      <c r="CG842">
        <v>0</v>
      </c>
      <c r="CH842">
        <v>0</v>
      </c>
      <c r="CI842">
        <v>0</v>
      </c>
      <c r="CJ842">
        <v>0</v>
      </c>
      <c r="CK842">
        <v>0</v>
      </c>
      <c r="CL842">
        <v>0</v>
      </c>
      <c r="CM842">
        <v>0</v>
      </c>
      <c r="CN842" t="str">
        <f t="shared" si="1048"/>
        <v>refOK</v>
      </c>
      <c r="CO842"/>
      <c r="CP842"/>
      <c r="CQ842"/>
      <c r="CR842">
        <f t="shared" si="1028"/>
        <v>151.1</v>
      </c>
      <c r="CS842">
        <f t="shared" si="1029"/>
        <v>82</v>
      </c>
      <c r="CT842">
        <f t="shared" si="1030"/>
        <v>0</v>
      </c>
      <c r="CU842" t="str">
        <f t="shared" si="1031"/>
        <v/>
      </c>
      <c r="CV842" s="2">
        <f t="shared" si="1032"/>
        <v>-0.45731303772336201</v>
      </c>
      <c r="CW842" s="1" t="s">
        <v>1202</v>
      </c>
      <c r="CX842" s="311" t="str">
        <f t="shared" si="1033"/>
        <v>reg</v>
      </c>
      <c r="CY842" s="149" t="s">
        <v>3778</v>
      </c>
      <c r="DA842" s="143"/>
      <c r="DB842" s="143">
        <v>30</v>
      </c>
      <c r="DC842" t="str">
        <f t="shared" si="1034"/>
        <v>1-30</v>
      </c>
      <c r="DD842">
        <v>0</v>
      </c>
      <c r="DE842">
        <v>0</v>
      </c>
      <c r="DF842">
        <v>0</v>
      </c>
      <c r="DG842">
        <v>1</v>
      </c>
      <c r="DH842">
        <v>0</v>
      </c>
      <c r="DI842">
        <f>SUM(DD842:DH842)</f>
        <v>1</v>
      </c>
      <c r="DJ842" t="str">
        <f t="shared" si="1036"/>
        <v>TimberInput</v>
      </c>
      <c r="DK842">
        <f t="shared" si="1037"/>
        <v>0</v>
      </c>
      <c r="DL842">
        <f t="shared" si="1038"/>
        <v>0</v>
      </c>
      <c r="DM842">
        <f t="shared" si="1039"/>
        <v>0</v>
      </c>
      <c r="DN842" t="str">
        <f t="shared" si="1040"/>
        <v>Timber</v>
      </c>
      <c r="DO842">
        <v>1</v>
      </c>
      <c r="DP842" s="143">
        <v>0</v>
      </c>
      <c r="DQ842" s="143">
        <v>0</v>
      </c>
      <c r="DR842">
        <v>0</v>
      </c>
      <c r="DS842" s="143">
        <v>0</v>
      </c>
      <c r="DT842">
        <f t="shared" si="1041"/>
        <v>1</v>
      </c>
      <c r="DU842" s="143" t="str">
        <f t="shared" ref="DU842:DU852" si="1055">IF(DO842=1,"self-calculated DF",IF(DP842=1,"external DF used","explicit C balance"))</f>
        <v>self-calculated DF</v>
      </c>
      <c r="DV842" s="143">
        <v>0</v>
      </c>
      <c r="DW842" s="143">
        <v>0</v>
      </c>
      <c r="DX842" s="143">
        <v>1</v>
      </c>
      <c r="DY842" s="143">
        <v>0</v>
      </c>
      <c r="DZ842">
        <v>0</v>
      </c>
      <c r="EA842" s="143">
        <v>0</v>
      </c>
      <c r="EB842" s="143">
        <v>0</v>
      </c>
      <c r="EC842" s="143">
        <v>0</v>
      </c>
      <c r="ED842" s="143">
        <v>0</v>
      </c>
      <c r="EE842">
        <v>0</v>
      </c>
      <c r="EF842">
        <v>1</v>
      </c>
      <c r="EG842" s="143">
        <v>0</v>
      </c>
      <c r="EH842" s="143">
        <v>1</v>
      </c>
      <c r="EI842" s="2">
        <v>0</v>
      </c>
      <c r="EK842" t="str">
        <f>IF(AND(AND(AND(OR($DX842=1,$DW842=1),OR($EC842=1,$EA842=1)),SUM($DV842:$DZ842,$EF842)&gt;=3),SUM($EA842:$EE842)&gt;=2),"Whole sector","")</f>
        <v/>
      </c>
      <c r="EL842" t="str">
        <f>IF(AND(AND(OR($DX842=1,$DW842=1),AND($EC842=0,$EA842=0)),SUM($DV842:$DZ842,$EF842)&gt;=3),"Ecosystem approach","")</f>
        <v/>
      </c>
      <c r="EM842" s="2" t="str">
        <f t="shared" si="995"/>
        <v/>
      </c>
      <c r="EP842" t="b">
        <f>IF(ISNUMBER(BU842),IF(ABS(BU842-[1]QC_indicators!$B$2)&gt;3*[1]QC_indicators!$C$2,"C ratio",IF(ISNUMBER(BY842),IF(ABS(BY842-[1]QC_indicators!$B$1)&gt;3*[1]QC_indicators!$C$1,"DF","no"))),IF(ISNUMBER(BY842),IF(ABS(BY842-[1]QC_indicators!$B$1)&gt;3*[1]QC_indicators!$C$1,"DF","no")))</f>
        <v>0</v>
      </c>
    </row>
    <row r="843" spans="1:151" ht="15" hidden="1" customHeight="1">
      <c r="A843" s="1" t="s">
        <v>1359</v>
      </c>
      <c r="B843" t="s">
        <v>3768</v>
      </c>
      <c r="C843" t="s">
        <v>3769</v>
      </c>
      <c r="D843" t="s">
        <v>3770</v>
      </c>
      <c r="E843" t="s">
        <v>3771</v>
      </c>
      <c r="F843" t="s">
        <v>3772</v>
      </c>
      <c r="G843" t="s">
        <v>1365</v>
      </c>
      <c r="H843" t="s">
        <v>254</v>
      </c>
      <c r="I843">
        <v>2021</v>
      </c>
      <c r="J843">
        <v>2</v>
      </c>
      <c r="K843" t="s">
        <v>3773</v>
      </c>
      <c r="M843" t="str">
        <f t="shared" si="1044"/>
        <v>Jong_2021</v>
      </c>
      <c r="N843" s="311" t="s">
        <v>4382</v>
      </c>
      <c r="O843" s="171" t="s">
        <v>513</v>
      </c>
      <c r="P843" t="s">
        <v>341</v>
      </c>
      <c r="Q843" s="311" t="s">
        <v>389</v>
      </c>
      <c r="R843" s="312"/>
      <c r="S843" s="154" t="s">
        <v>3779</v>
      </c>
      <c r="T843" s="149" t="s">
        <v>3775</v>
      </c>
      <c r="U843" t="s">
        <v>3780</v>
      </c>
      <c r="V843">
        <v>1</v>
      </c>
      <c r="W843">
        <v>0</v>
      </c>
      <c r="X843">
        <v>1</v>
      </c>
      <c r="Y843">
        <v>0</v>
      </c>
      <c r="Z843">
        <v>1</v>
      </c>
      <c r="AA843">
        <v>0</v>
      </c>
      <c r="AB843">
        <v>0</v>
      </c>
      <c r="AC843">
        <v>0</v>
      </c>
      <c r="AD843">
        <v>0</v>
      </c>
      <c r="AE843">
        <v>0</v>
      </c>
      <c r="AF843">
        <v>0</v>
      </c>
      <c r="AG843">
        <v>0</v>
      </c>
      <c r="AH843">
        <v>0</v>
      </c>
      <c r="AI843">
        <v>0</v>
      </c>
      <c r="AJ843">
        <v>0</v>
      </c>
      <c r="AK843">
        <v>0</v>
      </c>
      <c r="AL843">
        <v>0</v>
      </c>
      <c r="AM843">
        <v>0</v>
      </c>
      <c r="AN843">
        <v>0</v>
      </c>
      <c r="AO843">
        <v>0</v>
      </c>
      <c r="AP843">
        <v>0</v>
      </c>
      <c r="AQ843">
        <v>0</v>
      </c>
      <c r="AR843">
        <v>0</v>
      </c>
      <c r="AS843">
        <v>1</v>
      </c>
      <c r="AT843">
        <v>0</v>
      </c>
      <c r="AU843">
        <v>0</v>
      </c>
      <c r="AV843">
        <v>0</v>
      </c>
      <c r="AW843">
        <v>0</v>
      </c>
      <c r="AX843" s="141">
        <f t="shared" si="1016"/>
        <v>4</v>
      </c>
      <c r="AY843" s="141">
        <f t="shared" si="1017"/>
        <v>3</v>
      </c>
      <c r="AZ843">
        <f t="shared" si="1018"/>
        <v>3</v>
      </c>
      <c r="BA843">
        <f t="shared" si="1019"/>
        <v>0</v>
      </c>
      <c r="BB843">
        <f t="shared" si="1020"/>
        <v>0</v>
      </c>
      <c r="BC843">
        <f t="shared" si="1021"/>
        <v>1</v>
      </c>
      <c r="BD843">
        <f t="shared" si="1022"/>
        <v>0</v>
      </c>
      <c r="BE843" t="str" cm="1">
        <f t="array" ref="BE843">IF(AY843=1,INDEX($V$7:$AL$7,MATCH(TRUE,INDEX($V843:$AW843&lt;&gt;0,),0)),IF(AY843=0,INDEX($AM$7:$AW$7,MATCH(1,$AM843:$AW843,0)),IF(BF843="Multiple strategies","mixed drivers",IF(BF843="Supply chain","multiple supply","multiple silviculture"))))</f>
        <v>multiple silviculture</v>
      </c>
      <c r="BF843" s="2" t="str" cm="1">
        <f t="array" ref="BF843">IF(COUNTIF(AZ843:BB843,"&lt;&gt;0")=1,INDEX($V$4:$AW$4,MATCH(TRUE,INDEX($V843:$AW843&lt;&gt;0,),0)),IF(COUNTIF(AZ843:BB843,"&lt;&gt;0")=0,INDEX($AM$4:$AW$4,MATCH(1,$AM843:$AW843,0)),"Multiple strategies"))</f>
        <v>Silviculture for removals</v>
      </c>
      <c r="BG843" s="142"/>
      <c r="BJ843" s="143"/>
      <c r="BL843" s="143"/>
      <c r="BN843" s="158"/>
      <c r="BO843" s="143"/>
      <c r="BP843" s="149" t="s">
        <v>232</v>
      </c>
      <c r="BR843" s="149" t="s">
        <v>3777</v>
      </c>
      <c r="BS843">
        <v>151.1</v>
      </c>
      <c r="BT843">
        <v>29.5</v>
      </c>
      <c r="BU843" s="144"/>
      <c r="BV843">
        <f t="shared" si="1054"/>
        <v>-121.6</v>
      </c>
      <c r="BY843" t="str">
        <f t="shared" si="994"/>
        <v/>
      </c>
      <c r="BZ843">
        <v>0</v>
      </c>
      <c r="CA843">
        <v>0</v>
      </c>
      <c r="CB843">
        <v>0</v>
      </c>
      <c r="CC843">
        <v>0</v>
      </c>
      <c r="CD843">
        <v>0</v>
      </c>
      <c r="CE843">
        <v>0</v>
      </c>
      <c r="CF843">
        <v>0</v>
      </c>
      <c r="CG843">
        <v>0</v>
      </c>
      <c r="CH843">
        <v>0</v>
      </c>
      <c r="CI843">
        <v>0</v>
      </c>
      <c r="CJ843">
        <v>0</v>
      </c>
      <c r="CK843">
        <v>0</v>
      </c>
      <c r="CL843">
        <v>0</v>
      </c>
      <c r="CM843">
        <v>0</v>
      </c>
      <c r="CN843" t="str">
        <f t="shared" si="1048"/>
        <v>refOK</v>
      </c>
      <c r="CO843"/>
      <c r="CP843"/>
      <c r="CQ843"/>
      <c r="CR843">
        <f t="shared" si="1028"/>
        <v>151.1</v>
      </c>
      <c r="CS843">
        <f t="shared" si="1029"/>
        <v>29.5</v>
      </c>
      <c r="CT843">
        <f t="shared" si="1030"/>
        <v>0</v>
      </c>
      <c r="CU843" t="str">
        <f t="shared" si="1031"/>
        <v/>
      </c>
      <c r="CV843" s="2">
        <f t="shared" si="1032"/>
        <v>-0.8047650562541363</v>
      </c>
      <c r="CW843" s="1" t="s">
        <v>1202</v>
      </c>
      <c r="CX843" s="311" t="str">
        <f t="shared" si="1033"/>
        <v>reg</v>
      </c>
      <c r="CY843" s="149" t="s">
        <v>3778</v>
      </c>
      <c r="DA843" s="143"/>
      <c r="DB843" s="143">
        <v>30</v>
      </c>
      <c r="DC843" t="str">
        <f t="shared" si="1034"/>
        <v>1-30</v>
      </c>
      <c r="DD843">
        <v>0</v>
      </c>
      <c r="DE843">
        <v>0</v>
      </c>
      <c r="DF843">
        <v>0</v>
      </c>
      <c r="DG843">
        <v>1</v>
      </c>
      <c r="DH843">
        <v>0</v>
      </c>
      <c r="DI843">
        <f>SUM(DD843:DH843)</f>
        <v>1</v>
      </c>
      <c r="DJ843" t="str">
        <f t="shared" si="1036"/>
        <v>TimberInput</v>
      </c>
      <c r="DK843">
        <f t="shared" si="1037"/>
        <v>0</v>
      </c>
      <c r="DL843">
        <f t="shared" si="1038"/>
        <v>0</v>
      </c>
      <c r="DM843">
        <f t="shared" si="1039"/>
        <v>0</v>
      </c>
      <c r="DN843" t="str">
        <f t="shared" si="1040"/>
        <v>Timber</v>
      </c>
      <c r="DO843">
        <v>1</v>
      </c>
      <c r="DP843" s="143">
        <v>0</v>
      </c>
      <c r="DQ843" s="143">
        <v>0</v>
      </c>
      <c r="DR843">
        <v>0</v>
      </c>
      <c r="DS843" s="143">
        <v>0</v>
      </c>
      <c r="DT843">
        <f t="shared" si="1041"/>
        <v>1</v>
      </c>
      <c r="DU843" s="143" t="str">
        <f t="shared" si="1055"/>
        <v>self-calculated DF</v>
      </c>
      <c r="DV843" s="143">
        <v>0</v>
      </c>
      <c r="DW843" s="143">
        <v>0</v>
      </c>
      <c r="DX843" s="143">
        <v>1</v>
      </c>
      <c r="DY843" s="143">
        <v>0</v>
      </c>
      <c r="DZ843">
        <v>0</v>
      </c>
      <c r="EA843" s="143">
        <v>0</v>
      </c>
      <c r="EB843" s="143">
        <v>0</v>
      </c>
      <c r="EC843" s="143">
        <v>0</v>
      </c>
      <c r="ED843" s="143">
        <v>0</v>
      </c>
      <c r="EE843">
        <v>0</v>
      </c>
      <c r="EF843">
        <v>1</v>
      </c>
      <c r="EG843" s="143">
        <v>0</v>
      </c>
      <c r="EH843" s="143">
        <v>1</v>
      </c>
      <c r="EI843" s="2">
        <v>0</v>
      </c>
      <c r="EK843" t="str">
        <f>IF(AND(AND(AND(OR($DX843=1,$DW843=1),OR($EC843=1,$EA843=1)),SUM($DV843:$DZ843,$EF843)&gt;=3),SUM($EA843:$EE843)&gt;=2),"Whole sector","")</f>
        <v/>
      </c>
      <c r="EL843" t="str">
        <f>IF(AND(AND(OR($DX843=1,$DW843=1),AND($EC843=0,$EA843=0)),SUM($DV843:$DZ843,$EF843)&gt;=3),"Ecosystem approach","")</f>
        <v/>
      </c>
      <c r="EM843" s="2" t="str">
        <f t="shared" si="995"/>
        <v/>
      </c>
      <c r="EP843" t="b">
        <f>IF(ISNUMBER(BU843),IF(ABS(BU843-[1]QC_indicators!$B$2)&gt;3*[1]QC_indicators!$C$2,"C ratio",IF(ISNUMBER(BY843),IF(ABS(BY843-[1]QC_indicators!$B$1)&gt;3*[1]QC_indicators!$C$1,"DF","no"))),IF(ISNUMBER(BY843),IF(ABS(BY843-[1]QC_indicators!$B$1)&gt;3*[1]QC_indicators!$C$1,"DF","no")))</f>
        <v>0</v>
      </c>
    </row>
    <row r="844" spans="1:151" ht="15" hidden="1" customHeight="1">
      <c r="A844" s="1" t="s">
        <v>1359</v>
      </c>
      <c r="B844" t="s">
        <v>3768</v>
      </c>
      <c r="C844" t="s">
        <v>3769</v>
      </c>
      <c r="D844" t="s">
        <v>3770</v>
      </c>
      <c r="E844" t="s">
        <v>3771</v>
      </c>
      <c r="F844" t="s">
        <v>3772</v>
      </c>
      <c r="G844" t="s">
        <v>1365</v>
      </c>
      <c r="H844" t="s">
        <v>254</v>
      </c>
      <c r="I844">
        <v>2021</v>
      </c>
      <c r="J844">
        <v>2</v>
      </c>
      <c r="K844" t="s">
        <v>3773</v>
      </c>
      <c r="M844" t="str">
        <f t="shared" si="1044"/>
        <v>Jong_2021</v>
      </c>
      <c r="N844" s="311" t="s">
        <v>4382</v>
      </c>
      <c r="O844" s="171" t="s">
        <v>513</v>
      </c>
      <c r="P844" t="s">
        <v>341</v>
      </c>
      <c r="Q844" s="311" t="s">
        <v>389</v>
      </c>
      <c r="R844" s="312"/>
      <c r="S844" s="154" t="s">
        <v>3781</v>
      </c>
      <c r="T844" s="149" t="s">
        <v>3775</v>
      </c>
      <c r="U844" t="s">
        <v>3782</v>
      </c>
      <c r="V844">
        <v>1</v>
      </c>
      <c r="W844">
        <v>0</v>
      </c>
      <c r="X844">
        <v>1</v>
      </c>
      <c r="Y844">
        <v>0</v>
      </c>
      <c r="Z844">
        <v>1</v>
      </c>
      <c r="AA844">
        <v>0</v>
      </c>
      <c r="AB844">
        <v>0</v>
      </c>
      <c r="AC844">
        <v>0</v>
      </c>
      <c r="AD844">
        <v>0</v>
      </c>
      <c r="AE844">
        <v>0</v>
      </c>
      <c r="AF844">
        <v>0</v>
      </c>
      <c r="AG844">
        <v>0</v>
      </c>
      <c r="AH844">
        <v>0</v>
      </c>
      <c r="AI844">
        <v>0</v>
      </c>
      <c r="AJ844">
        <v>0</v>
      </c>
      <c r="AK844">
        <v>0</v>
      </c>
      <c r="AL844">
        <v>0</v>
      </c>
      <c r="AM844">
        <v>0</v>
      </c>
      <c r="AN844">
        <v>0</v>
      </c>
      <c r="AO844">
        <v>0</v>
      </c>
      <c r="AP844">
        <v>0</v>
      </c>
      <c r="AQ844">
        <v>0</v>
      </c>
      <c r="AR844">
        <v>0</v>
      </c>
      <c r="AS844">
        <v>1</v>
      </c>
      <c r="AT844">
        <v>0</v>
      </c>
      <c r="AU844">
        <v>0</v>
      </c>
      <c r="AV844">
        <v>0</v>
      </c>
      <c r="AW844">
        <v>0</v>
      </c>
      <c r="AX844" s="141">
        <f t="shared" si="1016"/>
        <v>4</v>
      </c>
      <c r="AY844" s="141">
        <f t="shared" si="1017"/>
        <v>3</v>
      </c>
      <c r="AZ844">
        <f t="shared" si="1018"/>
        <v>3</v>
      </c>
      <c r="BA844">
        <f t="shared" si="1019"/>
        <v>0</v>
      </c>
      <c r="BB844">
        <f t="shared" si="1020"/>
        <v>0</v>
      </c>
      <c r="BC844">
        <f t="shared" si="1021"/>
        <v>1</v>
      </c>
      <c r="BD844">
        <f t="shared" si="1022"/>
        <v>0</v>
      </c>
      <c r="BE844" t="str" cm="1">
        <f t="array" ref="BE844">IF(AY844=1,INDEX($V$7:$AL$7,MATCH(TRUE,INDEX($V844:$AW844&lt;&gt;0,),0)),IF(AY844=0,INDEX($AM$7:$AW$7,MATCH(1,$AM844:$AW844,0)),IF(BF844="Multiple strategies","mixed drivers",IF(BF844="Supply chain","multiple supply","multiple silviculture"))))</f>
        <v>multiple silviculture</v>
      </c>
      <c r="BF844" s="2" t="str" cm="1">
        <f t="array" ref="BF844">IF(COUNTIF(AZ844:BB844,"&lt;&gt;0")=1,INDEX($V$4:$AW$4,MATCH(TRUE,INDEX($V844:$AW844&lt;&gt;0,),0)),IF(COUNTIF(AZ844:BB844,"&lt;&gt;0")=0,INDEX($AM$4:$AW$4,MATCH(1,$AM844:$AW844,0)),"Multiple strategies"))</f>
        <v>Silviculture for removals</v>
      </c>
      <c r="BG844" s="142"/>
      <c r="BJ844" s="143"/>
      <c r="BL844" s="143"/>
      <c r="BN844" s="158"/>
      <c r="BO844" s="143"/>
      <c r="BP844" s="149" t="s">
        <v>232</v>
      </c>
      <c r="BR844" s="149" t="s">
        <v>3777</v>
      </c>
      <c r="BS844">
        <v>151.1</v>
      </c>
      <c r="BT844">
        <v>89.1</v>
      </c>
      <c r="BU844" s="144"/>
      <c r="BV844">
        <f t="shared" si="1054"/>
        <v>-62</v>
      </c>
      <c r="BY844" t="str">
        <f t="shared" si="994"/>
        <v/>
      </c>
      <c r="BZ844">
        <v>0</v>
      </c>
      <c r="CA844">
        <v>0</v>
      </c>
      <c r="CB844">
        <v>0</v>
      </c>
      <c r="CC844">
        <v>0</v>
      </c>
      <c r="CD844">
        <v>0</v>
      </c>
      <c r="CE844">
        <v>0</v>
      </c>
      <c r="CF844">
        <v>0</v>
      </c>
      <c r="CG844">
        <v>0</v>
      </c>
      <c r="CH844">
        <v>0</v>
      </c>
      <c r="CI844">
        <v>0</v>
      </c>
      <c r="CJ844">
        <v>0</v>
      </c>
      <c r="CK844">
        <v>0</v>
      </c>
      <c r="CL844">
        <v>0</v>
      </c>
      <c r="CM844">
        <v>0</v>
      </c>
      <c r="CN844" t="str">
        <f t="shared" si="1048"/>
        <v>refOK</v>
      </c>
      <c r="CO844"/>
      <c r="CP844"/>
      <c r="CQ844"/>
      <c r="CR844">
        <f t="shared" si="1028"/>
        <v>151.1</v>
      </c>
      <c r="CS844">
        <f t="shared" si="1029"/>
        <v>89.1</v>
      </c>
      <c r="CT844">
        <f t="shared" si="1030"/>
        <v>0</v>
      </c>
      <c r="CU844" t="str">
        <f t="shared" si="1031"/>
        <v/>
      </c>
      <c r="CV844" s="2">
        <f t="shared" si="1032"/>
        <v>-0.41032428855062875</v>
      </c>
      <c r="CW844" s="1" t="s">
        <v>1202</v>
      </c>
      <c r="CX844" s="311" t="str">
        <f t="shared" si="1033"/>
        <v>reg</v>
      </c>
      <c r="CY844" s="149" t="s">
        <v>3778</v>
      </c>
      <c r="DA844" s="143"/>
      <c r="DB844" s="143">
        <v>40</v>
      </c>
      <c r="DC844" t="str">
        <f t="shared" si="1034"/>
        <v>31-70</v>
      </c>
      <c r="DD844">
        <v>0</v>
      </c>
      <c r="DE844">
        <v>0</v>
      </c>
      <c r="DF844">
        <v>0</v>
      </c>
      <c r="DG844">
        <v>1</v>
      </c>
      <c r="DH844">
        <v>0</v>
      </c>
      <c r="DI844">
        <f>SUM(DD844:DH844)</f>
        <v>1</v>
      </c>
      <c r="DJ844" t="str">
        <f t="shared" si="1036"/>
        <v>TimberInput</v>
      </c>
      <c r="DK844">
        <f t="shared" si="1037"/>
        <v>0</v>
      </c>
      <c r="DL844">
        <f t="shared" si="1038"/>
        <v>0</v>
      </c>
      <c r="DM844">
        <f t="shared" si="1039"/>
        <v>0</v>
      </c>
      <c r="DN844" t="str">
        <f t="shared" si="1040"/>
        <v>Timber</v>
      </c>
      <c r="DO844">
        <v>1</v>
      </c>
      <c r="DP844" s="143">
        <v>0</v>
      </c>
      <c r="DQ844" s="143">
        <v>0</v>
      </c>
      <c r="DR844">
        <v>0</v>
      </c>
      <c r="DS844" s="143">
        <v>0</v>
      </c>
      <c r="DT844">
        <f t="shared" si="1041"/>
        <v>1</v>
      </c>
      <c r="DU844" s="143" t="str">
        <f t="shared" si="1055"/>
        <v>self-calculated DF</v>
      </c>
      <c r="DV844" s="143">
        <v>0</v>
      </c>
      <c r="DW844" s="143">
        <v>0</v>
      </c>
      <c r="DX844" s="143">
        <v>1</v>
      </c>
      <c r="DY844" s="143">
        <v>0</v>
      </c>
      <c r="DZ844">
        <v>0</v>
      </c>
      <c r="EA844" s="143">
        <v>0</v>
      </c>
      <c r="EB844" s="143">
        <v>0</v>
      </c>
      <c r="EC844" s="143">
        <v>0</v>
      </c>
      <c r="ED844" s="143">
        <v>0</v>
      </c>
      <c r="EE844">
        <v>0</v>
      </c>
      <c r="EF844">
        <v>1</v>
      </c>
      <c r="EG844" s="143">
        <v>0</v>
      </c>
      <c r="EH844" s="143">
        <v>1</v>
      </c>
      <c r="EI844" s="2">
        <v>0</v>
      </c>
      <c r="EK844" t="str">
        <f>IF(AND(AND(AND(OR($DX844=1,$DW844=1),OR($EC844=1,$EA844=1)),SUM($DV844:$DZ844,$EF844)&gt;=3),SUM($EA844:$EE844)&gt;=2),"Whole sector","")</f>
        <v/>
      </c>
      <c r="EL844" t="str">
        <f>IF(AND(AND(OR($DX844=1,$DW844=1),AND($EC844=0,$EA844=0)),SUM($DV844:$DZ844,$EF844)&gt;=3),"Ecosystem approach","")</f>
        <v/>
      </c>
      <c r="EM844" s="2" t="str">
        <f t="shared" si="995"/>
        <v/>
      </c>
      <c r="EP844" t="b">
        <f>IF(ISNUMBER(BU844),IF(ABS(BU844-[1]QC_indicators!$B$2)&gt;3*[1]QC_indicators!$C$2,"C ratio",IF(ISNUMBER(BY844),IF(ABS(BY844-[1]QC_indicators!$B$1)&gt;3*[1]QC_indicators!$C$1,"DF","no"))),IF(ISNUMBER(BY844),IF(ABS(BY844-[1]QC_indicators!$B$1)&gt;3*[1]QC_indicators!$C$1,"DF","no")))</f>
        <v>0</v>
      </c>
    </row>
    <row r="845" spans="1:151" ht="15" hidden="1" customHeight="1">
      <c r="A845" s="1" t="s">
        <v>1759</v>
      </c>
      <c r="B845" t="s">
        <v>1760</v>
      </c>
      <c r="C845" t="s">
        <v>1761</v>
      </c>
      <c r="D845" t="s">
        <v>1762</v>
      </c>
      <c r="E845" t="s">
        <v>1763</v>
      </c>
      <c r="F845" t="s">
        <v>1764</v>
      </c>
      <c r="G845" t="s">
        <v>1765</v>
      </c>
      <c r="H845" t="s">
        <v>254</v>
      </c>
      <c r="I845">
        <v>2021</v>
      </c>
      <c r="J845">
        <v>6</v>
      </c>
      <c r="K845" t="s">
        <v>1766</v>
      </c>
      <c r="M845" t="str">
        <f t="shared" si="1044"/>
        <v>Jonsson_2021</v>
      </c>
      <c r="N845" t="s">
        <v>222</v>
      </c>
      <c r="O845" s="145" t="s">
        <v>513</v>
      </c>
      <c r="Q845" t="s">
        <v>256</v>
      </c>
      <c r="R845" s="2" t="s">
        <v>274</v>
      </c>
      <c r="S845" s="1" t="s">
        <v>1776</v>
      </c>
      <c r="T845" t="s">
        <v>1110</v>
      </c>
      <c r="U845" t="s">
        <v>1777</v>
      </c>
      <c r="V845">
        <v>0</v>
      </c>
      <c r="W845">
        <v>1</v>
      </c>
      <c r="X845">
        <v>0</v>
      </c>
      <c r="Y845">
        <v>0</v>
      </c>
      <c r="Z845">
        <v>0</v>
      </c>
      <c r="AA845">
        <v>0</v>
      </c>
      <c r="AB845">
        <v>0</v>
      </c>
      <c r="AC845">
        <v>0</v>
      </c>
      <c r="AD845">
        <v>0</v>
      </c>
      <c r="AE845">
        <v>0</v>
      </c>
      <c r="AF845">
        <v>2</v>
      </c>
      <c r="AG845">
        <v>0</v>
      </c>
      <c r="AH845">
        <v>0</v>
      </c>
      <c r="AI845">
        <v>0</v>
      </c>
      <c r="AJ845">
        <v>0</v>
      </c>
      <c r="AK845">
        <v>0</v>
      </c>
      <c r="AL845">
        <v>0</v>
      </c>
      <c r="AM845">
        <v>0</v>
      </c>
      <c r="AN845">
        <v>0</v>
      </c>
      <c r="AO845">
        <v>0</v>
      </c>
      <c r="AP845">
        <v>0</v>
      </c>
      <c r="AQ845">
        <v>0</v>
      </c>
      <c r="AR845">
        <v>0</v>
      </c>
      <c r="AS845">
        <v>0</v>
      </c>
      <c r="AT845">
        <v>0</v>
      </c>
      <c r="AU845">
        <v>0</v>
      </c>
      <c r="AV845">
        <v>0</v>
      </c>
      <c r="AW845">
        <v>0</v>
      </c>
      <c r="AX845" s="141">
        <f t="shared" si="1016"/>
        <v>2</v>
      </c>
      <c r="AY845" s="141">
        <f t="shared" si="1017"/>
        <v>2</v>
      </c>
      <c r="AZ845">
        <f t="shared" si="1018"/>
        <v>1</v>
      </c>
      <c r="BA845">
        <f t="shared" si="1019"/>
        <v>1</v>
      </c>
      <c r="BB845">
        <f t="shared" si="1020"/>
        <v>0</v>
      </c>
      <c r="BC845">
        <f t="shared" si="1021"/>
        <v>0</v>
      </c>
      <c r="BD845">
        <f t="shared" si="1022"/>
        <v>0</v>
      </c>
      <c r="BE845" t="str">
        <f t="array" ref="BE845">IF(AY845=1,INDEX($V$7:$AL$7,MATCH(TRUE,INDEX($V845:$AW845&lt;&gt;0,),0)),IF(AY845=0,INDEX($AM$7:$AW$7,MATCH(1,$AM845:$AW845,0)),IF(BF845="Multiple strategies","mixed drivers",IF(BF845="Supply chain","multiple supply","multiple silviculture"))))</f>
        <v>mixed drivers</v>
      </c>
      <c r="BF845" s="2" t="str" cm="1">
        <f t="array" ref="BF845">IF(COUNTIF(AZ845:BB845,"&lt;&gt;0")=1,INDEX($V$4:$AW$4,MATCH(TRUE,INDEX($V845:$AW845&lt;&gt;0,),0)),IF(COUNTIF(AZ845:BB845,"&lt;&gt;0")=0,INDEX($AM$4:$AW$4,MATCH(1,$AM845:$AW845,0)),"Multiple strategies"))</f>
        <v>Multiple strategies</v>
      </c>
      <c r="BG845" s="1" t="s">
        <v>229</v>
      </c>
      <c r="BH845" t="s">
        <v>229</v>
      </c>
      <c r="BI845" s="264" t="s">
        <v>2127</v>
      </c>
      <c r="BJ845" t="s">
        <v>1769</v>
      </c>
      <c r="BK845">
        <v>284950</v>
      </c>
      <c r="BL845">
        <v>286950</v>
      </c>
      <c r="BM845" t="e">
        <f>#REF!</f>
        <v>#REF!</v>
      </c>
      <c r="BN845">
        <f t="shared" ref="BN845:BN852" si="1056">BL845-BK845</f>
        <v>2000</v>
      </c>
      <c r="BO845">
        <f t="shared" ref="BO845:BO852" si="1057">BN845*1000</f>
        <v>2000000</v>
      </c>
      <c r="BP845" t="s">
        <v>232</v>
      </c>
      <c r="BQ845" t="s">
        <v>3268</v>
      </c>
      <c r="BR845" t="s">
        <v>1299</v>
      </c>
      <c r="BS845">
        <v>367</v>
      </c>
      <c r="BT845">
        <v>359</v>
      </c>
      <c r="BU845" s="144">
        <f t="shared" ref="BU845:BU852" si="1058">IFERROR(BT845/BS845,"")</f>
        <v>0.97820163487738421</v>
      </c>
      <c r="BV845">
        <f t="shared" si="1054"/>
        <v>-8</v>
      </c>
      <c r="BX845">
        <f t="shared" ref="BX845:BX852" si="1059">BV845*10^6</f>
        <v>-8000000</v>
      </c>
      <c r="BY845">
        <f t="shared" si="994"/>
        <v>-4</v>
      </c>
      <c r="BZ845">
        <v>0</v>
      </c>
      <c r="CA845">
        <v>0</v>
      </c>
      <c r="CB845">
        <v>0</v>
      </c>
      <c r="CC845">
        <v>0</v>
      </c>
      <c r="CD845">
        <v>0</v>
      </c>
      <c r="CE845">
        <v>0</v>
      </c>
      <c r="CF845">
        <v>0</v>
      </c>
      <c r="CG845">
        <v>0</v>
      </c>
      <c r="CH845">
        <v>0</v>
      </c>
      <c r="CI845">
        <v>0</v>
      </c>
      <c r="CJ845">
        <v>0</v>
      </c>
      <c r="CK845">
        <v>0</v>
      </c>
      <c r="CL845">
        <v>0</v>
      </c>
      <c r="CM845">
        <v>1</v>
      </c>
      <c r="CN845" t="str">
        <f t="shared" si="1048"/>
        <v>refOK</v>
      </c>
      <c r="CO845">
        <f t="shared" ref="CO845:CO850" si="1060">IF($CN845="refNeedCorrection",BL845,BK845)</f>
        <v>284950</v>
      </c>
      <c r="CP845">
        <f t="shared" ref="CP845:CP850" si="1061">IF($CN845="refNeedCorrection",BK845,BL845)</f>
        <v>286950</v>
      </c>
      <c r="CQ845">
        <f t="shared" ref="CQ845:CQ852" si="1062">IF($CN845="refOK",$BO845,-$BO845)</f>
        <v>2000000</v>
      </c>
      <c r="CR845">
        <f t="shared" si="1028"/>
        <v>367</v>
      </c>
      <c r="CS845">
        <f t="shared" si="1029"/>
        <v>359</v>
      </c>
      <c r="CT845">
        <f t="shared" si="1030"/>
        <v>-8000000</v>
      </c>
      <c r="CU845">
        <f t="shared" si="1031"/>
        <v>-4</v>
      </c>
      <c r="CV845" s="2">
        <f t="shared" si="1032"/>
        <v>-2.1798365122615803E-2</v>
      </c>
      <c r="CW845" s="1" t="s">
        <v>1230</v>
      </c>
      <c r="CX845" t="str">
        <f t="shared" si="1033"/>
        <v>reg</v>
      </c>
      <c r="CY845" t="s">
        <v>743</v>
      </c>
      <c r="CZ845">
        <v>2000</v>
      </c>
      <c r="DA845">
        <v>2030</v>
      </c>
      <c r="DB845">
        <v>30</v>
      </c>
      <c r="DC845" t="str">
        <f t="shared" si="1034"/>
        <v>1-30</v>
      </c>
      <c r="DD845">
        <v>0</v>
      </c>
      <c r="DE845">
        <v>1</v>
      </c>
      <c r="DF845">
        <v>0</v>
      </c>
      <c r="DG845">
        <v>0</v>
      </c>
      <c r="DH845">
        <v>1</v>
      </c>
      <c r="DI845">
        <f t="shared" ref="DI845:DI852" si="1063">SUM(DD845:DG845)</f>
        <v>1</v>
      </c>
      <c r="DJ845" t="str">
        <f t="shared" si="1036"/>
        <v>EnergyInput</v>
      </c>
      <c r="DK845">
        <f t="shared" si="1037"/>
        <v>0</v>
      </c>
      <c r="DL845" t="str">
        <f t="shared" si="1038"/>
        <v>Energy</v>
      </c>
      <c r="DM845">
        <f t="shared" si="1039"/>
        <v>0</v>
      </c>
      <c r="DN845">
        <f t="shared" si="1040"/>
        <v>0</v>
      </c>
      <c r="DO845">
        <v>0</v>
      </c>
      <c r="DP845">
        <v>1</v>
      </c>
      <c r="DQ845" t="s">
        <v>1770</v>
      </c>
      <c r="DR845" t="s">
        <v>1770</v>
      </c>
      <c r="DS845">
        <v>0</v>
      </c>
      <c r="DT845">
        <f t="shared" si="1041"/>
        <v>1</v>
      </c>
      <c r="DU845" s="143" t="str">
        <f t="shared" si="1055"/>
        <v>external DF used</v>
      </c>
      <c r="DV845">
        <v>1</v>
      </c>
      <c r="DW845">
        <v>0</v>
      </c>
      <c r="DX845">
        <v>1</v>
      </c>
      <c r="DY845">
        <v>1</v>
      </c>
      <c r="DZ845">
        <v>0</v>
      </c>
      <c r="EA845" s="143">
        <v>0</v>
      </c>
      <c r="EB845">
        <v>0</v>
      </c>
      <c r="EC845">
        <v>0</v>
      </c>
      <c r="ED845">
        <v>0</v>
      </c>
      <c r="EE845">
        <v>0</v>
      </c>
      <c r="EF845">
        <v>1</v>
      </c>
      <c r="EG845">
        <v>0</v>
      </c>
      <c r="EH845">
        <v>0</v>
      </c>
      <c r="EI845" s="2">
        <v>0</v>
      </c>
      <c r="EJ845" s="1" t="s">
        <v>1771</v>
      </c>
      <c r="EK845" t="str">
        <f t="shared" ref="EK845:EK852" si="1064">IF(AND(AND(AND(OR($DX845=1,$DW845=1),OR($EC845=1,$EA845=1)),SUM($DV845:$DZ845,$EF845)&gt;=4),SUM($EA845:$EE845)&gt;=2),"Whole sector","")</f>
        <v/>
      </c>
      <c r="EL845" t="str">
        <f t="shared" ref="EL845:EL852" si="1065">IF(AND(AND(OR($DX845=1,$DW845=1),AND($EC845=0,$EA845=0)),SUM($DV845:$DZ845,$EF845)&gt;=4),"Ecosystem approach","")</f>
        <v>Ecosystem approach</v>
      </c>
      <c r="EM845" s="2" t="str">
        <f t="shared" si="995"/>
        <v/>
      </c>
      <c r="EP845" t="str">
        <f>IF(ISNUMBER(BU845),IF(ABS(BU845-[2]QC_indicators!$B$2)&gt;3*[2]QC_indicators!$C$2,"C ratio",IF(ISNUMBER(BY845),IF(ABS(BY845-[2]QC_indicators!$B$1)&gt;3*[2]QC_indicators!$C$1,"DF","no"))),IF(ISNUMBER(BY845),IF(ABS(BY845-[2]QC_indicators!$B$1)&gt;3*[2]QC_indicators!$C$1,"DF","no")))</f>
        <v>no</v>
      </c>
      <c r="ET845" s="264" t="s">
        <v>3150</v>
      </c>
    </row>
    <row r="846" spans="1:151" ht="15" hidden="1" customHeight="1">
      <c r="A846" s="1" t="s">
        <v>1759</v>
      </c>
      <c r="B846" t="s">
        <v>1760</v>
      </c>
      <c r="C846" t="s">
        <v>1761</v>
      </c>
      <c r="D846" t="s">
        <v>1762</v>
      </c>
      <c r="E846" t="s">
        <v>1763</v>
      </c>
      <c r="F846" t="s">
        <v>1764</v>
      </c>
      <c r="G846" t="s">
        <v>1765</v>
      </c>
      <c r="H846" t="s">
        <v>254</v>
      </c>
      <c r="I846">
        <v>2021</v>
      </c>
      <c r="J846">
        <v>6</v>
      </c>
      <c r="K846" t="s">
        <v>1766</v>
      </c>
      <c r="M846" t="str">
        <f t="shared" si="1044"/>
        <v>Jonsson_2021</v>
      </c>
      <c r="N846" t="s">
        <v>222</v>
      </c>
      <c r="O846" s="145" t="s">
        <v>513</v>
      </c>
      <c r="Q846" t="s">
        <v>256</v>
      </c>
      <c r="R846" s="2" t="s">
        <v>274</v>
      </c>
      <c r="S846" s="1" t="s">
        <v>1773</v>
      </c>
      <c r="T846" t="s">
        <v>1110</v>
      </c>
      <c r="U846" t="s">
        <v>1774</v>
      </c>
      <c r="V846">
        <v>0</v>
      </c>
      <c r="W846">
        <v>1</v>
      </c>
      <c r="X846">
        <v>0</v>
      </c>
      <c r="Y846">
        <v>0</v>
      </c>
      <c r="Z846">
        <v>0</v>
      </c>
      <c r="AA846">
        <v>0</v>
      </c>
      <c r="AB846">
        <v>0</v>
      </c>
      <c r="AC846">
        <v>0</v>
      </c>
      <c r="AD846">
        <v>0</v>
      </c>
      <c r="AE846">
        <v>0</v>
      </c>
      <c r="AF846">
        <v>2</v>
      </c>
      <c r="AG846">
        <v>0</v>
      </c>
      <c r="AH846">
        <v>0</v>
      </c>
      <c r="AI846">
        <v>0</v>
      </c>
      <c r="AJ846">
        <v>0</v>
      </c>
      <c r="AK846">
        <v>0</v>
      </c>
      <c r="AL846">
        <v>0</v>
      </c>
      <c r="AM846">
        <v>0</v>
      </c>
      <c r="AN846">
        <v>0</v>
      </c>
      <c r="AO846">
        <v>0</v>
      </c>
      <c r="AP846">
        <v>0</v>
      </c>
      <c r="AQ846">
        <v>0</v>
      </c>
      <c r="AR846">
        <v>0</v>
      </c>
      <c r="AS846">
        <v>0</v>
      </c>
      <c r="AT846">
        <v>0</v>
      </c>
      <c r="AU846">
        <v>0</v>
      </c>
      <c r="AV846">
        <v>0</v>
      </c>
      <c r="AW846">
        <v>0</v>
      </c>
      <c r="AX846" s="141">
        <f t="shared" si="1016"/>
        <v>2</v>
      </c>
      <c r="AY846" s="141">
        <f t="shared" si="1017"/>
        <v>2</v>
      </c>
      <c r="AZ846">
        <f t="shared" si="1018"/>
        <v>1</v>
      </c>
      <c r="BA846">
        <f t="shared" si="1019"/>
        <v>1</v>
      </c>
      <c r="BB846">
        <f t="shared" si="1020"/>
        <v>0</v>
      </c>
      <c r="BC846">
        <f t="shared" si="1021"/>
        <v>0</v>
      </c>
      <c r="BD846">
        <f t="shared" si="1022"/>
        <v>0</v>
      </c>
      <c r="BE846" t="str">
        <f t="array" ref="BE846">IF(AY846=1,INDEX($V$7:$AL$7,MATCH(TRUE,INDEX($V846:$AW846&lt;&gt;0,),0)),IF(AY846=0,INDEX($AM$7:$AW$7,MATCH(1,$AM846:$AW846,0)),IF(BF846="Multiple strategies","mixed drivers",IF(BF846="Supply chain","multiple supply","multiple silviculture"))))</f>
        <v>mixed drivers</v>
      </c>
      <c r="BF846" s="2" t="str" cm="1">
        <f t="array" ref="BF846">IF(COUNTIF(AZ846:BB846,"&lt;&gt;0")=1,INDEX($V$4:$AW$4,MATCH(TRUE,INDEX($V846:$AW846&lt;&gt;0,),0)),IF(COUNTIF(AZ846:BB846,"&lt;&gt;0")=0,INDEX($AM$4:$AW$4,MATCH(1,$AM846:$AW846,0)),"Multiple strategies"))</f>
        <v>Multiple strategies</v>
      </c>
      <c r="BG846" s="1" t="s">
        <v>229</v>
      </c>
      <c r="BH846" t="s">
        <v>229</v>
      </c>
      <c r="BI846" s="264" t="s">
        <v>2127</v>
      </c>
      <c r="BJ846" t="s">
        <v>1769</v>
      </c>
      <c r="BK846">
        <v>284950</v>
      </c>
      <c r="BL846">
        <v>333260</v>
      </c>
      <c r="BM846" t="e">
        <f>#REF!</f>
        <v>#REF!</v>
      </c>
      <c r="BN846">
        <f t="shared" si="1056"/>
        <v>48310</v>
      </c>
      <c r="BO846">
        <f t="shared" si="1057"/>
        <v>48310000</v>
      </c>
      <c r="BP846" t="s">
        <v>232</v>
      </c>
      <c r="BQ846" t="s">
        <v>3268</v>
      </c>
      <c r="BR846" t="s">
        <v>1299</v>
      </c>
      <c r="BS846">
        <v>367</v>
      </c>
      <c r="BT846">
        <v>273</v>
      </c>
      <c r="BU846" s="144">
        <f t="shared" si="1058"/>
        <v>0.7438692098092643</v>
      </c>
      <c r="BV846">
        <f t="shared" si="1054"/>
        <v>-94</v>
      </c>
      <c r="BX846">
        <f t="shared" si="1059"/>
        <v>-94000000</v>
      </c>
      <c r="BY846">
        <f t="shared" si="994"/>
        <v>-1.9457669219623266</v>
      </c>
      <c r="BZ846">
        <v>0</v>
      </c>
      <c r="CA846">
        <v>0</v>
      </c>
      <c r="CB846">
        <v>0</v>
      </c>
      <c r="CC846">
        <v>0</v>
      </c>
      <c r="CD846">
        <v>0</v>
      </c>
      <c r="CE846">
        <v>0</v>
      </c>
      <c r="CF846">
        <v>0</v>
      </c>
      <c r="CG846">
        <v>0</v>
      </c>
      <c r="CH846">
        <v>0</v>
      </c>
      <c r="CI846">
        <v>0</v>
      </c>
      <c r="CJ846">
        <v>0</v>
      </c>
      <c r="CK846">
        <v>0</v>
      </c>
      <c r="CL846">
        <v>0</v>
      </c>
      <c r="CM846">
        <v>1</v>
      </c>
      <c r="CN846" t="str">
        <f t="shared" si="1048"/>
        <v>refOK</v>
      </c>
      <c r="CO846">
        <f t="shared" si="1060"/>
        <v>284950</v>
      </c>
      <c r="CP846">
        <f t="shared" si="1061"/>
        <v>333260</v>
      </c>
      <c r="CQ846">
        <f t="shared" si="1062"/>
        <v>48310000</v>
      </c>
      <c r="CR846">
        <f t="shared" si="1028"/>
        <v>367</v>
      </c>
      <c r="CS846">
        <f t="shared" si="1029"/>
        <v>273</v>
      </c>
      <c r="CT846">
        <f t="shared" si="1030"/>
        <v>-94000000</v>
      </c>
      <c r="CU846">
        <f t="shared" si="1031"/>
        <v>-1.9457669219623266</v>
      </c>
      <c r="CV846" s="2">
        <f t="shared" si="1032"/>
        <v>-0.2561307901907357</v>
      </c>
      <c r="CW846" s="1" t="s">
        <v>1230</v>
      </c>
      <c r="CX846" t="str">
        <f t="shared" si="1033"/>
        <v>reg</v>
      </c>
      <c r="CY846" t="s">
        <v>743</v>
      </c>
      <c r="CZ846">
        <v>2000</v>
      </c>
      <c r="DA846">
        <v>2030</v>
      </c>
      <c r="DB846">
        <v>30</v>
      </c>
      <c r="DC846" t="str">
        <f t="shared" si="1034"/>
        <v>1-30</v>
      </c>
      <c r="DD846">
        <v>0</v>
      </c>
      <c r="DE846">
        <v>1</v>
      </c>
      <c r="DF846">
        <v>0</v>
      </c>
      <c r="DG846">
        <v>1</v>
      </c>
      <c r="DH846">
        <v>1</v>
      </c>
      <c r="DI846">
        <f t="shared" si="1063"/>
        <v>2</v>
      </c>
      <c r="DJ846" t="str">
        <f t="shared" si="1036"/>
        <v>mixedProduct</v>
      </c>
      <c r="DK846">
        <f t="shared" si="1037"/>
        <v>0</v>
      </c>
      <c r="DL846" t="str">
        <f t="shared" si="1038"/>
        <v>Energy</v>
      </c>
      <c r="DM846">
        <f t="shared" si="1039"/>
        <v>0</v>
      </c>
      <c r="DN846" t="str">
        <f t="shared" si="1040"/>
        <v>Timber</v>
      </c>
      <c r="DO846">
        <v>0</v>
      </c>
      <c r="DP846">
        <v>1</v>
      </c>
      <c r="DQ846" t="s">
        <v>1770</v>
      </c>
      <c r="DR846" t="s">
        <v>1770</v>
      </c>
      <c r="DS846">
        <v>0</v>
      </c>
      <c r="DT846">
        <f t="shared" si="1041"/>
        <v>1</v>
      </c>
      <c r="DU846" s="143" t="str">
        <f t="shared" si="1055"/>
        <v>external DF used</v>
      </c>
      <c r="DV846">
        <v>1</v>
      </c>
      <c r="DW846">
        <v>0</v>
      </c>
      <c r="DX846">
        <v>1</v>
      </c>
      <c r="DY846">
        <v>1</v>
      </c>
      <c r="DZ846">
        <v>0</v>
      </c>
      <c r="EA846" s="143">
        <v>0</v>
      </c>
      <c r="EB846">
        <v>0</v>
      </c>
      <c r="EC846">
        <v>0</v>
      </c>
      <c r="ED846">
        <v>0</v>
      </c>
      <c r="EE846">
        <v>0</v>
      </c>
      <c r="EF846">
        <v>1</v>
      </c>
      <c r="EG846">
        <v>0</v>
      </c>
      <c r="EH846">
        <v>0</v>
      </c>
      <c r="EI846" s="2">
        <v>0</v>
      </c>
      <c r="EJ846" s="1" t="s">
        <v>1771</v>
      </c>
      <c r="EK846" t="str">
        <f t="shared" si="1064"/>
        <v/>
      </c>
      <c r="EL846" t="str">
        <f t="shared" si="1065"/>
        <v>Ecosystem approach</v>
      </c>
      <c r="EM846" s="2" t="str">
        <f t="shared" si="995"/>
        <v/>
      </c>
      <c r="EP846" t="str">
        <f>IF(ISNUMBER(BU846),IF(ABS(BU846-[2]QC_indicators!$B$2)&gt;3*[2]QC_indicators!$C$2,"C ratio",IF(ISNUMBER(BY846),IF(ABS(BY846-[2]QC_indicators!$B$1)&gt;3*[2]QC_indicators!$C$1,"DF","no"))),IF(ISNUMBER(BY846),IF(ABS(BY846-[2]QC_indicators!$B$1)&gt;3*[2]QC_indicators!$C$1,"DF","no")))</f>
        <v>no</v>
      </c>
      <c r="ET846" s="264" t="s">
        <v>3269</v>
      </c>
    </row>
    <row r="847" spans="1:151" ht="15" hidden="1" customHeight="1">
      <c r="A847" s="1" t="s">
        <v>1759</v>
      </c>
      <c r="B847" t="s">
        <v>1760</v>
      </c>
      <c r="C847" t="s">
        <v>1761</v>
      </c>
      <c r="D847" t="s">
        <v>1762</v>
      </c>
      <c r="E847" t="s">
        <v>1763</v>
      </c>
      <c r="F847" t="s">
        <v>1764</v>
      </c>
      <c r="G847" t="s">
        <v>1765</v>
      </c>
      <c r="H847" t="s">
        <v>254</v>
      </c>
      <c r="I847">
        <v>2021</v>
      </c>
      <c r="J847">
        <v>6</v>
      </c>
      <c r="K847" t="s">
        <v>1766</v>
      </c>
      <c r="M847" t="str">
        <f t="shared" si="1044"/>
        <v>Jonsson_2021</v>
      </c>
      <c r="N847" t="s">
        <v>222</v>
      </c>
      <c r="O847" s="145" t="s">
        <v>513</v>
      </c>
      <c r="Q847" t="s">
        <v>256</v>
      </c>
      <c r="R847" s="2" t="s">
        <v>274</v>
      </c>
      <c r="S847" s="1" t="s">
        <v>1767</v>
      </c>
      <c r="T847" t="s">
        <v>1110</v>
      </c>
      <c r="U847" t="s">
        <v>1768</v>
      </c>
      <c r="V847">
        <v>0</v>
      </c>
      <c r="W847">
        <v>1</v>
      </c>
      <c r="X847">
        <v>0</v>
      </c>
      <c r="Y847">
        <v>0</v>
      </c>
      <c r="Z847">
        <v>0</v>
      </c>
      <c r="AA847">
        <v>0</v>
      </c>
      <c r="AB847">
        <v>0</v>
      </c>
      <c r="AC847">
        <v>0</v>
      </c>
      <c r="AD847">
        <v>0</v>
      </c>
      <c r="AE847">
        <v>0</v>
      </c>
      <c r="AF847">
        <v>2</v>
      </c>
      <c r="AG847">
        <v>0</v>
      </c>
      <c r="AH847">
        <v>0</v>
      </c>
      <c r="AI847">
        <v>0</v>
      </c>
      <c r="AJ847">
        <v>0</v>
      </c>
      <c r="AK847">
        <v>0</v>
      </c>
      <c r="AL847">
        <v>0</v>
      </c>
      <c r="AM847">
        <v>0</v>
      </c>
      <c r="AN847">
        <v>0</v>
      </c>
      <c r="AO847">
        <v>0</v>
      </c>
      <c r="AP847">
        <v>0</v>
      </c>
      <c r="AQ847">
        <v>0</v>
      </c>
      <c r="AR847">
        <v>0</v>
      </c>
      <c r="AS847">
        <v>0</v>
      </c>
      <c r="AT847">
        <v>0</v>
      </c>
      <c r="AU847">
        <v>0</v>
      </c>
      <c r="AV847">
        <v>0</v>
      </c>
      <c r="AW847">
        <v>0</v>
      </c>
      <c r="AX847" s="141">
        <f t="shared" si="1016"/>
        <v>2</v>
      </c>
      <c r="AY847" s="141">
        <f t="shared" si="1017"/>
        <v>2</v>
      </c>
      <c r="AZ847">
        <f t="shared" si="1018"/>
        <v>1</v>
      </c>
      <c r="BA847">
        <f t="shared" si="1019"/>
        <v>1</v>
      </c>
      <c r="BB847">
        <f t="shared" si="1020"/>
        <v>0</v>
      </c>
      <c r="BC847">
        <f t="shared" si="1021"/>
        <v>0</v>
      </c>
      <c r="BD847">
        <f t="shared" si="1022"/>
        <v>0</v>
      </c>
      <c r="BE847" t="str">
        <f t="array" ref="BE847">IF(AY847=1,INDEX($V$7:$AL$7,MATCH(TRUE,INDEX($V847:$AW847&lt;&gt;0,),0)),IF(AY847=0,INDEX($AM$7:$AW$7,MATCH(1,$AM847:$AW847,0)),IF(BF847="Multiple strategies","mixed drivers",IF(BF847="Supply chain","multiple supply","multiple silviculture"))))</f>
        <v>mixed drivers</v>
      </c>
      <c r="BF847" s="2" t="str" cm="1">
        <f t="array" ref="BF847">IF(COUNTIF(AZ847:BB847,"&lt;&gt;0")=1,INDEX($V$4:$AW$4,MATCH(TRUE,INDEX($V847:$AW847&lt;&gt;0,),0)),IF(COUNTIF(AZ847:BB847,"&lt;&gt;0")=0,INDEX($AM$4:$AW$4,MATCH(1,$AM847:$AW847,0)),"Multiple strategies"))</f>
        <v>Multiple strategies</v>
      </c>
      <c r="BG847" s="1" t="s">
        <v>229</v>
      </c>
      <c r="BH847" t="s">
        <v>229</v>
      </c>
      <c r="BI847" s="264" t="s">
        <v>2127</v>
      </c>
      <c r="BJ847" t="s">
        <v>1769</v>
      </c>
      <c r="BK847">
        <v>284950</v>
      </c>
      <c r="BL847">
        <v>322592</v>
      </c>
      <c r="BM847" t="e">
        <f>#REF!</f>
        <v>#REF!</v>
      </c>
      <c r="BN847">
        <f t="shared" si="1056"/>
        <v>37642</v>
      </c>
      <c r="BO847">
        <f t="shared" si="1057"/>
        <v>37642000</v>
      </c>
      <c r="BP847" t="s">
        <v>232</v>
      </c>
      <c r="BQ847" s="264" t="s">
        <v>3268</v>
      </c>
      <c r="BR847" s="264" t="s">
        <v>1299</v>
      </c>
      <c r="BS847">
        <v>367</v>
      </c>
      <c r="BT847">
        <v>312</v>
      </c>
      <c r="BU847" s="144">
        <f t="shared" si="1058"/>
        <v>0.85013623978201636</v>
      </c>
      <c r="BV847">
        <f t="shared" si="1054"/>
        <v>-55</v>
      </c>
      <c r="BX847">
        <f t="shared" si="1059"/>
        <v>-55000000</v>
      </c>
      <c r="BY847">
        <f t="shared" si="994"/>
        <v>-1.4611338398597311</v>
      </c>
      <c r="BZ847">
        <v>0</v>
      </c>
      <c r="CA847">
        <v>0</v>
      </c>
      <c r="CB847">
        <v>0</v>
      </c>
      <c r="CC847">
        <v>0</v>
      </c>
      <c r="CD847">
        <v>0</v>
      </c>
      <c r="CE847">
        <v>0</v>
      </c>
      <c r="CF847">
        <v>0</v>
      </c>
      <c r="CG847">
        <v>0</v>
      </c>
      <c r="CH847">
        <v>0</v>
      </c>
      <c r="CI847">
        <v>0</v>
      </c>
      <c r="CJ847">
        <v>0</v>
      </c>
      <c r="CK847">
        <v>0</v>
      </c>
      <c r="CL847">
        <v>0</v>
      </c>
      <c r="CM847">
        <v>1</v>
      </c>
      <c r="CN847" t="str">
        <f t="shared" si="1048"/>
        <v>refOK</v>
      </c>
      <c r="CO847">
        <f t="shared" si="1060"/>
        <v>284950</v>
      </c>
      <c r="CP847">
        <f t="shared" si="1061"/>
        <v>322592</v>
      </c>
      <c r="CQ847">
        <f t="shared" si="1062"/>
        <v>37642000</v>
      </c>
      <c r="CR847">
        <f t="shared" si="1028"/>
        <v>367</v>
      </c>
      <c r="CS847">
        <f t="shared" si="1029"/>
        <v>312</v>
      </c>
      <c r="CT847">
        <f t="shared" si="1030"/>
        <v>-55000000</v>
      </c>
      <c r="CU847">
        <f t="shared" si="1031"/>
        <v>-1.4611338398597311</v>
      </c>
      <c r="CV847" s="2">
        <f t="shared" si="1032"/>
        <v>-0.14986376021798364</v>
      </c>
      <c r="CW847" s="1" t="s">
        <v>1230</v>
      </c>
      <c r="CX847" t="str">
        <f t="shared" si="1033"/>
        <v>reg</v>
      </c>
      <c r="CY847" t="s">
        <v>743</v>
      </c>
      <c r="CZ847">
        <v>2000</v>
      </c>
      <c r="DA847">
        <v>2030</v>
      </c>
      <c r="DB847">
        <v>30</v>
      </c>
      <c r="DC847" t="str">
        <f t="shared" si="1034"/>
        <v>1-30</v>
      </c>
      <c r="DD847">
        <v>0</v>
      </c>
      <c r="DE847">
        <v>0</v>
      </c>
      <c r="DF847">
        <v>0</v>
      </c>
      <c r="DG847">
        <v>1</v>
      </c>
      <c r="DH847">
        <v>1</v>
      </c>
      <c r="DI847">
        <f t="shared" si="1063"/>
        <v>1</v>
      </c>
      <c r="DJ847" t="str">
        <f t="shared" si="1036"/>
        <v>TimberInput</v>
      </c>
      <c r="DK847">
        <f t="shared" si="1037"/>
        <v>0</v>
      </c>
      <c r="DL847">
        <f t="shared" si="1038"/>
        <v>0</v>
      </c>
      <c r="DM847">
        <f t="shared" si="1039"/>
        <v>0</v>
      </c>
      <c r="DN847" t="str">
        <f t="shared" si="1040"/>
        <v>Timber</v>
      </c>
      <c r="DO847">
        <v>0</v>
      </c>
      <c r="DP847">
        <v>1</v>
      </c>
      <c r="DQ847" t="s">
        <v>1770</v>
      </c>
      <c r="DR847" t="s">
        <v>1770</v>
      </c>
      <c r="DS847">
        <v>0</v>
      </c>
      <c r="DT847">
        <f t="shared" si="1041"/>
        <v>1</v>
      </c>
      <c r="DU847" s="143" t="str">
        <f t="shared" si="1055"/>
        <v>external DF used</v>
      </c>
      <c r="DV847">
        <v>1</v>
      </c>
      <c r="DW847">
        <v>0</v>
      </c>
      <c r="DX847">
        <v>1</v>
      </c>
      <c r="DY847">
        <v>1</v>
      </c>
      <c r="DZ847">
        <v>0</v>
      </c>
      <c r="EA847" s="143">
        <v>0</v>
      </c>
      <c r="EB847">
        <v>0</v>
      </c>
      <c r="EC847">
        <v>0</v>
      </c>
      <c r="ED847">
        <v>0</v>
      </c>
      <c r="EE847">
        <v>0</v>
      </c>
      <c r="EF847">
        <v>1</v>
      </c>
      <c r="EG847">
        <v>0</v>
      </c>
      <c r="EH847">
        <v>0</v>
      </c>
      <c r="EI847" s="2">
        <v>0</v>
      </c>
      <c r="EJ847" s="1" t="s">
        <v>1771</v>
      </c>
      <c r="EK847" t="str">
        <f t="shared" si="1064"/>
        <v/>
      </c>
      <c r="EL847" t="str">
        <f t="shared" si="1065"/>
        <v>Ecosystem approach</v>
      </c>
      <c r="EM847" s="2" t="str">
        <f t="shared" si="995"/>
        <v/>
      </c>
      <c r="EP847" t="str">
        <f>IF(ISNUMBER(BU847),IF(ABS(BU847-[2]QC_indicators!$B$2)&gt;3*[2]QC_indicators!$C$2,"C ratio",IF(ISNUMBER(BY847),IF(ABS(BY847-[2]QC_indicators!$B$1)&gt;3*[2]QC_indicators!$C$1,"DF","no"))),IF(ISNUMBER(BY847),IF(ABS(BY847-[2]QC_indicators!$B$1)&gt;3*[2]QC_indicators!$C$1,"DF","no")))</f>
        <v>no</v>
      </c>
      <c r="ET847" s="264" t="s">
        <v>3269</v>
      </c>
    </row>
    <row r="848" spans="1:151" ht="15" hidden="1" customHeight="1">
      <c r="A848" s="1" t="s">
        <v>1759</v>
      </c>
      <c r="B848" t="s">
        <v>1760</v>
      </c>
      <c r="C848" t="s">
        <v>1761</v>
      </c>
      <c r="D848" t="s">
        <v>1762</v>
      </c>
      <c r="E848" t="s">
        <v>1763</v>
      </c>
      <c r="F848" t="s">
        <v>1764</v>
      </c>
      <c r="G848" t="s">
        <v>1765</v>
      </c>
      <c r="H848" t="s">
        <v>254</v>
      </c>
      <c r="I848">
        <v>2021</v>
      </c>
      <c r="J848">
        <v>6</v>
      </c>
      <c r="K848" t="s">
        <v>1766</v>
      </c>
      <c r="M848" t="str">
        <f t="shared" si="1044"/>
        <v>Jonsson_2021</v>
      </c>
      <c r="N848" t="s">
        <v>222</v>
      </c>
      <c r="O848" s="145" t="s">
        <v>513</v>
      </c>
      <c r="Q848" t="s">
        <v>256</v>
      </c>
      <c r="R848" s="2" t="s">
        <v>274</v>
      </c>
      <c r="S848" s="1" t="s">
        <v>1775</v>
      </c>
      <c r="T848" t="s">
        <v>1110</v>
      </c>
      <c r="U848" t="s">
        <v>1774</v>
      </c>
      <c r="V848">
        <v>0</v>
      </c>
      <c r="W848">
        <v>1</v>
      </c>
      <c r="X848">
        <v>0</v>
      </c>
      <c r="Y848">
        <v>0</v>
      </c>
      <c r="Z848">
        <v>0</v>
      </c>
      <c r="AA848">
        <v>0</v>
      </c>
      <c r="AB848">
        <v>0</v>
      </c>
      <c r="AC848">
        <v>0</v>
      </c>
      <c r="AD848">
        <v>0</v>
      </c>
      <c r="AE848">
        <v>0</v>
      </c>
      <c r="AF848">
        <v>2</v>
      </c>
      <c r="AG848">
        <v>0</v>
      </c>
      <c r="AH848">
        <v>0</v>
      </c>
      <c r="AI848">
        <v>0</v>
      </c>
      <c r="AJ848">
        <v>0</v>
      </c>
      <c r="AK848">
        <v>0</v>
      </c>
      <c r="AL848">
        <v>0</v>
      </c>
      <c r="AM848">
        <v>0</v>
      </c>
      <c r="AN848">
        <v>0</v>
      </c>
      <c r="AO848">
        <v>0</v>
      </c>
      <c r="AP848">
        <v>0</v>
      </c>
      <c r="AQ848">
        <v>0</v>
      </c>
      <c r="AR848">
        <v>0</v>
      </c>
      <c r="AS848">
        <v>0</v>
      </c>
      <c r="AT848">
        <v>0</v>
      </c>
      <c r="AU848">
        <v>0</v>
      </c>
      <c r="AV848">
        <v>0</v>
      </c>
      <c r="AW848">
        <v>0</v>
      </c>
      <c r="AX848" s="141">
        <f t="shared" si="1016"/>
        <v>2</v>
      </c>
      <c r="AY848" s="141">
        <f t="shared" si="1017"/>
        <v>2</v>
      </c>
      <c r="AZ848">
        <f t="shared" si="1018"/>
        <v>1</v>
      </c>
      <c r="BA848">
        <f t="shared" si="1019"/>
        <v>1</v>
      </c>
      <c r="BB848">
        <f t="shared" si="1020"/>
        <v>0</v>
      </c>
      <c r="BC848">
        <f t="shared" si="1021"/>
        <v>0</v>
      </c>
      <c r="BD848">
        <f t="shared" si="1022"/>
        <v>0</v>
      </c>
      <c r="BE848" t="str">
        <f t="array" ref="BE848">IF(AY848=1,INDEX($V$7:$AL$7,MATCH(TRUE,INDEX($V848:$AW848&lt;&gt;0,),0)),IF(AY848=0,INDEX($AM$7:$AW$7,MATCH(1,$AM848:$AW848,0)),IF(BF848="Multiple strategies","mixed drivers",IF(BF848="Supply chain","multiple supply","multiple silviculture"))))</f>
        <v>mixed drivers</v>
      </c>
      <c r="BF848" s="2" t="str" cm="1">
        <f t="array" ref="BF848">IF(COUNTIF(AZ848:BB848,"&lt;&gt;0")=1,INDEX($V$4:$AW$4,MATCH(TRUE,INDEX($V848:$AW848&lt;&gt;0,),0)),IF(COUNTIF(AZ848:BB848,"&lt;&gt;0")=0,INDEX($AM$4:$AW$4,MATCH(1,$AM848:$AW848,0)),"Multiple strategies"))</f>
        <v>Multiple strategies</v>
      </c>
      <c r="BG848" s="1" t="s">
        <v>229</v>
      </c>
      <c r="BH848" t="s">
        <v>229</v>
      </c>
      <c r="BI848" s="264" t="s">
        <v>2127</v>
      </c>
      <c r="BJ848" t="s">
        <v>1769</v>
      </c>
      <c r="BK848">
        <v>284950</v>
      </c>
      <c r="BL848">
        <v>333260</v>
      </c>
      <c r="BM848" t="e">
        <f>#REF!</f>
        <v>#REF!</v>
      </c>
      <c r="BN848">
        <f t="shared" si="1056"/>
        <v>48310</v>
      </c>
      <c r="BO848">
        <f t="shared" si="1057"/>
        <v>48310000</v>
      </c>
      <c r="BP848" t="s">
        <v>232</v>
      </c>
      <c r="BQ848" s="264" t="s">
        <v>2127</v>
      </c>
      <c r="BR848" t="s">
        <v>1299</v>
      </c>
      <c r="BS848">
        <v>72</v>
      </c>
      <c r="BT848">
        <v>107</v>
      </c>
      <c r="BU848" s="144">
        <f t="shared" si="1058"/>
        <v>1.4861111111111112</v>
      </c>
      <c r="BV848">
        <f t="shared" si="1054"/>
        <v>35</v>
      </c>
      <c r="BX848">
        <f t="shared" si="1059"/>
        <v>35000000</v>
      </c>
      <c r="BY848">
        <f t="shared" si="994"/>
        <v>0.724487683709377</v>
      </c>
      <c r="BZ848">
        <v>0</v>
      </c>
      <c r="CA848">
        <v>0</v>
      </c>
      <c r="CB848">
        <v>0</v>
      </c>
      <c r="CC848">
        <v>0</v>
      </c>
      <c r="CD848">
        <v>0</v>
      </c>
      <c r="CE848">
        <v>0</v>
      </c>
      <c r="CF848">
        <v>0</v>
      </c>
      <c r="CG848">
        <v>0</v>
      </c>
      <c r="CH848">
        <v>0</v>
      </c>
      <c r="CI848">
        <v>0</v>
      </c>
      <c r="CJ848">
        <v>0</v>
      </c>
      <c r="CK848">
        <v>0</v>
      </c>
      <c r="CL848">
        <v>0</v>
      </c>
      <c r="CM848">
        <v>1</v>
      </c>
      <c r="CN848" t="str">
        <f t="shared" si="1048"/>
        <v>refOK</v>
      </c>
      <c r="CO848">
        <f t="shared" si="1060"/>
        <v>284950</v>
      </c>
      <c r="CP848">
        <f t="shared" si="1061"/>
        <v>333260</v>
      </c>
      <c r="CQ848">
        <f t="shared" si="1062"/>
        <v>48310000</v>
      </c>
      <c r="CR848">
        <f t="shared" si="1028"/>
        <v>72</v>
      </c>
      <c r="CS848">
        <f t="shared" si="1029"/>
        <v>107</v>
      </c>
      <c r="CT848">
        <f t="shared" si="1030"/>
        <v>35000000</v>
      </c>
      <c r="CU848">
        <f t="shared" si="1031"/>
        <v>0.724487683709377</v>
      </c>
      <c r="CV848" s="2">
        <f t="shared" si="1032"/>
        <v>0.4861111111111111</v>
      </c>
      <c r="CW848" s="1" t="s">
        <v>1230</v>
      </c>
      <c r="CX848" t="str">
        <f t="shared" si="1033"/>
        <v>reg</v>
      </c>
      <c r="CY848" t="s">
        <v>743</v>
      </c>
      <c r="CZ848">
        <v>2000</v>
      </c>
      <c r="DA848">
        <v>2030</v>
      </c>
      <c r="DB848">
        <v>30</v>
      </c>
      <c r="DC848" t="str">
        <f t="shared" si="1034"/>
        <v>1-30</v>
      </c>
      <c r="DD848">
        <v>0</v>
      </c>
      <c r="DE848">
        <v>1</v>
      </c>
      <c r="DF848">
        <v>0</v>
      </c>
      <c r="DG848">
        <v>1</v>
      </c>
      <c r="DH848">
        <v>1</v>
      </c>
      <c r="DI848">
        <f t="shared" si="1063"/>
        <v>2</v>
      </c>
      <c r="DJ848" t="str">
        <f t="shared" si="1036"/>
        <v>mixedProduct</v>
      </c>
      <c r="DK848">
        <f t="shared" si="1037"/>
        <v>0</v>
      </c>
      <c r="DL848" t="str">
        <f t="shared" si="1038"/>
        <v>Energy</v>
      </c>
      <c r="DM848">
        <f t="shared" si="1039"/>
        <v>0</v>
      </c>
      <c r="DN848" t="str">
        <f t="shared" si="1040"/>
        <v>Timber</v>
      </c>
      <c r="DO848">
        <v>0</v>
      </c>
      <c r="DP848">
        <v>1</v>
      </c>
      <c r="DQ848" t="s">
        <v>1770</v>
      </c>
      <c r="DR848" t="s">
        <v>1770</v>
      </c>
      <c r="DS848">
        <v>0</v>
      </c>
      <c r="DT848">
        <f t="shared" si="1041"/>
        <v>1</v>
      </c>
      <c r="DU848" s="143" t="str">
        <f t="shared" si="1055"/>
        <v>external DF used</v>
      </c>
      <c r="DV848">
        <v>0</v>
      </c>
      <c r="DW848">
        <v>0</v>
      </c>
      <c r="DX848">
        <v>0</v>
      </c>
      <c r="DY848">
        <v>1</v>
      </c>
      <c r="DZ848">
        <v>0</v>
      </c>
      <c r="EA848" s="143">
        <v>0</v>
      </c>
      <c r="EB848">
        <v>0</v>
      </c>
      <c r="EC848">
        <v>0</v>
      </c>
      <c r="ED848">
        <v>0</v>
      </c>
      <c r="EE848">
        <v>0</v>
      </c>
      <c r="EF848">
        <v>1</v>
      </c>
      <c r="EG848">
        <v>0</v>
      </c>
      <c r="EH848">
        <v>0</v>
      </c>
      <c r="EI848" s="2">
        <v>0</v>
      </c>
      <c r="EJ848" s="1" t="s">
        <v>1771</v>
      </c>
      <c r="EK848" t="str">
        <f t="shared" si="1064"/>
        <v/>
      </c>
      <c r="EL848" t="str">
        <f t="shared" si="1065"/>
        <v/>
      </c>
      <c r="EM848" s="2" t="str">
        <f t="shared" si="995"/>
        <v/>
      </c>
      <c r="EP848" t="str">
        <f>IF(ISNUMBER(BU848),IF(ABS(BU848-[2]QC_indicators!$B$2)&gt;3*[2]QC_indicators!$C$2,"C ratio",IF(ISNUMBER(BY848),IF(ABS(BY848-[2]QC_indicators!$B$1)&gt;3*[2]QC_indicators!$C$1,"DF","no"))),IF(ISNUMBER(BY848),IF(ABS(BY848-[2]QC_indicators!$B$1)&gt;3*[2]QC_indicators!$C$1,"DF","no")))</f>
        <v>no</v>
      </c>
      <c r="ET848" s="264" t="s">
        <v>3269</v>
      </c>
    </row>
    <row r="849" spans="1:150" ht="15" hidden="1" customHeight="1">
      <c r="A849" s="1" t="s">
        <v>1759</v>
      </c>
      <c r="B849" t="s">
        <v>1760</v>
      </c>
      <c r="C849" t="s">
        <v>1761</v>
      </c>
      <c r="D849" t="s">
        <v>1762</v>
      </c>
      <c r="E849" t="s">
        <v>1763</v>
      </c>
      <c r="F849" t="s">
        <v>1764</v>
      </c>
      <c r="G849" t="s">
        <v>1765</v>
      </c>
      <c r="H849" t="s">
        <v>254</v>
      </c>
      <c r="I849">
        <v>2021</v>
      </c>
      <c r="J849">
        <v>6</v>
      </c>
      <c r="K849" t="s">
        <v>1766</v>
      </c>
      <c r="M849" t="str">
        <f t="shared" si="1044"/>
        <v>Jonsson_2021</v>
      </c>
      <c r="N849" t="s">
        <v>222</v>
      </c>
      <c r="O849" s="145" t="s">
        <v>513</v>
      </c>
      <c r="Q849" t="s">
        <v>256</v>
      </c>
      <c r="R849" s="2" t="s">
        <v>274</v>
      </c>
      <c r="S849" s="1" t="s">
        <v>1772</v>
      </c>
      <c r="T849" t="s">
        <v>1110</v>
      </c>
      <c r="U849" t="s">
        <v>1768</v>
      </c>
      <c r="V849">
        <v>0</v>
      </c>
      <c r="W849">
        <v>1</v>
      </c>
      <c r="X849">
        <v>0</v>
      </c>
      <c r="Y849">
        <v>0</v>
      </c>
      <c r="Z849">
        <v>0</v>
      </c>
      <c r="AA849">
        <v>0</v>
      </c>
      <c r="AB849">
        <v>0</v>
      </c>
      <c r="AC849">
        <v>0</v>
      </c>
      <c r="AD849">
        <v>0</v>
      </c>
      <c r="AE849">
        <v>0</v>
      </c>
      <c r="AF849">
        <v>2</v>
      </c>
      <c r="AG849">
        <v>0</v>
      </c>
      <c r="AH849">
        <v>0</v>
      </c>
      <c r="AI849">
        <v>0</v>
      </c>
      <c r="AJ849">
        <v>0</v>
      </c>
      <c r="AK849">
        <v>0</v>
      </c>
      <c r="AL849">
        <v>0</v>
      </c>
      <c r="AM849">
        <v>0</v>
      </c>
      <c r="AN849">
        <v>0</v>
      </c>
      <c r="AO849">
        <v>0</v>
      </c>
      <c r="AP849">
        <v>0</v>
      </c>
      <c r="AQ849">
        <v>0</v>
      </c>
      <c r="AR849">
        <v>0</v>
      </c>
      <c r="AS849">
        <v>0</v>
      </c>
      <c r="AT849">
        <v>0</v>
      </c>
      <c r="AU849">
        <v>0</v>
      </c>
      <c r="AV849">
        <v>0</v>
      </c>
      <c r="AW849">
        <v>0</v>
      </c>
      <c r="AX849" s="141">
        <f t="shared" si="1016"/>
        <v>2</v>
      </c>
      <c r="AY849" s="141">
        <f t="shared" si="1017"/>
        <v>2</v>
      </c>
      <c r="AZ849">
        <f t="shared" si="1018"/>
        <v>1</v>
      </c>
      <c r="BA849">
        <f t="shared" si="1019"/>
        <v>1</v>
      </c>
      <c r="BB849">
        <f t="shared" si="1020"/>
        <v>0</v>
      </c>
      <c r="BC849">
        <f t="shared" si="1021"/>
        <v>0</v>
      </c>
      <c r="BD849">
        <f t="shared" si="1022"/>
        <v>0</v>
      </c>
      <c r="BE849" t="str">
        <f t="array" ref="BE849">IF(AY849=1,INDEX($V$7:$AL$7,MATCH(TRUE,INDEX($V849:$AW849&lt;&gt;0,),0)),IF(AY849=0,INDEX($AM$7:$AW$7,MATCH(1,$AM849:$AW849,0)),IF(BF849="Multiple strategies","mixed drivers",IF(BF849="Supply chain","multiple supply","multiple silviculture"))))</f>
        <v>mixed drivers</v>
      </c>
      <c r="BF849" s="2" t="str" cm="1">
        <f t="array" ref="BF849">IF(COUNTIF(AZ849:BB849,"&lt;&gt;0")=1,INDEX($V$4:$AW$4,MATCH(TRUE,INDEX($V849:$AW849&lt;&gt;0,),0)),IF(COUNTIF(AZ849:BB849,"&lt;&gt;0")=0,INDEX($AM$4:$AW$4,MATCH(1,$AM849:$AW849,0)),"Multiple strategies"))</f>
        <v>Multiple strategies</v>
      </c>
      <c r="BG849" s="1" t="s">
        <v>229</v>
      </c>
      <c r="BH849" t="s">
        <v>229</v>
      </c>
      <c r="BI849" s="264" t="s">
        <v>2127</v>
      </c>
      <c r="BJ849" t="s">
        <v>1769</v>
      </c>
      <c r="BK849">
        <v>284950</v>
      </c>
      <c r="BL849">
        <v>322592</v>
      </c>
      <c r="BM849" t="e">
        <f>#REF!</f>
        <v>#REF!</v>
      </c>
      <c r="BN849">
        <f t="shared" si="1056"/>
        <v>37642</v>
      </c>
      <c r="BO849">
        <f t="shared" si="1057"/>
        <v>37642000</v>
      </c>
      <c r="BP849" t="s">
        <v>232</v>
      </c>
      <c r="BQ849" s="264" t="s">
        <v>2127</v>
      </c>
      <c r="BR849" t="s">
        <v>1299</v>
      </c>
      <c r="BS849">
        <v>72</v>
      </c>
      <c r="BT849">
        <v>100</v>
      </c>
      <c r="BU849" s="144">
        <f t="shared" si="1058"/>
        <v>1.3888888888888888</v>
      </c>
      <c r="BV849">
        <f t="shared" si="1054"/>
        <v>28</v>
      </c>
      <c r="BX849">
        <f t="shared" si="1059"/>
        <v>28000000</v>
      </c>
      <c r="BY849">
        <f t="shared" si="994"/>
        <v>0.74384995483768135</v>
      </c>
      <c r="BZ849">
        <v>0</v>
      </c>
      <c r="CA849">
        <v>0</v>
      </c>
      <c r="CB849">
        <v>0</v>
      </c>
      <c r="CC849">
        <v>0</v>
      </c>
      <c r="CD849">
        <v>0</v>
      </c>
      <c r="CE849">
        <v>0</v>
      </c>
      <c r="CF849">
        <v>0</v>
      </c>
      <c r="CG849">
        <v>0</v>
      </c>
      <c r="CH849">
        <v>0</v>
      </c>
      <c r="CI849">
        <v>0</v>
      </c>
      <c r="CJ849">
        <v>0</v>
      </c>
      <c r="CK849">
        <v>0</v>
      </c>
      <c r="CL849">
        <v>0</v>
      </c>
      <c r="CM849">
        <v>1</v>
      </c>
      <c r="CN849" t="str">
        <f t="shared" si="1048"/>
        <v>refOK</v>
      </c>
      <c r="CO849">
        <f t="shared" si="1060"/>
        <v>284950</v>
      </c>
      <c r="CP849">
        <f t="shared" si="1061"/>
        <v>322592</v>
      </c>
      <c r="CQ849">
        <f t="shared" si="1062"/>
        <v>37642000</v>
      </c>
      <c r="CR849">
        <f t="shared" si="1028"/>
        <v>72</v>
      </c>
      <c r="CS849">
        <f t="shared" si="1029"/>
        <v>100</v>
      </c>
      <c r="CT849">
        <f t="shared" si="1030"/>
        <v>28000000</v>
      </c>
      <c r="CU849">
        <f t="shared" si="1031"/>
        <v>0.74384995483768135</v>
      </c>
      <c r="CV849" s="2">
        <f t="shared" si="1032"/>
        <v>0.3888888888888889</v>
      </c>
      <c r="CW849" s="1" t="s">
        <v>1230</v>
      </c>
      <c r="CX849" t="str">
        <f t="shared" si="1033"/>
        <v>reg</v>
      </c>
      <c r="CY849" t="s">
        <v>743</v>
      </c>
      <c r="CZ849">
        <v>2000</v>
      </c>
      <c r="DA849">
        <v>2030</v>
      </c>
      <c r="DB849">
        <v>30</v>
      </c>
      <c r="DC849" t="str">
        <f t="shared" si="1034"/>
        <v>1-30</v>
      </c>
      <c r="DD849">
        <v>0</v>
      </c>
      <c r="DE849">
        <v>0</v>
      </c>
      <c r="DF849">
        <v>0</v>
      </c>
      <c r="DG849">
        <v>1</v>
      </c>
      <c r="DH849">
        <v>1</v>
      </c>
      <c r="DI849">
        <f t="shared" si="1063"/>
        <v>1</v>
      </c>
      <c r="DJ849" t="str">
        <f t="shared" si="1036"/>
        <v>TimberInput</v>
      </c>
      <c r="DK849">
        <f t="shared" si="1037"/>
        <v>0</v>
      </c>
      <c r="DL849">
        <f t="shared" si="1038"/>
        <v>0</v>
      </c>
      <c r="DM849">
        <f t="shared" si="1039"/>
        <v>0</v>
      </c>
      <c r="DN849" t="str">
        <f t="shared" si="1040"/>
        <v>Timber</v>
      </c>
      <c r="DO849">
        <v>0</v>
      </c>
      <c r="DP849">
        <v>1</v>
      </c>
      <c r="DQ849" t="s">
        <v>1770</v>
      </c>
      <c r="DR849" t="s">
        <v>1770</v>
      </c>
      <c r="DS849">
        <v>0</v>
      </c>
      <c r="DT849">
        <f t="shared" si="1041"/>
        <v>1</v>
      </c>
      <c r="DU849" s="143" t="str">
        <f t="shared" si="1055"/>
        <v>external DF used</v>
      </c>
      <c r="DV849">
        <v>0</v>
      </c>
      <c r="DW849">
        <v>0</v>
      </c>
      <c r="DX849">
        <v>0</v>
      </c>
      <c r="DY849">
        <v>1</v>
      </c>
      <c r="DZ849">
        <v>0</v>
      </c>
      <c r="EA849" s="143">
        <v>0</v>
      </c>
      <c r="EB849">
        <v>0</v>
      </c>
      <c r="EC849">
        <v>0</v>
      </c>
      <c r="ED849">
        <v>0</v>
      </c>
      <c r="EE849">
        <v>0</v>
      </c>
      <c r="EF849">
        <v>1</v>
      </c>
      <c r="EG849">
        <v>0</v>
      </c>
      <c r="EH849">
        <v>0</v>
      </c>
      <c r="EI849" s="2">
        <v>0</v>
      </c>
      <c r="EJ849" s="1" t="s">
        <v>1771</v>
      </c>
      <c r="EK849" t="str">
        <f t="shared" si="1064"/>
        <v/>
      </c>
      <c r="EL849" t="str">
        <f t="shared" si="1065"/>
        <v/>
      </c>
      <c r="EM849" s="2" t="str">
        <f t="shared" si="995"/>
        <v/>
      </c>
      <c r="EP849" t="str">
        <f>IF(ISNUMBER(BU849),IF(ABS(BU849-[2]QC_indicators!$B$2)&gt;3*[2]QC_indicators!$C$2,"C ratio",IF(ISNUMBER(BY849),IF(ABS(BY849-[2]QC_indicators!$B$1)&gt;3*[2]QC_indicators!$C$1,"DF","no"))),IF(ISNUMBER(BY849),IF(ABS(BY849-[2]QC_indicators!$B$1)&gt;3*[2]QC_indicators!$C$1,"DF","no")))</f>
        <v>no</v>
      </c>
      <c r="ET849" s="264" t="s">
        <v>3269</v>
      </c>
    </row>
    <row r="850" spans="1:150" ht="15" hidden="1" customHeight="1">
      <c r="A850" s="1" t="s">
        <v>1759</v>
      </c>
      <c r="B850" t="s">
        <v>1760</v>
      </c>
      <c r="C850" t="s">
        <v>1761</v>
      </c>
      <c r="D850" t="s">
        <v>1762</v>
      </c>
      <c r="E850" t="s">
        <v>1763</v>
      </c>
      <c r="F850" t="s">
        <v>1764</v>
      </c>
      <c r="G850" t="s">
        <v>1765</v>
      </c>
      <c r="H850" t="s">
        <v>254</v>
      </c>
      <c r="I850">
        <v>2021</v>
      </c>
      <c r="J850">
        <v>6</v>
      </c>
      <c r="K850" t="s">
        <v>1766</v>
      </c>
      <c r="M850" t="str">
        <f t="shared" si="1044"/>
        <v>Jonsson_2021</v>
      </c>
      <c r="N850" t="s">
        <v>222</v>
      </c>
      <c r="O850" s="145" t="s">
        <v>513</v>
      </c>
      <c r="Q850" t="s">
        <v>256</v>
      </c>
      <c r="R850" s="2" t="s">
        <v>274</v>
      </c>
      <c r="S850" s="1" t="s">
        <v>1778</v>
      </c>
      <c r="T850" t="s">
        <v>1110</v>
      </c>
      <c r="U850" t="s">
        <v>1777</v>
      </c>
      <c r="V850">
        <v>0</v>
      </c>
      <c r="W850">
        <v>1</v>
      </c>
      <c r="X850">
        <v>0</v>
      </c>
      <c r="Y850">
        <v>0</v>
      </c>
      <c r="Z850">
        <v>0</v>
      </c>
      <c r="AA850">
        <v>0</v>
      </c>
      <c r="AB850">
        <v>0</v>
      </c>
      <c r="AC850">
        <v>0</v>
      </c>
      <c r="AD850">
        <v>0</v>
      </c>
      <c r="AE850">
        <v>0</v>
      </c>
      <c r="AF850">
        <v>2</v>
      </c>
      <c r="AG850">
        <v>0</v>
      </c>
      <c r="AH850">
        <v>0</v>
      </c>
      <c r="AI850">
        <v>0</v>
      </c>
      <c r="AJ850">
        <v>0</v>
      </c>
      <c r="AK850">
        <v>0</v>
      </c>
      <c r="AL850">
        <v>0</v>
      </c>
      <c r="AM850">
        <v>0</v>
      </c>
      <c r="AN850">
        <v>0</v>
      </c>
      <c r="AO850">
        <v>0</v>
      </c>
      <c r="AP850">
        <v>0</v>
      </c>
      <c r="AQ850">
        <v>0</v>
      </c>
      <c r="AR850">
        <v>0</v>
      </c>
      <c r="AS850">
        <v>0</v>
      </c>
      <c r="AT850">
        <v>0</v>
      </c>
      <c r="AU850">
        <v>0</v>
      </c>
      <c r="AV850">
        <v>0</v>
      </c>
      <c r="AW850">
        <v>0</v>
      </c>
      <c r="AX850" s="141">
        <f t="shared" si="1016"/>
        <v>2</v>
      </c>
      <c r="AY850" s="141">
        <f t="shared" si="1017"/>
        <v>2</v>
      </c>
      <c r="AZ850">
        <f t="shared" si="1018"/>
        <v>1</v>
      </c>
      <c r="BA850">
        <f t="shared" si="1019"/>
        <v>1</v>
      </c>
      <c r="BB850">
        <f t="shared" si="1020"/>
        <v>0</v>
      </c>
      <c r="BC850">
        <f t="shared" si="1021"/>
        <v>0</v>
      </c>
      <c r="BD850">
        <f t="shared" si="1022"/>
        <v>0</v>
      </c>
      <c r="BE850" t="str">
        <f t="array" ref="BE850">IF(AY850=1,INDEX($V$7:$AL$7,MATCH(TRUE,INDEX($V850:$AW850&lt;&gt;0,),0)),IF(AY850=0,INDEX($AM$7:$AW$7,MATCH(1,$AM850:$AW850,0)),IF(BF850="Multiple strategies","mixed drivers",IF(BF850="Supply chain","multiple supply","multiple silviculture"))))</f>
        <v>mixed drivers</v>
      </c>
      <c r="BF850" s="2" t="str" cm="1">
        <f t="array" ref="BF850">IF(COUNTIF(AZ850:BB850,"&lt;&gt;0")=1,INDEX($V$4:$AW$4,MATCH(TRUE,INDEX($V850:$AW850&lt;&gt;0,),0)),IF(COUNTIF(AZ850:BB850,"&lt;&gt;0")=0,INDEX($AM$4:$AW$4,MATCH(1,$AM850:$AW850,0)),"Multiple strategies"))</f>
        <v>Multiple strategies</v>
      </c>
      <c r="BG850" s="1" t="s">
        <v>229</v>
      </c>
      <c r="BH850" t="s">
        <v>229</v>
      </c>
      <c r="BI850" s="264" t="s">
        <v>2127</v>
      </c>
      <c r="BJ850" t="s">
        <v>1769</v>
      </c>
      <c r="BK850">
        <v>284950</v>
      </c>
      <c r="BL850">
        <v>286950</v>
      </c>
      <c r="BM850" t="e">
        <f>#REF!</f>
        <v>#REF!</v>
      </c>
      <c r="BN850">
        <f t="shared" si="1056"/>
        <v>2000</v>
      </c>
      <c r="BO850">
        <f t="shared" si="1057"/>
        <v>2000000</v>
      </c>
      <c r="BP850" t="s">
        <v>232</v>
      </c>
      <c r="BQ850" s="264" t="s">
        <v>2127</v>
      </c>
      <c r="BR850" t="s">
        <v>1299</v>
      </c>
      <c r="BS850">
        <v>72</v>
      </c>
      <c r="BT850">
        <v>74</v>
      </c>
      <c r="BU850" s="144">
        <f t="shared" si="1058"/>
        <v>1.0277777777777777</v>
      </c>
      <c r="BV850">
        <f t="shared" si="1054"/>
        <v>2</v>
      </c>
      <c r="BX850">
        <f t="shared" si="1059"/>
        <v>2000000</v>
      </c>
      <c r="BY850">
        <f t="shared" si="994"/>
        <v>1</v>
      </c>
      <c r="BZ850">
        <v>0</v>
      </c>
      <c r="CA850">
        <v>0</v>
      </c>
      <c r="CB850">
        <v>0</v>
      </c>
      <c r="CC850">
        <v>0</v>
      </c>
      <c r="CD850">
        <v>0</v>
      </c>
      <c r="CE850">
        <v>0</v>
      </c>
      <c r="CF850">
        <v>0</v>
      </c>
      <c r="CG850">
        <v>0</v>
      </c>
      <c r="CH850">
        <v>0</v>
      </c>
      <c r="CI850">
        <v>0</v>
      </c>
      <c r="CJ850">
        <v>0</v>
      </c>
      <c r="CK850">
        <v>0</v>
      </c>
      <c r="CL850">
        <v>0</v>
      </c>
      <c r="CM850">
        <v>1</v>
      </c>
      <c r="CN850" t="str">
        <f t="shared" si="1048"/>
        <v>refOK</v>
      </c>
      <c r="CO850">
        <f t="shared" si="1060"/>
        <v>284950</v>
      </c>
      <c r="CP850">
        <f t="shared" si="1061"/>
        <v>286950</v>
      </c>
      <c r="CQ850">
        <f t="shared" si="1062"/>
        <v>2000000</v>
      </c>
      <c r="CR850">
        <f t="shared" si="1028"/>
        <v>72</v>
      </c>
      <c r="CS850">
        <f t="shared" si="1029"/>
        <v>74</v>
      </c>
      <c r="CT850">
        <f t="shared" si="1030"/>
        <v>2000000</v>
      </c>
      <c r="CU850">
        <f t="shared" si="1031"/>
        <v>1</v>
      </c>
      <c r="CV850" s="2">
        <f t="shared" si="1032"/>
        <v>2.7777777777777776E-2</v>
      </c>
      <c r="CW850" s="1" t="s">
        <v>1230</v>
      </c>
      <c r="CX850" t="str">
        <f t="shared" si="1033"/>
        <v>reg</v>
      </c>
      <c r="CY850" t="s">
        <v>743</v>
      </c>
      <c r="CZ850">
        <v>2000</v>
      </c>
      <c r="DA850">
        <v>2030</v>
      </c>
      <c r="DB850">
        <v>30</v>
      </c>
      <c r="DC850" t="str">
        <f t="shared" si="1034"/>
        <v>1-30</v>
      </c>
      <c r="DD850">
        <v>0</v>
      </c>
      <c r="DE850">
        <v>1</v>
      </c>
      <c r="DF850">
        <v>0</v>
      </c>
      <c r="DG850">
        <v>0</v>
      </c>
      <c r="DH850">
        <v>1</v>
      </c>
      <c r="DI850">
        <f t="shared" si="1063"/>
        <v>1</v>
      </c>
      <c r="DJ850" t="str">
        <f t="shared" si="1036"/>
        <v>EnergyInput</v>
      </c>
      <c r="DK850">
        <f t="shared" si="1037"/>
        <v>0</v>
      </c>
      <c r="DL850" t="str">
        <f t="shared" si="1038"/>
        <v>Energy</v>
      </c>
      <c r="DM850">
        <f t="shared" si="1039"/>
        <v>0</v>
      </c>
      <c r="DN850">
        <f t="shared" si="1040"/>
        <v>0</v>
      </c>
      <c r="DO850">
        <v>0</v>
      </c>
      <c r="DP850">
        <v>1</v>
      </c>
      <c r="DQ850" t="s">
        <v>1770</v>
      </c>
      <c r="DR850" t="s">
        <v>1770</v>
      </c>
      <c r="DS850">
        <v>0</v>
      </c>
      <c r="DT850">
        <f t="shared" si="1041"/>
        <v>1</v>
      </c>
      <c r="DU850" s="143" t="str">
        <f t="shared" si="1055"/>
        <v>external DF used</v>
      </c>
      <c r="DV850">
        <v>0</v>
      </c>
      <c r="DW850">
        <v>0</v>
      </c>
      <c r="DX850">
        <v>0</v>
      </c>
      <c r="DY850">
        <v>1</v>
      </c>
      <c r="DZ850">
        <v>0</v>
      </c>
      <c r="EA850" s="143">
        <v>0</v>
      </c>
      <c r="EB850">
        <v>0</v>
      </c>
      <c r="EC850">
        <v>0</v>
      </c>
      <c r="ED850">
        <v>0</v>
      </c>
      <c r="EE850">
        <v>0</v>
      </c>
      <c r="EF850">
        <v>1</v>
      </c>
      <c r="EG850">
        <v>0</v>
      </c>
      <c r="EH850">
        <v>0</v>
      </c>
      <c r="EI850" s="2">
        <v>0</v>
      </c>
      <c r="EJ850" s="1" t="s">
        <v>1771</v>
      </c>
      <c r="EK850" t="str">
        <f t="shared" si="1064"/>
        <v/>
      </c>
      <c r="EL850" t="str">
        <f t="shared" si="1065"/>
        <v/>
      </c>
      <c r="EM850" s="2" t="str">
        <f t="shared" si="995"/>
        <v/>
      </c>
      <c r="EP850" t="str">
        <f>IF(ISNUMBER(BU850),IF(ABS(BU850-[2]QC_indicators!$B$2)&gt;3*[2]QC_indicators!$C$2,"C ratio",IF(ISNUMBER(BY850),IF(ABS(BY850-[2]QC_indicators!$B$1)&gt;3*[2]QC_indicators!$C$1,"DF","no"))),IF(ISNUMBER(BY850),IF(ABS(BY850-[2]QC_indicators!$B$1)&gt;3*[2]QC_indicators!$C$1,"DF","no")))</f>
        <v>no</v>
      </c>
      <c r="ET850" s="264" t="s">
        <v>3150</v>
      </c>
    </row>
    <row r="851" spans="1:150" ht="15" hidden="1" customHeight="1">
      <c r="A851" s="1" t="s">
        <v>1285</v>
      </c>
      <c r="B851" t="s">
        <v>1779</v>
      </c>
      <c r="C851" t="s">
        <v>1780</v>
      </c>
      <c r="D851" t="s">
        <v>1781</v>
      </c>
      <c r="E851" t="s">
        <v>1782</v>
      </c>
      <c r="F851" t="s">
        <v>1783</v>
      </c>
      <c r="G851" t="s">
        <v>1291</v>
      </c>
      <c r="H851" t="s">
        <v>254</v>
      </c>
      <c r="I851">
        <v>2018</v>
      </c>
      <c r="J851">
        <v>10</v>
      </c>
      <c r="K851" t="s">
        <v>1784</v>
      </c>
      <c r="M851" t="str">
        <f t="shared" si="1044"/>
        <v>Kalt_2018</v>
      </c>
      <c r="N851" t="s">
        <v>222</v>
      </c>
      <c r="O851" s="145" t="s">
        <v>513</v>
      </c>
      <c r="Q851" t="s">
        <v>256</v>
      </c>
      <c r="R851" s="283" t="s">
        <v>225</v>
      </c>
      <c r="S851" s="1" t="s">
        <v>1785</v>
      </c>
      <c r="T851" t="s">
        <v>1786</v>
      </c>
      <c r="U851" t="s">
        <v>1787</v>
      </c>
      <c r="V851">
        <v>0</v>
      </c>
      <c r="W851">
        <v>0</v>
      </c>
      <c r="X851">
        <v>0</v>
      </c>
      <c r="Y851">
        <v>0</v>
      </c>
      <c r="Z851">
        <v>0</v>
      </c>
      <c r="AA851">
        <v>0</v>
      </c>
      <c r="AB851">
        <v>0</v>
      </c>
      <c r="AC851">
        <v>0</v>
      </c>
      <c r="AD851">
        <v>0</v>
      </c>
      <c r="AE851">
        <v>0</v>
      </c>
      <c r="AF851">
        <v>0</v>
      </c>
      <c r="AG851">
        <v>0</v>
      </c>
      <c r="AH851">
        <v>0</v>
      </c>
      <c r="AI851">
        <v>0</v>
      </c>
      <c r="AJ851">
        <v>0</v>
      </c>
      <c r="AK851">
        <v>1</v>
      </c>
      <c r="AL851">
        <v>0</v>
      </c>
      <c r="AM851">
        <v>0</v>
      </c>
      <c r="AN851">
        <v>0</v>
      </c>
      <c r="AO851">
        <v>0</v>
      </c>
      <c r="AP851">
        <v>0</v>
      </c>
      <c r="AQ851">
        <v>0</v>
      </c>
      <c r="AR851">
        <v>0</v>
      </c>
      <c r="AS851">
        <v>0</v>
      </c>
      <c r="AT851">
        <v>0</v>
      </c>
      <c r="AU851">
        <v>0</v>
      </c>
      <c r="AV851">
        <v>0</v>
      </c>
      <c r="AW851">
        <v>0</v>
      </c>
      <c r="AX851" s="141">
        <f t="shared" si="1016"/>
        <v>1</v>
      </c>
      <c r="AY851" s="141">
        <f t="shared" si="1017"/>
        <v>1</v>
      </c>
      <c r="AZ851">
        <f t="shared" si="1018"/>
        <v>0</v>
      </c>
      <c r="BA851">
        <f t="shared" si="1019"/>
        <v>0</v>
      </c>
      <c r="BB851">
        <f t="shared" si="1020"/>
        <v>1</v>
      </c>
      <c r="BC851">
        <f t="shared" si="1021"/>
        <v>0</v>
      </c>
      <c r="BD851">
        <f t="shared" si="1022"/>
        <v>0</v>
      </c>
      <c r="BE851" t="str">
        <f t="array" ref="BE851">IF(AY851=1,INDEX($V$7:$AL$7,MATCH(TRUE,INDEX($V851:$AW851&lt;&gt;0,),0)),IF(AY851=0,INDEX($AM$7:$AW$7,MATCH(1,$AM851:$AW851,0)),IF(BF851="Multiple strategies","mixed drivers",IF(BF851="Supply chain","multiple supply","multiple silviculture"))))</f>
        <v>technologies/design switch</v>
      </c>
      <c r="BF851" s="2" t="str" cm="1">
        <f t="array" ref="BF851">IF(COUNTIF(AZ851:BB851,"&lt;&gt;0")=1,INDEX($V$4:$AW$4,MATCH(TRUE,INDEX($V851:$AW851&lt;&gt;0,),0)),IF(COUNTIF(AZ851:BB851,"&lt;&gt;0")=0,INDEX($AM$4:$AW$4,MATCH(1,$AM851:$AW851,0)),"Multiple strategies"))</f>
        <v>Technology</v>
      </c>
      <c r="BG851" s="1" t="s">
        <v>229</v>
      </c>
      <c r="BH851" t="s">
        <v>229</v>
      </c>
      <c r="BI851" s="151" t="s">
        <v>3081</v>
      </c>
      <c r="BJ851" t="s">
        <v>1697</v>
      </c>
      <c r="BK851">
        <f>BL851-4870</f>
        <v>525275</v>
      </c>
      <c r="BL851">
        <v>530145</v>
      </c>
      <c r="BM851">
        <f>BL851/BK851</f>
        <v>1.0092713340631099</v>
      </c>
      <c r="BN851">
        <f t="shared" si="1056"/>
        <v>4870</v>
      </c>
      <c r="BO851">
        <f t="shared" si="1057"/>
        <v>4870000</v>
      </c>
      <c r="BP851" t="s">
        <v>232</v>
      </c>
      <c r="BQ851" t="s">
        <v>3082</v>
      </c>
      <c r="BR851" t="s">
        <v>1299</v>
      </c>
      <c r="BS851">
        <v>0</v>
      </c>
      <c r="BT851">
        <v>21.5</v>
      </c>
      <c r="BU851" s="144" t="str">
        <f t="shared" si="1058"/>
        <v/>
      </c>
      <c r="BV851">
        <f t="shared" si="1054"/>
        <v>21.5</v>
      </c>
      <c r="BX851">
        <f t="shared" si="1059"/>
        <v>21500000</v>
      </c>
      <c r="BY851">
        <f t="shared" si="994"/>
        <v>4.4147843942505132</v>
      </c>
      <c r="BZ851">
        <v>0</v>
      </c>
      <c r="CA851">
        <v>0</v>
      </c>
      <c r="CB851">
        <v>0</v>
      </c>
      <c r="CC851">
        <v>0</v>
      </c>
      <c r="CD851">
        <v>0</v>
      </c>
      <c r="CE851">
        <v>0</v>
      </c>
      <c r="CF851">
        <v>0</v>
      </c>
      <c r="CG851">
        <v>0</v>
      </c>
      <c r="CH851">
        <v>0</v>
      </c>
      <c r="CI851">
        <v>0</v>
      </c>
      <c r="CJ851">
        <v>0</v>
      </c>
      <c r="CK851">
        <v>0</v>
      </c>
      <c r="CL851">
        <v>0</v>
      </c>
      <c r="CM851">
        <v>0</v>
      </c>
      <c r="CN851" t="str">
        <f>IF(BL851&lt;BK851,"refNeedCorrection","refOK")</f>
        <v>refOK</v>
      </c>
      <c r="CO851">
        <f>IF($CN851="refOK",$BK851,$BL851)</f>
        <v>525275</v>
      </c>
      <c r="CP851">
        <f>IF($CN851="refOK",$BL851,$BK851)</f>
        <v>530145</v>
      </c>
      <c r="CQ851">
        <f t="shared" si="1062"/>
        <v>4870000</v>
      </c>
      <c r="CR851">
        <f t="shared" si="1028"/>
        <v>0</v>
      </c>
      <c r="CS851">
        <f t="shared" si="1029"/>
        <v>21.5</v>
      </c>
      <c r="CT851">
        <f t="shared" si="1030"/>
        <v>21500000</v>
      </c>
      <c r="CU851">
        <f t="shared" si="1031"/>
        <v>4.4147843942505132</v>
      </c>
      <c r="CV851" s="2" t="str">
        <f t="shared" si="1032"/>
        <v/>
      </c>
      <c r="CW851" s="1" t="s">
        <v>1202</v>
      </c>
      <c r="CX851" t="str">
        <f t="shared" si="1033"/>
        <v>reg</v>
      </c>
      <c r="CY851" t="s">
        <v>666</v>
      </c>
      <c r="CZ851">
        <v>2015</v>
      </c>
      <c r="DA851">
        <v>2050</v>
      </c>
      <c r="DB851">
        <v>35</v>
      </c>
      <c r="DC851" t="str">
        <f t="shared" si="1034"/>
        <v>31-70</v>
      </c>
      <c r="DD851">
        <v>0</v>
      </c>
      <c r="DE851">
        <v>0</v>
      </c>
      <c r="DF851">
        <v>0</v>
      </c>
      <c r="DG851">
        <v>1</v>
      </c>
      <c r="DH851">
        <v>0</v>
      </c>
      <c r="DI851">
        <f t="shared" si="1063"/>
        <v>1</v>
      </c>
      <c r="DJ851" t="str">
        <f t="shared" si="1036"/>
        <v>TimberInput</v>
      </c>
      <c r="DK851">
        <f t="shared" si="1037"/>
        <v>0</v>
      </c>
      <c r="DL851">
        <f t="shared" si="1038"/>
        <v>0</v>
      </c>
      <c r="DM851">
        <f t="shared" si="1039"/>
        <v>0</v>
      </c>
      <c r="DN851" t="str">
        <f t="shared" si="1040"/>
        <v>Timber</v>
      </c>
      <c r="DO851">
        <v>0</v>
      </c>
      <c r="DP851">
        <v>1</v>
      </c>
      <c r="DQ851">
        <v>0</v>
      </c>
      <c r="DR851" t="s">
        <v>1788</v>
      </c>
      <c r="DS851">
        <v>1</v>
      </c>
      <c r="DT851">
        <f t="shared" si="1041"/>
        <v>1</v>
      </c>
      <c r="DU851" s="143" t="str">
        <f t="shared" si="1055"/>
        <v>external DF used</v>
      </c>
      <c r="DV851">
        <v>0</v>
      </c>
      <c r="DW851">
        <v>0</v>
      </c>
      <c r="DX851">
        <v>0</v>
      </c>
      <c r="DY851">
        <v>1</v>
      </c>
      <c r="DZ851">
        <v>0</v>
      </c>
      <c r="EA851" s="143">
        <v>1</v>
      </c>
      <c r="EB851">
        <v>0</v>
      </c>
      <c r="EC851">
        <v>1</v>
      </c>
      <c r="ED851">
        <v>0</v>
      </c>
      <c r="EE851">
        <v>0</v>
      </c>
      <c r="EF851">
        <v>0</v>
      </c>
      <c r="EG851">
        <v>0</v>
      </c>
      <c r="EH851">
        <v>0</v>
      </c>
      <c r="EI851" s="2">
        <v>0</v>
      </c>
      <c r="EK851" t="str">
        <f t="shared" si="1064"/>
        <v/>
      </c>
      <c r="EL851" t="str">
        <f t="shared" si="1065"/>
        <v/>
      </c>
      <c r="EM851" s="2" t="str">
        <f t="shared" si="995"/>
        <v/>
      </c>
      <c r="EP851" t="str">
        <f>IF(ISNUMBER(BU851),IF(ABS(BU851-[5]QC_indicators!$B$2)&gt;3*[5]QC_indicators!$C$2,"C ratio",IF(ISNUMBER(BY851),IF(ABS(BY851-[5]QC_indicators!$B$1)&gt;3*[5]QC_indicators!$C$1,"DF","no"))),IF(ISNUMBER(BY851),IF(ABS(BY851-[5]QC_indicators!$B$1)&gt;3*[5]QC_indicators!$C$1,"DF","no")))</f>
        <v>no</v>
      </c>
      <c r="ET851" s="264" t="s">
        <v>3272</v>
      </c>
    </row>
    <row r="852" spans="1:150" ht="15" hidden="1" customHeight="1">
      <c r="A852" s="1" t="s">
        <v>1285</v>
      </c>
      <c r="B852" t="s">
        <v>1779</v>
      </c>
      <c r="C852" t="s">
        <v>1780</v>
      </c>
      <c r="D852" t="s">
        <v>1781</v>
      </c>
      <c r="E852" t="s">
        <v>1782</v>
      </c>
      <c r="F852" t="s">
        <v>1783</v>
      </c>
      <c r="G852" t="s">
        <v>1291</v>
      </c>
      <c r="H852" t="s">
        <v>254</v>
      </c>
      <c r="I852">
        <v>2018</v>
      </c>
      <c r="J852">
        <v>10</v>
      </c>
      <c r="K852" t="s">
        <v>1784</v>
      </c>
      <c r="M852" t="str">
        <f t="shared" si="1044"/>
        <v>Kalt_2018</v>
      </c>
      <c r="N852" t="s">
        <v>222</v>
      </c>
      <c r="O852" s="145" t="s">
        <v>513</v>
      </c>
      <c r="Q852" t="s">
        <v>256</v>
      </c>
      <c r="R852" s="283" t="s">
        <v>225</v>
      </c>
      <c r="S852" s="1" t="s">
        <v>1785</v>
      </c>
      <c r="T852" t="s">
        <v>1786</v>
      </c>
      <c r="U852" t="s">
        <v>1789</v>
      </c>
      <c r="V852">
        <v>0</v>
      </c>
      <c r="W852">
        <v>0</v>
      </c>
      <c r="X852">
        <v>0</v>
      </c>
      <c r="Y852">
        <v>0</v>
      </c>
      <c r="Z852">
        <v>0</v>
      </c>
      <c r="AA852">
        <v>0</v>
      </c>
      <c r="AB852">
        <v>0</v>
      </c>
      <c r="AC852">
        <v>0</v>
      </c>
      <c r="AD852">
        <v>0</v>
      </c>
      <c r="AE852">
        <v>0</v>
      </c>
      <c r="AF852">
        <v>0</v>
      </c>
      <c r="AG852">
        <v>0</v>
      </c>
      <c r="AH852">
        <v>0</v>
      </c>
      <c r="AI852">
        <v>0</v>
      </c>
      <c r="AJ852">
        <v>0</v>
      </c>
      <c r="AK852">
        <v>1</v>
      </c>
      <c r="AL852">
        <v>0</v>
      </c>
      <c r="AM852">
        <v>0</v>
      </c>
      <c r="AN852">
        <v>0</v>
      </c>
      <c r="AO852">
        <v>0</v>
      </c>
      <c r="AP852">
        <v>0</v>
      </c>
      <c r="AQ852">
        <v>0</v>
      </c>
      <c r="AR852">
        <v>0</v>
      </c>
      <c r="AS852">
        <v>0</v>
      </c>
      <c r="AT852">
        <v>0</v>
      </c>
      <c r="AU852">
        <v>0</v>
      </c>
      <c r="AV852">
        <v>0</v>
      </c>
      <c r="AW852">
        <v>0</v>
      </c>
      <c r="AX852" s="141">
        <f t="shared" si="1016"/>
        <v>1</v>
      </c>
      <c r="AY852" s="141">
        <f t="shared" si="1017"/>
        <v>1</v>
      </c>
      <c r="AZ852">
        <f t="shared" si="1018"/>
        <v>0</v>
      </c>
      <c r="BA852">
        <f t="shared" si="1019"/>
        <v>0</v>
      </c>
      <c r="BB852">
        <f t="shared" si="1020"/>
        <v>1</v>
      </c>
      <c r="BC852">
        <f t="shared" si="1021"/>
        <v>0</v>
      </c>
      <c r="BD852">
        <f t="shared" si="1022"/>
        <v>0</v>
      </c>
      <c r="BE852" t="str">
        <f t="array" ref="BE852">IF(AY852=1,INDEX($V$7:$AL$7,MATCH(TRUE,INDEX($V852:$AW852&lt;&gt;0,),0)),IF(AY852=0,INDEX($AM$7:$AW$7,MATCH(1,$AM852:$AW852,0)),IF(BF852="Multiple strategies","mixed drivers",IF(BF852="Supply chain","multiple supply","multiple silviculture"))))</f>
        <v>technologies/design switch</v>
      </c>
      <c r="BF852" s="2" t="str" cm="1">
        <f t="array" ref="BF852">IF(COUNTIF(AZ852:BB852,"&lt;&gt;0")=1,INDEX($V$4:$AW$4,MATCH(TRUE,INDEX($V852:$AW852&lt;&gt;0,),0)),IF(COUNTIF(AZ852:BB852,"&lt;&gt;0")=0,INDEX($AM$4:$AW$4,MATCH(1,$AM852:$AW852,0)),"Multiple strategies"))</f>
        <v>Technology</v>
      </c>
      <c r="BG852" s="1" t="s">
        <v>229</v>
      </c>
      <c r="BH852" t="s">
        <v>229</v>
      </c>
      <c r="BI852" s="151" t="s">
        <v>3081</v>
      </c>
      <c r="BJ852" t="s">
        <v>1697</v>
      </c>
      <c r="BK852">
        <f>BL852-1811</f>
        <v>528334</v>
      </c>
      <c r="BL852">
        <v>530145</v>
      </c>
      <c r="BM852">
        <f>BL852/BK852</f>
        <v>1.0034277559271219</v>
      </c>
      <c r="BN852">
        <f t="shared" si="1056"/>
        <v>1811</v>
      </c>
      <c r="BO852">
        <f t="shared" si="1057"/>
        <v>1811000</v>
      </c>
      <c r="BP852" t="s">
        <v>232</v>
      </c>
      <c r="BQ852" t="s">
        <v>3082</v>
      </c>
      <c r="BR852" t="s">
        <v>1299</v>
      </c>
      <c r="BS852">
        <v>0</v>
      </c>
      <c r="BT852">
        <v>10.55</v>
      </c>
      <c r="BU852" s="144" t="str">
        <f t="shared" si="1058"/>
        <v/>
      </c>
      <c r="BV852">
        <f t="shared" si="1054"/>
        <v>10.55</v>
      </c>
      <c r="BX852">
        <f t="shared" si="1059"/>
        <v>10550000</v>
      </c>
      <c r="BY852">
        <f t="shared" si="994"/>
        <v>5.8255107675317506</v>
      </c>
      <c r="BZ852">
        <v>0</v>
      </c>
      <c r="CA852">
        <v>0</v>
      </c>
      <c r="CB852">
        <v>0</v>
      </c>
      <c r="CC852">
        <v>0</v>
      </c>
      <c r="CD852">
        <v>0</v>
      </c>
      <c r="CE852">
        <v>0</v>
      </c>
      <c r="CF852">
        <v>0</v>
      </c>
      <c r="CG852">
        <v>0</v>
      </c>
      <c r="CH852">
        <v>0</v>
      </c>
      <c r="CI852">
        <v>0</v>
      </c>
      <c r="CJ852">
        <v>0</v>
      </c>
      <c r="CK852">
        <v>0</v>
      </c>
      <c r="CL852">
        <v>0</v>
      </c>
      <c r="CM852">
        <v>0</v>
      </c>
      <c r="CN852" t="str">
        <f>IF(BL852&lt;BK852,"refNeedCorrection","refOK")</f>
        <v>refOK</v>
      </c>
      <c r="CO852">
        <f>IF($CN852="refOK",$BK852,$BL852)</f>
        <v>528334</v>
      </c>
      <c r="CP852">
        <f>IF($CN852="refOK",$BL852,$BK852)</f>
        <v>530145</v>
      </c>
      <c r="CQ852">
        <f t="shared" si="1062"/>
        <v>1811000</v>
      </c>
      <c r="CR852">
        <f t="shared" si="1028"/>
        <v>0</v>
      </c>
      <c r="CS852">
        <f t="shared" si="1029"/>
        <v>10.55</v>
      </c>
      <c r="CT852">
        <f t="shared" si="1030"/>
        <v>10550000</v>
      </c>
      <c r="CU852">
        <f t="shared" si="1031"/>
        <v>5.8255107675317506</v>
      </c>
      <c r="CV852" s="2" t="str">
        <f t="shared" si="1032"/>
        <v/>
      </c>
      <c r="CW852" s="1" t="s">
        <v>1202</v>
      </c>
      <c r="CX852" t="str">
        <f t="shared" si="1033"/>
        <v>reg</v>
      </c>
      <c r="CY852" t="s">
        <v>666</v>
      </c>
      <c r="CZ852">
        <v>2015</v>
      </c>
      <c r="DA852">
        <v>2050</v>
      </c>
      <c r="DB852">
        <v>35</v>
      </c>
      <c r="DC852" t="str">
        <f t="shared" si="1034"/>
        <v>31-70</v>
      </c>
      <c r="DD852">
        <v>0</v>
      </c>
      <c r="DE852">
        <v>0</v>
      </c>
      <c r="DF852">
        <v>0</v>
      </c>
      <c r="DG852">
        <v>1</v>
      </c>
      <c r="DH852">
        <v>0</v>
      </c>
      <c r="DI852">
        <f t="shared" si="1063"/>
        <v>1</v>
      </c>
      <c r="DJ852" t="str">
        <f t="shared" si="1036"/>
        <v>TimberInput</v>
      </c>
      <c r="DK852">
        <f t="shared" si="1037"/>
        <v>0</v>
      </c>
      <c r="DL852">
        <f t="shared" si="1038"/>
        <v>0</v>
      </c>
      <c r="DM852">
        <f t="shared" si="1039"/>
        <v>0</v>
      </c>
      <c r="DN852" t="str">
        <f t="shared" si="1040"/>
        <v>Timber</v>
      </c>
      <c r="DO852">
        <v>0</v>
      </c>
      <c r="DP852">
        <v>1</v>
      </c>
      <c r="DQ852">
        <v>0</v>
      </c>
      <c r="DR852" t="s">
        <v>1788</v>
      </c>
      <c r="DS852">
        <v>0</v>
      </c>
      <c r="DT852">
        <f t="shared" si="1041"/>
        <v>1</v>
      </c>
      <c r="DU852" s="143" t="str">
        <f t="shared" si="1055"/>
        <v>external DF used</v>
      </c>
      <c r="DV852">
        <v>0</v>
      </c>
      <c r="DW852">
        <v>0</v>
      </c>
      <c r="DX852">
        <v>0</v>
      </c>
      <c r="DY852">
        <v>1</v>
      </c>
      <c r="DZ852">
        <v>0</v>
      </c>
      <c r="EA852" s="143">
        <v>1</v>
      </c>
      <c r="EB852">
        <v>0</v>
      </c>
      <c r="EC852">
        <v>1</v>
      </c>
      <c r="ED852">
        <v>0</v>
      </c>
      <c r="EE852">
        <v>0</v>
      </c>
      <c r="EF852">
        <v>0</v>
      </c>
      <c r="EG852">
        <v>0</v>
      </c>
      <c r="EH852">
        <v>0</v>
      </c>
      <c r="EI852" s="2">
        <v>0</v>
      </c>
      <c r="EK852" t="str">
        <f t="shared" si="1064"/>
        <v/>
      </c>
      <c r="EL852" t="str">
        <f t="shared" si="1065"/>
        <v/>
      </c>
      <c r="EM852" s="2" t="str">
        <f t="shared" si="995"/>
        <v/>
      </c>
      <c r="EP852" t="str">
        <f>IF(ISNUMBER(BU852),IF(ABS(BU852-[5]QC_indicators!$B$2)&gt;3*[5]QC_indicators!$C$2,"C ratio",IF(ISNUMBER(BY852),IF(ABS(BY852-[5]QC_indicators!$B$1)&gt;3*[5]QC_indicators!$C$1,"DF","no"))),IF(ISNUMBER(BY852),IF(ABS(BY852-[5]QC_indicators!$B$1)&gt;3*[5]QC_indicators!$C$1,"DF","no")))</f>
        <v>DF</v>
      </c>
      <c r="ET852" s="264" t="s">
        <v>3272</v>
      </c>
    </row>
    <row r="853" spans="1:150" ht="15" hidden="1" customHeight="1">
      <c r="A853" s="1" t="s">
        <v>4983</v>
      </c>
      <c r="B853" t="s">
        <v>4984</v>
      </c>
      <c r="C853" t="s">
        <v>544</v>
      </c>
      <c r="D853" t="s">
        <v>4985</v>
      </c>
      <c r="E853" t="s">
        <v>4986</v>
      </c>
      <c r="F853" t="s">
        <v>4987</v>
      </c>
      <c r="G853" t="s">
        <v>544</v>
      </c>
      <c r="H853" t="s">
        <v>3964</v>
      </c>
      <c r="I853">
        <v>2017</v>
      </c>
      <c r="J853">
        <v>1</v>
      </c>
      <c r="K853" t="s">
        <v>4988</v>
      </c>
      <c r="M853" t="str">
        <f t="shared" si="1044"/>
        <v>Kanematsu_2017</v>
      </c>
      <c r="N853" t="s">
        <v>2583</v>
      </c>
      <c r="O853" s="145" t="s">
        <v>513</v>
      </c>
      <c r="Q853" s="311" t="s">
        <v>256</v>
      </c>
      <c r="R853" s="312"/>
      <c r="AX853" s="141"/>
      <c r="AY853" s="141"/>
      <c r="BE853"/>
      <c r="BF853" s="2"/>
      <c r="BU853" s="144"/>
      <c r="BY853" t="str">
        <f t="shared" si="994"/>
        <v/>
      </c>
      <c r="CN853"/>
      <c r="CO853"/>
      <c r="CP853"/>
      <c r="CQ853"/>
      <c r="CR853"/>
      <c r="CS853"/>
      <c r="CT853"/>
      <c r="CU853"/>
      <c r="CV853" s="2"/>
      <c r="CX853"/>
      <c r="DC853"/>
      <c r="DI853"/>
      <c r="DJ853"/>
      <c r="DK853"/>
      <c r="DL853"/>
      <c r="DM853"/>
      <c r="DN853"/>
      <c r="DT853"/>
      <c r="DU853" s="143"/>
      <c r="EK853" t="str">
        <f>IF(AND(AND(AND(OR($DX853=1,$DW853=1),OR($EC853=1,$EA853=1)),SUM($DV853:$DZ853,$EF853)&gt;=3),SUM($EA853:$EE853)&gt;=2),"Whole sector","")</f>
        <v/>
      </c>
      <c r="EL853" t="str">
        <f>IF(AND(AND(OR($DX853=1,$DW853=1),AND($EC853=0,$EA853=0)),SUM($DV853:$DZ853,$EF853)&gt;=3),"Ecosystem approach","")</f>
        <v/>
      </c>
      <c r="EM853" s="2" t="str">
        <f t="shared" si="995"/>
        <v/>
      </c>
      <c r="EO853" t="s">
        <v>4989</v>
      </c>
      <c r="EP853" t="b">
        <f>IF(ISNUMBER(BU853),IF(ABS(BU853-[1]QC_indicators!$B$2)&gt;3*[1]QC_indicators!$C$2,"C ratio",IF(ISNUMBER(BY853),IF(ABS(BY853-[1]QC_indicators!$B$1)&gt;3*[1]QC_indicators!$C$1,"DF","no"))),IF(ISNUMBER(BY853),IF(ABS(BY853-[1]QC_indicators!$B$1)&gt;3*[1]QC_indicators!$C$1,"DF","no")))</f>
        <v>0</v>
      </c>
    </row>
    <row r="854" spans="1:150" ht="15" hidden="1" customHeight="1">
      <c r="A854" s="1" t="s">
        <v>4990</v>
      </c>
      <c r="B854" t="s">
        <v>544</v>
      </c>
      <c r="C854" t="s">
        <v>544</v>
      </c>
      <c r="D854" t="s">
        <v>4991</v>
      </c>
      <c r="E854" t="s">
        <v>4992</v>
      </c>
      <c r="F854" t="s">
        <v>4993</v>
      </c>
      <c r="G854" t="s">
        <v>544</v>
      </c>
      <c r="H854" t="s">
        <v>3964</v>
      </c>
      <c r="I854">
        <v>2019</v>
      </c>
      <c r="J854">
        <v>0</v>
      </c>
      <c r="K854" t="s">
        <v>4994</v>
      </c>
      <c r="M854" t="str">
        <f t="shared" si="1044"/>
        <v>Karas_2019</v>
      </c>
      <c r="N854" s="311" t="s">
        <v>2583</v>
      </c>
      <c r="O854" s="171" t="s">
        <v>513</v>
      </c>
      <c r="P854" t="s">
        <v>223</v>
      </c>
      <c r="Q854" s="311" t="s">
        <v>389</v>
      </c>
      <c r="R854" s="312"/>
      <c r="U854" s="143"/>
      <c r="AX854" s="141"/>
      <c r="AY854" s="141"/>
      <c r="BE854"/>
      <c r="BF854" s="2"/>
      <c r="BG854" s="142"/>
      <c r="BJ854" s="143"/>
      <c r="BL854" s="143"/>
      <c r="BN854" s="158"/>
      <c r="BO854" s="159"/>
      <c r="BS854" s="151"/>
      <c r="BT854" s="151"/>
      <c r="BU854" s="144"/>
      <c r="BY854" t="str">
        <f t="shared" si="994"/>
        <v/>
      </c>
      <c r="BZ854" s="143"/>
      <c r="CA854" s="143"/>
      <c r="CB854" s="143"/>
      <c r="CC854" s="143"/>
      <c r="CD854" s="143"/>
      <c r="CE854" s="143"/>
      <c r="CF854" s="143"/>
      <c r="CG854" s="143"/>
      <c r="CH854" s="143"/>
      <c r="CI854" s="143"/>
      <c r="CJ854" s="143"/>
      <c r="CK854" s="143"/>
      <c r="CL854" s="143"/>
      <c r="CN854"/>
      <c r="CO854"/>
      <c r="CP854"/>
      <c r="CQ854"/>
      <c r="CR854"/>
      <c r="CS854"/>
      <c r="CT854"/>
      <c r="CU854"/>
      <c r="CV854" s="2"/>
      <c r="CX854"/>
      <c r="DA854" s="143"/>
      <c r="DB854" s="143"/>
      <c r="DC854"/>
      <c r="DI854"/>
      <c r="DJ854"/>
      <c r="DK854"/>
      <c r="DL854"/>
      <c r="DM854"/>
      <c r="DN854"/>
      <c r="DT854"/>
      <c r="DU854" s="143"/>
      <c r="DV854" s="143"/>
      <c r="DW854" s="143"/>
      <c r="DX854" s="143"/>
      <c r="DY854" s="143"/>
      <c r="EB854" s="143"/>
      <c r="EC854" s="143"/>
      <c r="ED854" s="143"/>
      <c r="EG854" s="143"/>
      <c r="EH854" s="143"/>
      <c r="EK854" t="str">
        <f>IF(AND(AND(AND(OR($DX854=1,$DW854=1),OR($EC854=1,$EA854=1)),SUM($DV854:$DZ854,$EF854)&gt;=3),SUM($EA854:$EE854)&gt;=2),"Whole sector","")</f>
        <v/>
      </c>
      <c r="EL854" t="str">
        <f>IF(AND(AND(OR($DX854=1,$DW854=1),AND($EC854=0,$EA854=0)),SUM($DV854:$DZ854,$EF854)&gt;=3),"Ecosystem approach","")</f>
        <v/>
      </c>
      <c r="EM854" s="2" t="str">
        <f t="shared" si="995"/>
        <v/>
      </c>
      <c r="EP854" t="b">
        <f>IF(ISNUMBER(BU854),IF(ABS(BU854-[1]QC_indicators!$B$2)&gt;3*[1]QC_indicators!$C$2,"C ratio",IF(ISNUMBER(BY854),IF(ABS(BY854-[1]QC_indicators!$B$1)&gt;3*[1]QC_indicators!$C$1,"DF","no"))),IF(ISNUMBER(BY854),IF(ABS(BY854-[1]QC_indicators!$B$1)&gt;3*[1]QC_indicators!$C$1,"DF","no")))</f>
        <v>0</v>
      </c>
    </row>
    <row r="855" spans="1:150" ht="15" hidden="1" customHeight="1">
      <c r="A855" s="1" t="s">
        <v>814</v>
      </c>
      <c r="B855" t="s">
        <v>815</v>
      </c>
      <c r="C855" t="s">
        <v>816</v>
      </c>
      <c r="D855" t="s">
        <v>817</v>
      </c>
      <c r="E855" t="s">
        <v>818</v>
      </c>
      <c r="F855" t="s">
        <v>819</v>
      </c>
      <c r="G855" t="s">
        <v>180</v>
      </c>
      <c r="H855" t="s">
        <v>254</v>
      </c>
      <c r="I855">
        <v>2018</v>
      </c>
      <c r="J855">
        <v>14</v>
      </c>
      <c r="K855" t="s">
        <v>820</v>
      </c>
      <c r="M855" t="str">
        <f t="shared" si="1044"/>
        <v>Karlsson_2018</v>
      </c>
      <c r="N855" t="s">
        <v>222</v>
      </c>
      <c r="O855" s="145" t="s">
        <v>513</v>
      </c>
      <c r="Q855" t="s">
        <v>256</v>
      </c>
      <c r="R855" s="262" t="s">
        <v>223</v>
      </c>
      <c r="S855" s="1" t="s">
        <v>821</v>
      </c>
      <c r="T855" t="s">
        <v>822</v>
      </c>
      <c r="U855" t="s">
        <v>826</v>
      </c>
      <c r="V855">
        <v>0</v>
      </c>
      <c r="W855">
        <v>0</v>
      </c>
      <c r="X855">
        <v>0</v>
      </c>
      <c r="Y855">
        <v>0</v>
      </c>
      <c r="Z855">
        <v>0</v>
      </c>
      <c r="AA855">
        <v>0</v>
      </c>
      <c r="AB855">
        <v>0</v>
      </c>
      <c r="AC855">
        <v>0</v>
      </c>
      <c r="AD855">
        <v>0</v>
      </c>
      <c r="AE855">
        <v>0</v>
      </c>
      <c r="AF855">
        <v>0</v>
      </c>
      <c r="AG855">
        <v>0</v>
      </c>
      <c r="AH855">
        <v>0</v>
      </c>
      <c r="AI855">
        <v>0</v>
      </c>
      <c r="AJ855">
        <v>0</v>
      </c>
      <c r="AK855">
        <v>1</v>
      </c>
      <c r="AL855">
        <v>0</v>
      </c>
      <c r="AM855">
        <v>0</v>
      </c>
      <c r="AN855">
        <v>0</v>
      </c>
      <c r="AO855">
        <v>0</v>
      </c>
      <c r="AP855">
        <v>0</v>
      </c>
      <c r="AQ855">
        <v>0</v>
      </c>
      <c r="AR855">
        <v>0</v>
      </c>
      <c r="AS855">
        <v>0</v>
      </c>
      <c r="AT855">
        <v>0</v>
      </c>
      <c r="AU855">
        <v>0</v>
      </c>
      <c r="AV855">
        <v>0</v>
      </c>
      <c r="AW855">
        <v>0</v>
      </c>
      <c r="AX855" s="141">
        <f t="shared" ref="AX855:AX877" si="1066">COUNTIF(V855:AW855,"&lt;&gt;0")</f>
        <v>1</v>
      </c>
      <c r="AY855" s="141">
        <f t="shared" ref="AY855:AY877" si="1067">COUNTIF(V855:AL855,"&lt;&gt;0")</f>
        <v>1</v>
      </c>
      <c r="AZ855">
        <f t="shared" ref="AZ855:AZ877" si="1068">COUNTIF(V855:AC855,"&lt;&gt;0")</f>
        <v>0</v>
      </c>
      <c r="BA855">
        <f t="shared" ref="BA855:BA877" si="1069">COUNTIF(AD855:AI855,"&lt;&gt;0")</f>
        <v>0</v>
      </c>
      <c r="BB855">
        <f t="shared" ref="BB855:BB877" si="1070">COUNTIF(AJ855:AL855,"&lt;&gt;0")</f>
        <v>1</v>
      </c>
      <c r="BC855">
        <f t="shared" ref="BC855:BC877" si="1071">COUNTIF(AS855:AW855,"&lt;&gt;0")</f>
        <v>0</v>
      </c>
      <c r="BD855">
        <f t="shared" ref="BD855:BD877" si="1072">COUNTIF(AM855:AR855,"&lt;&gt;0")</f>
        <v>0</v>
      </c>
      <c r="BE855" t="str">
        <f t="array" ref="BE855">IF(AY855=1,INDEX($V$7:$AL$7,MATCH(TRUE,INDEX($V855:$AW855&lt;&gt;0,),0)),IF(AY855=0,INDEX($AM$7:$AW$7,MATCH(1,$AM855:$AW855,0)),IF(BF855="Multiple strategies","mixed drivers",IF(BF855="Supply chain","multiple supply","multiple silviculture"))))</f>
        <v>technologies/design switch</v>
      </c>
      <c r="BF855" s="2" t="str" cm="1">
        <f t="array" ref="BF855">IF(COUNTIF(AZ855:BB855,"&lt;&gt;0")=1,INDEX($V$4:$AW$4,MATCH(TRUE,INDEX($V855:$AW855&lt;&gt;0,),0)),IF(COUNTIF(AZ855:BB855,"&lt;&gt;0")=0,INDEX($AM$4:$AW$4,MATCH(1,$AM855:$AW855,0)),"Multiple strategies"))</f>
        <v>Technology</v>
      </c>
      <c r="BG855" s="1" t="s">
        <v>229</v>
      </c>
      <c r="BH855" t="s">
        <v>826</v>
      </c>
      <c r="BI855" s="264" t="s">
        <v>3141</v>
      </c>
      <c r="BJ855" t="s">
        <v>651</v>
      </c>
      <c r="BK855">
        <v>0</v>
      </c>
      <c r="BL855">
        <v>15410</v>
      </c>
      <c r="BN855">
        <f t="shared" ref="BN855:BN876" si="1073">BL855-BK855</f>
        <v>15410</v>
      </c>
      <c r="BO855">
        <f>BN855*t_to_m3</f>
        <v>31448.979591836734</v>
      </c>
      <c r="BP855" t="s">
        <v>232</v>
      </c>
      <c r="BQ855" s="153" t="s">
        <v>787</v>
      </c>
      <c r="BR855" s="264" t="s">
        <v>397</v>
      </c>
      <c r="BS855">
        <v>-58800</v>
      </c>
      <c r="BT855">
        <v>-70800</v>
      </c>
      <c r="BU855" s="144">
        <f>IFERROR(BT855/BS855,"")</f>
        <v>1.2040816326530612</v>
      </c>
      <c r="BV855">
        <f>BT855-BS855</f>
        <v>-12000</v>
      </c>
      <c r="BX855">
        <f>BV855/10^3</f>
        <v>-12</v>
      </c>
      <c r="BY855">
        <f t="shared" si="994"/>
        <v>-3.8157040882543804E-4</v>
      </c>
      <c r="BZ855">
        <v>0</v>
      </c>
      <c r="CA855">
        <v>0</v>
      </c>
      <c r="CB855">
        <v>0</v>
      </c>
      <c r="CC855">
        <v>0</v>
      </c>
      <c r="CD855">
        <v>0</v>
      </c>
      <c r="CE855">
        <v>0</v>
      </c>
      <c r="CF855">
        <v>0</v>
      </c>
      <c r="CG855">
        <v>0</v>
      </c>
      <c r="CH855">
        <v>0</v>
      </c>
      <c r="CI855">
        <v>0</v>
      </c>
      <c r="CJ855">
        <v>0</v>
      </c>
      <c r="CK855">
        <v>0</v>
      </c>
      <c r="CL855">
        <v>0</v>
      </c>
      <c r="CM855">
        <v>0</v>
      </c>
      <c r="CN855" t="str">
        <f>IF($BL855&lt;$BK855,"refNeedCorrection","refOK")</f>
        <v>refOK</v>
      </c>
      <c r="CO855">
        <f>IF($CN855="refNeedCorrection",BL855,BK855)</f>
        <v>0</v>
      </c>
      <c r="CP855">
        <f>IF($CN855="refNeedCorrection",BK855,BL855)</f>
        <v>15410</v>
      </c>
      <c r="CQ855">
        <f t="shared" ref="CQ855:CQ876" si="1074">IF($CN855="refOK",$BO855,-$BO855)</f>
        <v>31448.979591836734</v>
      </c>
      <c r="CR855">
        <f t="shared" ref="CR855:CR866" si="1075">IF($CN855="refOK",$BS855,$BT855)*IF($BP855="Emissions positive",-1,1)</f>
        <v>-58800</v>
      </c>
      <c r="CS855">
        <f t="shared" ref="CS855:CS866" si="1076">IF($CN855="refOK",$BT855,$BS855)*IF($BP855="Emissions positive",-1,1)</f>
        <v>-70800</v>
      </c>
      <c r="CT855">
        <f t="shared" ref="CT855:CT877" si="1077">IF($CN855="refNeedCorrection",-BX855,BX855)*IF($BP855="Emissions positive",-1,1)</f>
        <v>-12</v>
      </c>
      <c r="CU855">
        <f t="shared" ref="CU855:CU877" si="1078">IFERROR(CT855/CQ855,"")</f>
        <v>-3.8157040882543804E-4</v>
      </c>
      <c r="CV855" s="2">
        <f t="shared" ref="CV855:CV877" si="1079">IFERROR((CS855-CR855)/ABS(CR855),"")</f>
        <v>-0.20408163265306123</v>
      </c>
      <c r="CW855" s="1" t="s">
        <v>347</v>
      </c>
      <c r="CX855" t="str">
        <f t="shared" ref="CX855:CX877" si="1080">IF(OR($CW855="prd",$CW855="std",$CW855="cit"),"loc",IF(OR($CW855="eur",$CW855="reg",$CW855="coy"),"reg",$CW855))</f>
        <v>loc</v>
      </c>
      <c r="CY855" t="s">
        <v>444</v>
      </c>
      <c r="DB855">
        <v>0</v>
      </c>
      <c r="DC855" t="str">
        <f t="shared" ref="DC855:DC877" si="1081">IF(DB855=0,"0",IF(AND(DB855&gt;=1,DB855&lt;=30),"1-30",IF(AND(DB855&gt;30,DB855&lt;=70),"31-70",IF(AND(DB855&gt;70,DB855&lt;=100),"71-100",IF(DB855&gt;100,"+100")))))</f>
        <v>0</v>
      </c>
      <c r="DD855">
        <v>0</v>
      </c>
      <c r="DE855">
        <v>1</v>
      </c>
      <c r="DF855">
        <v>0</v>
      </c>
      <c r="DG855">
        <v>0</v>
      </c>
      <c r="DH855">
        <v>1</v>
      </c>
      <c r="DI855">
        <f t="shared" ref="DI855:DI870" si="1082">SUM(DD855:DG855)</f>
        <v>1</v>
      </c>
      <c r="DJ855" t="str">
        <f t="shared" ref="DJ855:DJ877" si="1083">IF(DI855=1,INDEX($DD$7:$DG$7,MATCH(1,$DD855:$DG855,0)),"mixedProduct")</f>
        <v>EnergyInput</v>
      </c>
      <c r="DK855">
        <f t="shared" ref="DK855:DK877" si="1084">IF(DD855=1,DK$7,0)</f>
        <v>0</v>
      </c>
      <c r="DL855" t="str">
        <f t="shared" ref="DL855:DL877" si="1085">IF(DE855=1,DL$7,0)</f>
        <v>Energy</v>
      </c>
      <c r="DM855">
        <f t="shared" ref="DM855:DM877" si="1086">IF(DF855=1,DM$7,0)</f>
        <v>0</v>
      </c>
      <c r="DN855">
        <f t="shared" ref="DN855:DN877" si="1087">IF(DG855=1,DN$7,0)</f>
        <v>0</v>
      </c>
      <c r="DO855">
        <v>0</v>
      </c>
      <c r="DP855">
        <v>0</v>
      </c>
      <c r="DQ855">
        <v>0</v>
      </c>
      <c r="DR855">
        <v>0</v>
      </c>
      <c r="DS855">
        <v>0</v>
      </c>
      <c r="DT855">
        <f t="shared" ref="DT855:DT877" si="1088">SUM(DO855:DP855)</f>
        <v>0</v>
      </c>
      <c r="DU855" s="143" t="str">
        <f t="shared" ref="DU855:DU870" si="1089">IF(DO855=1,"self-calculated DF",IF(DP855=1,"external DF used","explicit C balance"))</f>
        <v>explicit C balance</v>
      </c>
      <c r="DV855">
        <v>0</v>
      </c>
      <c r="DW855">
        <v>0</v>
      </c>
      <c r="DX855">
        <v>0</v>
      </c>
      <c r="DY855">
        <v>0</v>
      </c>
      <c r="DZ855">
        <v>0</v>
      </c>
      <c r="EA855" s="143">
        <v>0</v>
      </c>
      <c r="EB855">
        <v>0</v>
      </c>
      <c r="EC855">
        <v>1</v>
      </c>
      <c r="ED855">
        <v>0</v>
      </c>
      <c r="EE855">
        <v>1</v>
      </c>
      <c r="EF855">
        <v>0</v>
      </c>
      <c r="EG855">
        <v>0</v>
      </c>
      <c r="EH855">
        <v>0</v>
      </c>
      <c r="EI855" s="2">
        <v>0</v>
      </c>
      <c r="EK855" t="str">
        <f t="shared" ref="EK855:EK877" si="1090">IF(AND(AND(AND(OR($DX855=1,$DW855=1),OR($EC855=1,$EA855=1)),SUM($DV855:$DZ855,$EF855)&gt;=4),SUM($EA855:$EE855)&gt;=2),"Whole sector","")</f>
        <v/>
      </c>
      <c r="EL855" t="str">
        <f t="shared" ref="EL855:EL877" si="1091">IF(AND(AND(OR($DX855=1,$DW855=1),AND($EC855=0,$EA855=0)),SUM($DV855:$DZ855,$EF855)&gt;=4),"Ecosystem approach","")</f>
        <v/>
      </c>
      <c r="EM855" s="2" t="str">
        <f t="shared" si="995"/>
        <v>Technology approach</v>
      </c>
      <c r="EP855" t="str">
        <f>IF(ISNUMBER(BU855),IF(ABS(BU855-[3]QC_indicators!$B$2)&gt;3*[3]QC_indicators!$C$2,"C ratio",IF(ISNUMBER(BY855),IF(ABS(BY855-[3]QC_indicators!$B$1)&gt;3*[3]QC_indicators!$C$1,"DF","no"))),IF(ISNUMBER(BY855),IF(ABS(BY855-[3]QC_indicators!$B$1)&gt;3*[3]QC_indicators!$C$1,"DF","no")))</f>
        <v>no</v>
      </c>
      <c r="ET855" s="264" t="s">
        <v>3142</v>
      </c>
    </row>
    <row r="856" spans="1:150" ht="15" hidden="1" customHeight="1">
      <c r="A856" s="1" t="s">
        <v>814</v>
      </c>
      <c r="B856" t="s">
        <v>815</v>
      </c>
      <c r="C856" t="s">
        <v>816</v>
      </c>
      <c r="D856" t="s">
        <v>817</v>
      </c>
      <c r="E856" t="s">
        <v>818</v>
      </c>
      <c r="F856" t="s">
        <v>819</v>
      </c>
      <c r="G856" t="s">
        <v>180</v>
      </c>
      <c r="H856" t="s">
        <v>254</v>
      </c>
      <c r="I856">
        <v>2018</v>
      </c>
      <c r="J856">
        <v>14</v>
      </c>
      <c r="K856" t="s">
        <v>820</v>
      </c>
      <c r="M856" t="str">
        <f t="shared" si="1044"/>
        <v>Karlsson_2018</v>
      </c>
      <c r="N856" t="s">
        <v>222</v>
      </c>
      <c r="O856" s="145" t="s">
        <v>513</v>
      </c>
      <c r="Q856" t="s">
        <v>256</v>
      </c>
      <c r="R856" s="262" t="s">
        <v>223</v>
      </c>
      <c r="S856" s="1" t="s">
        <v>821</v>
      </c>
      <c r="T856" t="s">
        <v>822</v>
      </c>
      <c r="U856" t="s">
        <v>823</v>
      </c>
      <c r="V856">
        <v>0</v>
      </c>
      <c r="W856">
        <v>0</v>
      </c>
      <c r="X856">
        <v>0</v>
      </c>
      <c r="Y856">
        <v>0</v>
      </c>
      <c r="Z856">
        <v>0</v>
      </c>
      <c r="AA856">
        <v>0</v>
      </c>
      <c r="AB856">
        <v>0</v>
      </c>
      <c r="AC856">
        <v>0</v>
      </c>
      <c r="AD856">
        <v>0</v>
      </c>
      <c r="AE856">
        <v>0</v>
      </c>
      <c r="AF856">
        <v>1</v>
      </c>
      <c r="AG856">
        <v>0</v>
      </c>
      <c r="AH856">
        <v>0</v>
      </c>
      <c r="AI856">
        <v>0</v>
      </c>
      <c r="AJ856">
        <v>0</v>
      </c>
      <c r="AK856">
        <v>0</v>
      </c>
      <c r="AL856">
        <v>0</v>
      </c>
      <c r="AM856">
        <v>0</v>
      </c>
      <c r="AN856">
        <v>0</v>
      </c>
      <c r="AO856">
        <v>0</v>
      </c>
      <c r="AP856">
        <v>0</v>
      </c>
      <c r="AQ856">
        <v>0</v>
      </c>
      <c r="AR856">
        <v>0</v>
      </c>
      <c r="AS856">
        <v>0</v>
      </c>
      <c r="AT856">
        <v>0</v>
      </c>
      <c r="AU856">
        <v>0</v>
      </c>
      <c r="AV856">
        <v>0</v>
      </c>
      <c r="AW856">
        <v>0</v>
      </c>
      <c r="AX856" s="141">
        <f t="shared" si="1066"/>
        <v>1</v>
      </c>
      <c r="AY856" s="141">
        <f t="shared" si="1067"/>
        <v>1</v>
      </c>
      <c r="AZ856">
        <f t="shared" si="1068"/>
        <v>0</v>
      </c>
      <c r="BA856">
        <f t="shared" si="1069"/>
        <v>1</v>
      </c>
      <c r="BB856">
        <f t="shared" si="1070"/>
        <v>0</v>
      </c>
      <c r="BC856">
        <f t="shared" si="1071"/>
        <v>0</v>
      </c>
      <c r="BD856">
        <f t="shared" si="1072"/>
        <v>0</v>
      </c>
      <c r="BE856" t="str">
        <f t="array" ref="BE856">IF(AY856=1,INDEX($V$7:$AL$7,MATCH(TRUE,INDEX($V856:$AW856&lt;&gt;0,),0)),IF(AY856=0,INDEX($AM$7:$AW$7,MATCH(1,$AM856:$AW856,0)),IF(BF856="Multiple strategies","mixed drivers",IF(BF856="Supply chain","multiple supply","multiple silviculture"))))</f>
        <v>supply chain organization</v>
      </c>
      <c r="BF856" s="2" t="str" cm="1">
        <f t="array" ref="BF856">IF(COUNTIF(AZ856:BB856,"&lt;&gt;0")=1,INDEX($V$4:$AW$4,MATCH(TRUE,INDEX($V856:$AW856&lt;&gt;0,),0)),IF(COUNTIF(AZ856:BB856,"&lt;&gt;0")=0,INDEX($AM$4:$AW$4,MATCH(1,$AM856:$AW856,0)),"Multiple strategies"))</f>
        <v>Supply chain</v>
      </c>
      <c r="BG856" s="1" t="s">
        <v>229</v>
      </c>
      <c r="BH856" t="s">
        <v>824</v>
      </c>
      <c r="BI856" s="264" t="s">
        <v>3141</v>
      </c>
      <c r="BJ856" t="s">
        <v>651</v>
      </c>
      <c r="BK856">
        <v>0</v>
      </c>
      <c r="BL856">
        <v>15410</v>
      </c>
      <c r="BN856">
        <f t="shared" si="1073"/>
        <v>15410</v>
      </c>
      <c r="BO856">
        <f>BN856*t_to_m3</f>
        <v>31448.979591836734</v>
      </c>
      <c r="BP856" t="s">
        <v>232</v>
      </c>
      <c r="BQ856" s="153" t="s">
        <v>787</v>
      </c>
      <c r="BR856" s="264" t="s">
        <v>397</v>
      </c>
      <c r="BS856">
        <v>-58800</v>
      </c>
      <c r="BT856">
        <v>-50300</v>
      </c>
      <c r="BU856" s="144">
        <f>IFERROR(BT856/BS856,"")</f>
        <v>0.85544217687074831</v>
      </c>
      <c r="BV856">
        <f>BT856-BS856</f>
        <v>8500</v>
      </c>
      <c r="BX856">
        <f>BV856/10^3</f>
        <v>8.5</v>
      </c>
      <c r="BY856">
        <f t="shared" si="994"/>
        <v>2.7027903958468525E-4</v>
      </c>
      <c r="BZ856">
        <v>0</v>
      </c>
      <c r="CA856">
        <v>0</v>
      </c>
      <c r="CB856">
        <v>0</v>
      </c>
      <c r="CC856">
        <v>0</v>
      </c>
      <c r="CD856">
        <v>0</v>
      </c>
      <c r="CE856">
        <v>0</v>
      </c>
      <c r="CF856">
        <v>0</v>
      </c>
      <c r="CG856">
        <v>0</v>
      </c>
      <c r="CH856">
        <v>0</v>
      </c>
      <c r="CI856">
        <v>0</v>
      </c>
      <c r="CJ856">
        <v>0</v>
      </c>
      <c r="CK856">
        <v>0</v>
      </c>
      <c r="CL856">
        <v>0</v>
      </c>
      <c r="CM856">
        <v>0</v>
      </c>
      <c r="CN856" t="str">
        <f>IF($BL856&lt;$BK856,"refNeedCorrection","refOK")</f>
        <v>refOK</v>
      </c>
      <c r="CO856">
        <f>IF($CN856="refNeedCorrection",BL856,BK856)</f>
        <v>0</v>
      </c>
      <c r="CP856">
        <f>IF($CN856="refNeedCorrection",BK856,BL856)</f>
        <v>15410</v>
      </c>
      <c r="CQ856">
        <f t="shared" si="1074"/>
        <v>31448.979591836734</v>
      </c>
      <c r="CR856">
        <f t="shared" si="1075"/>
        <v>-58800</v>
      </c>
      <c r="CS856">
        <f t="shared" si="1076"/>
        <v>-50300</v>
      </c>
      <c r="CT856">
        <f t="shared" si="1077"/>
        <v>8.5</v>
      </c>
      <c r="CU856">
        <f t="shared" si="1078"/>
        <v>2.7027903958468525E-4</v>
      </c>
      <c r="CV856" s="2">
        <f t="shared" si="1079"/>
        <v>0.14455782312925169</v>
      </c>
      <c r="CW856" s="1" t="s">
        <v>347</v>
      </c>
      <c r="CX856" t="str">
        <f t="shared" si="1080"/>
        <v>loc</v>
      </c>
      <c r="CY856" t="s">
        <v>444</v>
      </c>
      <c r="DB856">
        <v>0</v>
      </c>
      <c r="DC856" t="str">
        <f t="shared" si="1081"/>
        <v>0</v>
      </c>
      <c r="DD856">
        <v>0</v>
      </c>
      <c r="DE856">
        <v>1</v>
      </c>
      <c r="DF856">
        <v>0</v>
      </c>
      <c r="DG856">
        <v>0</v>
      </c>
      <c r="DH856">
        <v>1</v>
      </c>
      <c r="DI856">
        <f t="shared" si="1082"/>
        <v>1</v>
      </c>
      <c r="DJ856" t="str">
        <f t="shared" si="1083"/>
        <v>EnergyInput</v>
      </c>
      <c r="DK856">
        <f t="shared" si="1084"/>
        <v>0</v>
      </c>
      <c r="DL856" t="str">
        <f t="shared" si="1085"/>
        <v>Energy</v>
      </c>
      <c r="DM856">
        <f t="shared" si="1086"/>
        <v>0</v>
      </c>
      <c r="DN856">
        <f t="shared" si="1087"/>
        <v>0</v>
      </c>
      <c r="DO856">
        <v>0</v>
      </c>
      <c r="DP856">
        <v>0</v>
      </c>
      <c r="DQ856">
        <v>0</v>
      </c>
      <c r="DR856">
        <v>0</v>
      </c>
      <c r="DS856">
        <v>0</v>
      </c>
      <c r="DT856">
        <f t="shared" si="1088"/>
        <v>0</v>
      </c>
      <c r="DU856" s="143" t="str">
        <f t="shared" si="1089"/>
        <v>explicit C balance</v>
      </c>
      <c r="DV856">
        <v>0</v>
      </c>
      <c r="DW856">
        <v>0</v>
      </c>
      <c r="DX856">
        <v>0</v>
      </c>
      <c r="DY856">
        <v>0</v>
      </c>
      <c r="DZ856">
        <v>0</v>
      </c>
      <c r="EA856" s="143">
        <v>0</v>
      </c>
      <c r="EB856">
        <v>0</v>
      </c>
      <c r="EC856">
        <v>1</v>
      </c>
      <c r="ED856">
        <v>0</v>
      </c>
      <c r="EE856">
        <v>1</v>
      </c>
      <c r="EF856">
        <v>0</v>
      </c>
      <c r="EG856">
        <v>0</v>
      </c>
      <c r="EH856">
        <v>0</v>
      </c>
      <c r="EI856" s="2">
        <v>0</v>
      </c>
      <c r="EK856" t="str">
        <f t="shared" si="1090"/>
        <v/>
      </c>
      <c r="EL856" t="str">
        <f t="shared" si="1091"/>
        <v/>
      </c>
      <c r="EM856" s="2" t="str">
        <f t="shared" si="995"/>
        <v>Technology approach</v>
      </c>
      <c r="EP856" t="str">
        <f>IF(ISNUMBER(BU856),IF(ABS(BU856-[3]QC_indicators!$B$2)&gt;3*[3]QC_indicators!$C$2,"C ratio",IF(ISNUMBER(BY856),IF(ABS(BY856-[3]QC_indicators!$B$1)&gt;3*[3]QC_indicators!$C$1,"DF","no"))),IF(ISNUMBER(BY856),IF(ABS(BY856-[3]QC_indicators!$B$1)&gt;3*[3]QC_indicators!$C$1,"DF","no")))</f>
        <v>no</v>
      </c>
      <c r="ET856" s="264" t="s">
        <v>3142</v>
      </c>
    </row>
    <row r="857" spans="1:150" ht="15" hidden="1" customHeight="1">
      <c r="A857" s="1" t="s">
        <v>878</v>
      </c>
      <c r="B857" t="s">
        <v>1790</v>
      </c>
      <c r="C857" t="s">
        <v>1791</v>
      </c>
      <c r="D857" t="s">
        <v>1792</v>
      </c>
      <c r="E857" t="s">
        <v>1793</v>
      </c>
      <c r="F857" t="s">
        <v>1794</v>
      </c>
      <c r="G857" t="s">
        <v>1183</v>
      </c>
      <c r="H857" t="s">
        <v>254</v>
      </c>
      <c r="I857">
        <v>2011</v>
      </c>
      <c r="J857">
        <v>6</v>
      </c>
      <c r="K857" t="s">
        <v>1795</v>
      </c>
      <c r="M857" t="str">
        <f t="shared" si="1044"/>
        <v>Kayo_2011</v>
      </c>
      <c r="N857" t="s">
        <v>222</v>
      </c>
      <c r="O857" s="145" t="s">
        <v>513</v>
      </c>
      <c r="Q857" t="s">
        <v>256</v>
      </c>
      <c r="R857" s="255" t="s">
        <v>225</v>
      </c>
      <c r="S857" s="263" t="s">
        <v>3356</v>
      </c>
      <c r="T857" t="s">
        <v>1672</v>
      </c>
      <c r="U857" t="s">
        <v>1796</v>
      </c>
      <c r="V857">
        <v>0</v>
      </c>
      <c r="W857">
        <v>0</v>
      </c>
      <c r="X857">
        <v>0</v>
      </c>
      <c r="Y857">
        <v>0</v>
      </c>
      <c r="Z857">
        <v>0</v>
      </c>
      <c r="AA857">
        <v>0</v>
      </c>
      <c r="AB857">
        <v>0</v>
      </c>
      <c r="AC857">
        <v>0</v>
      </c>
      <c r="AD857">
        <v>0</v>
      </c>
      <c r="AE857">
        <v>0</v>
      </c>
      <c r="AF857">
        <v>0</v>
      </c>
      <c r="AG857">
        <v>0</v>
      </c>
      <c r="AH857">
        <v>0</v>
      </c>
      <c r="AI857">
        <v>0</v>
      </c>
      <c r="AJ857">
        <v>0</v>
      </c>
      <c r="AK857">
        <v>1</v>
      </c>
      <c r="AL857">
        <v>0</v>
      </c>
      <c r="AM857">
        <v>0</v>
      </c>
      <c r="AN857">
        <v>0</v>
      </c>
      <c r="AO857">
        <v>0</v>
      </c>
      <c r="AP857">
        <v>0</v>
      </c>
      <c r="AQ857">
        <v>0</v>
      </c>
      <c r="AR857">
        <v>0</v>
      </c>
      <c r="AS857">
        <v>0</v>
      </c>
      <c r="AT857">
        <v>0</v>
      </c>
      <c r="AU857">
        <v>0</v>
      </c>
      <c r="AV857">
        <v>0</v>
      </c>
      <c r="AW857">
        <v>0</v>
      </c>
      <c r="AX857" s="141">
        <f t="shared" si="1066"/>
        <v>1</v>
      </c>
      <c r="AY857" s="141">
        <f t="shared" si="1067"/>
        <v>1</v>
      </c>
      <c r="AZ857">
        <f t="shared" si="1068"/>
        <v>0</v>
      </c>
      <c r="BA857">
        <f t="shared" si="1069"/>
        <v>0</v>
      </c>
      <c r="BB857">
        <f t="shared" si="1070"/>
        <v>1</v>
      </c>
      <c r="BC857">
        <f t="shared" si="1071"/>
        <v>0</v>
      </c>
      <c r="BD857">
        <f t="shared" si="1072"/>
        <v>0</v>
      </c>
      <c r="BE857" t="str">
        <f t="array" ref="BE857">IF(AY857=1,INDEX($V$7:$AL$7,MATCH(TRUE,INDEX($V857:$AW857&lt;&gt;0,),0)),IF(AY857=0,INDEX($AM$7:$AW$7,MATCH(1,$AM857:$AW857,0)),IF(BF857="Multiple strategies","mixed drivers",IF(BF857="Supply chain","multiple supply","multiple silviculture"))))</f>
        <v>technologies/design switch</v>
      </c>
      <c r="BF857" s="2" t="str" cm="1">
        <f t="array" ref="BF857">IF(COUNTIF(AZ857:BB857,"&lt;&gt;0")=1,INDEX($V$4:$AW$4,MATCH(TRUE,INDEX($V857:$AW857&lt;&gt;0,),0)),IF(COUNTIF(AZ857:BB857,"&lt;&gt;0")=0,INDEX($AM$4:$AW$4,MATCH(1,$AM857:$AW857,0)),"Multiple strategies"))</f>
        <v>Technology</v>
      </c>
      <c r="BG857" s="1" t="s">
        <v>229</v>
      </c>
      <c r="BH857" t="s">
        <v>1798</v>
      </c>
      <c r="BI857" s="260" t="s">
        <v>3349</v>
      </c>
      <c r="BJ857" s="260" t="s">
        <v>3346</v>
      </c>
      <c r="BK857">
        <v>0</v>
      </c>
      <c r="BL857">
        <v>15</v>
      </c>
      <c r="BN857">
        <f t="shared" si="1073"/>
        <v>15</v>
      </c>
      <c r="BO857">
        <f t="shared" ref="BO857:BO870" si="1092">BN857*10^6*t_to_m3</f>
        <v>30612244.897959184</v>
      </c>
      <c r="BP857" t="s">
        <v>232</v>
      </c>
      <c r="BQ857" s="260" t="s">
        <v>3357</v>
      </c>
      <c r="BR857" t="s">
        <v>1299</v>
      </c>
      <c r="BU857" s="144" t="str">
        <f>IFERROR(BT857/BS857,"")</f>
        <v/>
      </c>
      <c r="BV857">
        <v>-23</v>
      </c>
      <c r="BX857">
        <f t="shared" ref="BX857:BX870" si="1093">BV857*10^6</f>
        <v>-23000000</v>
      </c>
      <c r="BY857">
        <f t="shared" si="994"/>
        <v>-0.7513333333333333</v>
      </c>
      <c r="BZ857">
        <v>0</v>
      </c>
      <c r="CA857">
        <v>0</v>
      </c>
      <c r="CB857">
        <v>0</v>
      </c>
      <c r="CC857">
        <v>0</v>
      </c>
      <c r="CD857">
        <v>0</v>
      </c>
      <c r="CE857">
        <v>0</v>
      </c>
      <c r="CF857">
        <v>0</v>
      </c>
      <c r="CG857">
        <v>0</v>
      </c>
      <c r="CH857">
        <v>0</v>
      </c>
      <c r="CI857">
        <v>0</v>
      </c>
      <c r="CJ857">
        <v>0</v>
      </c>
      <c r="CK857">
        <v>0</v>
      </c>
      <c r="CL857">
        <v>0</v>
      </c>
      <c r="CM857">
        <v>0</v>
      </c>
      <c r="CN857" t="str">
        <f t="shared" ref="CN857:CN870" si="1094">IF(BL857&lt;BK857,"refNeedCorrection","refOK")</f>
        <v>refOK</v>
      </c>
      <c r="CO857">
        <f t="shared" ref="CO857:CO876" si="1095">IF($CN857="refOK",$BK857,$BL857)</f>
        <v>0</v>
      </c>
      <c r="CP857">
        <f t="shared" ref="CP857:CP876" si="1096">IF($CN857="refOK",$BL857,$BK857)</f>
        <v>15</v>
      </c>
      <c r="CQ857">
        <f t="shared" si="1074"/>
        <v>30612244.897959184</v>
      </c>
      <c r="CR857">
        <f t="shared" si="1075"/>
        <v>0</v>
      </c>
      <c r="CS857">
        <f t="shared" si="1076"/>
        <v>0</v>
      </c>
      <c r="CT857">
        <f t="shared" si="1077"/>
        <v>-23000000</v>
      </c>
      <c r="CU857">
        <f t="shared" si="1078"/>
        <v>-0.7513333333333333</v>
      </c>
      <c r="CV857" s="2" t="str">
        <f t="shared" si="1079"/>
        <v/>
      </c>
      <c r="CW857" s="1" t="s">
        <v>1202</v>
      </c>
      <c r="CX857" t="str">
        <f t="shared" si="1080"/>
        <v>reg</v>
      </c>
      <c r="CY857" t="s">
        <v>960</v>
      </c>
      <c r="CZ857">
        <v>2005</v>
      </c>
      <c r="DA857">
        <v>2020</v>
      </c>
      <c r="DB857">
        <v>15</v>
      </c>
      <c r="DC857" t="str">
        <f t="shared" si="1081"/>
        <v>1-30</v>
      </c>
      <c r="DD857">
        <v>0</v>
      </c>
      <c r="DE857">
        <v>1</v>
      </c>
      <c r="DF857">
        <v>0</v>
      </c>
      <c r="DG857">
        <v>0</v>
      </c>
      <c r="DI857">
        <f t="shared" si="1082"/>
        <v>1</v>
      </c>
      <c r="DJ857" t="str">
        <f t="shared" si="1083"/>
        <v>EnergyInput</v>
      </c>
      <c r="DK857">
        <f t="shared" si="1084"/>
        <v>0</v>
      </c>
      <c r="DL857" t="str">
        <f t="shared" si="1085"/>
        <v>Energy</v>
      </c>
      <c r="DM857">
        <f t="shared" si="1086"/>
        <v>0</v>
      </c>
      <c r="DN857">
        <f t="shared" si="1087"/>
        <v>0</v>
      </c>
      <c r="DO857">
        <v>0</v>
      </c>
      <c r="DP857">
        <v>0</v>
      </c>
      <c r="DQ857">
        <v>0</v>
      </c>
      <c r="DR857">
        <v>0</v>
      </c>
      <c r="DS857">
        <v>0</v>
      </c>
      <c r="DT857">
        <f t="shared" si="1088"/>
        <v>0</v>
      </c>
      <c r="DU857" s="143" t="str">
        <f t="shared" si="1089"/>
        <v>explicit C balance</v>
      </c>
      <c r="DV857">
        <v>0</v>
      </c>
      <c r="DW857">
        <v>1</v>
      </c>
      <c r="DX857">
        <v>1</v>
      </c>
      <c r="DY857">
        <v>0</v>
      </c>
      <c r="DZ857">
        <v>0</v>
      </c>
      <c r="EA857" s="143">
        <v>1</v>
      </c>
      <c r="EB857">
        <v>1</v>
      </c>
      <c r="EC857">
        <v>0</v>
      </c>
      <c r="ED857">
        <v>0</v>
      </c>
      <c r="EE857">
        <v>0</v>
      </c>
      <c r="EF857">
        <v>1</v>
      </c>
      <c r="EG857">
        <v>1</v>
      </c>
      <c r="EH857">
        <v>0</v>
      </c>
      <c r="EI857" s="2">
        <v>0</v>
      </c>
      <c r="EK857" t="str">
        <f t="shared" si="1090"/>
        <v/>
      </c>
      <c r="EL857" t="str">
        <f t="shared" si="1091"/>
        <v/>
      </c>
      <c r="EM857" s="2" t="str">
        <f t="shared" si="995"/>
        <v/>
      </c>
      <c r="EP857" t="str">
        <f>IF(ISNUMBER(BU857),IF(ABS(BU857-[5]QC_indicators!$B$2)&gt;3*[5]QC_indicators!$C$2,"C ratio",IF(ISNUMBER(BY857),IF(ABS(BY857-[5]QC_indicators!$B$1)&gt;3*[5]QC_indicators!$C$1,"DF","no"))),IF(ISNUMBER(BY857),IF(ABS(BY857-[5]QC_indicators!$B$1)&gt;3*[5]QC_indicators!$C$1,"DF","no")))</f>
        <v>no</v>
      </c>
      <c r="ET857" s="264" t="s">
        <v>3272</v>
      </c>
    </row>
    <row r="858" spans="1:150" ht="15" hidden="1" customHeight="1">
      <c r="A858" s="1" t="s">
        <v>878</v>
      </c>
      <c r="B858" t="s">
        <v>1790</v>
      </c>
      <c r="C858" t="s">
        <v>1791</v>
      </c>
      <c r="D858" t="s">
        <v>1792</v>
      </c>
      <c r="E858" t="s">
        <v>1793</v>
      </c>
      <c r="F858" t="s">
        <v>1794</v>
      </c>
      <c r="G858" t="s">
        <v>1183</v>
      </c>
      <c r="H858" t="s">
        <v>254</v>
      </c>
      <c r="I858">
        <v>2011</v>
      </c>
      <c r="J858">
        <v>6</v>
      </c>
      <c r="K858" t="s">
        <v>1795</v>
      </c>
      <c r="M858" t="str">
        <f t="shared" si="1044"/>
        <v>Kayo_2011</v>
      </c>
      <c r="N858" t="s">
        <v>222</v>
      </c>
      <c r="O858" s="145" t="s">
        <v>513</v>
      </c>
      <c r="Q858" t="s">
        <v>256</v>
      </c>
      <c r="R858" s="255" t="s">
        <v>225</v>
      </c>
      <c r="S858" s="263" t="s">
        <v>3348</v>
      </c>
      <c r="T858" t="s">
        <v>1796</v>
      </c>
      <c r="U858" s="264" t="s">
        <v>1801</v>
      </c>
      <c r="V858">
        <v>0</v>
      </c>
      <c r="W858">
        <v>0</v>
      </c>
      <c r="X858">
        <v>1</v>
      </c>
      <c r="Y858">
        <v>0</v>
      </c>
      <c r="Z858">
        <v>0</v>
      </c>
      <c r="AA858">
        <v>0</v>
      </c>
      <c r="AB858">
        <v>0</v>
      </c>
      <c r="AC858">
        <v>0</v>
      </c>
      <c r="AD858">
        <v>0</v>
      </c>
      <c r="AE858">
        <v>0</v>
      </c>
      <c r="AF858">
        <v>0</v>
      </c>
      <c r="AG858">
        <v>0</v>
      </c>
      <c r="AH858">
        <v>0</v>
      </c>
      <c r="AI858">
        <v>0</v>
      </c>
      <c r="AJ858">
        <v>0</v>
      </c>
      <c r="AK858">
        <v>0</v>
      </c>
      <c r="AL858">
        <v>0</v>
      </c>
      <c r="AM858">
        <v>0</v>
      </c>
      <c r="AN858">
        <v>0</v>
      </c>
      <c r="AO858">
        <v>0</v>
      </c>
      <c r="AP858">
        <v>0</v>
      </c>
      <c r="AQ858">
        <v>0</v>
      </c>
      <c r="AR858">
        <v>0</v>
      </c>
      <c r="AS858">
        <v>0</v>
      </c>
      <c r="AT858">
        <v>0</v>
      </c>
      <c r="AU858">
        <v>0</v>
      </c>
      <c r="AV858">
        <v>0</v>
      </c>
      <c r="AW858">
        <v>0</v>
      </c>
      <c r="AX858" s="141">
        <f t="shared" si="1066"/>
        <v>1</v>
      </c>
      <c r="AY858" s="141">
        <f t="shared" si="1067"/>
        <v>1</v>
      </c>
      <c r="AZ858">
        <f t="shared" si="1068"/>
        <v>1</v>
      </c>
      <c r="BA858">
        <f t="shared" si="1069"/>
        <v>0</v>
      </c>
      <c r="BB858">
        <f t="shared" si="1070"/>
        <v>0</v>
      </c>
      <c r="BC858">
        <f t="shared" si="1071"/>
        <v>0</v>
      </c>
      <c r="BD858">
        <f t="shared" si="1072"/>
        <v>0</v>
      </c>
      <c r="BE858" t="str">
        <f t="array" ref="BE858">IF(AY858=1,INDEX($V$7:$AL$7,MATCH(TRUE,INDEX($V858:$AW858&lt;&gt;0,),0)),IF(AY858=0,INDEX($AM$7:$AW$7,MATCH(1,$AM858:$AW858,0)),IF(BF858="Multiple strategies","mixed drivers",IF(BF858="Supply chain","multiple supply","multiple silviculture"))))</f>
        <v>rotation length</v>
      </c>
      <c r="BF858" s="2" t="str" cm="1">
        <f t="array" ref="BF858">IF(COUNTIF(AZ858:BB858,"&lt;&gt;0")=1,INDEX($V$4:$AW$4,MATCH(TRUE,INDEX($V858:$AW858&lt;&gt;0,),0)),IF(COUNTIF(AZ858:BB858,"&lt;&gt;0")=0,INDEX($AM$4:$AW$4,MATCH(1,$AM858:$AW858,0)),"Multiple strategies"))</f>
        <v>Silviculture for removals</v>
      </c>
      <c r="BG858" s="1" t="s">
        <v>229</v>
      </c>
      <c r="BH858" s="264" t="s">
        <v>1798</v>
      </c>
      <c r="BI858" s="260" t="s">
        <v>3349</v>
      </c>
      <c r="BJ858" s="260" t="s">
        <v>3346</v>
      </c>
      <c r="BK858">
        <v>15</v>
      </c>
      <c r="BL858">
        <v>32</v>
      </c>
      <c r="BN858">
        <f t="shared" si="1073"/>
        <v>17</v>
      </c>
      <c r="BO858">
        <f t="shared" si="1092"/>
        <v>34693877.551020406</v>
      </c>
      <c r="BP858" t="s">
        <v>232</v>
      </c>
      <c r="BQ858" s="260" t="s">
        <v>3347</v>
      </c>
      <c r="BR858" t="s">
        <v>1299</v>
      </c>
      <c r="BU858" s="288"/>
      <c r="BV858">
        <v>-23</v>
      </c>
      <c r="BX858">
        <f t="shared" si="1093"/>
        <v>-23000000</v>
      </c>
      <c r="BY858">
        <f t="shared" si="994"/>
        <v>-0.66294117647058826</v>
      </c>
      <c r="BZ858">
        <v>0</v>
      </c>
      <c r="CA858">
        <v>0</v>
      </c>
      <c r="CB858">
        <v>0</v>
      </c>
      <c r="CC858">
        <v>0</v>
      </c>
      <c r="CD858">
        <v>0</v>
      </c>
      <c r="CE858">
        <v>0</v>
      </c>
      <c r="CF858">
        <v>0</v>
      </c>
      <c r="CG858">
        <v>0</v>
      </c>
      <c r="CH858">
        <v>0</v>
      </c>
      <c r="CI858">
        <v>0</v>
      </c>
      <c r="CJ858">
        <v>0</v>
      </c>
      <c r="CK858">
        <v>0</v>
      </c>
      <c r="CL858">
        <v>0</v>
      </c>
      <c r="CM858">
        <v>0</v>
      </c>
      <c r="CN858" t="str">
        <f t="shared" si="1094"/>
        <v>refOK</v>
      </c>
      <c r="CO858">
        <f t="shared" si="1095"/>
        <v>15</v>
      </c>
      <c r="CP858">
        <f t="shared" si="1096"/>
        <v>32</v>
      </c>
      <c r="CQ858">
        <f t="shared" si="1074"/>
        <v>34693877.551020406</v>
      </c>
      <c r="CR858">
        <f t="shared" si="1075"/>
        <v>0</v>
      </c>
      <c r="CS858">
        <f t="shared" si="1076"/>
        <v>0</v>
      </c>
      <c r="CT858">
        <f t="shared" si="1077"/>
        <v>-23000000</v>
      </c>
      <c r="CU858">
        <f t="shared" si="1078"/>
        <v>-0.66294117647058826</v>
      </c>
      <c r="CV858" s="2" t="str">
        <f t="shared" si="1079"/>
        <v/>
      </c>
      <c r="CW858" s="1" t="s">
        <v>1202</v>
      </c>
      <c r="CX858" t="str">
        <f t="shared" si="1080"/>
        <v>reg</v>
      </c>
      <c r="CY858" t="s">
        <v>960</v>
      </c>
      <c r="CZ858">
        <v>2005</v>
      </c>
      <c r="DA858">
        <v>2020</v>
      </c>
      <c r="DB858">
        <v>15</v>
      </c>
      <c r="DC858" t="str">
        <f t="shared" si="1081"/>
        <v>1-30</v>
      </c>
      <c r="DD858">
        <v>0</v>
      </c>
      <c r="DE858">
        <v>1</v>
      </c>
      <c r="DF858">
        <v>0</v>
      </c>
      <c r="DG858">
        <v>0</v>
      </c>
      <c r="DI858">
        <f t="shared" si="1082"/>
        <v>1</v>
      </c>
      <c r="DJ858" t="str">
        <f t="shared" si="1083"/>
        <v>EnergyInput</v>
      </c>
      <c r="DK858">
        <f t="shared" si="1084"/>
        <v>0</v>
      </c>
      <c r="DL858" t="str">
        <f t="shared" si="1085"/>
        <v>Energy</v>
      </c>
      <c r="DM858">
        <f t="shared" si="1086"/>
        <v>0</v>
      </c>
      <c r="DN858">
        <f t="shared" si="1087"/>
        <v>0</v>
      </c>
      <c r="DO858">
        <v>0</v>
      </c>
      <c r="DP858">
        <v>0</v>
      </c>
      <c r="DQ858">
        <v>0</v>
      </c>
      <c r="DR858">
        <v>0</v>
      </c>
      <c r="DS858">
        <v>0</v>
      </c>
      <c r="DT858">
        <f t="shared" si="1088"/>
        <v>0</v>
      </c>
      <c r="DU858" s="143" t="str">
        <f t="shared" si="1089"/>
        <v>explicit C balance</v>
      </c>
      <c r="DV858">
        <v>0</v>
      </c>
      <c r="DW858">
        <v>1</v>
      </c>
      <c r="DX858">
        <v>1</v>
      </c>
      <c r="DY858">
        <v>0</v>
      </c>
      <c r="DZ858">
        <v>0</v>
      </c>
      <c r="EA858" s="143">
        <v>1</v>
      </c>
      <c r="EB858">
        <v>1</v>
      </c>
      <c r="EC858">
        <v>0</v>
      </c>
      <c r="ED858">
        <v>0</v>
      </c>
      <c r="EE858">
        <v>0</v>
      </c>
      <c r="EF858">
        <v>1</v>
      </c>
      <c r="EG858">
        <v>1</v>
      </c>
      <c r="EH858">
        <v>0</v>
      </c>
      <c r="EI858" s="2">
        <v>0</v>
      </c>
      <c r="EK858" t="str">
        <f t="shared" si="1090"/>
        <v/>
      </c>
      <c r="EL858" t="str">
        <f t="shared" si="1091"/>
        <v/>
      </c>
      <c r="EM858" s="2" t="str">
        <f t="shared" si="995"/>
        <v/>
      </c>
      <c r="EP858" t="str">
        <f>IF(ISNUMBER(BU858),IF(ABS(BU858-[5]QC_indicators!$B$2)&gt;3*[5]QC_indicators!$C$2,"C ratio",IF(ISNUMBER(BY858),IF(ABS(BY858-[5]QC_indicators!$B$1)&gt;3*[5]QC_indicators!$C$1,"DF","no"))),IF(ISNUMBER(BY858),IF(ABS(BY858-[5]QC_indicators!$B$1)&gt;3*[5]QC_indicators!$C$1,"DF","no")))</f>
        <v>no</v>
      </c>
      <c r="ET858" s="264" t="s">
        <v>3272</v>
      </c>
    </row>
    <row r="859" spans="1:150" ht="15" hidden="1" customHeight="1">
      <c r="A859" s="1" t="s">
        <v>878</v>
      </c>
      <c r="B859" t="s">
        <v>1790</v>
      </c>
      <c r="C859" t="s">
        <v>1791</v>
      </c>
      <c r="D859" t="s">
        <v>1792</v>
      </c>
      <c r="E859" t="s">
        <v>1793</v>
      </c>
      <c r="F859" t="s">
        <v>1794</v>
      </c>
      <c r="G859" t="s">
        <v>1183</v>
      </c>
      <c r="H859" t="s">
        <v>254</v>
      </c>
      <c r="I859">
        <v>2011</v>
      </c>
      <c r="J859">
        <v>6</v>
      </c>
      <c r="K859" t="s">
        <v>1795</v>
      </c>
      <c r="M859" t="str">
        <f t="shared" si="1044"/>
        <v>Kayo_2011</v>
      </c>
      <c r="N859" t="s">
        <v>222</v>
      </c>
      <c r="O859" s="145" t="s">
        <v>513</v>
      </c>
      <c r="Q859" t="s">
        <v>256</v>
      </c>
      <c r="R859" s="255" t="s">
        <v>225</v>
      </c>
      <c r="S859" s="263" t="s">
        <v>3358</v>
      </c>
      <c r="T859" t="s">
        <v>1803</v>
      </c>
      <c r="U859" t="s">
        <v>1799</v>
      </c>
      <c r="V859">
        <v>0</v>
      </c>
      <c r="W859">
        <v>0</v>
      </c>
      <c r="X859">
        <v>0</v>
      </c>
      <c r="Y859">
        <v>0</v>
      </c>
      <c r="Z859">
        <v>0</v>
      </c>
      <c r="AA859">
        <v>0</v>
      </c>
      <c r="AB859">
        <v>0</v>
      </c>
      <c r="AC859">
        <v>0</v>
      </c>
      <c r="AD859">
        <v>0</v>
      </c>
      <c r="AE859">
        <v>0</v>
      </c>
      <c r="AF859">
        <v>0</v>
      </c>
      <c r="AG859">
        <v>0</v>
      </c>
      <c r="AH859">
        <v>0</v>
      </c>
      <c r="AI859">
        <v>0</v>
      </c>
      <c r="AJ859">
        <v>0</v>
      </c>
      <c r="AK859">
        <v>1</v>
      </c>
      <c r="AL859">
        <v>0</v>
      </c>
      <c r="AM859">
        <v>0</v>
      </c>
      <c r="AN859">
        <v>0</v>
      </c>
      <c r="AO859">
        <v>0</v>
      </c>
      <c r="AP859">
        <v>0</v>
      </c>
      <c r="AQ859">
        <v>0</v>
      </c>
      <c r="AR859">
        <v>0</v>
      </c>
      <c r="AS859">
        <v>0</v>
      </c>
      <c r="AT859">
        <v>0</v>
      </c>
      <c r="AU859">
        <v>0</v>
      </c>
      <c r="AV859">
        <v>0</v>
      </c>
      <c r="AW859">
        <v>0</v>
      </c>
      <c r="AX859" s="141">
        <f t="shared" si="1066"/>
        <v>1</v>
      </c>
      <c r="AY859" s="141">
        <f t="shared" si="1067"/>
        <v>1</v>
      </c>
      <c r="AZ859">
        <f t="shared" si="1068"/>
        <v>0</v>
      </c>
      <c r="BA859">
        <f t="shared" si="1069"/>
        <v>0</v>
      </c>
      <c r="BB859">
        <f t="shared" si="1070"/>
        <v>1</v>
      </c>
      <c r="BC859">
        <f t="shared" si="1071"/>
        <v>0</v>
      </c>
      <c r="BD859">
        <f t="shared" si="1072"/>
        <v>0</v>
      </c>
      <c r="BE859" t="str">
        <f t="array" ref="BE859">IF(AY859=1,INDEX($V$7:$AL$7,MATCH(TRUE,INDEX($V859:$AW859&lt;&gt;0,),0)),IF(AY859=0,INDEX($AM$7:$AW$7,MATCH(1,$AM859:$AW859,0)),IF(BF859="Multiple strategies","mixed drivers",IF(BF859="Supply chain","multiple supply","multiple silviculture"))))</f>
        <v>technologies/design switch</v>
      </c>
      <c r="BF859" s="2" t="str" cm="1">
        <f t="array" ref="BF859">IF(COUNTIF(AZ859:BB859,"&lt;&gt;0")=1,INDEX($V$4:$AW$4,MATCH(TRUE,INDEX($V859:$AW859&lt;&gt;0,),0)),IF(COUNTIF(AZ859:BB859,"&lt;&gt;0")=0,INDEX($AM$4:$AW$4,MATCH(1,$AM859:$AW859,0)),"Multiple strategies"))</f>
        <v>Technology</v>
      </c>
      <c r="BG859" s="1" t="s">
        <v>229</v>
      </c>
      <c r="BH859" t="s">
        <v>1798</v>
      </c>
      <c r="BI859" s="260" t="s">
        <v>3349</v>
      </c>
      <c r="BJ859" s="260" t="s">
        <v>3346</v>
      </c>
      <c r="BK859">
        <v>0</v>
      </c>
      <c r="BL859">
        <v>15</v>
      </c>
      <c r="BN859">
        <f t="shared" si="1073"/>
        <v>15</v>
      </c>
      <c r="BO859">
        <f t="shared" si="1092"/>
        <v>30612244.897959184</v>
      </c>
      <c r="BP859" t="s">
        <v>232</v>
      </c>
      <c r="BQ859" s="260" t="s">
        <v>3359</v>
      </c>
      <c r="BR859" t="s">
        <v>1299</v>
      </c>
      <c r="BU859" s="144" t="str">
        <f>IFERROR(BT859/BS859,"")</f>
        <v/>
      </c>
      <c r="BV859">
        <v>-18</v>
      </c>
      <c r="BX859">
        <f t="shared" si="1093"/>
        <v>-18000000</v>
      </c>
      <c r="BY859">
        <f t="shared" si="994"/>
        <v>-0.58799999999999997</v>
      </c>
      <c r="BZ859">
        <v>0</v>
      </c>
      <c r="CA859">
        <v>0</v>
      </c>
      <c r="CB859">
        <v>0</v>
      </c>
      <c r="CC859">
        <v>0</v>
      </c>
      <c r="CD859">
        <v>0</v>
      </c>
      <c r="CE859">
        <v>0</v>
      </c>
      <c r="CF859">
        <v>0</v>
      </c>
      <c r="CG859">
        <v>0</v>
      </c>
      <c r="CH859">
        <v>0</v>
      </c>
      <c r="CI859">
        <v>0</v>
      </c>
      <c r="CJ859">
        <v>0</v>
      </c>
      <c r="CK859">
        <v>0</v>
      </c>
      <c r="CL859">
        <v>0</v>
      </c>
      <c r="CM859">
        <v>0</v>
      </c>
      <c r="CN859" t="str">
        <f t="shared" si="1094"/>
        <v>refOK</v>
      </c>
      <c r="CO859">
        <f t="shared" si="1095"/>
        <v>0</v>
      </c>
      <c r="CP859">
        <f t="shared" si="1096"/>
        <v>15</v>
      </c>
      <c r="CQ859">
        <f t="shared" si="1074"/>
        <v>30612244.897959184</v>
      </c>
      <c r="CR859">
        <f t="shared" si="1075"/>
        <v>0</v>
      </c>
      <c r="CS859">
        <f t="shared" si="1076"/>
        <v>0</v>
      </c>
      <c r="CT859">
        <f t="shared" si="1077"/>
        <v>-18000000</v>
      </c>
      <c r="CU859">
        <f t="shared" si="1078"/>
        <v>-0.58799999999999997</v>
      </c>
      <c r="CV859" s="2" t="str">
        <f t="shared" si="1079"/>
        <v/>
      </c>
      <c r="CW859" s="1" t="s">
        <v>1202</v>
      </c>
      <c r="CX859" t="str">
        <f t="shared" si="1080"/>
        <v>reg</v>
      </c>
      <c r="CY859" t="s">
        <v>960</v>
      </c>
      <c r="CZ859">
        <v>2005</v>
      </c>
      <c r="DA859">
        <v>2020</v>
      </c>
      <c r="DB859">
        <v>15</v>
      </c>
      <c r="DC859" t="str">
        <f t="shared" si="1081"/>
        <v>1-30</v>
      </c>
      <c r="DD859">
        <v>0</v>
      </c>
      <c r="DE859">
        <v>1</v>
      </c>
      <c r="DF859">
        <v>0</v>
      </c>
      <c r="DG859">
        <v>0</v>
      </c>
      <c r="DI859">
        <f t="shared" si="1082"/>
        <v>1</v>
      </c>
      <c r="DJ859" t="str">
        <f t="shared" si="1083"/>
        <v>EnergyInput</v>
      </c>
      <c r="DK859">
        <f t="shared" si="1084"/>
        <v>0</v>
      </c>
      <c r="DL859" t="str">
        <f t="shared" si="1085"/>
        <v>Energy</v>
      </c>
      <c r="DM859">
        <f t="shared" si="1086"/>
        <v>0</v>
      </c>
      <c r="DN859">
        <f t="shared" si="1087"/>
        <v>0</v>
      </c>
      <c r="DO859">
        <v>0</v>
      </c>
      <c r="DP859">
        <v>0</v>
      </c>
      <c r="DQ859">
        <v>0</v>
      </c>
      <c r="DR859">
        <v>0</v>
      </c>
      <c r="DS859">
        <v>0</v>
      </c>
      <c r="DT859">
        <f t="shared" si="1088"/>
        <v>0</v>
      </c>
      <c r="DU859" s="143" t="str">
        <f t="shared" si="1089"/>
        <v>explicit C balance</v>
      </c>
      <c r="DV859">
        <v>0</v>
      </c>
      <c r="DW859">
        <v>1</v>
      </c>
      <c r="DX859">
        <v>1</v>
      </c>
      <c r="DY859">
        <v>0</v>
      </c>
      <c r="DZ859">
        <v>0</v>
      </c>
      <c r="EA859" s="143">
        <v>1</v>
      </c>
      <c r="EB859">
        <v>1</v>
      </c>
      <c r="EC859">
        <v>0</v>
      </c>
      <c r="ED859">
        <v>0</v>
      </c>
      <c r="EE859">
        <v>0</v>
      </c>
      <c r="EF859">
        <v>1</v>
      </c>
      <c r="EG859">
        <v>1</v>
      </c>
      <c r="EH859">
        <v>0</v>
      </c>
      <c r="EI859" s="2">
        <v>0</v>
      </c>
      <c r="EK859" t="str">
        <f t="shared" si="1090"/>
        <v/>
      </c>
      <c r="EL859" t="str">
        <f t="shared" si="1091"/>
        <v/>
      </c>
      <c r="EM859" s="2" t="str">
        <f t="shared" si="995"/>
        <v/>
      </c>
      <c r="EP859" t="str">
        <f>IF(ISNUMBER(BU859),IF(ABS(BU859-[5]QC_indicators!$B$2)&gt;3*[5]QC_indicators!$C$2,"C ratio",IF(ISNUMBER(BY859),IF(ABS(BY859-[5]QC_indicators!$B$1)&gt;3*[5]QC_indicators!$C$1,"DF","no"))),IF(ISNUMBER(BY859),IF(ABS(BY859-[5]QC_indicators!$B$1)&gt;3*[5]QC_indicators!$C$1,"DF","no")))</f>
        <v>no</v>
      </c>
      <c r="ET859" s="264" t="s">
        <v>3272</v>
      </c>
    </row>
    <row r="860" spans="1:150" ht="15" hidden="1" customHeight="1">
      <c r="A860" s="1" t="s">
        <v>878</v>
      </c>
      <c r="B860" t="s">
        <v>1790</v>
      </c>
      <c r="C860" t="s">
        <v>1791</v>
      </c>
      <c r="D860" t="s">
        <v>1792</v>
      </c>
      <c r="E860" t="s">
        <v>1793</v>
      </c>
      <c r="F860" t="s">
        <v>1794</v>
      </c>
      <c r="G860" t="s">
        <v>1183</v>
      </c>
      <c r="H860" t="s">
        <v>254</v>
      </c>
      <c r="I860">
        <v>2011</v>
      </c>
      <c r="J860">
        <v>6</v>
      </c>
      <c r="K860" t="s">
        <v>1795</v>
      </c>
      <c r="M860" t="str">
        <f t="shared" si="1044"/>
        <v>Kayo_2011</v>
      </c>
      <c r="N860" t="s">
        <v>222</v>
      </c>
      <c r="O860" s="145" t="s">
        <v>513</v>
      </c>
      <c r="Q860" t="s">
        <v>256</v>
      </c>
      <c r="R860" s="255" t="s">
        <v>225</v>
      </c>
      <c r="S860" s="263" t="s">
        <v>3360</v>
      </c>
      <c r="T860" t="s">
        <v>1672</v>
      </c>
      <c r="U860" t="s">
        <v>1796</v>
      </c>
      <c r="V860">
        <v>0</v>
      </c>
      <c r="W860">
        <v>0</v>
      </c>
      <c r="X860">
        <v>0</v>
      </c>
      <c r="Y860">
        <v>0</v>
      </c>
      <c r="Z860">
        <v>0</v>
      </c>
      <c r="AA860">
        <v>0</v>
      </c>
      <c r="AB860">
        <v>0</v>
      </c>
      <c r="AC860">
        <v>0</v>
      </c>
      <c r="AD860">
        <v>0</v>
      </c>
      <c r="AE860">
        <v>0</v>
      </c>
      <c r="AF860">
        <v>0</v>
      </c>
      <c r="AG860">
        <v>0</v>
      </c>
      <c r="AH860">
        <v>0</v>
      </c>
      <c r="AI860">
        <v>0</v>
      </c>
      <c r="AJ860">
        <v>0</v>
      </c>
      <c r="AK860">
        <v>1</v>
      </c>
      <c r="AL860">
        <v>0</v>
      </c>
      <c r="AM860">
        <v>0</v>
      </c>
      <c r="AN860">
        <v>0</v>
      </c>
      <c r="AO860">
        <v>0</v>
      </c>
      <c r="AP860">
        <v>0</v>
      </c>
      <c r="AQ860">
        <v>0</v>
      </c>
      <c r="AR860">
        <v>0</v>
      </c>
      <c r="AS860">
        <v>0</v>
      </c>
      <c r="AT860">
        <v>0</v>
      </c>
      <c r="AU860">
        <v>0</v>
      </c>
      <c r="AV860">
        <v>0</v>
      </c>
      <c r="AW860">
        <v>0</v>
      </c>
      <c r="AX860" s="141">
        <f t="shared" si="1066"/>
        <v>1</v>
      </c>
      <c r="AY860" s="141">
        <f t="shared" si="1067"/>
        <v>1</v>
      </c>
      <c r="AZ860">
        <f t="shared" si="1068"/>
        <v>0</v>
      </c>
      <c r="BA860">
        <f t="shared" si="1069"/>
        <v>0</v>
      </c>
      <c r="BB860">
        <f t="shared" si="1070"/>
        <v>1</v>
      </c>
      <c r="BC860">
        <f t="shared" si="1071"/>
        <v>0</v>
      </c>
      <c r="BD860">
        <f t="shared" si="1072"/>
        <v>0</v>
      </c>
      <c r="BE860" t="str">
        <f t="array" ref="BE860">IF(AY860=1,INDEX($V$7:$AL$7,MATCH(TRUE,INDEX($V860:$AW860&lt;&gt;0,),0)),IF(AY860=0,INDEX($AM$7:$AW$7,MATCH(1,$AM860:$AW860,0)),IF(BF860="Multiple strategies","mixed drivers",IF(BF860="Supply chain","multiple supply","multiple silviculture"))))</f>
        <v>technologies/design switch</v>
      </c>
      <c r="BF860" s="2" t="str" cm="1">
        <f t="array" ref="BF860">IF(COUNTIF(AZ860:BB860,"&lt;&gt;0")=1,INDEX($V$4:$AW$4,MATCH(TRUE,INDEX($V860:$AW860&lt;&gt;0,),0)),IF(COUNTIF(AZ860:BB860,"&lt;&gt;0")=0,INDEX($AM$4:$AW$4,MATCH(1,$AM860:$AW860,0)),"Multiple strategies"))</f>
        <v>Technology</v>
      </c>
      <c r="BG860" s="1" t="s">
        <v>229</v>
      </c>
      <c r="BH860" t="s">
        <v>1798</v>
      </c>
      <c r="BI860" s="260" t="s">
        <v>3345</v>
      </c>
      <c r="BJ860" s="260" t="s">
        <v>3346</v>
      </c>
      <c r="BK860">
        <v>0</v>
      </c>
      <c r="BL860">
        <v>18</v>
      </c>
      <c r="BN860">
        <f t="shared" si="1073"/>
        <v>18</v>
      </c>
      <c r="BO860">
        <f t="shared" si="1092"/>
        <v>36734693.877551019</v>
      </c>
      <c r="BP860" t="s">
        <v>232</v>
      </c>
      <c r="BQ860" s="260" t="s">
        <v>3357</v>
      </c>
      <c r="BR860" t="s">
        <v>1299</v>
      </c>
      <c r="BU860" s="144" t="str">
        <f>IFERROR(BT860/BS860,"")</f>
        <v/>
      </c>
      <c r="BV860">
        <v>-13.8</v>
      </c>
      <c r="BX860">
        <f t="shared" si="1093"/>
        <v>-13800000</v>
      </c>
      <c r="BY860">
        <f t="shared" si="994"/>
        <v>-0.3756666666666667</v>
      </c>
      <c r="BZ860">
        <v>0</v>
      </c>
      <c r="CA860">
        <v>0</v>
      </c>
      <c r="CB860">
        <v>0</v>
      </c>
      <c r="CC860">
        <v>0</v>
      </c>
      <c r="CD860">
        <v>0</v>
      </c>
      <c r="CE860">
        <v>0</v>
      </c>
      <c r="CF860">
        <v>0</v>
      </c>
      <c r="CG860">
        <v>0</v>
      </c>
      <c r="CH860">
        <v>0</v>
      </c>
      <c r="CI860">
        <v>0</v>
      </c>
      <c r="CJ860">
        <v>0</v>
      </c>
      <c r="CK860">
        <v>0</v>
      </c>
      <c r="CL860">
        <v>0</v>
      </c>
      <c r="CM860">
        <v>0</v>
      </c>
      <c r="CN860" t="str">
        <f t="shared" si="1094"/>
        <v>refOK</v>
      </c>
      <c r="CO860">
        <f t="shared" si="1095"/>
        <v>0</v>
      </c>
      <c r="CP860">
        <f t="shared" si="1096"/>
        <v>18</v>
      </c>
      <c r="CQ860">
        <f t="shared" si="1074"/>
        <v>36734693.877551019</v>
      </c>
      <c r="CR860">
        <f t="shared" si="1075"/>
        <v>0</v>
      </c>
      <c r="CS860">
        <f t="shared" si="1076"/>
        <v>0</v>
      </c>
      <c r="CT860">
        <f t="shared" si="1077"/>
        <v>-13800000</v>
      </c>
      <c r="CU860">
        <f t="shared" si="1078"/>
        <v>-0.3756666666666667</v>
      </c>
      <c r="CV860" s="2" t="str">
        <f t="shared" si="1079"/>
        <v/>
      </c>
      <c r="CW860" s="1" t="s">
        <v>1202</v>
      </c>
      <c r="CX860" t="str">
        <f t="shared" si="1080"/>
        <v>reg</v>
      </c>
      <c r="CY860" t="s">
        <v>960</v>
      </c>
      <c r="CZ860">
        <v>2005</v>
      </c>
      <c r="DA860">
        <v>2050</v>
      </c>
      <c r="DB860">
        <v>45</v>
      </c>
      <c r="DC860" t="str">
        <f t="shared" si="1081"/>
        <v>31-70</v>
      </c>
      <c r="DD860">
        <v>0</v>
      </c>
      <c r="DE860">
        <v>1</v>
      </c>
      <c r="DF860">
        <v>0</v>
      </c>
      <c r="DG860">
        <v>0</v>
      </c>
      <c r="DI860">
        <f t="shared" si="1082"/>
        <v>1</v>
      </c>
      <c r="DJ860" t="str">
        <f t="shared" si="1083"/>
        <v>EnergyInput</v>
      </c>
      <c r="DK860">
        <f t="shared" si="1084"/>
        <v>0</v>
      </c>
      <c r="DL860" t="str">
        <f t="shared" si="1085"/>
        <v>Energy</v>
      </c>
      <c r="DM860">
        <f t="shared" si="1086"/>
        <v>0</v>
      </c>
      <c r="DN860">
        <f t="shared" si="1087"/>
        <v>0</v>
      </c>
      <c r="DO860">
        <v>0</v>
      </c>
      <c r="DP860">
        <v>0</v>
      </c>
      <c r="DQ860">
        <v>0</v>
      </c>
      <c r="DR860">
        <v>0</v>
      </c>
      <c r="DS860">
        <v>0</v>
      </c>
      <c r="DT860">
        <f t="shared" si="1088"/>
        <v>0</v>
      </c>
      <c r="DU860" s="143" t="str">
        <f t="shared" si="1089"/>
        <v>explicit C balance</v>
      </c>
      <c r="DV860">
        <v>0</v>
      </c>
      <c r="DW860">
        <v>1</v>
      </c>
      <c r="DX860">
        <v>1</v>
      </c>
      <c r="DY860">
        <v>0</v>
      </c>
      <c r="DZ860">
        <v>0</v>
      </c>
      <c r="EA860" s="143">
        <v>1</v>
      </c>
      <c r="EB860">
        <v>1</v>
      </c>
      <c r="EC860">
        <v>0</v>
      </c>
      <c r="ED860">
        <v>0</v>
      </c>
      <c r="EE860">
        <v>0</v>
      </c>
      <c r="EF860">
        <v>1</v>
      </c>
      <c r="EG860">
        <v>1</v>
      </c>
      <c r="EH860">
        <v>0</v>
      </c>
      <c r="EI860" s="2">
        <v>0</v>
      </c>
      <c r="EK860" t="str">
        <f t="shared" si="1090"/>
        <v/>
      </c>
      <c r="EL860" t="str">
        <f t="shared" si="1091"/>
        <v/>
      </c>
      <c r="EM860" s="2" t="str">
        <f t="shared" si="995"/>
        <v/>
      </c>
      <c r="EP860" t="str">
        <f>IF(ISNUMBER(BU860),IF(ABS(BU860-[5]QC_indicators!$B$2)&gt;3*[5]QC_indicators!$C$2,"C ratio",IF(ISNUMBER(BY860),IF(ABS(BY860-[5]QC_indicators!$B$1)&gt;3*[5]QC_indicators!$C$1,"DF","no"))),IF(ISNUMBER(BY860),IF(ABS(BY860-[5]QC_indicators!$B$1)&gt;3*[5]QC_indicators!$C$1,"DF","no")))</f>
        <v>no</v>
      </c>
      <c r="ET860" s="264" t="s">
        <v>3272</v>
      </c>
    </row>
    <row r="861" spans="1:150" ht="15" hidden="1" customHeight="1">
      <c r="A861" s="1" t="s">
        <v>878</v>
      </c>
      <c r="B861" t="s">
        <v>1790</v>
      </c>
      <c r="C861" t="s">
        <v>1791</v>
      </c>
      <c r="D861" t="s">
        <v>1792</v>
      </c>
      <c r="E861" t="s">
        <v>1793</v>
      </c>
      <c r="F861" t="s">
        <v>1794</v>
      </c>
      <c r="G861" t="s">
        <v>1183</v>
      </c>
      <c r="H861" t="s">
        <v>254</v>
      </c>
      <c r="I861">
        <v>2011</v>
      </c>
      <c r="J861">
        <v>6</v>
      </c>
      <c r="K861" t="s">
        <v>1795</v>
      </c>
      <c r="M861" t="str">
        <f t="shared" si="1044"/>
        <v>Kayo_2011</v>
      </c>
      <c r="N861" t="s">
        <v>222</v>
      </c>
      <c r="O861" s="145" t="s">
        <v>513</v>
      </c>
      <c r="Q861" t="s">
        <v>256</v>
      </c>
      <c r="R861" s="255" t="s">
        <v>225</v>
      </c>
      <c r="S861" s="263" t="s">
        <v>3350</v>
      </c>
      <c r="T861" t="s">
        <v>1799</v>
      </c>
      <c r="U861" t="s">
        <v>1800</v>
      </c>
      <c r="V861">
        <v>0</v>
      </c>
      <c r="W861">
        <v>0</v>
      </c>
      <c r="X861">
        <v>1</v>
      </c>
      <c r="Y861">
        <v>0</v>
      </c>
      <c r="Z861">
        <v>0</v>
      </c>
      <c r="AA861">
        <v>0</v>
      </c>
      <c r="AB861">
        <v>0</v>
      </c>
      <c r="AC861">
        <v>0</v>
      </c>
      <c r="AD861">
        <v>0</v>
      </c>
      <c r="AE861">
        <v>0</v>
      </c>
      <c r="AF861">
        <v>0</v>
      </c>
      <c r="AG861">
        <v>0</v>
      </c>
      <c r="AH861">
        <v>0</v>
      </c>
      <c r="AI861">
        <v>0</v>
      </c>
      <c r="AJ861">
        <v>0</v>
      </c>
      <c r="AK861">
        <v>0</v>
      </c>
      <c r="AL861">
        <v>0</v>
      </c>
      <c r="AM861">
        <v>0</v>
      </c>
      <c r="AN861">
        <v>0</v>
      </c>
      <c r="AO861">
        <v>0</v>
      </c>
      <c r="AP861">
        <v>0</v>
      </c>
      <c r="AQ861">
        <v>0</v>
      </c>
      <c r="AR861">
        <v>0</v>
      </c>
      <c r="AS861">
        <v>0</v>
      </c>
      <c r="AT861">
        <v>0</v>
      </c>
      <c r="AU861">
        <v>0</v>
      </c>
      <c r="AV861">
        <v>0</v>
      </c>
      <c r="AW861">
        <v>0</v>
      </c>
      <c r="AX861" s="141">
        <f t="shared" si="1066"/>
        <v>1</v>
      </c>
      <c r="AY861" s="141">
        <f t="shared" si="1067"/>
        <v>1</v>
      </c>
      <c r="AZ861">
        <f t="shared" si="1068"/>
        <v>1</v>
      </c>
      <c r="BA861">
        <f t="shared" si="1069"/>
        <v>0</v>
      </c>
      <c r="BB861">
        <f t="shared" si="1070"/>
        <v>0</v>
      </c>
      <c r="BC861">
        <f t="shared" si="1071"/>
        <v>0</v>
      </c>
      <c r="BD861">
        <f t="shared" si="1072"/>
        <v>0</v>
      </c>
      <c r="BE861" t="str">
        <f t="array" ref="BE861">IF(AY861=1,INDEX($V$7:$AL$7,MATCH(TRUE,INDEX($V861:$AW861&lt;&gt;0,),0)),IF(AY861=0,INDEX($AM$7:$AW$7,MATCH(1,$AM861:$AW861,0)),IF(BF861="Multiple strategies","mixed drivers",IF(BF861="Supply chain","multiple supply","multiple silviculture"))))</f>
        <v>rotation length</v>
      </c>
      <c r="BF861" s="2" t="str" cm="1">
        <f t="array" ref="BF861">IF(COUNTIF(AZ861:BB861,"&lt;&gt;0")=1,INDEX($V$4:$AW$4,MATCH(TRUE,INDEX($V861:$AW861&lt;&gt;0,),0)),IF(COUNTIF(AZ861:BB861,"&lt;&gt;0")=0,INDEX($AM$4:$AW$4,MATCH(1,$AM861:$AW861,0)),"Multiple strategies"))</f>
        <v>Silviculture for removals</v>
      </c>
      <c r="BG861" s="1" t="s">
        <v>229</v>
      </c>
      <c r="BH861" t="s">
        <v>1798</v>
      </c>
      <c r="BI861" s="260" t="s">
        <v>3349</v>
      </c>
      <c r="BJ861" s="260" t="s">
        <v>3346</v>
      </c>
      <c r="BK861">
        <v>15</v>
      </c>
      <c r="BL861">
        <v>32</v>
      </c>
      <c r="BN861">
        <f t="shared" si="1073"/>
        <v>17</v>
      </c>
      <c r="BO861">
        <f t="shared" si="1092"/>
        <v>34693877.551020406</v>
      </c>
      <c r="BP861" t="s">
        <v>232</v>
      </c>
      <c r="BQ861" s="260" t="s">
        <v>3351</v>
      </c>
      <c r="BR861" t="s">
        <v>1299</v>
      </c>
      <c r="BU861" s="144" t="str">
        <f>IFERROR(BT861/BS861,"")</f>
        <v/>
      </c>
      <c r="BV861">
        <v>-11</v>
      </c>
      <c r="BX861">
        <f t="shared" si="1093"/>
        <v>-11000000</v>
      </c>
      <c r="BY861">
        <f t="shared" si="994"/>
        <v>-0.31705882352941178</v>
      </c>
      <c r="BZ861">
        <v>0</v>
      </c>
      <c r="CA861">
        <v>0</v>
      </c>
      <c r="CB861">
        <v>0</v>
      </c>
      <c r="CC861">
        <v>0</v>
      </c>
      <c r="CD861">
        <v>0</v>
      </c>
      <c r="CE861">
        <v>0</v>
      </c>
      <c r="CF861">
        <v>0</v>
      </c>
      <c r="CG861">
        <v>0</v>
      </c>
      <c r="CH861">
        <v>0</v>
      </c>
      <c r="CI861">
        <v>0</v>
      </c>
      <c r="CJ861">
        <v>0</v>
      </c>
      <c r="CK861">
        <v>0</v>
      </c>
      <c r="CL861">
        <v>0</v>
      </c>
      <c r="CM861">
        <v>0</v>
      </c>
      <c r="CN861" t="str">
        <f t="shared" si="1094"/>
        <v>refOK</v>
      </c>
      <c r="CO861">
        <f t="shared" si="1095"/>
        <v>15</v>
      </c>
      <c r="CP861">
        <f t="shared" si="1096"/>
        <v>32</v>
      </c>
      <c r="CQ861">
        <f t="shared" si="1074"/>
        <v>34693877.551020406</v>
      </c>
      <c r="CR861">
        <f t="shared" si="1075"/>
        <v>0</v>
      </c>
      <c r="CS861">
        <f t="shared" si="1076"/>
        <v>0</v>
      </c>
      <c r="CT861">
        <f t="shared" si="1077"/>
        <v>-11000000</v>
      </c>
      <c r="CU861">
        <f t="shared" si="1078"/>
        <v>-0.31705882352941178</v>
      </c>
      <c r="CV861" s="2" t="str">
        <f t="shared" si="1079"/>
        <v/>
      </c>
      <c r="CW861" s="1" t="s">
        <v>1202</v>
      </c>
      <c r="CX861" t="str">
        <f t="shared" si="1080"/>
        <v>reg</v>
      </c>
      <c r="CY861" t="s">
        <v>960</v>
      </c>
      <c r="CZ861">
        <v>2005</v>
      </c>
      <c r="DA861">
        <v>2020</v>
      </c>
      <c r="DB861">
        <v>15</v>
      </c>
      <c r="DC861" t="str">
        <f t="shared" si="1081"/>
        <v>1-30</v>
      </c>
      <c r="DD861">
        <v>0</v>
      </c>
      <c r="DE861">
        <v>1</v>
      </c>
      <c r="DF861">
        <v>0</v>
      </c>
      <c r="DG861">
        <v>0</v>
      </c>
      <c r="DI861">
        <f t="shared" si="1082"/>
        <v>1</v>
      </c>
      <c r="DJ861" t="str">
        <f t="shared" si="1083"/>
        <v>EnergyInput</v>
      </c>
      <c r="DK861">
        <f t="shared" si="1084"/>
        <v>0</v>
      </c>
      <c r="DL861" t="str">
        <f t="shared" si="1085"/>
        <v>Energy</v>
      </c>
      <c r="DM861">
        <f t="shared" si="1086"/>
        <v>0</v>
      </c>
      <c r="DN861">
        <f t="shared" si="1087"/>
        <v>0</v>
      </c>
      <c r="DO861">
        <v>0</v>
      </c>
      <c r="DP861">
        <v>0</v>
      </c>
      <c r="DQ861">
        <v>0</v>
      </c>
      <c r="DR861">
        <v>0</v>
      </c>
      <c r="DS861">
        <v>0</v>
      </c>
      <c r="DT861">
        <f t="shared" si="1088"/>
        <v>0</v>
      </c>
      <c r="DU861" s="143" t="str">
        <f t="shared" si="1089"/>
        <v>explicit C balance</v>
      </c>
      <c r="DV861">
        <v>0</v>
      </c>
      <c r="DW861">
        <v>1</v>
      </c>
      <c r="DX861">
        <v>1</v>
      </c>
      <c r="DY861">
        <v>0</v>
      </c>
      <c r="DZ861">
        <v>0</v>
      </c>
      <c r="EA861" s="143">
        <v>1</v>
      </c>
      <c r="EB861">
        <v>1</v>
      </c>
      <c r="EC861">
        <v>0</v>
      </c>
      <c r="ED861">
        <v>0</v>
      </c>
      <c r="EE861">
        <v>0</v>
      </c>
      <c r="EF861">
        <v>1</v>
      </c>
      <c r="EG861">
        <v>1</v>
      </c>
      <c r="EH861">
        <v>0</v>
      </c>
      <c r="EI861" s="2">
        <v>0</v>
      </c>
      <c r="EK861" t="str">
        <f t="shared" si="1090"/>
        <v/>
      </c>
      <c r="EL861" t="str">
        <f t="shared" si="1091"/>
        <v/>
      </c>
      <c r="EM861" s="2" t="str">
        <f t="shared" si="995"/>
        <v/>
      </c>
      <c r="EP861" t="str">
        <f>IF(ISNUMBER(BU861),IF(ABS(BU861-[5]QC_indicators!$B$2)&gt;3*[5]QC_indicators!$C$2,"C ratio",IF(ISNUMBER(BY861),IF(ABS(BY861-[5]QC_indicators!$B$1)&gt;3*[5]QC_indicators!$C$1,"DF","no"))),IF(ISNUMBER(BY861),IF(ABS(BY861-[5]QC_indicators!$B$1)&gt;3*[5]QC_indicators!$C$1,"DF","no")))</f>
        <v>no</v>
      </c>
      <c r="ET861" s="264" t="s">
        <v>3272</v>
      </c>
    </row>
    <row r="862" spans="1:150" ht="15" hidden="1" customHeight="1">
      <c r="A862" s="1" t="s">
        <v>878</v>
      </c>
      <c r="B862" t="s">
        <v>1790</v>
      </c>
      <c r="C862" t="s">
        <v>1791</v>
      </c>
      <c r="D862" t="s">
        <v>1792</v>
      </c>
      <c r="E862" t="s">
        <v>1793</v>
      </c>
      <c r="F862" t="s">
        <v>1794</v>
      </c>
      <c r="G862" t="s">
        <v>1183</v>
      </c>
      <c r="H862" t="s">
        <v>254</v>
      </c>
      <c r="I862">
        <v>2011</v>
      </c>
      <c r="J862">
        <v>6</v>
      </c>
      <c r="K862" t="s">
        <v>1795</v>
      </c>
      <c r="M862" t="str">
        <f t="shared" si="1044"/>
        <v>Kayo_2011</v>
      </c>
      <c r="N862" t="s">
        <v>222</v>
      </c>
      <c r="O862" s="145" t="s">
        <v>513</v>
      </c>
      <c r="Q862" t="s">
        <v>256</v>
      </c>
      <c r="R862" s="255" t="s">
        <v>225</v>
      </c>
      <c r="S862" s="263" t="s">
        <v>3361</v>
      </c>
      <c r="T862" t="s">
        <v>1804</v>
      </c>
      <c r="U862" t="s">
        <v>1805</v>
      </c>
      <c r="V862">
        <v>0</v>
      </c>
      <c r="W862">
        <v>0</v>
      </c>
      <c r="X862">
        <v>0</v>
      </c>
      <c r="Y862">
        <v>0</v>
      </c>
      <c r="Z862">
        <v>0</v>
      </c>
      <c r="AA862">
        <v>0</v>
      </c>
      <c r="AB862">
        <v>0</v>
      </c>
      <c r="AC862">
        <v>0</v>
      </c>
      <c r="AD862">
        <v>0</v>
      </c>
      <c r="AE862">
        <v>0</v>
      </c>
      <c r="AF862">
        <v>0</v>
      </c>
      <c r="AG862">
        <v>0</v>
      </c>
      <c r="AH862">
        <v>0</v>
      </c>
      <c r="AI862">
        <v>0</v>
      </c>
      <c r="AJ862">
        <v>0</v>
      </c>
      <c r="AK862">
        <v>1</v>
      </c>
      <c r="AL862">
        <v>0</v>
      </c>
      <c r="AM862">
        <v>0</v>
      </c>
      <c r="AN862">
        <v>0</v>
      </c>
      <c r="AO862">
        <v>0</v>
      </c>
      <c r="AP862">
        <v>0</v>
      </c>
      <c r="AQ862">
        <v>0</v>
      </c>
      <c r="AR862">
        <v>0</v>
      </c>
      <c r="AS862">
        <v>0</v>
      </c>
      <c r="AT862">
        <v>0</v>
      </c>
      <c r="AU862">
        <v>0</v>
      </c>
      <c r="AV862">
        <v>0</v>
      </c>
      <c r="AW862">
        <v>0</v>
      </c>
      <c r="AX862" s="141">
        <f t="shared" si="1066"/>
        <v>1</v>
      </c>
      <c r="AY862" s="141">
        <f t="shared" si="1067"/>
        <v>1</v>
      </c>
      <c r="AZ862">
        <f t="shared" si="1068"/>
        <v>0</v>
      </c>
      <c r="BA862">
        <f t="shared" si="1069"/>
        <v>0</v>
      </c>
      <c r="BB862">
        <f t="shared" si="1070"/>
        <v>1</v>
      </c>
      <c r="BC862">
        <f t="shared" si="1071"/>
        <v>0</v>
      </c>
      <c r="BD862">
        <f t="shared" si="1072"/>
        <v>0</v>
      </c>
      <c r="BE862" t="str">
        <f t="array" ref="BE862">IF(AY862=1,INDEX($V$7:$AL$7,MATCH(TRUE,INDEX($V862:$AW862&lt;&gt;0,),0)),IF(AY862=0,INDEX($AM$7:$AW$7,MATCH(1,$AM862:$AW862,0)),IF(BF862="Multiple strategies","mixed drivers",IF(BF862="Supply chain","multiple supply","multiple silviculture"))))</f>
        <v>technologies/design switch</v>
      </c>
      <c r="BF862" s="2" t="str" cm="1">
        <f t="array" ref="BF862">IF(COUNTIF(AZ862:BB862,"&lt;&gt;0")=1,INDEX($V$4:$AW$4,MATCH(TRUE,INDEX($V862:$AW862&lt;&gt;0,),0)),IF(COUNTIF(AZ862:BB862,"&lt;&gt;0")=0,INDEX($AM$4:$AW$4,MATCH(1,$AM862:$AW862,0)),"Multiple strategies"))</f>
        <v>Technology</v>
      </c>
      <c r="BG862" s="1" t="s">
        <v>229</v>
      </c>
      <c r="BH862" t="s">
        <v>1798</v>
      </c>
      <c r="BI862" s="260" t="s">
        <v>3349</v>
      </c>
      <c r="BJ862" s="260" t="s">
        <v>3346</v>
      </c>
      <c r="BK862">
        <v>0</v>
      </c>
      <c r="BL862">
        <v>32</v>
      </c>
      <c r="BN862">
        <f t="shared" si="1073"/>
        <v>32</v>
      </c>
      <c r="BO862">
        <f t="shared" si="1092"/>
        <v>65306122.448979594</v>
      </c>
      <c r="BP862" t="s">
        <v>232</v>
      </c>
      <c r="BQ862" s="260" t="s">
        <v>3340</v>
      </c>
      <c r="BR862" t="s">
        <v>1299</v>
      </c>
      <c r="BU862" s="144" t="str">
        <f>IFERROR(BT862/BS862,"")</f>
        <v/>
      </c>
      <c r="BV862">
        <v>-11</v>
      </c>
      <c r="BX862">
        <f t="shared" si="1093"/>
        <v>-11000000</v>
      </c>
      <c r="BY862">
        <f t="shared" si="994"/>
        <v>-0.16843749999999999</v>
      </c>
      <c r="BZ862">
        <v>0</v>
      </c>
      <c r="CA862">
        <v>0</v>
      </c>
      <c r="CB862">
        <v>0</v>
      </c>
      <c r="CC862">
        <v>0</v>
      </c>
      <c r="CD862">
        <v>0</v>
      </c>
      <c r="CE862">
        <v>0</v>
      </c>
      <c r="CF862">
        <v>0</v>
      </c>
      <c r="CG862">
        <v>0</v>
      </c>
      <c r="CH862">
        <v>0</v>
      </c>
      <c r="CI862">
        <v>0</v>
      </c>
      <c r="CJ862">
        <v>0</v>
      </c>
      <c r="CK862">
        <v>0</v>
      </c>
      <c r="CL862">
        <v>0</v>
      </c>
      <c r="CM862">
        <v>0</v>
      </c>
      <c r="CN862" t="str">
        <f t="shared" si="1094"/>
        <v>refOK</v>
      </c>
      <c r="CO862">
        <f t="shared" si="1095"/>
        <v>0</v>
      </c>
      <c r="CP862">
        <f t="shared" si="1096"/>
        <v>32</v>
      </c>
      <c r="CQ862">
        <f t="shared" si="1074"/>
        <v>65306122.448979594</v>
      </c>
      <c r="CR862">
        <f t="shared" si="1075"/>
        <v>0</v>
      </c>
      <c r="CS862">
        <f t="shared" si="1076"/>
        <v>0</v>
      </c>
      <c r="CT862">
        <f t="shared" si="1077"/>
        <v>-11000000</v>
      </c>
      <c r="CU862">
        <f t="shared" si="1078"/>
        <v>-0.16843749999999999</v>
      </c>
      <c r="CV862" s="2" t="str">
        <f t="shared" si="1079"/>
        <v/>
      </c>
      <c r="CW862" s="1" t="s">
        <v>1202</v>
      </c>
      <c r="CX862" t="str">
        <f t="shared" si="1080"/>
        <v>reg</v>
      </c>
      <c r="CY862" t="s">
        <v>960</v>
      </c>
      <c r="CZ862">
        <v>2005</v>
      </c>
      <c r="DA862">
        <v>2020</v>
      </c>
      <c r="DB862">
        <v>15</v>
      </c>
      <c r="DC862" t="str">
        <f t="shared" si="1081"/>
        <v>1-30</v>
      </c>
      <c r="DD862">
        <v>0</v>
      </c>
      <c r="DE862">
        <v>1</v>
      </c>
      <c r="DF862">
        <v>0</v>
      </c>
      <c r="DG862">
        <v>0</v>
      </c>
      <c r="DI862">
        <f t="shared" si="1082"/>
        <v>1</v>
      </c>
      <c r="DJ862" t="str">
        <f t="shared" si="1083"/>
        <v>EnergyInput</v>
      </c>
      <c r="DK862">
        <f t="shared" si="1084"/>
        <v>0</v>
      </c>
      <c r="DL862" t="str">
        <f t="shared" si="1085"/>
        <v>Energy</v>
      </c>
      <c r="DM862">
        <f t="shared" si="1086"/>
        <v>0</v>
      </c>
      <c r="DN862">
        <f t="shared" si="1087"/>
        <v>0</v>
      </c>
      <c r="DO862">
        <v>0</v>
      </c>
      <c r="DP862">
        <v>0</v>
      </c>
      <c r="DQ862">
        <v>0</v>
      </c>
      <c r="DR862">
        <v>0</v>
      </c>
      <c r="DS862">
        <v>0</v>
      </c>
      <c r="DT862">
        <f t="shared" si="1088"/>
        <v>0</v>
      </c>
      <c r="DU862" s="143" t="str">
        <f t="shared" si="1089"/>
        <v>explicit C balance</v>
      </c>
      <c r="DV862">
        <v>0</v>
      </c>
      <c r="DW862">
        <v>1</v>
      </c>
      <c r="DX862">
        <v>1</v>
      </c>
      <c r="DY862">
        <v>0</v>
      </c>
      <c r="DZ862">
        <v>0</v>
      </c>
      <c r="EA862" s="143">
        <v>1</v>
      </c>
      <c r="EB862">
        <v>1</v>
      </c>
      <c r="EC862">
        <v>0</v>
      </c>
      <c r="ED862">
        <v>0</v>
      </c>
      <c r="EE862">
        <v>0</v>
      </c>
      <c r="EF862">
        <v>1</v>
      </c>
      <c r="EG862">
        <v>1</v>
      </c>
      <c r="EH862">
        <v>0</v>
      </c>
      <c r="EI862" s="2">
        <v>0</v>
      </c>
      <c r="EK862" t="str">
        <f t="shared" si="1090"/>
        <v/>
      </c>
      <c r="EL862" t="str">
        <f t="shared" si="1091"/>
        <v/>
      </c>
      <c r="EM862" s="2" t="str">
        <f t="shared" si="995"/>
        <v/>
      </c>
      <c r="EP862" t="str">
        <f>IF(ISNUMBER(BU862),IF(ABS(BU862-[5]QC_indicators!$B$2)&gt;3*[5]QC_indicators!$C$2,"C ratio",IF(ISNUMBER(BY862),IF(ABS(BY862-[5]QC_indicators!$B$1)&gt;3*[5]QC_indicators!$C$1,"DF","no"))),IF(ISNUMBER(BY862),IF(ABS(BY862-[5]QC_indicators!$B$1)&gt;3*[5]QC_indicators!$C$1,"DF","no")))</f>
        <v>no</v>
      </c>
      <c r="ET862" s="264" t="s">
        <v>3272</v>
      </c>
    </row>
    <row r="863" spans="1:150" ht="15" hidden="1" customHeight="1">
      <c r="A863" s="1" t="s">
        <v>878</v>
      </c>
      <c r="B863" t="s">
        <v>1790</v>
      </c>
      <c r="C863" t="s">
        <v>1791</v>
      </c>
      <c r="D863" t="s">
        <v>1792</v>
      </c>
      <c r="E863" t="s">
        <v>1793</v>
      </c>
      <c r="F863" t="s">
        <v>1794</v>
      </c>
      <c r="G863" t="s">
        <v>1183</v>
      </c>
      <c r="H863" t="s">
        <v>254</v>
      </c>
      <c r="I863">
        <v>2011</v>
      </c>
      <c r="J863">
        <v>6</v>
      </c>
      <c r="K863" t="s">
        <v>1795</v>
      </c>
      <c r="M863" t="str">
        <f t="shared" si="1044"/>
        <v>Kayo_2011</v>
      </c>
      <c r="N863" t="s">
        <v>222</v>
      </c>
      <c r="O863" s="145" t="s">
        <v>513</v>
      </c>
      <c r="Q863" t="s">
        <v>256</v>
      </c>
      <c r="R863" s="255" t="s">
        <v>225</v>
      </c>
      <c r="S863" s="263" t="s">
        <v>3344</v>
      </c>
      <c r="T863" t="s">
        <v>1796</v>
      </c>
      <c r="U863" s="264" t="s">
        <v>1801</v>
      </c>
      <c r="V863">
        <v>0</v>
      </c>
      <c r="W863">
        <v>0</v>
      </c>
      <c r="X863">
        <v>1</v>
      </c>
      <c r="Y863">
        <v>0</v>
      </c>
      <c r="Z863">
        <v>0</v>
      </c>
      <c r="AA863">
        <v>0</v>
      </c>
      <c r="AB863">
        <v>0</v>
      </c>
      <c r="AC863">
        <v>0</v>
      </c>
      <c r="AD863">
        <v>0</v>
      </c>
      <c r="AE863">
        <v>0</v>
      </c>
      <c r="AF863">
        <v>0</v>
      </c>
      <c r="AG863">
        <v>0</v>
      </c>
      <c r="AH863">
        <v>0</v>
      </c>
      <c r="AI863">
        <v>0</v>
      </c>
      <c r="AJ863">
        <v>0</v>
      </c>
      <c r="AK863">
        <v>0</v>
      </c>
      <c r="AL863">
        <v>0</v>
      </c>
      <c r="AM863">
        <v>0</v>
      </c>
      <c r="AN863">
        <v>0</v>
      </c>
      <c r="AO863">
        <v>0</v>
      </c>
      <c r="AP863">
        <v>0</v>
      </c>
      <c r="AQ863">
        <v>0</v>
      </c>
      <c r="AR863">
        <v>0</v>
      </c>
      <c r="AS863">
        <v>0</v>
      </c>
      <c r="AT863">
        <v>0</v>
      </c>
      <c r="AU863">
        <v>0</v>
      </c>
      <c r="AV863">
        <v>0</v>
      </c>
      <c r="AW863">
        <v>0</v>
      </c>
      <c r="AX863" s="141">
        <f t="shared" si="1066"/>
        <v>1</v>
      </c>
      <c r="AY863" s="141">
        <f t="shared" si="1067"/>
        <v>1</v>
      </c>
      <c r="AZ863">
        <f t="shared" si="1068"/>
        <v>1</v>
      </c>
      <c r="BA863">
        <f t="shared" si="1069"/>
        <v>0</v>
      </c>
      <c r="BB863">
        <f t="shared" si="1070"/>
        <v>0</v>
      </c>
      <c r="BC863">
        <f t="shared" si="1071"/>
        <v>0</v>
      </c>
      <c r="BD863">
        <f t="shared" si="1072"/>
        <v>0</v>
      </c>
      <c r="BE863" t="str">
        <f t="array" ref="BE863">IF(AY863=1,INDEX($V$7:$AL$7,MATCH(TRUE,INDEX($V863:$AW863&lt;&gt;0,),0)),IF(AY863=0,INDEX($AM$7:$AW$7,MATCH(1,$AM863:$AW863,0)),IF(BF863="Multiple strategies","mixed drivers",IF(BF863="Supply chain","multiple supply","multiple silviculture"))))</f>
        <v>rotation length</v>
      </c>
      <c r="BF863" s="2" t="str" cm="1">
        <f t="array" ref="BF863">IF(COUNTIF(AZ863:BB863,"&lt;&gt;0")=1,INDEX($V$4:$AW$4,MATCH(TRUE,INDEX($V863:$AW863&lt;&gt;0,),0)),IF(COUNTIF(AZ863:BB863,"&lt;&gt;0")=0,INDEX($AM$4:$AW$4,MATCH(1,$AM863:$AW863,0)),"Multiple strategies"))</f>
        <v>Silviculture for removals</v>
      </c>
      <c r="BG863" s="1" t="s">
        <v>229</v>
      </c>
      <c r="BH863" t="s">
        <v>1798</v>
      </c>
      <c r="BI863" s="260" t="s">
        <v>3345</v>
      </c>
      <c r="BJ863" s="260" t="s">
        <v>3346</v>
      </c>
      <c r="BK863">
        <v>18</v>
      </c>
      <c r="BL863">
        <v>86</v>
      </c>
      <c r="BM863">
        <f>BL863/BK863</f>
        <v>4.7777777777777777</v>
      </c>
      <c r="BN863">
        <f t="shared" si="1073"/>
        <v>68</v>
      </c>
      <c r="BO863">
        <f t="shared" si="1092"/>
        <v>138775510.20408162</v>
      </c>
      <c r="BP863" t="s">
        <v>232</v>
      </c>
      <c r="BQ863" s="260" t="s">
        <v>3347</v>
      </c>
      <c r="BR863" t="s">
        <v>1299</v>
      </c>
      <c r="BU863" s="287"/>
      <c r="BV863">
        <v>-20.5</v>
      </c>
      <c r="BX863">
        <f t="shared" si="1093"/>
        <v>-20500000</v>
      </c>
      <c r="BY863">
        <f t="shared" si="994"/>
        <v>-0.14772058823529413</v>
      </c>
      <c r="BZ863">
        <v>0</v>
      </c>
      <c r="CA863">
        <v>0</v>
      </c>
      <c r="CB863">
        <v>0</v>
      </c>
      <c r="CC863">
        <v>0</v>
      </c>
      <c r="CD863">
        <v>0</v>
      </c>
      <c r="CE863">
        <v>0</v>
      </c>
      <c r="CF863">
        <v>0</v>
      </c>
      <c r="CG863">
        <v>0</v>
      </c>
      <c r="CH863">
        <v>0</v>
      </c>
      <c r="CI863">
        <v>0</v>
      </c>
      <c r="CJ863">
        <v>0</v>
      </c>
      <c r="CK863">
        <v>0</v>
      </c>
      <c r="CL863">
        <v>0</v>
      </c>
      <c r="CM863">
        <v>0</v>
      </c>
      <c r="CN863" t="str">
        <f t="shared" si="1094"/>
        <v>refOK</v>
      </c>
      <c r="CO863">
        <f t="shared" si="1095"/>
        <v>18</v>
      </c>
      <c r="CP863">
        <f t="shared" si="1096"/>
        <v>86</v>
      </c>
      <c r="CQ863">
        <f t="shared" si="1074"/>
        <v>138775510.20408162</v>
      </c>
      <c r="CR863">
        <f t="shared" si="1075"/>
        <v>0</v>
      </c>
      <c r="CS863">
        <f t="shared" si="1076"/>
        <v>0</v>
      </c>
      <c r="CT863">
        <f t="shared" si="1077"/>
        <v>-20500000</v>
      </c>
      <c r="CU863">
        <f t="shared" si="1078"/>
        <v>-0.14772058823529413</v>
      </c>
      <c r="CV863" s="2" t="str">
        <f t="shared" si="1079"/>
        <v/>
      </c>
      <c r="CW863" s="1" t="s">
        <v>1202</v>
      </c>
      <c r="CX863" t="str">
        <f t="shared" si="1080"/>
        <v>reg</v>
      </c>
      <c r="CY863" t="s">
        <v>960</v>
      </c>
      <c r="CZ863">
        <v>2005</v>
      </c>
      <c r="DA863">
        <v>2050</v>
      </c>
      <c r="DB863">
        <v>45</v>
      </c>
      <c r="DC863" t="str">
        <f t="shared" si="1081"/>
        <v>31-70</v>
      </c>
      <c r="DD863">
        <v>0</v>
      </c>
      <c r="DE863">
        <v>1</v>
      </c>
      <c r="DF863">
        <v>0</v>
      </c>
      <c r="DG863">
        <v>0</v>
      </c>
      <c r="DI863">
        <f t="shared" si="1082"/>
        <v>1</v>
      </c>
      <c r="DJ863" t="str">
        <f t="shared" si="1083"/>
        <v>EnergyInput</v>
      </c>
      <c r="DK863">
        <f t="shared" si="1084"/>
        <v>0</v>
      </c>
      <c r="DL863" t="str">
        <f t="shared" si="1085"/>
        <v>Energy</v>
      </c>
      <c r="DM863">
        <f t="shared" si="1086"/>
        <v>0</v>
      </c>
      <c r="DN863">
        <f t="shared" si="1087"/>
        <v>0</v>
      </c>
      <c r="DO863">
        <v>0</v>
      </c>
      <c r="DP863">
        <v>0</v>
      </c>
      <c r="DQ863">
        <v>0</v>
      </c>
      <c r="DR863">
        <v>0</v>
      </c>
      <c r="DS863">
        <v>0</v>
      </c>
      <c r="DT863">
        <f t="shared" si="1088"/>
        <v>0</v>
      </c>
      <c r="DU863" s="143" t="str">
        <f t="shared" si="1089"/>
        <v>explicit C balance</v>
      </c>
      <c r="DV863">
        <v>0</v>
      </c>
      <c r="DW863">
        <v>1</v>
      </c>
      <c r="DX863">
        <v>1</v>
      </c>
      <c r="DY863">
        <v>0</v>
      </c>
      <c r="DZ863">
        <v>0</v>
      </c>
      <c r="EA863" s="143">
        <v>1</v>
      </c>
      <c r="EB863">
        <v>1</v>
      </c>
      <c r="EC863">
        <v>0</v>
      </c>
      <c r="ED863">
        <v>0</v>
      </c>
      <c r="EE863">
        <v>0</v>
      </c>
      <c r="EF863">
        <v>1</v>
      </c>
      <c r="EG863">
        <v>1</v>
      </c>
      <c r="EH863">
        <v>0</v>
      </c>
      <c r="EI863" s="2">
        <v>0</v>
      </c>
      <c r="EK863" t="str">
        <f t="shared" si="1090"/>
        <v/>
      </c>
      <c r="EL863" t="str">
        <f t="shared" si="1091"/>
        <v/>
      </c>
      <c r="EM863" s="2" t="str">
        <f t="shared" si="995"/>
        <v/>
      </c>
      <c r="EP863" t="str">
        <f>IF(ISNUMBER(BU863),IF(ABS(BU863-[5]QC_indicators!$B$2)&gt;3*[5]QC_indicators!$C$2,"C ratio",IF(ISNUMBER(BY863),IF(ABS(BY863-[5]QC_indicators!$B$1)&gt;3*[5]QC_indicators!$C$1,"DF","no"))),IF(ISNUMBER(BY863),IF(ABS(BY863-[5]QC_indicators!$B$1)&gt;3*[5]QC_indicators!$C$1,"DF","no")))</f>
        <v>no</v>
      </c>
      <c r="ET863" s="264" t="s">
        <v>3272</v>
      </c>
    </row>
    <row r="864" spans="1:150" ht="15" hidden="1" customHeight="1">
      <c r="A864" s="1" t="s">
        <v>878</v>
      </c>
      <c r="B864" t="s">
        <v>1790</v>
      </c>
      <c r="C864" t="s">
        <v>1791</v>
      </c>
      <c r="D864" t="s">
        <v>1792</v>
      </c>
      <c r="E864" t="s">
        <v>1793</v>
      </c>
      <c r="F864" t="s">
        <v>1794</v>
      </c>
      <c r="G864" t="s">
        <v>1183</v>
      </c>
      <c r="H864" t="s">
        <v>254</v>
      </c>
      <c r="I864">
        <v>2011</v>
      </c>
      <c r="J864">
        <v>6</v>
      </c>
      <c r="K864" t="s">
        <v>1795</v>
      </c>
      <c r="M864" t="str">
        <f t="shared" si="1044"/>
        <v>Kayo_2011</v>
      </c>
      <c r="N864" t="s">
        <v>222</v>
      </c>
      <c r="O864" s="145" t="s">
        <v>513</v>
      </c>
      <c r="Q864" t="s">
        <v>256</v>
      </c>
      <c r="R864" s="255" t="s">
        <v>225</v>
      </c>
      <c r="S864" s="263" t="s">
        <v>3362</v>
      </c>
      <c r="T864" t="s">
        <v>1804</v>
      </c>
      <c r="U864" s="264" t="s">
        <v>1805</v>
      </c>
      <c r="V864">
        <v>0</v>
      </c>
      <c r="W864">
        <v>0</v>
      </c>
      <c r="X864">
        <v>0</v>
      </c>
      <c r="Y864">
        <v>0</v>
      </c>
      <c r="Z864">
        <v>0</v>
      </c>
      <c r="AA864">
        <v>0</v>
      </c>
      <c r="AB864">
        <v>0</v>
      </c>
      <c r="AC864">
        <v>0</v>
      </c>
      <c r="AD864">
        <v>0</v>
      </c>
      <c r="AE864">
        <v>0</v>
      </c>
      <c r="AF864">
        <v>0</v>
      </c>
      <c r="AG864">
        <v>0</v>
      </c>
      <c r="AH864">
        <v>0</v>
      </c>
      <c r="AI864">
        <v>0</v>
      </c>
      <c r="AJ864">
        <v>0</v>
      </c>
      <c r="AK864">
        <v>1</v>
      </c>
      <c r="AL864">
        <v>0</v>
      </c>
      <c r="AM864">
        <v>0</v>
      </c>
      <c r="AN864">
        <v>0</v>
      </c>
      <c r="AO864">
        <v>0</v>
      </c>
      <c r="AP864">
        <v>0</v>
      </c>
      <c r="AQ864">
        <v>0</v>
      </c>
      <c r="AR864">
        <v>0</v>
      </c>
      <c r="AS864">
        <v>0</v>
      </c>
      <c r="AT864">
        <v>0</v>
      </c>
      <c r="AU864">
        <v>0</v>
      </c>
      <c r="AV864">
        <v>0</v>
      </c>
      <c r="AW864">
        <v>0</v>
      </c>
      <c r="AX864" s="141">
        <f t="shared" si="1066"/>
        <v>1</v>
      </c>
      <c r="AY864" s="141">
        <f t="shared" si="1067"/>
        <v>1</v>
      </c>
      <c r="AZ864">
        <f t="shared" si="1068"/>
        <v>0</v>
      </c>
      <c r="BA864">
        <f t="shared" si="1069"/>
        <v>0</v>
      </c>
      <c r="BB864">
        <f t="shared" si="1070"/>
        <v>1</v>
      </c>
      <c r="BC864">
        <f t="shared" si="1071"/>
        <v>0</v>
      </c>
      <c r="BD864">
        <f t="shared" si="1072"/>
        <v>0</v>
      </c>
      <c r="BE864" t="str">
        <f t="array" ref="BE864">IF(AY864=1,INDEX($V$7:$AL$7,MATCH(TRUE,INDEX($V864:$AW864&lt;&gt;0,),0)),IF(AY864=0,INDEX($AM$7:$AW$7,MATCH(1,$AM864:$AW864,0)),IF(BF864="Multiple strategies","mixed drivers",IF(BF864="Supply chain","multiple supply","multiple silviculture"))))</f>
        <v>technologies/design switch</v>
      </c>
      <c r="BF864" s="2" t="str" cm="1">
        <f t="array" ref="BF864">IF(COUNTIF(AZ864:BB864,"&lt;&gt;0")=1,INDEX($V$4:$AW$4,MATCH(TRUE,INDEX($V864:$AW864&lt;&gt;0,),0)),IF(COUNTIF(AZ864:BB864,"&lt;&gt;0")=0,INDEX($AM$4:$AW$4,MATCH(1,$AM864:$AW864,0)),"Multiple strategies"))</f>
        <v>Technology</v>
      </c>
      <c r="BG864" s="1" t="s">
        <v>229</v>
      </c>
      <c r="BH864" t="s">
        <v>1798</v>
      </c>
      <c r="BI864" s="260" t="s">
        <v>3345</v>
      </c>
      <c r="BJ864" s="260" t="s">
        <v>3346</v>
      </c>
      <c r="BK864">
        <v>0</v>
      </c>
      <c r="BL864">
        <v>86</v>
      </c>
      <c r="BN864">
        <f t="shared" si="1073"/>
        <v>86</v>
      </c>
      <c r="BO864">
        <f t="shared" si="1092"/>
        <v>175510204.08163264</v>
      </c>
      <c r="BP864" t="s">
        <v>232</v>
      </c>
      <c r="BQ864" s="260" t="s">
        <v>3340</v>
      </c>
      <c r="BR864" t="s">
        <v>1299</v>
      </c>
      <c r="BU864" s="144" t="str">
        <f>IFERROR(BT864/BS864,"")</f>
        <v/>
      </c>
      <c r="BV864">
        <v>-12</v>
      </c>
      <c r="BX864">
        <f t="shared" si="1093"/>
        <v>-12000000</v>
      </c>
      <c r="BY864">
        <f t="shared" si="994"/>
        <v>-6.8372093023255823E-2</v>
      </c>
      <c r="BZ864">
        <v>0</v>
      </c>
      <c r="CA864">
        <v>0</v>
      </c>
      <c r="CB864">
        <v>0</v>
      </c>
      <c r="CC864">
        <v>0</v>
      </c>
      <c r="CD864">
        <v>0</v>
      </c>
      <c r="CE864">
        <v>0</v>
      </c>
      <c r="CF864">
        <v>0</v>
      </c>
      <c r="CG864">
        <v>0</v>
      </c>
      <c r="CH864">
        <v>0</v>
      </c>
      <c r="CI864">
        <v>0</v>
      </c>
      <c r="CJ864">
        <v>0</v>
      </c>
      <c r="CK864">
        <v>0</v>
      </c>
      <c r="CL864">
        <v>0</v>
      </c>
      <c r="CM864">
        <v>0</v>
      </c>
      <c r="CN864" t="str">
        <f t="shared" si="1094"/>
        <v>refOK</v>
      </c>
      <c r="CO864">
        <f t="shared" si="1095"/>
        <v>0</v>
      </c>
      <c r="CP864">
        <f t="shared" si="1096"/>
        <v>86</v>
      </c>
      <c r="CQ864">
        <f t="shared" si="1074"/>
        <v>175510204.08163264</v>
      </c>
      <c r="CR864">
        <f t="shared" si="1075"/>
        <v>0</v>
      </c>
      <c r="CS864">
        <f t="shared" si="1076"/>
        <v>0</v>
      </c>
      <c r="CT864">
        <f t="shared" si="1077"/>
        <v>-12000000</v>
      </c>
      <c r="CU864">
        <f t="shared" si="1078"/>
        <v>-6.8372093023255823E-2</v>
      </c>
      <c r="CV864" s="2" t="str">
        <f t="shared" si="1079"/>
        <v/>
      </c>
      <c r="CW864" s="1" t="s">
        <v>1202</v>
      </c>
      <c r="CX864" t="str">
        <f t="shared" si="1080"/>
        <v>reg</v>
      </c>
      <c r="CY864" t="s">
        <v>960</v>
      </c>
      <c r="CZ864">
        <v>2005</v>
      </c>
      <c r="DA864">
        <v>2050</v>
      </c>
      <c r="DB864">
        <v>45</v>
      </c>
      <c r="DC864" t="str">
        <f t="shared" si="1081"/>
        <v>31-70</v>
      </c>
      <c r="DD864">
        <v>0</v>
      </c>
      <c r="DE864">
        <v>1</v>
      </c>
      <c r="DF864">
        <v>0</v>
      </c>
      <c r="DG864">
        <v>0</v>
      </c>
      <c r="DI864">
        <f t="shared" si="1082"/>
        <v>1</v>
      </c>
      <c r="DJ864" t="str">
        <f t="shared" si="1083"/>
        <v>EnergyInput</v>
      </c>
      <c r="DK864">
        <f t="shared" si="1084"/>
        <v>0</v>
      </c>
      <c r="DL864" t="str">
        <f t="shared" si="1085"/>
        <v>Energy</v>
      </c>
      <c r="DM864">
        <f t="shared" si="1086"/>
        <v>0</v>
      </c>
      <c r="DN864">
        <f t="shared" si="1087"/>
        <v>0</v>
      </c>
      <c r="DO864">
        <v>0</v>
      </c>
      <c r="DP864">
        <v>0</v>
      </c>
      <c r="DQ864">
        <v>0</v>
      </c>
      <c r="DR864">
        <v>0</v>
      </c>
      <c r="DS864">
        <v>0</v>
      </c>
      <c r="DT864">
        <f t="shared" si="1088"/>
        <v>0</v>
      </c>
      <c r="DU864" s="143" t="str">
        <f t="shared" si="1089"/>
        <v>explicit C balance</v>
      </c>
      <c r="DV864">
        <v>0</v>
      </c>
      <c r="DW864">
        <v>1</v>
      </c>
      <c r="DX864">
        <v>1</v>
      </c>
      <c r="DY864">
        <v>0</v>
      </c>
      <c r="DZ864">
        <v>0</v>
      </c>
      <c r="EA864" s="143">
        <v>1</v>
      </c>
      <c r="EB864">
        <v>1</v>
      </c>
      <c r="EC864">
        <v>0</v>
      </c>
      <c r="ED864">
        <v>0</v>
      </c>
      <c r="EE864">
        <v>0</v>
      </c>
      <c r="EF864">
        <v>1</v>
      </c>
      <c r="EG864">
        <v>1</v>
      </c>
      <c r="EH864">
        <v>0</v>
      </c>
      <c r="EI864" s="2">
        <v>0</v>
      </c>
      <c r="EK864" t="str">
        <f t="shared" si="1090"/>
        <v/>
      </c>
      <c r="EL864" t="str">
        <f t="shared" si="1091"/>
        <v/>
      </c>
      <c r="EM864" s="2" t="str">
        <f t="shared" si="995"/>
        <v/>
      </c>
      <c r="EP864" t="str">
        <f>IF(ISNUMBER(BU864),IF(ABS(BU864-[5]QC_indicators!$B$2)&gt;3*[5]QC_indicators!$C$2,"C ratio",IF(ISNUMBER(BY864),IF(ABS(BY864-[5]QC_indicators!$B$1)&gt;3*[5]QC_indicators!$C$1,"DF","no"))),IF(ISNUMBER(BY864),IF(ABS(BY864-[5]QC_indicators!$B$1)&gt;3*[5]QC_indicators!$C$1,"DF","no")))</f>
        <v>no</v>
      </c>
      <c r="ET864" s="264" t="s">
        <v>3272</v>
      </c>
    </row>
    <row r="865" spans="1:150" ht="15" hidden="1" customHeight="1">
      <c r="A865" s="1" t="s">
        <v>878</v>
      </c>
      <c r="B865" t="s">
        <v>1790</v>
      </c>
      <c r="C865" t="s">
        <v>1791</v>
      </c>
      <c r="D865" t="s">
        <v>1792</v>
      </c>
      <c r="E865" t="s">
        <v>1793</v>
      </c>
      <c r="F865" t="s">
        <v>1794</v>
      </c>
      <c r="G865" t="s">
        <v>1183</v>
      </c>
      <c r="H865" t="s">
        <v>254</v>
      </c>
      <c r="I865">
        <v>2011</v>
      </c>
      <c r="J865">
        <v>6</v>
      </c>
      <c r="K865" t="s">
        <v>1795</v>
      </c>
      <c r="M865" t="str">
        <f t="shared" si="1044"/>
        <v>Kayo_2011</v>
      </c>
      <c r="N865" t="s">
        <v>222</v>
      </c>
      <c r="O865" s="145" t="s">
        <v>513</v>
      </c>
      <c r="Q865" t="s">
        <v>256</v>
      </c>
      <c r="R865" s="255" t="s">
        <v>225</v>
      </c>
      <c r="S865" s="263" t="s">
        <v>3362</v>
      </c>
      <c r="T865" t="s">
        <v>1804</v>
      </c>
      <c r="U865" s="264" t="s">
        <v>3363</v>
      </c>
      <c r="V865">
        <v>0</v>
      </c>
      <c r="W865">
        <v>0</v>
      </c>
      <c r="X865">
        <v>0</v>
      </c>
      <c r="Y865">
        <v>0</v>
      </c>
      <c r="Z865">
        <v>0</v>
      </c>
      <c r="AA865">
        <v>0</v>
      </c>
      <c r="AB865">
        <v>0</v>
      </c>
      <c r="AC865">
        <v>0</v>
      </c>
      <c r="AD865">
        <v>0</v>
      </c>
      <c r="AE865">
        <v>0</v>
      </c>
      <c r="AF865">
        <v>0</v>
      </c>
      <c r="AG865">
        <v>0</v>
      </c>
      <c r="AH865">
        <v>0</v>
      </c>
      <c r="AI865">
        <v>0</v>
      </c>
      <c r="AJ865">
        <v>0</v>
      </c>
      <c r="AK865">
        <v>1</v>
      </c>
      <c r="AL865">
        <v>0</v>
      </c>
      <c r="AM865">
        <v>0</v>
      </c>
      <c r="AN865">
        <v>0</v>
      </c>
      <c r="AO865">
        <v>0</v>
      </c>
      <c r="AP865">
        <v>0</v>
      </c>
      <c r="AQ865">
        <v>0</v>
      </c>
      <c r="AR865">
        <v>0</v>
      </c>
      <c r="AS865">
        <v>0</v>
      </c>
      <c r="AT865">
        <v>0</v>
      </c>
      <c r="AU865">
        <v>0</v>
      </c>
      <c r="AV865">
        <v>0</v>
      </c>
      <c r="AW865">
        <v>0</v>
      </c>
      <c r="AX865" s="141">
        <f t="shared" si="1066"/>
        <v>1</v>
      </c>
      <c r="AY865" s="141">
        <f t="shared" si="1067"/>
        <v>1</v>
      </c>
      <c r="AZ865">
        <f t="shared" si="1068"/>
        <v>0</v>
      </c>
      <c r="BA865">
        <f t="shared" si="1069"/>
        <v>0</v>
      </c>
      <c r="BB865">
        <f t="shared" si="1070"/>
        <v>1</v>
      </c>
      <c r="BC865">
        <f t="shared" si="1071"/>
        <v>0</v>
      </c>
      <c r="BD865">
        <f t="shared" si="1072"/>
        <v>0</v>
      </c>
      <c r="BE865" t="str">
        <f t="array" ref="BE865">IF(AY865=1,INDEX($V$7:$AL$7,MATCH(TRUE,INDEX($V865:$AW865&lt;&gt;0,),0)),IF(AY865=0,INDEX($AM$7:$AW$7,MATCH(1,$AM865:$AW865,0)),IF(BF865="Multiple strategies","mixed drivers",IF(BF865="Supply chain","multiple supply","multiple silviculture"))))</f>
        <v>technologies/design switch</v>
      </c>
      <c r="BF865" s="2" t="str" cm="1">
        <f t="array" ref="BF865">IF(COUNTIF(AZ865:BB865,"&lt;&gt;0")=1,INDEX($V$4:$AW$4,MATCH(TRUE,INDEX($V865:$AW865&lt;&gt;0,),0)),IF(COUNTIF(AZ865:BB865,"&lt;&gt;0")=0,INDEX($AM$4:$AW$4,MATCH(1,$AM865:$AW865,0)),"Multiple strategies"))</f>
        <v>Technology</v>
      </c>
      <c r="BG865" s="1" t="s">
        <v>229</v>
      </c>
      <c r="BH865" t="s">
        <v>1798</v>
      </c>
      <c r="BI865" s="260" t="s">
        <v>3345</v>
      </c>
      <c r="BJ865" s="260" t="s">
        <v>3346</v>
      </c>
      <c r="BK865">
        <v>0</v>
      </c>
      <c r="BL865">
        <v>32</v>
      </c>
      <c r="BN865">
        <f t="shared" si="1073"/>
        <v>32</v>
      </c>
      <c r="BO865">
        <f t="shared" si="1092"/>
        <v>65306122.448979594</v>
      </c>
      <c r="BP865" t="s">
        <v>232</v>
      </c>
      <c r="BQ865" s="260" t="s">
        <v>3340</v>
      </c>
      <c r="BR865" t="s">
        <v>1299</v>
      </c>
      <c r="BU865" s="144" t="str">
        <f>IFERROR(BT865/BS865,"")</f>
        <v/>
      </c>
      <c r="BV865">
        <v>21</v>
      </c>
      <c r="BX865">
        <f t="shared" si="1093"/>
        <v>21000000</v>
      </c>
      <c r="BY865">
        <f t="shared" si="994"/>
        <v>0.32156249999999997</v>
      </c>
      <c r="BZ865">
        <v>0</v>
      </c>
      <c r="CA865">
        <v>0</v>
      </c>
      <c r="CB865">
        <v>0</v>
      </c>
      <c r="CC865">
        <v>0</v>
      </c>
      <c r="CD865">
        <v>0</v>
      </c>
      <c r="CE865">
        <v>0</v>
      </c>
      <c r="CF865">
        <v>0</v>
      </c>
      <c r="CG865">
        <v>0</v>
      </c>
      <c r="CH865">
        <v>0</v>
      </c>
      <c r="CI865">
        <v>0</v>
      </c>
      <c r="CJ865">
        <v>0</v>
      </c>
      <c r="CK865">
        <v>0</v>
      </c>
      <c r="CL865">
        <v>0</v>
      </c>
      <c r="CM865">
        <v>0</v>
      </c>
      <c r="CN865" t="str">
        <f t="shared" si="1094"/>
        <v>refOK</v>
      </c>
      <c r="CO865">
        <f t="shared" si="1095"/>
        <v>0</v>
      </c>
      <c r="CP865">
        <f t="shared" si="1096"/>
        <v>32</v>
      </c>
      <c r="CQ865">
        <f t="shared" si="1074"/>
        <v>65306122.448979594</v>
      </c>
      <c r="CR865">
        <f t="shared" si="1075"/>
        <v>0</v>
      </c>
      <c r="CS865">
        <f t="shared" si="1076"/>
        <v>0</v>
      </c>
      <c r="CT865">
        <f t="shared" si="1077"/>
        <v>21000000</v>
      </c>
      <c r="CU865">
        <f t="shared" si="1078"/>
        <v>0.32156249999999997</v>
      </c>
      <c r="CV865" s="2" t="str">
        <f t="shared" si="1079"/>
        <v/>
      </c>
      <c r="CW865" s="1" t="s">
        <v>1202</v>
      </c>
      <c r="CX865" t="str">
        <f t="shared" si="1080"/>
        <v>reg</v>
      </c>
      <c r="CY865" t="s">
        <v>960</v>
      </c>
      <c r="CZ865">
        <v>2005</v>
      </c>
      <c r="DA865">
        <v>2050</v>
      </c>
      <c r="DB865">
        <v>45</v>
      </c>
      <c r="DC865" t="str">
        <f t="shared" si="1081"/>
        <v>31-70</v>
      </c>
      <c r="DD865">
        <v>0</v>
      </c>
      <c r="DE865">
        <v>1</v>
      </c>
      <c r="DF865">
        <v>0</v>
      </c>
      <c r="DG865">
        <v>0</v>
      </c>
      <c r="DI865">
        <f t="shared" si="1082"/>
        <v>1</v>
      </c>
      <c r="DJ865" t="str">
        <f t="shared" si="1083"/>
        <v>EnergyInput</v>
      </c>
      <c r="DK865">
        <f t="shared" si="1084"/>
        <v>0</v>
      </c>
      <c r="DL865" t="str">
        <f t="shared" si="1085"/>
        <v>Energy</v>
      </c>
      <c r="DM865">
        <f t="shared" si="1086"/>
        <v>0</v>
      </c>
      <c r="DN865">
        <f t="shared" si="1087"/>
        <v>0</v>
      </c>
      <c r="DO865">
        <v>0</v>
      </c>
      <c r="DP865">
        <v>0</v>
      </c>
      <c r="DQ865">
        <v>0</v>
      </c>
      <c r="DR865">
        <v>0</v>
      </c>
      <c r="DS865">
        <v>0</v>
      </c>
      <c r="DT865">
        <f t="shared" si="1088"/>
        <v>0</v>
      </c>
      <c r="DU865" s="143" t="str">
        <f t="shared" si="1089"/>
        <v>explicit C balance</v>
      </c>
      <c r="DV865">
        <v>0</v>
      </c>
      <c r="DW865">
        <v>1</v>
      </c>
      <c r="DX865">
        <v>1</v>
      </c>
      <c r="DY865">
        <v>0</v>
      </c>
      <c r="DZ865">
        <v>0</v>
      </c>
      <c r="EA865" s="143">
        <v>1</v>
      </c>
      <c r="EB865">
        <v>1</v>
      </c>
      <c r="EC865">
        <v>0</v>
      </c>
      <c r="ED865">
        <v>0</v>
      </c>
      <c r="EE865">
        <v>0</v>
      </c>
      <c r="EF865">
        <v>1</v>
      </c>
      <c r="EG865">
        <v>1</v>
      </c>
      <c r="EH865">
        <v>0</v>
      </c>
      <c r="EI865" s="2">
        <v>0</v>
      </c>
      <c r="EK865" t="str">
        <f t="shared" si="1090"/>
        <v/>
      </c>
      <c r="EL865" t="str">
        <f t="shared" si="1091"/>
        <v/>
      </c>
      <c r="EM865" s="2" t="str">
        <f t="shared" si="995"/>
        <v/>
      </c>
      <c r="EP865" t="str">
        <f>IF(ISNUMBER(BU865),IF(ABS(BU865-[5]QC_indicators!$B$2)&gt;3*[5]QC_indicators!$C$2,"C ratio",IF(ISNUMBER(BY865),IF(ABS(BY865-[5]QC_indicators!$B$1)&gt;3*[5]QC_indicators!$C$1,"DF","no"))),IF(ISNUMBER(BY865),IF(ABS(BY865-[5]QC_indicators!$B$1)&gt;3*[5]QC_indicators!$C$1,"DF","no")))</f>
        <v>no</v>
      </c>
      <c r="ET865" s="264" t="s">
        <v>3272</v>
      </c>
    </row>
    <row r="866" spans="1:150" ht="15" hidden="1" customHeight="1">
      <c r="A866" s="1" t="s">
        <v>878</v>
      </c>
      <c r="B866" t="s">
        <v>1790</v>
      </c>
      <c r="C866" t="s">
        <v>1791</v>
      </c>
      <c r="D866" t="s">
        <v>1792</v>
      </c>
      <c r="E866" t="s">
        <v>1793</v>
      </c>
      <c r="F866" t="s">
        <v>1794</v>
      </c>
      <c r="G866" t="s">
        <v>1183</v>
      </c>
      <c r="H866" t="s">
        <v>254</v>
      </c>
      <c r="I866">
        <v>2011</v>
      </c>
      <c r="J866">
        <v>6</v>
      </c>
      <c r="K866" t="s">
        <v>1795</v>
      </c>
      <c r="M866" t="str">
        <f t="shared" si="1044"/>
        <v>Kayo_2011</v>
      </c>
      <c r="N866" t="s">
        <v>222</v>
      </c>
      <c r="O866" s="145" t="s">
        <v>513</v>
      </c>
      <c r="Q866" t="s">
        <v>256</v>
      </c>
      <c r="R866" s="255" t="s">
        <v>225</v>
      </c>
      <c r="S866" s="263" t="s">
        <v>3362</v>
      </c>
      <c r="T866" t="s">
        <v>1804</v>
      </c>
      <c r="U866" t="s">
        <v>1806</v>
      </c>
      <c r="V866">
        <v>0</v>
      </c>
      <c r="W866">
        <v>0</v>
      </c>
      <c r="X866">
        <v>0</v>
      </c>
      <c r="Y866">
        <v>0</v>
      </c>
      <c r="Z866">
        <v>0</v>
      </c>
      <c r="AA866">
        <v>0</v>
      </c>
      <c r="AB866">
        <v>0</v>
      </c>
      <c r="AC866">
        <v>0</v>
      </c>
      <c r="AD866">
        <v>0</v>
      </c>
      <c r="AE866">
        <v>0</v>
      </c>
      <c r="AF866">
        <v>0</v>
      </c>
      <c r="AG866">
        <v>0</v>
      </c>
      <c r="AH866">
        <v>0</v>
      </c>
      <c r="AI866">
        <v>0</v>
      </c>
      <c r="AJ866">
        <v>0</v>
      </c>
      <c r="AK866">
        <v>1</v>
      </c>
      <c r="AL866">
        <v>0</v>
      </c>
      <c r="AM866">
        <v>0</v>
      </c>
      <c r="AN866">
        <v>0</v>
      </c>
      <c r="AO866">
        <v>0</v>
      </c>
      <c r="AP866">
        <v>0</v>
      </c>
      <c r="AQ866">
        <v>0</v>
      </c>
      <c r="AR866">
        <v>0</v>
      </c>
      <c r="AS866">
        <v>0</v>
      </c>
      <c r="AT866">
        <v>0</v>
      </c>
      <c r="AU866">
        <v>0</v>
      </c>
      <c r="AV866">
        <v>0</v>
      </c>
      <c r="AW866">
        <v>0</v>
      </c>
      <c r="AX866" s="141">
        <f t="shared" si="1066"/>
        <v>1</v>
      </c>
      <c r="AY866" s="141">
        <f t="shared" si="1067"/>
        <v>1</v>
      </c>
      <c r="AZ866">
        <f t="shared" si="1068"/>
        <v>0</v>
      </c>
      <c r="BA866">
        <f t="shared" si="1069"/>
        <v>0</v>
      </c>
      <c r="BB866">
        <f t="shared" si="1070"/>
        <v>1</v>
      </c>
      <c r="BC866">
        <f t="shared" si="1071"/>
        <v>0</v>
      </c>
      <c r="BD866">
        <f t="shared" si="1072"/>
        <v>0</v>
      </c>
      <c r="BE866" t="str">
        <f t="array" ref="BE866">IF(AY866=1,INDEX($V$7:$AL$7,MATCH(TRUE,INDEX($V866:$AW866&lt;&gt;0,),0)),IF(AY866=0,INDEX($AM$7:$AW$7,MATCH(1,$AM866:$AW866,0)),IF(BF866="Multiple strategies","mixed drivers",IF(BF866="Supply chain","multiple supply","multiple silviculture"))))</f>
        <v>technologies/design switch</v>
      </c>
      <c r="BF866" s="2" t="str" cm="1">
        <f t="array" ref="BF866">IF(COUNTIF(AZ866:BB866,"&lt;&gt;0")=1,INDEX($V$4:$AW$4,MATCH(TRUE,INDEX($V866:$AW866&lt;&gt;0,),0)),IF(COUNTIF(AZ866:BB866,"&lt;&gt;0")=0,INDEX($AM$4:$AW$4,MATCH(1,$AM866:$AW866,0)),"Multiple strategies"))</f>
        <v>Technology</v>
      </c>
      <c r="BG866" s="1" t="s">
        <v>229</v>
      </c>
      <c r="BH866" t="s">
        <v>1798</v>
      </c>
      <c r="BI866" s="260" t="s">
        <v>3345</v>
      </c>
      <c r="BJ866" s="260" t="s">
        <v>3346</v>
      </c>
      <c r="BK866">
        <v>0</v>
      </c>
      <c r="BL866">
        <v>86</v>
      </c>
      <c r="BN866">
        <f t="shared" si="1073"/>
        <v>86</v>
      </c>
      <c r="BO866">
        <f t="shared" si="1092"/>
        <v>175510204.08163264</v>
      </c>
      <c r="BP866" t="s">
        <v>232</v>
      </c>
      <c r="BQ866" s="260" t="s">
        <v>3340</v>
      </c>
      <c r="BR866" t="s">
        <v>1299</v>
      </c>
      <c r="BU866" s="144" t="str">
        <f>IFERROR(BT866/BS866,"")</f>
        <v/>
      </c>
      <c r="BV866">
        <v>59.5</v>
      </c>
      <c r="BX866">
        <f t="shared" si="1093"/>
        <v>59500000</v>
      </c>
      <c r="BY866">
        <f t="shared" si="994"/>
        <v>0.33901162790697675</v>
      </c>
      <c r="BZ866">
        <v>0</v>
      </c>
      <c r="CA866">
        <v>0</v>
      </c>
      <c r="CB866">
        <v>0</v>
      </c>
      <c r="CC866">
        <v>0</v>
      </c>
      <c r="CD866">
        <v>0</v>
      </c>
      <c r="CE866">
        <v>0</v>
      </c>
      <c r="CF866">
        <v>0</v>
      </c>
      <c r="CG866">
        <v>0</v>
      </c>
      <c r="CH866">
        <v>0</v>
      </c>
      <c r="CI866">
        <v>0</v>
      </c>
      <c r="CJ866">
        <v>0</v>
      </c>
      <c r="CK866">
        <v>0</v>
      </c>
      <c r="CL866">
        <v>0</v>
      </c>
      <c r="CM866">
        <v>0</v>
      </c>
      <c r="CN866" t="str">
        <f t="shared" si="1094"/>
        <v>refOK</v>
      </c>
      <c r="CO866">
        <f t="shared" si="1095"/>
        <v>0</v>
      </c>
      <c r="CP866">
        <f t="shared" si="1096"/>
        <v>86</v>
      </c>
      <c r="CQ866">
        <f t="shared" si="1074"/>
        <v>175510204.08163264</v>
      </c>
      <c r="CR866">
        <f t="shared" si="1075"/>
        <v>0</v>
      </c>
      <c r="CS866">
        <f t="shared" si="1076"/>
        <v>0</v>
      </c>
      <c r="CT866">
        <f t="shared" si="1077"/>
        <v>59500000</v>
      </c>
      <c r="CU866">
        <f t="shared" si="1078"/>
        <v>0.33901162790697675</v>
      </c>
      <c r="CV866" s="2" t="str">
        <f t="shared" si="1079"/>
        <v/>
      </c>
      <c r="CW866" s="1" t="s">
        <v>1202</v>
      </c>
      <c r="CX866" t="str">
        <f t="shared" si="1080"/>
        <v>reg</v>
      </c>
      <c r="CY866" t="s">
        <v>960</v>
      </c>
      <c r="CZ866">
        <v>2005</v>
      </c>
      <c r="DA866">
        <v>2050</v>
      </c>
      <c r="DB866">
        <v>45</v>
      </c>
      <c r="DC866" t="str">
        <f t="shared" si="1081"/>
        <v>31-70</v>
      </c>
      <c r="DD866">
        <v>0</v>
      </c>
      <c r="DE866">
        <v>1</v>
      </c>
      <c r="DF866">
        <v>0</v>
      </c>
      <c r="DG866">
        <v>0</v>
      </c>
      <c r="DI866">
        <f t="shared" si="1082"/>
        <v>1</v>
      </c>
      <c r="DJ866" t="str">
        <f t="shared" si="1083"/>
        <v>EnergyInput</v>
      </c>
      <c r="DK866">
        <f t="shared" si="1084"/>
        <v>0</v>
      </c>
      <c r="DL866" t="str">
        <f t="shared" si="1085"/>
        <v>Energy</v>
      </c>
      <c r="DM866">
        <f t="shared" si="1086"/>
        <v>0</v>
      </c>
      <c r="DN866">
        <f t="shared" si="1087"/>
        <v>0</v>
      </c>
      <c r="DO866">
        <v>0</v>
      </c>
      <c r="DP866">
        <v>0</v>
      </c>
      <c r="DQ866">
        <v>0</v>
      </c>
      <c r="DR866">
        <v>0</v>
      </c>
      <c r="DS866">
        <v>0</v>
      </c>
      <c r="DT866">
        <f t="shared" si="1088"/>
        <v>0</v>
      </c>
      <c r="DU866" s="143" t="str">
        <f t="shared" si="1089"/>
        <v>explicit C balance</v>
      </c>
      <c r="DV866">
        <v>0</v>
      </c>
      <c r="DW866">
        <v>1</v>
      </c>
      <c r="DX866">
        <v>1</v>
      </c>
      <c r="DY866">
        <v>0</v>
      </c>
      <c r="DZ866">
        <v>0</v>
      </c>
      <c r="EA866" s="143">
        <v>1</v>
      </c>
      <c r="EB866">
        <v>1</v>
      </c>
      <c r="EC866">
        <v>0</v>
      </c>
      <c r="ED866">
        <v>0</v>
      </c>
      <c r="EE866">
        <v>0</v>
      </c>
      <c r="EF866">
        <v>1</v>
      </c>
      <c r="EG866">
        <v>1</v>
      </c>
      <c r="EH866">
        <v>0</v>
      </c>
      <c r="EI866" s="2">
        <v>0</v>
      </c>
      <c r="EK866" t="str">
        <f t="shared" si="1090"/>
        <v/>
      </c>
      <c r="EL866" t="str">
        <f t="shared" si="1091"/>
        <v/>
      </c>
      <c r="EM866" s="2" t="str">
        <f t="shared" si="995"/>
        <v/>
      </c>
      <c r="EP866" t="str">
        <f>IF(ISNUMBER(BU866),IF(ABS(BU866-[5]QC_indicators!$B$2)&gt;3*[5]QC_indicators!$C$2,"C ratio",IF(ISNUMBER(BY866),IF(ABS(BY866-[5]QC_indicators!$B$1)&gt;3*[5]QC_indicators!$C$1,"DF","no"))),IF(ISNUMBER(BY866),IF(ABS(BY866-[5]QC_indicators!$B$1)&gt;3*[5]QC_indicators!$C$1,"DF","no")))</f>
        <v>no</v>
      </c>
      <c r="ET866" s="264" t="s">
        <v>3272</v>
      </c>
    </row>
    <row r="867" spans="1:150" ht="15" hidden="1" customHeight="1">
      <c r="A867" s="1" t="s">
        <v>878</v>
      </c>
      <c r="B867" t="s">
        <v>1790</v>
      </c>
      <c r="C867" t="s">
        <v>1791</v>
      </c>
      <c r="D867" t="s">
        <v>1792</v>
      </c>
      <c r="E867" t="s">
        <v>1793</v>
      </c>
      <c r="F867" t="s">
        <v>1794</v>
      </c>
      <c r="G867" t="s">
        <v>1183</v>
      </c>
      <c r="H867" t="s">
        <v>254</v>
      </c>
      <c r="I867">
        <v>2011</v>
      </c>
      <c r="J867">
        <v>6</v>
      </c>
      <c r="K867" t="s">
        <v>1795</v>
      </c>
      <c r="M867" t="str">
        <f t="shared" si="1044"/>
        <v>Kayo_2011</v>
      </c>
      <c r="N867" t="s">
        <v>222</v>
      </c>
      <c r="O867" s="145" t="s">
        <v>513</v>
      </c>
      <c r="Q867" t="s">
        <v>256</v>
      </c>
      <c r="R867" s="255" t="s">
        <v>225</v>
      </c>
      <c r="S867" s="263" t="s">
        <v>3353</v>
      </c>
      <c r="T867" t="s">
        <v>1796</v>
      </c>
      <c r="U867" s="264" t="s">
        <v>1797</v>
      </c>
      <c r="V867">
        <v>0</v>
      </c>
      <c r="W867">
        <v>0</v>
      </c>
      <c r="X867">
        <v>1</v>
      </c>
      <c r="Y867">
        <v>0</v>
      </c>
      <c r="Z867">
        <v>0</v>
      </c>
      <c r="AA867">
        <v>0</v>
      </c>
      <c r="AB867">
        <v>0</v>
      </c>
      <c r="AC867">
        <v>0</v>
      </c>
      <c r="AD867">
        <v>0</v>
      </c>
      <c r="AE867">
        <v>0</v>
      </c>
      <c r="AF867">
        <v>0</v>
      </c>
      <c r="AG867">
        <v>0</v>
      </c>
      <c r="AH867">
        <v>0</v>
      </c>
      <c r="AI867">
        <v>0</v>
      </c>
      <c r="AJ867">
        <v>0</v>
      </c>
      <c r="AK867">
        <v>0</v>
      </c>
      <c r="AL867">
        <v>0</v>
      </c>
      <c r="AM867">
        <v>0</v>
      </c>
      <c r="AN867">
        <v>0</v>
      </c>
      <c r="AO867">
        <v>0</v>
      </c>
      <c r="AP867">
        <v>0</v>
      </c>
      <c r="AQ867">
        <v>0</v>
      </c>
      <c r="AR867">
        <v>0</v>
      </c>
      <c r="AS867">
        <v>0</v>
      </c>
      <c r="AT867">
        <v>0</v>
      </c>
      <c r="AU867">
        <v>0</v>
      </c>
      <c r="AV867">
        <v>0</v>
      </c>
      <c r="AW867">
        <v>0</v>
      </c>
      <c r="AX867" s="141">
        <f t="shared" si="1066"/>
        <v>1</v>
      </c>
      <c r="AY867" s="141">
        <f t="shared" si="1067"/>
        <v>1</v>
      </c>
      <c r="AZ867">
        <f t="shared" si="1068"/>
        <v>1</v>
      </c>
      <c r="BA867">
        <f t="shared" si="1069"/>
        <v>0</v>
      </c>
      <c r="BB867">
        <f t="shared" si="1070"/>
        <v>0</v>
      </c>
      <c r="BC867">
        <f t="shared" si="1071"/>
        <v>0</v>
      </c>
      <c r="BD867">
        <f t="shared" si="1072"/>
        <v>0</v>
      </c>
      <c r="BE867" t="str">
        <f t="array" ref="BE867">IF(AY867=1,INDEX($V$7:$AL$7,MATCH(TRUE,INDEX($V867:$AW867&lt;&gt;0,),0)),IF(AY867=0,INDEX($AM$7:$AW$7,MATCH(1,$AM867:$AW867,0)),IF(BF867="Multiple strategies","mixed drivers",IF(BF867="Supply chain","multiple supply","multiple silviculture"))))</f>
        <v>rotation length</v>
      </c>
      <c r="BF867" s="2" t="str" cm="1">
        <f t="array" ref="BF867">IF(COUNTIF(AZ867:BB867,"&lt;&gt;0")=1,INDEX($V$4:$AW$4,MATCH(TRUE,INDEX($V867:$AW867&lt;&gt;0,),0)),IF(COUNTIF(AZ867:BB867,"&lt;&gt;0")=0,INDEX($AM$4:$AW$4,MATCH(1,$AM867:$AW867,0)),"Multiple strategies"))</f>
        <v>Silviculture for removals</v>
      </c>
      <c r="BG867" s="1" t="s">
        <v>229</v>
      </c>
      <c r="BH867" t="s">
        <v>1798</v>
      </c>
      <c r="BI867" s="260" t="s">
        <v>3345</v>
      </c>
      <c r="BJ867" s="260" t="s">
        <v>3346</v>
      </c>
      <c r="BK867">
        <v>20</v>
      </c>
      <c r="BL867">
        <v>24</v>
      </c>
      <c r="BM867">
        <f>BL867/BK867</f>
        <v>1.2</v>
      </c>
      <c r="BN867">
        <f t="shared" si="1073"/>
        <v>4</v>
      </c>
      <c r="BO867">
        <f t="shared" si="1092"/>
        <v>8163265.3061224492</v>
      </c>
      <c r="BP867" t="s">
        <v>232</v>
      </c>
      <c r="BQ867" s="260" t="s">
        <v>3352</v>
      </c>
      <c r="BR867" t="s">
        <v>1299</v>
      </c>
      <c r="BU867" s="144"/>
      <c r="BV867">
        <v>7</v>
      </c>
      <c r="BX867">
        <f t="shared" si="1093"/>
        <v>7000000</v>
      </c>
      <c r="BY867">
        <f t="shared" si="994"/>
        <v>0.85749999999999993</v>
      </c>
      <c r="BZ867">
        <v>0</v>
      </c>
      <c r="CA867">
        <v>0</v>
      </c>
      <c r="CB867">
        <v>0</v>
      </c>
      <c r="CC867">
        <v>0</v>
      </c>
      <c r="CD867">
        <v>0</v>
      </c>
      <c r="CE867">
        <v>0</v>
      </c>
      <c r="CF867">
        <v>0</v>
      </c>
      <c r="CG867">
        <v>0</v>
      </c>
      <c r="CH867">
        <v>0</v>
      </c>
      <c r="CI867">
        <v>0</v>
      </c>
      <c r="CJ867">
        <v>0</v>
      </c>
      <c r="CK867">
        <v>0</v>
      </c>
      <c r="CL867">
        <v>0</v>
      </c>
      <c r="CM867">
        <v>0</v>
      </c>
      <c r="CN867" t="str">
        <f t="shared" si="1094"/>
        <v>refOK</v>
      </c>
      <c r="CO867">
        <f t="shared" si="1095"/>
        <v>20</v>
      </c>
      <c r="CP867">
        <f t="shared" si="1096"/>
        <v>24</v>
      </c>
      <c r="CQ867">
        <f t="shared" si="1074"/>
        <v>8163265.3061224492</v>
      </c>
      <c r="CR867">
        <f>IF($CN867="refOK",$BS867,#REF!)*IF($BP867="Emissions positive",-1,1)</f>
        <v>0</v>
      </c>
      <c r="CS867" t="e">
        <f>IF($CN867="refOK",#REF!,$BS867)*IF($BP867="Emissions positive",-1,1)</f>
        <v>#REF!</v>
      </c>
      <c r="CT867">
        <f t="shared" si="1077"/>
        <v>7000000</v>
      </c>
      <c r="CU867">
        <f t="shared" si="1078"/>
        <v>0.85749999999999993</v>
      </c>
      <c r="CV867" s="2" t="str">
        <f t="shared" si="1079"/>
        <v/>
      </c>
      <c r="CW867" s="1" t="s">
        <v>1202</v>
      </c>
      <c r="CX867" t="str">
        <f t="shared" si="1080"/>
        <v>reg</v>
      </c>
      <c r="CY867" t="s">
        <v>960</v>
      </c>
      <c r="CZ867">
        <v>2005</v>
      </c>
      <c r="DA867">
        <v>2050</v>
      </c>
      <c r="DB867">
        <v>45</v>
      </c>
      <c r="DC867" t="str">
        <f t="shared" si="1081"/>
        <v>31-70</v>
      </c>
      <c r="DD867">
        <v>0</v>
      </c>
      <c r="DE867">
        <v>1</v>
      </c>
      <c r="DF867">
        <v>0</v>
      </c>
      <c r="DG867">
        <v>0</v>
      </c>
      <c r="DI867">
        <f t="shared" si="1082"/>
        <v>1</v>
      </c>
      <c r="DJ867" t="str">
        <f t="shared" si="1083"/>
        <v>EnergyInput</v>
      </c>
      <c r="DK867">
        <f t="shared" si="1084"/>
        <v>0</v>
      </c>
      <c r="DL867" t="str">
        <f t="shared" si="1085"/>
        <v>Energy</v>
      </c>
      <c r="DM867">
        <f t="shared" si="1086"/>
        <v>0</v>
      </c>
      <c r="DN867">
        <f t="shared" si="1087"/>
        <v>0</v>
      </c>
      <c r="DO867">
        <v>0</v>
      </c>
      <c r="DP867">
        <v>0</v>
      </c>
      <c r="DQ867">
        <v>0</v>
      </c>
      <c r="DR867">
        <v>0</v>
      </c>
      <c r="DS867">
        <v>0</v>
      </c>
      <c r="DT867">
        <f t="shared" si="1088"/>
        <v>0</v>
      </c>
      <c r="DU867" s="143" t="str">
        <f t="shared" si="1089"/>
        <v>explicit C balance</v>
      </c>
      <c r="DV867">
        <v>0</v>
      </c>
      <c r="DW867">
        <v>1</v>
      </c>
      <c r="DX867">
        <v>1</v>
      </c>
      <c r="DY867">
        <v>0</v>
      </c>
      <c r="DZ867">
        <v>0</v>
      </c>
      <c r="EA867" s="143">
        <v>1</v>
      </c>
      <c r="EB867">
        <v>1</v>
      </c>
      <c r="EC867">
        <v>0</v>
      </c>
      <c r="ED867">
        <v>0</v>
      </c>
      <c r="EE867">
        <v>0</v>
      </c>
      <c r="EF867">
        <v>1</v>
      </c>
      <c r="EG867">
        <v>1</v>
      </c>
      <c r="EH867">
        <v>0</v>
      </c>
      <c r="EI867" s="2">
        <v>0</v>
      </c>
      <c r="EK867" t="str">
        <f t="shared" si="1090"/>
        <v/>
      </c>
      <c r="EL867" t="str">
        <f t="shared" si="1091"/>
        <v/>
      </c>
      <c r="EM867" s="2" t="str">
        <f t="shared" si="995"/>
        <v/>
      </c>
      <c r="EP867" t="str">
        <f>IF(ISNUMBER(BU867),IF(ABS(BU867-[5]QC_indicators!$B$2)&gt;3*[5]QC_indicators!$C$2,"C ratio",IF(ISNUMBER(BY867),IF(ABS(BY867-[5]QC_indicators!$B$1)&gt;3*[5]QC_indicators!$C$1,"DF","no"))),IF(ISNUMBER(BY867),IF(ABS(BY867-[5]QC_indicators!$B$1)&gt;3*[5]QC_indicators!$C$1,"DF","no")))</f>
        <v>no</v>
      </c>
      <c r="ET867" s="264" t="s">
        <v>3272</v>
      </c>
    </row>
    <row r="868" spans="1:150" ht="15" hidden="1" customHeight="1">
      <c r="A868" s="1" t="s">
        <v>878</v>
      </c>
      <c r="B868" t="s">
        <v>1790</v>
      </c>
      <c r="C868" t="s">
        <v>1791</v>
      </c>
      <c r="D868" t="s">
        <v>1792</v>
      </c>
      <c r="E868" t="s">
        <v>1793</v>
      </c>
      <c r="F868" t="s">
        <v>1794</v>
      </c>
      <c r="G868" t="s">
        <v>1183</v>
      </c>
      <c r="H868" t="s">
        <v>254</v>
      </c>
      <c r="I868">
        <v>2011</v>
      </c>
      <c r="J868">
        <v>6</v>
      </c>
      <c r="K868" t="s">
        <v>1795</v>
      </c>
      <c r="M868" t="str">
        <f t="shared" si="1044"/>
        <v>Kayo_2011</v>
      </c>
      <c r="N868" t="s">
        <v>222</v>
      </c>
      <c r="O868" s="145" t="s">
        <v>513</v>
      </c>
      <c r="Q868" t="s">
        <v>256</v>
      </c>
      <c r="R868" s="255" t="s">
        <v>225</v>
      </c>
      <c r="S868" s="263" t="s">
        <v>3350</v>
      </c>
      <c r="T868" t="s">
        <v>1799</v>
      </c>
      <c r="U868" t="s">
        <v>1800</v>
      </c>
      <c r="V868">
        <v>0</v>
      </c>
      <c r="W868">
        <v>0</v>
      </c>
      <c r="X868">
        <v>1</v>
      </c>
      <c r="Y868">
        <v>0</v>
      </c>
      <c r="Z868">
        <v>0</v>
      </c>
      <c r="AA868">
        <v>0</v>
      </c>
      <c r="AB868">
        <v>0</v>
      </c>
      <c r="AC868">
        <v>0</v>
      </c>
      <c r="AD868">
        <v>0</v>
      </c>
      <c r="AE868">
        <v>0</v>
      </c>
      <c r="AF868">
        <v>0</v>
      </c>
      <c r="AG868">
        <v>0</v>
      </c>
      <c r="AH868">
        <v>0</v>
      </c>
      <c r="AI868">
        <v>0</v>
      </c>
      <c r="AJ868">
        <v>0</v>
      </c>
      <c r="AK868">
        <v>0</v>
      </c>
      <c r="AL868">
        <v>0</v>
      </c>
      <c r="AM868">
        <v>0</v>
      </c>
      <c r="AN868">
        <v>0</v>
      </c>
      <c r="AO868">
        <v>0</v>
      </c>
      <c r="AP868">
        <v>0</v>
      </c>
      <c r="AQ868">
        <v>0</v>
      </c>
      <c r="AR868">
        <v>0</v>
      </c>
      <c r="AS868">
        <v>0</v>
      </c>
      <c r="AT868">
        <v>0</v>
      </c>
      <c r="AU868">
        <v>0</v>
      </c>
      <c r="AV868">
        <v>0</v>
      </c>
      <c r="AW868">
        <v>0</v>
      </c>
      <c r="AX868" s="141">
        <f t="shared" si="1066"/>
        <v>1</v>
      </c>
      <c r="AY868" s="141">
        <f t="shared" si="1067"/>
        <v>1</v>
      </c>
      <c r="AZ868">
        <f t="shared" si="1068"/>
        <v>1</v>
      </c>
      <c r="BA868">
        <f t="shared" si="1069"/>
        <v>0</v>
      </c>
      <c r="BB868">
        <f t="shared" si="1070"/>
        <v>0</v>
      </c>
      <c r="BC868">
        <f t="shared" si="1071"/>
        <v>0</v>
      </c>
      <c r="BD868">
        <f t="shared" si="1072"/>
        <v>0</v>
      </c>
      <c r="BE868" t="str">
        <f t="array" ref="BE868">IF(AY868=1,INDEX($V$7:$AL$7,MATCH(TRUE,INDEX($V868:$AW868&lt;&gt;0,),0)),IF(AY868=0,INDEX($AM$7:$AW$7,MATCH(1,$AM868:$AW868,0)),IF(BF868="Multiple strategies","mixed drivers",IF(BF868="Supply chain","multiple supply","multiple silviculture"))))</f>
        <v>rotation length</v>
      </c>
      <c r="BF868" s="2" t="str" cm="1">
        <f t="array" ref="BF868">IF(COUNTIF(AZ868:BB868,"&lt;&gt;0")=1,INDEX($V$4:$AW$4,MATCH(TRUE,INDEX($V868:$AW868&lt;&gt;0,),0)),IF(COUNTIF(AZ868:BB868,"&lt;&gt;0")=0,INDEX($AM$4:$AW$4,MATCH(1,$AM868:$AW868,0)),"Multiple strategies"))</f>
        <v>Silviculture for removals</v>
      </c>
      <c r="BG868" s="1" t="s">
        <v>229</v>
      </c>
      <c r="BH868" t="s">
        <v>1798</v>
      </c>
      <c r="BI868" s="260" t="s">
        <v>3345</v>
      </c>
      <c r="BJ868" s="260" t="s">
        <v>3346</v>
      </c>
      <c r="BK868">
        <v>15</v>
      </c>
      <c r="BL868">
        <v>32</v>
      </c>
      <c r="BM868">
        <f>BL868/BK868</f>
        <v>2.1333333333333333</v>
      </c>
      <c r="BN868">
        <f t="shared" si="1073"/>
        <v>17</v>
      </c>
      <c r="BO868">
        <f t="shared" si="1092"/>
        <v>34693877.551020406</v>
      </c>
      <c r="BP868" t="s">
        <v>232</v>
      </c>
      <c r="BQ868" s="260" t="s">
        <v>3354</v>
      </c>
      <c r="BR868" t="s">
        <v>1299</v>
      </c>
      <c r="BT868" s="260"/>
      <c r="BU868" s="144"/>
      <c r="BV868" s="260">
        <v>30</v>
      </c>
      <c r="BX868">
        <f t="shared" si="1093"/>
        <v>30000000</v>
      </c>
      <c r="BY868">
        <f t="shared" si="994"/>
        <v>0.86470588235294121</v>
      </c>
      <c r="BZ868">
        <v>0</v>
      </c>
      <c r="CA868">
        <v>0</v>
      </c>
      <c r="CB868">
        <v>0</v>
      </c>
      <c r="CC868">
        <v>0</v>
      </c>
      <c r="CD868">
        <v>0</v>
      </c>
      <c r="CE868">
        <v>0</v>
      </c>
      <c r="CF868">
        <v>0</v>
      </c>
      <c r="CG868">
        <v>0</v>
      </c>
      <c r="CH868">
        <v>0</v>
      </c>
      <c r="CI868">
        <v>0</v>
      </c>
      <c r="CJ868">
        <v>0</v>
      </c>
      <c r="CK868">
        <v>0</v>
      </c>
      <c r="CL868">
        <v>0</v>
      </c>
      <c r="CM868">
        <v>0</v>
      </c>
      <c r="CN868" t="str">
        <f t="shared" si="1094"/>
        <v>refOK</v>
      </c>
      <c r="CO868">
        <f t="shared" si="1095"/>
        <v>15</v>
      </c>
      <c r="CP868">
        <f t="shared" si="1096"/>
        <v>32</v>
      </c>
      <c r="CQ868">
        <f t="shared" si="1074"/>
        <v>34693877.551020406</v>
      </c>
      <c r="CR868">
        <f>IF($CN868="refOK",$BS868,$BT868)*IF($BP868="Emissions positive",-1,1)</f>
        <v>0</v>
      </c>
      <c r="CS868">
        <f>IF($CN868="refOK",$BT868,$BS868)*IF($BP868="Emissions positive",-1,1)</f>
        <v>0</v>
      </c>
      <c r="CT868">
        <f t="shared" si="1077"/>
        <v>30000000</v>
      </c>
      <c r="CU868">
        <f t="shared" si="1078"/>
        <v>0.86470588235294121</v>
      </c>
      <c r="CV868" s="2" t="str">
        <f t="shared" si="1079"/>
        <v/>
      </c>
      <c r="CW868" s="1" t="s">
        <v>1202</v>
      </c>
      <c r="CX868" t="str">
        <f t="shared" si="1080"/>
        <v>reg</v>
      </c>
      <c r="CY868" t="s">
        <v>960</v>
      </c>
      <c r="CZ868">
        <v>2005</v>
      </c>
      <c r="DA868">
        <v>2050</v>
      </c>
      <c r="DB868">
        <v>45</v>
      </c>
      <c r="DC868" t="str">
        <f t="shared" si="1081"/>
        <v>31-70</v>
      </c>
      <c r="DD868">
        <v>0</v>
      </c>
      <c r="DE868">
        <v>1</v>
      </c>
      <c r="DF868">
        <v>0</v>
      </c>
      <c r="DG868">
        <v>0</v>
      </c>
      <c r="DI868">
        <f t="shared" si="1082"/>
        <v>1</v>
      </c>
      <c r="DJ868" t="str">
        <f t="shared" si="1083"/>
        <v>EnergyInput</v>
      </c>
      <c r="DK868">
        <f t="shared" si="1084"/>
        <v>0</v>
      </c>
      <c r="DL868" t="str">
        <f t="shared" si="1085"/>
        <v>Energy</v>
      </c>
      <c r="DM868">
        <f t="shared" si="1086"/>
        <v>0</v>
      </c>
      <c r="DN868">
        <f t="shared" si="1087"/>
        <v>0</v>
      </c>
      <c r="DO868">
        <v>0</v>
      </c>
      <c r="DP868">
        <v>0</v>
      </c>
      <c r="DQ868">
        <v>0</v>
      </c>
      <c r="DR868">
        <v>0</v>
      </c>
      <c r="DS868">
        <v>0</v>
      </c>
      <c r="DT868">
        <f t="shared" si="1088"/>
        <v>0</v>
      </c>
      <c r="DU868" s="143" t="str">
        <f t="shared" si="1089"/>
        <v>explicit C balance</v>
      </c>
      <c r="DV868">
        <v>0</v>
      </c>
      <c r="DW868">
        <v>1</v>
      </c>
      <c r="DX868">
        <v>1</v>
      </c>
      <c r="DY868">
        <v>0</v>
      </c>
      <c r="DZ868">
        <v>0</v>
      </c>
      <c r="EA868" s="143">
        <v>1</v>
      </c>
      <c r="EB868">
        <v>1</v>
      </c>
      <c r="EC868">
        <v>0</v>
      </c>
      <c r="ED868">
        <v>0</v>
      </c>
      <c r="EE868">
        <v>0</v>
      </c>
      <c r="EF868">
        <v>1</v>
      </c>
      <c r="EG868">
        <v>1</v>
      </c>
      <c r="EH868">
        <v>0</v>
      </c>
      <c r="EI868" s="2">
        <v>0</v>
      </c>
      <c r="EK868" t="str">
        <f t="shared" si="1090"/>
        <v/>
      </c>
      <c r="EL868" t="str">
        <f t="shared" si="1091"/>
        <v/>
      </c>
      <c r="EM868" s="2" t="str">
        <f t="shared" si="995"/>
        <v/>
      </c>
      <c r="EP868" t="str">
        <f>IF(ISNUMBER(BU868),IF(ABS(BU868-[5]QC_indicators!$B$2)&gt;3*[5]QC_indicators!$C$2,"C ratio",IF(ISNUMBER(BY868),IF(ABS(BY868-[5]QC_indicators!$B$1)&gt;3*[5]QC_indicators!$C$1,"DF","no"))),IF(ISNUMBER(BY868),IF(ABS(BY868-[5]QC_indicators!$B$1)&gt;3*[5]QC_indicators!$C$1,"DF","no")))</f>
        <v>no</v>
      </c>
      <c r="ET868" s="264" t="s">
        <v>3272</v>
      </c>
    </row>
    <row r="869" spans="1:150" ht="15" hidden="1" customHeight="1">
      <c r="A869" s="1" t="s">
        <v>878</v>
      </c>
      <c r="B869" t="s">
        <v>1790</v>
      </c>
      <c r="C869" t="s">
        <v>1791</v>
      </c>
      <c r="D869" t="s">
        <v>1792</v>
      </c>
      <c r="E869" t="s">
        <v>1793</v>
      </c>
      <c r="F869" t="s">
        <v>1794</v>
      </c>
      <c r="G869" t="s">
        <v>1183</v>
      </c>
      <c r="H869" t="s">
        <v>254</v>
      </c>
      <c r="I869">
        <v>2011</v>
      </c>
      <c r="J869">
        <v>6</v>
      </c>
      <c r="K869" t="s">
        <v>1795</v>
      </c>
      <c r="M869" t="str">
        <f t="shared" si="1044"/>
        <v>Kayo_2011</v>
      </c>
      <c r="N869" t="s">
        <v>222</v>
      </c>
      <c r="O869" s="145" t="s">
        <v>513</v>
      </c>
      <c r="Q869" t="s">
        <v>256</v>
      </c>
      <c r="R869" s="255" t="s">
        <v>225</v>
      </c>
      <c r="S869" s="263" t="s">
        <v>3348</v>
      </c>
      <c r="T869" t="s">
        <v>1796</v>
      </c>
      <c r="U869" s="264" t="s">
        <v>1797</v>
      </c>
      <c r="V869">
        <v>0</v>
      </c>
      <c r="W869">
        <v>0</v>
      </c>
      <c r="X869">
        <v>1</v>
      </c>
      <c r="Y869">
        <v>0</v>
      </c>
      <c r="Z869">
        <v>0</v>
      </c>
      <c r="AA869">
        <v>0</v>
      </c>
      <c r="AB869">
        <v>0</v>
      </c>
      <c r="AC869">
        <v>0</v>
      </c>
      <c r="AD869">
        <v>0</v>
      </c>
      <c r="AE869">
        <v>0</v>
      </c>
      <c r="AF869">
        <v>0</v>
      </c>
      <c r="AG869">
        <v>0</v>
      </c>
      <c r="AH869">
        <v>0</v>
      </c>
      <c r="AI869">
        <v>0</v>
      </c>
      <c r="AJ869">
        <v>0</v>
      </c>
      <c r="AK869">
        <v>0</v>
      </c>
      <c r="AL869">
        <v>0</v>
      </c>
      <c r="AM869">
        <v>0</v>
      </c>
      <c r="AN869">
        <v>0</v>
      </c>
      <c r="AO869">
        <v>0</v>
      </c>
      <c r="AP869">
        <v>0</v>
      </c>
      <c r="AQ869">
        <v>0</v>
      </c>
      <c r="AR869">
        <v>0</v>
      </c>
      <c r="AS869">
        <v>0</v>
      </c>
      <c r="AT869">
        <v>0</v>
      </c>
      <c r="AU869">
        <v>0</v>
      </c>
      <c r="AV869">
        <v>0</v>
      </c>
      <c r="AW869">
        <v>0</v>
      </c>
      <c r="AX869" s="141">
        <f t="shared" si="1066"/>
        <v>1</v>
      </c>
      <c r="AY869" s="141">
        <f t="shared" si="1067"/>
        <v>1</v>
      </c>
      <c r="AZ869">
        <f t="shared" si="1068"/>
        <v>1</v>
      </c>
      <c r="BA869">
        <f t="shared" si="1069"/>
        <v>0</v>
      </c>
      <c r="BB869">
        <f t="shared" si="1070"/>
        <v>0</v>
      </c>
      <c r="BC869">
        <f t="shared" si="1071"/>
        <v>0</v>
      </c>
      <c r="BD869">
        <f t="shared" si="1072"/>
        <v>0</v>
      </c>
      <c r="BE869" t="str">
        <f t="array" ref="BE869">IF(AY869=1,INDEX($V$7:$AL$7,MATCH(TRUE,INDEX($V869:$AW869&lt;&gt;0,),0)),IF(AY869=0,INDEX($AM$7:$AW$7,MATCH(1,$AM869:$AW869,0)),IF(BF869="Multiple strategies","mixed drivers",IF(BF869="Supply chain","multiple supply","multiple silviculture"))))</f>
        <v>rotation length</v>
      </c>
      <c r="BF869" s="2" t="str" cm="1">
        <f t="array" ref="BF869">IF(COUNTIF(AZ869:BB869,"&lt;&gt;0")=1,INDEX($V$4:$AW$4,MATCH(TRUE,INDEX($V869:$AW869&lt;&gt;0,),0)),IF(COUNTIF(AZ869:BB869,"&lt;&gt;0")=0,INDEX($AM$4:$AW$4,MATCH(1,$AM869:$AW869,0)),"Multiple strategies"))</f>
        <v>Silviculture for removals</v>
      </c>
      <c r="BG869" s="1" t="s">
        <v>229</v>
      </c>
      <c r="BH869" t="s">
        <v>1798</v>
      </c>
      <c r="BI869" s="260" t="s">
        <v>3349</v>
      </c>
      <c r="BJ869" s="260" t="s">
        <v>3346</v>
      </c>
      <c r="BK869">
        <v>15</v>
      </c>
      <c r="BL869">
        <v>15</v>
      </c>
      <c r="BN869">
        <f t="shared" si="1073"/>
        <v>0</v>
      </c>
      <c r="BO869">
        <f t="shared" si="1092"/>
        <v>0</v>
      </c>
      <c r="BP869" t="s">
        <v>232</v>
      </c>
      <c r="BQ869" s="260" t="s">
        <v>3352</v>
      </c>
      <c r="BR869" t="s">
        <v>1299</v>
      </c>
      <c r="BU869" s="288"/>
      <c r="BV869">
        <v>-4.5</v>
      </c>
      <c r="BX869">
        <f t="shared" si="1093"/>
        <v>-4500000</v>
      </c>
      <c r="BY869" t="str">
        <f t="shared" si="994"/>
        <v/>
      </c>
      <c r="BZ869">
        <v>0</v>
      </c>
      <c r="CA869">
        <v>0</v>
      </c>
      <c r="CB869">
        <v>0</v>
      </c>
      <c r="CC869">
        <v>0</v>
      </c>
      <c r="CD869">
        <v>0</v>
      </c>
      <c r="CE869">
        <v>0</v>
      </c>
      <c r="CF869">
        <v>0</v>
      </c>
      <c r="CG869">
        <v>0</v>
      </c>
      <c r="CH869">
        <v>0</v>
      </c>
      <c r="CI869">
        <v>0</v>
      </c>
      <c r="CJ869">
        <v>0</v>
      </c>
      <c r="CK869">
        <v>0</v>
      </c>
      <c r="CL869">
        <v>0</v>
      </c>
      <c r="CM869">
        <v>0</v>
      </c>
      <c r="CN869" t="str">
        <f t="shared" si="1094"/>
        <v>refOK</v>
      </c>
      <c r="CO869">
        <f t="shared" si="1095"/>
        <v>15</v>
      </c>
      <c r="CP869">
        <f t="shared" si="1096"/>
        <v>15</v>
      </c>
      <c r="CQ869">
        <f t="shared" si="1074"/>
        <v>0</v>
      </c>
      <c r="CR869">
        <f>IF($CN869="refOK",$BS869,$BT869)*IF($BP869="Emissions positive",-1,1)</f>
        <v>0</v>
      </c>
      <c r="CS869">
        <f>IF($CN869="refOK",$BT869,$BS869)*IF($BP869="Emissions positive",-1,1)</f>
        <v>0</v>
      </c>
      <c r="CT869">
        <f t="shared" si="1077"/>
        <v>-4500000</v>
      </c>
      <c r="CU869" t="str">
        <f t="shared" si="1078"/>
        <v/>
      </c>
      <c r="CV869" s="2" t="str">
        <f t="shared" si="1079"/>
        <v/>
      </c>
      <c r="CW869" s="1" t="s">
        <v>1202</v>
      </c>
      <c r="CX869" t="str">
        <f t="shared" si="1080"/>
        <v>reg</v>
      </c>
      <c r="CY869" t="s">
        <v>960</v>
      </c>
      <c r="CZ869">
        <v>2005</v>
      </c>
      <c r="DA869">
        <v>2020</v>
      </c>
      <c r="DB869">
        <v>15</v>
      </c>
      <c r="DC869" t="str">
        <f t="shared" si="1081"/>
        <v>1-30</v>
      </c>
      <c r="DD869">
        <v>0</v>
      </c>
      <c r="DE869">
        <v>1</v>
      </c>
      <c r="DF869">
        <v>0</v>
      </c>
      <c r="DG869">
        <v>0</v>
      </c>
      <c r="DI869">
        <f t="shared" si="1082"/>
        <v>1</v>
      </c>
      <c r="DJ869" t="str">
        <f t="shared" si="1083"/>
        <v>EnergyInput</v>
      </c>
      <c r="DK869">
        <f t="shared" si="1084"/>
        <v>0</v>
      </c>
      <c r="DL869" t="str">
        <f t="shared" si="1085"/>
        <v>Energy</v>
      </c>
      <c r="DM869">
        <f t="shared" si="1086"/>
        <v>0</v>
      </c>
      <c r="DN869">
        <f t="shared" si="1087"/>
        <v>0</v>
      </c>
      <c r="DO869">
        <v>0</v>
      </c>
      <c r="DP869">
        <v>0</v>
      </c>
      <c r="DQ869">
        <v>0</v>
      </c>
      <c r="DR869">
        <v>0</v>
      </c>
      <c r="DS869">
        <v>0</v>
      </c>
      <c r="DT869">
        <f t="shared" si="1088"/>
        <v>0</v>
      </c>
      <c r="DU869" s="143" t="str">
        <f t="shared" si="1089"/>
        <v>explicit C balance</v>
      </c>
      <c r="DV869">
        <v>0</v>
      </c>
      <c r="DW869">
        <v>1</v>
      </c>
      <c r="DX869">
        <v>1</v>
      </c>
      <c r="DY869">
        <v>0</v>
      </c>
      <c r="DZ869">
        <v>0</v>
      </c>
      <c r="EA869" s="143">
        <v>1</v>
      </c>
      <c r="EB869">
        <v>1</v>
      </c>
      <c r="EC869">
        <v>0</v>
      </c>
      <c r="ED869">
        <v>0</v>
      </c>
      <c r="EE869">
        <v>0</v>
      </c>
      <c r="EF869">
        <v>1</v>
      </c>
      <c r="EG869">
        <v>1</v>
      </c>
      <c r="EH869">
        <v>0</v>
      </c>
      <c r="EI869" s="2">
        <v>0</v>
      </c>
      <c r="EK869" t="str">
        <f t="shared" si="1090"/>
        <v/>
      </c>
      <c r="EL869" t="str">
        <f t="shared" si="1091"/>
        <v/>
      </c>
      <c r="EM869" s="2" t="str">
        <f t="shared" si="995"/>
        <v/>
      </c>
      <c r="EP869" t="b">
        <f>IF(ISNUMBER(BU869),IF(ABS(BU869-[5]QC_indicators!$B$2)&gt;3*[5]QC_indicators!$C$2,"C ratio",IF(ISNUMBER(BY869),IF(ABS(BY869-[5]QC_indicators!$B$1)&gt;3*[5]QC_indicators!$C$1,"DF","no"))),IF(ISNUMBER(BY869),IF(ABS(BY869-[5]QC_indicators!$B$1)&gt;3*[5]QC_indicators!$C$1,"DF","no")))</f>
        <v>0</v>
      </c>
      <c r="ET869" s="264" t="s">
        <v>3272</v>
      </c>
    </row>
    <row r="870" spans="1:150" ht="15" hidden="1" customHeight="1">
      <c r="A870" s="1" t="s">
        <v>878</v>
      </c>
      <c r="B870" t="s">
        <v>1790</v>
      </c>
      <c r="C870" t="s">
        <v>1791</v>
      </c>
      <c r="D870" t="s">
        <v>1792</v>
      </c>
      <c r="E870" t="s">
        <v>1793</v>
      </c>
      <c r="F870" t="s">
        <v>1794</v>
      </c>
      <c r="G870" t="s">
        <v>1183</v>
      </c>
      <c r="H870" t="s">
        <v>254</v>
      </c>
      <c r="I870">
        <v>2011</v>
      </c>
      <c r="J870">
        <v>6</v>
      </c>
      <c r="K870" t="s">
        <v>1795</v>
      </c>
      <c r="M870" t="str">
        <f t="shared" si="1044"/>
        <v>Kayo_2011</v>
      </c>
      <c r="N870" t="s">
        <v>222</v>
      </c>
      <c r="O870" s="145" t="s">
        <v>513</v>
      </c>
      <c r="Q870" t="s">
        <v>256</v>
      </c>
      <c r="R870" s="255" t="s">
        <v>225</v>
      </c>
      <c r="S870" s="263" t="s">
        <v>3350</v>
      </c>
      <c r="T870" t="s">
        <v>1799</v>
      </c>
      <c r="U870" t="s">
        <v>1802</v>
      </c>
      <c r="V870">
        <v>0</v>
      </c>
      <c r="W870">
        <v>0</v>
      </c>
      <c r="X870">
        <v>1</v>
      </c>
      <c r="Y870">
        <v>0</v>
      </c>
      <c r="Z870">
        <v>0</v>
      </c>
      <c r="AA870">
        <v>0</v>
      </c>
      <c r="AB870">
        <v>0</v>
      </c>
      <c r="AC870">
        <v>0</v>
      </c>
      <c r="AD870">
        <v>0</v>
      </c>
      <c r="AE870">
        <v>0</v>
      </c>
      <c r="AF870">
        <v>0</v>
      </c>
      <c r="AG870">
        <v>0</v>
      </c>
      <c r="AH870">
        <v>0</v>
      </c>
      <c r="AI870">
        <v>0</v>
      </c>
      <c r="AJ870">
        <v>0</v>
      </c>
      <c r="AK870">
        <v>0</v>
      </c>
      <c r="AL870">
        <v>0</v>
      </c>
      <c r="AM870">
        <v>0</v>
      </c>
      <c r="AN870">
        <v>0</v>
      </c>
      <c r="AO870">
        <v>0</v>
      </c>
      <c r="AP870">
        <v>0</v>
      </c>
      <c r="AQ870">
        <v>0</v>
      </c>
      <c r="AR870">
        <v>0</v>
      </c>
      <c r="AS870">
        <v>0</v>
      </c>
      <c r="AT870">
        <v>0</v>
      </c>
      <c r="AU870">
        <v>0</v>
      </c>
      <c r="AV870">
        <v>0</v>
      </c>
      <c r="AW870">
        <v>0</v>
      </c>
      <c r="AX870" s="141">
        <f t="shared" si="1066"/>
        <v>1</v>
      </c>
      <c r="AY870" s="141">
        <f t="shared" si="1067"/>
        <v>1</v>
      </c>
      <c r="AZ870">
        <f t="shared" si="1068"/>
        <v>1</v>
      </c>
      <c r="BA870">
        <f t="shared" si="1069"/>
        <v>0</v>
      </c>
      <c r="BB870">
        <f t="shared" si="1070"/>
        <v>0</v>
      </c>
      <c r="BC870">
        <f t="shared" si="1071"/>
        <v>0</v>
      </c>
      <c r="BD870">
        <f t="shared" si="1072"/>
        <v>0</v>
      </c>
      <c r="BE870" t="str">
        <f t="array" ref="BE870">IF(AY870=1,INDEX($V$7:$AL$7,MATCH(TRUE,INDEX($V870:$AW870&lt;&gt;0,),0)),IF(AY870=0,INDEX($AM$7:$AW$7,MATCH(1,$AM870:$AW870,0)),IF(BF870="Multiple strategies","mixed drivers",IF(BF870="Supply chain","multiple supply","multiple silviculture"))))</f>
        <v>rotation length</v>
      </c>
      <c r="BF870" s="2" t="str" cm="1">
        <f t="array" ref="BF870">IF(COUNTIF(AZ870:BB870,"&lt;&gt;0")=1,INDEX($V$4:$AW$4,MATCH(TRUE,INDEX($V870:$AW870&lt;&gt;0,),0)),IF(COUNTIF(AZ870:BB870,"&lt;&gt;0")=0,INDEX($AM$4:$AW$4,MATCH(1,$AM870:$AW870,0)),"Multiple strategies"))</f>
        <v>Silviculture for removals</v>
      </c>
      <c r="BG870" s="1" t="s">
        <v>229</v>
      </c>
      <c r="BH870" t="s">
        <v>1798</v>
      </c>
      <c r="BI870" s="260" t="s">
        <v>3349</v>
      </c>
      <c r="BJ870" s="260" t="s">
        <v>3346</v>
      </c>
      <c r="BK870">
        <v>15</v>
      </c>
      <c r="BL870">
        <v>15</v>
      </c>
      <c r="BN870">
        <f t="shared" si="1073"/>
        <v>0</v>
      </c>
      <c r="BO870">
        <f t="shared" si="1092"/>
        <v>0</v>
      </c>
      <c r="BP870" t="s">
        <v>232</v>
      </c>
      <c r="BQ870" s="260" t="s">
        <v>3355</v>
      </c>
      <c r="BR870" t="s">
        <v>1299</v>
      </c>
      <c r="BU870" s="144" t="str">
        <f>IFERROR(BT870/BS870,"")</f>
        <v/>
      </c>
      <c r="BV870" s="260">
        <v>-5</v>
      </c>
      <c r="BX870">
        <f t="shared" si="1093"/>
        <v>-5000000</v>
      </c>
      <c r="BY870" t="str">
        <f t="shared" si="994"/>
        <v/>
      </c>
      <c r="BZ870">
        <v>0</v>
      </c>
      <c r="CA870">
        <v>0</v>
      </c>
      <c r="CB870">
        <v>0</v>
      </c>
      <c r="CC870">
        <v>0</v>
      </c>
      <c r="CD870">
        <v>0</v>
      </c>
      <c r="CE870">
        <v>0</v>
      </c>
      <c r="CF870">
        <v>0</v>
      </c>
      <c r="CG870">
        <v>0</v>
      </c>
      <c r="CH870">
        <v>0</v>
      </c>
      <c r="CI870">
        <v>0</v>
      </c>
      <c r="CJ870">
        <v>0</v>
      </c>
      <c r="CK870">
        <v>0</v>
      </c>
      <c r="CL870">
        <v>0</v>
      </c>
      <c r="CM870">
        <v>0</v>
      </c>
      <c r="CN870" t="str">
        <f t="shared" si="1094"/>
        <v>refOK</v>
      </c>
      <c r="CO870">
        <f t="shared" si="1095"/>
        <v>15</v>
      </c>
      <c r="CP870">
        <f t="shared" si="1096"/>
        <v>15</v>
      </c>
      <c r="CQ870">
        <f t="shared" si="1074"/>
        <v>0</v>
      </c>
      <c r="CR870">
        <f>IF($CN870="refOK",$BS870,$BT870)*IF($BP870="Emissions positive",-1,1)</f>
        <v>0</v>
      </c>
      <c r="CS870">
        <f>IF($CN870="refOK",$BT870,$BS870)*IF($BP870="Emissions positive",-1,1)</f>
        <v>0</v>
      </c>
      <c r="CT870">
        <f t="shared" si="1077"/>
        <v>-5000000</v>
      </c>
      <c r="CU870" t="str">
        <f t="shared" si="1078"/>
        <v/>
      </c>
      <c r="CV870" s="2" t="str">
        <f t="shared" si="1079"/>
        <v/>
      </c>
      <c r="CW870" s="1" t="s">
        <v>1202</v>
      </c>
      <c r="CX870" t="str">
        <f t="shared" si="1080"/>
        <v>reg</v>
      </c>
      <c r="CY870" t="s">
        <v>960</v>
      </c>
      <c r="CZ870">
        <v>2005</v>
      </c>
      <c r="DA870">
        <v>2020</v>
      </c>
      <c r="DB870">
        <v>15</v>
      </c>
      <c r="DC870" t="str">
        <f t="shared" si="1081"/>
        <v>1-30</v>
      </c>
      <c r="DD870">
        <v>0</v>
      </c>
      <c r="DE870">
        <v>1</v>
      </c>
      <c r="DF870">
        <v>0</v>
      </c>
      <c r="DG870">
        <v>0</v>
      </c>
      <c r="DI870">
        <f t="shared" si="1082"/>
        <v>1</v>
      </c>
      <c r="DJ870" t="str">
        <f t="shared" si="1083"/>
        <v>EnergyInput</v>
      </c>
      <c r="DK870">
        <f t="shared" si="1084"/>
        <v>0</v>
      </c>
      <c r="DL870" t="str">
        <f t="shared" si="1085"/>
        <v>Energy</v>
      </c>
      <c r="DM870">
        <f t="shared" si="1086"/>
        <v>0</v>
      </c>
      <c r="DN870">
        <f t="shared" si="1087"/>
        <v>0</v>
      </c>
      <c r="DO870">
        <v>0</v>
      </c>
      <c r="DP870">
        <v>0</v>
      </c>
      <c r="DQ870">
        <v>0</v>
      </c>
      <c r="DR870">
        <v>0</v>
      </c>
      <c r="DS870">
        <v>0</v>
      </c>
      <c r="DT870">
        <f t="shared" si="1088"/>
        <v>0</v>
      </c>
      <c r="DU870" s="143" t="str">
        <f t="shared" si="1089"/>
        <v>explicit C balance</v>
      </c>
      <c r="DV870">
        <v>0</v>
      </c>
      <c r="DW870">
        <v>1</v>
      </c>
      <c r="DX870">
        <v>1</v>
      </c>
      <c r="DY870">
        <v>0</v>
      </c>
      <c r="DZ870">
        <v>0</v>
      </c>
      <c r="EA870" s="143">
        <v>1</v>
      </c>
      <c r="EB870">
        <v>1</v>
      </c>
      <c r="EC870">
        <v>0</v>
      </c>
      <c r="ED870">
        <v>0</v>
      </c>
      <c r="EE870">
        <v>0</v>
      </c>
      <c r="EF870">
        <v>1</v>
      </c>
      <c r="EG870">
        <v>1</v>
      </c>
      <c r="EH870">
        <v>0</v>
      </c>
      <c r="EI870" s="2">
        <v>0</v>
      </c>
      <c r="EK870" t="str">
        <f t="shared" si="1090"/>
        <v/>
      </c>
      <c r="EL870" t="str">
        <f t="shared" si="1091"/>
        <v/>
      </c>
      <c r="EM870" s="2" t="str">
        <f t="shared" si="995"/>
        <v/>
      </c>
      <c r="EP870" t="b">
        <f>IF(ISNUMBER(BU870),IF(ABS(BU870-[5]QC_indicators!$B$2)&gt;3*[5]QC_indicators!$C$2,"C ratio",IF(ISNUMBER(BY870),IF(ABS(BY870-[5]QC_indicators!$B$1)&gt;3*[5]QC_indicators!$C$1,"DF","no"))),IF(ISNUMBER(BY870),IF(ABS(BY870-[5]QC_indicators!$B$1)&gt;3*[5]QC_indicators!$C$1,"DF","no")))</f>
        <v>0</v>
      </c>
      <c r="ET870" s="264" t="s">
        <v>3272</v>
      </c>
    </row>
    <row r="871" spans="1:150" ht="15" hidden="1" customHeight="1">
      <c r="A871" s="1" t="s">
        <v>1807</v>
      </c>
      <c r="B871" t="s">
        <v>1808</v>
      </c>
      <c r="C871" t="s">
        <v>1809</v>
      </c>
      <c r="D871" t="s">
        <v>1810</v>
      </c>
      <c r="E871" t="s">
        <v>1811</v>
      </c>
      <c r="F871" t="s">
        <v>1812</v>
      </c>
      <c r="G871" t="s">
        <v>1813</v>
      </c>
      <c r="H871" t="s">
        <v>254</v>
      </c>
      <c r="I871">
        <v>2014</v>
      </c>
      <c r="J871">
        <v>15</v>
      </c>
      <c r="K871" t="s">
        <v>1814</v>
      </c>
      <c r="M871" t="str">
        <f t="shared" si="1044"/>
        <v>Kayo_2014</v>
      </c>
      <c r="N871" t="s">
        <v>222</v>
      </c>
      <c r="O871" s="171" t="s">
        <v>513</v>
      </c>
      <c r="P871" t="s">
        <v>959</v>
      </c>
      <c r="Q871" t="s">
        <v>389</v>
      </c>
      <c r="R871" s="262" t="s">
        <v>223</v>
      </c>
      <c r="S871" s="1" t="s">
        <v>1815</v>
      </c>
      <c r="T871" t="s">
        <v>1110</v>
      </c>
      <c r="U871" s="264" t="s">
        <v>3143</v>
      </c>
      <c r="V871">
        <v>0</v>
      </c>
      <c r="W871">
        <v>0</v>
      </c>
      <c r="X871">
        <v>0</v>
      </c>
      <c r="Y871">
        <v>0</v>
      </c>
      <c r="Z871">
        <v>0</v>
      </c>
      <c r="AA871">
        <v>0</v>
      </c>
      <c r="AB871">
        <v>0</v>
      </c>
      <c r="AC871">
        <v>0</v>
      </c>
      <c r="AD871">
        <v>0</v>
      </c>
      <c r="AE871">
        <v>0</v>
      </c>
      <c r="AF871">
        <v>1</v>
      </c>
      <c r="AG871">
        <v>0</v>
      </c>
      <c r="AH871">
        <v>0</v>
      </c>
      <c r="AI871">
        <v>0</v>
      </c>
      <c r="AJ871">
        <v>0</v>
      </c>
      <c r="AK871">
        <v>0</v>
      </c>
      <c r="AL871">
        <v>0</v>
      </c>
      <c r="AM871">
        <v>0</v>
      </c>
      <c r="AN871">
        <v>0</v>
      </c>
      <c r="AO871">
        <v>0</v>
      </c>
      <c r="AP871">
        <v>0</v>
      </c>
      <c r="AQ871">
        <v>0</v>
      </c>
      <c r="AR871">
        <v>0</v>
      </c>
      <c r="AS871">
        <v>0</v>
      </c>
      <c r="AT871">
        <v>0</v>
      </c>
      <c r="AU871">
        <v>0</v>
      </c>
      <c r="AV871">
        <v>0</v>
      </c>
      <c r="AW871">
        <v>0</v>
      </c>
      <c r="AX871" s="141">
        <f t="shared" si="1066"/>
        <v>1</v>
      </c>
      <c r="AY871" s="141">
        <f t="shared" si="1067"/>
        <v>1</v>
      </c>
      <c r="AZ871">
        <f t="shared" si="1068"/>
        <v>0</v>
      </c>
      <c r="BA871">
        <f t="shared" si="1069"/>
        <v>1</v>
      </c>
      <c r="BB871">
        <f t="shared" si="1070"/>
        <v>0</v>
      </c>
      <c r="BC871">
        <f t="shared" si="1071"/>
        <v>0</v>
      </c>
      <c r="BD871">
        <f t="shared" si="1072"/>
        <v>0</v>
      </c>
      <c r="BE871" t="str">
        <f t="array" ref="BE871">IF(AY871=1,INDEX($V$7:$AL$7,MATCH(TRUE,INDEX($V871:$AW871&lt;&gt;0,),0)),IF(AY871=0,INDEX($AM$7:$AW$7,MATCH(1,$AM871:$AW871,0)),IF(BF871="Multiple strategies","mixed drivers",IF(BF871="Supply chain","multiple supply","multiple silviculture"))))</f>
        <v>supply chain organization</v>
      </c>
      <c r="BF871" s="2" t="str" cm="1">
        <f t="array" ref="BF871">IF(COUNTIF(AZ871:BB871,"&lt;&gt;0")=1,INDEX($V$4:$AW$4,MATCH(TRUE,INDEX($V871:$AW871&lt;&gt;0,),0)),IF(COUNTIF(AZ871:BB871,"&lt;&gt;0")=0,INDEX($AM$4:$AW$4,MATCH(1,$AM871:$AW871,0)),"Multiple strategies"))</f>
        <v>Supply chain</v>
      </c>
      <c r="BG871" s="1" t="s">
        <v>229</v>
      </c>
      <c r="BH871" t="s">
        <v>1816</v>
      </c>
      <c r="BI871" s="264" t="s">
        <v>3144</v>
      </c>
      <c r="BJ871" t="s">
        <v>1817</v>
      </c>
      <c r="BK871">
        <v>8620000.0000000019</v>
      </c>
      <c r="BL871">
        <v>11450000.000000002</v>
      </c>
      <c r="BM871" t="s">
        <v>544</v>
      </c>
      <c r="BN871">
        <f t="shared" si="1073"/>
        <v>2830000</v>
      </c>
      <c r="BO871">
        <f>BN871</f>
        <v>2830000</v>
      </c>
      <c r="BP871" t="s">
        <v>395</v>
      </c>
      <c r="BQ871" s="264" t="s">
        <v>3145</v>
      </c>
      <c r="BR871" s="264" t="s">
        <v>3146</v>
      </c>
      <c r="BS871">
        <v>21.43</v>
      </c>
      <c r="BT871">
        <v>26.42</v>
      </c>
      <c r="BU871" s="144"/>
      <c r="BV871" s="152">
        <f t="shared" ref="BV871:BV876" si="1097">BT871-BS871</f>
        <v>4.990000000000002</v>
      </c>
      <c r="BX871" s="152">
        <f>BV871*10^3*C_to_CO2</f>
        <v>18313.300000000007</v>
      </c>
      <c r="BY871">
        <f t="shared" si="994"/>
        <v>6.4711307420494725E-3</v>
      </c>
      <c r="BZ871">
        <v>0</v>
      </c>
      <c r="CA871">
        <v>0</v>
      </c>
      <c r="CB871">
        <v>0</v>
      </c>
      <c r="CC871">
        <v>0</v>
      </c>
      <c r="CD871">
        <v>0</v>
      </c>
      <c r="CE871">
        <v>0</v>
      </c>
      <c r="CF871">
        <v>0</v>
      </c>
      <c r="CG871">
        <v>0</v>
      </c>
      <c r="CH871">
        <v>0</v>
      </c>
      <c r="CI871">
        <v>0</v>
      </c>
      <c r="CJ871">
        <v>0</v>
      </c>
      <c r="CK871">
        <v>0</v>
      </c>
      <c r="CL871">
        <v>0</v>
      </c>
      <c r="CM871">
        <v>0</v>
      </c>
      <c r="CN871" t="str">
        <f t="shared" ref="CN871:CN876" si="1098">IF($BL871&lt;$BK871,"refNeedCorrection","refOK")</f>
        <v>refOK</v>
      </c>
      <c r="CO871">
        <f t="shared" si="1095"/>
        <v>8620000.0000000019</v>
      </c>
      <c r="CP871">
        <f t="shared" si="1096"/>
        <v>11450000.000000002</v>
      </c>
      <c r="CQ871">
        <f t="shared" si="1074"/>
        <v>2830000</v>
      </c>
      <c r="CR871">
        <f>IF($CN871="refOK",$BS871,$BT871)*IF($BP871="Emissions positive",-1,1)</f>
        <v>-21.43</v>
      </c>
      <c r="CS871">
        <f>IF($CN871="refOK",$BT871,$BS871)*IF($BP871="Emissions positive",-1,1)</f>
        <v>-26.42</v>
      </c>
      <c r="CT871">
        <f t="shared" si="1077"/>
        <v>-18313.300000000007</v>
      </c>
      <c r="CU871">
        <f t="shared" si="1078"/>
        <v>-6.4711307420494725E-3</v>
      </c>
      <c r="CV871" s="2">
        <f t="shared" si="1079"/>
        <v>-0.23285114325711628</v>
      </c>
      <c r="CW871" s="1" t="s">
        <v>1198</v>
      </c>
      <c r="CX871" t="str">
        <f t="shared" si="1080"/>
        <v>reg</v>
      </c>
      <c r="CY871" t="s">
        <v>960</v>
      </c>
      <c r="CZ871">
        <v>2050</v>
      </c>
      <c r="DA871">
        <v>2050</v>
      </c>
      <c r="DB871">
        <v>1</v>
      </c>
      <c r="DC871" t="str">
        <f t="shared" si="1081"/>
        <v>1-30</v>
      </c>
      <c r="DD871">
        <v>0</v>
      </c>
      <c r="DE871">
        <v>1</v>
      </c>
      <c r="DF871">
        <v>0</v>
      </c>
      <c r="DG871">
        <v>0</v>
      </c>
      <c r="DH871">
        <v>0</v>
      </c>
      <c r="DI871">
        <v>1</v>
      </c>
      <c r="DJ871" t="str">
        <f t="shared" si="1083"/>
        <v>EnergyInput</v>
      </c>
      <c r="DK871">
        <f t="shared" si="1084"/>
        <v>0</v>
      </c>
      <c r="DL871" t="str">
        <f t="shared" si="1085"/>
        <v>Energy</v>
      </c>
      <c r="DM871">
        <f t="shared" si="1086"/>
        <v>0</v>
      </c>
      <c r="DN871">
        <f t="shared" si="1087"/>
        <v>0</v>
      </c>
      <c r="DO871">
        <v>0</v>
      </c>
      <c r="DP871">
        <v>0</v>
      </c>
      <c r="DQ871">
        <v>0</v>
      </c>
      <c r="DR871">
        <v>0</v>
      </c>
      <c r="DS871">
        <v>0</v>
      </c>
      <c r="DT871">
        <f t="shared" si="1088"/>
        <v>0</v>
      </c>
      <c r="DU871" s="143" t="s">
        <v>961</v>
      </c>
      <c r="DV871">
        <v>0</v>
      </c>
      <c r="DW871">
        <v>0</v>
      </c>
      <c r="DX871">
        <v>0</v>
      </c>
      <c r="DY871">
        <v>0</v>
      </c>
      <c r="DZ871">
        <v>0</v>
      </c>
      <c r="EA871" s="143">
        <v>0</v>
      </c>
      <c r="EB871">
        <v>0</v>
      </c>
      <c r="EC871">
        <v>1</v>
      </c>
      <c r="ED871">
        <v>0</v>
      </c>
      <c r="EE871">
        <v>0</v>
      </c>
      <c r="EF871">
        <v>0</v>
      </c>
      <c r="EG871">
        <v>0</v>
      </c>
      <c r="EH871">
        <v>0</v>
      </c>
      <c r="EI871" s="2">
        <v>0</v>
      </c>
      <c r="EK871" t="str">
        <f t="shared" si="1090"/>
        <v/>
      </c>
      <c r="EL871" t="str">
        <f t="shared" si="1091"/>
        <v/>
      </c>
      <c r="EM871" s="2" t="str">
        <f t="shared" si="995"/>
        <v/>
      </c>
      <c r="EP871" t="str">
        <f>IF(ISNUMBER(BU871),IF(ABS(BU871-[3]QC_indicators!$B$2)&gt;3*[3]QC_indicators!$C$2,"C ratio",IF(ISNUMBER(BY871),IF(ABS(BY871-[3]QC_indicators!$B$1)&gt;3*[3]QC_indicators!$C$1,"DF","no"))),IF(ISNUMBER(BY871),IF(ABS(BY871-[3]QC_indicators!$B$1)&gt;3*[3]QC_indicators!$C$1,"DF","no")))</f>
        <v>no</v>
      </c>
      <c r="ET871" s="264" t="s">
        <v>3147</v>
      </c>
    </row>
    <row r="872" spans="1:150" ht="15" hidden="1" customHeight="1">
      <c r="A872" s="1" t="s">
        <v>1807</v>
      </c>
      <c r="B872" t="s">
        <v>1808</v>
      </c>
      <c r="C872" t="s">
        <v>1809</v>
      </c>
      <c r="D872" t="s">
        <v>1810</v>
      </c>
      <c r="E872" t="s">
        <v>1811</v>
      </c>
      <c r="F872" t="s">
        <v>1812</v>
      </c>
      <c r="G872" t="s">
        <v>1813</v>
      </c>
      <c r="H872" t="s">
        <v>254</v>
      </c>
      <c r="I872">
        <v>2014</v>
      </c>
      <c r="J872">
        <v>15</v>
      </c>
      <c r="K872" t="s">
        <v>1814</v>
      </c>
      <c r="M872" t="str">
        <f t="shared" si="1044"/>
        <v>Kayo_2014</v>
      </c>
      <c r="N872" t="s">
        <v>222</v>
      </c>
      <c r="O872" s="171" t="s">
        <v>513</v>
      </c>
      <c r="P872" t="s">
        <v>959</v>
      </c>
      <c r="Q872" t="s">
        <v>389</v>
      </c>
      <c r="R872" s="262" t="s">
        <v>223</v>
      </c>
      <c r="S872" s="1" t="s">
        <v>1815</v>
      </c>
      <c r="T872" t="s">
        <v>1110</v>
      </c>
      <c r="U872" s="264" t="s">
        <v>3143</v>
      </c>
      <c r="V872">
        <v>0</v>
      </c>
      <c r="W872">
        <v>0</v>
      </c>
      <c r="X872">
        <v>0</v>
      </c>
      <c r="Y872">
        <v>0</v>
      </c>
      <c r="Z872">
        <v>0</v>
      </c>
      <c r="AA872">
        <v>0</v>
      </c>
      <c r="AB872">
        <v>0</v>
      </c>
      <c r="AC872">
        <v>0</v>
      </c>
      <c r="AD872">
        <v>0</v>
      </c>
      <c r="AE872">
        <v>0</v>
      </c>
      <c r="AF872">
        <v>1</v>
      </c>
      <c r="AG872">
        <v>0</v>
      </c>
      <c r="AH872">
        <v>0</v>
      </c>
      <c r="AI872">
        <v>0</v>
      </c>
      <c r="AJ872">
        <v>0</v>
      </c>
      <c r="AK872">
        <v>0</v>
      </c>
      <c r="AL872">
        <v>0</v>
      </c>
      <c r="AM872">
        <v>0</v>
      </c>
      <c r="AN872">
        <v>0</v>
      </c>
      <c r="AO872">
        <v>0</v>
      </c>
      <c r="AP872">
        <v>0</v>
      </c>
      <c r="AQ872">
        <v>0</v>
      </c>
      <c r="AR872">
        <v>0</v>
      </c>
      <c r="AS872">
        <v>0</v>
      </c>
      <c r="AT872">
        <v>0</v>
      </c>
      <c r="AU872">
        <v>0</v>
      </c>
      <c r="AV872">
        <v>0</v>
      </c>
      <c r="AW872">
        <v>0</v>
      </c>
      <c r="AX872" s="141">
        <f t="shared" si="1066"/>
        <v>1</v>
      </c>
      <c r="AY872" s="141">
        <f t="shared" si="1067"/>
        <v>1</v>
      </c>
      <c r="AZ872">
        <f t="shared" si="1068"/>
        <v>0</v>
      </c>
      <c r="BA872">
        <f t="shared" si="1069"/>
        <v>1</v>
      </c>
      <c r="BB872">
        <f t="shared" si="1070"/>
        <v>0</v>
      </c>
      <c r="BC872">
        <f t="shared" si="1071"/>
        <v>0</v>
      </c>
      <c r="BD872">
        <f t="shared" si="1072"/>
        <v>0</v>
      </c>
      <c r="BE872" t="str">
        <f t="array" ref="BE872">IF(AY872=1,INDEX($V$7:$AL$7,MATCH(TRUE,INDEX($V872:$AW872&lt;&gt;0,),0)),IF(AY872=0,INDEX($AM$7:$AW$7,MATCH(1,$AM872:$AW872,0)),IF(BF872="Multiple strategies","mixed drivers",IF(BF872="Supply chain","multiple supply","multiple silviculture"))))</f>
        <v>supply chain organization</v>
      </c>
      <c r="BF872" s="2" t="str" cm="1">
        <f t="array" ref="BF872">IF(COUNTIF(AZ872:BB872,"&lt;&gt;0")=1,INDEX($V$4:$AW$4,MATCH(TRUE,INDEX($V872:$AW872&lt;&gt;0,),0)),IF(COUNTIF(AZ872:BB872,"&lt;&gt;0")=0,INDEX($AM$4:$AW$4,MATCH(1,$AM872:$AW872,0)),"Multiple strategies"))</f>
        <v>Supply chain</v>
      </c>
      <c r="BG872" s="1" t="s">
        <v>229</v>
      </c>
      <c r="BH872" t="s">
        <v>1816</v>
      </c>
      <c r="BI872" s="264" t="s">
        <v>3144</v>
      </c>
      <c r="BJ872" t="s">
        <v>1817</v>
      </c>
      <c r="BK872">
        <v>7939999.9999999991</v>
      </c>
      <c r="BL872">
        <v>13270000</v>
      </c>
      <c r="BM872" t="s">
        <v>544</v>
      </c>
      <c r="BN872">
        <f t="shared" si="1073"/>
        <v>5330000.0000000009</v>
      </c>
      <c r="BO872">
        <f>BN872</f>
        <v>5330000.0000000009</v>
      </c>
      <c r="BP872" t="s">
        <v>395</v>
      </c>
      <c r="BQ872" s="264" t="s">
        <v>3145</v>
      </c>
      <c r="BR872" s="264" t="s">
        <v>3146</v>
      </c>
      <c r="BS872">
        <v>48.57</v>
      </c>
      <c r="BT872">
        <v>80.19</v>
      </c>
      <c r="BU872" s="144"/>
      <c r="BV872" s="152">
        <f t="shared" si="1097"/>
        <v>31.619999999999997</v>
      </c>
      <c r="BX872" s="152">
        <f>BV872*10^3*C_to_CO2</f>
        <v>116045.39999999998</v>
      </c>
      <c r="BY872">
        <f t="shared" si="994"/>
        <v>2.1772120075046898E-2</v>
      </c>
      <c r="BZ872">
        <v>0</v>
      </c>
      <c r="CA872">
        <v>0</v>
      </c>
      <c r="CB872">
        <v>0</v>
      </c>
      <c r="CC872">
        <v>0</v>
      </c>
      <c r="CD872">
        <v>0</v>
      </c>
      <c r="CE872">
        <v>0</v>
      </c>
      <c r="CF872">
        <v>0</v>
      </c>
      <c r="CG872">
        <v>0</v>
      </c>
      <c r="CH872">
        <v>0</v>
      </c>
      <c r="CI872">
        <v>0</v>
      </c>
      <c r="CJ872">
        <v>0</v>
      </c>
      <c r="CK872">
        <v>0</v>
      </c>
      <c r="CL872">
        <v>0</v>
      </c>
      <c r="CM872">
        <v>0</v>
      </c>
      <c r="CN872" t="str">
        <f t="shared" si="1098"/>
        <v>refOK</v>
      </c>
      <c r="CO872">
        <f t="shared" si="1095"/>
        <v>7939999.9999999991</v>
      </c>
      <c r="CP872">
        <f t="shared" si="1096"/>
        <v>13270000</v>
      </c>
      <c r="CQ872">
        <f t="shared" si="1074"/>
        <v>5330000.0000000009</v>
      </c>
      <c r="CR872">
        <f>IF($CN872="refOK",$BS872,$BT872)*IF($BP872="Emissions positive",-1,1)</f>
        <v>-48.57</v>
      </c>
      <c r="CS872">
        <f>IF($CN872="refOK",$BT872,$BS872)*IF($BP872="Emissions positive",-1,1)</f>
        <v>-80.19</v>
      </c>
      <c r="CT872">
        <f t="shared" si="1077"/>
        <v>-116045.39999999998</v>
      </c>
      <c r="CU872">
        <f t="shared" si="1078"/>
        <v>-2.1772120075046898E-2</v>
      </c>
      <c r="CV872" s="2">
        <f t="shared" si="1079"/>
        <v>-0.65101914762198887</v>
      </c>
      <c r="CW872" s="1" t="s">
        <v>1198</v>
      </c>
      <c r="CX872" t="str">
        <f t="shared" si="1080"/>
        <v>reg</v>
      </c>
      <c r="CY872" t="s">
        <v>960</v>
      </c>
      <c r="CZ872">
        <v>2050</v>
      </c>
      <c r="DA872">
        <v>2050</v>
      </c>
      <c r="DB872">
        <v>1</v>
      </c>
      <c r="DC872" t="str">
        <f t="shared" si="1081"/>
        <v>1-30</v>
      </c>
      <c r="DD872">
        <v>0</v>
      </c>
      <c r="DE872">
        <v>0</v>
      </c>
      <c r="DF872">
        <v>0</v>
      </c>
      <c r="DG872">
        <v>1</v>
      </c>
      <c r="DH872">
        <v>0</v>
      </c>
      <c r="DI872">
        <v>1</v>
      </c>
      <c r="DJ872" t="str">
        <f t="shared" si="1083"/>
        <v>TimberInput</v>
      </c>
      <c r="DK872">
        <f t="shared" si="1084"/>
        <v>0</v>
      </c>
      <c r="DL872">
        <f t="shared" si="1085"/>
        <v>0</v>
      </c>
      <c r="DM872">
        <f t="shared" si="1086"/>
        <v>0</v>
      </c>
      <c r="DN872" t="str">
        <f t="shared" si="1087"/>
        <v>Timber</v>
      </c>
      <c r="DO872">
        <v>0</v>
      </c>
      <c r="DP872">
        <v>0</v>
      </c>
      <c r="DQ872">
        <v>0</v>
      </c>
      <c r="DR872">
        <v>0</v>
      </c>
      <c r="DS872">
        <v>0</v>
      </c>
      <c r="DT872">
        <f t="shared" si="1088"/>
        <v>0</v>
      </c>
      <c r="DU872" s="143" t="s">
        <v>961</v>
      </c>
      <c r="DV872">
        <v>0</v>
      </c>
      <c r="DW872">
        <v>0</v>
      </c>
      <c r="DX872">
        <v>0</v>
      </c>
      <c r="DY872">
        <v>0</v>
      </c>
      <c r="DZ872">
        <v>0</v>
      </c>
      <c r="EA872" s="143">
        <v>0</v>
      </c>
      <c r="EB872">
        <v>0</v>
      </c>
      <c r="EC872">
        <v>1</v>
      </c>
      <c r="ED872">
        <v>0</v>
      </c>
      <c r="EE872">
        <v>0</v>
      </c>
      <c r="EF872">
        <v>0</v>
      </c>
      <c r="EG872">
        <v>0</v>
      </c>
      <c r="EH872">
        <v>0</v>
      </c>
      <c r="EI872" s="2">
        <v>0</v>
      </c>
      <c r="EK872" t="str">
        <f t="shared" si="1090"/>
        <v/>
      </c>
      <c r="EL872" t="str">
        <f t="shared" si="1091"/>
        <v/>
      </c>
      <c r="EM872" s="2" t="str">
        <f t="shared" si="995"/>
        <v/>
      </c>
      <c r="EP872" t="str">
        <f>IF(ISNUMBER(BU872),IF(ABS(BU872-[3]QC_indicators!$B$2)&gt;3*[3]QC_indicators!$C$2,"C ratio",IF(ISNUMBER(BY872),IF(ABS(BY872-[3]QC_indicators!$B$1)&gt;3*[3]QC_indicators!$C$1,"DF","no"))),IF(ISNUMBER(BY872),IF(ABS(BY872-[3]QC_indicators!$B$1)&gt;3*[3]QC_indicators!$C$1,"DF","no")))</f>
        <v>no</v>
      </c>
      <c r="ET872" s="264" t="s">
        <v>3147</v>
      </c>
    </row>
    <row r="873" spans="1:150" ht="15" hidden="1" customHeight="1">
      <c r="A873" s="1" t="s">
        <v>1807</v>
      </c>
      <c r="B873" t="s">
        <v>1808</v>
      </c>
      <c r="C873" t="s">
        <v>1809</v>
      </c>
      <c r="D873" t="s">
        <v>1810</v>
      </c>
      <c r="E873" t="s">
        <v>1811</v>
      </c>
      <c r="F873" t="s">
        <v>1812</v>
      </c>
      <c r="G873" t="s">
        <v>1813</v>
      </c>
      <c r="H873" t="s">
        <v>254</v>
      </c>
      <c r="I873">
        <v>2014</v>
      </c>
      <c r="J873">
        <v>15</v>
      </c>
      <c r="K873" t="s">
        <v>1814</v>
      </c>
      <c r="M873" t="str">
        <f t="shared" si="1044"/>
        <v>Kayo_2014</v>
      </c>
      <c r="N873" t="s">
        <v>222</v>
      </c>
      <c r="O873" s="171" t="s">
        <v>513</v>
      </c>
      <c r="P873" t="s">
        <v>959</v>
      </c>
      <c r="Q873" t="s">
        <v>389</v>
      </c>
      <c r="R873" s="262" t="s">
        <v>223</v>
      </c>
      <c r="S873" s="1" t="s">
        <v>1815</v>
      </c>
      <c r="T873" t="s">
        <v>1110</v>
      </c>
      <c r="U873" s="264" t="s">
        <v>3143</v>
      </c>
      <c r="V873">
        <v>0</v>
      </c>
      <c r="W873">
        <v>0</v>
      </c>
      <c r="X873">
        <v>0</v>
      </c>
      <c r="Y873">
        <v>0</v>
      </c>
      <c r="Z873">
        <v>0</v>
      </c>
      <c r="AA873">
        <v>0</v>
      </c>
      <c r="AB873">
        <v>0</v>
      </c>
      <c r="AC873">
        <v>0</v>
      </c>
      <c r="AD873">
        <v>0</v>
      </c>
      <c r="AE873">
        <v>0</v>
      </c>
      <c r="AF873">
        <v>1</v>
      </c>
      <c r="AG873">
        <v>0</v>
      </c>
      <c r="AH873">
        <v>0</v>
      </c>
      <c r="AI873">
        <v>0</v>
      </c>
      <c r="AJ873">
        <v>0</v>
      </c>
      <c r="AK873">
        <v>0</v>
      </c>
      <c r="AL873">
        <v>0</v>
      </c>
      <c r="AM873">
        <v>0</v>
      </c>
      <c r="AN873">
        <v>0</v>
      </c>
      <c r="AO873">
        <v>0</v>
      </c>
      <c r="AP873">
        <v>0</v>
      </c>
      <c r="AQ873">
        <v>0</v>
      </c>
      <c r="AR873">
        <v>0</v>
      </c>
      <c r="AS873">
        <v>0</v>
      </c>
      <c r="AT873">
        <v>0</v>
      </c>
      <c r="AU873">
        <v>0</v>
      </c>
      <c r="AV873">
        <v>0</v>
      </c>
      <c r="AW873">
        <v>0</v>
      </c>
      <c r="AX873" s="141">
        <f t="shared" si="1066"/>
        <v>1</v>
      </c>
      <c r="AY873" s="141">
        <f t="shared" si="1067"/>
        <v>1</v>
      </c>
      <c r="AZ873">
        <f t="shared" si="1068"/>
        <v>0</v>
      </c>
      <c r="BA873">
        <f t="shared" si="1069"/>
        <v>1</v>
      </c>
      <c r="BB873">
        <f t="shared" si="1070"/>
        <v>0</v>
      </c>
      <c r="BC873">
        <f t="shared" si="1071"/>
        <v>0</v>
      </c>
      <c r="BD873">
        <f t="shared" si="1072"/>
        <v>0</v>
      </c>
      <c r="BE873" t="str">
        <f t="array" ref="BE873">IF(AY873=1,INDEX($V$7:$AL$7,MATCH(TRUE,INDEX($V873:$AW873&lt;&gt;0,),0)),IF(AY873=0,INDEX($AM$7:$AW$7,MATCH(1,$AM873:$AW873,0)),IF(BF873="Multiple strategies","mixed drivers",IF(BF873="Supply chain","multiple supply","multiple silviculture"))))</f>
        <v>supply chain organization</v>
      </c>
      <c r="BF873" s="2" t="str" cm="1">
        <f t="array" ref="BF873">IF(COUNTIF(AZ873:BB873,"&lt;&gt;0")=1,INDEX($V$4:$AW$4,MATCH(TRUE,INDEX($V873:$AW873&lt;&gt;0,),0)),IF(COUNTIF(AZ873:BB873,"&lt;&gt;0")=0,INDEX($AM$4:$AW$4,MATCH(1,$AM873:$AW873,0)),"Multiple strategies"))</f>
        <v>Supply chain</v>
      </c>
      <c r="BG873" s="1" t="s">
        <v>229</v>
      </c>
      <c r="BH873" t="s">
        <v>1816</v>
      </c>
      <c r="BI873" s="264" t="s">
        <v>3144</v>
      </c>
      <c r="BJ873" t="s">
        <v>1817</v>
      </c>
      <c r="BK873">
        <v>18260000</v>
      </c>
      <c r="BL873">
        <v>27430000</v>
      </c>
      <c r="BM873" t="s">
        <v>544</v>
      </c>
      <c r="BN873">
        <f t="shared" si="1073"/>
        <v>9170000</v>
      </c>
      <c r="BO873">
        <f>BN873</f>
        <v>9170000</v>
      </c>
      <c r="BP873" t="s">
        <v>395</v>
      </c>
      <c r="BQ873" s="264" t="s">
        <v>3145</v>
      </c>
      <c r="BR873" s="264" t="s">
        <v>3146</v>
      </c>
      <c r="BS873">
        <v>122.86</v>
      </c>
      <c r="BT873">
        <v>194.34</v>
      </c>
      <c r="BU873" s="144"/>
      <c r="BV873" s="152">
        <f t="shared" si="1097"/>
        <v>71.48</v>
      </c>
      <c r="BX873" s="152">
        <f>BV873*10^3*C_to_CO2</f>
        <v>262331.59999999998</v>
      </c>
      <c r="BY873">
        <f t="shared" si="994"/>
        <v>2.860758996728462E-2</v>
      </c>
      <c r="BZ873">
        <v>0</v>
      </c>
      <c r="CA873">
        <v>0</v>
      </c>
      <c r="CB873">
        <v>0</v>
      </c>
      <c r="CC873">
        <v>0</v>
      </c>
      <c r="CD873">
        <v>0</v>
      </c>
      <c r="CE873">
        <v>0</v>
      </c>
      <c r="CF873">
        <v>0</v>
      </c>
      <c r="CG873">
        <v>0</v>
      </c>
      <c r="CH873">
        <v>0</v>
      </c>
      <c r="CI873">
        <v>0</v>
      </c>
      <c r="CJ873">
        <v>0</v>
      </c>
      <c r="CK873">
        <v>0</v>
      </c>
      <c r="CL873">
        <v>0</v>
      </c>
      <c r="CM873">
        <v>0</v>
      </c>
      <c r="CN873" t="str">
        <f t="shared" si="1098"/>
        <v>refOK</v>
      </c>
      <c r="CO873">
        <f t="shared" si="1095"/>
        <v>18260000</v>
      </c>
      <c r="CP873">
        <f t="shared" si="1096"/>
        <v>27430000</v>
      </c>
      <c r="CQ873">
        <f t="shared" si="1074"/>
        <v>9170000</v>
      </c>
      <c r="CR873">
        <f>IF($CN873="refOK",$BT873,$BS873)*IF($BP873="Emissions positive",-1,1)</f>
        <v>-194.34</v>
      </c>
      <c r="CS873">
        <f>IF($CN873="refOK",$BS873,$BT873)*IF($BP873="Emissions positive",-1,1)</f>
        <v>-122.86</v>
      </c>
      <c r="CT873">
        <f t="shared" si="1077"/>
        <v>-262331.59999999998</v>
      </c>
      <c r="CU873">
        <f t="shared" si="1078"/>
        <v>-2.860758996728462E-2</v>
      </c>
      <c r="CV873" s="2">
        <f t="shared" si="1079"/>
        <v>0.3678089945456417</v>
      </c>
      <c r="CW873" s="1" t="s">
        <v>1198</v>
      </c>
      <c r="CX873" t="str">
        <f t="shared" si="1080"/>
        <v>reg</v>
      </c>
      <c r="CY873" t="s">
        <v>960</v>
      </c>
      <c r="CZ873">
        <v>2050</v>
      </c>
      <c r="DA873">
        <v>2050</v>
      </c>
      <c r="DB873">
        <v>1</v>
      </c>
      <c r="DC873" t="str">
        <f t="shared" si="1081"/>
        <v>1-30</v>
      </c>
      <c r="DD873">
        <v>0</v>
      </c>
      <c r="DE873">
        <v>1</v>
      </c>
      <c r="DF873">
        <v>1</v>
      </c>
      <c r="DG873">
        <v>1</v>
      </c>
      <c r="DH873">
        <v>0</v>
      </c>
      <c r="DI873">
        <f>SUM(DD873:DH873)</f>
        <v>3</v>
      </c>
      <c r="DJ873" t="str">
        <f t="shared" si="1083"/>
        <v>mixedProduct</v>
      </c>
      <c r="DK873">
        <f t="shared" si="1084"/>
        <v>0</v>
      </c>
      <c r="DL873" t="str">
        <f t="shared" si="1085"/>
        <v>Energy</v>
      </c>
      <c r="DM873" t="str">
        <f t="shared" si="1086"/>
        <v>Pulp/Paper</v>
      </c>
      <c r="DN873" t="str">
        <f t="shared" si="1087"/>
        <v>Timber</v>
      </c>
      <c r="DO873">
        <v>0</v>
      </c>
      <c r="DP873">
        <v>0</v>
      </c>
      <c r="DQ873">
        <v>0</v>
      </c>
      <c r="DR873">
        <v>0</v>
      </c>
      <c r="DS873">
        <v>0</v>
      </c>
      <c r="DT873">
        <f t="shared" si="1088"/>
        <v>0</v>
      </c>
      <c r="DU873" s="143" t="s">
        <v>961</v>
      </c>
      <c r="DV873">
        <v>0</v>
      </c>
      <c r="DW873">
        <v>0</v>
      </c>
      <c r="DX873">
        <v>0</v>
      </c>
      <c r="DY873">
        <v>0</v>
      </c>
      <c r="DZ873">
        <v>0</v>
      </c>
      <c r="EA873" s="143">
        <v>0</v>
      </c>
      <c r="EB873">
        <v>0</v>
      </c>
      <c r="EC873">
        <v>1</v>
      </c>
      <c r="ED873">
        <v>0</v>
      </c>
      <c r="EE873">
        <v>0</v>
      </c>
      <c r="EF873">
        <v>0</v>
      </c>
      <c r="EG873">
        <v>0</v>
      </c>
      <c r="EH873">
        <v>0</v>
      </c>
      <c r="EI873" s="2">
        <v>0</v>
      </c>
      <c r="EK873" t="str">
        <f t="shared" si="1090"/>
        <v/>
      </c>
      <c r="EL873" t="str">
        <f t="shared" si="1091"/>
        <v/>
      </c>
      <c r="EM873" s="2" t="str">
        <f t="shared" si="995"/>
        <v/>
      </c>
      <c r="EP873" t="str">
        <f>IF(ISNUMBER(BU873),IF(ABS(BU873-[3]QC_indicators!$B$2)&gt;3*[3]QC_indicators!$C$2,"C ratio",IF(ISNUMBER(BY873),IF(ABS(BY873-[3]QC_indicators!$B$1)&gt;3*[3]QC_indicators!$C$1,"DF","no"))),IF(ISNUMBER(BY873),IF(ABS(BY873-[3]QC_indicators!$B$1)&gt;3*[3]QC_indicators!$C$1,"DF","no")))</f>
        <v>no</v>
      </c>
      <c r="ET873" s="264" t="s">
        <v>3147</v>
      </c>
    </row>
    <row r="874" spans="1:150" ht="15" hidden="1" customHeight="1">
      <c r="A874" s="1" t="s">
        <v>1807</v>
      </c>
      <c r="B874" t="s">
        <v>1808</v>
      </c>
      <c r="C874" t="s">
        <v>1809</v>
      </c>
      <c r="D874" t="s">
        <v>1810</v>
      </c>
      <c r="E874" t="s">
        <v>1811</v>
      </c>
      <c r="F874" t="s">
        <v>1812</v>
      </c>
      <c r="G874" t="s">
        <v>1813</v>
      </c>
      <c r="H874" t="s">
        <v>254</v>
      </c>
      <c r="I874">
        <v>2014</v>
      </c>
      <c r="J874">
        <v>15</v>
      </c>
      <c r="K874" t="s">
        <v>1814</v>
      </c>
      <c r="M874" t="str">
        <f t="shared" si="1044"/>
        <v>Kayo_2014</v>
      </c>
      <c r="N874" t="s">
        <v>222</v>
      </c>
      <c r="O874" s="171" t="s">
        <v>513</v>
      </c>
      <c r="P874" t="s">
        <v>959</v>
      </c>
      <c r="Q874" t="s">
        <v>389</v>
      </c>
      <c r="R874" s="262" t="s">
        <v>223</v>
      </c>
      <c r="S874" s="1" t="s">
        <v>1815</v>
      </c>
      <c r="T874" t="s">
        <v>1110</v>
      </c>
      <c r="U874" s="264" t="s">
        <v>3143</v>
      </c>
      <c r="V874">
        <v>0</v>
      </c>
      <c r="W874">
        <v>0</v>
      </c>
      <c r="X874">
        <v>0</v>
      </c>
      <c r="Y874">
        <v>0</v>
      </c>
      <c r="Z874">
        <v>0</v>
      </c>
      <c r="AA874">
        <v>0</v>
      </c>
      <c r="AB874">
        <v>0</v>
      </c>
      <c r="AC874">
        <v>0</v>
      </c>
      <c r="AD874">
        <v>0</v>
      </c>
      <c r="AE874">
        <v>0</v>
      </c>
      <c r="AF874">
        <v>1</v>
      </c>
      <c r="AG874">
        <v>0</v>
      </c>
      <c r="AH874">
        <v>0</v>
      </c>
      <c r="AI874">
        <v>0</v>
      </c>
      <c r="AJ874">
        <v>0</v>
      </c>
      <c r="AK874">
        <v>0</v>
      </c>
      <c r="AL874">
        <v>0</v>
      </c>
      <c r="AM874">
        <v>0</v>
      </c>
      <c r="AN874">
        <v>0</v>
      </c>
      <c r="AO874">
        <v>0</v>
      </c>
      <c r="AP874">
        <v>0</v>
      </c>
      <c r="AQ874">
        <v>0</v>
      </c>
      <c r="AR874">
        <v>0</v>
      </c>
      <c r="AS874">
        <v>0</v>
      </c>
      <c r="AT874">
        <v>0</v>
      </c>
      <c r="AU874">
        <v>0</v>
      </c>
      <c r="AV874">
        <v>0</v>
      </c>
      <c r="AW874">
        <v>0</v>
      </c>
      <c r="AX874" s="141">
        <f t="shared" si="1066"/>
        <v>1</v>
      </c>
      <c r="AY874" s="141">
        <f t="shared" si="1067"/>
        <v>1</v>
      </c>
      <c r="AZ874">
        <f t="shared" si="1068"/>
        <v>0</v>
      </c>
      <c r="BA874">
        <f t="shared" si="1069"/>
        <v>1</v>
      </c>
      <c r="BB874">
        <f t="shared" si="1070"/>
        <v>0</v>
      </c>
      <c r="BC874">
        <f t="shared" si="1071"/>
        <v>0</v>
      </c>
      <c r="BD874">
        <f t="shared" si="1072"/>
        <v>0</v>
      </c>
      <c r="BE874" t="str">
        <f t="array" ref="BE874">IF(AY874=1,INDEX($V$7:$AL$7,MATCH(TRUE,INDEX($V874:$AW874&lt;&gt;0,),0)),IF(AY874=0,INDEX($AM$7:$AW$7,MATCH(1,$AM874:$AW874,0)),IF(BF874="Multiple strategies","mixed drivers",IF(BF874="Supply chain","multiple supply","multiple silviculture"))))</f>
        <v>supply chain organization</v>
      </c>
      <c r="BF874" s="2" t="str" cm="1">
        <f t="array" ref="BF874">IF(COUNTIF(AZ874:BB874,"&lt;&gt;0")=1,INDEX($V$4:$AW$4,MATCH(TRUE,INDEX($V874:$AW874&lt;&gt;0,),0)),IF(COUNTIF(AZ874:BB874,"&lt;&gt;0")=0,INDEX($AM$4:$AW$4,MATCH(1,$AM874:$AW874,0)),"Multiple strategies"))</f>
        <v>Supply chain</v>
      </c>
      <c r="BG874" s="1" t="s">
        <v>229</v>
      </c>
      <c r="BH874" t="s">
        <v>1816</v>
      </c>
      <c r="BI874" s="264" t="s">
        <v>3144</v>
      </c>
      <c r="BJ874" t="s">
        <v>1817</v>
      </c>
      <c r="BK874">
        <v>1700000.0000000002</v>
      </c>
      <c r="BL874">
        <v>2710000</v>
      </c>
      <c r="BM874" t="s">
        <v>544</v>
      </c>
      <c r="BN874">
        <f t="shared" si="1073"/>
        <v>1009999.9999999998</v>
      </c>
      <c r="BO874">
        <f>BN874</f>
        <v>1009999.9999999998</v>
      </c>
      <c r="BP874" t="s">
        <v>395</v>
      </c>
      <c r="BQ874" s="264" t="s">
        <v>3145</v>
      </c>
      <c r="BR874" s="264" t="s">
        <v>3146</v>
      </c>
      <c r="BS874">
        <v>31.43</v>
      </c>
      <c r="BT874">
        <v>52.83</v>
      </c>
      <c r="BU874" s="144"/>
      <c r="BV874" s="152">
        <f t="shared" si="1097"/>
        <v>21.4</v>
      </c>
      <c r="BX874" s="152">
        <f>BV874*10^3*C_to_CO2</f>
        <v>78538</v>
      </c>
      <c r="BY874">
        <f t="shared" ref="BY874:BY937" si="1099">IFERROR(BX874/BO874,"")</f>
        <v>7.7760396039603982E-2</v>
      </c>
      <c r="BZ874">
        <v>0</v>
      </c>
      <c r="CA874">
        <v>0</v>
      </c>
      <c r="CB874">
        <v>0</v>
      </c>
      <c r="CC874">
        <v>0</v>
      </c>
      <c r="CD874">
        <v>0</v>
      </c>
      <c r="CE874">
        <v>0</v>
      </c>
      <c r="CF874">
        <v>0</v>
      </c>
      <c r="CG874">
        <v>0</v>
      </c>
      <c r="CH874">
        <v>0</v>
      </c>
      <c r="CI874">
        <v>0</v>
      </c>
      <c r="CJ874">
        <v>0</v>
      </c>
      <c r="CK874">
        <v>0</v>
      </c>
      <c r="CL874">
        <v>0</v>
      </c>
      <c r="CM874">
        <v>0</v>
      </c>
      <c r="CN874" t="str">
        <f t="shared" si="1098"/>
        <v>refOK</v>
      </c>
      <c r="CO874">
        <f t="shared" si="1095"/>
        <v>1700000.0000000002</v>
      </c>
      <c r="CP874">
        <f t="shared" si="1096"/>
        <v>2710000</v>
      </c>
      <c r="CQ874">
        <f t="shared" si="1074"/>
        <v>1009999.9999999998</v>
      </c>
      <c r="CR874">
        <f>IF($CN874="refOK",$BS874,$BT874)*IF($BP874="Emissions positive",-1,1)</f>
        <v>-31.43</v>
      </c>
      <c r="CS874">
        <f>IF($CN874="refOK",$BT874,$BS874)*IF($BP874="Emissions positive",-1,1)</f>
        <v>-52.83</v>
      </c>
      <c r="CT874">
        <f t="shared" si="1077"/>
        <v>-78538</v>
      </c>
      <c r="CU874">
        <f t="shared" si="1078"/>
        <v>-7.7760396039603982E-2</v>
      </c>
      <c r="CV874" s="2">
        <f t="shared" si="1079"/>
        <v>-0.68087814190264073</v>
      </c>
      <c r="CW874" s="1" t="s">
        <v>1198</v>
      </c>
      <c r="CX874" t="str">
        <f t="shared" si="1080"/>
        <v>reg</v>
      </c>
      <c r="CY874" t="s">
        <v>960</v>
      </c>
      <c r="CZ874">
        <v>2050</v>
      </c>
      <c r="DA874">
        <v>2050</v>
      </c>
      <c r="DB874">
        <v>1</v>
      </c>
      <c r="DC874" t="str">
        <f t="shared" si="1081"/>
        <v>1-30</v>
      </c>
      <c r="DD874">
        <v>0</v>
      </c>
      <c r="DE874">
        <v>0</v>
      </c>
      <c r="DF874">
        <v>1</v>
      </c>
      <c r="DG874">
        <v>0</v>
      </c>
      <c r="DH874">
        <v>0</v>
      </c>
      <c r="DI874">
        <v>1</v>
      </c>
      <c r="DJ874" t="str">
        <f t="shared" si="1083"/>
        <v>PulpPaperInput</v>
      </c>
      <c r="DK874">
        <f t="shared" si="1084"/>
        <v>0</v>
      </c>
      <c r="DL874">
        <f t="shared" si="1085"/>
        <v>0</v>
      </c>
      <c r="DM874" t="str">
        <f t="shared" si="1086"/>
        <v>Pulp/Paper</v>
      </c>
      <c r="DN874">
        <f t="shared" si="1087"/>
        <v>0</v>
      </c>
      <c r="DO874">
        <v>0</v>
      </c>
      <c r="DP874">
        <v>0</v>
      </c>
      <c r="DQ874">
        <v>0</v>
      </c>
      <c r="DR874">
        <v>0</v>
      </c>
      <c r="DS874">
        <v>0</v>
      </c>
      <c r="DT874">
        <f t="shared" si="1088"/>
        <v>0</v>
      </c>
      <c r="DU874" s="143" t="s">
        <v>961</v>
      </c>
      <c r="DV874">
        <v>0</v>
      </c>
      <c r="DW874">
        <v>0</v>
      </c>
      <c r="DX874">
        <v>0</v>
      </c>
      <c r="DY874">
        <v>0</v>
      </c>
      <c r="DZ874">
        <v>0</v>
      </c>
      <c r="EA874" s="143">
        <v>0</v>
      </c>
      <c r="EB874">
        <v>0</v>
      </c>
      <c r="EC874">
        <v>1</v>
      </c>
      <c r="ED874">
        <v>0</v>
      </c>
      <c r="EE874">
        <v>0</v>
      </c>
      <c r="EF874">
        <v>0</v>
      </c>
      <c r="EG874">
        <v>0</v>
      </c>
      <c r="EH874">
        <v>0</v>
      </c>
      <c r="EI874" s="2">
        <v>0</v>
      </c>
      <c r="EK874" t="str">
        <f t="shared" si="1090"/>
        <v/>
      </c>
      <c r="EL874" t="str">
        <f t="shared" si="1091"/>
        <v/>
      </c>
      <c r="EM874" s="2" t="str">
        <f t="shared" si="995"/>
        <v/>
      </c>
      <c r="EP874" t="str">
        <f>IF(ISNUMBER(BU874),IF(ABS(BU874-[3]QC_indicators!$B$2)&gt;3*[3]QC_indicators!$C$2,"C ratio",IF(ISNUMBER(BY874),IF(ABS(BY874-[3]QC_indicators!$B$1)&gt;3*[3]QC_indicators!$C$1,"DF","no"))),IF(ISNUMBER(BY874),IF(ABS(BY874-[3]QC_indicators!$B$1)&gt;3*[3]QC_indicators!$C$1,"DF","no")))</f>
        <v>no</v>
      </c>
      <c r="ET874" s="264" t="s">
        <v>3147</v>
      </c>
    </row>
    <row r="875" spans="1:150" ht="15" hidden="1" customHeight="1">
      <c r="A875" s="1" t="s">
        <v>1101</v>
      </c>
      <c r="B875" t="s">
        <v>1818</v>
      </c>
      <c r="C875" t="s">
        <v>1819</v>
      </c>
      <c r="D875" t="s">
        <v>1820</v>
      </c>
      <c r="E875" t="s">
        <v>1821</v>
      </c>
      <c r="F875" t="s">
        <v>1822</v>
      </c>
      <c r="G875" t="s">
        <v>1107</v>
      </c>
      <c r="H875" t="s">
        <v>254</v>
      </c>
      <c r="I875">
        <v>2011</v>
      </c>
      <c r="J875">
        <v>49</v>
      </c>
      <c r="K875" t="s">
        <v>1823</v>
      </c>
      <c r="M875" t="str">
        <f t="shared" si="1044"/>
        <v>Kilpelainen_2011</v>
      </c>
      <c r="N875" t="s">
        <v>222</v>
      </c>
      <c r="O875" s="145" t="s">
        <v>513</v>
      </c>
      <c r="Q875" t="s">
        <v>256</v>
      </c>
      <c r="R875" s="262" t="s">
        <v>225</v>
      </c>
      <c r="S875" s="1" t="s">
        <v>1824</v>
      </c>
      <c r="T875" t="s">
        <v>1829</v>
      </c>
      <c r="U875" t="s">
        <v>1830</v>
      </c>
      <c r="V875">
        <v>0</v>
      </c>
      <c r="W875">
        <v>0</v>
      </c>
      <c r="X875">
        <v>0</v>
      </c>
      <c r="Y875">
        <v>0</v>
      </c>
      <c r="Z875">
        <v>0</v>
      </c>
      <c r="AA875">
        <v>0</v>
      </c>
      <c r="AB875">
        <v>0</v>
      </c>
      <c r="AC875">
        <v>0</v>
      </c>
      <c r="AD875">
        <v>0</v>
      </c>
      <c r="AE875">
        <v>0</v>
      </c>
      <c r="AF875">
        <v>1</v>
      </c>
      <c r="AG875">
        <v>0</v>
      </c>
      <c r="AH875">
        <v>0</v>
      </c>
      <c r="AI875">
        <v>0</v>
      </c>
      <c r="AJ875">
        <v>0</v>
      </c>
      <c r="AK875">
        <v>0</v>
      </c>
      <c r="AL875">
        <v>0</v>
      </c>
      <c r="AM875">
        <v>0</v>
      </c>
      <c r="AN875">
        <v>0</v>
      </c>
      <c r="AO875">
        <v>0</v>
      </c>
      <c r="AP875">
        <v>0</v>
      </c>
      <c r="AQ875">
        <v>0</v>
      </c>
      <c r="AR875">
        <v>0</v>
      </c>
      <c r="AS875">
        <v>0</v>
      </c>
      <c r="AT875">
        <v>0</v>
      </c>
      <c r="AU875">
        <v>0</v>
      </c>
      <c r="AV875">
        <v>0</v>
      </c>
      <c r="AW875">
        <v>0</v>
      </c>
      <c r="AX875" s="141">
        <f t="shared" si="1066"/>
        <v>1</v>
      </c>
      <c r="AY875" s="141">
        <f t="shared" si="1067"/>
        <v>1</v>
      </c>
      <c r="AZ875">
        <f t="shared" si="1068"/>
        <v>0</v>
      </c>
      <c r="BA875">
        <f t="shared" si="1069"/>
        <v>1</v>
      </c>
      <c r="BB875">
        <f t="shared" si="1070"/>
        <v>0</v>
      </c>
      <c r="BC875">
        <f t="shared" si="1071"/>
        <v>0</v>
      </c>
      <c r="BD875">
        <f t="shared" si="1072"/>
        <v>0</v>
      </c>
      <c r="BE875" t="str">
        <f t="array" ref="BE875">IF(AY875=1,INDEX($V$7:$AL$7,MATCH(TRUE,INDEX($V875:$AW875&lt;&gt;0,),0)),IF(AY875=0,INDEX($AM$7:$AW$7,MATCH(1,$AM875:$AW875,0)),IF(BF875="Multiple strategies","mixed drivers",IF(BF875="Supply chain","multiple supply","multiple silviculture"))))</f>
        <v>supply chain organization</v>
      </c>
      <c r="BF875" s="2" t="str" cm="1">
        <f t="array" ref="BF875">IF(COUNTIF(AZ875:BB875,"&lt;&gt;0")=1,INDEX($V$4:$AW$4,MATCH(TRUE,INDEX($V875:$AW875&lt;&gt;0,),0)),IF(COUNTIF(AZ875:BB875,"&lt;&gt;0")=0,INDEX($AM$4:$AW$4,MATCH(1,$AM875:$AW875,0)),"Multiple strategies"))</f>
        <v>Supply chain</v>
      </c>
      <c r="BG875" s="1" t="s">
        <v>321</v>
      </c>
      <c r="BH875" t="s">
        <v>1827</v>
      </c>
      <c r="BI875" s="260" t="s">
        <v>3364</v>
      </c>
      <c r="BJ875" t="s">
        <v>1828</v>
      </c>
      <c r="BK875">
        <f>71+13</f>
        <v>84</v>
      </c>
      <c r="BL875" s="260">
        <v>228</v>
      </c>
      <c r="BM875">
        <f>BL875/BK875</f>
        <v>2.7142857142857144</v>
      </c>
      <c r="BN875">
        <f t="shared" si="1073"/>
        <v>144</v>
      </c>
      <c r="BO875">
        <f>BN875*(1/10^6)*(1/C_to_CO2)*tC_to_m3</f>
        <v>1.7037367442773971E-4</v>
      </c>
      <c r="BP875" s="260" t="s">
        <v>395</v>
      </c>
      <c r="BQ875" s="260" t="s">
        <v>3364</v>
      </c>
      <c r="BR875" t="s">
        <v>1828</v>
      </c>
      <c r="BS875" s="260">
        <v>-214</v>
      </c>
      <c r="BT875" s="260">
        <v>-51</v>
      </c>
      <c r="BU875" s="144">
        <f>IFERROR(BT875/BS875,"")</f>
        <v>0.23831775700934579</v>
      </c>
      <c r="BV875">
        <f t="shared" si="1097"/>
        <v>163</v>
      </c>
      <c r="BX875">
        <f>BV875/10^6</f>
        <v>1.63E-4</v>
      </c>
      <c r="BY875">
        <f t="shared" si="1099"/>
        <v>0.95672057638888874</v>
      </c>
      <c r="BZ875">
        <v>0</v>
      </c>
      <c r="CA875">
        <v>0</v>
      </c>
      <c r="CB875">
        <v>0</v>
      </c>
      <c r="CC875">
        <v>0</v>
      </c>
      <c r="CD875">
        <v>0</v>
      </c>
      <c r="CE875">
        <v>0</v>
      </c>
      <c r="CF875">
        <v>0</v>
      </c>
      <c r="CG875">
        <v>0</v>
      </c>
      <c r="CH875">
        <v>0</v>
      </c>
      <c r="CI875">
        <v>0</v>
      </c>
      <c r="CJ875">
        <v>0</v>
      </c>
      <c r="CK875">
        <v>0</v>
      </c>
      <c r="CL875">
        <v>0</v>
      </c>
      <c r="CM875">
        <v>0</v>
      </c>
      <c r="CN875" t="str">
        <f t="shared" si="1098"/>
        <v>refOK</v>
      </c>
      <c r="CO875">
        <f t="shared" si="1095"/>
        <v>84</v>
      </c>
      <c r="CP875">
        <f t="shared" si="1096"/>
        <v>228</v>
      </c>
      <c r="CQ875">
        <f t="shared" si="1074"/>
        <v>1.7037367442773971E-4</v>
      </c>
      <c r="CR875">
        <f>IF($CN875="refOK",$BS875,$BT875)*IF($BP875="Emissions positive",-1,1)</f>
        <v>214</v>
      </c>
      <c r="CS875">
        <f>IF($CN875="refOK",$BT875,$BS875)*IF($BP875="Emissions positive",-1,1)</f>
        <v>51</v>
      </c>
      <c r="CT875">
        <f t="shared" si="1077"/>
        <v>-1.63E-4</v>
      </c>
      <c r="CU875">
        <f t="shared" si="1078"/>
        <v>-0.95672057638888874</v>
      </c>
      <c r="CV875" s="2">
        <f t="shared" si="1079"/>
        <v>-0.76168224299065423</v>
      </c>
      <c r="CW875" s="1" t="s">
        <v>1198</v>
      </c>
      <c r="CX875" t="str">
        <f t="shared" si="1080"/>
        <v>reg</v>
      </c>
      <c r="CY875" t="s">
        <v>235</v>
      </c>
      <c r="DB875">
        <v>80</v>
      </c>
      <c r="DC875" t="str">
        <f t="shared" si="1081"/>
        <v>71-100</v>
      </c>
      <c r="DD875">
        <v>0</v>
      </c>
      <c r="DE875">
        <v>1</v>
      </c>
      <c r="DF875">
        <v>1</v>
      </c>
      <c r="DG875">
        <v>1</v>
      </c>
      <c r="DI875">
        <f>SUM(DD875:DG875)</f>
        <v>3</v>
      </c>
      <c r="DJ875" t="str">
        <f t="shared" si="1083"/>
        <v>mixedProduct</v>
      </c>
      <c r="DK875">
        <f t="shared" si="1084"/>
        <v>0</v>
      </c>
      <c r="DL875" t="str">
        <f t="shared" si="1085"/>
        <v>Energy</v>
      </c>
      <c r="DM875" t="str">
        <f t="shared" si="1086"/>
        <v>Pulp/Paper</v>
      </c>
      <c r="DN875" t="str">
        <f t="shared" si="1087"/>
        <v>Timber</v>
      </c>
      <c r="DO875">
        <v>0</v>
      </c>
      <c r="DP875">
        <v>0</v>
      </c>
      <c r="DQ875">
        <v>0</v>
      </c>
      <c r="DR875">
        <v>0</v>
      </c>
      <c r="DS875">
        <v>0</v>
      </c>
      <c r="DT875">
        <f t="shared" si="1088"/>
        <v>0</v>
      </c>
      <c r="DU875" s="143" t="str">
        <f>IF(DO875=1,"self-calculated DF",IF(DP875=1,"external DF used","explicit C balance"))</f>
        <v>explicit C balance</v>
      </c>
      <c r="DV875">
        <v>1</v>
      </c>
      <c r="DW875">
        <v>1</v>
      </c>
      <c r="DX875">
        <v>1</v>
      </c>
      <c r="DY875">
        <v>0</v>
      </c>
      <c r="DZ875">
        <v>1</v>
      </c>
      <c r="EA875">
        <v>0</v>
      </c>
      <c r="EB875">
        <v>1</v>
      </c>
      <c r="EC875">
        <v>1</v>
      </c>
      <c r="ED875">
        <v>0</v>
      </c>
      <c r="EE875">
        <v>1</v>
      </c>
      <c r="EF875">
        <v>1</v>
      </c>
      <c r="EG875">
        <v>1</v>
      </c>
      <c r="EH875">
        <v>0</v>
      </c>
      <c r="EI875" s="2">
        <v>0</v>
      </c>
      <c r="EK875" t="str">
        <f t="shared" si="1090"/>
        <v>Whole sector</v>
      </c>
      <c r="EL875" t="str">
        <f t="shared" si="1091"/>
        <v/>
      </c>
      <c r="EM875" s="2" t="str">
        <f t="shared" si="995"/>
        <v/>
      </c>
      <c r="EP875" t="str">
        <f>IF(ISNUMBER(BU875),IF(ABS(BU875-[5]QC_indicators!$B$2)&gt;3*[5]QC_indicators!$C$2,"C ratio",IF(ISNUMBER(BY875),IF(ABS(BY875-[5]QC_indicators!$B$1)&gt;3*[5]QC_indicators!$C$1,"DF","no"))),IF(ISNUMBER(BY875),IF(ABS(BY875-[5]QC_indicators!$B$1)&gt;3*[5]QC_indicators!$C$1,"DF","no")))</f>
        <v>no</v>
      </c>
      <c r="ET875" s="264" t="s">
        <v>3272</v>
      </c>
    </row>
    <row r="876" spans="1:150" ht="15" hidden="1" customHeight="1">
      <c r="A876" s="1" t="s">
        <v>1101</v>
      </c>
      <c r="B876" t="s">
        <v>1818</v>
      </c>
      <c r="C876" t="s">
        <v>1819</v>
      </c>
      <c r="D876" t="s">
        <v>1820</v>
      </c>
      <c r="E876" t="s">
        <v>1821</v>
      </c>
      <c r="F876" t="s">
        <v>1822</v>
      </c>
      <c r="G876" t="s">
        <v>1107</v>
      </c>
      <c r="H876" t="s">
        <v>254</v>
      </c>
      <c r="I876">
        <v>2011</v>
      </c>
      <c r="J876">
        <v>49</v>
      </c>
      <c r="K876" t="s">
        <v>1823</v>
      </c>
      <c r="M876" t="str">
        <f t="shared" si="1044"/>
        <v>Kilpelainen_2011</v>
      </c>
      <c r="N876" t="s">
        <v>222</v>
      </c>
      <c r="O876" s="145" t="s">
        <v>513</v>
      </c>
      <c r="Q876" t="s">
        <v>256</v>
      </c>
      <c r="R876" s="262" t="s">
        <v>225</v>
      </c>
      <c r="S876" s="1" t="s">
        <v>1824</v>
      </c>
      <c r="T876" t="s">
        <v>1825</v>
      </c>
      <c r="U876" t="s">
        <v>1826</v>
      </c>
      <c r="V876">
        <v>0</v>
      </c>
      <c r="W876">
        <v>0</v>
      </c>
      <c r="X876">
        <v>0</v>
      </c>
      <c r="Y876">
        <v>0</v>
      </c>
      <c r="Z876">
        <v>0</v>
      </c>
      <c r="AA876">
        <v>0</v>
      </c>
      <c r="AB876">
        <v>0</v>
      </c>
      <c r="AC876">
        <v>0</v>
      </c>
      <c r="AD876">
        <v>0</v>
      </c>
      <c r="AE876">
        <v>0</v>
      </c>
      <c r="AF876">
        <v>1</v>
      </c>
      <c r="AG876">
        <v>0</v>
      </c>
      <c r="AH876">
        <v>0</v>
      </c>
      <c r="AI876">
        <v>0</v>
      </c>
      <c r="AJ876">
        <v>0</v>
      </c>
      <c r="AK876">
        <v>0</v>
      </c>
      <c r="AL876">
        <v>0</v>
      </c>
      <c r="AM876">
        <v>0</v>
      </c>
      <c r="AN876">
        <v>0</v>
      </c>
      <c r="AO876">
        <v>0</v>
      </c>
      <c r="AP876">
        <v>0</v>
      </c>
      <c r="AQ876">
        <v>0</v>
      </c>
      <c r="AR876">
        <v>0</v>
      </c>
      <c r="AS876">
        <v>0</v>
      </c>
      <c r="AT876">
        <v>0</v>
      </c>
      <c r="AU876">
        <v>0</v>
      </c>
      <c r="AV876">
        <v>0</v>
      </c>
      <c r="AW876">
        <v>0</v>
      </c>
      <c r="AX876" s="141">
        <f t="shared" si="1066"/>
        <v>1</v>
      </c>
      <c r="AY876" s="141">
        <f t="shared" si="1067"/>
        <v>1</v>
      </c>
      <c r="AZ876">
        <f t="shared" si="1068"/>
        <v>0</v>
      </c>
      <c r="BA876">
        <f t="shared" si="1069"/>
        <v>1</v>
      </c>
      <c r="BB876">
        <f t="shared" si="1070"/>
        <v>0</v>
      </c>
      <c r="BC876">
        <f t="shared" si="1071"/>
        <v>0</v>
      </c>
      <c r="BD876">
        <f t="shared" si="1072"/>
        <v>0</v>
      </c>
      <c r="BE876" t="str">
        <f t="array" ref="BE876">IF(AY876=1,INDEX($V$7:$AL$7,MATCH(TRUE,INDEX($V876:$AW876&lt;&gt;0,),0)),IF(AY876=0,INDEX($AM$7:$AW$7,MATCH(1,$AM876:$AW876,0)),IF(BF876="Multiple strategies","mixed drivers",IF(BF876="Supply chain","multiple supply","multiple silviculture"))))</f>
        <v>supply chain organization</v>
      </c>
      <c r="BF876" s="2" t="str" cm="1">
        <f t="array" ref="BF876">IF(COUNTIF(AZ876:BB876,"&lt;&gt;0")=1,INDEX($V$4:$AW$4,MATCH(TRUE,INDEX($V876:$AW876&lt;&gt;0,),0)),IF(COUNTIF(AZ876:BB876,"&lt;&gt;0")=0,INDEX($AM$4:$AW$4,MATCH(1,$AM876:$AW876,0)),"Multiple strategies"))</f>
        <v>Supply chain</v>
      </c>
      <c r="BG876" s="1" t="s">
        <v>321</v>
      </c>
      <c r="BH876" t="s">
        <v>1827</v>
      </c>
      <c r="BI876" s="260" t="s">
        <v>3364</v>
      </c>
      <c r="BJ876" t="s">
        <v>1828</v>
      </c>
      <c r="BK876">
        <f>70+15</f>
        <v>85</v>
      </c>
      <c r="BL876">
        <v>222</v>
      </c>
      <c r="BM876">
        <f>BL876/BK876</f>
        <v>2.611764705882353</v>
      </c>
      <c r="BN876">
        <f t="shared" si="1073"/>
        <v>137</v>
      </c>
      <c r="BO876">
        <f>BN876*(1/10^6)*(1/C_to_CO2)*tC_to_m3</f>
        <v>1.6209162080972457E-4</v>
      </c>
      <c r="BP876" s="260" t="s">
        <v>395</v>
      </c>
      <c r="BQ876" s="260" t="s">
        <v>3364</v>
      </c>
      <c r="BR876" t="s">
        <v>1828</v>
      </c>
      <c r="BS876" s="260">
        <v>-319</v>
      </c>
      <c r="BT876" s="260">
        <v>-110</v>
      </c>
      <c r="BU876" s="144">
        <f>IFERROR(BT876/BS876,"")</f>
        <v>0.34482758620689657</v>
      </c>
      <c r="BV876">
        <f t="shared" si="1097"/>
        <v>209</v>
      </c>
      <c r="BX876">
        <f>BV876/10^6</f>
        <v>2.0900000000000001E-4</v>
      </c>
      <c r="BY876">
        <f t="shared" si="1099"/>
        <v>1.2893942262773721</v>
      </c>
      <c r="BZ876">
        <v>0</v>
      </c>
      <c r="CA876">
        <v>0</v>
      </c>
      <c r="CB876">
        <v>0</v>
      </c>
      <c r="CC876">
        <v>0</v>
      </c>
      <c r="CD876">
        <v>0</v>
      </c>
      <c r="CE876">
        <v>0</v>
      </c>
      <c r="CF876">
        <v>0</v>
      </c>
      <c r="CG876">
        <v>0</v>
      </c>
      <c r="CH876">
        <v>0</v>
      </c>
      <c r="CI876">
        <v>0</v>
      </c>
      <c r="CJ876">
        <v>0</v>
      </c>
      <c r="CK876">
        <v>0</v>
      </c>
      <c r="CL876">
        <v>0</v>
      </c>
      <c r="CM876">
        <v>0</v>
      </c>
      <c r="CN876" t="str">
        <f t="shared" si="1098"/>
        <v>refOK</v>
      </c>
      <c r="CO876">
        <f t="shared" si="1095"/>
        <v>85</v>
      </c>
      <c r="CP876">
        <f t="shared" si="1096"/>
        <v>222</v>
      </c>
      <c r="CQ876">
        <f t="shared" si="1074"/>
        <v>1.6209162080972457E-4</v>
      </c>
      <c r="CR876">
        <f>IF($CN876="refOK",$BS876,$BT876)*IF($BP876="Emissions positive",-1,1)</f>
        <v>319</v>
      </c>
      <c r="CS876">
        <f>IF($CN876="refOK",$BT876,$BS876)*IF($BP876="Emissions positive",-1,1)</f>
        <v>110</v>
      </c>
      <c r="CT876">
        <f t="shared" si="1077"/>
        <v>-2.0900000000000001E-4</v>
      </c>
      <c r="CU876">
        <f t="shared" si="1078"/>
        <v>-1.2893942262773721</v>
      </c>
      <c r="CV876" s="2">
        <f t="shared" si="1079"/>
        <v>-0.65517241379310343</v>
      </c>
      <c r="CW876" s="1" t="s">
        <v>1198</v>
      </c>
      <c r="CX876" t="str">
        <f t="shared" si="1080"/>
        <v>reg</v>
      </c>
      <c r="CY876" t="s">
        <v>235</v>
      </c>
      <c r="DB876">
        <v>80</v>
      </c>
      <c r="DC876" t="str">
        <f t="shared" si="1081"/>
        <v>71-100</v>
      </c>
      <c r="DD876">
        <v>0</v>
      </c>
      <c r="DE876">
        <v>1</v>
      </c>
      <c r="DF876">
        <v>1</v>
      </c>
      <c r="DG876">
        <v>1</v>
      </c>
      <c r="DI876">
        <f>SUM(DD876:DG876)</f>
        <v>3</v>
      </c>
      <c r="DJ876" t="str">
        <f t="shared" si="1083"/>
        <v>mixedProduct</v>
      </c>
      <c r="DK876">
        <f t="shared" si="1084"/>
        <v>0</v>
      </c>
      <c r="DL876" t="str">
        <f t="shared" si="1085"/>
        <v>Energy</v>
      </c>
      <c r="DM876" t="str">
        <f t="shared" si="1086"/>
        <v>Pulp/Paper</v>
      </c>
      <c r="DN876" t="str">
        <f t="shared" si="1087"/>
        <v>Timber</v>
      </c>
      <c r="DO876">
        <v>0</v>
      </c>
      <c r="DP876">
        <v>0</v>
      </c>
      <c r="DQ876">
        <v>0</v>
      </c>
      <c r="DR876">
        <v>0</v>
      </c>
      <c r="DS876">
        <v>0</v>
      </c>
      <c r="DT876">
        <f t="shared" si="1088"/>
        <v>0</v>
      </c>
      <c r="DU876" s="143" t="str">
        <f>IF(DO876=1,"self-calculated DF",IF(DP876=1,"external DF used","explicit C balance"))</f>
        <v>explicit C balance</v>
      </c>
      <c r="DV876">
        <v>1</v>
      </c>
      <c r="DW876">
        <v>1</v>
      </c>
      <c r="DX876">
        <v>1</v>
      </c>
      <c r="DY876">
        <v>0</v>
      </c>
      <c r="DZ876">
        <v>1</v>
      </c>
      <c r="EA876">
        <v>0</v>
      </c>
      <c r="EB876">
        <v>1</v>
      </c>
      <c r="EC876">
        <v>1</v>
      </c>
      <c r="ED876">
        <v>0</v>
      </c>
      <c r="EE876">
        <v>1</v>
      </c>
      <c r="EF876">
        <v>1</v>
      </c>
      <c r="EG876">
        <v>1</v>
      </c>
      <c r="EH876">
        <v>0</v>
      </c>
      <c r="EI876" s="2">
        <v>0</v>
      </c>
      <c r="EK876" t="str">
        <f t="shared" si="1090"/>
        <v>Whole sector</v>
      </c>
      <c r="EL876" t="str">
        <f t="shared" si="1091"/>
        <v/>
      </c>
      <c r="EM876" s="2" t="str">
        <f t="shared" ref="EM876:EM939" si="1100">IF(AND(AND(AND($DX876=0,$DW876=0),OR($EC876=1,$EA876=1)),SUM($EB876:$EE876)&gt;=2),"Technology approach","")</f>
        <v/>
      </c>
      <c r="EP876" t="str">
        <f>IF(ISNUMBER(BU876),IF(ABS(BU876-[5]QC_indicators!$B$2)&gt;3*[5]QC_indicators!$C$2,"C ratio",IF(ISNUMBER(BY876),IF(ABS(BY876-[5]QC_indicators!$B$1)&gt;3*[5]QC_indicators!$C$1,"DF","no"))),IF(ISNUMBER(BY876),IF(ABS(BY876-[5]QC_indicators!$B$1)&gt;3*[5]QC_indicators!$C$1,"DF","no")))</f>
        <v>no</v>
      </c>
      <c r="ET876" s="264" t="s">
        <v>3272</v>
      </c>
    </row>
    <row r="877" spans="1:150" ht="15" hidden="1" customHeight="1">
      <c r="D877" t="s">
        <v>827</v>
      </c>
      <c r="E877" s="264" t="s">
        <v>828</v>
      </c>
      <c r="G877" t="s">
        <v>829</v>
      </c>
      <c r="I877">
        <v>2012</v>
      </c>
      <c r="K877" s="295" t="s">
        <v>830</v>
      </c>
      <c r="M877" t="str">
        <f t="shared" si="1044"/>
        <v>Kilpeläinen_2012</v>
      </c>
      <c r="N877" t="s">
        <v>222</v>
      </c>
      <c r="O877" t="s">
        <v>223</v>
      </c>
      <c r="Q877" s="264" t="s">
        <v>256</v>
      </c>
      <c r="R877" s="269" t="s">
        <v>1153</v>
      </c>
      <c r="S877" s="1" t="s">
        <v>831</v>
      </c>
      <c r="T877" t="s">
        <v>832</v>
      </c>
      <c r="U877" s="143" t="s">
        <v>833</v>
      </c>
      <c r="V877">
        <v>0</v>
      </c>
      <c r="W877">
        <v>0</v>
      </c>
      <c r="X877">
        <v>0</v>
      </c>
      <c r="Y877">
        <v>1</v>
      </c>
      <c r="Z877">
        <v>0</v>
      </c>
      <c r="AA877">
        <v>0</v>
      </c>
      <c r="AB877">
        <v>0</v>
      </c>
      <c r="AC877">
        <v>0</v>
      </c>
      <c r="AD877">
        <v>0</v>
      </c>
      <c r="AE877">
        <v>0</v>
      </c>
      <c r="AF877">
        <v>0</v>
      </c>
      <c r="AG877">
        <v>0</v>
      </c>
      <c r="AH877">
        <v>0</v>
      </c>
      <c r="AI877">
        <v>0</v>
      </c>
      <c r="AJ877">
        <v>0</v>
      </c>
      <c r="AK877">
        <v>0</v>
      </c>
      <c r="AL877">
        <v>0</v>
      </c>
      <c r="AM877">
        <v>0</v>
      </c>
      <c r="AN877">
        <v>0</v>
      </c>
      <c r="AO877">
        <v>0</v>
      </c>
      <c r="AP877">
        <v>0</v>
      </c>
      <c r="AQ877">
        <v>0</v>
      </c>
      <c r="AR877">
        <v>0</v>
      </c>
      <c r="AS877">
        <v>0</v>
      </c>
      <c r="AT877">
        <v>0</v>
      </c>
      <c r="AU877">
        <v>0</v>
      </c>
      <c r="AV877">
        <v>0</v>
      </c>
      <c r="AW877">
        <v>0</v>
      </c>
      <c r="AX877" s="141">
        <f t="shared" si="1066"/>
        <v>1</v>
      </c>
      <c r="AY877" s="141">
        <f t="shared" si="1067"/>
        <v>1</v>
      </c>
      <c r="AZ877">
        <f t="shared" si="1068"/>
        <v>1</v>
      </c>
      <c r="BA877">
        <f t="shared" si="1069"/>
        <v>0</v>
      </c>
      <c r="BB877">
        <f t="shared" si="1070"/>
        <v>0</v>
      </c>
      <c r="BC877">
        <f t="shared" si="1071"/>
        <v>0</v>
      </c>
      <c r="BD877">
        <f t="shared" si="1072"/>
        <v>0</v>
      </c>
      <c r="BE877" t="str" cm="1">
        <f t="array" ref="BE877">IF(AY877=1,INDEX($V$7:$AL$7,MATCH(TRUE,INDEX($V877:$AW877&lt;&gt;0,),0)),IF(AY877=0,INDEX($AM$7:$AW$7,MATCH(1,$AM877:$AW877,0)),IF(BF877="Multiple strategies","mixed drivers",IF(BF877="Supply chain","multiple supply","multiple silviculture"))))</f>
        <v xml:space="preserve">cutting intensity </v>
      </c>
      <c r="BF877" s="2" t="str" cm="1">
        <f t="array" ref="BF877">IF(COUNTIF(AZ877:BB877,"&lt;&gt;0")=1,INDEX($V$4:$AW$4,MATCH(TRUE,INDEX($V877:$AW877&lt;&gt;0,),0)),IF(COUNTIF(AZ877:BB877,"&lt;&gt;0")=0,INDEX($AM$4:$AW$4,MATCH(1,$AM877:$AW877,0)),"Multiple strategies"))</f>
        <v>Silviculture for removals</v>
      </c>
      <c r="BG877" s="142" t="s">
        <v>321</v>
      </c>
      <c r="BH877" t="s">
        <v>834</v>
      </c>
      <c r="BJ877" s="143" t="s">
        <v>835</v>
      </c>
      <c r="BL877" s="143"/>
      <c r="BM877" s="143"/>
      <c r="BN877" s="143">
        <v>17000000</v>
      </c>
      <c r="BO877" s="143">
        <f>BN877*90</f>
        <v>1530000000</v>
      </c>
      <c r="BP877" s="264" t="s">
        <v>232</v>
      </c>
      <c r="BQ877" s="264"/>
      <c r="BR877" t="s">
        <v>836</v>
      </c>
      <c r="BS877">
        <v>-9928</v>
      </c>
      <c r="BT877">
        <v>-10141</v>
      </c>
      <c r="BU877">
        <v>1.0214544721998389</v>
      </c>
      <c r="BV877">
        <v>-213</v>
      </c>
      <c r="BX877">
        <f>BV877/10^6</f>
        <v>-2.13E-4</v>
      </c>
      <c r="BY877">
        <f t="shared" si="1099"/>
        <v>-1.3921568627450981E-13</v>
      </c>
      <c r="BZ877" s="143">
        <v>0</v>
      </c>
      <c r="CA877" s="143">
        <v>0</v>
      </c>
      <c r="CB877" s="143">
        <v>0</v>
      </c>
      <c r="CC877" s="143">
        <v>0</v>
      </c>
      <c r="CD877" s="143">
        <v>0</v>
      </c>
      <c r="CE877" s="143">
        <v>0</v>
      </c>
      <c r="CF877" s="143">
        <v>0</v>
      </c>
      <c r="CG877" s="143">
        <v>1</v>
      </c>
      <c r="CH877" s="143">
        <v>0</v>
      </c>
      <c r="CI877" s="143">
        <v>0</v>
      </c>
      <c r="CJ877" s="143">
        <v>0</v>
      </c>
      <c r="CK877" s="143">
        <v>0</v>
      </c>
      <c r="CL877" s="143">
        <v>0</v>
      </c>
      <c r="CM877">
        <v>0</v>
      </c>
      <c r="CN877" t="str">
        <f>IF(BL877&lt;BK877,"refNeedCorrection","refOK")</f>
        <v>refOK</v>
      </c>
      <c r="CO877"/>
      <c r="CP877"/>
      <c r="CQ877">
        <f>IF($CN877="refNeedCorrection",-BO877,BO877)</f>
        <v>1530000000</v>
      </c>
      <c r="CR877">
        <f>IF($CN877="refOK",$BS877,$BT877)*IF($BP877="Emissions positive",-1,1)</f>
        <v>-9928</v>
      </c>
      <c r="CS877">
        <f>IF($CN877="refOK",$BT877,$BS877)*IF($BP877="Emissions positive",-1,1)</f>
        <v>-10141</v>
      </c>
      <c r="CT877">
        <f t="shared" si="1077"/>
        <v>-2.13E-4</v>
      </c>
      <c r="CU877">
        <f t="shared" si="1078"/>
        <v>-1.3921568627450981E-13</v>
      </c>
      <c r="CV877" s="2">
        <f t="shared" si="1079"/>
        <v>-2.1454472199838839E-2</v>
      </c>
      <c r="CW877" s="1" t="s">
        <v>234</v>
      </c>
      <c r="CX877" s="264" t="str">
        <f t="shared" si="1080"/>
        <v>loc</v>
      </c>
      <c r="CY877" t="s">
        <v>235</v>
      </c>
      <c r="DA877" s="143"/>
      <c r="DB877" s="143">
        <v>90</v>
      </c>
      <c r="DC877" t="str">
        <f t="shared" si="1081"/>
        <v>71-100</v>
      </c>
      <c r="DD877">
        <v>0</v>
      </c>
      <c r="DE877">
        <v>1</v>
      </c>
      <c r="DF877">
        <v>0</v>
      </c>
      <c r="DG877">
        <v>1</v>
      </c>
      <c r="DI877">
        <f>SUM(DD877:DG877)</f>
        <v>2</v>
      </c>
      <c r="DJ877" t="str">
        <f t="shared" si="1083"/>
        <v>mixedProduct</v>
      </c>
      <c r="DK877">
        <f t="shared" si="1084"/>
        <v>0</v>
      </c>
      <c r="DL877" t="str">
        <f t="shared" si="1085"/>
        <v>Energy</v>
      </c>
      <c r="DM877">
        <f t="shared" si="1086"/>
        <v>0</v>
      </c>
      <c r="DN877" t="str">
        <f t="shared" si="1087"/>
        <v>Timber</v>
      </c>
      <c r="DO877">
        <v>0</v>
      </c>
      <c r="DP877" s="143">
        <v>0</v>
      </c>
      <c r="DQ877" s="143">
        <v>0</v>
      </c>
      <c r="DR877">
        <v>0</v>
      </c>
      <c r="DS877" s="143">
        <v>0</v>
      </c>
      <c r="DT877">
        <f t="shared" si="1088"/>
        <v>0</v>
      </c>
      <c r="DU877" s="143" t="str">
        <f>IF(DO877=1,"self-calculated DF",IF(DP877=1,"external DF used","explicit C balance"))</f>
        <v>explicit C balance</v>
      </c>
      <c r="DV877" s="143">
        <v>1</v>
      </c>
      <c r="DW877" s="143">
        <v>1</v>
      </c>
      <c r="DX877" s="143">
        <v>1</v>
      </c>
      <c r="DY877" s="143">
        <v>0</v>
      </c>
      <c r="DZ877">
        <v>0</v>
      </c>
      <c r="EA877" s="143">
        <v>0</v>
      </c>
      <c r="EB877" s="143">
        <v>1</v>
      </c>
      <c r="EC877" s="143">
        <v>1</v>
      </c>
      <c r="ED877" s="143">
        <v>0</v>
      </c>
      <c r="EE877">
        <v>0</v>
      </c>
      <c r="EF877">
        <v>1</v>
      </c>
      <c r="EG877" s="143">
        <v>0</v>
      </c>
      <c r="EH877" s="143">
        <v>0</v>
      </c>
      <c r="EI877" s="2">
        <v>0</v>
      </c>
      <c r="EK877" t="str">
        <f t="shared" si="1090"/>
        <v>Whole sector</v>
      </c>
      <c r="EL877" t="str">
        <f t="shared" si="1091"/>
        <v/>
      </c>
      <c r="EM877" s="2" t="str">
        <f t="shared" si="1100"/>
        <v/>
      </c>
      <c r="EN877" t="s">
        <v>837</v>
      </c>
      <c r="EP877" t="str">
        <f>IF(ISNUMBER(BU877),IF(ABS(BU877-[4]QC_indicators!$B$2)&gt;3*[4]QC_indicators!$C$2,"C ratio",IF(ISNUMBER(BY877),IF(ABS(BY877-[4]QC_indicators!$B$1)&gt;3*[4]QC_indicators!$C$1,"DF","no"))),IF(ISNUMBER(BY877),IF(ABS(BY877-[4]QC_indicators!$B$1)&gt;3*[4]QC_indicators!$C$1,"DF","no")))</f>
        <v>no</v>
      </c>
      <c r="ER877" s="294" t="s">
        <v>349</v>
      </c>
      <c r="ET877" s="264" t="s">
        <v>3406</v>
      </c>
    </row>
    <row r="878" spans="1:150" ht="15" hidden="1" customHeight="1">
      <c r="A878" s="1" t="s">
        <v>1101</v>
      </c>
      <c r="B878" t="s">
        <v>4390</v>
      </c>
      <c r="C878" t="s">
        <v>4391</v>
      </c>
      <c r="D878" t="s">
        <v>4392</v>
      </c>
      <c r="E878" s="311" t="s">
        <v>4393</v>
      </c>
      <c r="F878" t="s">
        <v>4394</v>
      </c>
      <c r="G878" t="s">
        <v>1107</v>
      </c>
      <c r="H878" t="s">
        <v>254</v>
      </c>
      <c r="I878">
        <v>2016</v>
      </c>
      <c r="J878">
        <v>19</v>
      </c>
      <c r="K878" t="s">
        <v>4395</v>
      </c>
      <c r="M878" t="str">
        <f t="shared" si="1044"/>
        <v>Kilpelainen_2016</v>
      </c>
      <c r="N878" s="311" t="s">
        <v>2584</v>
      </c>
      <c r="O878" s="171" t="s">
        <v>513</v>
      </c>
      <c r="P878" t="s">
        <v>223</v>
      </c>
      <c r="Q878" s="311" t="s">
        <v>389</v>
      </c>
      <c r="R878" s="312"/>
      <c r="U878" s="143"/>
      <c r="AX878" s="141"/>
      <c r="AY878" s="141"/>
      <c r="BE878"/>
      <c r="BF878" s="2"/>
      <c r="BG878" s="142"/>
      <c r="BJ878" s="143"/>
      <c r="BL878" s="143"/>
      <c r="BN878" s="158"/>
      <c r="BO878" s="159"/>
      <c r="BS878" s="151"/>
      <c r="BT878" s="151"/>
      <c r="BU878" s="144"/>
      <c r="BY878" t="str">
        <f t="shared" si="1099"/>
        <v/>
      </c>
      <c r="BZ878" s="143"/>
      <c r="CA878" s="143"/>
      <c r="CB878" s="143"/>
      <c r="CC878" s="143"/>
      <c r="CD878" s="143"/>
      <c r="CE878" s="143"/>
      <c r="CF878" s="143"/>
      <c r="CG878" s="143"/>
      <c r="CH878" s="143"/>
      <c r="CI878" s="143"/>
      <c r="CJ878" s="143"/>
      <c r="CK878" s="143"/>
      <c r="CL878" s="143"/>
      <c r="CN878"/>
      <c r="CO878"/>
      <c r="CP878"/>
      <c r="CQ878"/>
      <c r="CR878"/>
      <c r="CS878"/>
      <c r="CT878"/>
      <c r="CU878"/>
      <c r="CV878" s="2"/>
      <c r="CX878" s="311"/>
      <c r="DA878" s="143"/>
      <c r="DB878" s="143"/>
      <c r="DC878"/>
      <c r="DI878"/>
      <c r="DJ878"/>
      <c r="DK878"/>
      <c r="DL878"/>
      <c r="DM878"/>
      <c r="DN878"/>
      <c r="DP878" s="143"/>
      <c r="DQ878" s="143"/>
      <c r="DS878" s="143"/>
      <c r="DT878"/>
      <c r="DU878" s="143"/>
      <c r="DV878" s="143"/>
      <c r="DW878" s="143"/>
      <c r="DX878" s="143"/>
      <c r="DY878" s="143"/>
      <c r="EB878" s="143"/>
      <c r="EC878" s="143"/>
      <c r="ED878" s="143"/>
      <c r="EG878" s="143"/>
      <c r="EH878" s="143"/>
      <c r="EK878" t="str">
        <f>IF(AND(AND(AND(OR($DX878=1,$DW878=1),OR($EC878=1,$EA878=1)),SUM($DV878:$DZ878,$EF878)&gt;=3),SUM($EA878:$EE878)&gt;=2),"Whole sector","")</f>
        <v/>
      </c>
      <c r="EL878" t="str">
        <f>IF(AND(AND(OR($DX878=1,$DW878=1),AND($EC878=0,$EA878=0)),SUM($DV878:$DZ878,$EF878)&gt;=3),"Ecosystem approach","")</f>
        <v/>
      </c>
      <c r="EM878" s="2" t="str">
        <f t="shared" si="1100"/>
        <v/>
      </c>
      <c r="EP878" t="b">
        <f>IF(ISNUMBER(BU878),IF(ABS(BU878-[1]QC_indicators!$B$2)&gt;3*[1]QC_indicators!$C$2,"C ratio",IF(ISNUMBER(BY878),IF(ABS(BY878-[1]QC_indicators!$B$1)&gt;3*[1]QC_indicators!$C$1,"DF","no"))),IF(ISNUMBER(BY878),IF(ABS(BY878-[1]QC_indicators!$B$1)&gt;3*[1]QC_indicators!$C$1,"DF","no")))</f>
        <v>0</v>
      </c>
    </row>
    <row r="879" spans="1:150" ht="15" hidden="1" customHeight="1">
      <c r="D879" t="s">
        <v>4539</v>
      </c>
      <c r="E879" t="s">
        <v>4540</v>
      </c>
      <c r="G879" t="s">
        <v>4541</v>
      </c>
      <c r="I879">
        <v>2008</v>
      </c>
      <c r="K879" s="311" t="s">
        <v>4542</v>
      </c>
      <c r="M879" t="str">
        <f t="shared" si="1044"/>
        <v>Kirkinen_2008</v>
      </c>
      <c r="N879" t="s">
        <v>2582</v>
      </c>
      <c r="O879" t="s">
        <v>223</v>
      </c>
      <c r="Q879" s="311" t="s">
        <v>256</v>
      </c>
      <c r="R879" s="312"/>
      <c r="U879" s="143"/>
      <c r="AX879" s="141"/>
      <c r="AY879" s="141"/>
      <c r="BE879"/>
      <c r="BF879" s="2"/>
      <c r="BJ879" s="143"/>
      <c r="BL879" s="143"/>
      <c r="BM879" s="143"/>
      <c r="BN879" s="143"/>
      <c r="BO879" s="143"/>
      <c r="BP879" s="143"/>
      <c r="BQ879" s="143"/>
      <c r="BS879" s="143"/>
      <c r="BY879" t="str">
        <f t="shared" si="1099"/>
        <v/>
      </c>
      <c r="CN879"/>
      <c r="CO879"/>
      <c r="CP879"/>
      <c r="CQ879"/>
      <c r="CR879"/>
      <c r="CS879"/>
      <c r="CT879"/>
      <c r="CU879"/>
      <c r="CV879" s="2"/>
      <c r="CX879"/>
      <c r="DA879" s="143"/>
      <c r="DB879" s="143"/>
      <c r="DC879"/>
      <c r="DI879"/>
      <c r="DJ879"/>
      <c r="DK879"/>
      <c r="DL879"/>
      <c r="DM879"/>
      <c r="DN879"/>
      <c r="DP879" s="143"/>
      <c r="DQ879" s="143"/>
      <c r="DS879" s="143"/>
      <c r="DT879"/>
      <c r="DU879" s="143"/>
      <c r="DV879" s="143"/>
      <c r="DW879" s="143"/>
      <c r="EB879" s="143"/>
      <c r="ED879" s="143"/>
      <c r="EG879" s="143"/>
      <c r="EK879" t="str">
        <f>IF(AND(AND(AND(OR($DX879=1,$DW879=1),OR($EC879=1,$EA879=1)),SUM($DV879:$DZ879,$EF879)&gt;=3),SUM($EA879:$EE879)&gt;=2),"Whole sector","")</f>
        <v/>
      </c>
      <c r="EL879" t="str">
        <f>IF(AND(AND(OR($DX879=1,$DW879=1),AND($EC879=0,$EA879=0)),SUM($DV879:$DZ879,$EF879)&gt;=3),"Ecosystem approach","")</f>
        <v/>
      </c>
      <c r="EM879" s="2" t="str">
        <f t="shared" si="1100"/>
        <v/>
      </c>
      <c r="EP879" t="b">
        <f>IF(ISNUMBER(BU879),IF(ABS(BU879-[1]QC_indicators!$B$2)&gt;3*[1]QC_indicators!$C$2,"C ratio",IF(ISNUMBER(BY879),IF(ABS(BY879-[1]QC_indicators!$B$1)&gt;3*[1]QC_indicators!$C$1,"DF","no"))),IF(ISNUMBER(BY879),IF(ABS(BY879-[1]QC_indicators!$B$1)&gt;3*[1]QC_indicators!$C$1,"DF","no")))</f>
        <v>0</v>
      </c>
    </row>
    <row r="880" spans="1:150" ht="15" hidden="1" customHeight="1">
      <c r="A880" s="1" t="s">
        <v>1137</v>
      </c>
      <c r="B880" t="s">
        <v>1831</v>
      </c>
      <c r="C880" t="s">
        <v>1832</v>
      </c>
      <c r="D880" t="s">
        <v>1833</v>
      </c>
      <c r="E880" t="s">
        <v>1834</v>
      </c>
      <c r="F880" t="s">
        <v>1835</v>
      </c>
      <c r="G880" t="s">
        <v>1138</v>
      </c>
      <c r="H880" t="s">
        <v>254</v>
      </c>
      <c r="I880">
        <v>2013</v>
      </c>
      <c r="J880">
        <v>26</v>
      </c>
      <c r="K880" t="s">
        <v>1836</v>
      </c>
      <c r="M880" t="str">
        <f t="shared" si="1044"/>
        <v>Klein_2013</v>
      </c>
      <c r="N880" t="s">
        <v>222</v>
      </c>
      <c r="O880" s="145" t="s">
        <v>513</v>
      </c>
      <c r="Q880" t="s">
        <v>256</v>
      </c>
      <c r="R880" s="255" t="s">
        <v>225</v>
      </c>
      <c r="S880" s="1" t="s">
        <v>1843</v>
      </c>
      <c r="T880" t="s">
        <v>1844</v>
      </c>
      <c r="U880" t="s">
        <v>1845</v>
      </c>
      <c r="V880">
        <v>0</v>
      </c>
      <c r="W880">
        <v>0</v>
      </c>
      <c r="X880">
        <v>0</v>
      </c>
      <c r="Y880">
        <v>0</v>
      </c>
      <c r="Z880">
        <v>1</v>
      </c>
      <c r="AA880">
        <v>0</v>
      </c>
      <c r="AB880">
        <v>0</v>
      </c>
      <c r="AC880">
        <v>0</v>
      </c>
      <c r="AD880">
        <v>0</v>
      </c>
      <c r="AE880">
        <v>0</v>
      </c>
      <c r="AF880">
        <v>0</v>
      </c>
      <c r="AG880">
        <v>0</v>
      </c>
      <c r="AH880">
        <v>0</v>
      </c>
      <c r="AI880">
        <v>0</v>
      </c>
      <c r="AJ880">
        <v>0</v>
      </c>
      <c r="AK880">
        <v>0</v>
      </c>
      <c r="AL880">
        <v>0</v>
      </c>
      <c r="AM880">
        <v>0</v>
      </c>
      <c r="AN880">
        <v>0</v>
      </c>
      <c r="AO880">
        <v>0</v>
      </c>
      <c r="AP880">
        <v>0</v>
      </c>
      <c r="AQ880">
        <v>0</v>
      </c>
      <c r="AR880">
        <v>0</v>
      </c>
      <c r="AS880">
        <v>0</v>
      </c>
      <c r="AT880">
        <v>0</v>
      </c>
      <c r="AU880">
        <v>0</v>
      </c>
      <c r="AV880">
        <v>0</v>
      </c>
      <c r="AW880">
        <v>0</v>
      </c>
      <c r="AX880" s="141">
        <f>COUNTIF(V880:AW880,"&lt;&gt;0")</f>
        <v>1</v>
      </c>
      <c r="AY880" s="141">
        <f>COUNTIF(V880:AL880,"&lt;&gt;0")</f>
        <v>1</v>
      </c>
      <c r="AZ880">
        <f>COUNTIF(V880:AC880,"&lt;&gt;0")</f>
        <v>1</v>
      </c>
      <c r="BA880">
        <f>COUNTIF(AD880:AI880,"&lt;&gt;0")</f>
        <v>0</v>
      </c>
      <c r="BB880">
        <f>COUNTIF(AJ880:AL880,"&lt;&gt;0")</f>
        <v>0</v>
      </c>
      <c r="BC880">
        <f>COUNTIF(AS880:AW880,"&lt;&gt;0")</f>
        <v>0</v>
      </c>
      <c r="BD880">
        <f>COUNTIF(AM880:AR880,"&lt;&gt;0")</f>
        <v>0</v>
      </c>
      <c r="BE880" t="str">
        <f t="array" ref="BE880">IF(AY880=1,INDEX($V$7:$AL$7,MATCH(TRUE,INDEX($V880:$AW880&lt;&gt;0,),0)),IF(AY880=0,INDEX($AM$7:$AW$7,MATCH(1,$AM880:$AW880,0)),IF(BF880="Multiple strategies","mixed drivers",IF(BF880="Supply chain","multiple supply","multiple silviculture"))))</f>
        <v>species</v>
      </c>
      <c r="BF880" s="2" t="str" cm="1">
        <f t="array" ref="BF880">IF(COUNTIF(AZ880:BB880,"&lt;&gt;0")=1,INDEX($V$4:$AW$4,MATCH(TRUE,INDEX($V880:$AW880&lt;&gt;0,),0)),IF(COUNTIF(AZ880:BB880,"&lt;&gt;0")=0,INDEX($AM$4:$AW$4,MATCH(1,$AM880:$AW880,0)),"Multiple strategies"))</f>
        <v>Silviculture for productivity</v>
      </c>
      <c r="BG880" s="1" t="s">
        <v>321</v>
      </c>
      <c r="BH880" t="s">
        <v>1840</v>
      </c>
      <c r="BI880" s="260" t="s">
        <v>3367</v>
      </c>
      <c r="BJ880" t="s">
        <v>278</v>
      </c>
      <c r="BK880">
        <v>25.2</v>
      </c>
      <c r="BL880">
        <v>52.7</v>
      </c>
      <c r="BM880">
        <f>BL880/BK880</f>
        <v>2.0912698412698414</v>
      </c>
      <c r="BN880">
        <f>BL880-BK880</f>
        <v>27.500000000000004</v>
      </c>
      <c r="BO880">
        <f>BN880*tC_to_m3</f>
        <v>119.4094659140252</v>
      </c>
      <c r="BP880" t="s">
        <v>232</v>
      </c>
      <c r="BQ880" s="260" t="s">
        <v>3366</v>
      </c>
      <c r="BR880" t="s">
        <v>278</v>
      </c>
      <c r="BS880">
        <v>444.6</v>
      </c>
      <c r="BT880">
        <v>351</v>
      </c>
      <c r="BU880" s="144">
        <f>IFERROR(BT880/BS880,"")</f>
        <v>0.78947368421052633</v>
      </c>
      <c r="BV880">
        <f>BT880-BS880</f>
        <v>-93.600000000000023</v>
      </c>
      <c r="BX880">
        <f>BV880*C_to_CO2</f>
        <v>-343.51200000000006</v>
      </c>
      <c r="BY880">
        <f t="shared" si="1099"/>
        <v>-2.8767568581818184</v>
      </c>
      <c r="BZ880">
        <v>0</v>
      </c>
      <c r="CA880">
        <v>0</v>
      </c>
      <c r="CB880">
        <v>0</v>
      </c>
      <c r="CC880">
        <v>0</v>
      </c>
      <c r="CD880">
        <v>0</v>
      </c>
      <c r="CE880">
        <v>0</v>
      </c>
      <c r="CF880">
        <v>0</v>
      </c>
      <c r="CG880">
        <v>0</v>
      </c>
      <c r="CH880">
        <v>0</v>
      </c>
      <c r="CI880">
        <v>0</v>
      </c>
      <c r="CJ880">
        <v>0</v>
      </c>
      <c r="CK880">
        <v>0</v>
      </c>
      <c r="CL880">
        <v>0</v>
      </c>
      <c r="CM880">
        <v>0</v>
      </c>
      <c r="CN880" t="str">
        <f>IF($BL880&lt;$BK880,"refNeedCorrection","refOK")</f>
        <v>refOK</v>
      </c>
      <c r="CO880">
        <f>IF($CN880="refOK",$BK880,$BL880)</f>
        <v>25.2</v>
      </c>
      <c r="CP880">
        <f>IF($CN880="refOK",$BL880,$BK880)</f>
        <v>52.7</v>
      </c>
      <c r="CQ880">
        <f>IF($CN880="refOK",$BO880,-$BO880)</f>
        <v>119.4094659140252</v>
      </c>
      <c r="CR880">
        <f>IF($CN880="refOK",$BS880,$BT880)*IF($BP880="Emissions positive",-1,1)</f>
        <v>444.6</v>
      </c>
      <c r="CS880">
        <f>IF($CN880="refOK",$BT880,$BS880)*IF($BP880="Emissions positive",-1,1)</f>
        <v>351</v>
      </c>
      <c r="CT880">
        <f>IF($CN880="refNeedCorrection",-BX880,BX880)*IF($BP880="Emissions positive",-1,1)</f>
        <v>-343.51200000000006</v>
      </c>
      <c r="CU880">
        <f>IFERROR(CT880/CQ880,"")</f>
        <v>-2.8767568581818184</v>
      </c>
      <c r="CV880" s="2">
        <f>IFERROR((CS880-CR880)/ABS(CR880),"")</f>
        <v>-0.21052631578947373</v>
      </c>
      <c r="CW880" s="1" t="s">
        <v>1198</v>
      </c>
      <c r="CX880" t="str">
        <f>IF(OR($CW880="prd",$CW880="std",$CW880="cit"),"loc",IF(OR($CW880="eur",$CW880="reg",$CW880="coy"),"reg",$CW880))</f>
        <v>reg</v>
      </c>
      <c r="CY880" t="s">
        <v>1300</v>
      </c>
      <c r="DB880">
        <v>180</v>
      </c>
      <c r="DC880" t="str">
        <f>IF(DB880=0,"0",IF(AND(DB880&gt;=1,DB880&lt;=30),"1-30",IF(AND(DB880&gt;30,DB880&lt;=70),"31-70",IF(AND(DB880&gt;70,DB880&lt;=100),"71-100",IF(DB880&gt;100,"+100")))))</f>
        <v>+100</v>
      </c>
      <c r="DD880">
        <v>0</v>
      </c>
      <c r="DE880">
        <v>1</v>
      </c>
      <c r="DF880">
        <v>1</v>
      </c>
      <c r="DG880">
        <v>1</v>
      </c>
      <c r="DH880">
        <v>1</v>
      </c>
      <c r="DI880">
        <f>SUM(DD880:DG880)</f>
        <v>3</v>
      </c>
      <c r="DJ880" t="str">
        <f>IF(DI880=1,INDEX($DD$7:$DG$7,MATCH(1,$DD880:$DG880,0)),"mixedProduct")</f>
        <v>mixedProduct</v>
      </c>
      <c r="DK880">
        <f t="shared" ref="DK880:DN883" si="1101">IF(DD880=1,DK$7,0)</f>
        <v>0</v>
      </c>
      <c r="DL880" t="str">
        <f t="shared" si="1101"/>
        <v>Energy</v>
      </c>
      <c r="DM880" t="str">
        <f t="shared" si="1101"/>
        <v>Pulp/Paper</v>
      </c>
      <c r="DN880" t="str">
        <f t="shared" si="1101"/>
        <v>Timber</v>
      </c>
      <c r="DO880">
        <v>0</v>
      </c>
      <c r="DP880">
        <v>1</v>
      </c>
      <c r="DQ880" t="s">
        <v>1841</v>
      </c>
      <c r="DR880" t="s">
        <v>1842</v>
      </c>
      <c r="DS880">
        <v>0</v>
      </c>
      <c r="DT880">
        <f>SUM(DO880:DP880)</f>
        <v>1</v>
      </c>
      <c r="DU880" s="143" t="str">
        <f>IF(DO880=1,"self-calculated DF",IF(DP880=1,"external DF used","explicit C balance"))</f>
        <v>external DF used</v>
      </c>
      <c r="DV880">
        <v>1</v>
      </c>
      <c r="DW880">
        <v>1</v>
      </c>
      <c r="DX880">
        <v>1</v>
      </c>
      <c r="DY880">
        <v>1</v>
      </c>
      <c r="DZ880">
        <v>1</v>
      </c>
      <c r="EA880">
        <v>1</v>
      </c>
      <c r="EB880">
        <v>0</v>
      </c>
      <c r="EC880">
        <v>0</v>
      </c>
      <c r="ED880">
        <v>0</v>
      </c>
      <c r="EE880">
        <v>0</v>
      </c>
      <c r="EF880">
        <v>1</v>
      </c>
      <c r="EG880">
        <v>0</v>
      </c>
      <c r="EH880">
        <v>0</v>
      </c>
      <c r="EI880" s="2">
        <v>0</v>
      </c>
      <c r="EK880" t="str">
        <f>IF(AND(AND(AND(OR($DX880=1,$DW880=1),OR($EC880=1,$EA880=1)),SUM($DV880:$DZ880,$EF880)&gt;=4),SUM($EA880:$EE880)&gt;=2),"Whole sector","")</f>
        <v/>
      </c>
      <c r="EL880" t="str">
        <f>IF(AND(AND(OR($DX880=1,$DW880=1),AND($EC880=0,$EA880=0)),SUM($DV880:$DZ880,$EF880)&gt;=4),"Ecosystem approach","")</f>
        <v/>
      </c>
      <c r="EM880" s="2" t="str">
        <f t="shared" si="1100"/>
        <v/>
      </c>
      <c r="EP880" t="str">
        <f>IF(ISNUMBER(BU880),IF(ABS(BU880-[5]QC_indicators!$B$2)&gt;3*[5]QC_indicators!$C$2,"C ratio",IF(ISNUMBER(BY880),IF(ABS(BY880-[5]QC_indicators!$B$1)&gt;3*[5]QC_indicators!$C$1,"DF","no"))),IF(ISNUMBER(BY880),IF(ABS(BY880-[5]QC_indicators!$B$1)&gt;3*[5]QC_indicators!$C$1,"DF","no")))</f>
        <v>no</v>
      </c>
      <c r="ET880" s="264" t="s">
        <v>3272</v>
      </c>
    </row>
    <row r="881" spans="1:150" ht="15" hidden="1" customHeight="1">
      <c r="A881" s="1" t="s">
        <v>1137</v>
      </c>
      <c r="B881" t="s">
        <v>1831</v>
      </c>
      <c r="C881" t="s">
        <v>1832</v>
      </c>
      <c r="D881" t="s">
        <v>1833</v>
      </c>
      <c r="E881" t="s">
        <v>1834</v>
      </c>
      <c r="F881" t="s">
        <v>1835</v>
      </c>
      <c r="G881" t="s">
        <v>1138</v>
      </c>
      <c r="H881" t="s">
        <v>254</v>
      </c>
      <c r="I881">
        <v>2013</v>
      </c>
      <c r="J881">
        <v>26</v>
      </c>
      <c r="K881" t="s">
        <v>1836</v>
      </c>
      <c r="M881" t="str">
        <f t="shared" si="1044"/>
        <v>Klein_2013</v>
      </c>
      <c r="N881" t="s">
        <v>222</v>
      </c>
      <c r="O881" s="145" t="s">
        <v>513</v>
      </c>
      <c r="Q881" t="s">
        <v>256</v>
      </c>
      <c r="R881" s="255" t="s">
        <v>225</v>
      </c>
      <c r="S881" s="1" t="s">
        <v>1843</v>
      </c>
      <c r="T881" t="s">
        <v>1844</v>
      </c>
      <c r="U881" t="s">
        <v>1846</v>
      </c>
      <c r="V881">
        <v>0</v>
      </c>
      <c r="W881">
        <v>0</v>
      </c>
      <c r="X881">
        <v>0</v>
      </c>
      <c r="Y881">
        <v>0</v>
      </c>
      <c r="Z881">
        <v>1</v>
      </c>
      <c r="AA881">
        <v>0</v>
      </c>
      <c r="AB881">
        <v>0</v>
      </c>
      <c r="AC881">
        <v>0</v>
      </c>
      <c r="AD881">
        <v>0</v>
      </c>
      <c r="AE881">
        <v>0</v>
      </c>
      <c r="AF881">
        <v>0</v>
      </c>
      <c r="AG881">
        <v>0</v>
      </c>
      <c r="AH881">
        <v>0</v>
      </c>
      <c r="AI881">
        <v>0</v>
      </c>
      <c r="AJ881">
        <v>0</v>
      </c>
      <c r="AK881">
        <v>0</v>
      </c>
      <c r="AL881">
        <v>0</v>
      </c>
      <c r="AM881">
        <v>0</v>
      </c>
      <c r="AN881">
        <v>0</v>
      </c>
      <c r="AO881">
        <v>0</v>
      </c>
      <c r="AP881">
        <v>0</v>
      </c>
      <c r="AQ881">
        <v>0</v>
      </c>
      <c r="AR881">
        <v>0</v>
      </c>
      <c r="AS881">
        <v>0</v>
      </c>
      <c r="AT881">
        <v>0</v>
      </c>
      <c r="AU881">
        <v>0</v>
      </c>
      <c r="AV881">
        <v>0</v>
      </c>
      <c r="AW881">
        <v>0</v>
      </c>
      <c r="AX881" s="141">
        <f>COUNTIF(V881:AW881,"&lt;&gt;0")</f>
        <v>1</v>
      </c>
      <c r="AY881" s="141">
        <f>COUNTIF(V881:AL881,"&lt;&gt;0")</f>
        <v>1</v>
      </c>
      <c r="AZ881">
        <f>COUNTIF(V881:AC881,"&lt;&gt;0")</f>
        <v>1</v>
      </c>
      <c r="BA881">
        <f>COUNTIF(AD881:AI881,"&lt;&gt;0")</f>
        <v>0</v>
      </c>
      <c r="BB881">
        <f>COUNTIF(AJ881:AL881,"&lt;&gt;0")</f>
        <v>0</v>
      </c>
      <c r="BC881">
        <f>COUNTIF(AS881:AW881,"&lt;&gt;0")</f>
        <v>0</v>
      </c>
      <c r="BD881">
        <f>COUNTIF(AM881:AR881,"&lt;&gt;0")</f>
        <v>0</v>
      </c>
      <c r="BE881" t="str">
        <f t="array" ref="BE881">IF(AY881=1,INDEX($V$7:$AL$7,MATCH(TRUE,INDEX($V881:$AW881&lt;&gt;0,),0)),IF(AY881=0,INDEX($AM$7:$AW$7,MATCH(1,$AM881:$AW881,0)),IF(BF881="Multiple strategies","mixed drivers",IF(BF881="Supply chain","multiple supply","multiple silviculture"))))</f>
        <v>species</v>
      </c>
      <c r="BF881" s="2" t="str" cm="1">
        <f t="array" ref="BF881">IF(COUNTIF(AZ881:BB881,"&lt;&gt;0")=1,INDEX($V$4:$AW$4,MATCH(TRUE,INDEX($V881:$AW881&lt;&gt;0,),0)),IF(COUNTIF(AZ881:BB881,"&lt;&gt;0")=0,INDEX($AM$4:$AW$4,MATCH(1,$AM881:$AW881,0)),"Multiple strategies"))</f>
        <v>Silviculture for productivity</v>
      </c>
      <c r="BG881" s="1" t="s">
        <v>321</v>
      </c>
      <c r="BH881" t="s">
        <v>1840</v>
      </c>
      <c r="BI881" s="260" t="s">
        <v>3367</v>
      </c>
      <c r="BJ881" t="s">
        <v>278</v>
      </c>
      <c r="BK881">
        <v>25.2</v>
      </c>
      <c r="BL881">
        <v>63</v>
      </c>
      <c r="BM881">
        <f>BL881/BK881</f>
        <v>2.5</v>
      </c>
      <c r="BN881">
        <f>BL881-BK881</f>
        <v>37.799999999999997</v>
      </c>
      <c r="BO881">
        <f>BN881*tC_to_m3</f>
        <v>164.13373860182369</v>
      </c>
      <c r="BP881" t="s">
        <v>232</v>
      </c>
      <c r="BQ881" s="260" t="s">
        <v>3366</v>
      </c>
      <c r="BR881" t="s">
        <v>278</v>
      </c>
      <c r="BS881">
        <v>444.6</v>
      </c>
      <c r="BT881">
        <v>493.2</v>
      </c>
      <c r="BU881" s="144">
        <f>IFERROR(BT881/BS881,"")</f>
        <v>1.1093117408906881</v>
      </c>
      <c r="BV881">
        <f>BT881-BS881</f>
        <v>48.599999999999966</v>
      </c>
      <c r="BX881">
        <f>BV881*C_to_CO2</f>
        <v>178.36199999999988</v>
      </c>
      <c r="BY881">
        <f t="shared" si="1099"/>
        <v>1.0866869999999993</v>
      </c>
      <c r="BZ881">
        <v>0</v>
      </c>
      <c r="CA881">
        <v>0</v>
      </c>
      <c r="CB881">
        <v>0</v>
      </c>
      <c r="CC881">
        <v>0</v>
      </c>
      <c r="CD881">
        <v>0</v>
      </c>
      <c r="CE881">
        <v>0</v>
      </c>
      <c r="CF881">
        <v>0</v>
      </c>
      <c r="CG881">
        <v>0</v>
      </c>
      <c r="CH881">
        <v>0</v>
      </c>
      <c r="CI881">
        <v>0</v>
      </c>
      <c r="CJ881">
        <v>0</v>
      </c>
      <c r="CK881">
        <v>0</v>
      </c>
      <c r="CL881">
        <v>0</v>
      </c>
      <c r="CM881">
        <v>0</v>
      </c>
      <c r="CN881" t="str">
        <f>IF($BL881&lt;$BK881,"refNeedCorrection","refOK")</f>
        <v>refOK</v>
      </c>
      <c r="CO881">
        <f>IF($CN881="refOK",$BK881,$BL881)</f>
        <v>25.2</v>
      </c>
      <c r="CP881">
        <f>IF($CN881="refOK",$BL881,$BK881)</f>
        <v>63</v>
      </c>
      <c r="CQ881">
        <f>IF($CN881="refOK",$BO881,-$BO881)</f>
        <v>164.13373860182369</v>
      </c>
      <c r="CR881">
        <f>IF($CN881="refOK",$BS881,$BT881)*IF($BP881="Emissions positive",-1,1)</f>
        <v>444.6</v>
      </c>
      <c r="CS881">
        <f>IF($CN881="refOK",$BT881,$BS881)*IF($BP881="Emissions positive",-1,1)</f>
        <v>493.2</v>
      </c>
      <c r="CT881">
        <f>IF($CN881="refNeedCorrection",-BX881,BX881)*IF($BP881="Emissions positive",-1,1)</f>
        <v>178.36199999999988</v>
      </c>
      <c r="CU881">
        <f>IFERROR(CT881/CQ881,"")</f>
        <v>1.0866869999999993</v>
      </c>
      <c r="CV881" s="2">
        <f>IFERROR((CS881-CR881)/ABS(CR881),"")</f>
        <v>0.10931174089068818</v>
      </c>
      <c r="CW881" s="1" t="s">
        <v>1198</v>
      </c>
      <c r="CX881" t="str">
        <f>IF(OR($CW881="prd",$CW881="std",$CW881="cit"),"loc",IF(OR($CW881="eur",$CW881="reg",$CW881="coy"),"reg",$CW881))</f>
        <v>reg</v>
      </c>
      <c r="CY881" t="s">
        <v>1300</v>
      </c>
      <c r="DB881">
        <v>180</v>
      </c>
      <c r="DC881" t="str">
        <f>IF(DB881=0,"0",IF(AND(DB881&gt;=1,DB881&lt;=30),"1-30",IF(AND(DB881&gt;30,DB881&lt;=70),"31-70",IF(AND(DB881&gt;70,DB881&lt;=100),"71-100",IF(DB881&gt;100,"+100")))))</f>
        <v>+100</v>
      </c>
      <c r="DD881">
        <v>0</v>
      </c>
      <c r="DE881">
        <v>1</v>
      </c>
      <c r="DF881">
        <v>1</v>
      </c>
      <c r="DG881">
        <v>1</v>
      </c>
      <c r="DH881">
        <v>1</v>
      </c>
      <c r="DI881">
        <f>SUM(DD881:DG881)</f>
        <v>3</v>
      </c>
      <c r="DJ881" t="str">
        <f>IF(DI881=1,INDEX($DD$7:$DG$7,MATCH(1,$DD881:$DG881,0)),"mixedProduct")</f>
        <v>mixedProduct</v>
      </c>
      <c r="DK881">
        <f t="shared" si="1101"/>
        <v>0</v>
      </c>
      <c r="DL881" t="str">
        <f t="shared" si="1101"/>
        <v>Energy</v>
      </c>
      <c r="DM881" t="str">
        <f t="shared" si="1101"/>
        <v>Pulp/Paper</v>
      </c>
      <c r="DN881" t="str">
        <f t="shared" si="1101"/>
        <v>Timber</v>
      </c>
      <c r="DO881">
        <v>0</v>
      </c>
      <c r="DP881">
        <v>1</v>
      </c>
      <c r="DQ881" t="s">
        <v>1841</v>
      </c>
      <c r="DR881" t="s">
        <v>1842</v>
      </c>
      <c r="DS881">
        <v>0</v>
      </c>
      <c r="DT881">
        <f>SUM(DO881:DP881)</f>
        <v>1</v>
      </c>
      <c r="DU881" s="143" t="str">
        <f>IF(DO881=1,"self-calculated DF",IF(DP881=1,"external DF used","explicit C balance"))</f>
        <v>external DF used</v>
      </c>
      <c r="DV881">
        <v>1</v>
      </c>
      <c r="DW881">
        <v>1</v>
      </c>
      <c r="DX881">
        <v>1</v>
      </c>
      <c r="DY881">
        <v>1</v>
      </c>
      <c r="DZ881">
        <v>1</v>
      </c>
      <c r="EA881">
        <v>1</v>
      </c>
      <c r="EB881">
        <v>0</v>
      </c>
      <c r="EC881">
        <v>0</v>
      </c>
      <c r="ED881">
        <v>0</v>
      </c>
      <c r="EE881">
        <v>0</v>
      </c>
      <c r="EF881">
        <v>1</v>
      </c>
      <c r="EG881">
        <v>0</v>
      </c>
      <c r="EH881">
        <v>0</v>
      </c>
      <c r="EI881" s="2">
        <v>0</v>
      </c>
      <c r="EK881" t="str">
        <f>IF(AND(AND(AND(OR($DX881=1,$DW881=1),OR($EC881=1,$EA881=1)),SUM($DV881:$DZ881,$EF881)&gt;=4),SUM($EA881:$EE881)&gt;=2),"Whole sector","")</f>
        <v/>
      </c>
      <c r="EL881" t="str">
        <f>IF(AND(AND(OR($DX881=1,$DW881=1),AND($EC881=0,$EA881=0)),SUM($DV881:$DZ881,$EF881)&gt;=4),"Ecosystem approach","")</f>
        <v/>
      </c>
      <c r="EM881" s="2" t="str">
        <f t="shared" si="1100"/>
        <v/>
      </c>
      <c r="EP881" t="str">
        <f>IF(ISNUMBER(BU881),IF(ABS(BU881-[5]QC_indicators!$B$2)&gt;3*[5]QC_indicators!$C$2,"C ratio",IF(ISNUMBER(BY881),IF(ABS(BY881-[5]QC_indicators!$B$1)&gt;3*[5]QC_indicators!$C$1,"DF","no"))),IF(ISNUMBER(BY881),IF(ABS(BY881-[5]QC_indicators!$B$1)&gt;3*[5]QC_indicators!$C$1,"DF","no")))</f>
        <v>no</v>
      </c>
      <c r="ET881" s="264" t="s">
        <v>3272</v>
      </c>
    </row>
    <row r="882" spans="1:150" ht="15" hidden="1" customHeight="1">
      <c r="A882" s="1" t="s">
        <v>1137</v>
      </c>
      <c r="B882" t="s">
        <v>1831</v>
      </c>
      <c r="C882" t="s">
        <v>1832</v>
      </c>
      <c r="D882" t="s">
        <v>1833</v>
      </c>
      <c r="E882" t="s">
        <v>1834</v>
      </c>
      <c r="F882" t="s">
        <v>1835</v>
      </c>
      <c r="G882" t="s">
        <v>1138</v>
      </c>
      <c r="H882" t="s">
        <v>254</v>
      </c>
      <c r="I882">
        <v>2013</v>
      </c>
      <c r="J882">
        <v>26</v>
      </c>
      <c r="K882" t="s">
        <v>1836</v>
      </c>
      <c r="M882" t="str">
        <f t="shared" si="1044"/>
        <v>Klein_2013</v>
      </c>
      <c r="N882" t="s">
        <v>222</v>
      </c>
      <c r="O882" s="145" t="s">
        <v>513</v>
      </c>
      <c r="Q882" t="s">
        <v>256</v>
      </c>
      <c r="R882" s="255" t="s">
        <v>225</v>
      </c>
      <c r="S882" s="1" t="s">
        <v>1837</v>
      </c>
      <c r="T882" t="s">
        <v>1838</v>
      </c>
      <c r="U882" t="s">
        <v>1839</v>
      </c>
      <c r="V882">
        <v>0</v>
      </c>
      <c r="W882">
        <v>0</v>
      </c>
      <c r="X882">
        <v>0</v>
      </c>
      <c r="Y882">
        <v>1</v>
      </c>
      <c r="Z882">
        <v>0</v>
      </c>
      <c r="AA882">
        <v>0</v>
      </c>
      <c r="AB882">
        <v>0</v>
      </c>
      <c r="AC882">
        <v>0</v>
      </c>
      <c r="AD882">
        <v>0</v>
      </c>
      <c r="AE882">
        <v>0</v>
      </c>
      <c r="AF882">
        <v>0</v>
      </c>
      <c r="AG882">
        <v>0</v>
      </c>
      <c r="AH882">
        <v>0</v>
      </c>
      <c r="AI882">
        <v>0</v>
      </c>
      <c r="AJ882">
        <v>0</v>
      </c>
      <c r="AK882">
        <v>0</v>
      </c>
      <c r="AL882">
        <v>0</v>
      </c>
      <c r="AM882">
        <v>0</v>
      </c>
      <c r="AN882">
        <v>0</v>
      </c>
      <c r="AO882">
        <v>0</v>
      </c>
      <c r="AP882">
        <v>0</v>
      </c>
      <c r="AQ882">
        <v>0</v>
      </c>
      <c r="AR882">
        <v>0</v>
      </c>
      <c r="AS882">
        <v>0</v>
      </c>
      <c r="AT882">
        <v>0</v>
      </c>
      <c r="AU882">
        <v>0</v>
      </c>
      <c r="AV882">
        <v>0</v>
      </c>
      <c r="AW882">
        <v>0</v>
      </c>
      <c r="AX882" s="141">
        <f>COUNTIF(V882:AW882,"&lt;&gt;0")</f>
        <v>1</v>
      </c>
      <c r="AY882" s="141">
        <f>COUNTIF(V882:AL882,"&lt;&gt;0")</f>
        <v>1</v>
      </c>
      <c r="AZ882">
        <f>COUNTIF(V882:AC882,"&lt;&gt;0")</f>
        <v>1</v>
      </c>
      <c r="BA882">
        <f>COUNTIF(AD882:AI882,"&lt;&gt;0")</f>
        <v>0</v>
      </c>
      <c r="BB882">
        <f>COUNTIF(AJ882:AL882,"&lt;&gt;0")</f>
        <v>0</v>
      </c>
      <c r="BC882">
        <f>COUNTIF(AS882:AW882,"&lt;&gt;0")</f>
        <v>0</v>
      </c>
      <c r="BD882">
        <f>COUNTIF(AM882:AR882,"&lt;&gt;0")</f>
        <v>0</v>
      </c>
      <c r="BE882" t="str">
        <f t="array" ref="BE882">IF(AY882=1,INDEX($V$7:$AL$7,MATCH(TRUE,INDEX($V882:$AW882&lt;&gt;0,),0)),IF(AY882=0,INDEX($AM$7:$AW$7,MATCH(1,$AM882:$AW882,0)),IF(BF882="Multiple strategies","mixed drivers",IF(BF882="Supply chain","multiple supply","multiple silviculture"))))</f>
        <v xml:space="preserve">cutting intensity </v>
      </c>
      <c r="BF882" s="2" t="str" cm="1">
        <f t="array" ref="BF882">IF(COUNTIF(AZ882:BB882,"&lt;&gt;0")=1,INDEX($V$4:$AW$4,MATCH(TRUE,INDEX($V882:$AW882&lt;&gt;0,),0)),IF(COUNTIF(AZ882:BB882,"&lt;&gt;0")=0,INDEX($AM$4:$AW$4,MATCH(1,$AM882:$AW882,0)),"Multiple strategies"))</f>
        <v>Silviculture for removals</v>
      </c>
      <c r="BG882" s="1" t="s">
        <v>321</v>
      </c>
      <c r="BH882" t="s">
        <v>1840</v>
      </c>
      <c r="BI882" s="260" t="s">
        <v>3365</v>
      </c>
      <c r="BJ882" t="s">
        <v>278</v>
      </c>
      <c r="BK882">
        <v>0</v>
      </c>
      <c r="BL882">
        <v>72.8</v>
      </c>
      <c r="BN882">
        <f>BL882-BK882</f>
        <v>72.8</v>
      </c>
      <c r="BO882">
        <f>BN882*tC_to_m3</f>
        <v>316.10942249240122</v>
      </c>
      <c r="BP882" t="s">
        <v>232</v>
      </c>
      <c r="BQ882" s="260" t="s">
        <v>3366</v>
      </c>
      <c r="BR882" t="s">
        <v>278</v>
      </c>
      <c r="BS882">
        <v>392.4</v>
      </c>
      <c r="BT882">
        <v>664.2</v>
      </c>
      <c r="BU882" s="144">
        <f>IFERROR(BT882/BS882,"")</f>
        <v>1.6926605504587158</v>
      </c>
      <c r="BV882">
        <f>BT882-BS882</f>
        <v>271.80000000000007</v>
      </c>
      <c r="BX882">
        <f>BV882*C_to_CO2</f>
        <v>997.5060000000002</v>
      </c>
      <c r="BY882">
        <f t="shared" si="1099"/>
        <v>3.1555718653846161</v>
      </c>
      <c r="BZ882">
        <v>0</v>
      </c>
      <c r="CA882">
        <v>0</v>
      </c>
      <c r="CB882">
        <v>0</v>
      </c>
      <c r="CC882">
        <v>0</v>
      </c>
      <c r="CD882">
        <v>0</v>
      </c>
      <c r="CE882">
        <v>0</v>
      </c>
      <c r="CF882">
        <v>0</v>
      </c>
      <c r="CG882">
        <v>0</v>
      </c>
      <c r="CH882">
        <v>0</v>
      </c>
      <c r="CI882">
        <v>0</v>
      </c>
      <c r="CJ882">
        <v>0</v>
      </c>
      <c r="CK882">
        <v>0</v>
      </c>
      <c r="CL882">
        <v>0</v>
      </c>
      <c r="CM882">
        <v>0</v>
      </c>
      <c r="CN882" t="str">
        <f>IF($BL882&lt;$BK882,"refNeedCorrection","refOK")</f>
        <v>refOK</v>
      </c>
      <c r="CO882">
        <f>IF($CN882="refOK",$BK882,$BL882)</f>
        <v>0</v>
      </c>
      <c r="CP882">
        <f>IF($CN882="refOK",$BL882,$BK882)</f>
        <v>72.8</v>
      </c>
      <c r="CQ882">
        <f>IF($CN882="refOK",$BO882,-$BO882)</f>
        <v>316.10942249240122</v>
      </c>
      <c r="CR882">
        <f>IF($CN882="refOK",$BS882,$BT882)*IF($BP882="Emissions positive",-1,1)</f>
        <v>392.4</v>
      </c>
      <c r="CS882">
        <f>IF($CN882="refOK",$BT882,$BS882)*IF($BP882="Emissions positive",-1,1)</f>
        <v>664.2</v>
      </c>
      <c r="CT882">
        <f>IF($CN882="refNeedCorrection",-BX882,BX882)*IF($BP882="Emissions positive",-1,1)</f>
        <v>997.5060000000002</v>
      </c>
      <c r="CU882">
        <f>IFERROR(CT882/CQ882,"")</f>
        <v>3.1555718653846161</v>
      </c>
      <c r="CV882" s="2">
        <f>IFERROR((CS882-CR882)/ABS(CR882),"")</f>
        <v>0.69266055045871577</v>
      </c>
      <c r="CW882" s="1" t="s">
        <v>1198</v>
      </c>
      <c r="CX882" t="str">
        <f>IF(OR($CW882="prd",$CW882="std",$CW882="cit"),"loc",IF(OR($CW882="eur",$CW882="reg",$CW882="coy"),"reg",$CW882))</f>
        <v>reg</v>
      </c>
      <c r="CY882" t="s">
        <v>1300</v>
      </c>
      <c r="DB882">
        <v>180</v>
      </c>
      <c r="DC882" t="str">
        <f>IF(DB882=0,"0",IF(AND(DB882&gt;=1,DB882&lt;=30),"1-30",IF(AND(DB882&gt;30,DB882&lt;=70),"31-70",IF(AND(DB882&gt;70,DB882&lt;=100),"71-100",IF(DB882&gt;100,"+100")))))</f>
        <v>+100</v>
      </c>
      <c r="DD882">
        <v>0</v>
      </c>
      <c r="DE882">
        <v>1</v>
      </c>
      <c r="DF882">
        <v>1</v>
      </c>
      <c r="DG882">
        <v>1</v>
      </c>
      <c r="DH882">
        <v>1</v>
      </c>
      <c r="DI882">
        <f>SUM(DD882:DG882)</f>
        <v>3</v>
      </c>
      <c r="DJ882" t="str">
        <f>IF(DI882=1,INDEX($DD$7:$DG$7,MATCH(1,$DD882:$DG882,0)),"mixedProduct")</f>
        <v>mixedProduct</v>
      </c>
      <c r="DK882">
        <f t="shared" si="1101"/>
        <v>0</v>
      </c>
      <c r="DL882" t="str">
        <f t="shared" si="1101"/>
        <v>Energy</v>
      </c>
      <c r="DM882" t="str">
        <f t="shared" si="1101"/>
        <v>Pulp/Paper</v>
      </c>
      <c r="DN882" t="str">
        <f t="shared" si="1101"/>
        <v>Timber</v>
      </c>
      <c r="DO882">
        <v>0</v>
      </c>
      <c r="DP882">
        <v>1</v>
      </c>
      <c r="DQ882" t="s">
        <v>1841</v>
      </c>
      <c r="DR882" t="s">
        <v>1842</v>
      </c>
      <c r="DS882">
        <v>0</v>
      </c>
      <c r="DT882">
        <f>SUM(DO882:DP882)</f>
        <v>1</v>
      </c>
      <c r="DU882" s="143" t="str">
        <f>IF(DO882=1,"self-calculated DF",IF(DP882=1,"external DF used","explicit C balance"))</f>
        <v>external DF used</v>
      </c>
      <c r="DV882">
        <v>1</v>
      </c>
      <c r="DW882">
        <v>1</v>
      </c>
      <c r="DX882">
        <v>1</v>
      </c>
      <c r="DY882">
        <v>1</v>
      </c>
      <c r="DZ882">
        <v>1</v>
      </c>
      <c r="EA882">
        <v>1</v>
      </c>
      <c r="EB882">
        <v>0</v>
      </c>
      <c r="EC882">
        <v>0</v>
      </c>
      <c r="ED882">
        <v>0</v>
      </c>
      <c r="EE882">
        <v>0</v>
      </c>
      <c r="EF882">
        <v>1</v>
      </c>
      <c r="EG882">
        <v>0</v>
      </c>
      <c r="EH882">
        <v>0</v>
      </c>
      <c r="EI882" s="2">
        <v>0</v>
      </c>
      <c r="EK882" t="str">
        <f>IF(AND(AND(AND(OR($DX882=1,$DW882=1),OR($EC882=1,$EA882=1)),SUM($DV882:$DZ882,$EF882)&gt;=4),SUM($EA882:$EE882)&gt;=2),"Whole sector","")</f>
        <v/>
      </c>
      <c r="EL882" t="str">
        <f>IF(AND(AND(OR($DX882=1,$DW882=1),AND($EC882=0,$EA882=0)),SUM($DV882:$DZ882,$EF882)&gt;=4),"Ecosystem approach","")</f>
        <v/>
      </c>
      <c r="EM882" s="2" t="str">
        <f t="shared" si="1100"/>
        <v/>
      </c>
      <c r="EP882" t="str">
        <f>IF(ISNUMBER(BU882),IF(ABS(BU882-[5]QC_indicators!$B$2)&gt;3*[5]QC_indicators!$C$2,"C ratio",IF(ISNUMBER(BY882),IF(ABS(BY882-[5]QC_indicators!$B$1)&gt;3*[5]QC_indicators!$C$1,"DF","no"))),IF(ISNUMBER(BY882),IF(ABS(BY882-[5]QC_indicators!$B$1)&gt;3*[5]QC_indicators!$C$1,"DF","no")))</f>
        <v>no</v>
      </c>
      <c r="ET882" s="264" t="s">
        <v>3272</v>
      </c>
    </row>
    <row r="883" spans="1:150" ht="15" hidden="1" customHeight="1">
      <c r="A883" s="1" t="s">
        <v>1137</v>
      </c>
      <c r="B883" t="s">
        <v>1831</v>
      </c>
      <c r="C883" t="s">
        <v>1832</v>
      </c>
      <c r="D883" t="s">
        <v>1833</v>
      </c>
      <c r="E883" t="s">
        <v>1834</v>
      </c>
      <c r="F883" t="s">
        <v>1835</v>
      </c>
      <c r="G883" t="s">
        <v>1138</v>
      </c>
      <c r="H883" t="s">
        <v>254</v>
      </c>
      <c r="I883">
        <v>2013</v>
      </c>
      <c r="J883">
        <v>26</v>
      </c>
      <c r="K883" t="s">
        <v>1836</v>
      </c>
      <c r="M883" t="str">
        <f t="shared" si="1044"/>
        <v>Klein_2013</v>
      </c>
      <c r="N883" t="s">
        <v>222</v>
      </c>
      <c r="O883" s="145" t="s">
        <v>513</v>
      </c>
      <c r="Q883" t="s">
        <v>256</v>
      </c>
      <c r="R883" s="255" t="s">
        <v>225</v>
      </c>
      <c r="S883" s="1" t="s">
        <v>1843</v>
      </c>
      <c r="T883" t="s">
        <v>1844</v>
      </c>
      <c r="U883" t="s">
        <v>1847</v>
      </c>
      <c r="V883">
        <v>0</v>
      </c>
      <c r="W883">
        <v>0</v>
      </c>
      <c r="X883">
        <v>0</v>
      </c>
      <c r="Y883">
        <v>0</v>
      </c>
      <c r="Z883">
        <v>1</v>
      </c>
      <c r="AA883">
        <v>0</v>
      </c>
      <c r="AB883">
        <v>0</v>
      </c>
      <c r="AC883">
        <v>0</v>
      </c>
      <c r="AD883">
        <v>0</v>
      </c>
      <c r="AE883">
        <v>0</v>
      </c>
      <c r="AF883">
        <v>0</v>
      </c>
      <c r="AG883">
        <v>0</v>
      </c>
      <c r="AH883">
        <v>0</v>
      </c>
      <c r="AI883">
        <v>0</v>
      </c>
      <c r="AJ883">
        <v>0</v>
      </c>
      <c r="AK883">
        <v>0</v>
      </c>
      <c r="AL883">
        <v>0</v>
      </c>
      <c r="AM883">
        <v>0</v>
      </c>
      <c r="AN883">
        <v>0</v>
      </c>
      <c r="AO883">
        <v>0</v>
      </c>
      <c r="AP883">
        <v>0</v>
      </c>
      <c r="AQ883">
        <v>0</v>
      </c>
      <c r="AR883">
        <v>0</v>
      </c>
      <c r="AS883">
        <v>0</v>
      </c>
      <c r="AT883">
        <v>0</v>
      </c>
      <c r="AU883">
        <v>0</v>
      </c>
      <c r="AV883">
        <v>0</v>
      </c>
      <c r="AW883">
        <v>0</v>
      </c>
      <c r="AX883" s="141">
        <f>COUNTIF(V883:AW883,"&lt;&gt;0")</f>
        <v>1</v>
      </c>
      <c r="AY883" s="141">
        <f>COUNTIF(V883:AL883,"&lt;&gt;0")</f>
        <v>1</v>
      </c>
      <c r="AZ883">
        <f>COUNTIF(V883:AC883,"&lt;&gt;0")</f>
        <v>1</v>
      </c>
      <c r="BA883">
        <f>COUNTIF(AD883:AI883,"&lt;&gt;0")</f>
        <v>0</v>
      </c>
      <c r="BB883">
        <f>COUNTIF(AJ883:AL883,"&lt;&gt;0")</f>
        <v>0</v>
      </c>
      <c r="BC883">
        <f>COUNTIF(AS883:AW883,"&lt;&gt;0")</f>
        <v>0</v>
      </c>
      <c r="BD883">
        <f>COUNTIF(AM883:AR883,"&lt;&gt;0")</f>
        <v>0</v>
      </c>
      <c r="BE883" t="str">
        <f t="array" ref="BE883">IF(AY883=1,INDEX($V$7:$AL$7,MATCH(TRUE,INDEX($V883:$AW883&lt;&gt;0,),0)),IF(AY883=0,INDEX($AM$7:$AW$7,MATCH(1,$AM883:$AW883,0)),IF(BF883="Multiple strategies","mixed drivers",IF(BF883="Supply chain","multiple supply","multiple silviculture"))))</f>
        <v>species</v>
      </c>
      <c r="BF883" s="2" t="str" cm="1">
        <f t="array" ref="BF883">IF(COUNTIF(AZ883:BB883,"&lt;&gt;0")=1,INDEX($V$4:$AW$4,MATCH(TRUE,INDEX($V883:$AW883&lt;&gt;0,),0)),IF(COUNTIF(AZ883:BB883,"&lt;&gt;0")=0,INDEX($AM$4:$AW$4,MATCH(1,$AM883:$AW883,0)),"Multiple strategies"))</f>
        <v>Silviculture for productivity</v>
      </c>
      <c r="BG883" s="1" t="s">
        <v>321</v>
      </c>
      <c r="BH883" t="s">
        <v>1840</v>
      </c>
      <c r="BI883" s="260" t="s">
        <v>3367</v>
      </c>
      <c r="BJ883" t="s">
        <v>278</v>
      </c>
      <c r="BK883">
        <v>25.2</v>
      </c>
      <c r="BL883">
        <v>72.8</v>
      </c>
      <c r="BM883">
        <f>BL883/BK883</f>
        <v>2.8888888888888888</v>
      </c>
      <c r="BN883">
        <f>BL883-BK883</f>
        <v>47.599999999999994</v>
      </c>
      <c r="BO883">
        <f>BN883*tC_to_m3</f>
        <v>206.68693009118539</v>
      </c>
      <c r="BP883" t="s">
        <v>232</v>
      </c>
      <c r="BQ883" s="260" t="s">
        <v>3366</v>
      </c>
      <c r="BR883" t="s">
        <v>278</v>
      </c>
      <c r="BS883">
        <v>444.6</v>
      </c>
      <c r="BT883">
        <v>664.2</v>
      </c>
      <c r="BU883" s="144">
        <f>IFERROR(BT883/BS883,"")</f>
        <v>1.4939271255060729</v>
      </c>
      <c r="BV883">
        <f>BT883-BS883</f>
        <v>219.60000000000002</v>
      </c>
      <c r="BX883">
        <f>BV883*C_to_CO2</f>
        <v>805.93200000000002</v>
      </c>
      <c r="BY883">
        <f t="shared" si="1099"/>
        <v>3.8992886470588242</v>
      </c>
      <c r="BZ883">
        <v>0</v>
      </c>
      <c r="CA883">
        <v>0</v>
      </c>
      <c r="CB883">
        <v>0</v>
      </c>
      <c r="CC883">
        <v>0</v>
      </c>
      <c r="CD883">
        <v>0</v>
      </c>
      <c r="CE883">
        <v>0</v>
      </c>
      <c r="CF883">
        <v>0</v>
      </c>
      <c r="CG883">
        <v>0</v>
      </c>
      <c r="CH883">
        <v>0</v>
      </c>
      <c r="CI883">
        <v>0</v>
      </c>
      <c r="CJ883">
        <v>0</v>
      </c>
      <c r="CK883">
        <v>0</v>
      </c>
      <c r="CL883">
        <v>0</v>
      </c>
      <c r="CM883">
        <v>0</v>
      </c>
      <c r="CN883" t="str">
        <f>IF($BL883&lt;$BK883,"refNeedCorrection","refOK")</f>
        <v>refOK</v>
      </c>
      <c r="CO883">
        <f>IF($CN883="refOK",$BK883,$BL883)</f>
        <v>25.2</v>
      </c>
      <c r="CP883">
        <f>IF($CN883="refOK",$BL883,$BK883)</f>
        <v>72.8</v>
      </c>
      <c r="CQ883">
        <f>IF($CN883="refOK",$BO883,-$BO883)</f>
        <v>206.68693009118539</v>
      </c>
      <c r="CR883">
        <f>IF($CN883="refOK",$BS883,$BT883)*IF($BP883="Emissions positive",-1,1)</f>
        <v>444.6</v>
      </c>
      <c r="CS883">
        <f>IF($CN883="refOK",$BT883,$BS883)*IF($BP883="Emissions positive",-1,1)</f>
        <v>664.2</v>
      </c>
      <c r="CT883">
        <f>IF($CN883="refNeedCorrection",-BX883,BX883)*IF($BP883="Emissions positive",-1,1)</f>
        <v>805.93200000000002</v>
      </c>
      <c r="CU883">
        <f>IFERROR(CT883/CQ883,"")</f>
        <v>3.8992886470588242</v>
      </c>
      <c r="CV883" s="2">
        <f>IFERROR((CS883-CR883)/ABS(CR883),"")</f>
        <v>0.49392712550607287</v>
      </c>
      <c r="CW883" s="1" t="s">
        <v>1198</v>
      </c>
      <c r="CX883" t="str">
        <f>IF(OR($CW883="prd",$CW883="std",$CW883="cit"),"loc",IF(OR($CW883="eur",$CW883="reg",$CW883="coy"),"reg",$CW883))</f>
        <v>reg</v>
      </c>
      <c r="CY883" t="s">
        <v>1300</v>
      </c>
      <c r="DB883">
        <v>180</v>
      </c>
      <c r="DC883" t="str">
        <f>IF(DB883=0,"0",IF(AND(DB883&gt;=1,DB883&lt;=30),"1-30",IF(AND(DB883&gt;30,DB883&lt;=70),"31-70",IF(AND(DB883&gt;70,DB883&lt;=100),"71-100",IF(DB883&gt;100,"+100")))))</f>
        <v>+100</v>
      </c>
      <c r="DD883">
        <v>0</v>
      </c>
      <c r="DE883">
        <v>1</v>
      </c>
      <c r="DF883">
        <v>1</v>
      </c>
      <c r="DG883">
        <v>1</v>
      </c>
      <c r="DH883">
        <v>1</v>
      </c>
      <c r="DI883">
        <f>SUM(DD883:DG883)</f>
        <v>3</v>
      </c>
      <c r="DJ883" t="str">
        <f>IF(DI883=1,INDEX($DD$7:$DG$7,MATCH(1,$DD883:$DG883,0)),"mixedProduct")</f>
        <v>mixedProduct</v>
      </c>
      <c r="DK883">
        <f t="shared" si="1101"/>
        <v>0</v>
      </c>
      <c r="DL883" t="str">
        <f t="shared" si="1101"/>
        <v>Energy</v>
      </c>
      <c r="DM883" t="str">
        <f t="shared" si="1101"/>
        <v>Pulp/Paper</v>
      </c>
      <c r="DN883" t="str">
        <f t="shared" si="1101"/>
        <v>Timber</v>
      </c>
      <c r="DO883">
        <v>0</v>
      </c>
      <c r="DP883">
        <v>1</v>
      </c>
      <c r="DQ883" t="s">
        <v>1841</v>
      </c>
      <c r="DR883" t="s">
        <v>1842</v>
      </c>
      <c r="DS883">
        <v>0</v>
      </c>
      <c r="DT883">
        <f>SUM(DO883:DP883)</f>
        <v>1</v>
      </c>
      <c r="DU883" s="143" t="str">
        <f>IF(DO883=1,"self-calculated DF",IF(DP883=1,"external DF used","explicit C balance"))</f>
        <v>external DF used</v>
      </c>
      <c r="DV883">
        <v>1</v>
      </c>
      <c r="DW883">
        <v>1</v>
      </c>
      <c r="DX883">
        <v>1</v>
      </c>
      <c r="DY883">
        <v>1</v>
      </c>
      <c r="DZ883">
        <v>1</v>
      </c>
      <c r="EA883">
        <v>1</v>
      </c>
      <c r="EB883">
        <v>0</v>
      </c>
      <c r="EC883">
        <v>0</v>
      </c>
      <c r="ED883">
        <v>0</v>
      </c>
      <c r="EE883">
        <v>0</v>
      </c>
      <c r="EF883">
        <v>1</v>
      </c>
      <c r="EG883">
        <v>0</v>
      </c>
      <c r="EH883">
        <v>0</v>
      </c>
      <c r="EI883" s="2">
        <v>0</v>
      </c>
      <c r="EK883" t="str">
        <f>IF(AND(AND(AND(OR($DX883=1,$DW883=1),OR($EC883=1,$EA883=1)),SUM($DV883:$DZ883,$EF883)&gt;=4),SUM($EA883:$EE883)&gt;=2),"Whole sector","")</f>
        <v/>
      </c>
      <c r="EL883" t="str">
        <f>IF(AND(AND(OR($DX883=1,$DW883=1),AND($EC883=0,$EA883=0)),SUM($DV883:$DZ883,$EF883)&gt;=4),"Ecosystem approach","")</f>
        <v/>
      </c>
      <c r="EM883" s="2" t="str">
        <f t="shared" si="1100"/>
        <v/>
      </c>
      <c r="EP883" t="str">
        <f>IF(ISNUMBER(BU883),IF(ABS(BU883-[5]QC_indicators!$B$2)&gt;3*[5]QC_indicators!$C$2,"C ratio",IF(ISNUMBER(BY883),IF(ABS(BY883-[5]QC_indicators!$B$1)&gt;3*[5]QC_indicators!$C$1,"DF","no"))),IF(ISNUMBER(BY883),IF(ABS(BY883-[5]QC_indicators!$B$1)&gt;3*[5]QC_indicators!$C$1,"DF","no")))</f>
        <v>no</v>
      </c>
      <c r="ET883" s="264" t="s">
        <v>3272</v>
      </c>
    </row>
    <row r="884" spans="1:150" ht="15" hidden="1" customHeight="1">
      <c r="A884" s="1" t="s">
        <v>4543</v>
      </c>
      <c r="B884" t="s">
        <v>4544</v>
      </c>
      <c r="C884" t="s">
        <v>4545</v>
      </c>
      <c r="D884" t="s">
        <v>4546</v>
      </c>
      <c r="E884" t="s">
        <v>4547</v>
      </c>
      <c r="F884" t="s">
        <v>4548</v>
      </c>
      <c r="G884" t="s">
        <v>4549</v>
      </c>
      <c r="H884" t="s">
        <v>254</v>
      </c>
      <c r="I884">
        <v>2017</v>
      </c>
      <c r="J884">
        <v>8</v>
      </c>
      <c r="K884" t="s">
        <v>4550</v>
      </c>
      <c r="M884" t="str">
        <f t="shared" si="1044"/>
        <v>Kleindienst_2017</v>
      </c>
      <c r="N884" t="s">
        <v>2582</v>
      </c>
      <c r="O884" s="145" t="s">
        <v>513</v>
      </c>
      <c r="Q884" s="311" t="s">
        <v>256</v>
      </c>
      <c r="R884" s="312"/>
      <c r="AX884" s="141"/>
      <c r="AY884" s="141"/>
      <c r="BE884"/>
      <c r="BF884" s="2"/>
      <c r="BU884" s="144"/>
      <c r="BY884" t="str">
        <f t="shared" si="1099"/>
        <v/>
      </c>
      <c r="CN884"/>
      <c r="CO884"/>
      <c r="CP884"/>
      <c r="CQ884"/>
      <c r="CR884"/>
      <c r="CS884"/>
      <c r="CT884"/>
      <c r="CU884"/>
      <c r="CV884" s="2"/>
      <c r="CX884"/>
      <c r="DC884"/>
      <c r="DI884"/>
      <c r="DJ884"/>
      <c r="DK884"/>
      <c r="DL884"/>
      <c r="DM884"/>
      <c r="DN884"/>
      <c r="DT884"/>
      <c r="DU884" s="143"/>
      <c r="EK884" t="str">
        <f>IF(AND(AND(AND(OR($DX884=1,$DW884=1),OR($EC884=1,$EA884=1)),SUM($DV884:$DZ884,$EF884)&gt;=3),SUM($EA884:$EE884)&gt;=2),"Whole sector","")</f>
        <v/>
      </c>
      <c r="EL884" t="str">
        <f>IF(AND(AND(OR($DX884=1,$DW884=1),AND($EC884=0,$EA884=0)),SUM($DV884:$DZ884,$EF884)&gt;=3),"Ecosystem approach","")</f>
        <v/>
      </c>
      <c r="EM884" s="2" t="str">
        <f t="shared" si="1100"/>
        <v/>
      </c>
      <c r="EO884" t="s">
        <v>450</v>
      </c>
      <c r="EP884" t="b">
        <f>IF(ISNUMBER(BU884),IF(ABS(BU884-[1]QC_indicators!$B$2)&gt;3*[1]QC_indicators!$C$2,"C ratio",IF(ISNUMBER(BY884),IF(ABS(BY884-[1]QC_indicators!$B$1)&gt;3*[1]QC_indicators!$C$1,"DF","no"))),IF(ISNUMBER(BY884),IF(ABS(BY884-[1]QC_indicators!$B$1)&gt;3*[1]QC_indicators!$C$1,"DF","no")))</f>
        <v>0</v>
      </c>
    </row>
    <row r="885" spans="1:150" ht="15" hidden="1" customHeight="1">
      <c r="D885" t="s">
        <v>838</v>
      </c>
      <c r="E885" t="s">
        <v>839</v>
      </c>
      <c r="G885" t="s">
        <v>840</v>
      </c>
      <c r="I885">
        <v>2005</v>
      </c>
      <c r="K885" t="s">
        <v>841</v>
      </c>
      <c r="M885" t="str">
        <f t="shared" si="1044"/>
        <v>Knight_2005</v>
      </c>
      <c r="N885" t="s">
        <v>222</v>
      </c>
      <c r="O885" t="s">
        <v>223</v>
      </c>
      <c r="Q885" t="s">
        <v>256</v>
      </c>
      <c r="R885" s="255" t="s">
        <v>225</v>
      </c>
      <c r="S885" s="1" t="s">
        <v>842</v>
      </c>
      <c r="T885" t="s">
        <v>843</v>
      </c>
      <c r="U885" s="264" t="s">
        <v>844</v>
      </c>
      <c r="V885">
        <v>0</v>
      </c>
      <c r="W885">
        <v>0</v>
      </c>
      <c r="X885">
        <v>0</v>
      </c>
      <c r="Y885">
        <v>0</v>
      </c>
      <c r="Z885">
        <v>0</v>
      </c>
      <c r="AA885">
        <v>0</v>
      </c>
      <c r="AB885">
        <v>0</v>
      </c>
      <c r="AC885">
        <v>0</v>
      </c>
      <c r="AD885">
        <v>0</v>
      </c>
      <c r="AE885">
        <v>0</v>
      </c>
      <c r="AF885">
        <v>0</v>
      </c>
      <c r="AG885">
        <v>0</v>
      </c>
      <c r="AH885">
        <v>0</v>
      </c>
      <c r="AI885">
        <v>0</v>
      </c>
      <c r="AJ885">
        <v>0</v>
      </c>
      <c r="AK885">
        <v>1</v>
      </c>
      <c r="AL885">
        <v>0</v>
      </c>
      <c r="AM885">
        <v>0</v>
      </c>
      <c r="AN885">
        <v>0</v>
      </c>
      <c r="AO885">
        <v>0</v>
      </c>
      <c r="AP885">
        <v>0</v>
      </c>
      <c r="AQ885">
        <v>0</v>
      </c>
      <c r="AR885">
        <v>0</v>
      </c>
      <c r="AS885">
        <v>0</v>
      </c>
      <c r="AT885">
        <v>0</v>
      </c>
      <c r="AU885">
        <v>0</v>
      </c>
      <c r="AV885">
        <v>0</v>
      </c>
      <c r="AW885">
        <v>0</v>
      </c>
      <c r="AX885" s="141">
        <f t="shared" ref="AX885:AX903" si="1102">COUNTIF(V885:AW885,"&lt;&gt;0")</f>
        <v>1</v>
      </c>
      <c r="AY885" s="141">
        <f t="shared" ref="AY885:AY903" si="1103">COUNTIF(V885:AL885,"&lt;&gt;0")</f>
        <v>1</v>
      </c>
      <c r="AZ885">
        <f t="shared" ref="AZ885:AZ903" si="1104">COUNTIF(V885:AC885,"&lt;&gt;0")</f>
        <v>0</v>
      </c>
      <c r="BA885">
        <f t="shared" ref="BA885:BA903" si="1105">COUNTIF(AD885:AI885,"&lt;&gt;0")</f>
        <v>0</v>
      </c>
      <c r="BB885">
        <f t="shared" ref="BB885:BB903" si="1106">COUNTIF(AJ885:AL885,"&lt;&gt;0")</f>
        <v>1</v>
      </c>
      <c r="BC885">
        <f t="shared" ref="BC885:BC903" si="1107">COUNTIF(AS885:AW885,"&lt;&gt;0")</f>
        <v>0</v>
      </c>
      <c r="BD885">
        <f t="shared" ref="BD885:BD903" si="1108">COUNTIF(AM885:AR885,"&lt;&gt;0")</f>
        <v>0</v>
      </c>
      <c r="BE885" t="str">
        <f t="array" ref="BE885">IF(AY885=1,INDEX($V$7:$AL$7,MATCH(TRUE,INDEX($V885:$AW885&lt;&gt;0,),0)),IF(AY885=0,INDEX($AM$7:$AW$7,MATCH(1,$AM885:$AW885,0)),IF(BF885="Multiple strategies","mixed drivers",IF(BF885="Supply chain","multiple supply","multiple silviculture"))))</f>
        <v>technologies/design switch</v>
      </c>
      <c r="BF885" s="2" t="str" cm="1">
        <f t="array" ref="BF885">IF(COUNTIF(AZ885:BB885,"&lt;&gt;0")=1,INDEX($V$4:$AW$4,MATCH(TRUE,INDEX($V885:$AW885&lt;&gt;0,),0)),IF(COUNTIF(AZ885:BB885,"&lt;&gt;0")=0,INDEX($AM$4:$AW$4,MATCH(1,$AM885:$AW885,0)),"Multiple strategies"))</f>
        <v>Technology</v>
      </c>
      <c r="BG885" s="263" t="s">
        <v>229</v>
      </c>
      <c r="BH885" t="s">
        <v>845</v>
      </c>
      <c r="BI885" s="260" t="s">
        <v>3368</v>
      </c>
      <c r="BJ885" s="264" t="s">
        <v>846</v>
      </c>
      <c r="BK885">
        <v>0</v>
      </c>
      <c r="BL885" s="264">
        <v>55</v>
      </c>
      <c r="BM885" s="143"/>
      <c r="BN885">
        <f t="shared" ref="BN885:BN903" si="1109">BL885-BK885</f>
        <v>55</v>
      </c>
      <c r="BO885" s="264">
        <f>BN885*0.453592*kg_to_m3</f>
        <v>5.0913387755102041E-2</v>
      </c>
      <c r="BP885" t="s">
        <v>232</v>
      </c>
      <c r="BQ885" s="260" t="s">
        <v>971</v>
      </c>
      <c r="BR885" t="s">
        <v>847</v>
      </c>
      <c r="BS885" s="264">
        <v>-141</v>
      </c>
      <c r="BT885">
        <v>-5.25</v>
      </c>
      <c r="BU885" s="144">
        <f>IFERROR(BT885/BS885,"")</f>
        <v>3.7234042553191488E-2</v>
      </c>
      <c r="BV885">
        <f t="shared" ref="BV885:BV903" si="1110">BT885-BS885</f>
        <v>135.75</v>
      </c>
      <c r="BX885">
        <f>BV885/1000</f>
        <v>0.13575000000000001</v>
      </c>
      <c r="BY885">
        <f t="shared" si="1099"/>
        <v>2.666292815810444</v>
      </c>
      <c r="BZ885" s="143">
        <v>0</v>
      </c>
      <c r="CA885" s="143">
        <v>0</v>
      </c>
      <c r="CB885" s="143">
        <v>0</v>
      </c>
      <c r="CC885" s="143">
        <v>0</v>
      </c>
      <c r="CD885" s="143">
        <v>0</v>
      </c>
      <c r="CE885" s="143">
        <v>0</v>
      </c>
      <c r="CF885" s="143">
        <v>0</v>
      </c>
      <c r="CG885" s="143">
        <v>0</v>
      </c>
      <c r="CH885" s="143">
        <v>0</v>
      </c>
      <c r="CI885" s="143">
        <v>0</v>
      </c>
      <c r="CJ885" s="143">
        <v>0</v>
      </c>
      <c r="CK885" s="143">
        <v>0</v>
      </c>
      <c r="CL885" s="143">
        <v>0</v>
      </c>
      <c r="CM885">
        <v>0</v>
      </c>
      <c r="CN885" t="str">
        <f t="shared" ref="CN885:CN903" si="1111">IF($BL885&lt;$BK885,"refNeedCorrection","refOK")</f>
        <v>refOK</v>
      </c>
      <c r="CO885">
        <f t="shared" ref="CO885:CO903" si="1112">IF($CN885="refOK",$BK885,$BL885)</f>
        <v>0</v>
      </c>
      <c r="CP885">
        <f t="shared" ref="CP885:CP903" si="1113">IF($CN885="refOK",$BL885,$BK885)</f>
        <v>55</v>
      </c>
      <c r="CQ885">
        <f t="shared" ref="CQ885:CQ903" si="1114">IF($CN885="refOK",$BO885,-$BO885)</f>
        <v>5.0913387755102041E-2</v>
      </c>
      <c r="CR885">
        <f t="shared" ref="CR885:CR903" si="1115">IF($CN885="refOK",$BS885,$BT885)*IF($BP885="Emissions positive",-1,1)</f>
        <v>-141</v>
      </c>
      <c r="CS885">
        <f t="shared" ref="CS885:CS903" si="1116">IF($CN885="refOK",$BT885,$BS885)*IF($BP885="Emissions positive",-1,1)</f>
        <v>-5.25</v>
      </c>
      <c r="CT885">
        <f t="shared" ref="CT885:CT903" si="1117">IF($CN885="refNeedCorrection",-BX885,BX885)*IF($BP885="Emissions positive",-1,1)</f>
        <v>0.13575000000000001</v>
      </c>
      <c r="CU885">
        <f t="shared" ref="CU885:CU903" si="1118">IFERROR(CT885/CQ885,"")</f>
        <v>2.666292815810444</v>
      </c>
      <c r="CV885" s="2">
        <f t="shared" ref="CV885:CV903" si="1119">IFERROR((CS885-CR885)/ABS(CR885),"")</f>
        <v>0.96276595744680848</v>
      </c>
      <c r="CW885" s="1" t="s">
        <v>263</v>
      </c>
      <c r="CX885" t="str">
        <f t="shared" ref="CX885:CX903" si="1120">IF(OR($CW885="prd",$CW885="std",$CW885="cit"),"loc",IF(OR($CW885="eur",$CW885="reg",$CW885="coy"),"reg",$CW885))</f>
        <v>loc</v>
      </c>
      <c r="CY885" t="s">
        <v>428</v>
      </c>
      <c r="DA885" s="143"/>
      <c r="DB885" s="264">
        <v>0</v>
      </c>
      <c r="DC885" t="str">
        <f t="shared" ref="DC885:DC903" si="1121">IF(DB885=0,"0",IF(AND(DB885&gt;=1,DB885&lt;=30),"1-30",IF(AND(DB885&gt;30,DB885&lt;=70),"31-70",IF(AND(DB885&gt;70,DB885&lt;=100),"71-100",IF(DB885&gt;100,"+100")))))</f>
        <v>0</v>
      </c>
      <c r="DD885">
        <v>0</v>
      </c>
      <c r="DE885">
        <v>0</v>
      </c>
      <c r="DF885">
        <v>0</v>
      </c>
      <c r="DG885">
        <v>1</v>
      </c>
      <c r="DI885">
        <f>SUM(DD885:DG885)</f>
        <v>1</v>
      </c>
      <c r="DJ885" t="str">
        <f t="shared" ref="DJ885:DJ903" si="1122">IF(DI885=1,INDEX($DD$7:$DG$7,MATCH(1,$DD885:$DG885,0)),"mixedProduct")</f>
        <v>TimberInput</v>
      </c>
      <c r="DK885">
        <f t="shared" ref="DK885:DK903" si="1123">IF(DD885=1,DK$7,0)</f>
        <v>0</v>
      </c>
      <c r="DL885">
        <f t="shared" ref="DL885:DL903" si="1124">IF(DE885=1,DL$7,0)</f>
        <v>0</v>
      </c>
      <c r="DM885">
        <f t="shared" ref="DM885:DM903" si="1125">IF(DF885=1,DM$7,0)</f>
        <v>0</v>
      </c>
      <c r="DN885" t="str">
        <f t="shared" ref="DN885:DN903" si="1126">IF(DG885=1,DN$7,0)</f>
        <v>Timber</v>
      </c>
      <c r="DO885">
        <v>0</v>
      </c>
      <c r="DP885" s="143">
        <v>0</v>
      </c>
      <c r="DQ885" s="143">
        <v>0</v>
      </c>
      <c r="DR885">
        <v>0</v>
      </c>
      <c r="DS885" s="143">
        <v>0</v>
      </c>
      <c r="DT885">
        <f t="shared" ref="DT885:DT903" si="1127">SUM(DO885:DP885)</f>
        <v>0</v>
      </c>
      <c r="DU885" s="143" t="str">
        <f>IF(DO885=1,"self-calculated DF",IF(DP885=1,"external DF used","explicit C balance"))</f>
        <v>explicit C balance</v>
      </c>
      <c r="DV885" s="143">
        <v>0</v>
      </c>
      <c r="DW885" s="143">
        <v>0</v>
      </c>
      <c r="DX885" s="143">
        <v>0</v>
      </c>
      <c r="DY885" s="143">
        <v>0</v>
      </c>
      <c r="DZ885">
        <v>0</v>
      </c>
      <c r="EA885" s="143">
        <v>0</v>
      </c>
      <c r="EB885" s="143">
        <v>0</v>
      </c>
      <c r="EC885" s="264">
        <v>1</v>
      </c>
      <c r="ED885" s="143">
        <v>0</v>
      </c>
      <c r="EE885">
        <v>0</v>
      </c>
      <c r="EF885">
        <v>0</v>
      </c>
      <c r="EG885" s="143">
        <v>0</v>
      </c>
      <c r="EH885" s="143">
        <v>0</v>
      </c>
      <c r="EI885" s="2">
        <v>0</v>
      </c>
      <c r="EK885" t="str">
        <f t="shared" ref="EK885:EK903" si="1128">IF(AND(AND(AND(OR($DX885=1,$DW885=1),OR($EC885=1,$EA885=1)),SUM($DV885:$DZ885,$EF885)&gt;=4),SUM($EA885:$EE885)&gt;=2),"Whole sector","")</f>
        <v/>
      </c>
      <c r="EL885" t="str">
        <f t="shared" ref="EL885:EL903" si="1129">IF(AND(AND(OR($DX885=1,$DW885=1),AND($EC885=0,$EA885=0)),SUM($DV885:$DZ885,$EF885)&gt;=4),"Ecosystem approach","")</f>
        <v/>
      </c>
      <c r="EM885" s="2" t="str">
        <f t="shared" si="1100"/>
        <v/>
      </c>
      <c r="EP885" t="str">
        <f>IF(ISNUMBER(BU885),IF(ABS(BU885-[5]QC_indicators!$B$2)&gt;3*[5]QC_indicators!$C$2,"C ratio",IF(ISNUMBER(BY885),IF(ABS(BY885-[5]QC_indicators!$B$1)&gt;3*[5]QC_indicators!$C$1,"DF","no"))),IF(ISNUMBER(BY885),IF(ABS(BY885-[5]QC_indicators!$B$1)&gt;3*[5]QC_indicators!$C$1,"DF","no")))</f>
        <v>no</v>
      </c>
      <c r="ER885" s="149" t="s">
        <v>349</v>
      </c>
      <c r="ET885" s="264" t="s">
        <v>3272</v>
      </c>
    </row>
    <row r="886" spans="1:150" ht="15" hidden="1" customHeight="1">
      <c r="A886" s="1" t="s">
        <v>925</v>
      </c>
      <c r="B886" t="s">
        <v>1848</v>
      </c>
      <c r="C886" t="s">
        <v>1849</v>
      </c>
      <c r="D886" t="s">
        <v>1850</v>
      </c>
      <c r="E886" t="s">
        <v>1851</v>
      </c>
      <c r="F886" t="s">
        <v>1852</v>
      </c>
      <c r="G886" t="s">
        <v>931</v>
      </c>
      <c r="H886" t="s">
        <v>254</v>
      </c>
      <c r="I886">
        <v>2019</v>
      </c>
      <c r="J886">
        <v>8</v>
      </c>
      <c r="K886" t="s">
        <v>1853</v>
      </c>
      <c r="M886" t="str">
        <f t="shared" si="1044"/>
        <v>Kogler_2019</v>
      </c>
      <c r="N886" t="s">
        <v>2581</v>
      </c>
      <c r="O886" s="171" t="s">
        <v>513</v>
      </c>
      <c r="P886" t="s">
        <v>959</v>
      </c>
      <c r="Q886" t="s">
        <v>389</v>
      </c>
      <c r="R886" s="262" t="s">
        <v>223</v>
      </c>
      <c r="S886" s="1" t="s">
        <v>1866</v>
      </c>
      <c r="T886" t="s">
        <v>1867</v>
      </c>
      <c r="U886" t="s">
        <v>1860</v>
      </c>
      <c r="V886">
        <v>0</v>
      </c>
      <c r="W886">
        <v>0</v>
      </c>
      <c r="X886">
        <v>0</v>
      </c>
      <c r="Y886">
        <v>0</v>
      </c>
      <c r="Z886">
        <v>0</v>
      </c>
      <c r="AA886">
        <v>0</v>
      </c>
      <c r="AB886">
        <v>0</v>
      </c>
      <c r="AC886">
        <v>0</v>
      </c>
      <c r="AD886">
        <v>0</v>
      </c>
      <c r="AE886">
        <v>0</v>
      </c>
      <c r="AF886">
        <v>1</v>
      </c>
      <c r="AG886">
        <v>0</v>
      </c>
      <c r="AH886">
        <v>0</v>
      </c>
      <c r="AI886">
        <v>0</v>
      </c>
      <c r="AJ886">
        <v>0</v>
      </c>
      <c r="AK886">
        <v>0</v>
      </c>
      <c r="AL886">
        <v>0</v>
      </c>
      <c r="AM886">
        <v>0</v>
      </c>
      <c r="AN886">
        <v>0</v>
      </c>
      <c r="AO886">
        <v>0</v>
      </c>
      <c r="AP886">
        <v>0</v>
      </c>
      <c r="AQ886">
        <v>0</v>
      </c>
      <c r="AR886">
        <v>0</v>
      </c>
      <c r="AS886">
        <v>0</v>
      </c>
      <c r="AT886">
        <v>0</v>
      </c>
      <c r="AU886">
        <v>0</v>
      </c>
      <c r="AV886">
        <v>0</v>
      </c>
      <c r="AW886">
        <v>0</v>
      </c>
      <c r="AX886" s="141">
        <f t="shared" si="1102"/>
        <v>1</v>
      </c>
      <c r="AY886" s="141">
        <f t="shared" si="1103"/>
        <v>1</v>
      </c>
      <c r="AZ886">
        <f t="shared" si="1104"/>
        <v>0</v>
      </c>
      <c r="BA886">
        <f t="shared" si="1105"/>
        <v>1</v>
      </c>
      <c r="BB886">
        <f t="shared" si="1106"/>
        <v>0</v>
      </c>
      <c r="BC886">
        <f t="shared" si="1107"/>
        <v>0</v>
      </c>
      <c r="BD886">
        <f t="shared" si="1108"/>
        <v>0</v>
      </c>
      <c r="BE886" t="str">
        <f t="array" ref="BE886">IF(AY886=1,INDEX($V$7:$AL$7,MATCH(TRUE,INDEX($V886:$AW886&lt;&gt;0,),0)),IF(AY886=0,INDEX($AM$7:$AW$7,MATCH(1,$AM886:$AW886,0)),IF(BF886="Multiple strategies","mixed drivers",IF(BF886="Supply chain","multiple supply","multiple silviculture"))))</f>
        <v>supply chain organization</v>
      </c>
      <c r="BF886" s="2" t="str" cm="1">
        <f t="array" ref="BF886">IF(COUNTIF(AZ886:BB886,"&lt;&gt;0")=1,INDEX($V$4:$AW$4,MATCH(TRUE,INDEX($V886:$AW886&lt;&gt;0,),0)),IF(COUNTIF(AZ886:BB886,"&lt;&gt;0")=0,INDEX($AM$4:$AW$4,MATCH(1,$AM886:$AW886,0)),"Multiple strategies"))</f>
        <v>Supply chain</v>
      </c>
      <c r="BG886" s="1" t="s">
        <v>321</v>
      </c>
      <c r="BH886" t="s">
        <v>1857</v>
      </c>
      <c r="BI886" t="s">
        <v>611</v>
      </c>
      <c r="BJ886" t="s">
        <v>498</v>
      </c>
      <c r="BK886">
        <v>37628</v>
      </c>
      <c r="BL886">
        <v>38360</v>
      </c>
      <c r="BM886">
        <v>1.0194535983841819</v>
      </c>
      <c r="BN886">
        <f t="shared" si="1109"/>
        <v>732</v>
      </c>
      <c r="BO886">
        <f t="shared" ref="BO886:BO903" si="1130">BN886</f>
        <v>732</v>
      </c>
      <c r="BP886" t="s">
        <v>395</v>
      </c>
      <c r="BQ886" t="s">
        <v>1858</v>
      </c>
      <c r="BR886" s="264" t="s">
        <v>3148</v>
      </c>
      <c r="BS886">
        <v>721</v>
      </c>
      <c r="BT886">
        <v>665</v>
      </c>
      <c r="BU886" s="144">
        <v>0.92233009708737868</v>
      </c>
      <c r="BV886" s="152">
        <f t="shared" si="1110"/>
        <v>-56</v>
      </c>
      <c r="BX886">
        <f t="shared" ref="BX886:BX903" si="1131">BV886*10^6</f>
        <v>-56000000</v>
      </c>
      <c r="BY886">
        <f t="shared" si="1099"/>
        <v>-76502.732240437152</v>
      </c>
      <c r="BZ886">
        <v>0</v>
      </c>
      <c r="CA886">
        <v>0</v>
      </c>
      <c r="CB886">
        <v>0</v>
      </c>
      <c r="CC886">
        <v>0</v>
      </c>
      <c r="CD886">
        <v>0</v>
      </c>
      <c r="CE886">
        <v>0</v>
      </c>
      <c r="CF886">
        <v>0</v>
      </c>
      <c r="CG886">
        <v>0</v>
      </c>
      <c r="CH886">
        <v>0</v>
      </c>
      <c r="CI886">
        <v>0</v>
      </c>
      <c r="CJ886">
        <v>0</v>
      </c>
      <c r="CK886">
        <v>0</v>
      </c>
      <c r="CL886">
        <v>0</v>
      </c>
      <c r="CM886">
        <v>0</v>
      </c>
      <c r="CN886" t="str">
        <f t="shared" si="1111"/>
        <v>refOK</v>
      </c>
      <c r="CO886">
        <f t="shared" si="1112"/>
        <v>37628</v>
      </c>
      <c r="CP886">
        <f t="shared" si="1113"/>
        <v>38360</v>
      </c>
      <c r="CQ886">
        <f t="shared" si="1114"/>
        <v>732</v>
      </c>
      <c r="CR886">
        <f t="shared" si="1115"/>
        <v>-721</v>
      </c>
      <c r="CS886">
        <f t="shared" si="1116"/>
        <v>-665</v>
      </c>
      <c r="CT886">
        <f t="shared" si="1117"/>
        <v>56000000</v>
      </c>
      <c r="CU886">
        <f t="shared" si="1118"/>
        <v>76502.732240437152</v>
      </c>
      <c r="CV886" s="2">
        <f t="shared" si="1119"/>
        <v>7.7669902912621352E-2</v>
      </c>
      <c r="CW886" s="1" t="s">
        <v>1202</v>
      </c>
      <c r="CX886" t="str">
        <f t="shared" si="1120"/>
        <v>reg</v>
      </c>
      <c r="CY886" t="s">
        <v>666</v>
      </c>
      <c r="CZ886">
        <v>0</v>
      </c>
      <c r="DA886">
        <v>0</v>
      </c>
      <c r="DB886">
        <v>0</v>
      </c>
      <c r="DC886" t="str">
        <f t="shared" si="1121"/>
        <v>0</v>
      </c>
      <c r="DD886">
        <v>1</v>
      </c>
      <c r="DE886">
        <v>0</v>
      </c>
      <c r="DF886">
        <v>0</v>
      </c>
      <c r="DG886">
        <v>0</v>
      </c>
      <c r="DI886">
        <v>1</v>
      </c>
      <c r="DJ886" t="str">
        <f t="shared" si="1122"/>
        <v>UpstreamInput</v>
      </c>
      <c r="DK886" t="str">
        <f t="shared" si="1123"/>
        <v>Upstream</v>
      </c>
      <c r="DL886">
        <f t="shared" si="1124"/>
        <v>0</v>
      </c>
      <c r="DM886">
        <f t="shared" si="1125"/>
        <v>0</v>
      </c>
      <c r="DN886">
        <f t="shared" si="1126"/>
        <v>0</v>
      </c>
      <c r="DO886">
        <v>0</v>
      </c>
      <c r="DP886">
        <v>0</v>
      </c>
      <c r="DQ886">
        <v>0</v>
      </c>
      <c r="DR886">
        <v>0</v>
      </c>
      <c r="DS886">
        <v>0</v>
      </c>
      <c r="DT886">
        <f t="shared" si="1127"/>
        <v>0</v>
      </c>
      <c r="DU886" s="143" t="s">
        <v>961</v>
      </c>
      <c r="DV886">
        <v>0</v>
      </c>
      <c r="DW886">
        <v>0</v>
      </c>
      <c r="DX886">
        <v>0</v>
      </c>
      <c r="DY886">
        <v>0</v>
      </c>
      <c r="DZ886">
        <v>0</v>
      </c>
      <c r="EA886" s="143">
        <v>0</v>
      </c>
      <c r="EB886">
        <v>1</v>
      </c>
      <c r="EC886">
        <v>0</v>
      </c>
      <c r="ED886">
        <v>0</v>
      </c>
      <c r="EE886">
        <v>0</v>
      </c>
      <c r="EF886">
        <v>0</v>
      </c>
      <c r="EG886">
        <v>0</v>
      </c>
      <c r="EH886">
        <v>0</v>
      </c>
      <c r="EI886" s="2">
        <v>0</v>
      </c>
      <c r="EK886" t="str">
        <f t="shared" si="1128"/>
        <v/>
      </c>
      <c r="EL886" t="str">
        <f t="shared" si="1129"/>
        <v/>
      </c>
      <c r="EM886" s="2" t="str">
        <f t="shared" si="1100"/>
        <v/>
      </c>
      <c r="EP886" t="str">
        <f>IF(ISNUMBER(BU886),IF(ABS(BU886-[3]QC_indicators!$B$2)&gt;3*[3]QC_indicators!$C$2,"C ratio",IF(ISNUMBER(BY886),IF(ABS(BY886-[3]QC_indicators!$B$1)&gt;3*[3]QC_indicators!$C$1,"DF","no"))),IF(ISNUMBER(BY886),IF(ABS(BY886-[3]QC_indicators!$B$1)&gt;3*[3]QC_indicators!$C$1,"DF","no")))</f>
        <v>DF</v>
      </c>
      <c r="ET886" s="264" t="s">
        <v>3149</v>
      </c>
    </row>
    <row r="887" spans="1:150" ht="15" hidden="1" customHeight="1">
      <c r="A887" s="1" t="s">
        <v>925</v>
      </c>
      <c r="B887" t="s">
        <v>1848</v>
      </c>
      <c r="C887" t="s">
        <v>1849</v>
      </c>
      <c r="D887" t="s">
        <v>1850</v>
      </c>
      <c r="E887" t="s">
        <v>1851</v>
      </c>
      <c r="F887" t="s">
        <v>1852</v>
      </c>
      <c r="G887" t="s">
        <v>931</v>
      </c>
      <c r="H887" t="s">
        <v>254</v>
      </c>
      <c r="I887">
        <v>2019</v>
      </c>
      <c r="J887">
        <v>8</v>
      </c>
      <c r="K887" t="s">
        <v>1853</v>
      </c>
      <c r="M887" t="str">
        <f t="shared" si="1044"/>
        <v>Kogler_2019</v>
      </c>
      <c r="N887" t="s">
        <v>2581</v>
      </c>
      <c r="O887" s="171" t="s">
        <v>513</v>
      </c>
      <c r="P887" t="s">
        <v>959</v>
      </c>
      <c r="Q887" t="s">
        <v>389</v>
      </c>
      <c r="R887" s="262" t="s">
        <v>223</v>
      </c>
      <c r="S887" s="1" t="s">
        <v>1866</v>
      </c>
      <c r="T887" t="s">
        <v>1865</v>
      </c>
      <c r="U887" t="s">
        <v>1859</v>
      </c>
      <c r="V887">
        <v>0</v>
      </c>
      <c r="W887">
        <v>0</v>
      </c>
      <c r="X887">
        <v>0</v>
      </c>
      <c r="Y887">
        <v>0</v>
      </c>
      <c r="Z887">
        <v>0</v>
      </c>
      <c r="AA887">
        <v>0</v>
      </c>
      <c r="AB887">
        <v>0</v>
      </c>
      <c r="AC887">
        <v>0</v>
      </c>
      <c r="AD887">
        <v>0</v>
      </c>
      <c r="AE887">
        <v>0</v>
      </c>
      <c r="AF887">
        <v>1</v>
      </c>
      <c r="AG887">
        <v>0</v>
      </c>
      <c r="AH887">
        <v>0</v>
      </c>
      <c r="AI887">
        <v>0</v>
      </c>
      <c r="AJ887">
        <v>0</v>
      </c>
      <c r="AK887">
        <v>0</v>
      </c>
      <c r="AL887">
        <v>0</v>
      </c>
      <c r="AM887">
        <v>0</v>
      </c>
      <c r="AN887">
        <v>0</v>
      </c>
      <c r="AO887">
        <v>0</v>
      </c>
      <c r="AP887">
        <v>0</v>
      </c>
      <c r="AQ887">
        <v>0</v>
      </c>
      <c r="AR887">
        <v>0</v>
      </c>
      <c r="AS887">
        <v>0</v>
      </c>
      <c r="AT887">
        <v>0</v>
      </c>
      <c r="AU887">
        <v>0</v>
      </c>
      <c r="AV887">
        <v>0</v>
      </c>
      <c r="AW887">
        <v>0</v>
      </c>
      <c r="AX887" s="141">
        <f t="shared" si="1102"/>
        <v>1</v>
      </c>
      <c r="AY887" s="141">
        <f t="shared" si="1103"/>
        <v>1</v>
      </c>
      <c r="AZ887">
        <f t="shared" si="1104"/>
        <v>0</v>
      </c>
      <c r="BA887">
        <f t="shared" si="1105"/>
        <v>1</v>
      </c>
      <c r="BB887">
        <f t="shared" si="1106"/>
        <v>0</v>
      </c>
      <c r="BC887">
        <f t="shared" si="1107"/>
        <v>0</v>
      </c>
      <c r="BD887">
        <f t="shared" si="1108"/>
        <v>0</v>
      </c>
      <c r="BE887" t="str">
        <f t="array" ref="BE887">IF(AY887=1,INDEX($V$7:$AL$7,MATCH(TRUE,INDEX($V887:$AW887&lt;&gt;0,),0)),IF(AY887=0,INDEX($AM$7:$AW$7,MATCH(1,$AM887:$AW887,0)),IF(BF887="Multiple strategies","mixed drivers",IF(BF887="Supply chain","multiple supply","multiple silviculture"))))</f>
        <v>supply chain organization</v>
      </c>
      <c r="BF887" s="2" t="str" cm="1">
        <f t="array" ref="BF887">IF(COUNTIF(AZ887:BB887,"&lt;&gt;0")=1,INDEX($V$4:$AW$4,MATCH(TRUE,INDEX($V887:$AW887&lt;&gt;0,),0)),IF(COUNTIF(AZ887:BB887,"&lt;&gt;0")=0,INDEX($AM$4:$AW$4,MATCH(1,$AM887:$AW887,0)),"Multiple strategies"))</f>
        <v>Supply chain</v>
      </c>
      <c r="BG887" s="1" t="s">
        <v>321</v>
      </c>
      <c r="BH887" t="s">
        <v>1857</v>
      </c>
      <c r="BI887" t="s">
        <v>611</v>
      </c>
      <c r="BJ887" t="s">
        <v>498</v>
      </c>
      <c r="BK887">
        <v>75469</v>
      </c>
      <c r="BL887">
        <v>80258</v>
      </c>
      <c r="BM887">
        <v>1.0634565185705389</v>
      </c>
      <c r="BN887">
        <f t="shared" si="1109"/>
        <v>4789</v>
      </c>
      <c r="BO887">
        <f t="shared" si="1130"/>
        <v>4789</v>
      </c>
      <c r="BP887" t="s">
        <v>395</v>
      </c>
      <c r="BQ887" t="s">
        <v>1858</v>
      </c>
      <c r="BR887" s="264" t="s">
        <v>3148</v>
      </c>
      <c r="BS887">
        <v>1447</v>
      </c>
      <c r="BT887">
        <v>1270</v>
      </c>
      <c r="BU887" s="144">
        <v>0.8776779543883898</v>
      </c>
      <c r="BV887" s="152">
        <f t="shared" si="1110"/>
        <v>-177</v>
      </c>
      <c r="BX887">
        <f t="shared" si="1131"/>
        <v>-177000000</v>
      </c>
      <c r="BY887">
        <f t="shared" si="1099"/>
        <v>-36959.699310920863</v>
      </c>
      <c r="BZ887">
        <v>0</v>
      </c>
      <c r="CA887">
        <v>0</v>
      </c>
      <c r="CB887">
        <v>0</v>
      </c>
      <c r="CC887">
        <v>0</v>
      </c>
      <c r="CD887">
        <v>0</v>
      </c>
      <c r="CE887">
        <v>0</v>
      </c>
      <c r="CF887">
        <v>0</v>
      </c>
      <c r="CG887">
        <v>0</v>
      </c>
      <c r="CH887">
        <v>0</v>
      </c>
      <c r="CI887">
        <v>0</v>
      </c>
      <c r="CJ887">
        <v>0</v>
      </c>
      <c r="CK887">
        <v>0</v>
      </c>
      <c r="CL887">
        <v>0</v>
      </c>
      <c r="CM887">
        <v>0</v>
      </c>
      <c r="CN887" t="str">
        <f t="shared" si="1111"/>
        <v>refOK</v>
      </c>
      <c r="CO887">
        <f t="shared" si="1112"/>
        <v>75469</v>
      </c>
      <c r="CP887">
        <f t="shared" si="1113"/>
        <v>80258</v>
      </c>
      <c r="CQ887">
        <f t="shared" si="1114"/>
        <v>4789</v>
      </c>
      <c r="CR887">
        <f t="shared" si="1115"/>
        <v>-1447</v>
      </c>
      <c r="CS887">
        <f t="shared" si="1116"/>
        <v>-1270</v>
      </c>
      <c r="CT887">
        <f t="shared" si="1117"/>
        <v>177000000</v>
      </c>
      <c r="CU887">
        <f t="shared" si="1118"/>
        <v>36959.699310920863</v>
      </c>
      <c r="CV887" s="2">
        <f t="shared" si="1119"/>
        <v>0.12232204561161023</v>
      </c>
      <c r="CW887" s="1" t="s">
        <v>1202</v>
      </c>
      <c r="CX887" t="str">
        <f t="shared" si="1120"/>
        <v>reg</v>
      </c>
      <c r="CY887" t="s">
        <v>666</v>
      </c>
      <c r="CZ887">
        <v>0</v>
      </c>
      <c r="DA887">
        <v>0</v>
      </c>
      <c r="DB887">
        <v>0</v>
      </c>
      <c r="DC887" t="str">
        <f t="shared" si="1121"/>
        <v>0</v>
      </c>
      <c r="DD887">
        <v>1</v>
      </c>
      <c r="DE887">
        <v>0</v>
      </c>
      <c r="DF887">
        <v>0</v>
      </c>
      <c r="DG887">
        <v>0</v>
      </c>
      <c r="DI887">
        <v>1</v>
      </c>
      <c r="DJ887" t="str">
        <f t="shared" si="1122"/>
        <v>UpstreamInput</v>
      </c>
      <c r="DK887" t="str">
        <f t="shared" si="1123"/>
        <v>Upstream</v>
      </c>
      <c r="DL887">
        <f t="shared" si="1124"/>
        <v>0</v>
      </c>
      <c r="DM887">
        <f t="shared" si="1125"/>
        <v>0</v>
      </c>
      <c r="DN887">
        <f t="shared" si="1126"/>
        <v>0</v>
      </c>
      <c r="DO887">
        <v>0</v>
      </c>
      <c r="DP887">
        <v>0</v>
      </c>
      <c r="DQ887">
        <v>0</v>
      </c>
      <c r="DR887">
        <v>0</v>
      </c>
      <c r="DS887">
        <v>0</v>
      </c>
      <c r="DT887">
        <f t="shared" si="1127"/>
        <v>0</v>
      </c>
      <c r="DU887" s="143" t="s">
        <v>961</v>
      </c>
      <c r="DV887">
        <v>0</v>
      </c>
      <c r="DW887">
        <v>0</v>
      </c>
      <c r="DX887">
        <v>0</v>
      </c>
      <c r="DY887">
        <v>0</v>
      </c>
      <c r="DZ887">
        <v>0</v>
      </c>
      <c r="EA887" s="143">
        <v>0</v>
      </c>
      <c r="EB887">
        <v>1</v>
      </c>
      <c r="EC887">
        <v>0</v>
      </c>
      <c r="ED887">
        <v>0</v>
      </c>
      <c r="EE887">
        <v>0</v>
      </c>
      <c r="EF887">
        <v>0</v>
      </c>
      <c r="EG887">
        <v>0</v>
      </c>
      <c r="EH887">
        <v>0</v>
      </c>
      <c r="EI887" s="2">
        <v>0</v>
      </c>
      <c r="EK887" t="str">
        <f t="shared" si="1128"/>
        <v/>
      </c>
      <c r="EL887" t="str">
        <f t="shared" si="1129"/>
        <v/>
      </c>
      <c r="EM887" s="2" t="str">
        <f t="shared" si="1100"/>
        <v/>
      </c>
      <c r="EP887" t="str">
        <f>IF(ISNUMBER(BU887),IF(ABS(BU887-[3]QC_indicators!$B$2)&gt;3*[3]QC_indicators!$C$2,"C ratio",IF(ISNUMBER(BY887),IF(ABS(BY887-[3]QC_indicators!$B$1)&gt;3*[3]QC_indicators!$C$1,"DF","no"))),IF(ISNUMBER(BY887),IF(ABS(BY887-[3]QC_indicators!$B$1)&gt;3*[3]QC_indicators!$C$1,"DF","no")))</f>
        <v>DF</v>
      </c>
      <c r="ET887" s="264" t="s">
        <v>3149</v>
      </c>
    </row>
    <row r="888" spans="1:150" ht="15" hidden="1" customHeight="1">
      <c r="A888" s="1" t="s">
        <v>925</v>
      </c>
      <c r="B888" t="s">
        <v>1848</v>
      </c>
      <c r="C888" t="s">
        <v>1849</v>
      </c>
      <c r="D888" t="s">
        <v>1850</v>
      </c>
      <c r="E888" t="s">
        <v>1851</v>
      </c>
      <c r="F888" t="s">
        <v>1852</v>
      </c>
      <c r="G888" t="s">
        <v>931</v>
      </c>
      <c r="H888" t="s">
        <v>254</v>
      </c>
      <c r="I888">
        <v>2019</v>
      </c>
      <c r="J888">
        <v>8</v>
      </c>
      <c r="K888" t="s">
        <v>1853</v>
      </c>
      <c r="M888" t="str">
        <f t="shared" si="1044"/>
        <v>Kogler_2019</v>
      </c>
      <c r="N888" t="s">
        <v>2581</v>
      </c>
      <c r="O888" s="171" t="s">
        <v>513</v>
      </c>
      <c r="P888" t="s">
        <v>959</v>
      </c>
      <c r="Q888" t="s">
        <v>389</v>
      </c>
      <c r="R888" s="262" t="s">
        <v>223</v>
      </c>
      <c r="S888" s="1" t="s">
        <v>1866</v>
      </c>
      <c r="T888" t="s">
        <v>1864</v>
      </c>
      <c r="U888" t="s">
        <v>1861</v>
      </c>
      <c r="V888">
        <v>0</v>
      </c>
      <c r="W888">
        <v>0</v>
      </c>
      <c r="X888">
        <v>0</v>
      </c>
      <c r="Y888">
        <v>0</v>
      </c>
      <c r="Z888">
        <v>0</v>
      </c>
      <c r="AA888">
        <v>0</v>
      </c>
      <c r="AB888">
        <v>0</v>
      </c>
      <c r="AC888">
        <v>0</v>
      </c>
      <c r="AD888">
        <v>0</v>
      </c>
      <c r="AE888">
        <v>0</v>
      </c>
      <c r="AF888">
        <v>1</v>
      </c>
      <c r="AG888">
        <v>0</v>
      </c>
      <c r="AH888">
        <v>0</v>
      </c>
      <c r="AI888">
        <v>0</v>
      </c>
      <c r="AJ888">
        <v>0</v>
      </c>
      <c r="AK888">
        <v>0</v>
      </c>
      <c r="AL888">
        <v>0</v>
      </c>
      <c r="AM888">
        <v>0</v>
      </c>
      <c r="AN888">
        <v>0</v>
      </c>
      <c r="AO888">
        <v>0</v>
      </c>
      <c r="AP888">
        <v>0</v>
      </c>
      <c r="AQ888">
        <v>0</v>
      </c>
      <c r="AR888">
        <v>0</v>
      </c>
      <c r="AS888">
        <v>0</v>
      </c>
      <c r="AT888">
        <v>0</v>
      </c>
      <c r="AU888">
        <v>0</v>
      </c>
      <c r="AV888">
        <v>0</v>
      </c>
      <c r="AW888">
        <v>0</v>
      </c>
      <c r="AX888" s="141">
        <f t="shared" si="1102"/>
        <v>1</v>
      </c>
      <c r="AY888" s="141">
        <f t="shared" si="1103"/>
        <v>1</v>
      </c>
      <c r="AZ888">
        <f t="shared" si="1104"/>
        <v>0</v>
      </c>
      <c r="BA888">
        <f t="shared" si="1105"/>
        <v>1</v>
      </c>
      <c r="BB888">
        <f t="shared" si="1106"/>
        <v>0</v>
      </c>
      <c r="BC888">
        <f t="shared" si="1107"/>
        <v>0</v>
      </c>
      <c r="BD888">
        <f t="shared" si="1108"/>
        <v>0</v>
      </c>
      <c r="BE888" t="str">
        <f t="array" ref="BE888">IF(AY888=1,INDEX($V$7:$AL$7,MATCH(TRUE,INDEX($V888:$AW888&lt;&gt;0,),0)),IF(AY888=0,INDEX($AM$7:$AW$7,MATCH(1,$AM888:$AW888,0)),IF(BF888="Multiple strategies","mixed drivers",IF(BF888="Supply chain","multiple supply","multiple silviculture"))))</f>
        <v>supply chain organization</v>
      </c>
      <c r="BF888" s="2" t="str" cm="1">
        <f t="array" ref="BF888">IF(COUNTIF(AZ888:BB888,"&lt;&gt;0")=1,INDEX($V$4:$AW$4,MATCH(TRUE,INDEX($V888:$AW888&lt;&gt;0,),0)),IF(COUNTIF(AZ888:BB888,"&lt;&gt;0")=0,INDEX($AM$4:$AW$4,MATCH(1,$AM888:$AW888,0)),"Multiple strategies"))</f>
        <v>Supply chain</v>
      </c>
      <c r="BG888" s="1" t="s">
        <v>321</v>
      </c>
      <c r="BH888" t="s">
        <v>1857</v>
      </c>
      <c r="BI888" t="s">
        <v>611</v>
      </c>
      <c r="BJ888" t="s">
        <v>498</v>
      </c>
      <c r="BK888">
        <v>39771</v>
      </c>
      <c r="BL888">
        <v>41581</v>
      </c>
      <c r="BM888">
        <v>1.0455105478866511</v>
      </c>
      <c r="BN888">
        <f t="shared" si="1109"/>
        <v>1810</v>
      </c>
      <c r="BO888">
        <f t="shared" si="1130"/>
        <v>1810</v>
      </c>
      <c r="BP888" t="s">
        <v>395</v>
      </c>
      <c r="BQ888" t="s">
        <v>1858</v>
      </c>
      <c r="BR888" s="264" t="s">
        <v>3148</v>
      </c>
      <c r="BS888">
        <v>762</v>
      </c>
      <c r="BT888">
        <v>719</v>
      </c>
      <c r="BU888" s="144">
        <v>0.94356955380577423</v>
      </c>
      <c r="BV888" s="152">
        <f t="shared" si="1110"/>
        <v>-43</v>
      </c>
      <c r="BX888">
        <f t="shared" si="1131"/>
        <v>-43000000</v>
      </c>
      <c r="BY888">
        <f t="shared" si="1099"/>
        <v>-23756.906077348067</v>
      </c>
      <c r="BZ888">
        <v>0</v>
      </c>
      <c r="CA888">
        <v>0</v>
      </c>
      <c r="CB888">
        <v>0</v>
      </c>
      <c r="CC888">
        <v>0</v>
      </c>
      <c r="CD888">
        <v>0</v>
      </c>
      <c r="CE888">
        <v>0</v>
      </c>
      <c r="CF888">
        <v>0</v>
      </c>
      <c r="CG888">
        <v>0</v>
      </c>
      <c r="CH888">
        <v>0</v>
      </c>
      <c r="CI888">
        <v>0</v>
      </c>
      <c r="CJ888">
        <v>0</v>
      </c>
      <c r="CK888">
        <v>0</v>
      </c>
      <c r="CL888">
        <v>0</v>
      </c>
      <c r="CM888">
        <v>0</v>
      </c>
      <c r="CN888" t="str">
        <f t="shared" si="1111"/>
        <v>refOK</v>
      </c>
      <c r="CO888">
        <f t="shared" si="1112"/>
        <v>39771</v>
      </c>
      <c r="CP888">
        <f t="shared" si="1113"/>
        <v>41581</v>
      </c>
      <c r="CQ888">
        <f t="shared" si="1114"/>
        <v>1810</v>
      </c>
      <c r="CR888">
        <f t="shared" si="1115"/>
        <v>-762</v>
      </c>
      <c r="CS888">
        <f t="shared" si="1116"/>
        <v>-719</v>
      </c>
      <c r="CT888">
        <f t="shared" si="1117"/>
        <v>43000000</v>
      </c>
      <c r="CU888">
        <f t="shared" si="1118"/>
        <v>23756.906077348067</v>
      </c>
      <c r="CV888" s="2">
        <f t="shared" si="1119"/>
        <v>5.6430446194225721E-2</v>
      </c>
      <c r="CW888" s="1" t="s">
        <v>1202</v>
      </c>
      <c r="CX888" t="str">
        <f t="shared" si="1120"/>
        <v>reg</v>
      </c>
      <c r="CY888" t="s">
        <v>666</v>
      </c>
      <c r="CZ888">
        <v>0</v>
      </c>
      <c r="DA888">
        <v>0</v>
      </c>
      <c r="DB888">
        <v>0</v>
      </c>
      <c r="DC888" t="str">
        <f t="shared" si="1121"/>
        <v>0</v>
      </c>
      <c r="DD888">
        <v>1</v>
      </c>
      <c r="DE888">
        <v>0</v>
      </c>
      <c r="DF888">
        <v>0</v>
      </c>
      <c r="DG888">
        <v>0</v>
      </c>
      <c r="DI888">
        <v>1</v>
      </c>
      <c r="DJ888" t="str">
        <f t="shared" si="1122"/>
        <v>UpstreamInput</v>
      </c>
      <c r="DK888" t="str">
        <f t="shared" si="1123"/>
        <v>Upstream</v>
      </c>
      <c r="DL888">
        <f t="shared" si="1124"/>
        <v>0</v>
      </c>
      <c r="DM888">
        <f t="shared" si="1125"/>
        <v>0</v>
      </c>
      <c r="DN888">
        <f t="shared" si="1126"/>
        <v>0</v>
      </c>
      <c r="DO888">
        <v>0</v>
      </c>
      <c r="DP888">
        <v>0</v>
      </c>
      <c r="DQ888">
        <v>0</v>
      </c>
      <c r="DR888">
        <v>0</v>
      </c>
      <c r="DS888">
        <v>0</v>
      </c>
      <c r="DT888">
        <f t="shared" si="1127"/>
        <v>0</v>
      </c>
      <c r="DU888" s="143" t="s">
        <v>961</v>
      </c>
      <c r="DV888">
        <v>0</v>
      </c>
      <c r="DW888">
        <v>0</v>
      </c>
      <c r="DX888">
        <v>0</v>
      </c>
      <c r="DY888">
        <v>0</v>
      </c>
      <c r="DZ888">
        <v>0</v>
      </c>
      <c r="EA888" s="143">
        <v>0</v>
      </c>
      <c r="EB888">
        <v>1</v>
      </c>
      <c r="EC888">
        <v>0</v>
      </c>
      <c r="ED888">
        <v>0</v>
      </c>
      <c r="EE888">
        <v>0</v>
      </c>
      <c r="EF888">
        <v>0</v>
      </c>
      <c r="EG888">
        <v>0</v>
      </c>
      <c r="EH888">
        <v>0</v>
      </c>
      <c r="EI888" s="2">
        <v>0</v>
      </c>
      <c r="EK888" t="str">
        <f t="shared" si="1128"/>
        <v/>
      </c>
      <c r="EL888" t="str">
        <f t="shared" si="1129"/>
        <v/>
      </c>
      <c r="EM888" s="2" t="str">
        <f t="shared" si="1100"/>
        <v/>
      </c>
      <c r="EP888" t="str">
        <f>IF(ISNUMBER(BU888),IF(ABS(BU888-[3]QC_indicators!$B$2)&gt;3*[3]QC_indicators!$C$2,"C ratio",IF(ISNUMBER(BY888),IF(ABS(BY888-[3]QC_indicators!$B$1)&gt;3*[3]QC_indicators!$C$1,"DF","no"))),IF(ISNUMBER(BY888),IF(ABS(BY888-[3]QC_indicators!$B$1)&gt;3*[3]QC_indicators!$C$1,"DF","no")))</f>
        <v>DF</v>
      </c>
      <c r="ET888" s="264" t="s">
        <v>3149</v>
      </c>
    </row>
    <row r="889" spans="1:150" ht="15" hidden="1" customHeight="1">
      <c r="A889" s="1" t="s">
        <v>925</v>
      </c>
      <c r="B889" t="s">
        <v>1848</v>
      </c>
      <c r="C889" t="s">
        <v>1849</v>
      </c>
      <c r="D889" t="s">
        <v>1850</v>
      </c>
      <c r="E889" t="s">
        <v>1851</v>
      </c>
      <c r="F889" t="s">
        <v>1852</v>
      </c>
      <c r="G889" t="s">
        <v>931</v>
      </c>
      <c r="H889" t="s">
        <v>254</v>
      </c>
      <c r="I889">
        <v>2019</v>
      </c>
      <c r="J889">
        <v>8</v>
      </c>
      <c r="K889" t="s">
        <v>1853</v>
      </c>
      <c r="M889" t="str">
        <f t="shared" si="1044"/>
        <v>Kogler_2019</v>
      </c>
      <c r="N889" t="s">
        <v>2581</v>
      </c>
      <c r="O889" s="171" t="s">
        <v>513</v>
      </c>
      <c r="P889" t="s">
        <v>959</v>
      </c>
      <c r="Q889" t="s">
        <v>389</v>
      </c>
      <c r="R889" s="262" t="s">
        <v>223</v>
      </c>
      <c r="S889" s="1" t="s">
        <v>1866</v>
      </c>
      <c r="T889" t="s">
        <v>1865</v>
      </c>
      <c r="U889" t="s">
        <v>1862</v>
      </c>
      <c r="V889">
        <v>0</v>
      </c>
      <c r="W889">
        <v>0</v>
      </c>
      <c r="X889">
        <v>0</v>
      </c>
      <c r="Y889">
        <v>0</v>
      </c>
      <c r="Z889">
        <v>0</v>
      </c>
      <c r="AA889">
        <v>0</v>
      </c>
      <c r="AB889">
        <v>0</v>
      </c>
      <c r="AC889">
        <v>0</v>
      </c>
      <c r="AD889">
        <v>0</v>
      </c>
      <c r="AE889">
        <v>0</v>
      </c>
      <c r="AF889">
        <v>1</v>
      </c>
      <c r="AG889">
        <v>0</v>
      </c>
      <c r="AH889">
        <v>0</v>
      </c>
      <c r="AI889">
        <v>0</v>
      </c>
      <c r="AJ889">
        <v>0</v>
      </c>
      <c r="AK889">
        <v>0</v>
      </c>
      <c r="AL889">
        <v>0</v>
      </c>
      <c r="AM889">
        <v>0</v>
      </c>
      <c r="AN889">
        <v>0</v>
      </c>
      <c r="AO889">
        <v>0</v>
      </c>
      <c r="AP889">
        <v>0</v>
      </c>
      <c r="AQ889">
        <v>0</v>
      </c>
      <c r="AR889">
        <v>0</v>
      </c>
      <c r="AS889">
        <v>0</v>
      </c>
      <c r="AT889">
        <v>0</v>
      </c>
      <c r="AU889">
        <v>0</v>
      </c>
      <c r="AV889">
        <v>0</v>
      </c>
      <c r="AW889">
        <v>0</v>
      </c>
      <c r="AX889" s="141">
        <f t="shared" si="1102"/>
        <v>1</v>
      </c>
      <c r="AY889" s="141">
        <f t="shared" si="1103"/>
        <v>1</v>
      </c>
      <c r="AZ889">
        <f t="shared" si="1104"/>
        <v>0</v>
      </c>
      <c r="BA889">
        <f t="shared" si="1105"/>
        <v>1</v>
      </c>
      <c r="BB889">
        <f t="shared" si="1106"/>
        <v>0</v>
      </c>
      <c r="BC889">
        <f t="shared" si="1107"/>
        <v>0</v>
      </c>
      <c r="BD889">
        <f t="shared" si="1108"/>
        <v>0</v>
      </c>
      <c r="BE889" t="str">
        <f t="array" ref="BE889">IF(AY889=1,INDEX($V$7:$AL$7,MATCH(TRUE,INDEX($V889:$AW889&lt;&gt;0,),0)),IF(AY889=0,INDEX($AM$7:$AW$7,MATCH(1,$AM889:$AW889,0)),IF(BF889="Multiple strategies","mixed drivers",IF(BF889="Supply chain","multiple supply","multiple silviculture"))))</f>
        <v>supply chain organization</v>
      </c>
      <c r="BF889" s="2" t="str" cm="1">
        <f t="array" ref="BF889">IF(COUNTIF(AZ889:BB889,"&lt;&gt;0")=1,INDEX($V$4:$AW$4,MATCH(TRUE,INDEX($V889:$AW889&lt;&gt;0,),0)),IF(COUNTIF(AZ889:BB889,"&lt;&gt;0")=0,INDEX($AM$4:$AW$4,MATCH(1,$AM889:$AW889,0)),"Multiple strategies"))</f>
        <v>Supply chain</v>
      </c>
      <c r="BG889" s="1" t="s">
        <v>321</v>
      </c>
      <c r="BH889" t="s">
        <v>1857</v>
      </c>
      <c r="BI889" t="s">
        <v>611</v>
      </c>
      <c r="BJ889" t="s">
        <v>498</v>
      </c>
      <c r="BK889">
        <v>75469</v>
      </c>
      <c r="BL889">
        <v>86651</v>
      </c>
      <c r="BM889">
        <v>1.1481667969629914</v>
      </c>
      <c r="BN889">
        <f t="shared" si="1109"/>
        <v>11182</v>
      </c>
      <c r="BO889">
        <f t="shared" si="1130"/>
        <v>11182</v>
      </c>
      <c r="BP889" t="s">
        <v>395</v>
      </c>
      <c r="BQ889" t="s">
        <v>1858</v>
      </c>
      <c r="BR889" s="264" t="s">
        <v>3148</v>
      </c>
      <c r="BS889">
        <v>1447</v>
      </c>
      <c r="BT889">
        <v>1500</v>
      </c>
      <c r="BU889" s="144">
        <v>1.0366275051831375</v>
      </c>
      <c r="BV889" s="152">
        <f t="shared" si="1110"/>
        <v>53</v>
      </c>
      <c r="BX889">
        <f t="shared" si="1131"/>
        <v>53000000</v>
      </c>
      <c r="BY889">
        <f t="shared" si="1099"/>
        <v>4739.7603291003397</v>
      </c>
      <c r="BZ889">
        <v>0</v>
      </c>
      <c r="CA889">
        <v>0</v>
      </c>
      <c r="CB889">
        <v>0</v>
      </c>
      <c r="CC889">
        <v>0</v>
      </c>
      <c r="CD889">
        <v>0</v>
      </c>
      <c r="CE889">
        <v>0</v>
      </c>
      <c r="CF889">
        <v>0</v>
      </c>
      <c r="CG889">
        <v>0</v>
      </c>
      <c r="CH889">
        <v>0</v>
      </c>
      <c r="CI889">
        <v>0</v>
      </c>
      <c r="CJ889">
        <v>0</v>
      </c>
      <c r="CK889">
        <v>0</v>
      </c>
      <c r="CL889">
        <v>0</v>
      </c>
      <c r="CM889">
        <v>0</v>
      </c>
      <c r="CN889" t="str">
        <f t="shared" si="1111"/>
        <v>refOK</v>
      </c>
      <c r="CO889">
        <f t="shared" si="1112"/>
        <v>75469</v>
      </c>
      <c r="CP889">
        <f t="shared" si="1113"/>
        <v>86651</v>
      </c>
      <c r="CQ889">
        <f t="shared" si="1114"/>
        <v>11182</v>
      </c>
      <c r="CR889">
        <f t="shared" si="1115"/>
        <v>-1447</v>
      </c>
      <c r="CS889">
        <f t="shared" si="1116"/>
        <v>-1500</v>
      </c>
      <c r="CT889">
        <f t="shared" si="1117"/>
        <v>-53000000</v>
      </c>
      <c r="CU889">
        <f t="shared" si="1118"/>
        <v>-4739.7603291003397</v>
      </c>
      <c r="CV889" s="2">
        <f t="shared" si="1119"/>
        <v>-3.6627505183137524E-2</v>
      </c>
      <c r="CW889" s="1" t="s">
        <v>1202</v>
      </c>
      <c r="CX889" t="str">
        <f t="shared" si="1120"/>
        <v>reg</v>
      </c>
      <c r="CY889" t="s">
        <v>666</v>
      </c>
      <c r="CZ889">
        <v>0</v>
      </c>
      <c r="DA889">
        <v>0</v>
      </c>
      <c r="DB889">
        <v>0</v>
      </c>
      <c r="DC889" t="str">
        <f t="shared" si="1121"/>
        <v>0</v>
      </c>
      <c r="DD889">
        <v>1</v>
      </c>
      <c r="DE889">
        <v>0</v>
      </c>
      <c r="DF889">
        <v>0</v>
      </c>
      <c r="DG889">
        <v>0</v>
      </c>
      <c r="DI889">
        <v>1</v>
      </c>
      <c r="DJ889" t="str">
        <f t="shared" si="1122"/>
        <v>UpstreamInput</v>
      </c>
      <c r="DK889" t="str">
        <f t="shared" si="1123"/>
        <v>Upstream</v>
      </c>
      <c r="DL889">
        <f t="shared" si="1124"/>
        <v>0</v>
      </c>
      <c r="DM889">
        <f t="shared" si="1125"/>
        <v>0</v>
      </c>
      <c r="DN889">
        <f t="shared" si="1126"/>
        <v>0</v>
      </c>
      <c r="DO889">
        <v>0</v>
      </c>
      <c r="DP889">
        <v>0</v>
      </c>
      <c r="DQ889">
        <v>0</v>
      </c>
      <c r="DR889">
        <v>0</v>
      </c>
      <c r="DS889">
        <v>0</v>
      </c>
      <c r="DT889">
        <f t="shared" si="1127"/>
        <v>0</v>
      </c>
      <c r="DU889" s="143" t="s">
        <v>961</v>
      </c>
      <c r="DV889">
        <v>0</v>
      </c>
      <c r="DW889">
        <v>0</v>
      </c>
      <c r="DX889">
        <v>0</v>
      </c>
      <c r="DY889">
        <v>0</v>
      </c>
      <c r="DZ889">
        <v>0</v>
      </c>
      <c r="EA889" s="143">
        <v>0</v>
      </c>
      <c r="EB889">
        <v>1</v>
      </c>
      <c r="EC889">
        <v>0</v>
      </c>
      <c r="ED889">
        <v>0</v>
      </c>
      <c r="EE889">
        <v>0</v>
      </c>
      <c r="EF889">
        <v>0</v>
      </c>
      <c r="EG889">
        <v>0</v>
      </c>
      <c r="EH889">
        <v>0</v>
      </c>
      <c r="EI889" s="2">
        <v>0</v>
      </c>
      <c r="EK889" t="str">
        <f t="shared" si="1128"/>
        <v/>
      </c>
      <c r="EL889" t="str">
        <f t="shared" si="1129"/>
        <v/>
      </c>
      <c r="EM889" s="2" t="str">
        <f t="shared" si="1100"/>
        <v/>
      </c>
      <c r="EP889" t="str">
        <f>IF(ISNUMBER(BU889),IF(ABS(BU889-[3]QC_indicators!$B$2)&gt;3*[3]QC_indicators!$C$2,"C ratio",IF(ISNUMBER(BY889),IF(ABS(BY889-[3]QC_indicators!$B$1)&gt;3*[3]QC_indicators!$C$1,"DF","no"))),IF(ISNUMBER(BY889),IF(ABS(BY889-[3]QC_indicators!$B$1)&gt;3*[3]QC_indicators!$C$1,"DF","no")))</f>
        <v>no</v>
      </c>
      <c r="ET889" s="264" t="s">
        <v>3149</v>
      </c>
    </row>
    <row r="890" spans="1:150" ht="18" hidden="1" customHeight="1">
      <c r="A890" s="1" t="s">
        <v>925</v>
      </c>
      <c r="B890" t="s">
        <v>1848</v>
      </c>
      <c r="C890" t="s">
        <v>1849</v>
      </c>
      <c r="D890" t="s">
        <v>1850</v>
      </c>
      <c r="E890" t="s">
        <v>1851</v>
      </c>
      <c r="F890" t="s">
        <v>1852</v>
      </c>
      <c r="G890" t="s">
        <v>931</v>
      </c>
      <c r="H890" t="s">
        <v>254</v>
      </c>
      <c r="I890">
        <v>2019</v>
      </c>
      <c r="J890">
        <v>8</v>
      </c>
      <c r="K890" t="s">
        <v>1853</v>
      </c>
      <c r="M890" t="str">
        <f t="shared" si="1044"/>
        <v>Kogler_2019</v>
      </c>
      <c r="N890" t="s">
        <v>2581</v>
      </c>
      <c r="O890" s="171" t="s">
        <v>513</v>
      </c>
      <c r="P890" t="s">
        <v>959</v>
      </c>
      <c r="Q890" t="s">
        <v>389</v>
      </c>
      <c r="R890" s="262" t="s">
        <v>223</v>
      </c>
      <c r="S890" s="1" t="s">
        <v>1854</v>
      </c>
      <c r="T890" t="s">
        <v>1855</v>
      </c>
      <c r="U890" t="s">
        <v>1856</v>
      </c>
      <c r="V890">
        <v>0</v>
      </c>
      <c r="W890">
        <v>0</v>
      </c>
      <c r="X890">
        <v>0</v>
      </c>
      <c r="Y890">
        <v>1</v>
      </c>
      <c r="Z890">
        <v>0</v>
      </c>
      <c r="AA890">
        <v>0</v>
      </c>
      <c r="AB890">
        <v>0</v>
      </c>
      <c r="AC890">
        <v>0</v>
      </c>
      <c r="AD890">
        <v>0</v>
      </c>
      <c r="AE890">
        <v>0</v>
      </c>
      <c r="AF890">
        <v>0</v>
      </c>
      <c r="AG890">
        <v>0</v>
      </c>
      <c r="AH890">
        <v>0</v>
      </c>
      <c r="AI890">
        <v>0</v>
      </c>
      <c r="AJ890">
        <v>0</v>
      </c>
      <c r="AK890">
        <v>0</v>
      </c>
      <c r="AL890">
        <v>0</v>
      </c>
      <c r="AM890">
        <v>0</v>
      </c>
      <c r="AN890">
        <v>0</v>
      </c>
      <c r="AO890">
        <v>2</v>
      </c>
      <c r="AP890">
        <v>0</v>
      </c>
      <c r="AQ890">
        <v>0</v>
      </c>
      <c r="AR890">
        <v>0</v>
      </c>
      <c r="AS890">
        <v>0</v>
      </c>
      <c r="AT890">
        <v>0</v>
      </c>
      <c r="AU890">
        <v>0</v>
      </c>
      <c r="AV890">
        <v>0</v>
      </c>
      <c r="AW890">
        <v>0</v>
      </c>
      <c r="AX890" s="141">
        <f t="shared" si="1102"/>
        <v>2</v>
      </c>
      <c r="AY890" s="141">
        <f t="shared" si="1103"/>
        <v>1</v>
      </c>
      <c r="AZ890">
        <f t="shared" si="1104"/>
        <v>1</v>
      </c>
      <c r="BA890">
        <f t="shared" si="1105"/>
        <v>0</v>
      </c>
      <c r="BB890">
        <f t="shared" si="1106"/>
        <v>0</v>
      </c>
      <c r="BC890">
        <f t="shared" si="1107"/>
        <v>0</v>
      </c>
      <c r="BD890">
        <f t="shared" si="1108"/>
        <v>1</v>
      </c>
      <c r="BE890" t="str">
        <f t="array" ref="BE890">IF(AY890=1,INDEX($V$7:$AL$7,MATCH(TRUE,INDEX($V890:$AW890&lt;&gt;0,),0)),IF(AY890=0,INDEX($AM$7:$AW$7,MATCH(1,$AM890:$AW890,0)),IF(BF890="Multiple strategies","mixed drivers",IF(BF890="Supply chain","multiple supply","multiple silviculture"))))</f>
        <v xml:space="preserve">cutting intensity </v>
      </c>
      <c r="BF890" s="2" t="str" cm="1">
        <f t="array" ref="BF890">IF(COUNTIF(AZ890:BB890,"&lt;&gt;0")=1,INDEX($V$4:$AW$4,MATCH(TRUE,INDEX($V890:$AW890&lt;&gt;0,),0)),IF(COUNTIF(AZ890:BB890,"&lt;&gt;0")=0,INDEX($AM$4:$AW$4,MATCH(1,$AM890:$AW890,0)),"Multiple strategies"))</f>
        <v>Silviculture for removals</v>
      </c>
      <c r="BG890" s="1" t="s">
        <v>321</v>
      </c>
      <c r="BH890" t="s">
        <v>1857</v>
      </c>
      <c r="BI890" t="s">
        <v>611</v>
      </c>
      <c r="BJ890" t="s">
        <v>498</v>
      </c>
      <c r="BK890">
        <v>35082</v>
      </c>
      <c r="BL890">
        <v>37563</v>
      </c>
      <c r="BM890" t="s">
        <v>544</v>
      </c>
      <c r="BN890">
        <f t="shared" si="1109"/>
        <v>2481</v>
      </c>
      <c r="BO890">
        <f t="shared" si="1130"/>
        <v>2481</v>
      </c>
      <c r="BP890" t="s">
        <v>395</v>
      </c>
      <c r="BQ890" t="s">
        <v>1858</v>
      </c>
      <c r="BR890" s="264" t="s">
        <v>3148</v>
      </c>
      <c r="BS890">
        <v>541</v>
      </c>
      <c r="BT890">
        <v>579</v>
      </c>
      <c r="BU890" s="144">
        <v>1.0702402957486137</v>
      </c>
      <c r="BV890" s="152">
        <f t="shared" si="1110"/>
        <v>38</v>
      </c>
      <c r="BX890">
        <f t="shared" si="1131"/>
        <v>38000000</v>
      </c>
      <c r="BY890">
        <f t="shared" si="1099"/>
        <v>15316.404675534059</v>
      </c>
      <c r="BZ890">
        <v>0</v>
      </c>
      <c r="CA890">
        <v>0</v>
      </c>
      <c r="CB890">
        <v>0</v>
      </c>
      <c r="CC890">
        <v>0</v>
      </c>
      <c r="CD890">
        <v>0</v>
      </c>
      <c r="CE890">
        <v>0</v>
      </c>
      <c r="CF890">
        <v>0</v>
      </c>
      <c r="CG890">
        <v>0</v>
      </c>
      <c r="CH890">
        <v>0</v>
      </c>
      <c r="CI890">
        <v>0</v>
      </c>
      <c r="CJ890">
        <v>0</v>
      </c>
      <c r="CK890">
        <v>0</v>
      </c>
      <c r="CL890">
        <v>0</v>
      </c>
      <c r="CM890">
        <v>0</v>
      </c>
      <c r="CN890" t="str">
        <f t="shared" si="1111"/>
        <v>refOK</v>
      </c>
      <c r="CO890">
        <f t="shared" si="1112"/>
        <v>35082</v>
      </c>
      <c r="CP890">
        <f t="shared" si="1113"/>
        <v>37563</v>
      </c>
      <c r="CQ890">
        <f t="shared" si="1114"/>
        <v>2481</v>
      </c>
      <c r="CR890">
        <f t="shared" si="1115"/>
        <v>-541</v>
      </c>
      <c r="CS890">
        <f t="shared" si="1116"/>
        <v>-579</v>
      </c>
      <c r="CT890">
        <f t="shared" si="1117"/>
        <v>-38000000</v>
      </c>
      <c r="CU890">
        <f t="shared" si="1118"/>
        <v>-15316.404675534059</v>
      </c>
      <c r="CV890" s="2">
        <f t="shared" si="1119"/>
        <v>-7.0240295748613679E-2</v>
      </c>
      <c r="CW890" s="1" t="s">
        <v>1202</v>
      </c>
      <c r="CX890" t="str">
        <f t="shared" si="1120"/>
        <v>reg</v>
      </c>
      <c r="CY890" t="s">
        <v>666</v>
      </c>
      <c r="CZ890">
        <v>0</v>
      </c>
      <c r="DA890">
        <v>0</v>
      </c>
      <c r="DB890">
        <v>0</v>
      </c>
      <c r="DC890" t="str">
        <f t="shared" si="1121"/>
        <v>0</v>
      </c>
      <c r="DD890">
        <v>1</v>
      </c>
      <c r="DE890">
        <v>0</v>
      </c>
      <c r="DF890">
        <v>0</v>
      </c>
      <c r="DG890">
        <v>0</v>
      </c>
      <c r="DI890">
        <v>1</v>
      </c>
      <c r="DJ890" t="str">
        <f t="shared" si="1122"/>
        <v>UpstreamInput</v>
      </c>
      <c r="DK890" t="str">
        <f t="shared" si="1123"/>
        <v>Upstream</v>
      </c>
      <c r="DL890">
        <f t="shared" si="1124"/>
        <v>0</v>
      </c>
      <c r="DM890">
        <f t="shared" si="1125"/>
        <v>0</v>
      </c>
      <c r="DN890">
        <f t="shared" si="1126"/>
        <v>0</v>
      </c>
      <c r="DO890">
        <v>0</v>
      </c>
      <c r="DP890">
        <v>0</v>
      </c>
      <c r="DQ890">
        <v>0</v>
      </c>
      <c r="DR890">
        <v>0</v>
      </c>
      <c r="DS890">
        <v>0</v>
      </c>
      <c r="DT890">
        <f t="shared" si="1127"/>
        <v>0</v>
      </c>
      <c r="DU890" s="143" t="s">
        <v>961</v>
      </c>
      <c r="DV890">
        <v>0</v>
      </c>
      <c r="DW890">
        <v>0</v>
      </c>
      <c r="DX890">
        <v>0</v>
      </c>
      <c r="DY890">
        <v>0</v>
      </c>
      <c r="DZ890">
        <v>0</v>
      </c>
      <c r="EA890" s="143">
        <v>0</v>
      </c>
      <c r="EB890">
        <v>1</v>
      </c>
      <c r="EC890">
        <v>0</v>
      </c>
      <c r="ED890">
        <v>0</v>
      </c>
      <c r="EE890">
        <v>0</v>
      </c>
      <c r="EF890">
        <v>0</v>
      </c>
      <c r="EG890">
        <v>0</v>
      </c>
      <c r="EH890">
        <v>0</v>
      </c>
      <c r="EI890" s="2">
        <v>0</v>
      </c>
      <c r="EK890" t="str">
        <f t="shared" si="1128"/>
        <v/>
      </c>
      <c r="EL890" t="str">
        <f t="shared" si="1129"/>
        <v/>
      </c>
      <c r="EM890" s="2" t="str">
        <f t="shared" si="1100"/>
        <v/>
      </c>
      <c r="EP890" t="str">
        <f>IF(ISNUMBER(BU890),IF(ABS(BU890-[3]QC_indicators!$B$2)&gt;3*[3]QC_indicators!$C$2,"C ratio",IF(ISNUMBER(BY890),IF(ABS(BY890-[3]QC_indicators!$B$1)&gt;3*[3]QC_indicators!$C$1,"DF","no"))),IF(ISNUMBER(BY890),IF(ABS(BY890-[3]QC_indicators!$B$1)&gt;3*[3]QC_indicators!$C$1,"DF","no")))</f>
        <v>no</v>
      </c>
      <c r="ET890" s="264" t="s">
        <v>3149</v>
      </c>
    </row>
    <row r="891" spans="1:150" ht="15" hidden="1" customHeight="1">
      <c r="A891" s="1" t="s">
        <v>925</v>
      </c>
      <c r="B891" t="s">
        <v>1848</v>
      </c>
      <c r="C891" t="s">
        <v>1849</v>
      </c>
      <c r="D891" t="s">
        <v>1850</v>
      </c>
      <c r="E891" t="s">
        <v>1851</v>
      </c>
      <c r="F891" t="s">
        <v>1852</v>
      </c>
      <c r="G891" t="s">
        <v>931</v>
      </c>
      <c r="H891" t="s">
        <v>254</v>
      </c>
      <c r="I891">
        <v>2019</v>
      </c>
      <c r="J891">
        <v>8</v>
      </c>
      <c r="K891" t="s">
        <v>1853</v>
      </c>
      <c r="M891" t="str">
        <f t="shared" si="1044"/>
        <v>Kogler_2019</v>
      </c>
      <c r="N891" t="s">
        <v>2581</v>
      </c>
      <c r="O891" s="171" t="s">
        <v>513</v>
      </c>
      <c r="P891" t="s">
        <v>959</v>
      </c>
      <c r="Q891" t="s">
        <v>389</v>
      </c>
      <c r="R891" s="262" t="s">
        <v>223</v>
      </c>
      <c r="S891" s="1" t="s">
        <v>1854</v>
      </c>
      <c r="T891" t="s">
        <v>1855</v>
      </c>
      <c r="U891" t="s">
        <v>1859</v>
      </c>
      <c r="V891">
        <v>0</v>
      </c>
      <c r="W891">
        <v>0</v>
      </c>
      <c r="X891">
        <v>0</v>
      </c>
      <c r="Y891">
        <v>1</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s="141">
        <f t="shared" si="1102"/>
        <v>1</v>
      </c>
      <c r="AY891" s="141">
        <f t="shared" si="1103"/>
        <v>1</v>
      </c>
      <c r="AZ891">
        <f t="shared" si="1104"/>
        <v>1</v>
      </c>
      <c r="BA891">
        <f t="shared" si="1105"/>
        <v>0</v>
      </c>
      <c r="BB891">
        <f t="shared" si="1106"/>
        <v>0</v>
      </c>
      <c r="BC891">
        <f t="shared" si="1107"/>
        <v>0</v>
      </c>
      <c r="BD891">
        <f t="shared" si="1108"/>
        <v>0</v>
      </c>
      <c r="BE891" t="str">
        <f t="array" ref="BE891">IF(AY891=1,INDEX($V$7:$AL$7,MATCH(TRUE,INDEX($V891:$AW891&lt;&gt;0,),0)),IF(AY891=0,INDEX($AM$7:$AW$7,MATCH(1,$AM891:$AW891,0)),IF(BF891="Multiple strategies","mixed drivers",IF(BF891="Supply chain","multiple supply","multiple silviculture"))))</f>
        <v xml:space="preserve">cutting intensity </v>
      </c>
      <c r="BF891" s="2" t="str" cm="1">
        <f t="array" ref="BF891">IF(COUNTIF(AZ891:BB891,"&lt;&gt;0")=1,INDEX($V$4:$AW$4,MATCH(TRUE,INDEX($V891:$AW891&lt;&gt;0,),0)),IF(COUNTIF(AZ891:BB891,"&lt;&gt;0")=0,INDEX($AM$4:$AW$4,MATCH(1,$AM891:$AW891,0)),"Multiple strategies"))</f>
        <v>Silviculture for removals</v>
      </c>
      <c r="BG891" s="1" t="s">
        <v>321</v>
      </c>
      <c r="BH891" t="s">
        <v>1857</v>
      </c>
      <c r="BI891" t="s">
        <v>611</v>
      </c>
      <c r="BJ891" t="s">
        <v>498</v>
      </c>
      <c r="BK891">
        <v>35082</v>
      </c>
      <c r="BL891">
        <v>80258</v>
      </c>
      <c r="BM891" t="s">
        <v>544</v>
      </c>
      <c r="BN891">
        <f t="shared" si="1109"/>
        <v>45176</v>
      </c>
      <c r="BO891">
        <f t="shared" si="1130"/>
        <v>45176</v>
      </c>
      <c r="BP891" t="s">
        <v>395</v>
      </c>
      <c r="BQ891" t="s">
        <v>1858</v>
      </c>
      <c r="BR891" s="264" t="s">
        <v>3148</v>
      </c>
      <c r="BS891">
        <v>541</v>
      </c>
      <c r="BT891">
        <v>1270</v>
      </c>
      <c r="BU891" s="144">
        <v>2.3475046210720887</v>
      </c>
      <c r="BV891" s="152">
        <f t="shared" si="1110"/>
        <v>729</v>
      </c>
      <c r="BX891">
        <f t="shared" si="1131"/>
        <v>729000000</v>
      </c>
      <c r="BY891">
        <f t="shared" si="1099"/>
        <v>16136.886842571277</v>
      </c>
      <c r="BZ891">
        <v>0</v>
      </c>
      <c r="CA891">
        <v>0</v>
      </c>
      <c r="CB891">
        <v>0</v>
      </c>
      <c r="CC891">
        <v>0</v>
      </c>
      <c r="CD891">
        <v>0</v>
      </c>
      <c r="CE891">
        <v>0</v>
      </c>
      <c r="CF891">
        <v>0</v>
      </c>
      <c r="CG891">
        <v>0</v>
      </c>
      <c r="CH891">
        <v>0</v>
      </c>
      <c r="CI891">
        <v>0</v>
      </c>
      <c r="CJ891">
        <v>0</v>
      </c>
      <c r="CK891">
        <v>0</v>
      </c>
      <c r="CL891">
        <v>0</v>
      </c>
      <c r="CM891">
        <v>0</v>
      </c>
      <c r="CN891" t="str">
        <f t="shared" si="1111"/>
        <v>refOK</v>
      </c>
      <c r="CO891">
        <f t="shared" si="1112"/>
        <v>35082</v>
      </c>
      <c r="CP891">
        <f t="shared" si="1113"/>
        <v>80258</v>
      </c>
      <c r="CQ891">
        <f t="shared" si="1114"/>
        <v>45176</v>
      </c>
      <c r="CR891">
        <f t="shared" si="1115"/>
        <v>-541</v>
      </c>
      <c r="CS891">
        <f t="shared" si="1116"/>
        <v>-1270</v>
      </c>
      <c r="CT891">
        <f t="shared" si="1117"/>
        <v>-729000000</v>
      </c>
      <c r="CU891">
        <f t="shared" si="1118"/>
        <v>-16136.886842571277</v>
      </c>
      <c r="CV891" s="2">
        <f t="shared" si="1119"/>
        <v>-1.3475046210720887</v>
      </c>
      <c r="CW891" s="1" t="s">
        <v>1202</v>
      </c>
      <c r="CX891" t="str">
        <f t="shared" si="1120"/>
        <v>reg</v>
      </c>
      <c r="CY891" t="s">
        <v>666</v>
      </c>
      <c r="CZ891">
        <v>0</v>
      </c>
      <c r="DA891">
        <v>0</v>
      </c>
      <c r="DB891">
        <v>0</v>
      </c>
      <c r="DC891" t="str">
        <f t="shared" si="1121"/>
        <v>0</v>
      </c>
      <c r="DD891">
        <v>1</v>
      </c>
      <c r="DE891">
        <v>0</v>
      </c>
      <c r="DF891">
        <v>0</v>
      </c>
      <c r="DG891">
        <v>0</v>
      </c>
      <c r="DI891">
        <v>1</v>
      </c>
      <c r="DJ891" t="str">
        <f t="shared" si="1122"/>
        <v>UpstreamInput</v>
      </c>
      <c r="DK891" t="str">
        <f t="shared" si="1123"/>
        <v>Upstream</v>
      </c>
      <c r="DL891">
        <f t="shared" si="1124"/>
        <v>0</v>
      </c>
      <c r="DM891">
        <f t="shared" si="1125"/>
        <v>0</v>
      </c>
      <c r="DN891">
        <f t="shared" si="1126"/>
        <v>0</v>
      </c>
      <c r="DO891">
        <v>0</v>
      </c>
      <c r="DP891">
        <v>0</v>
      </c>
      <c r="DQ891">
        <v>0</v>
      </c>
      <c r="DR891">
        <v>0</v>
      </c>
      <c r="DS891">
        <v>0</v>
      </c>
      <c r="DT891">
        <f t="shared" si="1127"/>
        <v>0</v>
      </c>
      <c r="DU891" s="143" t="s">
        <v>961</v>
      </c>
      <c r="DV891">
        <v>0</v>
      </c>
      <c r="DW891">
        <v>0</v>
      </c>
      <c r="DX891">
        <v>0</v>
      </c>
      <c r="DY891">
        <v>0</v>
      </c>
      <c r="DZ891">
        <v>0</v>
      </c>
      <c r="EA891" s="143">
        <v>0</v>
      </c>
      <c r="EB891">
        <v>1</v>
      </c>
      <c r="EC891">
        <v>0</v>
      </c>
      <c r="ED891">
        <v>0</v>
      </c>
      <c r="EE891">
        <v>0</v>
      </c>
      <c r="EF891">
        <v>0</v>
      </c>
      <c r="EG891">
        <v>0</v>
      </c>
      <c r="EH891">
        <v>0</v>
      </c>
      <c r="EI891" s="2">
        <v>0</v>
      </c>
      <c r="EK891" t="str">
        <f t="shared" si="1128"/>
        <v/>
      </c>
      <c r="EL891" t="str">
        <f t="shared" si="1129"/>
        <v/>
      </c>
      <c r="EM891" s="2" t="str">
        <f t="shared" si="1100"/>
        <v/>
      </c>
      <c r="EP891" t="str">
        <f>IF(ISNUMBER(BU891),IF(ABS(BU891-[3]QC_indicators!$B$2)&gt;3*[3]QC_indicators!$C$2,"C ratio",IF(ISNUMBER(BY891),IF(ABS(BY891-[3]QC_indicators!$B$1)&gt;3*[3]QC_indicators!$C$1,"DF","no"))),IF(ISNUMBER(BY891),IF(ABS(BY891-[3]QC_indicators!$B$1)&gt;3*[3]QC_indicators!$C$1,"DF","no")))</f>
        <v>no</v>
      </c>
      <c r="ET891" s="264" t="s">
        <v>3149</v>
      </c>
    </row>
    <row r="892" spans="1:150" ht="15" hidden="1" customHeight="1">
      <c r="A892" s="1" t="s">
        <v>925</v>
      </c>
      <c r="B892" t="s">
        <v>1848</v>
      </c>
      <c r="C892" t="s">
        <v>1849</v>
      </c>
      <c r="D892" t="s">
        <v>1850</v>
      </c>
      <c r="E892" t="s">
        <v>1851</v>
      </c>
      <c r="F892" t="s">
        <v>1852</v>
      </c>
      <c r="G892" t="s">
        <v>931</v>
      </c>
      <c r="H892" t="s">
        <v>254</v>
      </c>
      <c r="I892">
        <v>2019</v>
      </c>
      <c r="J892">
        <v>8</v>
      </c>
      <c r="K892" t="s">
        <v>1853</v>
      </c>
      <c r="M892" t="str">
        <f t="shared" si="1044"/>
        <v>Kogler_2019</v>
      </c>
      <c r="N892" t="s">
        <v>2581</v>
      </c>
      <c r="O892" s="171" t="s">
        <v>513</v>
      </c>
      <c r="P892" t="s">
        <v>959</v>
      </c>
      <c r="Q892" t="s">
        <v>389</v>
      </c>
      <c r="R892" s="262" t="s">
        <v>223</v>
      </c>
      <c r="S892" s="1" t="s">
        <v>1854</v>
      </c>
      <c r="T892" t="s">
        <v>1856</v>
      </c>
      <c r="U892" t="s">
        <v>1859</v>
      </c>
      <c r="V892">
        <v>0</v>
      </c>
      <c r="W892">
        <v>0</v>
      </c>
      <c r="X892">
        <v>0</v>
      </c>
      <c r="Y892">
        <v>1</v>
      </c>
      <c r="Z892">
        <v>0</v>
      </c>
      <c r="AA892">
        <v>0</v>
      </c>
      <c r="AB892">
        <v>0</v>
      </c>
      <c r="AC892">
        <v>0</v>
      </c>
      <c r="AD892">
        <v>0</v>
      </c>
      <c r="AE892">
        <v>0</v>
      </c>
      <c r="AF892">
        <v>0</v>
      </c>
      <c r="AG892">
        <v>0</v>
      </c>
      <c r="AH892">
        <v>0</v>
      </c>
      <c r="AI892">
        <v>0</v>
      </c>
      <c r="AJ892">
        <v>0</v>
      </c>
      <c r="AK892">
        <v>0</v>
      </c>
      <c r="AL892">
        <v>0</v>
      </c>
      <c r="AM892">
        <v>0</v>
      </c>
      <c r="AN892">
        <v>0</v>
      </c>
      <c r="AO892">
        <v>0</v>
      </c>
      <c r="AP892">
        <v>0</v>
      </c>
      <c r="AQ892">
        <v>2</v>
      </c>
      <c r="AR892">
        <v>0</v>
      </c>
      <c r="AS892">
        <v>0</v>
      </c>
      <c r="AT892">
        <v>0</v>
      </c>
      <c r="AU892">
        <v>0</v>
      </c>
      <c r="AV892">
        <v>0</v>
      </c>
      <c r="AW892">
        <v>0</v>
      </c>
      <c r="AX892" s="141">
        <f t="shared" si="1102"/>
        <v>2</v>
      </c>
      <c r="AY892" s="141">
        <f t="shared" si="1103"/>
        <v>1</v>
      </c>
      <c r="AZ892">
        <f t="shared" si="1104"/>
        <v>1</v>
      </c>
      <c r="BA892">
        <f t="shared" si="1105"/>
        <v>0</v>
      </c>
      <c r="BB892">
        <f t="shared" si="1106"/>
        <v>0</v>
      </c>
      <c r="BC892">
        <f t="shared" si="1107"/>
        <v>0</v>
      </c>
      <c r="BD892">
        <f t="shared" si="1108"/>
        <v>1</v>
      </c>
      <c r="BE892" t="str">
        <f t="array" ref="BE892">IF(AY892=1,INDEX($V$7:$AL$7,MATCH(TRUE,INDEX($V892:$AW892&lt;&gt;0,),0)),IF(AY892=0,INDEX($AM$7:$AW$7,MATCH(1,$AM892:$AW892,0)),IF(BF892="Multiple strategies","mixed drivers",IF(BF892="Supply chain","multiple supply","multiple silviculture"))))</f>
        <v xml:space="preserve">cutting intensity </v>
      </c>
      <c r="BF892" s="2" t="str" cm="1">
        <f t="array" ref="BF892">IF(COUNTIF(AZ892:BB892,"&lt;&gt;0")=1,INDEX($V$4:$AW$4,MATCH(TRUE,INDEX($V892:$AW892&lt;&gt;0,),0)),IF(COUNTIF(AZ892:BB892,"&lt;&gt;0")=0,INDEX($AM$4:$AW$4,MATCH(1,$AM892:$AW892,0)),"Multiple strategies"))</f>
        <v>Silviculture for removals</v>
      </c>
      <c r="BG892" s="1" t="s">
        <v>321</v>
      </c>
      <c r="BH892" t="s">
        <v>1857</v>
      </c>
      <c r="BI892" t="s">
        <v>611</v>
      </c>
      <c r="BJ892" t="s">
        <v>498</v>
      </c>
      <c r="BK892">
        <v>37563</v>
      </c>
      <c r="BL892">
        <v>80258</v>
      </c>
      <c r="BM892" t="s">
        <v>544</v>
      </c>
      <c r="BN892">
        <f t="shared" si="1109"/>
        <v>42695</v>
      </c>
      <c r="BO892">
        <f t="shared" si="1130"/>
        <v>42695</v>
      </c>
      <c r="BP892" t="s">
        <v>395</v>
      </c>
      <c r="BQ892" t="s">
        <v>1858</v>
      </c>
      <c r="BR892" s="264" t="s">
        <v>3148</v>
      </c>
      <c r="BS892">
        <v>579</v>
      </c>
      <c r="BT892">
        <v>1270</v>
      </c>
      <c r="BU892" s="144">
        <v>2.1934369602763386</v>
      </c>
      <c r="BV892" s="152">
        <f t="shared" si="1110"/>
        <v>691</v>
      </c>
      <c r="BX892">
        <f t="shared" si="1131"/>
        <v>691000000</v>
      </c>
      <c r="BY892">
        <f t="shared" si="1099"/>
        <v>16184.564937346293</v>
      </c>
      <c r="BZ892">
        <v>0</v>
      </c>
      <c r="CA892">
        <v>0</v>
      </c>
      <c r="CB892">
        <v>0</v>
      </c>
      <c r="CC892">
        <v>0</v>
      </c>
      <c r="CD892">
        <v>0</v>
      </c>
      <c r="CE892">
        <v>0</v>
      </c>
      <c r="CF892">
        <v>0</v>
      </c>
      <c r="CG892">
        <v>0</v>
      </c>
      <c r="CH892">
        <v>0</v>
      </c>
      <c r="CI892">
        <v>0</v>
      </c>
      <c r="CJ892">
        <v>0</v>
      </c>
      <c r="CK892">
        <v>0</v>
      </c>
      <c r="CL892">
        <v>0</v>
      </c>
      <c r="CM892">
        <v>0</v>
      </c>
      <c r="CN892" t="str">
        <f t="shared" si="1111"/>
        <v>refOK</v>
      </c>
      <c r="CO892">
        <f t="shared" si="1112"/>
        <v>37563</v>
      </c>
      <c r="CP892">
        <f t="shared" si="1113"/>
        <v>80258</v>
      </c>
      <c r="CQ892">
        <f t="shared" si="1114"/>
        <v>42695</v>
      </c>
      <c r="CR892">
        <f t="shared" si="1115"/>
        <v>-579</v>
      </c>
      <c r="CS892">
        <f t="shared" si="1116"/>
        <v>-1270</v>
      </c>
      <c r="CT892">
        <f t="shared" si="1117"/>
        <v>-691000000</v>
      </c>
      <c r="CU892">
        <f t="shared" si="1118"/>
        <v>-16184.564937346293</v>
      </c>
      <c r="CV892" s="2">
        <f t="shared" si="1119"/>
        <v>-1.1934369602763386</v>
      </c>
      <c r="CW892" s="1" t="s">
        <v>1202</v>
      </c>
      <c r="CX892" t="str">
        <f t="shared" si="1120"/>
        <v>reg</v>
      </c>
      <c r="CY892" t="s">
        <v>666</v>
      </c>
      <c r="CZ892">
        <v>0</v>
      </c>
      <c r="DA892">
        <v>0</v>
      </c>
      <c r="DB892">
        <v>0</v>
      </c>
      <c r="DC892" t="str">
        <f t="shared" si="1121"/>
        <v>0</v>
      </c>
      <c r="DD892">
        <v>1</v>
      </c>
      <c r="DE892">
        <v>0</v>
      </c>
      <c r="DF892">
        <v>0</v>
      </c>
      <c r="DG892">
        <v>0</v>
      </c>
      <c r="DI892">
        <v>1</v>
      </c>
      <c r="DJ892" t="str">
        <f t="shared" si="1122"/>
        <v>UpstreamInput</v>
      </c>
      <c r="DK892" t="str">
        <f t="shared" si="1123"/>
        <v>Upstream</v>
      </c>
      <c r="DL892">
        <f t="shared" si="1124"/>
        <v>0</v>
      </c>
      <c r="DM892">
        <f t="shared" si="1125"/>
        <v>0</v>
      </c>
      <c r="DN892">
        <f t="shared" si="1126"/>
        <v>0</v>
      </c>
      <c r="DO892">
        <v>0</v>
      </c>
      <c r="DP892">
        <v>0</v>
      </c>
      <c r="DQ892">
        <v>0</v>
      </c>
      <c r="DR892">
        <v>0</v>
      </c>
      <c r="DS892">
        <v>0</v>
      </c>
      <c r="DT892">
        <f t="shared" si="1127"/>
        <v>0</v>
      </c>
      <c r="DU892" s="143" t="s">
        <v>961</v>
      </c>
      <c r="DV892">
        <v>0</v>
      </c>
      <c r="DW892">
        <v>0</v>
      </c>
      <c r="DX892">
        <v>0</v>
      </c>
      <c r="DY892">
        <v>0</v>
      </c>
      <c r="DZ892">
        <v>0</v>
      </c>
      <c r="EA892" s="143">
        <v>0</v>
      </c>
      <c r="EB892">
        <v>1</v>
      </c>
      <c r="EC892">
        <v>0</v>
      </c>
      <c r="ED892">
        <v>0</v>
      </c>
      <c r="EE892">
        <v>0</v>
      </c>
      <c r="EF892">
        <v>0</v>
      </c>
      <c r="EG892">
        <v>0</v>
      </c>
      <c r="EH892">
        <v>0</v>
      </c>
      <c r="EI892" s="2">
        <v>0</v>
      </c>
      <c r="EK892" t="str">
        <f t="shared" si="1128"/>
        <v/>
      </c>
      <c r="EL892" t="str">
        <f t="shared" si="1129"/>
        <v/>
      </c>
      <c r="EM892" s="2" t="str">
        <f t="shared" si="1100"/>
        <v/>
      </c>
      <c r="EP892" t="str">
        <f>IF(ISNUMBER(BU892),IF(ABS(BU892-[3]QC_indicators!$B$2)&gt;3*[3]QC_indicators!$C$2,"C ratio",IF(ISNUMBER(BY892),IF(ABS(BY892-[3]QC_indicators!$B$1)&gt;3*[3]QC_indicators!$C$1,"DF","no"))),IF(ISNUMBER(BY892),IF(ABS(BY892-[3]QC_indicators!$B$1)&gt;3*[3]QC_indicators!$C$1,"DF","no")))</f>
        <v>no</v>
      </c>
      <c r="ET892" s="264" t="s">
        <v>3149</v>
      </c>
    </row>
    <row r="893" spans="1:150" ht="15" hidden="1" customHeight="1">
      <c r="A893" s="1" t="s">
        <v>925</v>
      </c>
      <c r="B893" t="s">
        <v>1848</v>
      </c>
      <c r="C893" t="s">
        <v>1849</v>
      </c>
      <c r="D893" t="s">
        <v>1850</v>
      </c>
      <c r="E893" t="s">
        <v>1851</v>
      </c>
      <c r="F893" t="s">
        <v>1852</v>
      </c>
      <c r="G893" t="s">
        <v>931</v>
      </c>
      <c r="H893" t="s">
        <v>254</v>
      </c>
      <c r="I893">
        <v>2019</v>
      </c>
      <c r="J893">
        <v>8</v>
      </c>
      <c r="K893" t="s">
        <v>1853</v>
      </c>
      <c r="M893" t="str">
        <f t="shared" si="1044"/>
        <v>Kogler_2019</v>
      </c>
      <c r="N893" t="s">
        <v>2581</v>
      </c>
      <c r="O893" s="171" t="s">
        <v>513</v>
      </c>
      <c r="P893" t="s">
        <v>959</v>
      </c>
      <c r="Q893" t="s">
        <v>389</v>
      </c>
      <c r="R893" s="262" t="s">
        <v>223</v>
      </c>
      <c r="S893" s="1" t="s">
        <v>1854</v>
      </c>
      <c r="T893" t="s">
        <v>1860</v>
      </c>
      <c r="U893" t="s">
        <v>1861</v>
      </c>
      <c r="V893">
        <v>0</v>
      </c>
      <c r="W893">
        <v>0</v>
      </c>
      <c r="X893">
        <v>0</v>
      </c>
      <c r="Y893">
        <v>1</v>
      </c>
      <c r="Z893">
        <v>0</v>
      </c>
      <c r="AA893">
        <v>0</v>
      </c>
      <c r="AB893">
        <v>0</v>
      </c>
      <c r="AC893">
        <v>0</v>
      </c>
      <c r="AD893">
        <v>0</v>
      </c>
      <c r="AE893">
        <v>0</v>
      </c>
      <c r="AF893">
        <v>0</v>
      </c>
      <c r="AG893">
        <v>0</v>
      </c>
      <c r="AH893">
        <v>0</v>
      </c>
      <c r="AI893">
        <v>0</v>
      </c>
      <c r="AJ893">
        <v>0</v>
      </c>
      <c r="AK893">
        <v>0</v>
      </c>
      <c r="AL893">
        <v>0</v>
      </c>
      <c r="AM893">
        <v>0</v>
      </c>
      <c r="AN893">
        <v>0</v>
      </c>
      <c r="AO893">
        <v>2</v>
      </c>
      <c r="AP893">
        <v>0</v>
      </c>
      <c r="AQ893">
        <v>0</v>
      </c>
      <c r="AR893">
        <v>0</v>
      </c>
      <c r="AS893">
        <v>0</v>
      </c>
      <c r="AT893">
        <v>0</v>
      </c>
      <c r="AU893">
        <v>0</v>
      </c>
      <c r="AV893">
        <v>0</v>
      </c>
      <c r="AW893">
        <v>0</v>
      </c>
      <c r="AX893" s="141">
        <f t="shared" si="1102"/>
        <v>2</v>
      </c>
      <c r="AY893" s="141">
        <f t="shared" si="1103"/>
        <v>1</v>
      </c>
      <c r="AZ893">
        <f t="shared" si="1104"/>
        <v>1</v>
      </c>
      <c r="BA893">
        <f t="shared" si="1105"/>
        <v>0</v>
      </c>
      <c r="BB893">
        <f t="shared" si="1106"/>
        <v>0</v>
      </c>
      <c r="BC893">
        <f t="shared" si="1107"/>
        <v>0</v>
      </c>
      <c r="BD893">
        <f t="shared" si="1108"/>
        <v>1</v>
      </c>
      <c r="BE893" t="str">
        <f t="array" ref="BE893">IF(AY893=1,INDEX($V$7:$AL$7,MATCH(TRUE,INDEX($V893:$AW893&lt;&gt;0,),0)),IF(AY893=0,INDEX($AM$7:$AW$7,MATCH(1,$AM893:$AW893,0)),IF(BF893="Multiple strategies","mixed drivers",IF(BF893="Supply chain","multiple supply","multiple silviculture"))))</f>
        <v xml:space="preserve">cutting intensity </v>
      </c>
      <c r="BF893" s="2" t="str" cm="1">
        <f t="array" ref="BF893">IF(COUNTIF(AZ893:BB893,"&lt;&gt;0")=1,INDEX($V$4:$AW$4,MATCH(TRUE,INDEX($V893:$AW893&lt;&gt;0,),0)),IF(COUNTIF(AZ893:BB893,"&lt;&gt;0")=0,INDEX($AM$4:$AW$4,MATCH(1,$AM893:$AW893,0)),"Multiple strategies"))</f>
        <v>Silviculture for removals</v>
      </c>
      <c r="BG893" s="1" t="s">
        <v>321</v>
      </c>
      <c r="BH893" t="s">
        <v>1857</v>
      </c>
      <c r="BI893" t="s">
        <v>611</v>
      </c>
      <c r="BJ893" t="s">
        <v>498</v>
      </c>
      <c r="BK893">
        <v>38360</v>
      </c>
      <c r="BL893">
        <v>41581</v>
      </c>
      <c r="BM893" t="s">
        <v>544</v>
      </c>
      <c r="BN893">
        <f t="shared" si="1109"/>
        <v>3221</v>
      </c>
      <c r="BO893">
        <f t="shared" si="1130"/>
        <v>3221</v>
      </c>
      <c r="BP893" t="s">
        <v>395</v>
      </c>
      <c r="BQ893" t="s">
        <v>1858</v>
      </c>
      <c r="BR893" s="264" t="s">
        <v>3148</v>
      </c>
      <c r="BS893">
        <v>665</v>
      </c>
      <c r="BT893">
        <v>719</v>
      </c>
      <c r="BU893" s="144">
        <v>1.0812030075187971</v>
      </c>
      <c r="BV893" s="152">
        <f t="shared" si="1110"/>
        <v>54</v>
      </c>
      <c r="BX893">
        <f t="shared" si="1131"/>
        <v>54000000</v>
      </c>
      <c r="BY893">
        <f t="shared" si="1099"/>
        <v>16764.979819931697</v>
      </c>
      <c r="BZ893">
        <v>0</v>
      </c>
      <c r="CA893">
        <v>0</v>
      </c>
      <c r="CB893">
        <v>0</v>
      </c>
      <c r="CC893">
        <v>0</v>
      </c>
      <c r="CD893">
        <v>0</v>
      </c>
      <c r="CE893">
        <v>0</v>
      </c>
      <c r="CF893">
        <v>0</v>
      </c>
      <c r="CG893">
        <v>0</v>
      </c>
      <c r="CH893">
        <v>0</v>
      </c>
      <c r="CI893">
        <v>0</v>
      </c>
      <c r="CJ893">
        <v>0</v>
      </c>
      <c r="CK893">
        <v>0</v>
      </c>
      <c r="CL893">
        <v>0</v>
      </c>
      <c r="CM893">
        <v>0</v>
      </c>
      <c r="CN893" t="str">
        <f t="shared" si="1111"/>
        <v>refOK</v>
      </c>
      <c r="CO893">
        <f t="shared" si="1112"/>
        <v>38360</v>
      </c>
      <c r="CP893">
        <f t="shared" si="1113"/>
        <v>41581</v>
      </c>
      <c r="CQ893">
        <f t="shared" si="1114"/>
        <v>3221</v>
      </c>
      <c r="CR893">
        <f t="shared" si="1115"/>
        <v>-665</v>
      </c>
      <c r="CS893">
        <f t="shared" si="1116"/>
        <v>-719</v>
      </c>
      <c r="CT893">
        <f t="shared" si="1117"/>
        <v>-54000000</v>
      </c>
      <c r="CU893">
        <f t="shared" si="1118"/>
        <v>-16764.979819931697</v>
      </c>
      <c r="CV893" s="2">
        <f t="shared" si="1119"/>
        <v>-8.1203007518796999E-2</v>
      </c>
      <c r="CW893" s="1" t="s">
        <v>1202</v>
      </c>
      <c r="CX893" t="str">
        <f t="shared" si="1120"/>
        <v>reg</v>
      </c>
      <c r="CY893" t="s">
        <v>666</v>
      </c>
      <c r="CZ893">
        <v>0</v>
      </c>
      <c r="DA893">
        <v>0</v>
      </c>
      <c r="DB893">
        <v>0</v>
      </c>
      <c r="DC893" t="str">
        <f t="shared" si="1121"/>
        <v>0</v>
      </c>
      <c r="DD893">
        <v>1</v>
      </c>
      <c r="DE893">
        <v>0</v>
      </c>
      <c r="DF893">
        <v>0</v>
      </c>
      <c r="DG893">
        <v>0</v>
      </c>
      <c r="DI893">
        <v>1</v>
      </c>
      <c r="DJ893" t="str">
        <f t="shared" si="1122"/>
        <v>UpstreamInput</v>
      </c>
      <c r="DK893" t="str">
        <f t="shared" si="1123"/>
        <v>Upstream</v>
      </c>
      <c r="DL893">
        <f t="shared" si="1124"/>
        <v>0</v>
      </c>
      <c r="DM893">
        <f t="shared" si="1125"/>
        <v>0</v>
      </c>
      <c r="DN893">
        <f t="shared" si="1126"/>
        <v>0</v>
      </c>
      <c r="DO893">
        <v>0</v>
      </c>
      <c r="DP893">
        <v>0</v>
      </c>
      <c r="DQ893">
        <v>0</v>
      </c>
      <c r="DR893">
        <v>0</v>
      </c>
      <c r="DS893">
        <v>0</v>
      </c>
      <c r="DT893">
        <f t="shared" si="1127"/>
        <v>0</v>
      </c>
      <c r="DU893" s="143" t="s">
        <v>961</v>
      </c>
      <c r="DV893">
        <v>0</v>
      </c>
      <c r="DW893">
        <v>0</v>
      </c>
      <c r="DX893">
        <v>0</v>
      </c>
      <c r="DY893">
        <v>0</v>
      </c>
      <c r="DZ893">
        <v>0</v>
      </c>
      <c r="EA893" s="143">
        <v>0</v>
      </c>
      <c r="EB893">
        <v>1</v>
      </c>
      <c r="EC893">
        <v>0</v>
      </c>
      <c r="ED893">
        <v>0</v>
      </c>
      <c r="EE893">
        <v>0</v>
      </c>
      <c r="EF893">
        <v>0</v>
      </c>
      <c r="EG893">
        <v>0</v>
      </c>
      <c r="EH893">
        <v>0</v>
      </c>
      <c r="EI893" s="2">
        <v>0</v>
      </c>
      <c r="EK893" t="str">
        <f t="shared" si="1128"/>
        <v/>
      </c>
      <c r="EL893" t="str">
        <f t="shared" si="1129"/>
        <v/>
      </c>
      <c r="EM893" s="2" t="str">
        <f t="shared" si="1100"/>
        <v/>
      </c>
      <c r="EP893" t="str">
        <f>IF(ISNUMBER(BU893),IF(ABS(BU893-[3]QC_indicators!$B$2)&gt;3*[3]QC_indicators!$C$2,"C ratio",IF(ISNUMBER(BY893),IF(ABS(BY893-[3]QC_indicators!$B$1)&gt;3*[3]QC_indicators!$C$1,"DF","no"))),IF(ISNUMBER(BY893),IF(ABS(BY893-[3]QC_indicators!$B$1)&gt;3*[3]QC_indicators!$C$1,"DF","no")))</f>
        <v>no</v>
      </c>
      <c r="ET893" s="264" t="s">
        <v>3149</v>
      </c>
    </row>
    <row r="894" spans="1:150" ht="15" hidden="1" customHeight="1">
      <c r="A894" s="1" t="s">
        <v>925</v>
      </c>
      <c r="B894" t="s">
        <v>1848</v>
      </c>
      <c r="C894" t="s">
        <v>1849</v>
      </c>
      <c r="D894" t="s">
        <v>1850</v>
      </c>
      <c r="E894" t="s">
        <v>1851</v>
      </c>
      <c r="F894" t="s">
        <v>1852</v>
      </c>
      <c r="G894" t="s">
        <v>931</v>
      </c>
      <c r="H894" t="s">
        <v>254</v>
      </c>
      <c r="I894">
        <v>2019</v>
      </c>
      <c r="J894">
        <v>8</v>
      </c>
      <c r="K894" t="s">
        <v>1853</v>
      </c>
      <c r="M894" t="str">
        <f t="shared" si="1044"/>
        <v>Kogler_2019</v>
      </c>
      <c r="N894" t="s">
        <v>2581</v>
      </c>
      <c r="O894" s="171" t="s">
        <v>513</v>
      </c>
      <c r="P894" t="s">
        <v>959</v>
      </c>
      <c r="Q894" t="s">
        <v>389</v>
      </c>
      <c r="R894" s="262" t="s">
        <v>223</v>
      </c>
      <c r="S894" s="1" t="s">
        <v>1854</v>
      </c>
      <c r="T894" t="s">
        <v>1860</v>
      </c>
      <c r="U894" t="s">
        <v>1862</v>
      </c>
      <c r="V894">
        <v>0</v>
      </c>
      <c r="W894">
        <v>0</v>
      </c>
      <c r="X894">
        <v>0</v>
      </c>
      <c r="Y894">
        <v>1</v>
      </c>
      <c r="Z894">
        <v>0</v>
      </c>
      <c r="AA894">
        <v>0</v>
      </c>
      <c r="AB894">
        <v>0</v>
      </c>
      <c r="AC894">
        <v>0</v>
      </c>
      <c r="AD894">
        <v>0</v>
      </c>
      <c r="AE894">
        <v>0</v>
      </c>
      <c r="AF894">
        <v>0</v>
      </c>
      <c r="AG894">
        <v>0</v>
      </c>
      <c r="AH894">
        <v>0</v>
      </c>
      <c r="AI894">
        <v>0</v>
      </c>
      <c r="AJ894">
        <v>0</v>
      </c>
      <c r="AK894">
        <v>0</v>
      </c>
      <c r="AL894">
        <v>0</v>
      </c>
      <c r="AM894">
        <v>0</v>
      </c>
      <c r="AN894">
        <v>0</v>
      </c>
      <c r="AO894">
        <v>0</v>
      </c>
      <c r="AP894">
        <v>0</v>
      </c>
      <c r="AQ894">
        <v>0</v>
      </c>
      <c r="AR894">
        <v>0</v>
      </c>
      <c r="AS894">
        <v>0</v>
      </c>
      <c r="AT894">
        <v>0</v>
      </c>
      <c r="AU894">
        <v>0</v>
      </c>
      <c r="AV894">
        <v>0</v>
      </c>
      <c r="AW894">
        <v>0</v>
      </c>
      <c r="AX894" s="141">
        <f t="shared" si="1102"/>
        <v>1</v>
      </c>
      <c r="AY894" s="141">
        <f t="shared" si="1103"/>
        <v>1</v>
      </c>
      <c r="AZ894">
        <f t="shared" si="1104"/>
        <v>1</v>
      </c>
      <c r="BA894">
        <f t="shared" si="1105"/>
        <v>0</v>
      </c>
      <c r="BB894">
        <f t="shared" si="1106"/>
        <v>0</v>
      </c>
      <c r="BC894">
        <f t="shared" si="1107"/>
        <v>0</v>
      </c>
      <c r="BD894">
        <f t="shared" si="1108"/>
        <v>0</v>
      </c>
      <c r="BE894" t="str">
        <f t="array" ref="BE894">IF(AY894=1,INDEX($V$7:$AL$7,MATCH(TRUE,INDEX($V894:$AW894&lt;&gt;0,),0)),IF(AY894=0,INDEX($AM$7:$AW$7,MATCH(1,$AM894:$AW894,0)),IF(BF894="Multiple strategies","mixed drivers",IF(BF894="Supply chain","multiple supply","multiple silviculture"))))</f>
        <v xml:space="preserve">cutting intensity </v>
      </c>
      <c r="BF894" s="2" t="str" cm="1">
        <f t="array" ref="BF894">IF(COUNTIF(AZ894:BB894,"&lt;&gt;0")=1,INDEX($V$4:$AW$4,MATCH(TRUE,INDEX($V894:$AW894&lt;&gt;0,),0)),IF(COUNTIF(AZ894:BB894,"&lt;&gt;0")=0,INDEX($AM$4:$AW$4,MATCH(1,$AM894:$AW894,0)),"Multiple strategies"))</f>
        <v>Silviculture for removals</v>
      </c>
      <c r="BG894" s="1" t="s">
        <v>321</v>
      </c>
      <c r="BH894" t="s">
        <v>1857</v>
      </c>
      <c r="BI894" t="s">
        <v>611</v>
      </c>
      <c r="BJ894" t="s">
        <v>498</v>
      </c>
      <c r="BK894">
        <v>38360</v>
      </c>
      <c r="BL894">
        <v>86651</v>
      </c>
      <c r="BM894" t="s">
        <v>544</v>
      </c>
      <c r="BN894">
        <f t="shared" si="1109"/>
        <v>48291</v>
      </c>
      <c r="BO894">
        <f t="shared" si="1130"/>
        <v>48291</v>
      </c>
      <c r="BP894" t="s">
        <v>395</v>
      </c>
      <c r="BQ894" t="s">
        <v>1858</v>
      </c>
      <c r="BR894" s="264" t="s">
        <v>3148</v>
      </c>
      <c r="BS894">
        <v>665</v>
      </c>
      <c r="BT894">
        <v>1500</v>
      </c>
      <c r="BU894" s="144">
        <v>2.255639097744361</v>
      </c>
      <c r="BV894" s="152">
        <f t="shared" si="1110"/>
        <v>835</v>
      </c>
      <c r="BX894">
        <f t="shared" si="1131"/>
        <v>835000000</v>
      </c>
      <c r="BY894">
        <f t="shared" si="1099"/>
        <v>17291.006605785758</v>
      </c>
      <c r="BZ894">
        <v>0</v>
      </c>
      <c r="CA894">
        <v>0</v>
      </c>
      <c r="CB894">
        <v>0</v>
      </c>
      <c r="CC894">
        <v>0</v>
      </c>
      <c r="CD894">
        <v>0</v>
      </c>
      <c r="CE894">
        <v>0</v>
      </c>
      <c r="CF894">
        <v>0</v>
      </c>
      <c r="CG894">
        <v>0</v>
      </c>
      <c r="CH894">
        <v>0</v>
      </c>
      <c r="CI894">
        <v>0</v>
      </c>
      <c r="CJ894">
        <v>0</v>
      </c>
      <c r="CK894">
        <v>0</v>
      </c>
      <c r="CL894">
        <v>0</v>
      </c>
      <c r="CM894">
        <v>0</v>
      </c>
      <c r="CN894" t="str">
        <f t="shared" si="1111"/>
        <v>refOK</v>
      </c>
      <c r="CO894">
        <f t="shared" si="1112"/>
        <v>38360</v>
      </c>
      <c r="CP894">
        <f t="shared" si="1113"/>
        <v>86651</v>
      </c>
      <c r="CQ894">
        <f t="shared" si="1114"/>
        <v>48291</v>
      </c>
      <c r="CR894">
        <f t="shared" si="1115"/>
        <v>-665</v>
      </c>
      <c r="CS894">
        <f t="shared" si="1116"/>
        <v>-1500</v>
      </c>
      <c r="CT894">
        <f t="shared" si="1117"/>
        <v>-835000000</v>
      </c>
      <c r="CU894">
        <f t="shared" si="1118"/>
        <v>-17291.006605785758</v>
      </c>
      <c r="CV894" s="2">
        <f t="shared" si="1119"/>
        <v>-1.255639097744361</v>
      </c>
      <c r="CW894" s="1" t="s">
        <v>1202</v>
      </c>
      <c r="CX894" t="str">
        <f t="shared" si="1120"/>
        <v>reg</v>
      </c>
      <c r="CY894" t="s">
        <v>666</v>
      </c>
      <c r="CZ894">
        <v>0</v>
      </c>
      <c r="DA894">
        <v>0</v>
      </c>
      <c r="DB894">
        <v>0</v>
      </c>
      <c r="DC894" t="str">
        <f t="shared" si="1121"/>
        <v>0</v>
      </c>
      <c r="DD894">
        <v>1</v>
      </c>
      <c r="DE894">
        <v>0</v>
      </c>
      <c r="DF894">
        <v>0</v>
      </c>
      <c r="DG894">
        <v>0</v>
      </c>
      <c r="DI894">
        <v>1</v>
      </c>
      <c r="DJ894" t="str">
        <f t="shared" si="1122"/>
        <v>UpstreamInput</v>
      </c>
      <c r="DK894" t="str">
        <f t="shared" si="1123"/>
        <v>Upstream</v>
      </c>
      <c r="DL894">
        <f t="shared" si="1124"/>
        <v>0</v>
      </c>
      <c r="DM894">
        <f t="shared" si="1125"/>
        <v>0</v>
      </c>
      <c r="DN894">
        <f t="shared" si="1126"/>
        <v>0</v>
      </c>
      <c r="DO894">
        <v>0</v>
      </c>
      <c r="DP894">
        <v>0</v>
      </c>
      <c r="DQ894">
        <v>0</v>
      </c>
      <c r="DR894">
        <v>0</v>
      </c>
      <c r="DS894">
        <v>0</v>
      </c>
      <c r="DT894">
        <f t="shared" si="1127"/>
        <v>0</v>
      </c>
      <c r="DU894" s="143" t="s">
        <v>961</v>
      </c>
      <c r="DV894">
        <v>0</v>
      </c>
      <c r="DW894">
        <v>0</v>
      </c>
      <c r="DX894">
        <v>0</v>
      </c>
      <c r="DY894">
        <v>0</v>
      </c>
      <c r="DZ894">
        <v>0</v>
      </c>
      <c r="EA894" s="143">
        <v>0</v>
      </c>
      <c r="EB894">
        <v>1</v>
      </c>
      <c r="EC894">
        <v>0</v>
      </c>
      <c r="ED894">
        <v>0</v>
      </c>
      <c r="EE894">
        <v>0</v>
      </c>
      <c r="EF894">
        <v>0</v>
      </c>
      <c r="EG894">
        <v>0</v>
      </c>
      <c r="EH894">
        <v>0</v>
      </c>
      <c r="EI894" s="2">
        <v>0</v>
      </c>
      <c r="EK894" t="str">
        <f t="shared" si="1128"/>
        <v/>
      </c>
      <c r="EL894" t="str">
        <f t="shared" si="1129"/>
        <v/>
      </c>
      <c r="EM894" s="2" t="str">
        <f t="shared" si="1100"/>
        <v/>
      </c>
      <c r="EP894" t="str">
        <f>IF(ISNUMBER(BU894),IF(ABS(BU894-[3]QC_indicators!$B$2)&gt;3*[3]QC_indicators!$C$2,"C ratio",IF(ISNUMBER(BY894),IF(ABS(BY894-[3]QC_indicators!$B$1)&gt;3*[3]QC_indicators!$C$1,"DF","no"))),IF(ISNUMBER(BY894),IF(ABS(BY894-[3]QC_indicators!$B$1)&gt;3*[3]QC_indicators!$C$1,"DF","no")))</f>
        <v>no</v>
      </c>
      <c r="ET894" s="264" t="s">
        <v>3149</v>
      </c>
    </row>
    <row r="895" spans="1:150" ht="15" hidden="1" customHeight="1">
      <c r="A895" s="1" t="s">
        <v>925</v>
      </c>
      <c r="B895" t="s">
        <v>1848</v>
      </c>
      <c r="C895" t="s">
        <v>1849</v>
      </c>
      <c r="D895" t="s">
        <v>1850</v>
      </c>
      <c r="E895" t="s">
        <v>1851</v>
      </c>
      <c r="F895" t="s">
        <v>1852</v>
      </c>
      <c r="G895" t="s">
        <v>931</v>
      </c>
      <c r="H895" t="s">
        <v>254</v>
      </c>
      <c r="I895">
        <v>2019</v>
      </c>
      <c r="J895">
        <v>8</v>
      </c>
      <c r="K895" t="s">
        <v>1853</v>
      </c>
      <c r="M895" t="str">
        <f t="shared" si="1044"/>
        <v>Kogler_2019</v>
      </c>
      <c r="N895" t="s">
        <v>2581</v>
      </c>
      <c r="O895" s="171" t="s">
        <v>513</v>
      </c>
      <c r="P895" t="s">
        <v>959</v>
      </c>
      <c r="Q895" t="s">
        <v>389</v>
      </c>
      <c r="R895" s="262" t="s">
        <v>223</v>
      </c>
      <c r="S895" s="1" t="s">
        <v>1854</v>
      </c>
      <c r="T895" t="s">
        <v>1861</v>
      </c>
      <c r="U895" t="s">
        <v>1862</v>
      </c>
      <c r="V895">
        <v>0</v>
      </c>
      <c r="W895">
        <v>0</v>
      </c>
      <c r="X895">
        <v>0</v>
      </c>
      <c r="Y895">
        <v>1</v>
      </c>
      <c r="Z895">
        <v>0</v>
      </c>
      <c r="AA895">
        <v>0</v>
      </c>
      <c r="AB895">
        <v>0</v>
      </c>
      <c r="AC895">
        <v>0</v>
      </c>
      <c r="AD895">
        <v>0</v>
      </c>
      <c r="AE895">
        <v>0</v>
      </c>
      <c r="AF895">
        <v>0</v>
      </c>
      <c r="AG895">
        <v>0</v>
      </c>
      <c r="AH895">
        <v>0</v>
      </c>
      <c r="AI895">
        <v>0</v>
      </c>
      <c r="AJ895">
        <v>0</v>
      </c>
      <c r="AK895">
        <v>0</v>
      </c>
      <c r="AL895">
        <v>0</v>
      </c>
      <c r="AM895">
        <v>0</v>
      </c>
      <c r="AN895">
        <v>0</v>
      </c>
      <c r="AO895">
        <v>0</v>
      </c>
      <c r="AP895">
        <v>0</v>
      </c>
      <c r="AQ895">
        <v>2</v>
      </c>
      <c r="AR895">
        <v>0</v>
      </c>
      <c r="AS895">
        <v>0</v>
      </c>
      <c r="AT895">
        <v>0</v>
      </c>
      <c r="AU895">
        <v>0</v>
      </c>
      <c r="AV895">
        <v>0</v>
      </c>
      <c r="AW895">
        <v>0</v>
      </c>
      <c r="AX895" s="141">
        <f t="shared" si="1102"/>
        <v>2</v>
      </c>
      <c r="AY895" s="141">
        <f t="shared" si="1103"/>
        <v>1</v>
      </c>
      <c r="AZ895">
        <f t="shared" si="1104"/>
        <v>1</v>
      </c>
      <c r="BA895">
        <f t="shared" si="1105"/>
        <v>0</v>
      </c>
      <c r="BB895">
        <f t="shared" si="1106"/>
        <v>0</v>
      </c>
      <c r="BC895">
        <f t="shared" si="1107"/>
        <v>0</v>
      </c>
      <c r="BD895">
        <f t="shared" si="1108"/>
        <v>1</v>
      </c>
      <c r="BE895" t="str">
        <f t="array" ref="BE895">IF(AY895=1,INDEX($V$7:$AL$7,MATCH(TRUE,INDEX($V895:$AW895&lt;&gt;0,),0)),IF(AY895=0,INDEX($AM$7:$AW$7,MATCH(1,$AM895:$AW895,0)),IF(BF895="Multiple strategies","mixed drivers",IF(BF895="Supply chain","multiple supply","multiple silviculture"))))</f>
        <v xml:space="preserve">cutting intensity </v>
      </c>
      <c r="BF895" s="2" t="str" cm="1">
        <f t="array" ref="BF895">IF(COUNTIF(AZ895:BB895,"&lt;&gt;0")=1,INDEX($V$4:$AW$4,MATCH(TRUE,INDEX($V895:$AW895&lt;&gt;0,),0)),IF(COUNTIF(AZ895:BB895,"&lt;&gt;0")=0,INDEX($AM$4:$AW$4,MATCH(1,$AM895:$AW895,0)),"Multiple strategies"))</f>
        <v>Silviculture for removals</v>
      </c>
      <c r="BG895" s="1" t="s">
        <v>321</v>
      </c>
      <c r="BH895" t="s">
        <v>1857</v>
      </c>
      <c r="BI895" t="s">
        <v>611</v>
      </c>
      <c r="BJ895" t="s">
        <v>498</v>
      </c>
      <c r="BK895">
        <v>41581</v>
      </c>
      <c r="BL895">
        <v>86651</v>
      </c>
      <c r="BM895" t="s">
        <v>544</v>
      </c>
      <c r="BN895">
        <f t="shared" si="1109"/>
        <v>45070</v>
      </c>
      <c r="BO895">
        <f t="shared" si="1130"/>
        <v>45070</v>
      </c>
      <c r="BP895" t="s">
        <v>395</v>
      </c>
      <c r="BQ895" t="s">
        <v>1858</v>
      </c>
      <c r="BR895" s="264" t="s">
        <v>3148</v>
      </c>
      <c r="BS895">
        <v>719</v>
      </c>
      <c r="BT895">
        <v>1500</v>
      </c>
      <c r="BU895" s="144">
        <v>2.0862308762169679</v>
      </c>
      <c r="BV895" s="152">
        <f t="shared" si="1110"/>
        <v>781</v>
      </c>
      <c r="BX895">
        <f t="shared" si="1131"/>
        <v>781000000</v>
      </c>
      <c r="BY895">
        <f t="shared" si="1099"/>
        <v>17328.599955624584</v>
      </c>
      <c r="BZ895">
        <v>0</v>
      </c>
      <c r="CA895">
        <v>0</v>
      </c>
      <c r="CB895">
        <v>0</v>
      </c>
      <c r="CC895">
        <v>0</v>
      </c>
      <c r="CD895">
        <v>0</v>
      </c>
      <c r="CE895">
        <v>0</v>
      </c>
      <c r="CF895">
        <v>0</v>
      </c>
      <c r="CG895">
        <v>0</v>
      </c>
      <c r="CH895">
        <v>0</v>
      </c>
      <c r="CI895">
        <v>0</v>
      </c>
      <c r="CJ895">
        <v>0</v>
      </c>
      <c r="CK895">
        <v>0</v>
      </c>
      <c r="CL895">
        <v>0</v>
      </c>
      <c r="CM895">
        <v>0</v>
      </c>
      <c r="CN895" t="str">
        <f t="shared" si="1111"/>
        <v>refOK</v>
      </c>
      <c r="CO895">
        <f t="shared" si="1112"/>
        <v>41581</v>
      </c>
      <c r="CP895">
        <f t="shared" si="1113"/>
        <v>86651</v>
      </c>
      <c r="CQ895">
        <f t="shared" si="1114"/>
        <v>45070</v>
      </c>
      <c r="CR895">
        <f t="shared" si="1115"/>
        <v>-719</v>
      </c>
      <c r="CS895">
        <f t="shared" si="1116"/>
        <v>-1500</v>
      </c>
      <c r="CT895">
        <f t="shared" si="1117"/>
        <v>-781000000</v>
      </c>
      <c r="CU895">
        <f t="shared" si="1118"/>
        <v>-17328.599955624584</v>
      </c>
      <c r="CV895" s="2">
        <f t="shared" si="1119"/>
        <v>-1.0862308762169681</v>
      </c>
      <c r="CW895" s="1" t="s">
        <v>1202</v>
      </c>
      <c r="CX895" t="str">
        <f t="shared" si="1120"/>
        <v>reg</v>
      </c>
      <c r="CY895" t="s">
        <v>666</v>
      </c>
      <c r="CZ895">
        <v>0</v>
      </c>
      <c r="DA895">
        <v>0</v>
      </c>
      <c r="DB895">
        <v>0</v>
      </c>
      <c r="DC895" t="str">
        <f t="shared" si="1121"/>
        <v>0</v>
      </c>
      <c r="DD895">
        <v>1</v>
      </c>
      <c r="DE895">
        <v>0</v>
      </c>
      <c r="DF895">
        <v>0</v>
      </c>
      <c r="DG895">
        <v>0</v>
      </c>
      <c r="DI895">
        <v>1</v>
      </c>
      <c r="DJ895" t="str">
        <f t="shared" si="1122"/>
        <v>UpstreamInput</v>
      </c>
      <c r="DK895" t="str">
        <f t="shared" si="1123"/>
        <v>Upstream</v>
      </c>
      <c r="DL895">
        <f t="shared" si="1124"/>
        <v>0</v>
      </c>
      <c r="DM895">
        <f t="shared" si="1125"/>
        <v>0</v>
      </c>
      <c r="DN895">
        <f t="shared" si="1126"/>
        <v>0</v>
      </c>
      <c r="DO895">
        <v>0</v>
      </c>
      <c r="DP895">
        <v>0</v>
      </c>
      <c r="DQ895">
        <v>0</v>
      </c>
      <c r="DR895">
        <v>0</v>
      </c>
      <c r="DS895">
        <v>0</v>
      </c>
      <c r="DT895">
        <f t="shared" si="1127"/>
        <v>0</v>
      </c>
      <c r="DU895" s="143" t="s">
        <v>961</v>
      </c>
      <c r="DV895">
        <v>0</v>
      </c>
      <c r="DW895">
        <v>0</v>
      </c>
      <c r="DX895">
        <v>0</v>
      </c>
      <c r="DY895">
        <v>0</v>
      </c>
      <c r="DZ895">
        <v>0</v>
      </c>
      <c r="EA895" s="143">
        <v>0</v>
      </c>
      <c r="EB895">
        <v>1</v>
      </c>
      <c r="EC895">
        <v>0</v>
      </c>
      <c r="ED895">
        <v>0</v>
      </c>
      <c r="EE895">
        <v>0</v>
      </c>
      <c r="EF895">
        <v>0</v>
      </c>
      <c r="EG895">
        <v>0</v>
      </c>
      <c r="EH895">
        <v>0</v>
      </c>
      <c r="EI895" s="2">
        <v>0</v>
      </c>
      <c r="EK895" t="str">
        <f t="shared" si="1128"/>
        <v/>
      </c>
      <c r="EL895" t="str">
        <f t="shared" si="1129"/>
        <v/>
      </c>
      <c r="EM895" s="2" t="str">
        <f t="shared" si="1100"/>
        <v/>
      </c>
      <c r="EP895" t="str">
        <f>IF(ISNUMBER(BU895),IF(ABS(BU895-[3]QC_indicators!$B$2)&gt;3*[3]QC_indicators!$C$2,"C ratio",IF(ISNUMBER(BY895),IF(ABS(BY895-[3]QC_indicators!$B$1)&gt;3*[3]QC_indicators!$C$1,"DF","no"))),IF(ISNUMBER(BY895),IF(ABS(BY895-[3]QC_indicators!$B$1)&gt;3*[3]QC_indicators!$C$1,"DF","no")))</f>
        <v>no</v>
      </c>
      <c r="ET895" s="264" t="s">
        <v>3149</v>
      </c>
    </row>
    <row r="896" spans="1:150" ht="15" hidden="1" customHeight="1">
      <c r="A896" s="1" t="s">
        <v>925</v>
      </c>
      <c r="B896" t="s">
        <v>1848</v>
      </c>
      <c r="C896" t="s">
        <v>1849</v>
      </c>
      <c r="D896" t="s">
        <v>1850</v>
      </c>
      <c r="E896" t="s">
        <v>1851</v>
      </c>
      <c r="F896" t="s">
        <v>1852</v>
      </c>
      <c r="G896" t="s">
        <v>931</v>
      </c>
      <c r="H896" t="s">
        <v>254</v>
      </c>
      <c r="I896">
        <v>2019</v>
      </c>
      <c r="J896">
        <v>8</v>
      </c>
      <c r="K896" t="s">
        <v>1853</v>
      </c>
      <c r="M896" t="str">
        <f t="shared" si="1044"/>
        <v>Kogler_2019</v>
      </c>
      <c r="N896" t="s">
        <v>2581</v>
      </c>
      <c r="O896" s="171" t="s">
        <v>513</v>
      </c>
      <c r="P896" t="s">
        <v>959</v>
      </c>
      <c r="Q896" t="s">
        <v>389</v>
      </c>
      <c r="R896" s="262" t="s">
        <v>223</v>
      </c>
      <c r="S896" s="1" t="s">
        <v>1854</v>
      </c>
      <c r="T896" t="s">
        <v>1863</v>
      </c>
      <c r="U896" t="s">
        <v>1864</v>
      </c>
      <c r="V896">
        <v>0</v>
      </c>
      <c r="W896">
        <v>0</v>
      </c>
      <c r="X896">
        <v>0</v>
      </c>
      <c r="Y896">
        <v>1</v>
      </c>
      <c r="Z896">
        <v>0</v>
      </c>
      <c r="AA896">
        <v>0</v>
      </c>
      <c r="AB896">
        <v>0</v>
      </c>
      <c r="AC896">
        <v>0</v>
      </c>
      <c r="AD896">
        <v>0</v>
      </c>
      <c r="AE896">
        <v>0</v>
      </c>
      <c r="AF896">
        <v>0</v>
      </c>
      <c r="AG896">
        <v>0</v>
      </c>
      <c r="AH896">
        <v>0</v>
      </c>
      <c r="AI896">
        <v>0</v>
      </c>
      <c r="AJ896">
        <v>0</v>
      </c>
      <c r="AK896">
        <v>0</v>
      </c>
      <c r="AL896">
        <v>0</v>
      </c>
      <c r="AM896">
        <v>0</v>
      </c>
      <c r="AN896">
        <v>0</v>
      </c>
      <c r="AO896">
        <v>2</v>
      </c>
      <c r="AP896">
        <v>0</v>
      </c>
      <c r="AQ896">
        <v>0</v>
      </c>
      <c r="AR896">
        <v>0</v>
      </c>
      <c r="AS896">
        <v>0</v>
      </c>
      <c r="AT896">
        <v>0</v>
      </c>
      <c r="AU896">
        <v>0</v>
      </c>
      <c r="AV896">
        <v>0</v>
      </c>
      <c r="AW896">
        <v>0</v>
      </c>
      <c r="AX896" s="141">
        <f t="shared" si="1102"/>
        <v>2</v>
      </c>
      <c r="AY896" s="141">
        <f t="shared" si="1103"/>
        <v>1</v>
      </c>
      <c r="AZ896">
        <f t="shared" si="1104"/>
        <v>1</v>
      </c>
      <c r="BA896">
        <f t="shared" si="1105"/>
        <v>0</v>
      </c>
      <c r="BB896">
        <f t="shared" si="1106"/>
        <v>0</v>
      </c>
      <c r="BC896">
        <f t="shared" si="1107"/>
        <v>0</v>
      </c>
      <c r="BD896">
        <f t="shared" si="1108"/>
        <v>1</v>
      </c>
      <c r="BE896" t="str">
        <f t="array" ref="BE896">IF(AY896=1,INDEX($V$7:$AL$7,MATCH(TRUE,INDEX($V896:$AW896&lt;&gt;0,),0)),IF(AY896=0,INDEX($AM$7:$AW$7,MATCH(1,$AM896:$AW896,0)),IF(BF896="Multiple strategies","mixed drivers",IF(BF896="Supply chain","multiple supply","multiple silviculture"))))</f>
        <v xml:space="preserve">cutting intensity </v>
      </c>
      <c r="BF896" s="2" t="str" cm="1">
        <f t="array" ref="BF896">IF(COUNTIF(AZ896:BB896,"&lt;&gt;0")=1,INDEX($V$4:$AW$4,MATCH(TRUE,INDEX($V896:$AW896&lt;&gt;0,),0)),IF(COUNTIF(AZ896:BB896,"&lt;&gt;0")=0,INDEX($AM$4:$AW$4,MATCH(1,$AM896:$AW896,0)),"Multiple strategies"))</f>
        <v>Silviculture for removals</v>
      </c>
      <c r="BG896" s="1" t="s">
        <v>321</v>
      </c>
      <c r="BH896" t="s">
        <v>1857</v>
      </c>
      <c r="BI896" t="s">
        <v>611</v>
      </c>
      <c r="BJ896" t="s">
        <v>498</v>
      </c>
      <c r="BK896">
        <v>37628</v>
      </c>
      <c r="BL896">
        <v>39771</v>
      </c>
      <c r="BM896" t="s">
        <v>544</v>
      </c>
      <c r="BN896">
        <f t="shared" si="1109"/>
        <v>2143</v>
      </c>
      <c r="BO896">
        <f t="shared" si="1130"/>
        <v>2143</v>
      </c>
      <c r="BP896" t="s">
        <v>395</v>
      </c>
      <c r="BQ896" t="s">
        <v>1858</v>
      </c>
      <c r="BR896" s="264" t="s">
        <v>3148</v>
      </c>
      <c r="BS896">
        <v>721</v>
      </c>
      <c r="BT896">
        <v>762</v>
      </c>
      <c r="BU896" s="144">
        <v>1.0568654646324549</v>
      </c>
      <c r="BV896" s="152">
        <f t="shared" si="1110"/>
        <v>41</v>
      </c>
      <c r="BX896">
        <f t="shared" si="1131"/>
        <v>41000000</v>
      </c>
      <c r="BY896">
        <f t="shared" si="1099"/>
        <v>19132.057862809146</v>
      </c>
      <c r="BZ896">
        <v>0</v>
      </c>
      <c r="CA896">
        <v>0</v>
      </c>
      <c r="CB896">
        <v>0</v>
      </c>
      <c r="CC896">
        <v>0</v>
      </c>
      <c r="CD896">
        <v>0</v>
      </c>
      <c r="CE896">
        <v>0</v>
      </c>
      <c r="CF896">
        <v>0</v>
      </c>
      <c r="CG896">
        <v>0</v>
      </c>
      <c r="CH896">
        <v>0</v>
      </c>
      <c r="CI896">
        <v>0</v>
      </c>
      <c r="CJ896">
        <v>0</v>
      </c>
      <c r="CK896">
        <v>0</v>
      </c>
      <c r="CL896">
        <v>0</v>
      </c>
      <c r="CM896">
        <v>0</v>
      </c>
      <c r="CN896" t="str">
        <f t="shared" si="1111"/>
        <v>refOK</v>
      </c>
      <c r="CO896">
        <f t="shared" si="1112"/>
        <v>37628</v>
      </c>
      <c r="CP896">
        <f t="shared" si="1113"/>
        <v>39771</v>
      </c>
      <c r="CQ896">
        <f t="shared" si="1114"/>
        <v>2143</v>
      </c>
      <c r="CR896">
        <f t="shared" si="1115"/>
        <v>-721</v>
      </c>
      <c r="CS896">
        <f t="shared" si="1116"/>
        <v>-762</v>
      </c>
      <c r="CT896">
        <f t="shared" si="1117"/>
        <v>-41000000</v>
      </c>
      <c r="CU896">
        <f t="shared" si="1118"/>
        <v>-19132.057862809146</v>
      </c>
      <c r="CV896" s="2">
        <f t="shared" si="1119"/>
        <v>-5.6865464632454926E-2</v>
      </c>
      <c r="CW896" s="1" t="s">
        <v>1202</v>
      </c>
      <c r="CX896" t="str">
        <f t="shared" si="1120"/>
        <v>reg</v>
      </c>
      <c r="CY896" t="s">
        <v>666</v>
      </c>
      <c r="CZ896">
        <v>0</v>
      </c>
      <c r="DA896">
        <v>0</v>
      </c>
      <c r="DB896">
        <v>0</v>
      </c>
      <c r="DC896" t="str">
        <f t="shared" si="1121"/>
        <v>0</v>
      </c>
      <c r="DD896">
        <v>1</v>
      </c>
      <c r="DE896">
        <v>0</v>
      </c>
      <c r="DF896">
        <v>0</v>
      </c>
      <c r="DG896">
        <v>0</v>
      </c>
      <c r="DI896">
        <v>1</v>
      </c>
      <c r="DJ896" t="str">
        <f t="shared" si="1122"/>
        <v>UpstreamInput</v>
      </c>
      <c r="DK896" t="str">
        <f t="shared" si="1123"/>
        <v>Upstream</v>
      </c>
      <c r="DL896">
        <f t="shared" si="1124"/>
        <v>0</v>
      </c>
      <c r="DM896">
        <f t="shared" si="1125"/>
        <v>0</v>
      </c>
      <c r="DN896">
        <f t="shared" si="1126"/>
        <v>0</v>
      </c>
      <c r="DO896">
        <v>0</v>
      </c>
      <c r="DP896">
        <v>0</v>
      </c>
      <c r="DQ896">
        <v>0</v>
      </c>
      <c r="DR896">
        <v>0</v>
      </c>
      <c r="DS896">
        <v>0</v>
      </c>
      <c r="DT896">
        <f t="shared" si="1127"/>
        <v>0</v>
      </c>
      <c r="DU896" s="143" t="s">
        <v>961</v>
      </c>
      <c r="DV896">
        <v>0</v>
      </c>
      <c r="DW896">
        <v>0</v>
      </c>
      <c r="DX896">
        <v>0</v>
      </c>
      <c r="DY896">
        <v>0</v>
      </c>
      <c r="DZ896">
        <v>0</v>
      </c>
      <c r="EA896" s="143">
        <v>0</v>
      </c>
      <c r="EB896">
        <v>1</v>
      </c>
      <c r="EC896">
        <v>0</v>
      </c>
      <c r="ED896">
        <v>0</v>
      </c>
      <c r="EE896">
        <v>0</v>
      </c>
      <c r="EF896">
        <v>0</v>
      </c>
      <c r="EG896">
        <v>0</v>
      </c>
      <c r="EH896">
        <v>0</v>
      </c>
      <c r="EI896" s="2">
        <v>0</v>
      </c>
      <c r="EK896" t="str">
        <f t="shared" si="1128"/>
        <v/>
      </c>
      <c r="EL896" t="str">
        <f t="shared" si="1129"/>
        <v/>
      </c>
      <c r="EM896" s="2" t="str">
        <f t="shared" si="1100"/>
        <v/>
      </c>
      <c r="EP896" t="str">
        <f>IF(ISNUMBER(BU896),IF(ABS(BU896-[3]QC_indicators!$B$2)&gt;3*[3]QC_indicators!$C$2,"C ratio",IF(ISNUMBER(BY896),IF(ABS(BY896-[3]QC_indicators!$B$1)&gt;3*[3]QC_indicators!$C$1,"DF","no"))),IF(ISNUMBER(BY896),IF(ABS(BY896-[3]QC_indicators!$B$1)&gt;3*[3]QC_indicators!$C$1,"DF","no")))</f>
        <v>no</v>
      </c>
      <c r="ET896" s="264" t="s">
        <v>3149</v>
      </c>
    </row>
    <row r="897" spans="1:150" ht="15" hidden="1" customHeight="1">
      <c r="A897" s="1" t="s">
        <v>925</v>
      </c>
      <c r="B897" t="s">
        <v>1848</v>
      </c>
      <c r="C897" t="s">
        <v>1849</v>
      </c>
      <c r="D897" t="s">
        <v>1850</v>
      </c>
      <c r="E897" t="s">
        <v>1851</v>
      </c>
      <c r="F897" t="s">
        <v>1852</v>
      </c>
      <c r="G897" t="s">
        <v>931</v>
      </c>
      <c r="H897" t="s">
        <v>254</v>
      </c>
      <c r="I897">
        <v>2019</v>
      </c>
      <c r="J897">
        <v>8</v>
      </c>
      <c r="K897" t="s">
        <v>1853</v>
      </c>
      <c r="M897" t="str">
        <f t="shared" ref="M897:M960" si="1132">LEFT($D897,FIND(",",$D897)-1)&amp;"_"&amp;I897&amp;L897</f>
        <v>Kogler_2019</v>
      </c>
      <c r="N897" t="s">
        <v>2581</v>
      </c>
      <c r="O897" s="171" t="s">
        <v>513</v>
      </c>
      <c r="P897" t="s">
        <v>959</v>
      </c>
      <c r="Q897" t="s">
        <v>389</v>
      </c>
      <c r="R897" s="262" t="s">
        <v>223</v>
      </c>
      <c r="S897" s="1" t="s">
        <v>1854</v>
      </c>
      <c r="T897" t="s">
        <v>1863</v>
      </c>
      <c r="U897" t="s">
        <v>1865</v>
      </c>
      <c r="V897">
        <v>0</v>
      </c>
      <c r="W897">
        <v>0</v>
      </c>
      <c r="X897">
        <v>0</v>
      </c>
      <c r="Y897">
        <v>1</v>
      </c>
      <c r="Z897">
        <v>0</v>
      </c>
      <c r="AA897">
        <v>0</v>
      </c>
      <c r="AB897">
        <v>0</v>
      </c>
      <c r="AC897">
        <v>0</v>
      </c>
      <c r="AD897">
        <v>0</v>
      </c>
      <c r="AE897">
        <v>0</v>
      </c>
      <c r="AF897">
        <v>0</v>
      </c>
      <c r="AG897">
        <v>0</v>
      </c>
      <c r="AH897">
        <v>0</v>
      </c>
      <c r="AI897">
        <v>0</v>
      </c>
      <c r="AJ897">
        <v>0</v>
      </c>
      <c r="AK897">
        <v>0</v>
      </c>
      <c r="AL897">
        <v>0</v>
      </c>
      <c r="AM897">
        <v>0</v>
      </c>
      <c r="AN897">
        <v>0</v>
      </c>
      <c r="AO897">
        <v>0</v>
      </c>
      <c r="AP897">
        <v>0</v>
      </c>
      <c r="AQ897">
        <v>0</v>
      </c>
      <c r="AR897">
        <v>0</v>
      </c>
      <c r="AS897">
        <v>0</v>
      </c>
      <c r="AT897">
        <v>0</v>
      </c>
      <c r="AU897">
        <v>0</v>
      </c>
      <c r="AV897">
        <v>0</v>
      </c>
      <c r="AW897">
        <v>0</v>
      </c>
      <c r="AX897" s="141">
        <f t="shared" si="1102"/>
        <v>1</v>
      </c>
      <c r="AY897" s="141">
        <f t="shared" si="1103"/>
        <v>1</v>
      </c>
      <c r="AZ897">
        <f t="shared" si="1104"/>
        <v>1</v>
      </c>
      <c r="BA897">
        <f t="shared" si="1105"/>
        <v>0</v>
      </c>
      <c r="BB897">
        <f t="shared" si="1106"/>
        <v>0</v>
      </c>
      <c r="BC897">
        <f t="shared" si="1107"/>
        <v>0</v>
      </c>
      <c r="BD897">
        <f t="shared" si="1108"/>
        <v>0</v>
      </c>
      <c r="BE897" t="str">
        <f t="array" ref="BE897">IF(AY897=1,INDEX($V$7:$AL$7,MATCH(TRUE,INDEX($V897:$AW897&lt;&gt;0,),0)),IF(AY897=0,INDEX($AM$7:$AW$7,MATCH(1,$AM897:$AW897,0)),IF(BF897="Multiple strategies","mixed drivers",IF(BF897="Supply chain","multiple supply","multiple silviculture"))))</f>
        <v xml:space="preserve">cutting intensity </v>
      </c>
      <c r="BF897" s="2" t="str" cm="1">
        <f t="array" ref="BF897">IF(COUNTIF(AZ897:BB897,"&lt;&gt;0")=1,INDEX($V$4:$AW$4,MATCH(TRUE,INDEX($V897:$AW897&lt;&gt;0,),0)),IF(COUNTIF(AZ897:BB897,"&lt;&gt;0")=0,INDEX($AM$4:$AW$4,MATCH(1,$AM897:$AW897,0)),"Multiple strategies"))</f>
        <v>Silviculture for removals</v>
      </c>
      <c r="BG897" s="1" t="s">
        <v>321</v>
      </c>
      <c r="BH897" t="s">
        <v>1857</v>
      </c>
      <c r="BI897" t="s">
        <v>611</v>
      </c>
      <c r="BJ897" t="s">
        <v>498</v>
      </c>
      <c r="BK897">
        <v>37628</v>
      </c>
      <c r="BL897">
        <v>75469</v>
      </c>
      <c r="BM897" t="s">
        <v>544</v>
      </c>
      <c r="BN897">
        <f t="shared" si="1109"/>
        <v>37841</v>
      </c>
      <c r="BO897">
        <f t="shared" si="1130"/>
        <v>37841</v>
      </c>
      <c r="BP897" t="s">
        <v>395</v>
      </c>
      <c r="BQ897" t="s">
        <v>1858</v>
      </c>
      <c r="BR897" s="264" t="s">
        <v>3148</v>
      </c>
      <c r="BS897">
        <v>721</v>
      </c>
      <c r="BT897">
        <v>1447</v>
      </c>
      <c r="BU897" s="144">
        <v>2.0069348127600555</v>
      </c>
      <c r="BV897" s="152">
        <f t="shared" si="1110"/>
        <v>726</v>
      </c>
      <c r="BX897">
        <f t="shared" si="1131"/>
        <v>726000000</v>
      </c>
      <c r="BY897">
        <f t="shared" si="1099"/>
        <v>19185.539494199413</v>
      </c>
      <c r="BZ897">
        <v>0</v>
      </c>
      <c r="CA897">
        <v>0</v>
      </c>
      <c r="CB897">
        <v>0</v>
      </c>
      <c r="CC897">
        <v>0</v>
      </c>
      <c r="CD897">
        <v>0</v>
      </c>
      <c r="CE897">
        <v>0</v>
      </c>
      <c r="CF897">
        <v>0</v>
      </c>
      <c r="CG897">
        <v>0</v>
      </c>
      <c r="CH897">
        <v>0</v>
      </c>
      <c r="CI897">
        <v>0</v>
      </c>
      <c r="CJ897">
        <v>0</v>
      </c>
      <c r="CK897">
        <v>0</v>
      </c>
      <c r="CL897">
        <v>0</v>
      </c>
      <c r="CM897">
        <v>0</v>
      </c>
      <c r="CN897" t="str">
        <f t="shared" si="1111"/>
        <v>refOK</v>
      </c>
      <c r="CO897">
        <f t="shared" si="1112"/>
        <v>37628</v>
      </c>
      <c r="CP897">
        <f t="shared" si="1113"/>
        <v>75469</v>
      </c>
      <c r="CQ897">
        <f t="shared" si="1114"/>
        <v>37841</v>
      </c>
      <c r="CR897">
        <f t="shared" si="1115"/>
        <v>-721</v>
      </c>
      <c r="CS897">
        <f t="shared" si="1116"/>
        <v>-1447</v>
      </c>
      <c r="CT897">
        <f t="shared" si="1117"/>
        <v>-726000000</v>
      </c>
      <c r="CU897">
        <f t="shared" si="1118"/>
        <v>-19185.539494199413</v>
      </c>
      <c r="CV897" s="2">
        <f t="shared" si="1119"/>
        <v>-1.0069348127600555</v>
      </c>
      <c r="CW897" s="1" t="s">
        <v>1202</v>
      </c>
      <c r="CX897" t="str">
        <f t="shared" si="1120"/>
        <v>reg</v>
      </c>
      <c r="CY897" t="s">
        <v>666</v>
      </c>
      <c r="CZ897">
        <v>0</v>
      </c>
      <c r="DA897">
        <v>0</v>
      </c>
      <c r="DB897">
        <v>0</v>
      </c>
      <c r="DC897" t="str">
        <f t="shared" si="1121"/>
        <v>0</v>
      </c>
      <c r="DD897">
        <v>1</v>
      </c>
      <c r="DE897">
        <v>0</v>
      </c>
      <c r="DF897">
        <v>0</v>
      </c>
      <c r="DG897">
        <v>0</v>
      </c>
      <c r="DI897">
        <v>1</v>
      </c>
      <c r="DJ897" t="str">
        <f t="shared" si="1122"/>
        <v>UpstreamInput</v>
      </c>
      <c r="DK897" t="str">
        <f t="shared" si="1123"/>
        <v>Upstream</v>
      </c>
      <c r="DL897">
        <f t="shared" si="1124"/>
        <v>0</v>
      </c>
      <c r="DM897">
        <f t="shared" si="1125"/>
        <v>0</v>
      </c>
      <c r="DN897">
        <f t="shared" si="1126"/>
        <v>0</v>
      </c>
      <c r="DO897">
        <v>0</v>
      </c>
      <c r="DP897">
        <v>0</v>
      </c>
      <c r="DQ897">
        <v>0</v>
      </c>
      <c r="DR897">
        <v>0</v>
      </c>
      <c r="DS897">
        <v>0</v>
      </c>
      <c r="DT897">
        <f t="shared" si="1127"/>
        <v>0</v>
      </c>
      <c r="DU897" s="143" t="s">
        <v>961</v>
      </c>
      <c r="DV897">
        <v>0</v>
      </c>
      <c r="DW897">
        <v>0</v>
      </c>
      <c r="DX897">
        <v>0</v>
      </c>
      <c r="DY897">
        <v>0</v>
      </c>
      <c r="DZ897">
        <v>0</v>
      </c>
      <c r="EA897" s="143">
        <v>0</v>
      </c>
      <c r="EB897">
        <v>1</v>
      </c>
      <c r="EC897">
        <v>0</v>
      </c>
      <c r="ED897">
        <v>0</v>
      </c>
      <c r="EE897">
        <v>0</v>
      </c>
      <c r="EF897">
        <v>0</v>
      </c>
      <c r="EG897">
        <v>0</v>
      </c>
      <c r="EH897">
        <v>0</v>
      </c>
      <c r="EI897" s="2">
        <v>0</v>
      </c>
      <c r="EK897" t="str">
        <f t="shared" si="1128"/>
        <v/>
      </c>
      <c r="EL897" t="str">
        <f t="shared" si="1129"/>
        <v/>
      </c>
      <c r="EM897" s="2" t="str">
        <f t="shared" si="1100"/>
        <v/>
      </c>
      <c r="EP897" t="str">
        <f>IF(ISNUMBER(BU897),IF(ABS(BU897-[3]QC_indicators!$B$2)&gt;3*[3]QC_indicators!$C$2,"C ratio",IF(ISNUMBER(BY897),IF(ABS(BY897-[3]QC_indicators!$B$1)&gt;3*[3]QC_indicators!$C$1,"DF","no"))),IF(ISNUMBER(BY897),IF(ABS(BY897-[3]QC_indicators!$B$1)&gt;3*[3]QC_indicators!$C$1,"DF","no")))</f>
        <v>no</v>
      </c>
      <c r="ET897" s="264" t="s">
        <v>3149</v>
      </c>
    </row>
    <row r="898" spans="1:150" ht="15" hidden="1" customHeight="1">
      <c r="A898" s="1" t="s">
        <v>925</v>
      </c>
      <c r="B898" t="s">
        <v>1848</v>
      </c>
      <c r="C898" t="s">
        <v>1849</v>
      </c>
      <c r="D898" t="s">
        <v>1850</v>
      </c>
      <c r="E898" t="s">
        <v>1851</v>
      </c>
      <c r="F898" t="s">
        <v>1852</v>
      </c>
      <c r="G898" t="s">
        <v>931</v>
      </c>
      <c r="H898" t="s">
        <v>254</v>
      </c>
      <c r="I898">
        <v>2019</v>
      </c>
      <c r="J898">
        <v>8</v>
      </c>
      <c r="K898" t="s">
        <v>1853</v>
      </c>
      <c r="M898" t="str">
        <f t="shared" si="1132"/>
        <v>Kogler_2019</v>
      </c>
      <c r="N898" t="s">
        <v>2581</v>
      </c>
      <c r="O898" s="171" t="s">
        <v>513</v>
      </c>
      <c r="P898" t="s">
        <v>959</v>
      </c>
      <c r="Q898" t="s">
        <v>389</v>
      </c>
      <c r="R898" s="262" t="s">
        <v>223</v>
      </c>
      <c r="S898" s="1" t="s">
        <v>1854</v>
      </c>
      <c r="T898" t="s">
        <v>1864</v>
      </c>
      <c r="U898" t="s">
        <v>1865</v>
      </c>
      <c r="V898">
        <v>0</v>
      </c>
      <c r="W898">
        <v>0</v>
      </c>
      <c r="X898">
        <v>0</v>
      </c>
      <c r="Y898">
        <v>1</v>
      </c>
      <c r="Z898">
        <v>0</v>
      </c>
      <c r="AA898">
        <v>0</v>
      </c>
      <c r="AB898">
        <v>0</v>
      </c>
      <c r="AC898">
        <v>0</v>
      </c>
      <c r="AD898">
        <v>0</v>
      </c>
      <c r="AE898">
        <v>0</v>
      </c>
      <c r="AF898">
        <v>0</v>
      </c>
      <c r="AG898">
        <v>0</v>
      </c>
      <c r="AH898">
        <v>0</v>
      </c>
      <c r="AI898">
        <v>0</v>
      </c>
      <c r="AJ898">
        <v>0</v>
      </c>
      <c r="AK898">
        <v>0</v>
      </c>
      <c r="AL898">
        <v>0</v>
      </c>
      <c r="AM898">
        <v>0</v>
      </c>
      <c r="AN898">
        <v>0</v>
      </c>
      <c r="AO898">
        <v>0</v>
      </c>
      <c r="AP898">
        <v>0</v>
      </c>
      <c r="AQ898">
        <v>2</v>
      </c>
      <c r="AR898">
        <v>0</v>
      </c>
      <c r="AS898">
        <v>0</v>
      </c>
      <c r="AT898">
        <v>0</v>
      </c>
      <c r="AU898">
        <v>0</v>
      </c>
      <c r="AV898">
        <v>0</v>
      </c>
      <c r="AW898">
        <v>0</v>
      </c>
      <c r="AX898" s="141">
        <f t="shared" si="1102"/>
        <v>2</v>
      </c>
      <c r="AY898" s="141">
        <f t="shared" si="1103"/>
        <v>1</v>
      </c>
      <c r="AZ898">
        <f t="shared" si="1104"/>
        <v>1</v>
      </c>
      <c r="BA898">
        <f t="shared" si="1105"/>
        <v>0</v>
      </c>
      <c r="BB898">
        <f t="shared" si="1106"/>
        <v>0</v>
      </c>
      <c r="BC898">
        <f t="shared" si="1107"/>
        <v>0</v>
      </c>
      <c r="BD898">
        <f t="shared" si="1108"/>
        <v>1</v>
      </c>
      <c r="BE898" t="str">
        <f t="array" ref="BE898">IF(AY898=1,INDEX($V$7:$AL$7,MATCH(TRUE,INDEX($V898:$AW898&lt;&gt;0,),0)),IF(AY898=0,INDEX($AM$7:$AW$7,MATCH(1,$AM898:$AW898,0)),IF(BF898="Multiple strategies","mixed drivers",IF(BF898="Supply chain","multiple supply","multiple silviculture"))))</f>
        <v xml:space="preserve">cutting intensity </v>
      </c>
      <c r="BF898" s="2" t="str" cm="1">
        <f t="array" ref="BF898">IF(COUNTIF(AZ898:BB898,"&lt;&gt;0")=1,INDEX($V$4:$AW$4,MATCH(TRUE,INDEX($V898:$AW898&lt;&gt;0,),0)),IF(COUNTIF(AZ898:BB898,"&lt;&gt;0")=0,INDEX($AM$4:$AW$4,MATCH(1,$AM898:$AW898,0)),"Multiple strategies"))</f>
        <v>Silviculture for removals</v>
      </c>
      <c r="BG898" s="1" t="s">
        <v>321</v>
      </c>
      <c r="BH898" t="s">
        <v>1857</v>
      </c>
      <c r="BI898" t="s">
        <v>611</v>
      </c>
      <c r="BJ898" t="s">
        <v>498</v>
      </c>
      <c r="BK898">
        <v>39771</v>
      </c>
      <c r="BL898">
        <v>75469</v>
      </c>
      <c r="BM898" t="s">
        <v>544</v>
      </c>
      <c r="BN898">
        <f t="shared" si="1109"/>
        <v>35698</v>
      </c>
      <c r="BO898">
        <f t="shared" si="1130"/>
        <v>35698</v>
      </c>
      <c r="BP898" t="s">
        <v>395</v>
      </c>
      <c r="BQ898" t="s">
        <v>1858</v>
      </c>
      <c r="BR898" s="264" t="s">
        <v>3148</v>
      </c>
      <c r="BS898">
        <v>762</v>
      </c>
      <c r="BT898">
        <v>1447</v>
      </c>
      <c r="BU898" s="144">
        <v>1.8989501312335959</v>
      </c>
      <c r="BV898" s="152">
        <f t="shared" si="1110"/>
        <v>685</v>
      </c>
      <c r="BX898">
        <f t="shared" si="1131"/>
        <v>685000000</v>
      </c>
      <c r="BY898">
        <f t="shared" si="1099"/>
        <v>19188.750070031936</v>
      </c>
      <c r="BZ898">
        <v>0</v>
      </c>
      <c r="CA898">
        <v>0</v>
      </c>
      <c r="CB898">
        <v>0</v>
      </c>
      <c r="CC898">
        <v>0</v>
      </c>
      <c r="CD898">
        <v>0</v>
      </c>
      <c r="CE898">
        <v>0</v>
      </c>
      <c r="CF898">
        <v>0</v>
      </c>
      <c r="CG898">
        <v>0</v>
      </c>
      <c r="CH898">
        <v>0</v>
      </c>
      <c r="CI898">
        <v>0</v>
      </c>
      <c r="CJ898">
        <v>0</v>
      </c>
      <c r="CK898">
        <v>0</v>
      </c>
      <c r="CL898">
        <v>0</v>
      </c>
      <c r="CM898">
        <v>0</v>
      </c>
      <c r="CN898" t="str">
        <f t="shared" si="1111"/>
        <v>refOK</v>
      </c>
      <c r="CO898">
        <f t="shared" si="1112"/>
        <v>39771</v>
      </c>
      <c r="CP898">
        <f t="shared" si="1113"/>
        <v>75469</v>
      </c>
      <c r="CQ898">
        <f t="shared" si="1114"/>
        <v>35698</v>
      </c>
      <c r="CR898">
        <f t="shared" si="1115"/>
        <v>-762</v>
      </c>
      <c r="CS898">
        <f t="shared" si="1116"/>
        <v>-1447</v>
      </c>
      <c r="CT898">
        <f t="shared" si="1117"/>
        <v>-685000000</v>
      </c>
      <c r="CU898">
        <f t="shared" si="1118"/>
        <v>-19188.750070031936</v>
      </c>
      <c r="CV898" s="2">
        <f t="shared" si="1119"/>
        <v>-0.89895013123359579</v>
      </c>
      <c r="CW898" s="1" t="s">
        <v>1202</v>
      </c>
      <c r="CX898" t="str">
        <f t="shared" si="1120"/>
        <v>reg</v>
      </c>
      <c r="CY898" t="s">
        <v>666</v>
      </c>
      <c r="CZ898">
        <v>0</v>
      </c>
      <c r="DA898">
        <v>0</v>
      </c>
      <c r="DB898">
        <v>0</v>
      </c>
      <c r="DC898" t="str">
        <f t="shared" si="1121"/>
        <v>0</v>
      </c>
      <c r="DD898">
        <v>1</v>
      </c>
      <c r="DE898">
        <v>0</v>
      </c>
      <c r="DF898">
        <v>0</v>
      </c>
      <c r="DG898">
        <v>0</v>
      </c>
      <c r="DI898">
        <v>1</v>
      </c>
      <c r="DJ898" t="str">
        <f t="shared" si="1122"/>
        <v>UpstreamInput</v>
      </c>
      <c r="DK898" t="str">
        <f t="shared" si="1123"/>
        <v>Upstream</v>
      </c>
      <c r="DL898">
        <f t="shared" si="1124"/>
        <v>0</v>
      </c>
      <c r="DM898">
        <f t="shared" si="1125"/>
        <v>0</v>
      </c>
      <c r="DN898">
        <f t="shared" si="1126"/>
        <v>0</v>
      </c>
      <c r="DO898">
        <v>0</v>
      </c>
      <c r="DP898">
        <v>0</v>
      </c>
      <c r="DQ898">
        <v>0</v>
      </c>
      <c r="DR898">
        <v>0</v>
      </c>
      <c r="DS898">
        <v>0</v>
      </c>
      <c r="DT898">
        <f t="shared" si="1127"/>
        <v>0</v>
      </c>
      <c r="DU898" s="143" t="s">
        <v>961</v>
      </c>
      <c r="DV898">
        <v>0</v>
      </c>
      <c r="DW898">
        <v>0</v>
      </c>
      <c r="DX898">
        <v>0</v>
      </c>
      <c r="DY898">
        <v>0</v>
      </c>
      <c r="DZ898">
        <v>0</v>
      </c>
      <c r="EA898" s="143">
        <v>0</v>
      </c>
      <c r="EB898">
        <v>1</v>
      </c>
      <c r="EC898">
        <v>0</v>
      </c>
      <c r="ED898">
        <v>0</v>
      </c>
      <c r="EE898">
        <v>0</v>
      </c>
      <c r="EF898">
        <v>0</v>
      </c>
      <c r="EG898">
        <v>0</v>
      </c>
      <c r="EH898">
        <v>0</v>
      </c>
      <c r="EI898" s="2">
        <v>0</v>
      </c>
      <c r="EK898" t="str">
        <f t="shared" si="1128"/>
        <v/>
      </c>
      <c r="EL898" t="str">
        <f t="shared" si="1129"/>
        <v/>
      </c>
      <c r="EM898" s="2" t="str">
        <f t="shared" si="1100"/>
        <v/>
      </c>
      <c r="EP898" t="str">
        <f>IF(ISNUMBER(BU898),IF(ABS(BU898-[3]QC_indicators!$B$2)&gt;3*[3]QC_indicators!$C$2,"C ratio",IF(ISNUMBER(BY898),IF(ABS(BY898-[3]QC_indicators!$B$1)&gt;3*[3]QC_indicators!$C$1,"DF","no"))),IF(ISNUMBER(BY898),IF(ABS(BY898-[3]QC_indicators!$B$1)&gt;3*[3]QC_indicators!$C$1,"DF","no")))</f>
        <v>no</v>
      </c>
      <c r="ET898" s="264" t="s">
        <v>3149</v>
      </c>
    </row>
    <row r="899" spans="1:150" ht="15" hidden="1" customHeight="1">
      <c r="A899" s="1" t="s">
        <v>925</v>
      </c>
      <c r="B899" t="s">
        <v>1848</v>
      </c>
      <c r="C899" t="s">
        <v>1849</v>
      </c>
      <c r="D899" t="s">
        <v>1850</v>
      </c>
      <c r="E899" t="s">
        <v>1851</v>
      </c>
      <c r="F899" t="s">
        <v>1852</v>
      </c>
      <c r="G899" t="s">
        <v>931</v>
      </c>
      <c r="H899" t="s">
        <v>254</v>
      </c>
      <c r="I899">
        <v>2019</v>
      </c>
      <c r="J899">
        <v>8</v>
      </c>
      <c r="K899" t="s">
        <v>1853</v>
      </c>
      <c r="M899" t="str">
        <f t="shared" si="1132"/>
        <v>Kogler_2019</v>
      </c>
      <c r="N899" t="s">
        <v>2581</v>
      </c>
      <c r="O899" s="171" t="s">
        <v>513</v>
      </c>
      <c r="P899" t="s">
        <v>959</v>
      </c>
      <c r="Q899" t="s">
        <v>389</v>
      </c>
      <c r="R899" s="262" t="s">
        <v>223</v>
      </c>
      <c r="S899" s="1" t="s">
        <v>1866</v>
      </c>
      <c r="T899" t="s">
        <v>1856</v>
      </c>
      <c r="U899" t="s">
        <v>1861</v>
      </c>
      <c r="V899">
        <v>0</v>
      </c>
      <c r="W899">
        <v>0</v>
      </c>
      <c r="X899">
        <v>0</v>
      </c>
      <c r="Y899">
        <v>0</v>
      </c>
      <c r="Z899">
        <v>0</v>
      </c>
      <c r="AA899">
        <v>0</v>
      </c>
      <c r="AB899">
        <v>0</v>
      </c>
      <c r="AC899">
        <v>0</v>
      </c>
      <c r="AD899">
        <v>0</v>
      </c>
      <c r="AE899">
        <v>0</v>
      </c>
      <c r="AF899">
        <v>1</v>
      </c>
      <c r="AG899">
        <v>0</v>
      </c>
      <c r="AH899">
        <v>0</v>
      </c>
      <c r="AI899">
        <v>0</v>
      </c>
      <c r="AJ899">
        <v>0</v>
      </c>
      <c r="AK899">
        <v>0</v>
      </c>
      <c r="AL899">
        <v>0</v>
      </c>
      <c r="AM899">
        <v>0</v>
      </c>
      <c r="AN899">
        <v>0</v>
      </c>
      <c r="AO899">
        <v>0</v>
      </c>
      <c r="AP899">
        <v>0</v>
      </c>
      <c r="AQ899">
        <v>0</v>
      </c>
      <c r="AR899">
        <v>0</v>
      </c>
      <c r="AS899">
        <v>0</v>
      </c>
      <c r="AT899">
        <v>0</v>
      </c>
      <c r="AU899">
        <v>0</v>
      </c>
      <c r="AV899">
        <v>0</v>
      </c>
      <c r="AW899">
        <v>0</v>
      </c>
      <c r="AX899" s="141">
        <f t="shared" si="1102"/>
        <v>1</v>
      </c>
      <c r="AY899" s="141">
        <f t="shared" si="1103"/>
        <v>1</v>
      </c>
      <c r="AZ899">
        <f t="shared" si="1104"/>
        <v>0</v>
      </c>
      <c r="BA899">
        <f t="shared" si="1105"/>
        <v>1</v>
      </c>
      <c r="BB899">
        <f t="shared" si="1106"/>
        <v>0</v>
      </c>
      <c r="BC899">
        <f t="shared" si="1107"/>
        <v>0</v>
      </c>
      <c r="BD899">
        <f t="shared" si="1108"/>
        <v>0</v>
      </c>
      <c r="BE899" t="str">
        <f t="array" ref="BE899">IF(AY899=1,INDEX($V$7:$AL$7,MATCH(TRUE,INDEX($V899:$AW899&lt;&gt;0,),0)),IF(AY899=0,INDEX($AM$7:$AW$7,MATCH(1,$AM899:$AW899,0)),IF(BF899="Multiple strategies","mixed drivers",IF(BF899="Supply chain","multiple supply","multiple silviculture"))))</f>
        <v>supply chain organization</v>
      </c>
      <c r="BF899" s="2" t="str" cm="1">
        <f t="array" ref="BF899">IF(COUNTIF(AZ899:BB899,"&lt;&gt;0")=1,INDEX($V$4:$AW$4,MATCH(TRUE,INDEX($V899:$AW899&lt;&gt;0,),0)),IF(COUNTIF(AZ899:BB899,"&lt;&gt;0")=0,INDEX($AM$4:$AW$4,MATCH(1,$AM899:$AW899,0)),"Multiple strategies"))</f>
        <v>Supply chain</v>
      </c>
      <c r="BG899" s="1" t="s">
        <v>321</v>
      </c>
      <c r="BH899" t="s">
        <v>1857</v>
      </c>
      <c r="BI899" t="s">
        <v>611</v>
      </c>
      <c r="BJ899" t="s">
        <v>498</v>
      </c>
      <c r="BK899">
        <v>37563</v>
      </c>
      <c r="BL899">
        <v>41581</v>
      </c>
      <c r="BM899">
        <v>1.1069669621702207</v>
      </c>
      <c r="BN899">
        <f t="shared" si="1109"/>
        <v>4018</v>
      </c>
      <c r="BO899">
        <f t="shared" si="1130"/>
        <v>4018</v>
      </c>
      <c r="BP899" t="s">
        <v>395</v>
      </c>
      <c r="BQ899" t="s">
        <v>1858</v>
      </c>
      <c r="BR899" s="264" t="s">
        <v>3148</v>
      </c>
      <c r="BS899">
        <v>579</v>
      </c>
      <c r="BT899">
        <v>719</v>
      </c>
      <c r="BU899" s="144">
        <v>1.241796200345423</v>
      </c>
      <c r="BV899" s="152">
        <f t="shared" si="1110"/>
        <v>140</v>
      </c>
      <c r="BX899">
        <f t="shared" si="1131"/>
        <v>140000000</v>
      </c>
      <c r="BY899">
        <f t="shared" si="1099"/>
        <v>34843.205574912892</v>
      </c>
      <c r="BZ899">
        <v>0</v>
      </c>
      <c r="CA899">
        <v>0</v>
      </c>
      <c r="CB899">
        <v>0</v>
      </c>
      <c r="CC899">
        <v>0</v>
      </c>
      <c r="CD899">
        <v>0</v>
      </c>
      <c r="CE899">
        <v>0</v>
      </c>
      <c r="CF899">
        <v>0</v>
      </c>
      <c r="CG899">
        <v>0</v>
      </c>
      <c r="CH899">
        <v>0</v>
      </c>
      <c r="CI899">
        <v>0</v>
      </c>
      <c r="CJ899">
        <v>0</v>
      </c>
      <c r="CK899">
        <v>0</v>
      </c>
      <c r="CL899">
        <v>0</v>
      </c>
      <c r="CM899">
        <v>0</v>
      </c>
      <c r="CN899" t="str">
        <f t="shared" si="1111"/>
        <v>refOK</v>
      </c>
      <c r="CO899">
        <f t="shared" si="1112"/>
        <v>37563</v>
      </c>
      <c r="CP899">
        <f t="shared" si="1113"/>
        <v>41581</v>
      </c>
      <c r="CQ899">
        <f t="shared" si="1114"/>
        <v>4018</v>
      </c>
      <c r="CR899">
        <f t="shared" si="1115"/>
        <v>-579</v>
      </c>
      <c r="CS899">
        <f t="shared" si="1116"/>
        <v>-719</v>
      </c>
      <c r="CT899">
        <f t="shared" si="1117"/>
        <v>-140000000</v>
      </c>
      <c r="CU899">
        <f t="shared" si="1118"/>
        <v>-34843.205574912892</v>
      </c>
      <c r="CV899" s="2">
        <f t="shared" si="1119"/>
        <v>-0.24179620034542315</v>
      </c>
      <c r="CW899" s="1" t="s">
        <v>1202</v>
      </c>
      <c r="CX899" t="str">
        <f t="shared" si="1120"/>
        <v>reg</v>
      </c>
      <c r="CY899" t="s">
        <v>666</v>
      </c>
      <c r="CZ899">
        <v>0</v>
      </c>
      <c r="DA899">
        <v>0</v>
      </c>
      <c r="DB899">
        <v>0</v>
      </c>
      <c r="DC899" t="str">
        <f t="shared" si="1121"/>
        <v>0</v>
      </c>
      <c r="DD899">
        <v>1</v>
      </c>
      <c r="DE899">
        <v>0</v>
      </c>
      <c r="DF899">
        <v>0</v>
      </c>
      <c r="DG899">
        <v>0</v>
      </c>
      <c r="DI899">
        <v>1</v>
      </c>
      <c r="DJ899" t="str">
        <f t="shared" si="1122"/>
        <v>UpstreamInput</v>
      </c>
      <c r="DK899" t="str">
        <f t="shared" si="1123"/>
        <v>Upstream</v>
      </c>
      <c r="DL899">
        <f t="shared" si="1124"/>
        <v>0</v>
      </c>
      <c r="DM899">
        <f t="shared" si="1125"/>
        <v>0</v>
      </c>
      <c r="DN899">
        <f t="shared" si="1126"/>
        <v>0</v>
      </c>
      <c r="DO899">
        <v>0</v>
      </c>
      <c r="DP899">
        <v>0</v>
      </c>
      <c r="DQ899">
        <v>0</v>
      </c>
      <c r="DR899">
        <v>0</v>
      </c>
      <c r="DS899">
        <v>0</v>
      </c>
      <c r="DT899">
        <f t="shared" si="1127"/>
        <v>0</v>
      </c>
      <c r="DU899" s="143" t="s">
        <v>961</v>
      </c>
      <c r="DV899">
        <v>0</v>
      </c>
      <c r="DW899">
        <v>0</v>
      </c>
      <c r="DX899">
        <v>0</v>
      </c>
      <c r="DY899">
        <v>0</v>
      </c>
      <c r="DZ899">
        <v>0</v>
      </c>
      <c r="EA899" s="143">
        <v>0</v>
      </c>
      <c r="EB899">
        <v>1</v>
      </c>
      <c r="EC899">
        <v>0</v>
      </c>
      <c r="ED899">
        <v>0</v>
      </c>
      <c r="EE899">
        <v>0</v>
      </c>
      <c r="EF899">
        <v>0</v>
      </c>
      <c r="EG899">
        <v>0</v>
      </c>
      <c r="EH899">
        <v>0</v>
      </c>
      <c r="EI899" s="2">
        <v>0</v>
      </c>
      <c r="EK899" t="str">
        <f t="shared" si="1128"/>
        <v/>
      </c>
      <c r="EL899" t="str">
        <f t="shared" si="1129"/>
        <v/>
      </c>
      <c r="EM899" s="2" t="str">
        <f t="shared" si="1100"/>
        <v/>
      </c>
      <c r="EP899" t="str">
        <f>IF(ISNUMBER(BU899),IF(ABS(BU899-[3]QC_indicators!$B$2)&gt;3*[3]QC_indicators!$C$2,"C ratio",IF(ISNUMBER(BY899),IF(ABS(BY899-[3]QC_indicators!$B$1)&gt;3*[3]QC_indicators!$C$1,"DF","no"))),IF(ISNUMBER(BY899),IF(ABS(BY899-[3]QC_indicators!$B$1)&gt;3*[3]QC_indicators!$C$1,"DF","no")))</f>
        <v>DF</v>
      </c>
      <c r="ET899" s="264" t="s">
        <v>3149</v>
      </c>
    </row>
    <row r="900" spans="1:150" ht="15" hidden="1" customHeight="1">
      <c r="A900" s="1" t="s">
        <v>925</v>
      </c>
      <c r="B900" t="s">
        <v>1848</v>
      </c>
      <c r="C900" t="s">
        <v>1849</v>
      </c>
      <c r="D900" t="s">
        <v>1850</v>
      </c>
      <c r="E900" t="s">
        <v>1851</v>
      </c>
      <c r="F900" t="s">
        <v>1852</v>
      </c>
      <c r="G900" t="s">
        <v>931</v>
      </c>
      <c r="H900" t="s">
        <v>254</v>
      </c>
      <c r="I900">
        <v>2019</v>
      </c>
      <c r="J900">
        <v>8</v>
      </c>
      <c r="K900" t="s">
        <v>1853</v>
      </c>
      <c r="M900" t="str">
        <f t="shared" si="1132"/>
        <v>Kogler_2019</v>
      </c>
      <c r="N900" t="s">
        <v>2581</v>
      </c>
      <c r="O900" s="171" t="s">
        <v>513</v>
      </c>
      <c r="P900" t="s">
        <v>959</v>
      </c>
      <c r="Q900" t="s">
        <v>389</v>
      </c>
      <c r="R900" s="262" t="s">
        <v>223</v>
      </c>
      <c r="S900" s="1" t="s">
        <v>1866</v>
      </c>
      <c r="T900" t="s">
        <v>1859</v>
      </c>
      <c r="U900" t="s">
        <v>1862</v>
      </c>
      <c r="V900">
        <v>0</v>
      </c>
      <c r="W900">
        <v>0</v>
      </c>
      <c r="X900">
        <v>0</v>
      </c>
      <c r="Y900">
        <v>0</v>
      </c>
      <c r="Z900">
        <v>0</v>
      </c>
      <c r="AA900">
        <v>0</v>
      </c>
      <c r="AB900">
        <v>0</v>
      </c>
      <c r="AC900">
        <v>0</v>
      </c>
      <c r="AD900">
        <v>0</v>
      </c>
      <c r="AE900">
        <v>0</v>
      </c>
      <c r="AF900">
        <v>1</v>
      </c>
      <c r="AG900">
        <v>0</v>
      </c>
      <c r="AH900">
        <v>0</v>
      </c>
      <c r="AI900">
        <v>0</v>
      </c>
      <c r="AJ900">
        <v>0</v>
      </c>
      <c r="AK900">
        <v>0</v>
      </c>
      <c r="AL900">
        <v>0</v>
      </c>
      <c r="AM900">
        <v>0</v>
      </c>
      <c r="AN900">
        <v>0</v>
      </c>
      <c r="AO900">
        <v>0</v>
      </c>
      <c r="AP900">
        <v>0</v>
      </c>
      <c r="AQ900">
        <v>0</v>
      </c>
      <c r="AR900">
        <v>0</v>
      </c>
      <c r="AS900">
        <v>0</v>
      </c>
      <c r="AT900">
        <v>0</v>
      </c>
      <c r="AU900">
        <v>0</v>
      </c>
      <c r="AV900">
        <v>0</v>
      </c>
      <c r="AW900">
        <v>0</v>
      </c>
      <c r="AX900" s="141">
        <f t="shared" si="1102"/>
        <v>1</v>
      </c>
      <c r="AY900" s="141">
        <f t="shared" si="1103"/>
        <v>1</v>
      </c>
      <c r="AZ900">
        <f t="shared" si="1104"/>
        <v>0</v>
      </c>
      <c r="BA900">
        <f t="shared" si="1105"/>
        <v>1</v>
      </c>
      <c r="BB900">
        <f t="shared" si="1106"/>
        <v>0</v>
      </c>
      <c r="BC900">
        <f t="shared" si="1107"/>
        <v>0</v>
      </c>
      <c r="BD900">
        <f t="shared" si="1108"/>
        <v>0</v>
      </c>
      <c r="BE900" t="str">
        <f t="array" ref="BE900">IF(AY900=1,INDEX($V$7:$AL$7,MATCH(TRUE,INDEX($V900:$AW900&lt;&gt;0,),0)),IF(AY900=0,INDEX($AM$7:$AW$7,MATCH(1,$AM900:$AW900,0)),IF(BF900="Multiple strategies","mixed drivers",IF(BF900="Supply chain","multiple supply","multiple silviculture"))))</f>
        <v>supply chain organization</v>
      </c>
      <c r="BF900" s="2" t="str" cm="1">
        <f t="array" ref="BF900">IF(COUNTIF(AZ900:BB900,"&lt;&gt;0")=1,INDEX($V$4:$AW$4,MATCH(TRUE,INDEX($V900:$AW900&lt;&gt;0,),0)),IF(COUNTIF(AZ900:BB900,"&lt;&gt;0")=0,INDEX($AM$4:$AW$4,MATCH(1,$AM900:$AW900,0)),"Multiple strategies"))</f>
        <v>Supply chain</v>
      </c>
      <c r="BG900" s="1" t="s">
        <v>321</v>
      </c>
      <c r="BH900" t="s">
        <v>1857</v>
      </c>
      <c r="BI900" t="s">
        <v>611</v>
      </c>
      <c r="BJ900" t="s">
        <v>498</v>
      </c>
      <c r="BK900">
        <v>80258</v>
      </c>
      <c r="BL900">
        <v>86651</v>
      </c>
      <c r="BM900">
        <v>1.0796556106556356</v>
      </c>
      <c r="BN900">
        <f t="shared" si="1109"/>
        <v>6393</v>
      </c>
      <c r="BO900">
        <f t="shared" si="1130"/>
        <v>6393</v>
      </c>
      <c r="BP900" t="s">
        <v>395</v>
      </c>
      <c r="BQ900" t="s">
        <v>1858</v>
      </c>
      <c r="BR900" s="264" t="s">
        <v>3148</v>
      </c>
      <c r="BS900">
        <v>1270</v>
      </c>
      <c r="BT900">
        <v>1500</v>
      </c>
      <c r="BU900" s="144">
        <v>1.1811023622047243</v>
      </c>
      <c r="BV900" s="152">
        <f t="shared" si="1110"/>
        <v>230</v>
      </c>
      <c r="BX900">
        <f t="shared" si="1131"/>
        <v>230000000</v>
      </c>
      <c r="BY900">
        <f t="shared" si="1099"/>
        <v>35976.849679336774</v>
      </c>
      <c r="BZ900">
        <v>0</v>
      </c>
      <c r="CA900">
        <v>0</v>
      </c>
      <c r="CB900">
        <v>0</v>
      </c>
      <c r="CC900">
        <v>0</v>
      </c>
      <c r="CD900">
        <v>0</v>
      </c>
      <c r="CE900">
        <v>0</v>
      </c>
      <c r="CF900">
        <v>0</v>
      </c>
      <c r="CG900">
        <v>0</v>
      </c>
      <c r="CH900">
        <v>0</v>
      </c>
      <c r="CI900">
        <v>0</v>
      </c>
      <c r="CJ900">
        <v>0</v>
      </c>
      <c r="CK900">
        <v>0</v>
      </c>
      <c r="CL900">
        <v>0</v>
      </c>
      <c r="CM900">
        <v>0</v>
      </c>
      <c r="CN900" t="str">
        <f t="shared" si="1111"/>
        <v>refOK</v>
      </c>
      <c r="CO900">
        <f t="shared" si="1112"/>
        <v>80258</v>
      </c>
      <c r="CP900">
        <f t="shared" si="1113"/>
        <v>86651</v>
      </c>
      <c r="CQ900">
        <f t="shared" si="1114"/>
        <v>6393</v>
      </c>
      <c r="CR900">
        <f t="shared" si="1115"/>
        <v>-1270</v>
      </c>
      <c r="CS900">
        <f t="shared" si="1116"/>
        <v>-1500</v>
      </c>
      <c r="CT900">
        <f t="shared" si="1117"/>
        <v>-230000000</v>
      </c>
      <c r="CU900">
        <f t="shared" si="1118"/>
        <v>-35976.849679336774</v>
      </c>
      <c r="CV900" s="2">
        <f t="shared" si="1119"/>
        <v>-0.18110236220472442</v>
      </c>
      <c r="CW900" s="1" t="s">
        <v>1202</v>
      </c>
      <c r="CX900" t="str">
        <f t="shared" si="1120"/>
        <v>reg</v>
      </c>
      <c r="CY900" t="s">
        <v>666</v>
      </c>
      <c r="CZ900">
        <v>0</v>
      </c>
      <c r="DA900">
        <v>0</v>
      </c>
      <c r="DB900">
        <v>0</v>
      </c>
      <c r="DC900" t="str">
        <f t="shared" si="1121"/>
        <v>0</v>
      </c>
      <c r="DD900">
        <v>1</v>
      </c>
      <c r="DE900">
        <v>0</v>
      </c>
      <c r="DF900">
        <v>0</v>
      </c>
      <c r="DG900">
        <v>0</v>
      </c>
      <c r="DI900">
        <v>1</v>
      </c>
      <c r="DJ900" t="str">
        <f t="shared" si="1122"/>
        <v>UpstreamInput</v>
      </c>
      <c r="DK900" t="str">
        <f t="shared" si="1123"/>
        <v>Upstream</v>
      </c>
      <c r="DL900">
        <f t="shared" si="1124"/>
        <v>0</v>
      </c>
      <c r="DM900">
        <f t="shared" si="1125"/>
        <v>0</v>
      </c>
      <c r="DN900">
        <f t="shared" si="1126"/>
        <v>0</v>
      </c>
      <c r="DO900">
        <v>0</v>
      </c>
      <c r="DP900">
        <v>0</v>
      </c>
      <c r="DQ900">
        <v>0</v>
      </c>
      <c r="DR900">
        <v>0</v>
      </c>
      <c r="DS900">
        <v>0</v>
      </c>
      <c r="DT900">
        <f t="shared" si="1127"/>
        <v>0</v>
      </c>
      <c r="DU900" s="143" t="s">
        <v>961</v>
      </c>
      <c r="DV900">
        <v>0</v>
      </c>
      <c r="DW900">
        <v>0</v>
      </c>
      <c r="DX900">
        <v>0</v>
      </c>
      <c r="DY900">
        <v>0</v>
      </c>
      <c r="DZ900">
        <v>0</v>
      </c>
      <c r="EA900" s="143">
        <v>0</v>
      </c>
      <c r="EB900">
        <v>1</v>
      </c>
      <c r="EC900">
        <v>0</v>
      </c>
      <c r="ED900">
        <v>0</v>
      </c>
      <c r="EE900">
        <v>0</v>
      </c>
      <c r="EF900">
        <v>0</v>
      </c>
      <c r="EG900">
        <v>0</v>
      </c>
      <c r="EH900">
        <v>0</v>
      </c>
      <c r="EI900" s="2">
        <v>0</v>
      </c>
      <c r="EK900" t="str">
        <f t="shared" si="1128"/>
        <v/>
      </c>
      <c r="EL900" t="str">
        <f t="shared" si="1129"/>
        <v/>
      </c>
      <c r="EM900" s="2" t="str">
        <f t="shared" si="1100"/>
        <v/>
      </c>
      <c r="EP900" t="str">
        <f>IF(ISNUMBER(BU900),IF(ABS(BU900-[3]QC_indicators!$B$2)&gt;3*[3]QC_indicators!$C$2,"C ratio",IF(ISNUMBER(BY900),IF(ABS(BY900-[3]QC_indicators!$B$1)&gt;3*[3]QC_indicators!$C$1,"DF","no"))),IF(ISNUMBER(BY900),IF(ABS(BY900-[3]QC_indicators!$B$1)&gt;3*[3]QC_indicators!$C$1,"DF","no")))</f>
        <v>DF</v>
      </c>
      <c r="ET900" s="264" t="s">
        <v>3149</v>
      </c>
    </row>
    <row r="901" spans="1:150" ht="15" hidden="1" customHeight="1">
      <c r="A901" s="1" t="s">
        <v>925</v>
      </c>
      <c r="B901" t="s">
        <v>1848</v>
      </c>
      <c r="C901" t="s">
        <v>1849</v>
      </c>
      <c r="D901" t="s">
        <v>1850</v>
      </c>
      <c r="E901" t="s">
        <v>1851</v>
      </c>
      <c r="F901" t="s">
        <v>1852</v>
      </c>
      <c r="G901" t="s">
        <v>931</v>
      </c>
      <c r="H901" t="s">
        <v>254</v>
      </c>
      <c r="I901">
        <v>2019</v>
      </c>
      <c r="J901">
        <v>8</v>
      </c>
      <c r="K901" t="s">
        <v>1853</v>
      </c>
      <c r="M901" t="str">
        <f t="shared" si="1132"/>
        <v>Kogler_2019</v>
      </c>
      <c r="N901" t="s">
        <v>2581</v>
      </c>
      <c r="O901" s="171" t="s">
        <v>513</v>
      </c>
      <c r="P901" t="s">
        <v>959</v>
      </c>
      <c r="Q901" t="s">
        <v>389</v>
      </c>
      <c r="R901" s="262" t="s">
        <v>223</v>
      </c>
      <c r="S901" s="1" t="s">
        <v>1866</v>
      </c>
      <c r="T901" t="s">
        <v>1855</v>
      </c>
      <c r="U901" t="s">
        <v>1860</v>
      </c>
      <c r="V901">
        <v>0</v>
      </c>
      <c r="W901">
        <v>0</v>
      </c>
      <c r="X901">
        <v>0</v>
      </c>
      <c r="Y901">
        <v>0</v>
      </c>
      <c r="Z901">
        <v>0</v>
      </c>
      <c r="AA901">
        <v>0</v>
      </c>
      <c r="AB901">
        <v>0</v>
      </c>
      <c r="AC901">
        <v>0</v>
      </c>
      <c r="AD901">
        <v>0</v>
      </c>
      <c r="AE901">
        <v>0</v>
      </c>
      <c r="AF901">
        <v>1</v>
      </c>
      <c r="AG901">
        <v>0</v>
      </c>
      <c r="AH901">
        <v>0</v>
      </c>
      <c r="AI901">
        <v>0</v>
      </c>
      <c r="AJ901">
        <v>0</v>
      </c>
      <c r="AK901">
        <v>0</v>
      </c>
      <c r="AL901">
        <v>0</v>
      </c>
      <c r="AM901">
        <v>0</v>
      </c>
      <c r="AN901">
        <v>0</v>
      </c>
      <c r="AO901">
        <v>0</v>
      </c>
      <c r="AP901">
        <v>0</v>
      </c>
      <c r="AQ901">
        <v>0</v>
      </c>
      <c r="AR901">
        <v>0</v>
      </c>
      <c r="AS901">
        <v>0</v>
      </c>
      <c r="AT901">
        <v>0</v>
      </c>
      <c r="AU901">
        <v>0</v>
      </c>
      <c r="AV901">
        <v>0</v>
      </c>
      <c r="AW901">
        <v>0</v>
      </c>
      <c r="AX901" s="141">
        <f t="shared" si="1102"/>
        <v>1</v>
      </c>
      <c r="AY901" s="141">
        <f t="shared" si="1103"/>
        <v>1</v>
      </c>
      <c r="AZ901">
        <f t="shared" si="1104"/>
        <v>0</v>
      </c>
      <c r="BA901">
        <f t="shared" si="1105"/>
        <v>1</v>
      </c>
      <c r="BB901">
        <f t="shared" si="1106"/>
        <v>0</v>
      </c>
      <c r="BC901">
        <f t="shared" si="1107"/>
        <v>0</v>
      </c>
      <c r="BD901">
        <f t="shared" si="1108"/>
        <v>0</v>
      </c>
      <c r="BE901" t="str">
        <f t="array" ref="BE901">IF(AY901=1,INDEX($V$7:$AL$7,MATCH(TRUE,INDEX($V901:$AW901&lt;&gt;0,),0)),IF(AY901=0,INDEX($AM$7:$AW$7,MATCH(1,$AM901:$AW901,0)),IF(BF901="Multiple strategies","mixed drivers",IF(BF901="Supply chain","multiple supply","multiple silviculture"))))</f>
        <v>supply chain organization</v>
      </c>
      <c r="BF901" s="2" t="str" cm="1">
        <f t="array" ref="BF901">IF(COUNTIF(AZ901:BB901,"&lt;&gt;0")=1,INDEX($V$4:$AW$4,MATCH(TRUE,INDEX($V901:$AW901&lt;&gt;0,),0)),IF(COUNTIF(AZ901:BB901,"&lt;&gt;0")=0,INDEX($AM$4:$AW$4,MATCH(1,$AM901:$AW901,0)),"Multiple strategies"))</f>
        <v>Supply chain</v>
      </c>
      <c r="BG901" s="1" t="s">
        <v>321</v>
      </c>
      <c r="BH901" t="s">
        <v>1857</v>
      </c>
      <c r="BI901" t="s">
        <v>611</v>
      </c>
      <c r="BJ901" t="s">
        <v>498</v>
      </c>
      <c r="BK901">
        <v>35082</v>
      </c>
      <c r="BL901">
        <v>38360</v>
      </c>
      <c r="BM901">
        <v>1.0934382304315604</v>
      </c>
      <c r="BN901">
        <f t="shared" si="1109"/>
        <v>3278</v>
      </c>
      <c r="BO901">
        <f t="shared" si="1130"/>
        <v>3278</v>
      </c>
      <c r="BP901" t="s">
        <v>395</v>
      </c>
      <c r="BQ901" t="s">
        <v>1858</v>
      </c>
      <c r="BR901" s="264" t="s">
        <v>3148</v>
      </c>
      <c r="BS901">
        <v>541</v>
      </c>
      <c r="BT901">
        <v>665</v>
      </c>
      <c r="BU901" s="144">
        <v>1.2292051756007394</v>
      </c>
      <c r="BV901" s="152">
        <f t="shared" si="1110"/>
        <v>124</v>
      </c>
      <c r="BX901">
        <f t="shared" si="1131"/>
        <v>124000000</v>
      </c>
      <c r="BY901">
        <f t="shared" si="1099"/>
        <v>37827.943868212322</v>
      </c>
      <c r="BZ901">
        <v>0</v>
      </c>
      <c r="CA901">
        <v>0</v>
      </c>
      <c r="CB901">
        <v>0</v>
      </c>
      <c r="CC901">
        <v>0</v>
      </c>
      <c r="CD901">
        <v>0</v>
      </c>
      <c r="CE901">
        <v>0</v>
      </c>
      <c r="CF901">
        <v>0</v>
      </c>
      <c r="CG901">
        <v>0</v>
      </c>
      <c r="CH901">
        <v>0</v>
      </c>
      <c r="CI901">
        <v>0</v>
      </c>
      <c r="CJ901">
        <v>0</v>
      </c>
      <c r="CK901">
        <v>0</v>
      </c>
      <c r="CL901">
        <v>0</v>
      </c>
      <c r="CM901">
        <v>0</v>
      </c>
      <c r="CN901" t="str">
        <f t="shared" si="1111"/>
        <v>refOK</v>
      </c>
      <c r="CO901">
        <f t="shared" si="1112"/>
        <v>35082</v>
      </c>
      <c r="CP901">
        <f t="shared" si="1113"/>
        <v>38360</v>
      </c>
      <c r="CQ901">
        <f t="shared" si="1114"/>
        <v>3278</v>
      </c>
      <c r="CR901">
        <f t="shared" si="1115"/>
        <v>-541</v>
      </c>
      <c r="CS901">
        <f t="shared" si="1116"/>
        <v>-665</v>
      </c>
      <c r="CT901">
        <f t="shared" si="1117"/>
        <v>-124000000</v>
      </c>
      <c r="CU901">
        <f t="shared" si="1118"/>
        <v>-37827.943868212322</v>
      </c>
      <c r="CV901" s="2">
        <f t="shared" si="1119"/>
        <v>-0.22920517560073936</v>
      </c>
      <c r="CW901" s="1" t="s">
        <v>1202</v>
      </c>
      <c r="CX901" t="str">
        <f t="shared" si="1120"/>
        <v>reg</v>
      </c>
      <c r="CY901" t="s">
        <v>666</v>
      </c>
      <c r="CZ901">
        <v>0</v>
      </c>
      <c r="DA901">
        <v>0</v>
      </c>
      <c r="DB901">
        <v>0</v>
      </c>
      <c r="DC901" t="str">
        <f t="shared" si="1121"/>
        <v>0</v>
      </c>
      <c r="DD901">
        <v>1</v>
      </c>
      <c r="DE901">
        <v>0</v>
      </c>
      <c r="DF901">
        <v>0</v>
      </c>
      <c r="DG901">
        <v>0</v>
      </c>
      <c r="DI901">
        <v>1</v>
      </c>
      <c r="DJ901" t="str">
        <f t="shared" si="1122"/>
        <v>UpstreamInput</v>
      </c>
      <c r="DK901" t="str">
        <f t="shared" si="1123"/>
        <v>Upstream</v>
      </c>
      <c r="DL901">
        <f t="shared" si="1124"/>
        <v>0</v>
      </c>
      <c r="DM901">
        <f t="shared" si="1125"/>
        <v>0</v>
      </c>
      <c r="DN901">
        <f t="shared" si="1126"/>
        <v>0</v>
      </c>
      <c r="DO901">
        <v>0</v>
      </c>
      <c r="DP901">
        <v>0</v>
      </c>
      <c r="DQ901">
        <v>0</v>
      </c>
      <c r="DR901">
        <v>0</v>
      </c>
      <c r="DS901">
        <v>0</v>
      </c>
      <c r="DT901">
        <f t="shared" si="1127"/>
        <v>0</v>
      </c>
      <c r="DU901" s="143" t="s">
        <v>961</v>
      </c>
      <c r="DV901">
        <v>0</v>
      </c>
      <c r="DW901">
        <v>0</v>
      </c>
      <c r="DX901">
        <v>0</v>
      </c>
      <c r="DY901">
        <v>0</v>
      </c>
      <c r="DZ901">
        <v>0</v>
      </c>
      <c r="EA901" s="143">
        <v>0</v>
      </c>
      <c r="EB901">
        <v>1</v>
      </c>
      <c r="EC901">
        <v>0</v>
      </c>
      <c r="ED901">
        <v>0</v>
      </c>
      <c r="EE901">
        <v>0</v>
      </c>
      <c r="EF901">
        <v>0</v>
      </c>
      <c r="EG901">
        <v>0</v>
      </c>
      <c r="EH901">
        <v>0</v>
      </c>
      <c r="EI901" s="2">
        <v>0</v>
      </c>
      <c r="EK901" t="str">
        <f t="shared" si="1128"/>
        <v/>
      </c>
      <c r="EL901" t="str">
        <f t="shared" si="1129"/>
        <v/>
      </c>
      <c r="EM901" s="2" t="str">
        <f t="shared" si="1100"/>
        <v/>
      </c>
      <c r="EP901" t="str">
        <f>IF(ISNUMBER(BU901),IF(ABS(BU901-[3]QC_indicators!$B$2)&gt;3*[3]QC_indicators!$C$2,"C ratio",IF(ISNUMBER(BY901),IF(ABS(BY901-[3]QC_indicators!$B$1)&gt;3*[3]QC_indicators!$C$1,"DF","no"))),IF(ISNUMBER(BY901),IF(ABS(BY901-[3]QC_indicators!$B$1)&gt;3*[3]QC_indicators!$C$1,"DF","no")))</f>
        <v>DF</v>
      </c>
      <c r="ET901" s="264" t="s">
        <v>3149</v>
      </c>
    </row>
    <row r="902" spans="1:150" ht="15" hidden="1" customHeight="1">
      <c r="A902" s="1" t="s">
        <v>925</v>
      </c>
      <c r="B902" t="s">
        <v>1848</v>
      </c>
      <c r="C902" t="s">
        <v>1849</v>
      </c>
      <c r="D902" t="s">
        <v>1850</v>
      </c>
      <c r="E902" t="s">
        <v>1851</v>
      </c>
      <c r="F902" t="s">
        <v>1852</v>
      </c>
      <c r="G902" t="s">
        <v>931</v>
      </c>
      <c r="H902" t="s">
        <v>254</v>
      </c>
      <c r="I902">
        <v>2019</v>
      </c>
      <c r="J902">
        <v>8</v>
      </c>
      <c r="K902" t="s">
        <v>1853</v>
      </c>
      <c r="M902" t="str">
        <f t="shared" si="1132"/>
        <v>Kogler_2019</v>
      </c>
      <c r="N902" t="s">
        <v>2581</v>
      </c>
      <c r="O902" s="171" t="s">
        <v>513</v>
      </c>
      <c r="P902" t="s">
        <v>959</v>
      </c>
      <c r="Q902" t="s">
        <v>389</v>
      </c>
      <c r="R902" s="262" t="s">
        <v>223</v>
      </c>
      <c r="S902" s="1" t="s">
        <v>1866</v>
      </c>
      <c r="T902" t="s">
        <v>1855</v>
      </c>
      <c r="U902" t="s">
        <v>1867</v>
      </c>
      <c r="V902">
        <v>0</v>
      </c>
      <c r="W902">
        <v>0</v>
      </c>
      <c r="X902">
        <v>0</v>
      </c>
      <c r="Y902">
        <v>0</v>
      </c>
      <c r="Z902">
        <v>0</v>
      </c>
      <c r="AA902">
        <v>0</v>
      </c>
      <c r="AB902">
        <v>0</v>
      </c>
      <c r="AC902">
        <v>0</v>
      </c>
      <c r="AD902">
        <v>0</v>
      </c>
      <c r="AE902">
        <v>0</v>
      </c>
      <c r="AF902">
        <v>1</v>
      </c>
      <c r="AG902">
        <v>0</v>
      </c>
      <c r="AH902">
        <v>0</v>
      </c>
      <c r="AI902">
        <v>0</v>
      </c>
      <c r="AJ902">
        <v>0</v>
      </c>
      <c r="AK902">
        <v>0</v>
      </c>
      <c r="AL902">
        <v>0</v>
      </c>
      <c r="AM902">
        <v>0</v>
      </c>
      <c r="AN902">
        <v>0</v>
      </c>
      <c r="AO902">
        <v>0</v>
      </c>
      <c r="AP902">
        <v>0</v>
      </c>
      <c r="AQ902">
        <v>0</v>
      </c>
      <c r="AR902">
        <v>0</v>
      </c>
      <c r="AS902">
        <v>0</v>
      </c>
      <c r="AT902">
        <v>0</v>
      </c>
      <c r="AU902">
        <v>0</v>
      </c>
      <c r="AV902">
        <v>0</v>
      </c>
      <c r="AW902">
        <v>0</v>
      </c>
      <c r="AX902" s="141">
        <f t="shared" si="1102"/>
        <v>1</v>
      </c>
      <c r="AY902" s="141">
        <f t="shared" si="1103"/>
        <v>1</v>
      </c>
      <c r="AZ902">
        <f t="shared" si="1104"/>
        <v>0</v>
      </c>
      <c r="BA902">
        <f t="shared" si="1105"/>
        <v>1</v>
      </c>
      <c r="BB902">
        <f t="shared" si="1106"/>
        <v>0</v>
      </c>
      <c r="BC902">
        <f t="shared" si="1107"/>
        <v>0</v>
      </c>
      <c r="BD902">
        <f t="shared" si="1108"/>
        <v>0</v>
      </c>
      <c r="BE902" t="str">
        <f t="array" ref="BE902">IF(AY902=1,INDEX($V$7:$AL$7,MATCH(TRUE,INDEX($V902:$AW902&lt;&gt;0,),0)),IF(AY902=0,INDEX($AM$7:$AW$7,MATCH(1,$AM902:$AW902,0)),IF(BF902="Multiple strategies","mixed drivers",IF(BF902="Supply chain","multiple supply","multiple silviculture"))))</f>
        <v>supply chain organization</v>
      </c>
      <c r="BF902" s="2" t="str" cm="1">
        <f t="array" ref="BF902">IF(COUNTIF(AZ902:BB902,"&lt;&gt;0")=1,INDEX($V$4:$AW$4,MATCH(TRUE,INDEX($V902:$AW902&lt;&gt;0,),0)),IF(COUNTIF(AZ902:BB902,"&lt;&gt;0")=0,INDEX($AM$4:$AW$4,MATCH(1,$AM902:$AW902,0)),"Multiple strategies"))</f>
        <v>Supply chain</v>
      </c>
      <c r="BG902" s="1" t="s">
        <v>321</v>
      </c>
      <c r="BH902" t="s">
        <v>1857</v>
      </c>
      <c r="BI902" t="s">
        <v>611</v>
      </c>
      <c r="BJ902" t="s">
        <v>498</v>
      </c>
      <c r="BK902">
        <v>35082</v>
      </c>
      <c r="BL902">
        <v>37628</v>
      </c>
      <c r="BM902">
        <v>1.0725728293711876</v>
      </c>
      <c r="BN902">
        <f t="shared" si="1109"/>
        <v>2546</v>
      </c>
      <c r="BO902">
        <f t="shared" si="1130"/>
        <v>2546</v>
      </c>
      <c r="BP902" t="s">
        <v>395</v>
      </c>
      <c r="BQ902" t="s">
        <v>1858</v>
      </c>
      <c r="BR902" s="264" t="s">
        <v>3148</v>
      </c>
      <c r="BS902">
        <v>541</v>
      </c>
      <c r="BT902">
        <v>721</v>
      </c>
      <c r="BU902" s="144">
        <v>1.33271719038817</v>
      </c>
      <c r="BV902" s="152">
        <f t="shared" si="1110"/>
        <v>180</v>
      </c>
      <c r="BX902">
        <f t="shared" si="1131"/>
        <v>180000000</v>
      </c>
      <c r="BY902">
        <f t="shared" si="1099"/>
        <v>70699.135899450121</v>
      </c>
      <c r="BZ902">
        <v>0</v>
      </c>
      <c r="CA902">
        <v>0</v>
      </c>
      <c r="CB902">
        <v>0</v>
      </c>
      <c r="CC902">
        <v>0</v>
      </c>
      <c r="CD902">
        <v>0</v>
      </c>
      <c r="CE902">
        <v>0</v>
      </c>
      <c r="CF902">
        <v>0</v>
      </c>
      <c r="CG902">
        <v>0</v>
      </c>
      <c r="CH902">
        <v>0</v>
      </c>
      <c r="CI902">
        <v>0</v>
      </c>
      <c r="CJ902">
        <v>0</v>
      </c>
      <c r="CK902">
        <v>0</v>
      </c>
      <c r="CL902">
        <v>0</v>
      </c>
      <c r="CM902">
        <v>0</v>
      </c>
      <c r="CN902" t="str">
        <f t="shared" si="1111"/>
        <v>refOK</v>
      </c>
      <c r="CO902">
        <f t="shared" si="1112"/>
        <v>35082</v>
      </c>
      <c r="CP902">
        <f t="shared" si="1113"/>
        <v>37628</v>
      </c>
      <c r="CQ902">
        <f t="shared" si="1114"/>
        <v>2546</v>
      </c>
      <c r="CR902">
        <f t="shared" si="1115"/>
        <v>-541</v>
      </c>
      <c r="CS902">
        <f t="shared" si="1116"/>
        <v>-721</v>
      </c>
      <c r="CT902">
        <f t="shared" si="1117"/>
        <v>-180000000</v>
      </c>
      <c r="CU902">
        <f t="shared" si="1118"/>
        <v>-70699.135899450121</v>
      </c>
      <c r="CV902" s="2">
        <f t="shared" si="1119"/>
        <v>-0.33271719038817005</v>
      </c>
      <c r="CW902" s="1" t="s">
        <v>1202</v>
      </c>
      <c r="CX902" t="str">
        <f t="shared" si="1120"/>
        <v>reg</v>
      </c>
      <c r="CY902" t="s">
        <v>666</v>
      </c>
      <c r="CZ902">
        <v>0</v>
      </c>
      <c r="DA902">
        <v>0</v>
      </c>
      <c r="DB902">
        <v>0</v>
      </c>
      <c r="DC902" t="str">
        <f t="shared" si="1121"/>
        <v>0</v>
      </c>
      <c r="DD902">
        <v>1</v>
      </c>
      <c r="DE902">
        <v>0</v>
      </c>
      <c r="DF902">
        <v>0</v>
      </c>
      <c r="DG902">
        <v>0</v>
      </c>
      <c r="DI902">
        <v>1</v>
      </c>
      <c r="DJ902" t="str">
        <f t="shared" si="1122"/>
        <v>UpstreamInput</v>
      </c>
      <c r="DK902" t="str">
        <f t="shared" si="1123"/>
        <v>Upstream</v>
      </c>
      <c r="DL902">
        <f t="shared" si="1124"/>
        <v>0</v>
      </c>
      <c r="DM902">
        <f t="shared" si="1125"/>
        <v>0</v>
      </c>
      <c r="DN902">
        <f t="shared" si="1126"/>
        <v>0</v>
      </c>
      <c r="DO902">
        <v>0</v>
      </c>
      <c r="DP902">
        <v>0</v>
      </c>
      <c r="DQ902">
        <v>0</v>
      </c>
      <c r="DR902">
        <v>0</v>
      </c>
      <c r="DS902">
        <v>0</v>
      </c>
      <c r="DT902">
        <f t="shared" si="1127"/>
        <v>0</v>
      </c>
      <c r="DU902" s="143" t="s">
        <v>961</v>
      </c>
      <c r="DV902">
        <v>0</v>
      </c>
      <c r="DW902">
        <v>0</v>
      </c>
      <c r="DX902">
        <v>0</v>
      </c>
      <c r="DY902">
        <v>0</v>
      </c>
      <c r="DZ902">
        <v>0</v>
      </c>
      <c r="EA902" s="143">
        <v>0</v>
      </c>
      <c r="EB902">
        <v>1</v>
      </c>
      <c r="EC902">
        <v>0</v>
      </c>
      <c r="ED902">
        <v>0</v>
      </c>
      <c r="EE902">
        <v>0</v>
      </c>
      <c r="EF902">
        <v>0</v>
      </c>
      <c r="EG902">
        <v>0</v>
      </c>
      <c r="EH902">
        <v>0</v>
      </c>
      <c r="EI902" s="2">
        <v>0</v>
      </c>
      <c r="EK902" t="str">
        <f t="shared" si="1128"/>
        <v/>
      </c>
      <c r="EL902" t="str">
        <f t="shared" si="1129"/>
        <v/>
      </c>
      <c r="EM902" s="2" t="str">
        <f t="shared" si="1100"/>
        <v/>
      </c>
      <c r="EP902" t="str">
        <f>IF(ISNUMBER(BU902),IF(ABS(BU902-[3]QC_indicators!$B$2)&gt;3*[3]QC_indicators!$C$2,"C ratio",IF(ISNUMBER(BY902),IF(ABS(BY902-[3]QC_indicators!$B$1)&gt;3*[3]QC_indicators!$C$1,"DF","no"))),IF(ISNUMBER(BY902),IF(ABS(BY902-[3]QC_indicators!$B$1)&gt;3*[3]QC_indicators!$C$1,"DF","no")))</f>
        <v>DF</v>
      </c>
      <c r="ET902" s="264" t="s">
        <v>3149</v>
      </c>
    </row>
    <row r="903" spans="1:150" ht="15" hidden="1" customHeight="1">
      <c r="A903" s="1" t="s">
        <v>925</v>
      </c>
      <c r="B903" t="s">
        <v>1848</v>
      </c>
      <c r="C903" t="s">
        <v>1849</v>
      </c>
      <c r="D903" t="s">
        <v>1850</v>
      </c>
      <c r="E903" t="s">
        <v>1851</v>
      </c>
      <c r="F903" t="s">
        <v>1852</v>
      </c>
      <c r="G903" t="s">
        <v>931</v>
      </c>
      <c r="H903" t="s">
        <v>254</v>
      </c>
      <c r="I903">
        <v>2019</v>
      </c>
      <c r="J903">
        <v>8</v>
      </c>
      <c r="K903" t="s">
        <v>1853</v>
      </c>
      <c r="M903" t="str">
        <f t="shared" si="1132"/>
        <v>Kogler_2019</v>
      </c>
      <c r="N903" t="s">
        <v>2581</v>
      </c>
      <c r="O903" s="171" t="s">
        <v>513</v>
      </c>
      <c r="P903" t="s">
        <v>959</v>
      </c>
      <c r="Q903" t="s">
        <v>389</v>
      </c>
      <c r="R903" s="262" t="s">
        <v>223</v>
      </c>
      <c r="S903" s="1" t="s">
        <v>1866</v>
      </c>
      <c r="T903" t="s">
        <v>1856</v>
      </c>
      <c r="U903" t="s">
        <v>1864</v>
      </c>
      <c r="V903">
        <v>0</v>
      </c>
      <c r="W903">
        <v>0</v>
      </c>
      <c r="X903">
        <v>0</v>
      </c>
      <c r="Y903">
        <v>0</v>
      </c>
      <c r="Z903">
        <v>0</v>
      </c>
      <c r="AA903">
        <v>0</v>
      </c>
      <c r="AB903">
        <v>0</v>
      </c>
      <c r="AC903">
        <v>0</v>
      </c>
      <c r="AD903">
        <v>0</v>
      </c>
      <c r="AE903">
        <v>0</v>
      </c>
      <c r="AF903">
        <v>1</v>
      </c>
      <c r="AG903">
        <v>0</v>
      </c>
      <c r="AH903">
        <v>0</v>
      </c>
      <c r="AI903">
        <v>0</v>
      </c>
      <c r="AJ903">
        <v>0</v>
      </c>
      <c r="AK903">
        <v>0</v>
      </c>
      <c r="AL903">
        <v>0</v>
      </c>
      <c r="AM903">
        <v>0</v>
      </c>
      <c r="AN903">
        <v>0</v>
      </c>
      <c r="AO903">
        <v>0</v>
      </c>
      <c r="AP903">
        <v>0</v>
      </c>
      <c r="AQ903">
        <v>0</v>
      </c>
      <c r="AR903">
        <v>0</v>
      </c>
      <c r="AS903">
        <v>0</v>
      </c>
      <c r="AT903">
        <v>0</v>
      </c>
      <c r="AU903">
        <v>0</v>
      </c>
      <c r="AV903">
        <v>0</v>
      </c>
      <c r="AW903">
        <v>0</v>
      </c>
      <c r="AX903" s="141">
        <f t="shared" si="1102"/>
        <v>1</v>
      </c>
      <c r="AY903" s="141">
        <f t="shared" si="1103"/>
        <v>1</v>
      </c>
      <c r="AZ903">
        <f t="shared" si="1104"/>
        <v>0</v>
      </c>
      <c r="BA903">
        <f t="shared" si="1105"/>
        <v>1</v>
      </c>
      <c r="BB903">
        <f t="shared" si="1106"/>
        <v>0</v>
      </c>
      <c r="BC903">
        <f t="shared" si="1107"/>
        <v>0</v>
      </c>
      <c r="BD903">
        <f t="shared" si="1108"/>
        <v>0</v>
      </c>
      <c r="BE903" t="str">
        <f t="array" ref="BE903">IF(AY903=1,INDEX($V$7:$AL$7,MATCH(TRUE,INDEX($V903:$AW903&lt;&gt;0,),0)),IF(AY903=0,INDEX($AM$7:$AW$7,MATCH(1,$AM903:$AW903,0)),IF(BF903="Multiple strategies","mixed drivers",IF(BF903="Supply chain","multiple supply","multiple silviculture"))))</f>
        <v>supply chain organization</v>
      </c>
      <c r="BF903" s="2" t="str" cm="1">
        <f t="array" ref="BF903">IF(COUNTIF(AZ903:BB903,"&lt;&gt;0")=1,INDEX($V$4:$AW$4,MATCH(TRUE,INDEX($V903:$AW903&lt;&gt;0,),0)),IF(COUNTIF(AZ903:BB903,"&lt;&gt;0")=0,INDEX($AM$4:$AW$4,MATCH(1,$AM903:$AW903,0)),"Multiple strategies"))</f>
        <v>Supply chain</v>
      </c>
      <c r="BG903" s="1" t="s">
        <v>321</v>
      </c>
      <c r="BH903" t="s">
        <v>1857</v>
      </c>
      <c r="BI903" t="s">
        <v>611</v>
      </c>
      <c r="BJ903" t="s">
        <v>498</v>
      </c>
      <c r="BK903">
        <v>37563</v>
      </c>
      <c r="BL903">
        <v>39771</v>
      </c>
      <c r="BM903">
        <v>1.0587812475041929</v>
      </c>
      <c r="BN903">
        <f t="shared" si="1109"/>
        <v>2208</v>
      </c>
      <c r="BO903">
        <f t="shared" si="1130"/>
        <v>2208</v>
      </c>
      <c r="BP903" t="s">
        <v>395</v>
      </c>
      <c r="BQ903" t="s">
        <v>1858</v>
      </c>
      <c r="BR903" s="264" t="s">
        <v>3148</v>
      </c>
      <c r="BS903">
        <v>579</v>
      </c>
      <c r="BT903">
        <v>762</v>
      </c>
      <c r="BU903" s="144">
        <v>1.3160621761658031</v>
      </c>
      <c r="BV903" s="152">
        <f t="shared" si="1110"/>
        <v>183</v>
      </c>
      <c r="BX903">
        <f t="shared" si="1131"/>
        <v>183000000</v>
      </c>
      <c r="BY903">
        <f t="shared" si="1099"/>
        <v>82880.434782608689</v>
      </c>
      <c r="BZ903">
        <v>0</v>
      </c>
      <c r="CA903">
        <v>0</v>
      </c>
      <c r="CB903">
        <v>0</v>
      </c>
      <c r="CC903">
        <v>0</v>
      </c>
      <c r="CD903">
        <v>0</v>
      </c>
      <c r="CE903">
        <v>0</v>
      </c>
      <c r="CF903">
        <v>0</v>
      </c>
      <c r="CG903">
        <v>0</v>
      </c>
      <c r="CH903">
        <v>0</v>
      </c>
      <c r="CI903">
        <v>0</v>
      </c>
      <c r="CJ903">
        <v>0</v>
      </c>
      <c r="CK903">
        <v>0</v>
      </c>
      <c r="CL903">
        <v>0</v>
      </c>
      <c r="CM903">
        <v>0</v>
      </c>
      <c r="CN903" t="str">
        <f t="shared" si="1111"/>
        <v>refOK</v>
      </c>
      <c r="CO903">
        <f t="shared" si="1112"/>
        <v>37563</v>
      </c>
      <c r="CP903">
        <f t="shared" si="1113"/>
        <v>39771</v>
      </c>
      <c r="CQ903">
        <f t="shared" si="1114"/>
        <v>2208</v>
      </c>
      <c r="CR903">
        <f t="shared" si="1115"/>
        <v>-579</v>
      </c>
      <c r="CS903">
        <f t="shared" si="1116"/>
        <v>-762</v>
      </c>
      <c r="CT903">
        <f t="shared" si="1117"/>
        <v>-183000000</v>
      </c>
      <c r="CU903">
        <f t="shared" si="1118"/>
        <v>-82880.434782608689</v>
      </c>
      <c r="CV903" s="2">
        <f t="shared" si="1119"/>
        <v>-0.31606217616580312</v>
      </c>
      <c r="CW903" s="1" t="s">
        <v>1202</v>
      </c>
      <c r="CX903" t="str">
        <f t="shared" si="1120"/>
        <v>reg</v>
      </c>
      <c r="CY903" t="s">
        <v>666</v>
      </c>
      <c r="CZ903">
        <v>0</v>
      </c>
      <c r="DA903">
        <v>0</v>
      </c>
      <c r="DB903">
        <v>0</v>
      </c>
      <c r="DC903" t="str">
        <f t="shared" si="1121"/>
        <v>0</v>
      </c>
      <c r="DD903">
        <v>1</v>
      </c>
      <c r="DE903">
        <v>0</v>
      </c>
      <c r="DF903">
        <v>0</v>
      </c>
      <c r="DG903">
        <v>0</v>
      </c>
      <c r="DI903">
        <v>1</v>
      </c>
      <c r="DJ903" t="str">
        <f t="shared" si="1122"/>
        <v>UpstreamInput</v>
      </c>
      <c r="DK903" t="str">
        <f t="shared" si="1123"/>
        <v>Upstream</v>
      </c>
      <c r="DL903">
        <f t="shared" si="1124"/>
        <v>0</v>
      </c>
      <c r="DM903">
        <f t="shared" si="1125"/>
        <v>0</v>
      </c>
      <c r="DN903">
        <f t="shared" si="1126"/>
        <v>0</v>
      </c>
      <c r="DO903">
        <v>0</v>
      </c>
      <c r="DP903">
        <v>0</v>
      </c>
      <c r="DQ903">
        <v>0</v>
      </c>
      <c r="DR903">
        <v>0</v>
      </c>
      <c r="DS903">
        <v>0</v>
      </c>
      <c r="DT903">
        <f t="shared" si="1127"/>
        <v>0</v>
      </c>
      <c r="DU903" s="143" t="s">
        <v>961</v>
      </c>
      <c r="DV903">
        <v>0</v>
      </c>
      <c r="DW903">
        <v>0</v>
      </c>
      <c r="DX903">
        <v>0</v>
      </c>
      <c r="DY903">
        <v>0</v>
      </c>
      <c r="DZ903">
        <v>0</v>
      </c>
      <c r="EA903" s="143">
        <v>0</v>
      </c>
      <c r="EB903">
        <v>1</v>
      </c>
      <c r="EC903">
        <v>0</v>
      </c>
      <c r="ED903">
        <v>0</v>
      </c>
      <c r="EE903">
        <v>0</v>
      </c>
      <c r="EF903">
        <v>0</v>
      </c>
      <c r="EG903">
        <v>0</v>
      </c>
      <c r="EH903">
        <v>0</v>
      </c>
      <c r="EI903" s="2">
        <v>0</v>
      </c>
      <c r="EK903" t="str">
        <f t="shared" si="1128"/>
        <v/>
      </c>
      <c r="EL903" t="str">
        <f t="shared" si="1129"/>
        <v/>
      </c>
      <c r="EM903" s="2" t="str">
        <f t="shared" si="1100"/>
        <v/>
      </c>
      <c r="EP903" t="str">
        <f>IF(ISNUMBER(BU903),IF(ABS(BU903-[3]QC_indicators!$B$2)&gt;3*[3]QC_indicators!$C$2,"C ratio",IF(ISNUMBER(BY903),IF(ABS(BY903-[3]QC_indicators!$B$1)&gt;3*[3]QC_indicators!$C$1,"DF","no"))),IF(ISNUMBER(BY903),IF(ABS(BY903-[3]QC_indicators!$B$1)&gt;3*[3]QC_indicators!$C$1,"DF","no")))</f>
        <v>DF</v>
      </c>
      <c r="ET903" s="264" t="s">
        <v>3149</v>
      </c>
    </row>
    <row r="904" spans="1:150" ht="15" hidden="1" customHeight="1">
      <c r="A904" s="1" t="s">
        <v>4832</v>
      </c>
      <c r="B904" t="s">
        <v>4833</v>
      </c>
      <c r="C904" t="s">
        <v>4834</v>
      </c>
      <c r="D904" t="s">
        <v>4835</v>
      </c>
      <c r="E904" t="s">
        <v>4836</v>
      </c>
      <c r="F904" t="s">
        <v>4837</v>
      </c>
      <c r="G904" t="s">
        <v>4838</v>
      </c>
      <c r="H904" t="s">
        <v>254</v>
      </c>
      <c r="I904">
        <v>2020</v>
      </c>
      <c r="J904">
        <v>18</v>
      </c>
      <c r="K904" t="s">
        <v>4839</v>
      </c>
      <c r="M904" t="str">
        <f t="shared" si="1132"/>
        <v>Kohl_2020</v>
      </c>
      <c r="N904" t="s">
        <v>1351</v>
      </c>
      <c r="O904" s="145" t="s">
        <v>513</v>
      </c>
      <c r="Q904" s="311" t="s">
        <v>256</v>
      </c>
      <c r="R904" s="312"/>
      <c r="AX904" s="141"/>
      <c r="AY904" s="141"/>
      <c r="BE904"/>
      <c r="BF904" s="2"/>
      <c r="BU904" s="144"/>
      <c r="BY904" t="str">
        <f t="shared" si="1099"/>
        <v/>
      </c>
      <c r="CN904"/>
      <c r="CO904"/>
      <c r="CP904"/>
      <c r="CQ904"/>
      <c r="CR904"/>
      <c r="CS904"/>
      <c r="CT904"/>
      <c r="CU904"/>
      <c r="CV904" s="2"/>
      <c r="CX904"/>
      <c r="DC904"/>
      <c r="DI904"/>
      <c r="DJ904"/>
      <c r="DK904"/>
      <c r="DL904"/>
      <c r="DM904"/>
      <c r="DN904"/>
      <c r="DT904"/>
      <c r="DU904" s="143"/>
      <c r="EK904" t="str">
        <f>IF(AND(AND(AND(OR($DX904=1,$DW904=1),OR($EC904=1,$EA904=1)),SUM($DV904:$DZ904,$EF904)&gt;=3),SUM($EA904:$EE904)&gt;=2),"Whole sector","")</f>
        <v/>
      </c>
      <c r="EL904" t="str">
        <f>IF(AND(AND(OR($DX904=1,$DW904=1),AND($EC904=0,$EA904=0)),SUM($DV904:$DZ904,$EF904)&gt;=3),"Ecosystem approach","")</f>
        <v/>
      </c>
      <c r="EM904" s="2" t="str">
        <f t="shared" si="1100"/>
        <v/>
      </c>
      <c r="EO904" t="s">
        <v>450</v>
      </c>
      <c r="EP904" t="b">
        <f>IF(ISNUMBER(BU904),IF(ABS(BU904-[1]QC_indicators!$B$2)&gt;3*[1]QC_indicators!$C$2,"C ratio",IF(ISNUMBER(BY904),IF(ABS(BY904-[1]QC_indicators!$B$1)&gt;3*[1]QC_indicators!$C$1,"DF","no"))),IF(ISNUMBER(BY904),IF(ABS(BY904-[1]QC_indicators!$B$1)&gt;3*[1]QC_indicators!$C$1,"DF","no")))</f>
        <v>0</v>
      </c>
    </row>
    <row r="905" spans="1:150" ht="15" hidden="1" customHeight="1">
      <c r="A905" s="1" t="s">
        <v>3783</v>
      </c>
      <c r="B905" t="s">
        <v>3784</v>
      </c>
      <c r="C905" t="s">
        <v>3785</v>
      </c>
      <c r="D905" t="s">
        <v>3786</v>
      </c>
      <c r="E905" s="311" t="s">
        <v>3787</v>
      </c>
      <c r="F905" t="s">
        <v>3788</v>
      </c>
      <c r="G905" t="s">
        <v>3789</v>
      </c>
      <c r="H905" t="s">
        <v>3790</v>
      </c>
      <c r="I905">
        <v>2018</v>
      </c>
      <c r="J905">
        <v>17</v>
      </c>
      <c r="K905" t="s">
        <v>3791</v>
      </c>
      <c r="M905" t="str">
        <f t="shared" si="1132"/>
        <v>Kovacic_2018</v>
      </c>
      <c r="N905" s="311" t="s">
        <v>4382</v>
      </c>
      <c r="O905" s="171" t="s">
        <v>225</v>
      </c>
      <c r="P905" t="s">
        <v>513</v>
      </c>
      <c r="Q905" s="311" t="s">
        <v>389</v>
      </c>
      <c r="R905" s="312"/>
      <c r="S905" s="1" t="s">
        <v>3792</v>
      </c>
      <c r="T905" t="s">
        <v>3793</v>
      </c>
      <c r="U905" t="s">
        <v>3794</v>
      </c>
      <c r="V905">
        <v>0</v>
      </c>
      <c r="W905">
        <v>0</v>
      </c>
      <c r="X905">
        <v>0</v>
      </c>
      <c r="Y905">
        <v>0</v>
      </c>
      <c r="Z905">
        <v>0</v>
      </c>
      <c r="AA905">
        <v>0</v>
      </c>
      <c r="AB905">
        <v>0</v>
      </c>
      <c r="AC905">
        <v>0</v>
      </c>
      <c r="AD905">
        <v>0</v>
      </c>
      <c r="AE905">
        <v>0</v>
      </c>
      <c r="AF905">
        <v>0</v>
      </c>
      <c r="AG905">
        <v>0</v>
      </c>
      <c r="AH905">
        <v>0</v>
      </c>
      <c r="AI905">
        <v>0</v>
      </c>
      <c r="AJ905">
        <v>0</v>
      </c>
      <c r="AK905">
        <v>1</v>
      </c>
      <c r="AL905">
        <v>0</v>
      </c>
      <c r="AM905">
        <v>0</v>
      </c>
      <c r="AN905">
        <v>0</v>
      </c>
      <c r="AO905">
        <v>0</v>
      </c>
      <c r="AP905">
        <v>0</v>
      </c>
      <c r="AQ905">
        <v>0</v>
      </c>
      <c r="AR905">
        <v>0</v>
      </c>
      <c r="AS905">
        <v>0</v>
      </c>
      <c r="AT905">
        <v>0</v>
      </c>
      <c r="AU905">
        <v>0</v>
      </c>
      <c r="AV905">
        <v>0</v>
      </c>
      <c r="AW905">
        <v>0</v>
      </c>
      <c r="AX905" s="141">
        <f>COUNTIF(V905:AW905,"&lt;&gt;0")</f>
        <v>1</v>
      </c>
      <c r="AY905" s="141">
        <f>COUNTIF(V905:AL905,"&lt;&gt;0")</f>
        <v>1</v>
      </c>
      <c r="AZ905">
        <f>COUNTIF(V905:AC905,"&lt;&gt;0")</f>
        <v>0</v>
      </c>
      <c r="BA905">
        <f>COUNTIF(AD905:AI905,"&lt;&gt;0")</f>
        <v>0</v>
      </c>
      <c r="BB905">
        <f>COUNTIF(AJ905:AL905,"&lt;&gt;0")</f>
        <v>1</v>
      </c>
      <c r="BC905">
        <f>COUNTIF(AS905:AW905,"&lt;&gt;0")</f>
        <v>0</v>
      </c>
      <c r="BD905">
        <f>COUNTIF(AM905:AR905,"&lt;&gt;0")</f>
        <v>0</v>
      </c>
      <c r="BE905" t="str" cm="1">
        <f t="array" ref="BE905">IF(AY905=1,INDEX($V$7:$AL$7,MATCH(TRUE,INDEX($V905:$AW905&lt;&gt;0,),0)),IF(AY905=0,INDEX($AM$7:$AW$7,MATCH(1,$AM905:$AW905,0)),IF(BF905="Multiple strategies","mixed drivers",IF(BF905="Supply chain","multiple supply","multiple silviculture"))))</f>
        <v>technologies/design switch</v>
      </c>
      <c r="BF905" s="2" t="str" cm="1">
        <f t="array" ref="BF905">IF(COUNTIF(AZ905:BB905,"&lt;&gt;0")=1,INDEX($V$4:$AW$4,MATCH(TRUE,INDEX($V905:$AW905&lt;&gt;0,),0)),IF(COUNTIF(AZ905:BB905,"&lt;&gt;0")=0,INDEX($AM$4:$AW$4,MATCH(1,$AM905:$AW905,0)),"Multiple strategies"))</f>
        <v>Technology</v>
      </c>
      <c r="BG905" s="1" t="s">
        <v>229</v>
      </c>
      <c r="BM905" t="str">
        <f>IFERROR(BL905/BK905,"")</f>
        <v/>
      </c>
      <c r="BP905" t="s">
        <v>395</v>
      </c>
      <c r="BQ905" s="234"/>
      <c r="BR905" s="311" t="s">
        <v>3795</v>
      </c>
      <c r="BS905">
        <v>429</v>
      </c>
      <c r="BT905">
        <v>324</v>
      </c>
      <c r="BU905" s="144">
        <f>BT905/BS905</f>
        <v>0.75524475524475521</v>
      </c>
      <c r="BV905">
        <f>BT905-BS905</f>
        <v>-105</v>
      </c>
      <c r="BX905">
        <f>BV905/1000</f>
        <v>-0.105</v>
      </c>
      <c r="BY905" t="str">
        <f t="shared" si="1099"/>
        <v/>
      </c>
      <c r="BZ905">
        <v>0</v>
      </c>
      <c r="CA905">
        <v>0</v>
      </c>
      <c r="CB905">
        <v>0</v>
      </c>
      <c r="CC905">
        <v>0</v>
      </c>
      <c r="CD905">
        <v>0</v>
      </c>
      <c r="CE905">
        <v>1</v>
      </c>
      <c r="CF905">
        <v>0</v>
      </c>
      <c r="CG905">
        <v>0</v>
      </c>
      <c r="CH905">
        <v>0</v>
      </c>
      <c r="CI905">
        <v>0</v>
      </c>
      <c r="CJ905">
        <v>0</v>
      </c>
      <c r="CK905">
        <v>0</v>
      </c>
      <c r="CL905">
        <v>0</v>
      </c>
      <c r="CM905">
        <v>0</v>
      </c>
      <c r="CN905" t="str">
        <f>IF($BL905&lt;$BK905,"refNeedCorrection","refOK")</f>
        <v>refOK</v>
      </c>
      <c r="CO905"/>
      <c r="CP905"/>
      <c r="CQ905"/>
      <c r="CR905">
        <f>IF($CN905="refOK",$BS905,$BT905)*IF($BP905="Emissions positive",-1,1)</f>
        <v>-429</v>
      </c>
      <c r="CS905">
        <f>IF($CN905="refOK",$BT905,$BS905)*IF($BP905="Emissions positive",-1,1)</f>
        <v>-324</v>
      </c>
      <c r="CT905">
        <f>IF($CN905="refNeedCorrection",-BX905,BX905)*IF($BP905="Emissions positive",-1,1)</f>
        <v>0.105</v>
      </c>
      <c r="CU905" t="str">
        <f>IFERROR(CT905/CQ905,"")</f>
        <v/>
      </c>
      <c r="CV905" s="2">
        <f>IFERROR((CS905-CR905)/ABS(CR905),"")</f>
        <v>0.24475524475524477</v>
      </c>
      <c r="CW905" s="1" t="s">
        <v>3796</v>
      </c>
      <c r="CX905" s="311" t="str">
        <f>IF(OR($CW905="prd",$CW905="std",$CW905="cit"),"loc",IF(OR($CW905="eur",$CW905="reg",$CW905="coy"),"reg",$CW905))</f>
        <v>reg</v>
      </c>
      <c r="CY905" t="s">
        <v>666</v>
      </c>
      <c r="DB905">
        <v>50</v>
      </c>
      <c r="DC905" t="str">
        <f>IF(DB905=0,"0",IF(AND(DB905&gt;=1,DB905&lt;=30),"1-30",IF(AND(DB905&gt;30,DB905&lt;=70),"31-70",IF(AND(DB905&gt;70,DB905&lt;=100),"71-100",IF(DB905&gt;100,"+100")))))</f>
        <v>31-70</v>
      </c>
      <c r="DD905">
        <v>0</v>
      </c>
      <c r="DE905">
        <v>0</v>
      </c>
      <c r="DF905">
        <v>0</v>
      </c>
      <c r="DG905">
        <v>1</v>
      </c>
      <c r="DH905">
        <v>0</v>
      </c>
      <c r="DI905">
        <f>SUM(DD905:DH905)</f>
        <v>1</v>
      </c>
      <c r="DJ905" t="str">
        <f>IF(DI905=1,INDEX($DD$7:$DG$7,MATCH(1,$DD905:$DG905,0)),"mixedProduct")</f>
        <v>TimberInput</v>
      </c>
      <c r="DK905">
        <f t="shared" ref="DK905:DN907" si="1133">IF(DD905=1,DK$7,0)</f>
        <v>0</v>
      </c>
      <c r="DL905">
        <f t="shared" si="1133"/>
        <v>0</v>
      </c>
      <c r="DM905">
        <f t="shared" si="1133"/>
        <v>0</v>
      </c>
      <c r="DN905" t="str">
        <f t="shared" si="1133"/>
        <v>Timber</v>
      </c>
      <c r="DO905">
        <v>0</v>
      </c>
      <c r="DP905">
        <v>0</v>
      </c>
      <c r="DQ905">
        <v>0</v>
      </c>
      <c r="DR905">
        <v>0</v>
      </c>
      <c r="DS905">
        <v>0</v>
      </c>
      <c r="DT905"/>
      <c r="DU905" s="143" t="str">
        <f>IF(DO905=1,"self-calculated DF",IF(DP905=1,"external DF used","explicit C balance"))</f>
        <v>explicit C balance</v>
      </c>
      <c r="DV905">
        <v>0</v>
      </c>
      <c r="DW905">
        <v>0</v>
      </c>
      <c r="DX905">
        <v>0</v>
      </c>
      <c r="DY905">
        <v>0</v>
      </c>
      <c r="DZ905">
        <v>0</v>
      </c>
      <c r="EA905" s="143">
        <v>0</v>
      </c>
      <c r="EB905">
        <v>0</v>
      </c>
      <c r="EC905">
        <v>1</v>
      </c>
      <c r="ED905">
        <v>1</v>
      </c>
      <c r="EE905">
        <v>1</v>
      </c>
      <c r="EF905">
        <v>0</v>
      </c>
      <c r="EG905">
        <v>0</v>
      </c>
      <c r="EH905">
        <v>0</v>
      </c>
      <c r="EI905" s="2">
        <v>0</v>
      </c>
      <c r="EK905" t="str">
        <f>IF(AND(AND(AND(OR($DX905=1,$DW905=1),OR($EC905=1,$EA905=1)),SUM($DV905:$DZ905,$EF905)&gt;=3),SUM($EA905:$EE905)&gt;=2),"Whole sector","")</f>
        <v/>
      </c>
      <c r="EL905" t="str">
        <f>IF(AND(AND(OR($DX905=1,$DW905=1),AND($EC905=0,$EA905=0)),SUM($DV905:$DZ905,$EF905)&gt;=3),"Ecosystem approach","")</f>
        <v/>
      </c>
      <c r="EM905" s="2" t="str">
        <f t="shared" si="1100"/>
        <v>Technology approach</v>
      </c>
      <c r="EP905" t="b">
        <f>IF(ISNUMBER(BU905),IF(ABS(BU905-[1]QC_indicators!$B$2)&gt;3*[1]QC_indicators!$C$2,"C ratio",IF(ISNUMBER(BY905),IF(ABS(BY905-[1]QC_indicators!$B$1)&gt;3*[1]QC_indicators!$C$1,"DF","no"))),IF(ISNUMBER(BY905),IF(ABS(BY905-[1]QC_indicators!$B$1)&gt;3*[1]QC_indicators!$C$1,"DF","no")))</f>
        <v>0</v>
      </c>
    </row>
    <row r="906" spans="1:150" ht="15" hidden="1" customHeight="1">
      <c r="A906" s="1" t="s">
        <v>3783</v>
      </c>
      <c r="B906" t="s">
        <v>3784</v>
      </c>
      <c r="C906" t="s">
        <v>3785</v>
      </c>
      <c r="D906" t="s">
        <v>3786</v>
      </c>
      <c r="E906" s="311" t="s">
        <v>3787</v>
      </c>
      <c r="F906" t="s">
        <v>3788</v>
      </c>
      <c r="G906" t="s">
        <v>3789</v>
      </c>
      <c r="H906" t="s">
        <v>3790</v>
      </c>
      <c r="I906">
        <v>2018</v>
      </c>
      <c r="J906">
        <v>17</v>
      </c>
      <c r="K906" t="s">
        <v>3791</v>
      </c>
      <c r="M906" t="str">
        <f t="shared" si="1132"/>
        <v>Kovacic_2018</v>
      </c>
      <c r="N906" s="311" t="s">
        <v>4382</v>
      </c>
      <c r="O906" s="171" t="s">
        <v>225</v>
      </c>
      <c r="P906" t="s">
        <v>513</v>
      </c>
      <c r="Q906" s="311" t="s">
        <v>389</v>
      </c>
      <c r="R906" s="312"/>
      <c r="S906" s="1" t="s">
        <v>3792</v>
      </c>
      <c r="T906" t="s">
        <v>3793</v>
      </c>
      <c r="U906" t="s">
        <v>3794</v>
      </c>
      <c r="V906">
        <v>0</v>
      </c>
      <c r="W906">
        <v>0</v>
      </c>
      <c r="X906">
        <v>0</v>
      </c>
      <c r="Y906">
        <v>0</v>
      </c>
      <c r="Z906">
        <v>0</v>
      </c>
      <c r="AA906">
        <v>0</v>
      </c>
      <c r="AB906">
        <v>0</v>
      </c>
      <c r="AC906">
        <v>0</v>
      </c>
      <c r="AD906">
        <v>0</v>
      </c>
      <c r="AE906">
        <v>0</v>
      </c>
      <c r="AF906">
        <v>0</v>
      </c>
      <c r="AG906">
        <v>0</v>
      </c>
      <c r="AH906">
        <v>0</v>
      </c>
      <c r="AI906">
        <v>0</v>
      </c>
      <c r="AJ906">
        <v>0</v>
      </c>
      <c r="AK906">
        <v>1</v>
      </c>
      <c r="AL906">
        <v>0</v>
      </c>
      <c r="AM906">
        <v>0</v>
      </c>
      <c r="AN906">
        <v>0</v>
      </c>
      <c r="AO906">
        <v>0</v>
      </c>
      <c r="AP906">
        <v>0</v>
      </c>
      <c r="AQ906">
        <v>0</v>
      </c>
      <c r="AR906">
        <v>0</v>
      </c>
      <c r="AS906">
        <v>0</v>
      </c>
      <c r="AT906">
        <v>0</v>
      </c>
      <c r="AU906">
        <v>0</v>
      </c>
      <c r="AV906">
        <v>0</v>
      </c>
      <c r="AW906">
        <v>0</v>
      </c>
      <c r="AX906" s="141">
        <f>COUNTIF(V906:AW906,"&lt;&gt;0")</f>
        <v>1</v>
      </c>
      <c r="AY906" s="141">
        <f>COUNTIF(V906:AL906,"&lt;&gt;0")</f>
        <v>1</v>
      </c>
      <c r="AZ906">
        <f>COUNTIF(V906:AC906,"&lt;&gt;0")</f>
        <v>0</v>
      </c>
      <c r="BA906">
        <f>COUNTIF(AD906:AI906,"&lt;&gt;0")</f>
        <v>0</v>
      </c>
      <c r="BB906">
        <f>COUNTIF(AJ906:AL906,"&lt;&gt;0")</f>
        <v>1</v>
      </c>
      <c r="BC906">
        <f>COUNTIF(AS906:AW906,"&lt;&gt;0")</f>
        <v>0</v>
      </c>
      <c r="BD906">
        <f>COUNTIF(AM906:AR906,"&lt;&gt;0")</f>
        <v>0</v>
      </c>
      <c r="BE906" t="str" cm="1">
        <f t="array" ref="BE906">IF(AY906=1,INDEX($V$7:$AL$7,MATCH(TRUE,INDEX($V906:$AW906&lt;&gt;0,),0)),IF(AY906=0,INDEX($AM$7:$AW$7,MATCH(1,$AM906:$AW906,0)),IF(BF906="Multiple strategies","mixed drivers",IF(BF906="Supply chain","multiple supply","multiple silviculture"))))</f>
        <v>technologies/design switch</v>
      </c>
      <c r="BF906" s="2" t="str" cm="1">
        <f t="array" ref="BF906">IF(COUNTIF(AZ906:BB906,"&lt;&gt;0")=1,INDEX($V$4:$AW$4,MATCH(TRUE,INDEX($V906:$AW906&lt;&gt;0,),0)),IF(COUNTIF(AZ906:BB906,"&lt;&gt;0")=0,INDEX($AM$4:$AW$4,MATCH(1,$AM906:$AW906,0)),"Multiple strategies"))</f>
        <v>Technology</v>
      </c>
      <c r="BG906" s="1" t="s">
        <v>229</v>
      </c>
      <c r="BM906" t="str">
        <f>IFERROR(BL906/BK906,"")</f>
        <v/>
      </c>
      <c r="BP906" t="s">
        <v>395</v>
      </c>
      <c r="BQ906" s="234"/>
      <c r="BR906" s="311" t="s">
        <v>3795</v>
      </c>
      <c r="BS906">
        <v>373</v>
      </c>
      <c r="BT906">
        <v>295</v>
      </c>
      <c r="BU906" s="144">
        <f>BT906/BS906</f>
        <v>0.79088471849865949</v>
      </c>
      <c r="BV906">
        <f>BT906-BS906</f>
        <v>-78</v>
      </c>
      <c r="BX906">
        <f>BV906/1000</f>
        <v>-7.8E-2</v>
      </c>
      <c r="BY906" t="str">
        <f t="shared" si="1099"/>
        <v/>
      </c>
      <c r="BZ906">
        <v>0</v>
      </c>
      <c r="CA906">
        <v>0</v>
      </c>
      <c r="CB906">
        <v>0</v>
      </c>
      <c r="CC906">
        <v>0</v>
      </c>
      <c r="CD906">
        <v>0</v>
      </c>
      <c r="CE906">
        <v>1</v>
      </c>
      <c r="CF906">
        <v>0</v>
      </c>
      <c r="CG906">
        <v>0</v>
      </c>
      <c r="CH906">
        <v>0</v>
      </c>
      <c r="CI906">
        <v>0</v>
      </c>
      <c r="CJ906">
        <v>0</v>
      </c>
      <c r="CK906">
        <v>0</v>
      </c>
      <c r="CL906">
        <v>0</v>
      </c>
      <c r="CM906">
        <v>0</v>
      </c>
      <c r="CN906" t="str">
        <f>IF($BL906&lt;$BK906,"refNeedCorrection","refOK")</f>
        <v>refOK</v>
      </c>
      <c r="CO906"/>
      <c r="CP906"/>
      <c r="CQ906"/>
      <c r="CR906">
        <f>IF($CN906="refOK",$BS906,$BT906)*IF($BP906="Emissions positive",-1,1)</f>
        <v>-373</v>
      </c>
      <c r="CS906">
        <f>IF($CN906="refOK",$BT906,$BS906)*IF($BP906="Emissions positive",-1,1)</f>
        <v>-295</v>
      </c>
      <c r="CT906">
        <f>IF($CN906="refNeedCorrection",-BX906,BX906)*IF($BP906="Emissions positive",-1,1)</f>
        <v>7.8E-2</v>
      </c>
      <c r="CU906" t="str">
        <f>IFERROR(CT906/CQ906,"")</f>
        <v/>
      </c>
      <c r="CV906" s="2">
        <f>IFERROR((CS906-CR906)/ABS(CR906),"")</f>
        <v>0.20911528150134048</v>
      </c>
      <c r="CW906" s="1" t="s">
        <v>3796</v>
      </c>
      <c r="CX906" s="311" t="str">
        <f>IF(OR($CW906="prd",$CW906="std",$CW906="cit"),"loc",IF(OR($CW906="eur",$CW906="reg",$CW906="coy"),"reg",$CW906))</f>
        <v>reg</v>
      </c>
      <c r="CY906" t="s">
        <v>666</v>
      </c>
      <c r="DB906">
        <v>20</v>
      </c>
      <c r="DC906" t="str">
        <f>IF(DB906=0,"0",IF(AND(DB906&gt;=1,DB906&lt;=30),"1-30",IF(AND(DB906&gt;30,DB906&lt;=70),"31-70",IF(AND(DB906&gt;70,DB906&lt;=100),"71-100",IF(DB906&gt;100,"+100")))))</f>
        <v>1-30</v>
      </c>
      <c r="DD906">
        <v>0</v>
      </c>
      <c r="DE906">
        <v>0</v>
      </c>
      <c r="DF906">
        <v>0</v>
      </c>
      <c r="DG906">
        <v>1</v>
      </c>
      <c r="DH906">
        <v>0</v>
      </c>
      <c r="DI906">
        <f>SUM(DD906:DH906)</f>
        <v>1</v>
      </c>
      <c r="DJ906" t="str">
        <f>IF(DI906=1,INDEX($DD$7:$DG$7,MATCH(1,$DD906:$DG906,0)),"mixedProduct")</f>
        <v>TimberInput</v>
      </c>
      <c r="DK906">
        <f t="shared" si="1133"/>
        <v>0</v>
      </c>
      <c r="DL906">
        <f t="shared" si="1133"/>
        <v>0</v>
      </c>
      <c r="DM906">
        <f t="shared" si="1133"/>
        <v>0</v>
      </c>
      <c r="DN906" t="str">
        <f t="shared" si="1133"/>
        <v>Timber</v>
      </c>
      <c r="DO906">
        <v>0</v>
      </c>
      <c r="DP906">
        <v>0</v>
      </c>
      <c r="DQ906">
        <v>0</v>
      </c>
      <c r="DR906">
        <v>0</v>
      </c>
      <c r="DS906">
        <v>0</v>
      </c>
      <c r="DT906"/>
      <c r="DU906" s="143" t="str">
        <f>IF(DO906=1,"self-calculated DF",IF(DP906=1,"external DF used","explicit C balance"))</f>
        <v>explicit C balance</v>
      </c>
      <c r="DV906">
        <v>0</v>
      </c>
      <c r="DW906">
        <v>0</v>
      </c>
      <c r="DX906">
        <v>0</v>
      </c>
      <c r="DY906">
        <v>0</v>
      </c>
      <c r="DZ906">
        <v>0</v>
      </c>
      <c r="EA906" s="143">
        <v>0</v>
      </c>
      <c r="EB906">
        <v>0</v>
      </c>
      <c r="EC906">
        <v>1</v>
      </c>
      <c r="ED906">
        <v>1</v>
      </c>
      <c r="EE906">
        <v>1</v>
      </c>
      <c r="EF906">
        <v>0</v>
      </c>
      <c r="EG906">
        <v>0</v>
      </c>
      <c r="EH906">
        <v>0</v>
      </c>
      <c r="EI906" s="2">
        <v>0</v>
      </c>
      <c r="EK906" t="str">
        <f>IF(AND(AND(AND(OR($DX906=1,$DW906=1),OR($EC906=1,$EA906=1)),SUM($DV906:$DZ906,$EF906)&gt;=3),SUM($EA906:$EE906)&gt;=2),"Whole sector","")</f>
        <v/>
      </c>
      <c r="EL906" t="str">
        <f>IF(AND(AND(OR($DX906=1,$DW906=1),AND($EC906=0,$EA906=0)),SUM($DV906:$DZ906,$EF906)&gt;=3),"Ecosystem approach","")</f>
        <v/>
      </c>
      <c r="EM906" s="2" t="str">
        <f t="shared" si="1100"/>
        <v>Technology approach</v>
      </c>
      <c r="EP906" t="b">
        <f>IF(ISNUMBER(BU906),IF(ABS(BU906-[1]QC_indicators!$B$2)&gt;3*[1]QC_indicators!$C$2,"C ratio",IF(ISNUMBER(BY906),IF(ABS(BY906-[1]QC_indicators!$B$1)&gt;3*[1]QC_indicators!$C$1,"DF","no"))),IF(ISNUMBER(BY906),IF(ABS(BY906-[1]QC_indicators!$B$1)&gt;3*[1]QC_indicators!$C$1,"DF","no")))</f>
        <v>0</v>
      </c>
    </row>
    <row r="907" spans="1:150" ht="15" hidden="1" customHeight="1">
      <c r="A907" s="1" t="s">
        <v>3783</v>
      </c>
      <c r="B907" t="s">
        <v>3784</v>
      </c>
      <c r="C907" t="s">
        <v>3785</v>
      </c>
      <c r="D907" t="s">
        <v>3786</v>
      </c>
      <c r="E907" s="311" t="s">
        <v>3787</v>
      </c>
      <c r="F907" t="s">
        <v>3788</v>
      </c>
      <c r="G907" t="s">
        <v>3789</v>
      </c>
      <c r="H907" t="s">
        <v>3790</v>
      </c>
      <c r="I907">
        <v>2018</v>
      </c>
      <c r="J907">
        <v>17</v>
      </c>
      <c r="K907" t="s">
        <v>3791</v>
      </c>
      <c r="M907" t="str">
        <f t="shared" si="1132"/>
        <v>Kovacic_2018</v>
      </c>
      <c r="N907" s="311" t="s">
        <v>4382</v>
      </c>
      <c r="O907" s="171" t="s">
        <v>225</v>
      </c>
      <c r="P907" t="s">
        <v>513</v>
      </c>
      <c r="Q907" s="311" t="s">
        <v>389</v>
      </c>
      <c r="R907" s="312"/>
      <c r="S907" s="1" t="s">
        <v>3792</v>
      </c>
      <c r="T907" t="s">
        <v>3793</v>
      </c>
      <c r="U907" t="s">
        <v>3794</v>
      </c>
      <c r="V907">
        <v>0</v>
      </c>
      <c r="W907">
        <v>0</v>
      </c>
      <c r="X907">
        <v>0</v>
      </c>
      <c r="Y907">
        <v>0</v>
      </c>
      <c r="Z907">
        <v>0</v>
      </c>
      <c r="AA907">
        <v>0</v>
      </c>
      <c r="AB907">
        <v>0</v>
      </c>
      <c r="AC907">
        <v>0</v>
      </c>
      <c r="AD907">
        <v>0</v>
      </c>
      <c r="AE907">
        <v>0</v>
      </c>
      <c r="AF907">
        <v>0</v>
      </c>
      <c r="AG907">
        <v>0</v>
      </c>
      <c r="AH907">
        <v>0</v>
      </c>
      <c r="AI907">
        <v>0</v>
      </c>
      <c r="AJ907">
        <v>0</v>
      </c>
      <c r="AK907">
        <v>1</v>
      </c>
      <c r="AL907">
        <v>0</v>
      </c>
      <c r="AM907">
        <v>0</v>
      </c>
      <c r="AN907">
        <v>0</v>
      </c>
      <c r="AO907">
        <v>0</v>
      </c>
      <c r="AP907">
        <v>0</v>
      </c>
      <c r="AQ907">
        <v>0</v>
      </c>
      <c r="AR907">
        <v>0</v>
      </c>
      <c r="AS907">
        <v>0</v>
      </c>
      <c r="AT907">
        <v>0</v>
      </c>
      <c r="AU907">
        <v>0</v>
      </c>
      <c r="AV907">
        <v>0</v>
      </c>
      <c r="AW907">
        <v>0</v>
      </c>
      <c r="AX907" s="141">
        <f>COUNTIF(V907:AW907,"&lt;&gt;0")</f>
        <v>1</v>
      </c>
      <c r="AY907" s="141">
        <f>COUNTIF(V907:AL907,"&lt;&gt;0")</f>
        <v>1</v>
      </c>
      <c r="AZ907">
        <f>COUNTIF(V907:AC907,"&lt;&gt;0")</f>
        <v>0</v>
      </c>
      <c r="BA907">
        <f>COUNTIF(AD907:AI907,"&lt;&gt;0")</f>
        <v>0</v>
      </c>
      <c r="BB907">
        <f>COUNTIF(AJ907:AL907,"&lt;&gt;0")</f>
        <v>1</v>
      </c>
      <c r="BC907">
        <f>COUNTIF(AS907:AW907,"&lt;&gt;0")</f>
        <v>0</v>
      </c>
      <c r="BD907">
        <f>COUNTIF(AM907:AR907,"&lt;&gt;0")</f>
        <v>0</v>
      </c>
      <c r="BE907" t="str" cm="1">
        <f t="array" ref="BE907">IF(AY907=1,INDEX($V$7:$AL$7,MATCH(TRUE,INDEX($V907:$AW907&lt;&gt;0,),0)),IF(AY907=0,INDEX($AM$7:$AW$7,MATCH(1,$AM907:$AW907,0)),IF(BF907="Multiple strategies","mixed drivers",IF(BF907="Supply chain","multiple supply","multiple silviculture"))))</f>
        <v>technologies/design switch</v>
      </c>
      <c r="BF907" s="2" t="str" cm="1">
        <f t="array" ref="BF907">IF(COUNTIF(AZ907:BB907,"&lt;&gt;0")=1,INDEX($V$4:$AW$4,MATCH(TRUE,INDEX($V907:$AW907&lt;&gt;0,),0)),IF(COUNTIF(AZ907:BB907,"&lt;&gt;0")=0,INDEX($AM$4:$AW$4,MATCH(1,$AM907:$AW907,0)),"Multiple strategies"))</f>
        <v>Technology</v>
      </c>
      <c r="BG907" s="1" t="s">
        <v>229</v>
      </c>
      <c r="BM907" t="str">
        <f>IFERROR(BL907/BK907,"")</f>
        <v/>
      </c>
      <c r="BP907" t="s">
        <v>395</v>
      </c>
      <c r="BQ907" s="234"/>
      <c r="BR907" s="311" t="s">
        <v>3795</v>
      </c>
      <c r="BS907">
        <v>483</v>
      </c>
      <c r="BT907">
        <v>388</v>
      </c>
      <c r="BU907" s="144">
        <f>BT907/BS907</f>
        <v>0.80331262939958592</v>
      </c>
      <c r="BV907">
        <f>BT907-BS907</f>
        <v>-95</v>
      </c>
      <c r="BX907">
        <f>BV907/1000</f>
        <v>-9.5000000000000001E-2</v>
      </c>
      <c r="BY907" t="str">
        <f t="shared" si="1099"/>
        <v/>
      </c>
      <c r="BZ907">
        <v>0</v>
      </c>
      <c r="CA907">
        <v>0</v>
      </c>
      <c r="CB907">
        <v>0</v>
      </c>
      <c r="CC907">
        <v>0</v>
      </c>
      <c r="CD907">
        <v>0</v>
      </c>
      <c r="CE907">
        <v>1</v>
      </c>
      <c r="CF907">
        <v>0</v>
      </c>
      <c r="CG907">
        <v>0</v>
      </c>
      <c r="CH907">
        <v>0</v>
      </c>
      <c r="CI907">
        <v>0</v>
      </c>
      <c r="CJ907">
        <v>0</v>
      </c>
      <c r="CK907">
        <v>0</v>
      </c>
      <c r="CL907">
        <v>0</v>
      </c>
      <c r="CM907">
        <v>0</v>
      </c>
      <c r="CN907" t="str">
        <f>IF($BL907&lt;$BK907,"refNeedCorrection","refOK")</f>
        <v>refOK</v>
      </c>
      <c r="CO907"/>
      <c r="CP907"/>
      <c r="CQ907"/>
      <c r="CR907">
        <f>IF($CN907="refOK",$BS907,$BT907)*IF($BP907="Emissions positive",-1,1)</f>
        <v>-483</v>
      </c>
      <c r="CS907">
        <f>IF($CN907="refOK",$BT907,$BS907)*IF($BP907="Emissions positive",-1,1)</f>
        <v>-388</v>
      </c>
      <c r="CT907">
        <f>IF($CN907="refNeedCorrection",-BX907,BX907)*IF($BP907="Emissions positive",-1,1)</f>
        <v>9.5000000000000001E-2</v>
      </c>
      <c r="CU907" t="str">
        <f>IFERROR(CT907/CQ907,"")</f>
        <v/>
      </c>
      <c r="CV907" s="2">
        <f>IFERROR((CS907-CR907)/ABS(CR907),"")</f>
        <v>0.19668737060041408</v>
      </c>
      <c r="CW907" s="1" t="s">
        <v>3796</v>
      </c>
      <c r="CX907" s="311" t="str">
        <f>IF(OR($CW907="prd",$CW907="std",$CW907="cit"),"loc",IF(OR($CW907="eur",$CW907="reg",$CW907="coy"),"reg",$CW907))</f>
        <v>reg</v>
      </c>
      <c r="CY907" t="s">
        <v>666</v>
      </c>
      <c r="DB907">
        <v>80</v>
      </c>
      <c r="DC907" t="str">
        <f>IF(DB907=0,"0",IF(AND(DB907&gt;=1,DB907&lt;=30),"1-30",IF(AND(DB907&gt;30,DB907&lt;=70),"31-70",IF(AND(DB907&gt;70,DB907&lt;=100),"71-100",IF(DB907&gt;100,"+100")))))</f>
        <v>71-100</v>
      </c>
      <c r="DD907">
        <v>0</v>
      </c>
      <c r="DE907">
        <v>0</v>
      </c>
      <c r="DF907">
        <v>0</v>
      </c>
      <c r="DG907">
        <v>1</v>
      </c>
      <c r="DH907">
        <v>0</v>
      </c>
      <c r="DI907">
        <f>SUM(DD907:DH907)</f>
        <v>1</v>
      </c>
      <c r="DJ907" t="str">
        <f>IF(DI907=1,INDEX($DD$7:$DG$7,MATCH(1,$DD907:$DG907,0)),"mixedProduct")</f>
        <v>TimberInput</v>
      </c>
      <c r="DK907">
        <f t="shared" si="1133"/>
        <v>0</v>
      </c>
      <c r="DL907">
        <f t="shared" si="1133"/>
        <v>0</v>
      </c>
      <c r="DM907">
        <f t="shared" si="1133"/>
        <v>0</v>
      </c>
      <c r="DN907" t="str">
        <f t="shared" si="1133"/>
        <v>Timber</v>
      </c>
      <c r="DO907">
        <v>0</v>
      </c>
      <c r="DP907">
        <v>0</v>
      </c>
      <c r="DQ907">
        <v>0</v>
      </c>
      <c r="DR907">
        <v>0</v>
      </c>
      <c r="DS907">
        <v>0</v>
      </c>
      <c r="DT907"/>
      <c r="DU907" s="143" t="str">
        <f>IF(DO907=1,"self-calculated DF",IF(DP907=1,"external DF used","explicit C balance"))</f>
        <v>explicit C balance</v>
      </c>
      <c r="DV907">
        <v>0</v>
      </c>
      <c r="DW907">
        <v>0</v>
      </c>
      <c r="DX907">
        <v>0</v>
      </c>
      <c r="DY907">
        <v>0</v>
      </c>
      <c r="DZ907">
        <v>0</v>
      </c>
      <c r="EA907" s="143">
        <v>0</v>
      </c>
      <c r="EB907">
        <v>0</v>
      </c>
      <c r="EC907">
        <v>1</v>
      </c>
      <c r="ED907">
        <v>1</v>
      </c>
      <c r="EE907">
        <v>1</v>
      </c>
      <c r="EF907">
        <v>0</v>
      </c>
      <c r="EG907">
        <v>0</v>
      </c>
      <c r="EH907">
        <v>0</v>
      </c>
      <c r="EI907" s="2">
        <v>0</v>
      </c>
      <c r="EK907" t="str">
        <f>IF(AND(AND(AND(OR($DX907=1,$DW907=1),OR($EC907=1,$EA907=1)),SUM($DV907:$DZ907,$EF907)&gt;=3),SUM($EA907:$EE907)&gt;=2),"Whole sector","")</f>
        <v/>
      </c>
      <c r="EL907" t="str">
        <f>IF(AND(AND(OR($DX907=1,$DW907=1),AND($EC907=0,$EA907=0)),SUM($DV907:$DZ907,$EF907)&gt;=3),"Ecosystem approach","")</f>
        <v/>
      </c>
      <c r="EM907" s="2" t="str">
        <f t="shared" si="1100"/>
        <v>Technology approach</v>
      </c>
      <c r="EP907" t="b">
        <f>IF(ISNUMBER(BU907),IF(ABS(BU907-[1]QC_indicators!$B$2)&gt;3*[1]QC_indicators!$C$2,"C ratio",IF(ISNUMBER(BY907),IF(ABS(BY907-[1]QC_indicators!$B$1)&gt;3*[1]QC_indicators!$C$1,"DF","no"))),IF(ISNUMBER(BY907),IF(ABS(BY907-[1]QC_indicators!$B$1)&gt;3*[1]QC_indicators!$C$1,"DF","no")))</f>
        <v>0</v>
      </c>
    </row>
    <row r="908" spans="1:150" ht="15" hidden="1" customHeight="1">
      <c r="A908" s="1" t="s">
        <v>1635</v>
      </c>
      <c r="B908" t="s">
        <v>4840</v>
      </c>
      <c r="C908" t="s">
        <v>4841</v>
      </c>
      <c r="D908" t="s">
        <v>4842</v>
      </c>
      <c r="E908" t="s">
        <v>4843</v>
      </c>
      <c r="F908" t="s">
        <v>4844</v>
      </c>
      <c r="G908" t="s">
        <v>1641</v>
      </c>
      <c r="H908" t="s">
        <v>254</v>
      </c>
      <c r="I908">
        <v>2020</v>
      </c>
      <c r="J908">
        <v>2</v>
      </c>
      <c r="K908" t="s">
        <v>4845</v>
      </c>
      <c r="M908" t="str">
        <f t="shared" si="1132"/>
        <v>Krause_2020</v>
      </c>
      <c r="N908" t="s">
        <v>1351</v>
      </c>
      <c r="O908" s="145" t="s">
        <v>225</v>
      </c>
      <c r="Q908" s="311" t="s">
        <v>256</v>
      </c>
      <c r="R908" s="312"/>
      <c r="U908" s="143"/>
      <c r="AX908" s="141"/>
      <c r="AY908" s="141"/>
      <c r="BE908"/>
      <c r="BF908" s="2"/>
      <c r="BG908" s="142"/>
      <c r="BJ908" s="143"/>
      <c r="BL908" s="143"/>
      <c r="BM908" s="163"/>
      <c r="BN908" s="158"/>
      <c r="BO908" s="143"/>
      <c r="BQ908" s="234"/>
      <c r="BR908" s="143"/>
      <c r="BU908" s="144"/>
      <c r="BV908" s="176"/>
      <c r="BW908" s="176"/>
      <c r="BX908" s="176"/>
      <c r="BY908" t="str">
        <f t="shared" si="1099"/>
        <v/>
      </c>
      <c r="CN908"/>
      <c r="CO908"/>
      <c r="CP908"/>
      <c r="CQ908"/>
      <c r="CR908"/>
      <c r="CS908"/>
      <c r="CT908"/>
      <c r="CU908"/>
      <c r="CV908" s="2"/>
      <c r="CX908"/>
      <c r="DA908" s="143"/>
      <c r="DB908" s="143"/>
      <c r="DC908"/>
      <c r="DI908"/>
      <c r="DJ908"/>
      <c r="DK908"/>
      <c r="DL908"/>
      <c r="DM908"/>
      <c r="DN908"/>
      <c r="DP908" s="143"/>
      <c r="DQ908" s="143"/>
      <c r="DS908" s="143"/>
      <c r="DT908"/>
      <c r="DU908" s="143"/>
      <c r="DV908" s="143"/>
      <c r="DW908" s="143"/>
      <c r="EB908" s="143"/>
      <c r="ED908" s="143"/>
      <c r="EG908" s="143"/>
      <c r="EK908" t="str">
        <f>IF(AND(AND(AND(OR($DX908=1,$DW908=1),OR($EC908=1,$EA908=1)),SUM($DV908:$DZ908,$EF908)&gt;=3),SUM($EA908:$EE908)&gt;=2),"Whole sector","")</f>
        <v/>
      </c>
      <c r="EL908" t="str">
        <f>IF(AND(AND(OR($DX908=1,$DW908=1),AND($EC908=0,$EA908=0)),SUM($DV908:$DZ908,$EF908)&gt;=3),"Ecosystem approach","")</f>
        <v/>
      </c>
      <c r="EM908" s="2" t="str">
        <f t="shared" si="1100"/>
        <v/>
      </c>
      <c r="EO908" t="s">
        <v>450</v>
      </c>
      <c r="EP908" t="b">
        <f>IF(ISNUMBER(BU908),IF(ABS(BU908-[1]QC_indicators!$B$2)&gt;3*[1]QC_indicators!$C$2,"C ratio",IF(ISNUMBER(BY908),IF(ABS(BY908-[1]QC_indicators!$B$1)&gt;3*[1]QC_indicators!$C$1,"DF","no"))),IF(ISNUMBER(BY908),IF(ABS(BY908-[1]QC_indicators!$B$1)&gt;3*[1]QC_indicators!$C$1,"DF","no")))</f>
        <v>0</v>
      </c>
    </row>
    <row r="909" spans="1:150" ht="15" hidden="1" customHeight="1">
      <c r="A909" s="1" t="s">
        <v>1269</v>
      </c>
      <c r="B909" t="s">
        <v>1868</v>
      </c>
      <c r="C909" t="s">
        <v>1869</v>
      </c>
      <c r="D909" t="s">
        <v>1870</v>
      </c>
      <c r="E909" t="s">
        <v>1871</v>
      </c>
      <c r="F909" t="s">
        <v>1872</v>
      </c>
      <c r="G909" t="s">
        <v>1275</v>
      </c>
      <c r="H909" t="s">
        <v>254</v>
      </c>
      <c r="I909">
        <v>2019</v>
      </c>
      <c r="J909">
        <v>2</v>
      </c>
      <c r="K909" t="s">
        <v>1873</v>
      </c>
      <c r="M909" t="str">
        <f t="shared" si="1132"/>
        <v>Kucuker_2019</v>
      </c>
      <c r="N909" t="s">
        <v>222</v>
      </c>
      <c r="O909" s="145" t="s">
        <v>225</v>
      </c>
      <c r="Q909" s="264" t="s">
        <v>256</v>
      </c>
      <c r="R909" s="269" t="s">
        <v>1153</v>
      </c>
      <c r="S909" s="1" t="s">
        <v>1882</v>
      </c>
      <c r="T909" t="s">
        <v>1883</v>
      </c>
      <c r="U909" t="s">
        <v>1884</v>
      </c>
      <c r="V909">
        <v>0</v>
      </c>
      <c r="W909">
        <v>0</v>
      </c>
      <c r="X909">
        <v>0</v>
      </c>
      <c r="Y909">
        <v>0</v>
      </c>
      <c r="Z909">
        <v>1</v>
      </c>
      <c r="AA909">
        <v>0</v>
      </c>
      <c r="AB909">
        <v>0</v>
      </c>
      <c r="AC909">
        <v>0</v>
      </c>
      <c r="AD909">
        <v>0</v>
      </c>
      <c r="AE909">
        <v>0</v>
      </c>
      <c r="AF909">
        <v>0</v>
      </c>
      <c r="AG909">
        <v>0</v>
      </c>
      <c r="AH909">
        <v>0</v>
      </c>
      <c r="AI909">
        <v>0</v>
      </c>
      <c r="AJ909">
        <v>0</v>
      </c>
      <c r="AK909">
        <v>0</v>
      </c>
      <c r="AL909">
        <v>0</v>
      </c>
      <c r="AM909">
        <v>0</v>
      </c>
      <c r="AN909">
        <v>0</v>
      </c>
      <c r="AO909">
        <v>0</v>
      </c>
      <c r="AP909">
        <v>0</v>
      </c>
      <c r="AQ909">
        <v>0</v>
      </c>
      <c r="AR909">
        <v>0</v>
      </c>
      <c r="AS909">
        <v>0</v>
      </c>
      <c r="AT909">
        <v>0</v>
      </c>
      <c r="AU909">
        <v>0</v>
      </c>
      <c r="AV909">
        <v>0</v>
      </c>
      <c r="AW909">
        <v>0</v>
      </c>
      <c r="AX909" s="141">
        <f t="shared" ref="AX909:AX922" si="1134">COUNTIF(V909:AW909,"&lt;&gt;0")</f>
        <v>1</v>
      </c>
      <c r="AY909" s="141">
        <f t="shared" ref="AY909:AY922" si="1135">COUNTIF(V909:AL909,"&lt;&gt;0")</f>
        <v>1</v>
      </c>
      <c r="AZ909">
        <f t="shared" ref="AZ909:AZ921" si="1136">COUNTIF(V909:AC909,"&lt;&gt;0")</f>
        <v>1</v>
      </c>
      <c r="BA909">
        <f t="shared" ref="BA909:BA921" si="1137">COUNTIF(AD909:AI909,"&lt;&gt;0")</f>
        <v>0</v>
      </c>
      <c r="BB909">
        <f t="shared" ref="BB909:BB921" si="1138">COUNTIF(AJ909:AL909,"&lt;&gt;0")</f>
        <v>0</v>
      </c>
      <c r="BC909">
        <f t="shared" ref="BC909:BC921" si="1139">COUNTIF(AS909:AW909,"&lt;&gt;0")</f>
        <v>0</v>
      </c>
      <c r="BD909">
        <f t="shared" ref="BD909:BD921" si="1140">COUNTIF(AM909:AR909,"&lt;&gt;0")</f>
        <v>0</v>
      </c>
      <c r="BE909" t="str" cm="1">
        <f t="array" ref="BE909">IF(AY909=1,INDEX($V$7:$AL$7,MATCH(TRUE,INDEX($V909:$AW909&lt;&gt;0,),0)),IF(AY909=0,INDEX($AM$7:$AW$7,MATCH(1,$AM909:$AW909,0)),IF(BF909="Multiple strategies","mixed drivers",IF(BF909="Supply chain","multiple supply","multiple silviculture"))))</f>
        <v>species</v>
      </c>
      <c r="BF909" s="2" t="str" cm="1">
        <f t="array" ref="BF909">IF(COUNTIF(AZ909:BB909,"&lt;&gt;0")=1,INDEX($V$4:$AW$4,MATCH(TRUE,INDEX($V909:$AW909&lt;&gt;0,),0)),IF(COUNTIF(AZ909:BB909,"&lt;&gt;0")=0,INDEX($AM$4:$AW$4,MATCH(1,$AM909:$AW909,0)),"Multiple strategies"))</f>
        <v>Silviculture for productivity</v>
      </c>
      <c r="BG909" s="173" t="s">
        <v>321</v>
      </c>
      <c r="BH909" t="s">
        <v>182</v>
      </c>
      <c r="BJ909" t="s">
        <v>1769</v>
      </c>
      <c r="BK909" s="143">
        <v>6710</v>
      </c>
      <c r="BL909">
        <v>6758</v>
      </c>
      <c r="BM909" s="264">
        <f t="shared" ref="BM909:BM921" si="1141">BL909/BK909</f>
        <v>1.0071535022354694</v>
      </c>
      <c r="BN909">
        <f t="shared" ref="BN909:BN921" si="1142">BL909-BK909</f>
        <v>48</v>
      </c>
      <c r="BO909" s="143">
        <f t="shared" ref="BO909:BO921" si="1143">BN909*10^3</f>
        <v>48000</v>
      </c>
      <c r="BP909" t="s">
        <v>232</v>
      </c>
      <c r="BQ909" s="234"/>
      <c r="BR909" t="s">
        <v>1876</v>
      </c>
      <c r="BS909">
        <v>3139</v>
      </c>
      <c r="BT909" s="143">
        <v>2990</v>
      </c>
      <c r="BU909" s="144">
        <f t="shared" ref="BU909:BU921" si="1144">IFERROR(BT909/BS909,"")</f>
        <v>0.95253265371137308</v>
      </c>
      <c r="BV909">
        <f t="shared" ref="BV909:BV921" si="1145">BT909-BS909</f>
        <v>-149</v>
      </c>
      <c r="BX909">
        <f t="shared" ref="BX909:BX921" si="1146">BV909*10^9/10^6*C_to_CO2</f>
        <v>-546830</v>
      </c>
      <c r="BY909">
        <f t="shared" si="1099"/>
        <v>-11.392291666666667</v>
      </c>
      <c r="BZ909">
        <v>0</v>
      </c>
      <c r="CA909">
        <v>0</v>
      </c>
      <c r="CB909">
        <v>0</v>
      </c>
      <c r="CC909">
        <v>0</v>
      </c>
      <c r="CD909">
        <v>0</v>
      </c>
      <c r="CE909">
        <v>0</v>
      </c>
      <c r="CF909">
        <v>0</v>
      </c>
      <c r="CG909">
        <v>0</v>
      </c>
      <c r="CH909">
        <v>0</v>
      </c>
      <c r="CI909">
        <v>0</v>
      </c>
      <c r="CJ909">
        <v>0</v>
      </c>
      <c r="CK909">
        <v>0</v>
      </c>
      <c r="CL909">
        <v>0</v>
      </c>
      <c r="CM909">
        <v>0</v>
      </c>
      <c r="CN909" t="str">
        <f t="shared" ref="CN909:CN921" si="1147">IF($BL909&lt;$BK909,"refNeedCorrection","refOK")</f>
        <v>refOK</v>
      </c>
      <c r="CO909">
        <f>IF($CN909="refNeedCorrection",BK909,BL909)</f>
        <v>6758</v>
      </c>
      <c r="CP909">
        <f>IF($CN909="refNeedCorrection",BL909,BK909)</f>
        <v>6710</v>
      </c>
      <c r="CQ909">
        <f t="shared" ref="CQ909:CQ921" si="1148">IF($CN909="refOK",$BO909,-$BO909)</f>
        <v>48000</v>
      </c>
      <c r="CR909">
        <f t="shared" ref="CR909:CR921" si="1149">IF($CN909="refOK",$BS909,$BT909)*IF($BP909="Emissions positive",-1,1)</f>
        <v>3139</v>
      </c>
      <c r="CS909">
        <f t="shared" ref="CS909:CS921" si="1150">IF($CN909="refOK",$BT909,$BS909)*IF($BP909="Emissions positive",-1,1)</f>
        <v>2990</v>
      </c>
      <c r="CT909">
        <f t="shared" ref="CT909:CT921" si="1151">IF($CN909="refNeedCorrection",-BX909,BX909)*IF($BP909="Emissions positive",-1,1)</f>
        <v>-546830</v>
      </c>
      <c r="CU909">
        <f t="shared" ref="CU909:CU921" si="1152">IFERROR(CT909/CQ909,"")</f>
        <v>-11.392291666666667</v>
      </c>
      <c r="CV909" s="2">
        <f t="shared" ref="CV909:CV921" si="1153">IFERROR((CS909-CR909)/ABS(CR909),"")</f>
        <v>-4.7467346288626949E-2</v>
      </c>
      <c r="CW909" s="1" t="s">
        <v>1202</v>
      </c>
      <c r="CX909" s="264" t="str">
        <f t="shared" ref="CX909:CX921" si="1154">IF(OR($CW909="prd",$CW909="std",$CW909="cit"),"loc",IF(OR($CW909="eur",$CW909="reg",$CW909="coy"),"reg",$CW909))</f>
        <v>reg</v>
      </c>
      <c r="CY909" t="s">
        <v>1280</v>
      </c>
      <c r="DA909" s="143"/>
      <c r="DB909">
        <v>100</v>
      </c>
      <c r="DC909" t="str">
        <f t="shared" ref="DC909:DC921" si="1155">IF(DB909=0,"0",IF(AND(DB909&gt;=1,DB909&lt;=30),"1-30",IF(AND(DB909&gt;30,DB909&lt;=70),"31-70",IF(AND(DB909&gt;70,DB909&lt;=100),"71-100",IF(DB909&gt;100,"+100")))))</f>
        <v>71-100</v>
      </c>
      <c r="DD909">
        <v>0</v>
      </c>
      <c r="DE909">
        <v>0</v>
      </c>
      <c r="DF909">
        <v>0</v>
      </c>
      <c r="DG909">
        <v>1</v>
      </c>
      <c r="DI909">
        <f t="shared" ref="DI909:DI921" si="1156">SUM(DD909:DG909)</f>
        <v>1</v>
      </c>
      <c r="DJ909" t="str">
        <f t="shared" ref="DJ909:DJ921" si="1157">IF(DI909=1,INDEX($DD$7:$DG$7,MATCH(1,$DD909:$DG909,0)),"mixedProduct")</f>
        <v>TimberInput</v>
      </c>
      <c r="DK909">
        <f t="shared" ref="DK909:DK921" si="1158">IF(DD909=1,DK$7,0)</f>
        <v>0</v>
      </c>
      <c r="DL909">
        <f t="shared" ref="DL909:DL921" si="1159">IF(DE909=1,DL$7,0)</f>
        <v>0</v>
      </c>
      <c r="DM909">
        <f t="shared" ref="DM909:DM921" si="1160">IF(DF909=1,DM$7,0)</f>
        <v>0</v>
      </c>
      <c r="DN909" t="str">
        <f t="shared" ref="DN909:DN921" si="1161">IF(DG909=1,DN$7,0)</f>
        <v>Timber</v>
      </c>
      <c r="DO909">
        <v>0</v>
      </c>
      <c r="DP909" s="143">
        <v>0</v>
      </c>
      <c r="DQ909" s="143">
        <v>0</v>
      </c>
      <c r="DR909">
        <v>0</v>
      </c>
      <c r="DS909" s="143">
        <v>0</v>
      </c>
      <c r="DT909">
        <f t="shared" ref="DT909:DT921" si="1162">SUM(DO909:DP909)</f>
        <v>0</v>
      </c>
      <c r="DU909" s="143" t="str">
        <f t="shared" ref="DU909:DU921" si="1163">IF(DO909=1,"self-calculated DF",IF(DP909=1,"external DF used","explicit C balance"))</f>
        <v>explicit C balance</v>
      </c>
      <c r="DV909" s="143">
        <v>0</v>
      </c>
      <c r="DW909" s="143">
        <v>0</v>
      </c>
      <c r="DX909" s="143">
        <v>1</v>
      </c>
      <c r="DY909" s="143">
        <v>0</v>
      </c>
      <c r="DZ909">
        <v>0</v>
      </c>
      <c r="EA909" s="143">
        <v>0</v>
      </c>
      <c r="EB909" s="143">
        <v>0</v>
      </c>
      <c r="EC909" s="143">
        <v>0</v>
      </c>
      <c r="ED909" s="143">
        <v>0</v>
      </c>
      <c r="EE909">
        <v>0</v>
      </c>
      <c r="EF909">
        <v>0</v>
      </c>
      <c r="EG909" s="143">
        <v>0</v>
      </c>
      <c r="EH909">
        <v>0</v>
      </c>
      <c r="EI909" s="2">
        <v>0</v>
      </c>
      <c r="EK909" t="str">
        <f t="shared" ref="EK909:EK921" si="1164">IF(AND(AND(AND(OR($DX909=1,$DW909=1),OR($EC909=1,$EA909=1)),SUM($DV909:$DZ909,$EF909)&gt;=4),SUM($EA909:$EE909)&gt;=2),"Whole sector","")</f>
        <v/>
      </c>
      <c r="EL909" t="str">
        <f t="shared" ref="EL909:EL921" si="1165">IF(AND(AND(OR($DX909=1,$DW909=1),AND($EC909=0,$EA909=0)),SUM($DV909:$DZ909,$EF909)&gt;=4),"Ecosystem approach","")</f>
        <v/>
      </c>
      <c r="EM909" s="2" t="str">
        <f t="shared" si="1100"/>
        <v/>
      </c>
      <c r="EN909" t="s">
        <v>1885</v>
      </c>
      <c r="EP909" t="str">
        <f>IF(ISNUMBER(BU909),IF(ABS(BU909-[4]QC_indicators!$B$2)&gt;3*[4]QC_indicators!$C$2,"C ratio",IF(ISNUMBER(BY909),IF(ABS(BY909-[4]QC_indicators!$B$1)&gt;3*[4]QC_indicators!$C$1,"DF","no"))),IF(ISNUMBER(BY909),IF(ABS(BY909-[4]QC_indicators!$B$1)&gt;3*[4]QC_indicators!$C$1,"DF","no")))</f>
        <v>DF</v>
      </c>
      <c r="EQ909" t="s">
        <v>1877</v>
      </c>
      <c r="ET909" s="264" t="s">
        <v>3406</v>
      </c>
    </row>
    <row r="910" spans="1:150" ht="15" hidden="1" customHeight="1">
      <c r="A910" s="1" t="s">
        <v>1269</v>
      </c>
      <c r="B910" t="s">
        <v>1868</v>
      </c>
      <c r="C910" t="s">
        <v>1869</v>
      </c>
      <c r="D910" t="s">
        <v>1870</v>
      </c>
      <c r="E910" t="s">
        <v>1871</v>
      </c>
      <c r="F910" t="s">
        <v>1872</v>
      </c>
      <c r="G910" t="s">
        <v>1275</v>
      </c>
      <c r="H910" t="s">
        <v>254</v>
      </c>
      <c r="I910">
        <v>2019</v>
      </c>
      <c r="J910">
        <v>2</v>
      </c>
      <c r="K910" t="s">
        <v>1873</v>
      </c>
      <c r="M910" t="str">
        <f t="shared" si="1132"/>
        <v>Kucuker_2019</v>
      </c>
      <c r="N910" t="s">
        <v>222</v>
      </c>
      <c r="O910" s="145" t="s">
        <v>225</v>
      </c>
      <c r="Q910" s="264" t="s">
        <v>256</v>
      </c>
      <c r="R910" s="269" t="s">
        <v>1153</v>
      </c>
      <c r="S910" s="1" t="s">
        <v>1882</v>
      </c>
      <c r="T910" t="s">
        <v>1884</v>
      </c>
      <c r="U910" t="s">
        <v>1886</v>
      </c>
      <c r="V910">
        <v>0</v>
      </c>
      <c r="W910">
        <v>0</v>
      </c>
      <c r="X910">
        <v>0</v>
      </c>
      <c r="Y910">
        <v>0</v>
      </c>
      <c r="Z910">
        <v>1</v>
      </c>
      <c r="AA910">
        <v>0</v>
      </c>
      <c r="AB910">
        <v>0</v>
      </c>
      <c r="AC910">
        <v>0</v>
      </c>
      <c r="AD910">
        <v>0</v>
      </c>
      <c r="AE910">
        <v>0</v>
      </c>
      <c r="AF910">
        <v>0</v>
      </c>
      <c r="AG910">
        <v>0</v>
      </c>
      <c r="AH910">
        <v>0</v>
      </c>
      <c r="AI910">
        <v>0</v>
      </c>
      <c r="AJ910">
        <v>0</v>
      </c>
      <c r="AK910">
        <v>0</v>
      </c>
      <c r="AL910">
        <v>0</v>
      </c>
      <c r="AM910">
        <v>0</v>
      </c>
      <c r="AN910">
        <v>0</v>
      </c>
      <c r="AO910">
        <v>0</v>
      </c>
      <c r="AP910">
        <v>0</v>
      </c>
      <c r="AQ910">
        <v>0</v>
      </c>
      <c r="AR910">
        <v>0</v>
      </c>
      <c r="AS910">
        <v>0</v>
      </c>
      <c r="AT910">
        <v>0</v>
      </c>
      <c r="AU910">
        <v>0</v>
      </c>
      <c r="AV910">
        <v>0</v>
      </c>
      <c r="AW910">
        <v>0</v>
      </c>
      <c r="AX910" s="141">
        <f t="shared" si="1134"/>
        <v>1</v>
      </c>
      <c r="AY910" s="141">
        <f t="shared" si="1135"/>
        <v>1</v>
      </c>
      <c r="AZ910">
        <f t="shared" si="1136"/>
        <v>1</v>
      </c>
      <c r="BA910">
        <f t="shared" si="1137"/>
        <v>0</v>
      </c>
      <c r="BB910">
        <f t="shared" si="1138"/>
        <v>0</v>
      </c>
      <c r="BC910">
        <f t="shared" si="1139"/>
        <v>0</v>
      </c>
      <c r="BD910">
        <f t="shared" si="1140"/>
        <v>0</v>
      </c>
      <c r="BE910" t="str" cm="1">
        <f t="array" ref="BE910">IF(AY910=1,INDEX($V$7:$AL$7,MATCH(TRUE,INDEX($V910:$AW910&lt;&gt;0,),0)),IF(AY910=0,INDEX($AM$7:$AW$7,MATCH(1,$AM910:$AW910,0)),IF(BF910="Multiple strategies","mixed drivers",IF(BF910="Supply chain","multiple supply","multiple silviculture"))))</f>
        <v>species</v>
      </c>
      <c r="BF910" s="2" t="str" cm="1">
        <f t="array" ref="BF910">IF(COUNTIF(AZ910:BB910,"&lt;&gt;0")=1,INDEX($V$4:$AW$4,MATCH(TRUE,INDEX($V910:$AW910&lt;&gt;0,),0)),IF(COUNTIF(AZ910:BB910,"&lt;&gt;0")=0,INDEX($AM$4:$AW$4,MATCH(1,$AM910:$AW910,0)),"Multiple strategies"))</f>
        <v>Silviculture for productivity</v>
      </c>
      <c r="BG910" s="173" t="s">
        <v>321</v>
      </c>
      <c r="BH910" t="s">
        <v>182</v>
      </c>
      <c r="BJ910" t="s">
        <v>1769</v>
      </c>
      <c r="BK910">
        <v>6758</v>
      </c>
      <c r="BL910" s="143">
        <v>6855</v>
      </c>
      <c r="BM910" s="163">
        <f t="shared" si="1141"/>
        <v>1.0143533589819473</v>
      </c>
      <c r="BN910">
        <f t="shared" si="1142"/>
        <v>97</v>
      </c>
      <c r="BO910" s="143">
        <f t="shared" si="1143"/>
        <v>97000</v>
      </c>
      <c r="BP910" t="s">
        <v>232</v>
      </c>
      <c r="BQ910" s="234"/>
      <c r="BR910" t="s">
        <v>1876</v>
      </c>
      <c r="BS910" s="143">
        <v>2990</v>
      </c>
      <c r="BT910">
        <v>2914</v>
      </c>
      <c r="BU910" s="144">
        <f t="shared" si="1144"/>
        <v>0.97458193979933105</v>
      </c>
      <c r="BV910">
        <f t="shared" si="1145"/>
        <v>-76</v>
      </c>
      <c r="BX910">
        <f t="shared" si="1146"/>
        <v>-278920</v>
      </c>
      <c r="BY910">
        <f t="shared" si="1099"/>
        <v>-2.875463917525773</v>
      </c>
      <c r="BZ910">
        <v>0</v>
      </c>
      <c r="CA910">
        <v>0</v>
      </c>
      <c r="CB910">
        <v>0</v>
      </c>
      <c r="CC910">
        <v>0</v>
      </c>
      <c r="CD910">
        <v>0</v>
      </c>
      <c r="CE910">
        <v>0</v>
      </c>
      <c r="CF910">
        <v>0</v>
      </c>
      <c r="CG910">
        <v>0</v>
      </c>
      <c r="CH910">
        <v>0</v>
      </c>
      <c r="CI910">
        <v>0</v>
      </c>
      <c r="CJ910">
        <v>0</v>
      </c>
      <c r="CK910">
        <v>0</v>
      </c>
      <c r="CL910">
        <v>0</v>
      </c>
      <c r="CM910">
        <v>0</v>
      </c>
      <c r="CN910" t="str">
        <f t="shared" si="1147"/>
        <v>refOK</v>
      </c>
      <c r="CO910">
        <f>IF($CN910="refNeedCorrection",BL910,BK910)</f>
        <v>6758</v>
      </c>
      <c r="CP910">
        <f>IF($CN910="refNeedCorrection",BK910,BL910)</f>
        <v>6855</v>
      </c>
      <c r="CQ910">
        <f t="shared" si="1148"/>
        <v>97000</v>
      </c>
      <c r="CR910">
        <f t="shared" si="1149"/>
        <v>2990</v>
      </c>
      <c r="CS910">
        <f t="shared" si="1150"/>
        <v>2914</v>
      </c>
      <c r="CT910">
        <f t="shared" si="1151"/>
        <v>-278920</v>
      </c>
      <c r="CU910">
        <f t="shared" si="1152"/>
        <v>-2.875463917525773</v>
      </c>
      <c r="CV910" s="2">
        <f t="shared" si="1153"/>
        <v>-2.5418060200668897E-2</v>
      </c>
      <c r="CW910" s="1" t="s">
        <v>1202</v>
      </c>
      <c r="CX910" s="264" t="str">
        <f t="shared" si="1154"/>
        <v>reg</v>
      </c>
      <c r="CY910" t="s">
        <v>1280</v>
      </c>
      <c r="DA910" s="143"/>
      <c r="DB910">
        <v>100</v>
      </c>
      <c r="DC910" t="str">
        <f t="shared" si="1155"/>
        <v>71-100</v>
      </c>
      <c r="DD910">
        <v>0</v>
      </c>
      <c r="DE910">
        <v>0</v>
      </c>
      <c r="DF910">
        <v>0</v>
      </c>
      <c r="DG910">
        <v>1</v>
      </c>
      <c r="DI910">
        <f t="shared" si="1156"/>
        <v>1</v>
      </c>
      <c r="DJ910" t="str">
        <f t="shared" si="1157"/>
        <v>TimberInput</v>
      </c>
      <c r="DK910">
        <f t="shared" si="1158"/>
        <v>0</v>
      </c>
      <c r="DL910">
        <f t="shared" si="1159"/>
        <v>0</v>
      </c>
      <c r="DM910">
        <f t="shared" si="1160"/>
        <v>0</v>
      </c>
      <c r="DN910" t="str">
        <f t="shared" si="1161"/>
        <v>Timber</v>
      </c>
      <c r="DO910">
        <v>0</v>
      </c>
      <c r="DP910" s="143">
        <v>0</v>
      </c>
      <c r="DQ910" s="143">
        <v>0</v>
      </c>
      <c r="DR910">
        <v>0</v>
      </c>
      <c r="DS910" s="143">
        <v>0</v>
      </c>
      <c r="DT910">
        <f t="shared" si="1162"/>
        <v>0</v>
      </c>
      <c r="DU910" s="143" t="str">
        <f t="shared" si="1163"/>
        <v>explicit C balance</v>
      </c>
      <c r="DV910" s="143">
        <v>0</v>
      </c>
      <c r="DW910" s="143">
        <v>0</v>
      </c>
      <c r="DX910" s="143">
        <v>1</v>
      </c>
      <c r="DY910" s="143">
        <v>0</v>
      </c>
      <c r="DZ910">
        <v>0</v>
      </c>
      <c r="EA910" s="143">
        <v>0</v>
      </c>
      <c r="EB910" s="143">
        <v>0</v>
      </c>
      <c r="EC910" s="143">
        <v>0</v>
      </c>
      <c r="ED910" s="143">
        <v>0</v>
      </c>
      <c r="EE910">
        <v>0</v>
      </c>
      <c r="EF910">
        <v>0</v>
      </c>
      <c r="EG910" s="143">
        <v>0</v>
      </c>
      <c r="EH910">
        <v>0</v>
      </c>
      <c r="EI910" s="2">
        <v>0</v>
      </c>
      <c r="EK910" t="str">
        <f t="shared" si="1164"/>
        <v/>
      </c>
      <c r="EL910" t="str">
        <f t="shared" si="1165"/>
        <v/>
      </c>
      <c r="EM910" s="2" t="str">
        <f t="shared" si="1100"/>
        <v/>
      </c>
      <c r="EP910" t="str">
        <f>IF(ISNUMBER(BU910),IF(ABS(BU910-[4]QC_indicators!$B$2)&gt;3*[4]QC_indicators!$C$2,"C ratio",IF(ISNUMBER(BY910),IF(ABS(BY910-[4]QC_indicators!$B$1)&gt;3*[4]QC_indicators!$C$1,"DF","no"))),IF(ISNUMBER(BY910),IF(ABS(BY910-[4]QC_indicators!$B$1)&gt;3*[4]QC_indicators!$C$1,"DF","no")))</f>
        <v>no</v>
      </c>
      <c r="ET910" s="264" t="s">
        <v>3406</v>
      </c>
    </row>
    <row r="911" spans="1:150" ht="15" hidden="1" customHeight="1">
      <c r="A911" s="1" t="s">
        <v>1269</v>
      </c>
      <c r="B911" t="s">
        <v>1868</v>
      </c>
      <c r="C911" t="s">
        <v>1869</v>
      </c>
      <c r="D911" t="s">
        <v>1870</v>
      </c>
      <c r="E911" t="s">
        <v>1871</v>
      </c>
      <c r="F911" t="s">
        <v>1872</v>
      </c>
      <c r="G911" t="s">
        <v>1275</v>
      </c>
      <c r="H911" t="s">
        <v>254</v>
      </c>
      <c r="I911">
        <v>2019</v>
      </c>
      <c r="J911">
        <v>2</v>
      </c>
      <c r="K911" t="s">
        <v>1873</v>
      </c>
      <c r="M911" t="str">
        <f t="shared" si="1132"/>
        <v>Kucuker_2019</v>
      </c>
      <c r="N911" t="s">
        <v>222</v>
      </c>
      <c r="O911" s="145" t="s">
        <v>225</v>
      </c>
      <c r="Q911" s="264" t="s">
        <v>256</v>
      </c>
      <c r="R911" s="269" t="s">
        <v>1153</v>
      </c>
      <c r="S911" s="1" t="s">
        <v>1882</v>
      </c>
      <c r="T911" t="s">
        <v>1887</v>
      </c>
      <c r="U911" t="s">
        <v>1888</v>
      </c>
      <c r="V911">
        <v>0</v>
      </c>
      <c r="W911">
        <v>0</v>
      </c>
      <c r="X911">
        <v>0</v>
      </c>
      <c r="Y911">
        <v>0</v>
      </c>
      <c r="Z911">
        <v>1</v>
      </c>
      <c r="AA911">
        <v>0</v>
      </c>
      <c r="AB911">
        <v>0</v>
      </c>
      <c r="AC911">
        <v>0</v>
      </c>
      <c r="AD911">
        <v>0</v>
      </c>
      <c r="AE911">
        <v>0</v>
      </c>
      <c r="AF911">
        <v>0</v>
      </c>
      <c r="AG911">
        <v>0</v>
      </c>
      <c r="AH911">
        <v>0</v>
      </c>
      <c r="AI911">
        <v>0</v>
      </c>
      <c r="AJ911">
        <v>0</v>
      </c>
      <c r="AK911">
        <v>0</v>
      </c>
      <c r="AL911">
        <v>0</v>
      </c>
      <c r="AM911">
        <v>0</v>
      </c>
      <c r="AN911">
        <v>0</v>
      </c>
      <c r="AO911">
        <v>0</v>
      </c>
      <c r="AP911">
        <v>0</v>
      </c>
      <c r="AQ911">
        <v>0</v>
      </c>
      <c r="AR911">
        <v>0</v>
      </c>
      <c r="AS911">
        <v>0</v>
      </c>
      <c r="AT911">
        <v>0</v>
      </c>
      <c r="AU911">
        <v>0</v>
      </c>
      <c r="AV911">
        <v>0</v>
      </c>
      <c r="AW911">
        <v>0</v>
      </c>
      <c r="AX911" s="141">
        <f t="shared" si="1134"/>
        <v>1</v>
      </c>
      <c r="AY911" s="141">
        <f t="shared" si="1135"/>
        <v>1</v>
      </c>
      <c r="AZ911">
        <f t="shared" si="1136"/>
        <v>1</v>
      </c>
      <c r="BA911">
        <f t="shared" si="1137"/>
        <v>0</v>
      </c>
      <c r="BB911">
        <f t="shared" si="1138"/>
        <v>0</v>
      </c>
      <c r="BC911">
        <f t="shared" si="1139"/>
        <v>0</v>
      </c>
      <c r="BD911">
        <f t="shared" si="1140"/>
        <v>0</v>
      </c>
      <c r="BE911" t="str" cm="1">
        <f t="array" ref="BE911">IF(AY911=1,INDEX($V$7:$AL$7,MATCH(TRUE,INDEX($V911:$AW911&lt;&gt;0,),0)),IF(AY911=0,INDEX($AM$7:$AW$7,MATCH(1,$AM911:$AW911,0)),IF(BF911="Multiple strategies","mixed drivers",IF(BF911="Supply chain","multiple supply","multiple silviculture"))))</f>
        <v>species</v>
      </c>
      <c r="BF911" s="2" t="str" cm="1">
        <f t="array" ref="BF911">IF(COUNTIF(AZ911:BB911,"&lt;&gt;0")=1,INDEX($V$4:$AW$4,MATCH(TRUE,INDEX($V911:$AW911&lt;&gt;0,),0)),IF(COUNTIF(AZ911:BB911,"&lt;&gt;0")=0,INDEX($AM$4:$AW$4,MATCH(1,$AM911:$AW911,0)),"Multiple strategies"))</f>
        <v>Silviculture for productivity</v>
      </c>
      <c r="BG911" s="173" t="s">
        <v>321</v>
      </c>
      <c r="BH911" t="s">
        <v>182</v>
      </c>
      <c r="BJ911" t="s">
        <v>1769</v>
      </c>
      <c r="BK911" s="143">
        <v>6980</v>
      </c>
      <c r="BL911">
        <v>7420</v>
      </c>
      <c r="BM911" s="264">
        <f t="shared" si="1141"/>
        <v>1.0630372492836677</v>
      </c>
      <c r="BN911">
        <f t="shared" si="1142"/>
        <v>440</v>
      </c>
      <c r="BO911" s="143">
        <f t="shared" si="1143"/>
        <v>440000</v>
      </c>
      <c r="BP911" t="s">
        <v>232</v>
      </c>
      <c r="BQ911" s="234"/>
      <c r="BR911" t="s">
        <v>1876</v>
      </c>
      <c r="BS911">
        <v>2929</v>
      </c>
      <c r="BT911" s="143">
        <v>2768</v>
      </c>
      <c r="BU911" s="144">
        <f t="shared" si="1144"/>
        <v>0.9450324342779105</v>
      </c>
      <c r="BV911">
        <f t="shared" si="1145"/>
        <v>-161</v>
      </c>
      <c r="BX911">
        <f t="shared" si="1146"/>
        <v>-590870</v>
      </c>
      <c r="BY911">
        <f t="shared" si="1099"/>
        <v>-1.3428863636363637</v>
      </c>
      <c r="BZ911">
        <v>0</v>
      </c>
      <c r="CA911">
        <v>0</v>
      </c>
      <c r="CB911">
        <v>0</v>
      </c>
      <c r="CC911">
        <v>0</v>
      </c>
      <c r="CD911">
        <v>0</v>
      </c>
      <c r="CE911">
        <v>0</v>
      </c>
      <c r="CF911">
        <v>0</v>
      </c>
      <c r="CG911">
        <v>0</v>
      </c>
      <c r="CH911">
        <v>0</v>
      </c>
      <c r="CI911">
        <v>0</v>
      </c>
      <c r="CJ911">
        <v>0</v>
      </c>
      <c r="CK911">
        <v>0</v>
      </c>
      <c r="CL911">
        <v>0</v>
      </c>
      <c r="CM911">
        <v>0</v>
      </c>
      <c r="CN911" t="str">
        <f t="shared" si="1147"/>
        <v>refOK</v>
      </c>
      <c r="CO911">
        <f>IF($CN911="refNeedCorrection",BK911,BL911)</f>
        <v>7420</v>
      </c>
      <c r="CP911">
        <f>IF($CN911="refNeedCorrection",BL911,BK911)</f>
        <v>6980</v>
      </c>
      <c r="CQ911">
        <f t="shared" si="1148"/>
        <v>440000</v>
      </c>
      <c r="CR911">
        <f t="shared" si="1149"/>
        <v>2929</v>
      </c>
      <c r="CS911">
        <f t="shared" si="1150"/>
        <v>2768</v>
      </c>
      <c r="CT911">
        <f t="shared" si="1151"/>
        <v>-590870</v>
      </c>
      <c r="CU911">
        <f t="shared" si="1152"/>
        <v>-1.3428863636363637</v>
      </c>
      <c r="CV911" s="2">
        <f t="shared" si="1153"/>
        <v>-5.4967565722089454E-2</v>
      </c>
      <c r="CW911" s="1" t="s">
        <v>1202</v>
      </c>
      <c r="CX911" s="264" t="str">
        <f t="shared" si="1154"/>
        <v>reg</v>
      </c>
      <c r="CY911" t="s">
        <v>1280</v>
      </c>
      <c r="DA911" s="143"/>
      <c r="DB911">
        <v>100</v>
      </c>
      <c r="DC911" t="str">
        <f t="shared" si="1155"/>
        <v>71-100</v>
      </c>
      <c r="DD911">
        <v>0</v>
      </c>
      <c r="DE911">
        <v>0</v>
      </c>
      <c r="DF911">
        <v>0</v>
      </c>
      <c r="DG911">
        <v>1</v>
      </c>
      <c r="DI911">
        <f t="shared" si="1156"/>
        <v>1</v>
      </c>
      <c r="DJ911" t="str">
        <f t="shared" si="1157"/>
        <v>TimberInput</v>
      </c>
      <c r="DK911">
        <f t="shared" si="1158"/>
        <v>0</v>
      </c>
      <c r="DL911">
        <f t="shared" si="1159"/>
        <v>0</v>
      </c>
      <c r="DM911">
        <f t="shared" si="1160"/>
        <v>0</v>
      </c>
      <c r="DN911" t="str">
        <f t="shared" si="1161"/>
        <v>Timber</v>
      </c>
      <c r="DO911">
        <v>0</v>
      </c>
      <c r="DP911" s="143">
        <v>0</v>
      </c>
      <c r="DQ911" s="143">
        <v>0</v>
      </c>
      <c r="DR911">
        <v>0</v>
      </c>
      <c r="DS911" s="143">
        <v>0</v>
      </c>
      <c r="DT911">
        <f t="shared" si="1162"/>
        <v>0</v>
      </c>
      <c r="DU911" s="143" t="str">
        <f t="shared" si="1163"/>
        <v>explicit C balance</v>
      </c>
      <c r="DV911" s="143">
        <v>0</v>
      </c>
      <c r="DW911" s="143">
        <v>0</v>
      </c>
      <c r="DX911" s="143">
        <v>1</v>
      </c>
      <c r="DY911" s="143">
        <v>0</v>
      </c>
      <c r="DZ911">
        <v>0</v>
      </c>
      <c r="EA911" s="143">
        <v>0</v>
      </c>
      <c r="EB911" s="143">
        <v>0</v>
      </c>
      <c r="EC911" s="143">
        <v>0</v>
      </c>
      <c r="ED911" s="143">
        <v>0</v>
      </c>
      <c r="EE911">
        <v>0</v>
      </c>
      <c r="EF911">
        <v>0</v>
      </c>
      <c r="EG911" s="143">
        <v>0</v>
      </c>
      <c r="EH911">
        <v>0</v>
      </c>
      <c r="EI911" s="2">
        <v>0</v>
      </c>
      <c r="EK911" t="str">
        <f t="shared" si="1164"/>
        <v/>
      </c>
      <c r="EL911" t="str">
        <f t="shared" si="1165"/>
        <v/>
      </c>
      <c r="EM911" s="2" t="str">
        <f t="shared" si="1100"/>
        <v/>
      </c>
      <c r="EP911" t="str">
        <f>IF(ISNUMBER(BU911),IF(ABS(BU911-[4]QC_indicators!$B$2)&gt;3*[4]QC_indicators!$C$2,"C ratio",IF(ISNUMBER(BY911),IF(ABS(BY911-[4]QC_indicators!$B$1)&gt;3*[4]QC_indicators!$C$1,"DF","no"))),IF(ISNUMBER(BY911),IF(ABS(BY911-[4]QC_indicators!$B$1)&gt;3*[4]QC_indicators!$C$1,"DF","no")))</f>
        <v>no</v>
      </c>
      <c r="ET911" s="264" t="s">
        <v>3406</v>
      </c>
    </row>
    <row r="912" spans="1:150" ht="15" hidden="1" customHeight="1">
      <c r="A912" s="1" t="s">
        <v>1269</v>
      </c>
      <c r="B912" t="s">
        <v>1868</v>
      </c>
      <c r="C912" t="s">
        <v>1869</v>
      </c>
      <c r="D912" t="s">
        <v>1870</v>
      </c>
      <c r="E912" t="s">
        <v>1871</v>
      </c>
      <c r="F912" t="s">
        <v>1872</v>
      </c>
      <c r="G912" t="s">
        <v>1275</v>
      </c>
      <c r="H912" t="s">
        <v>254</v>
      </c>
      <c r="I912">
        <v>2019</v>
      </c>
      <c r="J912">
        <v>2</v>
      </c>
      <c r="K912" t="s">
        <v>1873</v>
      </c>
      <c r="M912" t="str">
        <f t="shared" si="1132"/>
        <v>Kucuker_2019</v>
      </c>
      <c r="N912" t="s">
        <v>222</v>
      </c>
      <c r="O912" s="145" t="s">
        <v>225</v>
      </c>
      <c r="Q912" s="264" t="s">
        <v>256</v>
      </c>
      <c r="R912" s="269" t="s">
        <v>1153</v>
      </c>
      <c r="S912" s="1" t="s">
        <v>1882</v>
      </c>
      <c r="T912" t="s">
        <v>1889</v>
      </c>
      <c r="U912" t="s">
        <v>1888</v>
      </c>
      <c r="V912">
        <v>0</v>
      </c>
      <c r="W912">
        <v>0</v>
      </c>
      <c r="X912">
        <v>0</v>
      </c>
      <c r="Y912">
        <v>0</v>
      </c>
      <c r="Z912">
        <v>1</v>
      </c>
      <c r="AA912">
        <v>0</v>
      </c>
      <c r="AB912">
        <v>0</v>
      </c>
      <c r="AC912">
        <v>0</v>
      </c>
      <c r="AD912">
        <v>0</v>
      </c>
      <c r="AE912">
        <v>0</v>
      </c>
      <c r="AF912">
        <v>0</v>
      </c>
      <c r="AG912">
        <v>0</v>
      </c>
      <c r="AH912">
        <v>0</v>
      </c>
      <c r="AI912">
        <v>0</v>
      </c>
      <c r="AJ912">
        <v>0</v>
      </c>
      <c r="AK912">
        <v>0</v>
      </c>
      <c r="AL912">
        <v>0</v>
      </c>
      <c r="AM912">
        <v>0</v>
      </c>
      <c r="AN912">
        <v>0</v>
      </c>
      <c r="AO912">
        <v>0</v>
      </c>
      <c r="AP912">
        <v>0</v>
      </c>
      <c r="AQ912">
        <v>0</v>
      </c>
      <c r="AR912">
        <v>0</v>
      </c>
      <c r="AS912">
        <v>0</v>
      </c>
      <c r="AT912">
        <v>0</v>
      </c>
      <c r="AU912">
        <v>0</v>
      </c>
      <c r="AV912">
        <v>0</v>
      </c>
      <c r="AW912">
        <v>0</v>
      </c>
      <c r="AX912" s="141">
        <f t="shared" si="1134"/>
        <v>1</v>
      </c>
      <c r="AY912" s="141">
        <f t="shared" si="1135"/>
        <v>1</v>
      </c>
      <c r="AZ912">
        <f t="shared" si="1136"/>
        <v>1</v>
      </c>
      <c r="BA912">
        <f t="shared" si="1137"/>
        <v>0</v>
      </c>
      <c r="BB912">
        <f t="shared" si="1138"/>
        <v>0</v>
      </c>
      <c r="BC912">
        <f t="shared" si="1139"/>
        <v>0</v>
      </c>
      <c r="BD912">
        <f t="shared" si="1140"/>
        <v>0</v>
      </c>
      <c r="BE912" t="str" cm="1">
        <f t="array" ref="BE912">IF(AY912=1,INDEX($V$7:$AL$7,MATCH(TRUE,INDEX($V912:$AW912&lt;&gt;0,),0)),IF(AY912=0,INDEX($AM$7:$AW$7,MATCH(1,$AM912:$AW912,0)),IF(BF912="Multiple strategies","mixed drivers",IF(BF912="Supply chain","multiple supply","multiple silviculture"))))</f>
        <v>species</v>
      </c>
      <c r="BF912" s="2" t="str" cm="1">
        <f t="array" ref="BF912">IF(COUNTIF(AZ912:BB912,"&lt;&gt;0")=1,INDEX($V$4:$AW$4,MATCH(TRUE,INDEX($V912:$AW912&lt;&gt;0,),0)),IF(COUNTIF(AZ912:BB912,"&lt;&gt;0")=0,INDEX($AM$4:$AW$4,MATCH(1,$AM912:$AW912,0)),"Multiple strategies"))</f>
        <v>Silviculture for productivity</v>
      </c>
      <c r="BG912" s="173" t="s">
        <v>321</v>
      </c>
      <c r="BH912" t="s">
        <v>182</v>
      </c>
      <c r="BJ912" t="s">
        <v>1769</v>
      </c>
      <c r="BK912" s="143">
        <v>7115</v>
      </c>
      <c r="BL912">
        <v>7420</v>
      </c>
      <c r="BM912" s="264">
        <f t="shared" si="1141"/>
        <v>1.0428671820098383</v>
      </c>
      <c r="BN912">
        <f t="shared" si="1142"/>
        <v>305</v>
      </c>
      <c r="BO912" s="143">
        <f t="shared" si="1143"/>
        <v>305000</v>
      </c>
      <c r="BP912" t="s">
        <v>232</v>
      </c>
      <c r="BQ912" s="234"/>
      <c r="BR912" t="s">
        <v>1876</v>
      </c>
      <c r="BS912">
        <v>2691</v>
      </c>
      <c r="BT912" s="143">
        <v>2768</v>
      </c>
      <c r="BU912" s="144">
        <f t="shared" si="1144"/>
        <v>1.0286138981791155</v>
      </c>
      <c r="BV912">
        <f t="shared" si="1145"/>
        <v>77</v>
      </c>
      <c r="BX912">
        <f t="shared" si="1146"/>
        <v>282590</v>
      </c>
      <c r="BY912">
        <f t="shared" si="1099"/>
        <v>0.9265245901639344</v>
      </c>
      <c r="BZ912">
        <v>0</v>
      </c>
      <c r="CA912">
        <v>0</v>
      </c>
      <c r="CB912">
        <v>0</v>
      </c>
      <c r="CC912">
        <v>0</v>
      </c>
      <c r="CD912">
        <v>0</v>
      </c>
      <c r="CE912">
        <v>0</v>
      </c>
      <c r="CF912">
        <v>0</v>
      </c>
      <c r="CG912">
        <v>0</v>
      </c>
      <c r="CH912">
        <v>0</v>
      </c>
      <c r="CI912">
        <v>0</v>
      </c>
      <c r="CJ912">
        <v>0</v>
      </c>
      <c r="CK912">
        <v>0</v>
      </c>
      <c r="CL912">
        <v>0</v>
      </c>
      <c r="CM912">
        <v>0</v>
      </c>
      <c r="CN912" t="str">
        <f t="shared" si="1147"/>
        <v>refOK</v>
      </c>
      <c r="CO912">
        <f>IF($CN912="refNeedCorrection",BK912,BL912)</f>
        <v>7420</v>
      </c>
      <c r="CP912">
        <f>IF($CN912="refNeedCorrection",BL912,BK912)</f>
        <v>7115</v>
      </c>
      <c r="CQ912">
        <f t="shared" si="1148"/>
        <v>305000</v>
      </c>
      <c r="CR912">
        <f t="shared" si="1149"/>
        <v>2691</v>
      </c>
      <c r="CS912">
        <f t="shared" si="1150"/>
        <v>2768</v>
      </c>
      <c r="CT912">
        <f t="shared" si="1151"/>
        <v>282590</v>
      </c>
      <c r="CU912">
        <f t="shared" si="1152"/>
        <v>0.9265245901639344</v>
      </c>
      <c r="CV912" s="2">
        <f t="shared" si="1153"/>
        <v>2.8613898179115572E-2</v>
      </c>
      <c r="CW912" s="1" t="s">
        <v>1202</v>
      </c>
      <c r="CX912" s="264" t="str">
        <f t="shared" si="1154"/>
        <v>reg</v>
      </c>
      <c r="CY912" t="s">
        <v>1280</v>
      </c>
      <c r="DA912" s="143"/>
      <c r="DB912">
        <v>100</v>
      </c>
      <c r="DC912" t="str">
        <f t="shared" si="1155"/>
        <v>71-100</v>
      </c>
      <c r="DD912">
        <v>0</v>
      </c>
      <c r="DE912">
        <v>0</v>
      </c>
      <c r="DF912">
        <v>0</v>
      </c>
      <c r="DG912">
        <v>1</v>
      </c>
      <c r="DI912">
        <f t="shared" si="1156"/>
        <v>1</v>
      </c>
      <c r="DJ912" t="str">
        <f t="shared" si="1157"/>
        <v>TimberInput</v>
      </c>
      <c r="DK912">
        <f t="shared" si="1158"/>
        <v>0</v>
      </c>
      <c r="DL912">
        <f t="shared" si="1159"/>
        <v>0</v>
      </c>
      <c r="DM912">
        <f t="shared" si="1160"/>
        <v>0</v>
      </c>
      <c r="DN912" t="str">
        <f t="shared" si="1161"/>
        <v>Timber</v>
      </c>
      <c r="DO912">
        <v>0</v>
      </c>
      <c r="DP912" s="143">
        <v>0</v>
      </c>
      <c r="DQ912" s="143">
        <v>0</v>
      </c>
      <c r="DR912">
        <v>0</v>
      </c>
      <c r="DS912" s="143">
        <v>0</v>
      </c>
      <c r="DT912">
        <f t="shared" si="1162"/>
        <v>0</v>
      </c>
      <c r="DU912" s="143" t="str">
        <f t="shared" si="1163"/>
        <v>explicit C balance</v>
      </c>
      <c r="DV912" s="143">
        <v>0</v>
      </c>
      <c r="DW912" s="143">
        <v>0</v>
      </c>
      <c r="DX912" s="143">
        <v>1</v>
      </c>
      <c r="DY912" s="143">
        <v>0</v>
      </c>
      <c r="DZ912">
        <v>0</v>
      </c>
      <c r="EA912" s="143">
        <v>0</v>
      </c>
      <c r="EB912" s="143">
        <v>0</v>
      </c>
      <c r="EC912" s="143">
        <v>0</v>
      </c>
      <c r="ED912" s="143">
        <v>0</v>
      </c>
      <c r="EE912">
        <v>0</v>
      </c>
      <c r="EF912">
        <v>0</v>
      </c>
      <c r="EG912" s="143">
        <v>0</v>
      </c>
      <c r="EH912">
        <v>0</v>
      </c>
      <c r="EI912" s="2">
        <v>0</v>
      </c>
      <c r="EK912" t="str">
        <f t="shared" si="1164"/>
        <v/>
      </c>
      <c r="EL912" t="str">
        <f t="shared" si="1165"/>
        <v/>
      </c>
      <c r="EM912" s="2" t="str">
        <f t="shared" si="1100"/>
        <v/>
      </c>
      <c r="EP912" t="str">
        <f>IF(ISNUMBER(BU912),IF(ABS(BU912-[4]QC_indicators!$B$2)&gt;3*[4]QC_indicators!$C$2,"C ratio",IF(ISNUMBER(BY912),IF(ABS(BY912-[4]QC_indicators!$B$1)&gt;3*[4]QC_indicators!$C$1,"DF","no"))),IF(ISNUMBER(BY912),IF(ABS(BY912-[4]QC_indicators!$B$1)&gt;3*[4]QC_indicators!$C$1,"DF","no")))</f>
        <v>no</v>
      </c>
      <c r="ET912" s="264" t="s">
        <v>3406</v>
      </c>
    </row>
    <row r="913" spans="1:150" ht="15" hidden="1" customHeight="1">
      <c r="A913" s="1" t="s">
        <v>1269</v>
      </c>
      <c r="B913" t="s">
        <v>1868</v>
      </c>
      <c r="C913" t="s">
        <v>1869</v>
      </c>
      <c r="D913" t="s">
        <v>1870</v>
      </c>
      <c r="E913" t="s">
        <v>1871</v>
      </c>
      <c r="F913" t="s">
        <v>1872</v>
      </c>
      <c r="G913" t="s">
        <v>1275</v>
      </c>
      <c r="H913" t="s">
        <v>254</v>
      </c>
      <c r="I913">
        <v>2019</v>
      </c>
      <c r="J913">
        <v>2</v>
      </c>
      <c r="K913" t="s">
        <v>1873</v>
      </c>
      <c r="M913" t="str">
        <f t="shared" si="1132"/>
        <v>Kucuker_2019</v>
      </c>
      <c r="N913" t="s">
        <v>222</v>
      </c>
      <c r="O913" s="145" t="s">
        <v>225</v>
      </c>
      <c r="Q913" s="264" t="s">
        <v>256</v>
      </c>
      <c r="R913" s="269" t="s">
        <v>1153</v>
      </c>
      <c r="S913" s="1" t="s">
        <v>1874</v>
      </c>
      <c r="T913" t="s">
        <v>1875</v>
      </c>
      <c r="U913">
        <v>20</v>
      </c>
      <c r="V913">
        <v>0</v>
      </c>
      <c r="W913">
        <v>0</v>
      </c>
      <c r="X913">
        <v>0</v>
      </c>
      <c r="Y913">
        <v>0</v>
      </c>
      <c r="Z913">
        <v>0</v>
      </c>
      <c r="AA913">
        <v>0</v>
      </c>
      <c r="AB913">
        <v>0</v>
      </c>
      <c r="AC913">
        <v>0</v>
      </c>
      <c r="AD913">
        <v>0</v>
      </c>
      <c r="AE913">
        <v>0</v>
      </c>
      <c r="AF913">
        <v>0</v>
      </c>
      <c r="AG913">
        <v>0</v>
      </c>
      <c r="AH913">
        <v>0</v>
      </c>
      <c r="AI913">
        <v>0</v>
      </c>
      <c r="AJ913">
        <v>0</v>
      </c>
      <c r="AK913">
        <v>0</v>
      </c>
      <c r="AL913">
        <v>0</v>
      </c>
      <c r="AM913">
        <v>0</v>
      </c>
      <c r="AN913">
        <v>0</v>
      </c>
      <c r="AO913">
        <v>0</v>
      </c>
      <c r="AP913">
        <v>0</v>
      </c>
      <c r="AQ913">
        <v>0</v>
      </c>
      <c r="AR913">
        <v>0</v>
      </c>
      <c r="AS913">
        <v>0</v>
      </c>
      <c r="AT913">
        <v>0</v>
      </c>
      <c r="AU913">
        <v>0</v>
      </c>
      <c r="AV913">
        <v>1</v>
      </c>
      <c r="AW913">
        <v>0</v>
      </c>
      <c r="AX913" s="141">
        <f t="shared" si="1134"/>
        <v>1</v>
      </c>
      <c r="AY913" s="141">
        <f t="shared" si="1135"/>
        <v>0</v>
      </c>
      <c r="AZ913">
        <f t="shared" si="1136"/>
        <v>0</v>
      </c>
      <c r="BA913">
        <f t="shared" si="1137"/>
        <v>0</v>
      </c>
      <c r="BB913">
        <f t="shared" si="1138"/>
        <v>0</v>
      </c>
      <c r="BC913">
        <f t="shared" si="1139"/>
        <v>1</v>
      </c>
      <c r="BD913">
        <f t="shared" si="1140"/>
        <v>0</v>
      </c>
      <c r="BE913" t="str" cm="1">
        <f t="array" ref="BE913">IF(AY913=1,INDEX($V$7:$AL$7,MATCH(TRUE,INDEX($V913:$AW913&lt;&gt;0,),0)),IF(AY913=0,INDEX($AM$7:$AW$7,MATCH(1,$AM913:$AW913,0)),IF(BF913="Multiple strategies","mixed drivers",IF(BF913="Supply chain","multiple supply","multiple silviculture"))))</f>
        <v>Exogenous C price</v>
      </c>
      <c r="BF913" s="2" t="str" cm="1">
        <f t="array" ref="BF913">IF(COUNTIF(AZ913:BB913,"&lt;&gt;0")=1,INDEX($V$4:$AW$4,MATCH(TRUE,INDEX($V913:$AW913&lt;&gt;0,),0)),IF(COUNTIF(AZ913:BB913,"&lt;&gt;0")=0,INDEX($AM$4:$AW$4,MATCH(1,$AM913:$AW913,0)),"Multiple strategies"))</f>
        <v>Demand</v>
      </c>
      <c r="BG913" s="173" t="s">
        <v>321</v>
      </c>
      <c r="BH913" t="s">
        <v>182</v>
      </c>
      <c r="BJ913" t="s">
        <v>1769</v>
      </c>
      <c r="BK913">
        <v>5347</v>
      </c>
      <c r="BL913" s="143">
        <v>6637</v>
      </c>
      <c r="BM913" s="163">
        <f t="shared" si="1141"/>
        <v>1.2412567795025249</v>
      </c>
      <c r="BN913">
        <f t="shared" si="1142"/>
        <v>1290</v>
      </c>
      <c r="BO913" s="143">
        <f t="shared" si="1143"/>
        <v>1290000</v>
      </c>
      <c r="BP913" t="s">
        <v>232</v>
      </c>
      <c r="BQ913" s="234"/>
      <c r="BR913" t="s">
        <v>1876</v>
      </c>
      <c r="BS913">
        <v>1418</v>
      </c>
      <c r="BT913" s="143">
        <v>2918</v>
      </c>
      <c r="BU913" s="144">
        <f t="shared" si="1144"/>
        <v>2.0578279266572639</v>
      </c>
      <c r="BV913">
        <f t="shared" si="1145"/>
        <v>1500</v>
      </c>
      <c r="BX913">
        <f t="shared" si="1146"/>
        <v>5505000</v>
      </c>
      <c r="BY913">
        <f t="shared" si="1099"/>
        <v>4.2674418604651159</v>
      </c>
      <c r="BZ913">
        <v>0</v>
      </c>
      <c r="CA913">
        <v>0</v>
      </c>
      <c r="CB913">
        <v>0</v>
      </c>
      <c r="CC913">
        <v>0</v>
      </c>
      <c r="CD913">
        <v>0</v>
      </c>
      <c r="CE913">
        <v>0</v>
      </c>
      <c r="CF913">
        <v>0</v>
      </c>
      <c r="CG913">
        <v>0</v>
      </c>
      <c r="CH913">
        <v>0</v>
      </c>
      <c r="CI913">
        <v>0</v>
      </c>
      <c r="CJ913">
        <v>0</v>
      </c>
      <c r="CK913">
        <v>0</v>
      </c>
      <c r="CL913">
        <v>0</v>
      </c>
      <c r="CM913">
        <v>0</v>
      </c>
      <c r="CN913" t="str">
        <f t="shared" si="1147"/>
        <v>refOK</v>
      </c>
      <c r="CO913">
        <f t="shared" ref="CO913:CO921" si="1166">IF($CN913="refNeedCorrection",BL913,BK913)</f>
        <v>5347</v>
      </c>
      <c r="CP913">
        <f t="shared" ref="CP913:CP921" si="1167">IF($CN913="refNeedCorrection",BK913,BL913)</f>
        <v>6637</v>
      </c>
      <c r="CQ913">
        <f t="shared" si="1148"/>
        <v>1290000</v>
      </c>
      <c r="CR913">
        <f t="shared" si="1149"/>
        <v>1418</v>
      </c>
      <c r="CS913">
        <f t="shared" si="1150"/>
        <v>2918</v>
      </c>
      <c r="CT913">
        <f t="shared" si="1151"/>
        <v>5505000</v>
      </c>
      <c r="CU913">
        <f t="shared" si="1152"/>
        <v>4.2674418604651159</v>
      </c>
      <c r="CV913" s="2">
        <f t="shared" si="1153"/>
        <v>1.0578279266572637</v>
      </c>
      <c r="CW913" s="1" t="s">
        <v>1202</v>
      </c>
      <c r="CX913" s="264" t="str">
        <f t="shared" si="1154"/>
        <v>reg</v>
      </c>
      <c r="CY913" t="s">
        <v>1280</v>
      </c>
      <c r="DA913" s="143"/>
      <c r="DB913">
        <v>100</v>
      </c>
      <c r="DC913" t="str">
        <f t="shared" si="1155"/>
        <v>71-100</v>
      </c>
      <c r="DD913">
        <v>0</v>
      </c>
      <c r="DE913">
        <v>0</v>
      </c>
      <c r="DF913">
        <v>0</v>
      </c>
      <c r="DG913">
        <v>1</v>
      </c>
      <c r="DI913">
        <f t="shared" si="1156"/>
        <v>1</v>
      </c>
      <c r="DJ913" t="str">
        <f t="shared" si="1157"/>
        <v>TimberInput</v>
      </c>
      <c r="DK913">
        <f t="shared" si="1158"/>
        <v>0</v>
      </c>
      <c r="DL913">
        <f t="shared" si="1159"/>
        <v>0</v>
      </c>
      <c r="DM913">
        <f t="shared" si="1160"/>
        <v>0</v>
      </c>
      <c r="DN913" t="str">
        <f t="shared" si="1161"/>
        <v>Timber</v>
      </c>
      <c r="DO913">
        <v>0</v>
      </c>
      <c r="DP913" s="143">
        <v>0</v>
      </c>
      <c r="DQ913" s="143">
        <v>0</v>
      </c>
      <c r="DR913">
        <v>0</v>
      </c>
      <c r="DS913" s="143">
        <v>0</v>
      </c>
      <c r="DT913">
        <f t="shared" si="1162"/>
        <v>0</v>
      </c>
      <c r="DU913" s="143" t="str">
        <f t="shared" si="1163"/>
        <v>explicit C balance</v>
      </c>
      <c r="DV913" s="143">
        <v>0</v>
      </c>
      <c r="DW913" s="143">
        <v>0</v>
      </c>
      <c r="DX913" s="143">
        <v>1</v>
      </c>
      <c r="DY913" s="143">
        <v>0</v>
      </c>
      <c r="DZ913">
        <v>0</v>
      </c>
      <c r="EA913" s="143">
        <v>0</v>
      </c>
      <c r="EB913" s="143">
        <v>0</v>
      </c>
      <c r="EC913" s="143">
        <v>0</v>
      </c>
      <c r="ED913" s="143">
        <v>0</v>
      </c>
      <c r="EE913">
        <v>0</v>
      </c>
      <c r="EF913">
        <v>0</v>
      </c>
      <c r="EG913" s="143">
        <v>0</v>
      </c>
      <c r="EH913">
        <v>0</v>
      </c>
      <c r="EI913" s="2">
        <v>0</v>
      </c>
      <c r="EK913" t="str">
        <f t="shared" si="1164"/>
        <v/>
      </c>
      <c r="EL913" t="str">
        <f t="shared" si="1165"/>
        <v/>
      </c>
      <c r="EM913" s="2" t="str">
        <f t="shared" si="1100"/>
        <v/>
      </c>
      <c r="EP913" t="str">
        <f>IF(ISNUMBER(BU913),IF(ABS(BU913-[4]QC_indicators!$B$2)&gt;3*[4]QC_indicators!$C$2,"C ratio",IF(ISNUMBER(BY913),IF(ABS(BY913-[4]QC_indicators!$B$1)&gt;3*[4]QC_indicators!$C$1,"DF","no"))),IF(ISNUMBER(BY913),IF(ABS(BY913-[4]QC_indicators!$B$1)&gt;3*[4]QC_indicators!$C$1,"DF","no")))</f>
        <v>no</v>
      </c>
      <c r="EQ913" t="s">
        <v>1877</v>
      </c>
      <c r="ET913" s="264" t="s">
        <v>3406</v>
      </c>
    </row>
    <row r="914" spans="1:150" ht="15" hidden="1" customHeight="1">
      <c r="A914" s="1" t="s">
        <v>1269</v>
      </c>
      <c r="B914" t="s">
        <v>1868</v>
      </c>
      <c r="C914" t="s">
        <v>1869</v>
      </c>
      <c r="D914" t="s">
        <v>1870</v>
      </c>
      <c r="E914" s="264" t="s">
        <v>1871</v>
      </c>
      <c r="F914" t="s">
        <v>1872</v>
      </c>
      <c r="G914" t="s">
        <v>1275</v>
      </c>
      <c r="H914" t="s">
        <v>254</v>
      </c>
      <c r="I914">
        <v>2019</v>
      </c>
      <c r="J914">
        <v>2</v>
      </c>
      <c r="K914" t="s">
        <v>1873</v>
      </c>
      <c r="M914" t="str">
        <f t="shared" si="1132"/>
        <v>Kucuker_2019</v>
      </c>
      <c r="N914" t="s">
        <v>222</v>
      </c>
      <c r="O914" s="145" t="s">
        <v>225</v>
      </c>
      <c r="Q914" s="264" t="s">
        <v>256</v>
      </c>
      <c r="R914" s="269" t="s">
        <v>1153</v>
      </c>
      <c r="S914" s="1" t="s">
        <v>1879</v>
      </c>
      <c r="T914" t="s">
        <v>1880</v>
      </c>
      <c r="U914" t="s">
        <v>1881</v>
      </c>
      <c r="V914">
        <v>0</v>
      </c>
      <c r="W914">
        <v>0</v>
      </c>
      <c r="X914">
        <v>0</v>
      </c>
      <c r="Y914">
        <v>0</v>
      </c>
      <c r="Z914">
        <v>0</v>
      </c>
      <c r="AA914">
        <v>0</v>
      </c>
      <c r="AB914">
        <v>0</v>
      </c>
      <c r="AC914">
        <v>0</v>
      </c>
      <c r="AD914">
        <v>0</v>
      </c>
      <c r="AE914">
        <v>0</v>
      </c>
      <c r="AF914">
        <v>0</v>
      </c>
      <c r="AG914">
        <v>0</v>
      </c>
      <c r="AH914">
        <v>0</v>
      </c>
      <c r="AI914">
        <v>0</v>
      </c>
      <c r="AJ914">
        <v>0</v>
      </c>
      <c r="AK914">
        <v>0</v>
      </c>
      <c r="AL914">
        <v>0</v>
      </c>
      <c r="AM914">
        <v>0</v>
      </c>
      <c r="AN914">
        <v>0</v>
      </c>
      <c r="AO914">
        <v>0</v>
      </c>
      <c r="AP914">
        <v>0</v>
      </c>
      <c r="AQ914">
        <v>0</v>
      </c>
      <c r="AR914">
        <v>0</v>
      </c>
      <c r="AS914">
        <v>0</v>
      </c>
      <c r="AT914">
        <v>0</v>
      </c>
      <c r="AU914">
        <v>0</v>
      </c>
      <c r="AV914">
        <v>0</v>
      </c>
      <c r="AW914">
        <v>1</v>
      </c>
      <c r="AX914" s="141">
        <f t="shared" si="1134"/>
        <v>1</v>
      </c>
      <c r="AY914" s="141">
        <f t="shared" si="1135"/>
        <v>0</v>
      </c>
      <c r="AZ914">
        <f t="shared" si="1136"/>
        <v>0</v>
      </c>
      <c r="BA914">
        <f t="shared" si="1137"/>
        <v>0</v>
      </c>
      <c r="BB914">
        <f t="shared" si="1138"/>
        <v>0</v>
      </c>
      <c r="BC914">
        <f t="shared" si="1139"/>
        <v>1</v>
      </c>
      <c r="BD914">
        <f t="shared" si="1140"/>
        <v>0</v>
      </c>
      <c r="BE914" t="str" cm="1">
        <f t="array" ref="BE914">IF(AY914=1,INDEX($V$7:$AL$7,MATCH(TRUE,INDEX($V914:$AW914&lt;&gt;0,),0)),IF(AY914=0,INDEX($AM$7:$AW$7,MATCH(1,$AM914:$AW914,0)),IF(BF914="Multiple strategies","mixed drivers",IF(BF914="Supply chain","multiple supply","multiple silviculture"))))</f>
        <v>exogenous land use change</v>
      </c>
      <c r="BF914" s="2" t="str" cm="1">
        <f t="array" ref="BF914">IF(COUNTIF(AZ914:BB914,"&lt;&gt;0")=1,INDEX($V$4:$AW$4,MATCH(TRUE,INDEX($V914:$AW914&lt;&gt;0,),0)),IF(COUNTIF(AZ914:BB914,"&lt;&gt;0")=0,INDEX($AM$4:$AW$4,MATCH(1,$AM914:$AW914,0)),"Multiple strategies"))</f>
        <v>Demand</v>
      </c>
      <c r="BG914" s="173" t="s">
        <v>321</v>
      </c>
      <c r="BH914" t="s">
        <v>182</v>
      </c>
      <c r="BJ914" t="s">
        <v>1769</v>
      </c>
      <c r="BK914">
        <v>7228</v>
      </c>
      <c r="BL914" s="143">
        <v>7395</v>
      </c>
      <c r="BM914" s="163">
        <f t="shared" si="1141"/>
        <v>1.0231045932484781</v>
      </c>
      <c r="BN914">
        <f t="shared" si="1142"/>
        <v>167</v>
      </c>
      <c r="BO914" s="143">
        <f t="shared" si="1143"/>
        <v>167000</v>
      </c>
      <c r="BP914" t="s">
        <v>232</v>
      </c>
      <c r="BQ914" s="234"/>
      <c r="BR914" t="s">
        <v>1876</v>
      </c>
      <c r="BS914" s="143">
        <v>3952</v>
      </c>
      <c r="BT914">
        <v>4158</v>
      </c>
      <c r="BU914" s="144">
        <f t="shared" si="1144"/>
        <v>1.0521255060728745</v>
      </c>
      <c r="BV914">
        <f t="shared" si="1145"/>
        <v>206</v>
      </c>
      <c r="BX914">
        <f t="shared" si="1146"/>
        <v>756020</v>
      </c>
      <c r="BY914">
        <f t="shared" si="1099"/>
        <v>4.527065868263473</v>
      </c>
      <c r="BZ914">
        <v>0</v>
      </c>
      <c r="CA914">
        <v>0</v>
      </c>
      <c r="CB914">
        <v>0</v>
      </c>
      <c r="CC914">
        <v>0</v>
      </c>
      <c r="CD914">
        <v>0</v>
      </c>
      <c r="CE914">
        <v>0</v>
      </c>
      <c r="CF914">
        <v>0</v>
      </c>
      <c r="CG914">
        <v>0</v>
      </c>
      <c r="CH914">
        <v>0</v>
      </c>
      <c r="CI914">
        <v>0</v>
      </c>
      <c r="CJ914">
        <v>0</v>
      </c>
      <c r="CK914">
        <v>0</v>
      </c>
      <c r="CL914">
        <v>0</v>
      </c>
      <c r="CM914">
        <v>0</v>
      </c>
      <c r="CN914" t="str">
        <f t="shared" si="1147"/>
        <v>refOK</v>
      </c>
      <c r="CO914">
        <f t="shared" si="1166"/>
        <v>7228</v>
      </c>
      <c r="CP914">
        <f t="shared" si="1167"/>
        <v>7395</v>
      </c>
      <c r="CQ914">
        <f t="shared" si="1148"/>
        <v>167000</v>
      </c>
      <c r="CR914">
        <f t="shared" si="1149"/>
        <v>3952</v>
      </c>
      <c r="CS914">
        <f t="shared" si="1150"/>
        <v>4158</v>
      </c>
      <c r="CT914">
        <f t="shared" si="1151"/>
        <v>756020</v>
      </c>
      <c r="CU914">
        <f t="shared" si="1152"/>
        <v>4.527065868263473</v>
      </c>
      <c r="CV914" s="2">
        <f t="shared" si="1153"/>
        <v>5.2125506072874493E-2</v>
      </c>
      <c r="CW914" s="1" t="s">
        <v>1202</v>
      </c>
      <c r="CX914" s="264" t="str">
        <f t="shared" si="1154"/>
        <v>reg</v>
      </c>
      <c r="CY914" t="s">
        <v>1280</v>
      </c>
      <c r="DA914" s="143"/>
      <c r="DB914">
        <v>100</v>
      </c>
      <c r="DC914" t="str">
        <f t="shared" si="1155"/>
        <v>71-100</v>
      </c>
      <c r="DD914">
        <v>0</v>
      </c>
      <c r="DE914">
        <v>0</v>
      </c>
      <c r="DF914">
        <v>0</v>
      </c>
      <c r="DG914">
        <v>1</v>
      </c>
      <c r="DI914">
        <f t="shared" si="1156"/>
        <v>1</v>
      </c>
      <c r="DJ914" t="str">
        <f t="shared" si="1157"/>
        <v>TimberInput</v>
      </c>
      <c r="DK914">
        <f t="shared" si="1158"/>
        <v>0</v>
      </c>
      <c r="DL914">
        <f t="shared" si="1159"/>
        <v>0</v>
      </c>
      <c r="DM914">
        <f t="shared" si="1160"/>
        <v>0</v>
      </c>
      <c r="DN914" t="str">
        <f t="shared" si="1161"/>
        <v>Timber</v>
      </c>
      <c r="DO914">
        <v>0</v>
      </c>
      <c r="DP914" s="143">
        <v>0</v>
      </c>
      <c r="DQ914" s="143">
        <v>0</v>
      </c>
      <c r="DR914">
        <v>0</v>
      </c>
      <c r="DS914" s="143">
        <v>0</v>
      </c>
      <c r="DT914">
        <f t="shared" si="1162"/>
        <v>0</v>
      </c>
      <c r="DU914" s="143" t="str">
        <f t="shared" si="1163"/>
        <v>explicit C balance</v>
      </c>
      <c r="DV914" s="143">
        <v>0</v>
      </c>
      <c r="DW914" s="143">
        <v>0</v>
      </c>
      <c r="DX914" s="143">
        <v>1</v>
      </c>
      <c r="DY914" s="143">
        <v>0</v>
      </c>
      <c r="DZ914">
        <v>0</v>
      </c>
      <c r="EA914" s="143">
        <v>0</v>
      </c>
      <c r="EB914" s="143">
        <v>0</v>
      </c>
      <c r="EC914" s="143">
        <v>0</v>
      </c>
      <c r="ED914" s="143">
        <v>0</v>
      </c>
      <c r="EE914">
        <v>0</v>
      </c>
      <c r="EF914">
        <v>0</v>
      </c>
      <c r="EG914" s="143">
        <v>0</v>
      </c>
      <c r="EH914">
        <v>0</v>
      </c>
      <c r="EI914" s="2">
        <v>0</v>
      </c>
      <c r="EK914" t="str">
        <f t="shared" si="1164"/>
        <v/>
      </c>
      <c r="EL914" t="str">
        <f t="shared" si="1165"/>
        <v/>
      </c>
      <c r="EM914" s="2" t="str">
        <f t="shared" si="1100"/>
        <v/>
      </c>
      <c r="EP914" t="str">
        <f>IF(ISNUMBER(BU914),IF(ABS(BU914-[4]QC_indicators!$B$2)&gt;3*[4]QC_indicators!$C$2,"C ratio",IF(ISNUMBER(BY914),IF(ABS(BY914-[4]QC_indicators!$B$1)&gt;3*[4]QC_indicators!$C$1,"DF","no"))),IF(ISNUMBER(BY914),IF(ABS(BY914-[4]QC_indicators!$B$1)&gt;3*[4]QC_indicators!$C$1,"DF","no")))</f>
        <v>no</v>
      </c>
      <c r="EQ914" t="s">
        <v>1877</v>
      </c>
      <c r="ET914" s="264" t="s">
        <v>3406</v>
      </c>
    </row>
    <row r="915" spans="1:150" ht="15" hidden="1" customHeight="1">
      <c r="A915" s="1" t="s">
        <v>1269</v>
      </c>
      <c r="B915" t="s">
        <v>1868</v>
      </c>
      <c r="C915" t="s">
        <v>1869</v>
      </c>
      <c r="D915" t="s">
        <v>1870</v>
      </c>
      <c r="E915" t="s">
        <v>1871</v>
      </c>
      <c r="F915" t="s">
        <v>1872</v>
      </c>
      <c r="G915" t="s">
        <v>1275</v>
      </c>
      <c r="H915" t="s">
        <v>254</v>
      </c>
      <c r="I915">
        <v>2019</v>
      </c>
      <c r="J915">
        <v>2</v>
      </c>
      <c r="K915" t="s">
        <v>1873</v>
      </c>
      <c r="M915" t="str">
        <f t="shared" si="1132"/>
        <v>Kucuker_2019</v>
      </c>
      <c r="N915" t="s">
        <v>222</v>
      </c>
      <c r="O915" s="145" t="s">
        <v>225</v>
      </c>
      <c r="Q915" s="264" t="s">
        <v>256</v>
      </c>
      <c r="R915" s="269" t="s">
        <v>1153</v>
      </c>
      <c r="S915" s="1" t="s">
        <v>1874</v>
      </c>
      <c r="T915" t="s">
        <v>1878</v>
      </c>
      <c r="U915">
        <v>20</v>
      </c>
      <c r="V915">
        <v>0</v>
      </c>
      <c r="W915">
        <v>0</v>
      </c>
      <c r="X915">
        <v>0</v>
      </c>
      <c r="Y915">
        <v>0</v>
      </c>
      <c r="Z915">
        <v>0</v>
      </c>
      <c r="AA915">
        <v>0</v>
      </c>
      <c r="AB915">
        <v>0</v>
      </c>
      <c r="AC915">
        <v>0</v>
      </c>
      <c r="AD915">
        <v>0</v>
      </c>
      <c r="AE915">
        <v>0</v>
      </c>
      <c r="AF915">
        <v>0</v>
      </c>
      <c r="AG915">
        <v>0</v>
      </c>
      <c r="AH915">
        <v>0</v>
      </c>
      <c r="AI915">
        <v>0</v>
      </c>
      <c r="AJ915">
        <v>0</v>
      </c>
      <c r="AK915">
        <v>0</v>
      </c>
      <c r="AL915">
        <v>0</v>
      </c>
      <c r="AM915">
        <v>0</v>
      </c>
      <c r="AN915">
        <v>0</v>
      </c>
      <c r="AO915">
        <v>0</v>
      </c>
      <c r="AP915">
        <v>0</v>
      </c>
      <c r="AQ915">
        <v>0</v>
      </c>
      <c r="AR915">
        <v>0</v>
      </c>
      <c r="AS915">
        <v>0</v>
      </c>
      <c r="AT915">
        <v>0</v>
      </c>
      <c r="AU915">
        <v>0</v>
      </c>
      <c r="AV915">
        <v>1</v>
      </c>
      <c r="AW915">
        <v>0</v>
      </c>
      <c r="AX915" s="141">
        <f t="shared" si="1134"/>
        <v>1</v>
      </c>
      <c r="AY915" s="141">
        <f t="shared" si="1135"/>
        <v>0</v>
      </c>
      <c r="AZ915">
        <f t="shared" si="1136"/>
        <v>0</v>
      </c>
      <c r="BA915">
        <f t="shared" si="1137"/>
        <v>0</v>
      </c>
      <c r="BB915">
        <f t="shared" si="1138"/>
        <v>0</v>
      </c>
      <c r="BC915">
        <f t="shared" si="1139"/>
        <v>1</v>
      </c>
      <c r="BD915">
        <f t="shared" si="1140"/>
        <v>0</v>
      </c>
      <c r="BE915" t="str" cm="1">
        <f t="array" ref="BE915">IF(AY915=1,INDEX($V$7:$AL$7,MATCH(TRUE,INDEX($V915:$AW915&lt;&gt;0,),0)),IF(AY915=0,INDEX($AM$7:$AW$7,MATCH(1,$AM915:$AW915,0)),IF(BF915="Multiple strategies","mixed drivers",IF(BF915="Supply chain","multiple supply","multiple silviculture"))))</f>
        <v>Exogenous C price</v>
      </c>
      <c r="BF915" s="2" t="str" cm="1">
        <f t="array" ref="BF915">IF(COUNTIF(AZ915:BB915,"&lt;&gt;0")=1,INDEX($V$4:$AW$4,MATCH(TRUE,INDEX($V915:$AW915&lt;&gt;0,),0)),IF(COUNTIF(AZ915:BB915,"&lt;&gt;0")=0,INDEX($AM$4:$AW$4,MATCH(1,$AM915:$AW915,0)),"Multiple strategies"))</f>
        <v>Demand</v>
      </c>
      <c r="BG915" s="173" t="s">
        <v>321</v>
      </c>
      <c r="BH915" t="s">
        <v>182</v>
      </c>
      <c r="BJ915" t="s">
        <v>1769</v>
      </c>
      <c r="BK915">
        <v>5918</v>
      </c>
      <c r="BL915" s="143">
        <v>7046</v>
      </c>
      <c r="BM915" s="163">
        <f t="shared" si="1141"/>
        <v>1.1906049340993579</v>
      </c>
      <c r="BN915">
        <f t="shared" si="1142"/>
        <v>1128</v>
      </c>
      <c r="BO915" s="143">
        <f t="shared" si="1143"/>
        <v>1128000</v>
      </c>
      <c r="BP915" t="s">
        <v>232</v>
      </c>
      <c r="BQ915" s="234"/>
      <c r="BR915" t="s">
        <v>1876</v>
      </c>
      <c r="BS915">
        <v>1757</v>
      </c>
      <c r="BT915" s="143">
        <v>3167</v>
      </c>
      <c r="BU915" s="144">
        <f t="shared" si="1144"/>
        <v>1.8025042686397268</v>
      </c>
      <c r="BV915">
        <f t="shared" si="1145"/>
        <v>1410</v>
      </c>
      <c r="BX915">
        <f t="shared" si="1146"/>
        <v>5174700</v>
      </c>
      <c r="BY915">
        <f t="shared" si="1099"/>
        <v>4.5875000000000004</v>
      </c>
      <c r="BZ915">
        <v>0</v>
      </c>
      <c r="CA915">
        <v>0</v>
      </c>
      <c r="CB915">
        <v>0</v>
      </c>
      <c r="CC915">
        <v>0</v>
      </c>
      <c r="CD915">
        <v>0</v>
      </c>
      <c r="CE915">
        <v>0</v>
      </c>
      <c r="CF915">
        <v>0</v>
      </c>
      <c r="CG915">
        <v>0</v>
      </c>
      <c r="CH915">
        <v>0</v>
      </c>
      <c r="CI915">
        <v>0</v>
      </c>
      <c r="CJ915">
        <v>0</v>
      </c>
      <c r="CK915">
        <v>0</v>
      </c>
      <c r="CL915">
        <v>0</v>
      </c>
      <c r="CM915">
        <v>0</v>
      </c>
      <c r="CN915" t="str">
        <f t="shared" si="1147"/>
        <v>refOK</v>
      </c>
      <c r="CO915">
        <f t="shared" si="1166"/>
        <v>5918</v>
      </c>
      <c r="CP915">
        <f t="shared" si="1167"/>
        <v>7046</v>
      </c>
      <c r="CQ915">
        <f t="shared" si="1148"/>
        <v>1128000</v>
      </c>
      <c r="CR915">
        <f t="shared" si="1149"/>
        <v>1757</v>
      </c>
      <c r="CS915">
        <f t="shared" si="1150"/>
        <v>3167</v>
      </c>
      <c r="CT915">
        <f t="shared" si="1151"/>
        <v>5174700</v>
      </c>
      <c r="CU915">
        <f t="shared" si="1152"/>
        <v>4.5875000000000004</v>
      </c>
      <c r="CV915" s="2">
        <f t="shared" si="1153"/>
        <v>0.80250426863972679</v>
      </c>
      <c r="CW915" s="1" t="s">
        <v>1202</v>
      </c>
      <c r="CX915" s="264" t="str">
        <f t="shared" si="1154"/>
        <v>reg</v>
      </c>
      <c r="CY915" t="s">
        <v>1280</v>
      </c>
      <c r="DA915" s="143"/>
      <c r="DB915">
        <v>100</v>
      </c>
      <c r="DC915" t="str">
        <f t="shared" si="1155"/>
        <v>71-100</v>
      </c>
      <c r="DD915">
        <v>0</v>
      </c>
      <c r="DE915">
        <v>0</v>
      </c>
      <c r="DF915">
        <v>0</v>
      </c>
      <c r="DG915">
        <v>1</v>
      </c>
      <c r="DI915">
        <f t="shared" si="1156"/>
        <v>1</v>
      </c>
      <c r="DJ915" t="str">
        <f t="shared" si="1157"/>
        <v>TimberInput</v>
      </c>
      <c r="DK915">
        <f t="shared" si="1158"/>
        <v>0</v>
      </c>
      <c r="DL915">
        <f t="shared" si="1159"/>
        <v>0</v>
      </c>
      <c r="DM915">
        <f t="shared" si="1160"/>
        <v>0</v>
      </c>
      <c r="DN915" t="str">
        <f t="shared" si="1161"/>
        <v>Timber</v>
      </c>
      <c r="DO915">
        <v>0</v>
      </c>
      <c r="DP915" s="143">
        <v>0</v>
      </c>
      <c r="DQ915" s="143">
        <v>0</v>
      </c>
      <c r="DR915">
        <v>0</v>
      </c>
      <c r="DS915" s="143">
        <v>0</v>
      </c>
      <c r="DT915">
        <f t="shared" si="1162"/>
        <v>0</v>
      </c>
      <c r="DU915" s="143" t="str">
        <f t="shared" si="1163"/>
        <v>explicit C balance</v>
      </c>
      <c r="DV915" s="143">
        <v>0</v>
      </c>
      <c r="DW915" s="143">
        <v>0</v>
      </c>
      <c r="DX915" s="143">
        <v>1</v>
      </c>
      <c r="DY915" s="143">
        <v>0</v>
      </c>
      <c r="DZ915">
        <v>0</v>
      </c>
      <c r="EA915" s="143">
        <v>0</v>
      </c>
      <c r="EB915" s="143">
        <v>0</v>
      </c>
      <c r="EC915" s="143">
        <v>0</v>
      </c>
      <c r="ED915" s="143">
        <v>0</v>
      </c>
      <c r="EE915">
        <v>0</v>
      </c>
      <c r="EF915">
        <v>0</v>
      </c>
      <c r="EG915" s="143">
        <v>0</v>
      </c>
      <c r="EH915">
        <v>0</v>
      </c>
      <c r="EI915" s="2">
        <v>0</v>
      </c>
      <c r="EK915" t="str">
        <f t="shared" si="1164"/>
        <v/>
      </c>
      <c r="EL915" t="str">
        <f t="shared" si="1165"/>
        <v/>
      </c>
      <c r="EM915" s="2" t="str">
        <f t="shared" si="1100"/>
        <v/>
      </c>
      <c r="EP915" t="str">
        <f>IF(ISNUMBER(BU915),IF(ABS(BU915-[4]QC_indicators!$B$2)&gt;3*[4]QC_indicators!$C$2,"C ratio",IF(ISNUMBER(BY915),IF(ABS(BY915-[4]QC_indicators!$B$1)&gt;3*[4]QC_indicators!$C$1,"DF","no"))),IF(ISNUMBER(BY915),IF(ABS(BY915-[4]QC_indicators!$B$1)&gt;3*[4]QC_indicators!$C$1,"DF","no")))</f>
        <v>no</v>
      </c>
      <c r="EQ915" t="s">
        <v>1877</v>
      </c>
      <c r="ET915" s="264" t="s">
        <v>3406</v>
      </c>
    </row>
    <row r="916" spans="1:150" ht="15" hidden="1" customHeight="1">
      <c r="A916" s="1" t="s">
        <v>1269</v>
      </c>
      <c r="B916" t="s">
        <v>1868</v>
      </c>
      <c r="C916" t="s">
        <v>1869</v>
      </c>
      <c r="D916" t="s">
        <v>1870</v>
      </c>
      <c r="E916" t="s">
        <v>1871</v>
      </c>
      <c r="F916" t="s">
        <v>1872</v>
      </c>
      <c r="G916" t="s">
        <v>1275</v>
      </c>
      <c r="H916" t="s">
        <v>254</v>
      </c>
      <c r="I916">
        <v>2019</v>
      </c>
      <c r="J916">
        <v>2</v>
      </c>
      <c r="K916" t="s">
        <v>1873</v>
      </c>
      <c r="M916" t="str">
        <f t="shared" si="1132"/>
        <v>Kucuker_2019</v>
      </c>
      <c r="N916" t="s">
        <v>222</v>
      </c>
      <c r="O916" s="145" t="s">
        <v>225</v>
      </c>
      <c r="Q916" s="264" t="s">
        <v>256</v>
      </c>
      <c r="R916" s="269" t="s">
        <v>1153</v>
      </c>
      <c r="S916" s="1" t="s">
        <v>1874</v>
      </c>
      <c r="T916" t="s">
        <v>1878</v>
      </c>
      <c r="U916">
        <v>40</v>
      </c>
      <c r="V916">
        <v>0</v>
      </c>
      <c r="W916">
        <v>0</v>
      </c>
      <c r="X916">
        <v>0</v>
      </c>
      <c r="Y916">
        <v>0</v>
      </c>
      <c r="Z916">
        <v>0</v>
      </c>
      <c r="AA916">
        <v>0</v>
      </c>
      <c r="AB916">
        <v>0</v>
      </c>
      <c r="AC916">
        <v>0</v>
      </c>
      <c r="AD916">
        <v>0</v>
      </c>
      <c r="AE916">
        <v>0</v>
      </c>
      <c r="AF916">
        <v>0</v>
      </c>
      <c r="AG916">
        <v>0</v>
      </c>
      <c r="AH916">
        <v>0</v>
      </c>
      <c r="AI916">
        <v>0</v>
      </c>
      <c r="AJ916">
        <v>0</v>
      </c>
      <c r="AK916">
        <v>0</v>
      </c>
      <c r="AL916">
        <v>0</v>
      </c>
      <c r="AM916">
        <v>0</v>
      </c>
      <c r="AN916">
        <v>0</v>
      </c>
      <c r="AO916">
        <v>0</v>
      </c>
      <c r="AP916">
        <v>0</v>
      </c>
      <c r="AQ916">
        <v>0</v>
      </c>
      <c r="AR916">
        <v>0</v>
      </c>
      <c r="AS916">
        <v>0</v>
      </c>
      <c r="AT916">
        <v>0</v>
      </c>
      <c r="AU916">
        <v>0</v>
      </c>
      <c r="AV916">
        <v>1</v>
      </c>
      <c r="AW916">
        <v>0</v>
      </c>
      <c r="AX916" s="141">
        <f t="shared" si="1134"/>
        <v>1</v>
      </c>
      <c r="AY916" s="141">
        <f t="shared" si="1135"/>
        <v>0</v>
      </c>
      <c r="AZ916">
        <f t="shared" si="1136"/>
        <v>0</v>
      </c>
      <c r="BA916">
        <f t="shared" si="1137"/>
        <v>0</v>
      </c>
      <c r="BB916">
        <f t="shared" si="1138"/>
        <v>0</v>
      </c>
      <c r="BC916">
        <f t="shared" si="1139"/>
        <v>1</v>
      </c>
      <c r="BD916">
        <f t="shared" si="1140"/>
        <v>0</v>
      </c>
      <c r="BE916" t="str" cm="1">
        <f t="array" ref="BE916">IF(AY916=1,INDEX($V$7:$AL$7,MATCH(TRUE,INDEX($V916:$AW916&lt;&gt;0,),0)),IF(AY916=0,INDEX($AM$7:$AW$7,MATCH(1,$AM916:$AW916,0)),IF(BF916="Multiple strategies","mixed drivers",IF(BF916="Supply chain","multiple supply","multiple silviculture"))))</f>
        <v>Exogenous C price</v>
      </c>
      <c r="BF916" s="2" t="str" cm="1">
        <f t="array" ref="BF916">IF(COUNTIF(AZ916:BB916,"&lt;&gt;0")=1,INDEX($V$4:$AW$4,MATCH(TRUE,INDEX($V916:$AW916&lt;&gt;0,),0)),IF(COUNTIF(AZ916:BB916,"&lt;&gt;0")=0,INDEX($AM$4:$AW$4,MATCH(1,$AM916:$AW916,0)),"Multiple strategies"))</f>
        <v>Demand</v>
      </c>
      <c r="BG916" s="173" t="s">
        <v>321</v>
      </c>
      <c r="BH916" t="s">
        <v>182</v>
      </c>
      <c r="BJ916" t="s">
        <v>1769</v>
      </c>
      <c r="BK916">
        <v>5918</v>
      </c>
      <c r="BL916" s="143">
        <v>7032</v>
      </c>
      <c r="BM916" s="163">
        <f t="shared" si="1141"/>
        <v>1.1882392700236566</v>
      </c>
      <c r="BN916">
        <f t="shared" si="1142"/>
        <v>1114</v>
      </c>
      <c r="BO916" s="143">
        <f t="shared" si="1143"/>
        <v>1114000</v>
      </c>
      <c r="BP916" t="s">
        <v>232</v>
      </c>
      <c r="BQ916" s="234"/>
      <c r="BR916" t="s">
        <v>1876</v>
      </c>
      <c r="BS916">
        <v>1757</v>
      </c>
      <c r="BT916" s="143">
        <v>3210</v>
      </c>
      <c r="BU916" s="144">
        <f t="shared" si="1144"/>
        <v>1.8269778030734205</v>
      </c>
      <c r="BV916">
        <f t="shared" si="1145"/>
        <v>1453</v>
      </c>
      <c r="BX916">
        <f t="shared" si="1146"/>
        <v>5332510</v>
      </c>
      <c r="BY916">
        <f t="shared" si="1099"/>
        <v>4.7868132854578098</v>
      </c>
      <c r="BZ916">
        <v>0</v>
      </c>
      <c r="CA916">
        <v>0</v>
      </c>
      <c r="CB916">
        <v>0</v>
      </c>
      <c r="CC916">
        <v>0</v>
      </c>
      <c r="CD916">
        <v>0</v>
      </c>
      <c r="CE916">
        <v>0</v>
      </c>
      <c r="CF916">
        <v>0</v>
      </c>
      <c r="CG916">
        <v>0</v>
      </c>
      <c r="CH916">
        <v>0</v>
      </c>
      <c r="CI916">
        <v>0</v>
      </c>
      <c r="CJ916">
        <v>0</v>
      </c>
      <c r="CK916">
        <v>0</v>
      </c>
      <c r="CL916">
        <v>0</v>
      </c>
      <c r="CM916">
        <v>0</v>
      </c>
      <c r="CN916" t="str">
        <f t="shared" si="1147"/>
        <v>refOK</v>
      </c>
      <c r="CO916">
        <f t="shared" si="1166"/>
        <v>5918</v>
      </c>
      <c r="CP916">
        <f t="shared" si="1167"/>
        <v>7032</v>
      </c>
      <c r="CQ916">
        <f t="shared" si="1148"/>
        <v>1114000</v>
      </c>
      <c r="CR916">
        <f t="shared" si="1149"/>
        <v>1757</v>
      </c>
      <c r="CS916">
        <f t="shared" si="1150"/>
        <v>3210</v>
      </c>
      <c r="CT916">
        <f t="shared" si="1151"/>
        <v>5332510</v>
      </c>
      <c r="CU916">
        <f t="shared" si="1152"/>
        <v>4.7868132854578098</v>
      </c>
      <c r="CV916" s="2">
        <f t="shared" si="1153"/>
        <v>0.82697780307342061</v>
      </c>
      <c r="CW916" s="1" t="s">
        <v>1202</v>
      </c>
      <c r="CX916" s="264" t="str">
        <f t="shared" si="1154"/>
        <v>reg</v>
      </c>
      <c r="CY916" t="s">
        <v>1280</v>
      </c>
      <c r="DA916" s="143"/>
      <c r="DB916">
        <v>100</v>
      </c>
      <c r="DC916" t="str">
        <f t="shared" si="1155"/>
        <v>71-100</v>
      </c>
      <c r="DD916">
        <v>0</v>
      </c>
      <c r="DE916">
        <v>0</v>
      </c>
      <c r="DF916">
        <v>0</v>
      </c>
      <c r="DG916">
        <v>1</v>
      </c>
      <c r="DI916">
        <f t="shared" si="1156"/>
        <v>1</v>
      </c>
      <c r="DJ916" t="str">
        <f t="shared" si="1157"/>
        <v>TimberInput</v>
      </c>
      <c r="DK916">
        <f t="shared" si="1158"/>
        <v>0</v>
      </c>
      <c r="DL916">
        <f t="shared" si="1159"/>
        <v>0</v>
      </c>
      <c r="DM916">
        <f t="shared" si="1160"/>
        <v>0</v>
      </c>
      <c r="DN916" t="str">
        <f t="shared" si="1161"/>
        <v>Timber</v>
      </c>
      <c r="DO916">
        <v>0</v>
      </c>
      <c r="DP916" s="143">
        <v>0</v>
      </c>
      <c r="DQ916" s="143">
        <v>0</v>
      </c>
      <c r="DR916">
        <v>0</v>
      </c>
      <c r="DS916" s="143">
        <v>0</v>
      </c>
      <c r="DT916">
        <f t="shared" si="1162"/>
        <v>0</v>
      </c>
      <c r="DU916" s="143" t="str">
        <f t="shared" si="1163"/>
        <v>explicit C balance</v>
      </c>
      <c r="DV916" s="143">
        <v>0</v>
      </c>
      <c r="DW916" s="143">
        <v>0</v>
      </c>
      <c r="DX916" s="143">
        <v>1</v>
      </c>
      <c r="DY916" s="143">
        <v>0</v>
      </c>
      <c r="DZ916">
        <v>0</v>
      </c>
      <c r="EA916" s="143">
        <v>0</v>
      </c>
      <c r="EB916" s="143">
        <v>0</v>
      </c>
      <c r="EC916" s="143">
        <v>0</v>
      </c>
      <c r="ED916" s="143">
        <v>0</v>
      </c>
      <c r="EE916">
        <v>0</v>
      </c>
      <c r="EF916">
        <v>0</v>
      </c>
      <c r="EG916" s="143">
        <v>0</v>
      </c>
      <c r="EH916">
        <v>0</v>
      </c>
      <c r="EI916" s="2">
        <v>0</v>
      </c>
      <c r="EK916" t="str">
        <f t="shared" si="1164"/>
        <v/>
      </c>
      <c r="EL916" t="str">
        <f t="shared" si="1165"/>
        <v/>
      </c>
      <c r="EM916" s="2" t="str">
        <f t="shared" si="1100"/>
        <v/>
      </c>
      <c r="EP916" t="str">
        <f>IF(ISNUMBER(BU916),IF(ABS(BU916-[4]QC_indicators!$B$2)&gt;3*[4]QC_indicators!$C$2,"C ratio",IF(ISNUMBER(BY916),IF(ABS(BY916-[4]QC_indicators!$B$1)&gt;3*[4]QC_indicators!$C$1,"DF","no"))),IF(ISNUMBER(BY916),IF(ABS(BY916-[4]QC_indicators!$B$1)&gt;3*[4]QC_indicators!$C$1,"DF","no")))</f>
        <v>no</v>
      </c>
      <c r="EQ916" t="s">
        <v>1877</v>
      </c>
      <c r="ET916" s="264" t="s">
        <v>3406</v>
      </c>
    </row>
    <row r="917" spans="1:150" ht="15" hidden="1" customHeight="1">
      <c r="A917" s="1" t="s">
        <v>1269</v>
      </c>
      <c r="B917" t="s">
        <v>1868</v>
      </c>
      <c r="C917" t="s">
        <v>1869</v>
      </c>
      <c r="D917" t="s">
        <v>1870</v>
      </c>
      <c r="E917" t="s">
        <v>1871</v>
      </c>
      <c r="F917" t="s">
        <v>1872</v>
      </c>
      <c r="G917" t="s">
        <v>1275</v>
      </c>
      <c r="H917" t="s">
        <v>254</v>
      </c>
      <c r="I917">
        <v>2019</v>
      </c>
      <c r="J917">
        <v>2</v>
      </c>
      <c r="K917" t="s">
        <v>1873</v>
      </c>
      <c r="M917" t="str">
        <f t="shared" si="1132"/>
        <v>Kucuker_2019</v>
      </c>
      <c r="N917" t="s">
        <v>222</v>
      </c>
      <c r="O917" s="145" t="s">
        <v>225</v>
      </c>
      <c r="Q917" s="264" t="s">
        <v>256</v>
      </c>
      <c r="R917" s="269" t="s">
        <v>1153</v>
      </c>
      <c r="S917" s="1" t="s">
        <v>1874</v>
      </c>
      <c r="T917" t="s">
        <v>1875</v>
      </c>
      <c r="U917">
        <v>40</v>
      </c>
      <c r="V917">
        <v>0</v>
      </c>
      <c r="W917">
        <v>0</v>
      </c>
      <c r="X917">
        <v>0</v>
      </c>
      <c r="Y917">
        <v>0</v>
      </c>
      <c r="Z917">
        <v>0</v>
      </c>
      <c r="AA917">
        <v>0</v>
      </c>
      <c r="AB917">
        <v>0</v>
      </c>
      <c r="AC917">
        <v>0</v>
      </c>
      <c r="AD917">
        <v>0</v>
      </c>
      <c r="AE917">
        <v>0</v>
      </c>
      <c r="AF917">
        <v>0</v>
      </c>
      <c r="AG917">
        <v>0</v>
      </c>
      <c r="AH917">
        <v>0</v>
      </c>
      <c r="AI917">
        <v>0</v>
      </c>
      <c r="AJ917">
        <v>0</v>
      </c>
      <c r="AK917">
        <v>0</v>
      </c>
      <c r="AL917">
        <v>0</v>
      </c>
      <c r="AM917">
        <v>0</v>
      </c>
      <c r="AN917">
        <v>0</v>
      </c>
      <c r="AO917">
        <v>0</v>
      </c>
      <c r="AP917">
        <v>0</v>
      </c>
      <c r="AQ917">
        <v>0</v>
      </c>
      <c r="AR917">
        <v>0</v>
      </c>
      <c r="AS917">
        <v>0</v>
      </c>
      <c r="AT917">
        <v>0</v>
      </c>
      <c r="AU917">
        <v>0</v>
      </c>
      <c r="AV917">
        <v>1</v>
      </c>
      <c r="AW917">
        <v>0</v>
      </c>
      <c r="AX917" s="141">
        <f t="shared" si="1134"/>
        <v>1</v>
      </c>
      <c r="AY917" s="141">
        <f t="shared" si="1135"/>
        <v>0</v>
      </c>
      <c r="AZ917">
        <f t="shared" si="1136"/>
        <v>0</v>
      </c>
      <c r="BA917">
        <f t="shared" si="1137"/>
        <v>0</v>
      </c>
      <c r="BB917">
        <f t="shared" si="1138"/>
        <v>0</v>
      </c>
      <c r="BC917">
        <f t="shared" si="1139"/>
        <v>1</v>
      </c>
      <c r="BD917">
        <f t="shared" si="1140"/>
        <v>0</v>
      </c>
      <c r="BE917" t="str" cm="1">
        <f t="array" ref="BE917">IF(AY917=1,INDEX($V$7:$AL$7,MATCH(TRUE,INDEX($V917:$AW917&lt;&gt;0,),0)),IF(AY917=0,INDEX($AM$7:$AW$7,MATCH(1,$AM917:$AW917,0)),IF(BF917="Multiple strategies","mixed drivers",IF(BF917="Supply chain","multiple supply","multiple silviculture"))))</f>
        <v>Exogenous C price</v>
      </c>
      <c r="BF917" s="2" t="str" cm="1">
        <f t="array" ref="BF917">IF(COUNTIF(AZ917:BB917,"&lt;&gt;0")=1,INDEX($V$4:$AW$4,MATCH(TRUE,INDEX($V917:$AW917&lt;&gt;0,),0)),IF(COUNTIF(AZ917:BB917,"&lt;&gt;0")=0,INDEX($AM$4:$AW$4,MATCH(1,$AM917:$AW917,0)),"Multiple strategies"))</f>
        <v>Demand</v>
      </c>
      <c r="BG917" s="173" t="s">
        <v>321</v>
      </c>
      <c r="BH917" t="s">
        <v>182</v>
      </c>
      <c r="BJ917" t="s">
        <v>1769</v>
      </c>
      <c r="BK917">
        <v>5347</v>
      </c>
      <c r="BL917" s="143">
        <v>6509</v>
      </c>
      <c r="BM917" s="163">
        <f t="shared" si="1141"/>
        <v>1.2173181223115765</v>
      </c>
      <c r="BN917">
        <f t="shared" si="1142"/>
        <v>1162</v>
      </c>
      <c r="BO917" s="143">
        <f t="shared" si="1143"/>
        <v>1162000</v>
      </c>
      <c r="BP917" t="s">
        <v>232</v>
      </c>
      <c r="BQ917" s="234"/>
      <c r="BR917" t="s">
        <v>1876</v>
      </c>
      <c r="BS917">
        <v>1418</v>
      </c>
      <c r="BT917" s="143">
        <v>2999</v>
      </c>
      <c r="BU917" s="144">
        <f t="shared" si="1144"/>
        <v>2.1149506346967559</v>
      </c>
      <c r="BV917">
        <f t="shared" si="1145"/>
        <v>1581</v>
      </c>
      <c r="BX917">
        <f t="shared" si="1146"/>
        <v>5802270</v>
      </c>
      <c r="BY917">
        <f t="shared" si="1099"/>
        <v>4.9933476764199654</v>
      </c>
      <c r="BZ917">
        <v>0</v>
      </c>
      <c r="CA917">
        <v>0</v>
      </c>
      <c r="CB917">
        <v>0</v>
      </c>
      <c r="CC917">
        <v>0</v>
      </c>
      <c r="CD917">
        <v>0</v>
      </c>
      <c r="CE917">
        <v>0</v>
      </c>
      <c r="CF917">
        <v>0</v>
      </c>
      <c r="CG917">
        <v>0</v>
      </c>
      <c r="CH917">
        <v>0</v>
      </c>
      <c r="CI917">
        <v>0</v>
      </c>
      <c r="CJ917">
        <v>0</v>
      </c>
      <c r="CK917">
        <v>0</v>
      </c>
      <c r="CL917">
        <v>0</v>
      </c>
      <c r="CM917">
        <v>0</v>
      </c>
      <c r="CN917" t="str">
        <f t="shared" si="1147"/>
        <v>refOK</v>
      </c>
      <c r="CO917">
        <f t="shared" si="1166"/>
        <v>5347</v>
      </c>
      <c r="CP917">
        <f t="shared" si="1167"/>
        <v>6509</v>
      </c>
      <c r="CQ917">
        <f t="shared" si="1148"/>
        <v>1162000</v>
      </c>
      <c r="CR917">
        <f t="shared" si="1149"/>
        <v>1418</v>
      </c>
      <c r="CS917">
        <f t="shared" si="1150"/>
        <v>2999</v>
      </c>
      <c r="CT917">
        <f t="shared" si="1151"/>
        <v>5802270</v>
      </c>
      <c r="CU917">
        <f t="shared" si="1152"/>
        <v>4.9933476764199654</v>
      </c>
      <c r="CV917" s="2">
        <f t="shared" si="1153"/>
        <v>1.1149506346967559</v>
      </c>
      <c r="CW917" s="1" t="s">
        <v>1202</v>
      </c>
      <c r="CX917" s="264" t="str">
        <f t="shared" si="1154"/>
        <v>reg</v>
      </c>
      <c r="CY917" t="s">
        <v>1280</v>
      </c>
      <c r="DA917" s="143"/>
      <c r="DB917">
        <v>100</v>
      </c>
      <c r="DC917" t="str">
        <f t="shared" si="1155"/>
        <v>71-100</v>
      </c>
      <c r="DD917">
        <v>0</v>
      </c>
      <c r="DE917">
        <v>0</v>
      </c>
      <c r="DF917">
        <v>0</v>
      </c>
      <c r="DG917">
        <v>1</v>
      </c>
      <c r="DI917">
        <f t="shared" si="1156"/>
        <v>1</v>
      </c>
      <c r="DJ917" t="str">
        <f t="shared" si="1157"/>
        <v>TimberInput</v>
      </c>
      <c r="DK917">
        <f t="shared" si="1158"/>
        <v>0</v>
      </c>
      <c r="DL917">
        <f t="shared" si="1159"/>
        <v>0</v>
      </c>
      <c r="DM917">
        <f t="shared" si="1160"/>
        <v>0</v>
      </c>
      <c r="DN917" t="str">
        <f t="shared" si="1161"/>
        <v>Timber</v>
      </c>
      <c r="DO917">
        <v>0</v>
      </c>
      <c r="DP917" s="143">
        <v>0</v>
      </c>
      <c r="DQ917" s="143">
        <v>0</v>
      </c>
      <c r="DR917">
        <v>0</v>
      </c>
      <c r="DS917" s="143">
        <v>0</v>
      </c>
      <c r="DT917">
        <f t="shared" si="1162"/>
        <v>0</v>
      </c>
      <c r="DU917" s="143" t="str">
        <f t="shared" si="1163"/>
        <v>explicit C balance</v>
      </c>
      <c r="DV917" s="143">
        <v>0</v>
      </c>
      <c r="DW917" s="143">
        <v>0</v>
      </c>
      <c r="DX917" s="143">
        <v>1</v>
      </c>
      <c r="DY917" s="143">
        <v>0</v>
      </c>
      <c r="DZ917">
        <v>0</v>
      </c>
      <c r="EA917" s="143">
        <v>0</v>
      </c>
      <c r="EB917" s="143">
        <v>0</v>
      </c>
      <c r="EC917" s="143">
        <v>0</v>
      </c>
      <c r="ED917" s="143">
        <v>0</v>
      </c>
      <c r="EE917">
        <v>0</v>
      </c>
      <c r="EF917">
        <v>0</v>
      </c>
      <c r="EG917" s="143">
        <v>0</v>
      </c>
      <c r="EH917">
        <v>0</v>
      </c>
      <c r="EI917" s="2">
        <v>0</v>
      </c>
      <c r="EK917" t="str">
        <f t="shared" si="1164"/>
        <v/>
      </c>
      <c r="EL917" t="str">
        <f t="shared" si="1165"/>
        <v/>
      </c>
      <c r="EM917" s="2" t="str">
        <f t="shared" si="1100"/>
        <v/>
      </c>
      <c r="EP917" t="str">
        <f>IF(ISNUMBER(BU917),IF(ABS(BU917-[4]QC_indicators!$B$2)&gt;3*[4]QC_indicators!$C$2,"C ratio",IF(ISNUMBER(BY917),IF(ABS(BY917-[4]QC_indicators!$B$1)&gt;3*[4]QC_indicators!$C$1,"DF","no"))),IF(ISNUMBER(BY917),IF(ABS(BY917-[4]QC_indicators!$B$1)&gt;3*[4]QC_indicators!$C$1,"DF","no")))</f>
        <v>no</v>
      </c>
      <c r="EQ917" t="s">
        <v>1877</v>
      </c>
      <c r="ET917" s="264" t="s">
        <v>3406</v>
      </c>
    </row>
    <row r="918" spans="1:150" ht="15" hidden="1" customHeight="1">
      <c r="A918" s="1" t="s">
        <v>1269</v>
      </c>
      <c r="B918" t="s">
        <v>1868</v>
      </c>
      <c r="C918" t="s">
        <v>1869</v>
      </c>
      <c r="D918" t="s">
        <v>1870</v>
      </c>
      <c r="E918" t="s">
        <v>1871</v>
      </c>
      <c r="F918" t="s">
        <v>1872</v>
      </c>
      <c r="G918" t="s">
        <v>1275</v>
      </c>
      <c r="H918" t="s">
        <v>254</v>
      </c>
      <c r="I918">
        <v>2019</v>
      </c>
      <c r="J918">
        <v>2</v>
      </c>
      <c r="K918" t="s">
        <v>1873</v>
      </c>
      <c r="M918" t="str">
        <f t="shared" si="1132"/>
        <v>Kucuker_2019</v>
      </c>
      <c r="N918" t="s">
        <v>222</v>
      </c>
      <c r="O918" s="145" t="s">
        <v>225</v>
      </c>
      <c r="Q918" s="264" t="s">
        <v>256</v>
      </c>
      <c r="R918" s="269" t="s">
        <v>1153</v>
      </c>
      <c r="S918" s="1" t="s">
        <v>1874</v>
      </c>
      <c r="T918" t="s">
        <v>1878</v>
      </c>
      <c r="U918">
        <v>60</v>
      </c>
      <c r="V918">
        <v>0</v>
      </c>
      <c r="W918">
        <v>0</v>
      </c>
      <c r="X918">
        <v>0</v>
      </c>
      <c r="Y918">
        <v>0</v>
      </c>
      <c r="Z918">
        <v>0</v>
      </c>
      <c r="AA918">
        <v>0</v>
      </c>
      <c r="AB918">
        <v>0</v>
      </c>
      <c r="AC918">
        <v>0</v>
      </c>
      <c r="AD918">
        <v>0</v>
      </c>
      <c r="AE918">
        <v>0</v>
      </c>
      <c r="AF918">
        <v>0</v>
      </c>
      <c r="AG918">
        <v>0</v>
      </c>
      <c r="AH918">
        <v>0</v>
      </c>
      <c r="AI918">
        <v>0</v>
      </c>
      <c r="AJ918">
        <v>0</v>
      </c>
      <c r="AK918">
        <v>0</v>
      </c>
      <c r="AL918">
        <v>0</v>
      </c>
      <c r="AM918">
        <v>0</v>
      </c>
      <c r="AN918">
        <v>0</v>
      </c>
      <c r="AO918">
        <v>0</v>
      </c>
      <c r="AP918">
        <v>0</v>
      </c>
      <c r="AQ918">
        <v>0</v>
      </c>
      <c r="AR918">
        <v>0</v>
      </c>
      <c r="AS918">
        <v>0</v>
      </c>
      <c r="AT918">
        <v>0</v>
      </c>
      <c r="AU918">
        <v>0</v>
      </c>
      <c r="AV918">
        <v>1</v>
      </c>
      <c r="AW918">
        <v>0</v>
      </c>
      <c r="AX918" s="141">
        <f t="shared" si="1134"/>
        <v>1</v>
      </c>
      <c r="AY918" s="141">
        <f t="shared" si="1135"/>
        <v>0</v>
      </c>
      <c r="AZ918">
        <f t="shared" si="1136"/>
        <v>0</v>
      </c>
      <c r="BA918">
        <f t="shared" si="1137"/>
        <v>0</v>
      </c>
      <c r="BB918">
        <f t="shared" si="1138"/>
        <v>0</v>
      </c>
      <c r="BC918">
        <f t="shared" si="1139"/>
        <v>1</v>
      </c>
      <c r="BD918">
        <f t="shared" si="1140"/>
        <v>0</v>
      </c>
      <c r="BE918" t="str" cm="1">
        <f t="array" ref="BE918">IF(AY918=1,INDEX($V$7:$AL$7,MATCH(TRUE,INDEX($V918:$AW918&lt;&gt;0,),0)),IF(AY918=0,INDEX($AM$7:$AW$7,MATCH(1,$AM918:$AW918,0)),IF(BF918="Multiple strategies","mixed drivers",IF(BF918="Supply chain","multiple supply","multiple silviculture"))))</f>
        <v>Exogenous C price</v>
      </c>
      <c r="BF918" s="2" t="str" cm="1">
        <f t="array" ref="BF918">IF(COUNTIF(AZ918:BB918,"&lt;&gt;0")=1,INDEX($V$4:$AW$4,MATCH(TRUE,INDEX($V918:$AW918&lt;&gt;0,),0)),IF(COUNTIF(AZ918:BB918,"&lt;&gt;0")=0,INDEX($AM$4:$AW$4,MATCH(1,$AM918:$AW918,0)),"Multiple strategies"))</f>
        <v>Demand</v>
      </c>
      <c r="BG918" s="173" t="s">
        <v>321</v>
      </c>
      <c r="BH918" t="s">
        <v>182</v>
      </c>
      <c r="BJ918" t="s">
        <v>1769</v>
      </c>
      <c r="BK918">
        <v>5918</v>
      </c>
      <c r="BL918" s="143">
        <v>6991</v>
      </c>
      <c r="BM918" s="163">
        <f t="shared" si="1141"/>
        <v>1.1813112538019601</v>
      </c>
      <c r="BN918">
        <f t="shared" si="1142"/>
        <v>1073</v>
      </c>
      <c r="BO918" s="143">
        <f t="shared" si="1143"/>
        <v>1073000</v>
      </c>
      <c r="BP918" t="s">
        <v>232</v>
      </c>
      <c r="BQ918" s="234"/>
      <c r="BR918" t="s">
        <v>1876</v>
      </c>
      <c r="BS918">
        <v>1757</v>
      </c>
      <c r="BT918" s="143">
        <v>3283</v>
      </c>
      <c r="BU918" s="144">
        <f t="shared" si="1144"/>
        <v>1.8685258964143425</v>
      </c>
      <c r="BV918">
        <f t="shared" si="1145"/>
        <v>1526</v>
      </c>
      <c r="BX918">
        <f t="shared" si="1146"/>
        <v>5600420</v>
      </c>
      <c r="BY918">
        <f t="shared" si="1099"/>
        <v>5.2194035414725066</v>
      </c>
      <c r="BZ918">
        <v>0</v>
      </c>
      <c r="CA918">
        <v>0</v>
      </c>
      <c r="CB918">
        <v>0</v>
      </c>
      <c r="CC918">
        <v>0</v>
      </c>
      <c r="CD918">
        <v>0</v>
      </c>
      <c r="CE918">
        <v>0</v>
      </c>
      <c r="CF918">
        <v>0</v>
      </c>
      <c r="CG918">
        <v>0</v>
      </c>
      <c r="CH918">
        <v>0</v>
      </c>
      <c r="CI918">
        <v>0</v>
      </c>
      <c r="CJ918">
        <v>0</v>
      </c>
      <c r="CK918">
        <v>0</v>
      </c>
      <c r="CL918">
        <v>0</v>
      </c>
      <c r="CM918">
        <v>0</v>
      </c>
      <c r="CN918" t="str">
        <f t="shared" si="1147"/>
        <v>refOK</v>
      </c>
      <c r="CO918">
        <f t="shared" si="1166"/>
        <v>5918</v>
      </c>
      <c r="CP918">
        <f t="shared" si="1167"/>
        <v>6991</v>
      </c>
      <c r="CQ918">
        <f t="shared" si="1148"/>
        <v>1073000</v>
      </c>
      <c r="CR918">
        <f t="shared" si="1149"/>
        <v>1757</v>
      </c>
      <c r="CS918">
        <f t="shared" si="1150"/>
        <v>3283</v>
      </c>
      <c r="CT918">
        <f t="shared" si="1151"/>
        <v>5600420</v>
      </c>
      <c r="CU918">
        <f t="shared" si="1152"/>
        <v>5.2194035414725066</v>
      </c>
      <c r="CV918" s="2">
        <f t="shared" si="1153"/>
        <v>0.86852589641434264</v>
      </c>
      <c r="CW918" s="1" t="s">
        <v>1202</v>
      </c>
      <c r="CX918" s="264" t="str">
        <f t="shared" si="1154"/>
        <v>reg</v>
      </c>
      <c r="CY918" t="s">
        <v>1280</v>
      </c>
      <c r="DA918" s="143"/>
      <c r="DB918">
        <v>100</v>
      </c>
      <c r="DC918" t="str">
        <f t="shared" si="1155"/>
        <v>71-100</v>
      </c>
      <c r="DD918">
        <v>0</v>
      </c>
      <c r="DE918">
        <v>0</v>
      </c>
      <c r="DF918">
        <v>0</v>
      </c>
      <c r="DG918">
        <v>1</v>
      </c>
      <c r="DI918">
        <f t="shared" si="1156"/>
        <v>1</v>
      </c>
      <c r="DJ918" t="str">
        <f t="shared" si="1157"/>
        <v>TimberInput</v>
      </c>
      <c r="DK918">
        <f t="shared" si="1158"/>
        <v>0</v>
      </c>
      <c r="DL918">
        <f t="shared" si="1159"/>
        <v>0</v>
      </c>
      <c r="DM918">
        <f t="shared" si="1160"/>
        <v>0</v>
      </c>
      <c r="DN918" t="str">
        <f t="shared" si="1161"/>
        <v>Timber</v>
      </c>
      <c r="DO918">
        <v>0</v>
      </c>
      <c r="DP918" s="143">
        <v>0</v>
      </c>
      <c r="DQ918" s="143">
        <v>0</v>
      </c>
      <c r="DR918">
        <v>0</v>
      </c>
      <c r="DS918" s="143">
        <v>0</v>
      </c>
      <c r="DT918">
        <f t="shared" si="1162"/>
        <v>0</v>
      </c>
      <c r="DU918" s="143" t="str">
        <f t="shared" si="1163"/>
        <v>explicit C balance</v>
      </c>
      <c r="DV918" s="143">
        <v>0</v>
      </c>
      <c r="DW918" s="143">
        <v>0</v>
      </c>
      <c r="DX918" s="143">
        <v>1</v>
      </c>
      <c r="DY918" s="143">
        <v>0</v>
      </c>
      <c r="DZ918">
        <v>0</v>
      </c>
      <c r="EA918" s="143">
        <v>0</v>
      </c>
      <c r="EB918" s="143">
        <v>0</v>
      </c>
      <c r="EC918" s="143">
        <v>0</v>
      </c>
      <c r="ED918" s="143">
        <v>0</v>
      </c>
      <c r="EE918">
        <v>0</v>
      </c>
      <c r="EF918">
        <v>0</v>
      </c>
      <c r="EG918" s="143">
        <v>0</v>
      </c>
      <c r="EH918">
        <v>0</v>
      </c>
      <c r="EI918" s="2">
        <v>0</v>
      </c>
      <c r="EK918" t="str">
        <f t="shared" si="1164"/>
        <v/>
      </c>
      <c r="EL918" t="str">
        <f t="shared" si="1165"/>
        <v/>
      </c>
      <c r="EM918" s="2" t="str">
        <f t="shared" si="1100"/>
        <v/>
      </c>
      <c r="EP918" t="str">
        <f>IF(ISNUMBER(BU918),IF(ABS(BU918-[4]QC_indicators!$B$2)&gt;3*[4]QC_indicators!$C$2,"C ratio",IF(ISNUMBER(BY918),IF(ABS(BY918-[4]QC_indicators!$B$1)&gt;3*[4]QC_indicators!$C$1,"DF","no"))),IF(ISNUMBER(BY918),IF(ABS(BY918-[4]QC_indicators!$B$1)&gt;3*[4]QC_indicators!$C$1,"DF","no")))</f>
        <v>no</v>
      </c>
      <c r="EQ918" t="s">
        <v>1877</v>
      </c>
      <c r="ET918" s="264" t="s">
        <v>3406</v>
      </c>
    </row>
    <row r="919" spans="1:150" ht="15" hidden="1" customHeight="1">
      <c r="A919" s="1" t="s">
        <v>1269</v>
      </c>
      <c r="B919" t="s">
        <v>1868</v>
      </c>
      <c r="C919" t="s">
        <v>1869</v>
      </c>
      <c r="D919" t="s">
        <v>1870</v>
      </c>
      <c r="E919" t="s">
        <v>1871</v>
      </c>
      <c r="F919" t="s">
        <v>1872</v>
      </c>
      <c r="G919" t="s">
        <v>1275</v>
      </c>
      <c r="H919" t="s">
        <v>254</v>
      </c>
      <c r="I919">
        <v>2019</v>
      </c>
      <c r="J919">
        <v>2</v>
      </c>
      <c r="K919" t="s">
        <v>1873</v>
      </c>
      <c r="M919" t="str">
        <f t="shared" si="1132"/>
        <v>Kucuker_2019</v>
      </c>
      <c r="N919" t="s">
        <v>222</v>
      </c>
      <c r="O919" s="145" t="s">
        <v>225</v>
      </c>
      <c r="Q919" s="264" t="s">
        <v>256</v>
      </c>
      <c r="R919" s="269" t="s">
        <v>1153</v>
      </c>
      <c r="S919" s="1" t="s">
        <v>1874</v>
      </c>
      <c r="T919" t="s">
        <v>1875</v>
      </c>
      <c r="U919">
        <v>60</v>
      </c>
      <c r="V919">
        <v>0</v>
      </c>
      <c r="W919">
        <v>0</v>
      </c>
      <c r="X919">
        <v>0</v>
      </c>
      <c r="Y919">
        <v>0</v>
      </c>
      <c r="Z919">
        <v>0</v>
      </c>
      <c r="AA919">
        <v>0</v>
      </c>
      <c r="AB919">
        <v>0</v>
      </c>
      <c r="AC919">
        <v>0</v>
      </c>
      <c r="AD919">
        <v>0</v>
      </c>
      <c r="AE919">
        <v>0</v>
      </c>
      <c r="AF919">
        <v>0</v>
      </c>
      <c r="AG919">
        <v>0</v>
      </c>
      <c r="AH919">
        <v>0</v>
      </c>
      <c r="AI919">
        <v>0</v>
      </c>
      <c r="AJ919">
        <v>0</v>
      </c>
      <c r="AK919">
        <v>0</v>
      </c>
      <c r="AL919">
        <v>0</v>
      </c>
      <c r="AM919">
        <v>0</v>
      </c>
      <c r="AN919">
        <v>0</v>
      </c>
      <c r="AO919">
        <v>0</v>
      </c>
      <c r="AP919">
        <v>0</v>
      </c>
      <c r="AQ919">
        <v>0</v>
      </c>
      <c r="AR919">
        <v>0</v>
      </c>
      <c r="AS919">
        <v>0</v>
      </c>
      <c r="AT919">
        <v>0</v>
      </c>
      <c r="AU919">
        <v>0</v>
      </c>
      <c r="AV919">
        <v>1</v>
      </c>
      <c r="AW919">
        <v>0</v>
      </c>
      <c r="AX919" s="141">
        <f t="shared" si="1134"/>
        <v>1</v>
      </c>
      <c r="AY919" s="141">
        <f t="shared" si="1135"/>
        <v>0</v>
      </c>
      <c r="AZ919">
        <f t="shared" si="1136"/>
        <v>0</v>
      </c>
      <c r="BA919">
        <f t="shared" si="1137"/>
        <v>0</v>
      </c>
      <c r="BB919">
        <f t="shared" si="1138"/>
        <v>0</v>
      </c>
      <c r="BC919">
        <f t="shared" si="1139"/>
        <v>1</v>
      </c>
      <c r="BD919">
        <f t="shared" si="1140"/>
        <v>0</v>
      </c>
      <c r="BE919" t="str" cm="1">
        <f t="array" ref="BE919">IF(AY919=1,INDEX($V$7:$AL$7,MATCH(TRUE,INDEX($V919:$AW919&lt;&gt;0,),0)),IF(AY919=0,INDEX($AM$7:$AW$7,MATCH(1,$AM919:$AW919,0)),IF(BF919="Multiple strategies","mixed drivers",IF(BF919="Supply chain","multiple supply","multiple silviculture"))))</f>
        <v>Exogenous C price</v>
      </c>
      <c r="BF919" s="2" t="str" cm="1">
        <f t="array" ref="BF919">IF(COUNTIF(AZ919:BB919,"&lt;&gt;0")=1,INDEX($V$4:$AW$4,MATCH(TRUE,INDEX($V919:$AW919&lt;&gt;0,),0)),IF(COUNTIF(AZ919:BB919,"&lt;&gt;0")=0,INDEX($AM$4:$AW$4,MATCH(1,$AM919:$AW919,0)),"Multiple strategies"))</f>
        <v>Demand</v>
      </c>
      <c r="BG919" s="173" t="s">
        <v>321</v>
      </c>
      <c r="BH919" t="s">
        <v>182</v>
      </c>
      <c r="BJ919" t="s">
        <v>1769</v>
      </c>
      <c r="BK919">
        <v>5347</v>
      </c>
      <c r="BL919" s="143">
        <v>6468</v>
      </c>
      <c r="BM919" s="163">
        <f t="shared" si="1141"/>
        <v>1.2096502711801009</v>
      </c>
      <c r="BN919">
        <f t="shared" si="1142"/>
        <v>1121</v>
      </c>
      <c r="BO919" s="143">
        <f t="shared" si="1143"/>
        <v>1121000</v>
      </c>
      <c r="BP919" t="s">
        <v>232</v>
      </c>
      <c r="BQ919" s="234"/>
      <c r="BR919" t="s">
        <v>1876</v>
      </c>
      <c r="BS919">
        <v>1418</v>
      </c>
      <c r="BT919" s="143">
        <v>3030</v>
      </c>
      <c r="BU919" s="144">
        <f t="shared" si="1144"/>
        <v>2.1368124118476728</v>
      </c>
      <c r="BV919">
        <f t="shared" si="1145"/>
        <v>1612</v>
      </c>
      <c r="BX919">
        <f t="shared" si="1146"/>
        <v>5916040</v>
      </c>
      <c r="BY919">
        <f t="shared" si="1099"/>
        <v>5.2774665477252451</v>
      </c>
      <c r="BZ919">
        <v>0</v>
      </c>
      <c r="CA919">
        <v>0</v>
      </c>
      <c r="CB919">
        <v>0</v>
      </c>
      <c r="CC919">
        <v>0</v>
      </c>
      <c r="CD919">
        <v>0</v>
      </c>
      <c r="CE919">
        <v>0</v>
      </c>
      <c r="CF919">
        <v>0</v>
      </c>
      <c r="CG919">
        <v>0</v>
      </c>
      <c r="CH919">
        <v>0</v>
      </c>
      <c r="CI919">
        <v>0</v>
      </c>
      <c r="CJ919">
        <v>0</v>
      </c>
      <c r="CK919">
        <v>0</v>
      </c>
      <c r="CL919">
        <v>0</v>
      </c>
      <c r="CM919">
        <v>0</v>
      </c>
      <c r="CN919" t="str">
        <f t="shared" si="1147"/>
        <v>refOK</v>
      </c>
      <c r="CO919">
        <f t="shared" si="1166"/>
        <v>5347</v>
      </c>
      <c r="CP919">
        <f t="shared" si="1167"/>
        <v>6468</v>
      </c>
      <c r="CQ919">
        <f t="shared" si="1148"/>
        <v>1121000</v>
      </c>
      <c r="CR919">
        <f t="shared" si="1149"/>
        <v>1418</v>
      </c>
      <c r="CS919">
        <f t="shared" si="1150"/>
        <v>3030</v>
      </c>
      <c r="CT919">
        <f t="shared" si="1151"/>
        <v>5916040</v>
      </c>
      <c r="CU919">
        <f t="shared" si="1152"/>
        <v>5.2774665477252451</v>
      </c>
      <c r="CV919" s="2">
        <f t="shared" si="1153"/>
        <v>1.1368124118476728</v>
      </c>
      <c r="CW919" s="1" t="s">
        <v>1202</v>
      </c>
      <c r="CX919" s="264" t="str">
        <f t="shared" si="1154"/>
        <v>reg</v>
      </c>
      <c r="CY919" t="s">
        <v>1280</v>
      </c>
      <c r="DA919" s="143"/>
      <c r="DB919">
        <v>100</v>
      </c>
      <c r="DC919" t="str">
        <f t="shared" si="1155"/>
        <v>71-100</v>
      </c>
      <c r="DD919">
        <v>0</v>
      </c>
      <c r="DE919">
        <v>0</v>
      </c>
      <c r="DF919">
        <v>0</v>
      </c>
      <c r="DG919">
        <v>1</v>
      </c>
      <c r="DI919">
        <f t="shared" si="1156"/>
        <v>1</v>
      </c>
      <c r="DJ919" t="str">
        <f t="shared" si="1157"/>
        <v>TimberInput</v>
      </c>
      <c r="DK919">
        <f t="shared" si="1158"/>
        <v>0</v>
      </c>
      <c r="DL919">
        <f t="shared" si="1159"/>
        <v>0</v>
      </c>
      <c r="DM919">
        <f t="shared" si="1160"/>
        <v>0</v>
      </c>
      <c r="DN919" t="str">
        <f t="shared" si="1161"/>
        <v>Timber</v>
      </c>
      <c r="DO919">
        <v>0</v>
      </c>
      <c r="DP919" s="143">
        <v>0</v>
      </c>
      <c r="DQ919" s="143">
        <v>0</v>
      </c>
      <c r="DR919">
        <v>0</v>
      </c>
      <c r="DS919" s="143">
        <v>0</v>
      </c>
      <c r="DT919">
        <f t="shared" si="1162"/>
        <v>0</v>
      </c>
      <c r="DU919" s="143" t="str">
        <f t="shared" si="1163"/>
        <v>explicit C balance</v>
      </c>
      <c r="DV919" s="143">
        <v>0</v>
      </c>
      <c r="DW919" s="143">
        <v>0</v>
      </c>
      <c r="DX919" s="143">
        <v>1</v>
      </c>
      <c r="DY919" s="143">
        <v>0</v>
      </c>
      <c r="DZ919">
        <v>0</v>
      </c>
      <c r="EA919" s="143">
        <v>0</v>
      </c>
      <c r="EB919" s="143">
        <v>0</v>
      </c>
      <c r="EC919" s="143">
        <v>0</v>
      </c>
      <c r="ED919" s="143">
        <v>0</v>
      </c>
      <c r="EE919">
        <v>0</v>
      </c>
      <c r="EF919">
        <v>0</v>
      </c>
      <c r="EG919" s="143">
        <v>0</v>
      </c>
      <c r="EH919">
        <v>0</v>
      </c>
      <c r="EI919" s="2">
        <v>0</v>
      </c>
      <c r="EK919" t="str">
        <f t="shared" si="1164"/>
        <v/>
      </c>
      <c r="EL919" t="str">
        <f t="shared" si="1165"/>
        <v/>
      </c>
      <c r="EM919" s="2" t="str">
        <f t="shared" si="1100"/>
        <v/>
      </c>
      <c r="EP919" t="str">
        <f>IF(ISNUMBER(BU919),IF(ABS(BU919-[4]QC_indicators!$B$2)&gt;3*[4]QC_indicators!$C$2,"C ratio",IF(ISNUMBER(BY919),IF(ABS(BY919-[4]QC_indicators!$B$1)&gt;3*[4]QC_indicators!$C$1,"DF","no"))),IF(ISNUMBER(BY919),IF(ABS(BY919-[4]QC_indicators!$B$1)&gt;3*[4]QC_indicators!$C$1,"DF","no")))</f>
        <v>no</v>
      </c>
      <c r="EQ919" t="s">
        <v>1877</v>
      </c>
      <c r="ET919" s="264" t="s">
        <v>3406</v>
      </c>
    </row>
    <row r="920" spans="1:150" ht="15" hidden="1" customHeight="1">
      <c r="A920" s="1" t="s">
        <v>1269</v>
      </c>
      <c r="B920" t="s">
        <v>1868</v>
      </c>
      <c r="C920" t="s">
        <v>1869</v>
      </c>
      <c r="D920" t="s">
        <v>1870</v>
      </c>
      <c r="E920" t="s">
        <v>1871</v>
      </c>
      <c r="F920" t="s">
        <v>1872</v>
      </c>
      <c r="G920" t="s">
        <v>1275</v>
      </c>
      <c r="H920" t="s">
        <v>254</v>
      </c>
      <c r="I920">
        <v>2019</v>
      </c>
      <c r="J920">
        <v>2</v>
      </c>
      <c r="K920" t="s">
        <v>1873</v>
      </c>
      <c r="M920" t="str">
        <f t="shared" si="1132"/>
        <v>Kucuker_2019</v>
      </c>
      <c r="N920" t="s">
        <v>222</v>
      </c>
      <c r="O920" s="145" t="s">
        <v>225</v>
      </c>
      <c r="Q920" s="264" t="s">
        <v>256</v>
      </c>
      <c r="R920" s="269" t="s">
        <v>1153</v>
      </c>
      <c r="S920" s="1" t="s">
        <v>1874</v>
      </c>
      <c r="T920" t="s">
        <v>1878</v>
      </c>
      <c r="U920">
        <v>100</v>
      </c>
      <c r="V920">
        <v>0</v>
      </c>
      <c r="W920">
        <v>0</v>
      </c>
      <c r="X920">
        <v>0</v>
      </c>
      <c r="Y920">
        <v>0</v>
      </c>
      <c r="Z920">
        <v>0</v>
      </c>
      <c r="AA920">
        <v>0</v>
      </c>
      <c r="AB920">
        <v>0</v>
      </c>
      <c r="AC920">
        <v>0</v>
      </c>
      <c r="AD920">
        <v>0</v>
      </c>
      <c r="AE920">
        <v>0</v>
      </c>
      <c r="AF920">
        <v>0</v>
      </c>
      <c r="AG920">
        <v>0</v>
      </c>
      <c r="AH920">
        <v>0</v>
      </c>
      <c r="AI920">
        <v>0</v>
      </c>
      <c r="AJ920">
        <v>0</v>
      </c>
      <c r="AK920">
        <v>0</v>
      </c>
      <c r="AL920">
        <v>0</v>
      </c>
      <c r="AM920">
        <v>0</v>
      </c>
      <c r="AN920">
        <v>0</v>
      </c>
      <c r="AO920">
        <v>0</v>
      </c>
      <c r="AP920">
        <v>0</v>
      </c>
      <c r="AQ920">
        <v>0</v>
      </c>
      <c r="AR920">
        <v>0</v>
      </c>
      <c r="AS920">
        <v>0</v>
      </c>
      <c r="AT920">
        <v>0</v>
      </c>
      <c r="AU920">
        <v>0</v>
      </c>
      <c r="AV920">
        <v>1</v>
      </c>
      <c r="AW920">
        <v>0</v>
      </c>
      <c r="AX920" s="141">
        <f t="shared" si="1134"/>
        <v>1</v>
      </c>
      <c r="AY920" s="141">
        <f t="shared" si="1135"/>
        <v>0</v>
      </c>
      <c r="AZ920">
        <f t="shared" si="1136"/>
        <v>0</v>
      </c>
      <c r="BA920">
        <f t="shared" si="1137"/>
        <v>0</v>
      </c>
      <c r="BB920">
        <f t="shared" si="1138"/>
        <v>0</v>
      </c>
      <c r="BC920">
        <f t="shared" si="1139"/>
        <v>1</v>
      </c>
      <c r="BD920">
        <f t="shared" si="1140"/>
        <v>0</v>
      </c>
      <c r="BE920" t="str" cm="1">
        <f t="array" ref="BE920">IF(AY920=1,INDEX($V$7:$AL$7,MATCH(TRUE,INDEX($V920:$AW920&lt;&gt;0,),0)),IF(AY920=0,INDEX($AM$7:$AW$7,MATCH(1,$AM920:$AW920,0)),IF(BF920="Multiple strategies","mixed drivers",IF(BF920="Supply chain","multiple supply","multiple silviculture"))))</f>
        <v>Exogenous C price</v>
      </c>
      <c r="BF920" s="2" t="str" cm="1">
        <f t="array" ref="BF920">IF(COUNTIF(AZ920:BB920,"&lt;&gt;0")=1,INDEX($V$4:$AW$4,MATCH(TRUE,INDEX($V920:$AW920&lt;&gt;0,),0)),IF(COUNTIF(AZ920:BB920,"&lt;&gt;0")=0,INDEX($AM$4:$AW$4,MATCH(1,$AM920:$AW920,0)),"Multiple strategies"))</f>
        <v>Demand</v>
      </c>
      <c r="BG920" s="173" t="s">
        <v>321</v>
      </c>
      <c r="BH920" t="s">
        <v>182</v>
      </c>
      <c r="BJ920" t="s">
        <v>1769</v>
      </c>
      <c r="BK920">
        <v>5918</v>
      </c>
      <c r="BL920" s="143">
        <v>6986</v>
      </c>
      <c r="BM920" s="163">
        <f t="shared" si="1141"/>
        <v>1.1804663737749239</v>
      </c>
      <c r="BN920">
        <f t="shared" si="1142"/>
        <v>1068</v>
      </c>
      <c r="BO920" s="143">
        <f t="shared" si="1143"/>
        <v>1068000</v>
      </c>
      <c r="BP920" t="s">
        <v>232</v>
      </c>
      <c r="BQ920" s="234"/>
      <c r="BR920" t="s">
        <v>1876</v>
      </c>
      <c r="BS920">
        <v>1757</v>
      </c>
      <c r="BT920" s="143">
        <v>3330</v>
      </c>
      <c r="BU920" s="144">
        <f t="shared" si="1144"/>
        <v>1.8952760387023335</v>
      </c>
      <c r="BV920">
        <f t="shared" si="1145"/>
        <v>1573</v>
      </c>
      <c r="BX920">
        <f t="shared" si="1146"/>
        <v>5772910</v>
      </c>
      <c r="BY920">
        <f t="shared" si="1099"/>
        <v>5.4053464419475654</v>
      </c>
      <c r="BZ920">
        <v>0</v>
      </c>
      <c r="CA920">
        <v>0</v>
      </c>
      <c r="CB920">
        <v>0</v>
      </c>
      <c r="CC920">
        <v>0</v>
      </c>
      <c r="CD920">
        <v>0</v>
      </c>
      <c r="CE920">
        <v>0</v>
      </c>
      <c r="CF920">
        <v>0</v>
      </c>
      <c r="CG920">
        <v>0</v>
      </c>
      <c r="CH920">
        <v>0</v>
      </c>
      <c r="CI920">
        <v>0</v>
      </c>
      <c r="CJ920">
        <v>0</v>
      </c>
      <c r="CK920">
        <v>0</v>
      </c>
      <c r="CL920">
        <v>0</v>
      </c>
      <c r="CM920">
        <v>0</v>
      </c>
      <c r="CN920" t="str">
        <f t="shared" si="1147"/>
        <v>refOK</v>
      </c>
      <c r="CO920">
        <f t="shared" si="1166"/>
        <v>5918</v>
      </c>
      <c r="CP920">
        <f t="shared" si="1167"/>
        <v>6986</v>
      </c>
      <c r="CQ920">
        <f t="shared" si="1148"/>
        <v>1068000</v>
      </c>
      <c r="CR920">
        <f t="shared" si="1149"/>
        <v>1757</v>
      </c>
      <c r="CS920">
        <f t="shared" si="1150"/>
        <v>3330</v>
      </c>
      <c r="CT920">
        <f t="shared" si="1151"/>
        <v>5772910</v>
      </c>
      <c r="CU920">
        <f t="shared" si="1152"/>
        <v>5.4053464419475654</v>
      </c>
      <c r="CV920" s="2">
        <f t="shared" si="1153"/>
        <v>0.89527603870233352</v>
      </c>
      <c r="CW920" s="1" t="s">
        <v>1202</v>
      </c>
      <c r="CX920" s="264" t="str">
        <f t="shared" si="1154"/>
        <v>reg</v>
      </c>
      <c r="CY920" t="s">
        <v>1280</v>
      </c>
      <c r="DA920" s="143"/>
      <c r="DB920">
        <v>100</v>
      </c>
      <c r="DC920" t="str">
        <f t="shared" si="1155"/>
        <v>71-100</v>
      </c>
      <c r="DD920">
        <v>0</v>
      </c>
      <c r="DE920">
        <v>0</v>
      </c>
      <c r="DF920">
        <v>0</v>
      </c>
      <c r="DG920">
        <v>1</v>
      </c>
      <c r="DI920">
        <f t="shared" si="1156"/>
        <v>1</v>
      </c>
      <c r="DJ920" t="str">
        <f t="shared" si="1157"/>
        <v>TimberInput</v>
      </c>
      <c r="DK920">
        <f t="shared" si="1158"/>
        <v>0</v>
      </c>
      <c r="DL920">
        <f t="shared" si="1159"/>
        <v>0</v>
      </c>
      <c r="DM920">
        <f t="shared" si="1160"/>
        <v>0</v>
      </c>
      <c r="DN920" t="str">
        <f t="shared" si="1161"/>
        <v>Timber</v>
      </c>
      <c r="DO920">
        <v>0</v>
      </c>
      <c r="DP920" s="143">
        <v>0</v>
      </c>
      <c r="DQ920" s="143">
        <v>0</v>
      </c>
      <c r="DR920">
        <v>0</v>
      </c>
      <c r="DS920" s="143">
        <v>0</v>
      </c>
      <c r="DT920">
        <f t="shared" si="1162"/>
        <v>0</v>
      </c>
      <c r="DU920" s="143" t="str">
        <f t="shared" si="1163"/>
        <v>explicit C balance</v>
      </c>
      <c r="DV920" s="143">
        <v>0</v>
      </c>
      <c r="DW920" s="143">
        <v>0</v>
      </c>
      <c r="DX920" s="143">
        <v>1</v>
      </c>
      <c r="DY920" s="143">
        <v>0</v>
      </c>
      <c r="DZ920">
        <v>0</v>
      </c>
      <c r="EA920" s="143">
        <v>0</v>
      </c>
      <c r="EB920" s="143">
        <v>0</v>
      </c>
      <c r="EC920" s="143">
        <v>0</v>
      </c>
      <c r="ED920" s="143">
        <v>0</v>
      </c>
      <c r="EE920">
        <v>0</v>
      </c>
      <c r="EF920">
        <v>0</v>
      </c>
      <c r="EG920" s="143">
        <v>0</v>
      </c>
      <c r="EH920">
        <v>0</v>
      </c>
      <c r="EI920" s="2">
        <v>0</v>
      </c>
      <c r="EK920" t="str">
        <f t="shared" si="1164"/>
        <v/>
      </c>
      <c r="EL920" t="str">
        <f t="shared" si="1165"/>
        <v/>
      </c>
      <c r="EM920" s="2" t="str">
        <f t="shared" si="1100"/>
        <v/>
      </c>
      <c r="EP920" t="str">
        <f>IF(ISNUMBER(BU920),IF(ABS(BU920-[4]QC_indicators!$B$2)&gt;3*[4]QC_indicators!$C$2,"C ratio",IF(ISNUMBER(BY920),IF(ABS(BY920-[4]QC_indicators!$B$1)&gt;3*[4]QC_indicators!$C$1,"DF","no"))),IF(ISNUMBER(BY920),IF(ABS(BY920-[4]QC_indicators!$B$1)&gt;3*[4]QC_indicators!$C$1,"DF","no")))</f>
        <v>no</v>
      </c>
      <c r="EQ920" t="s">
        <v>1877</v>
      </c>
      <c r="ET920" s="264" t="s">
        <v>3406</v>
      </c>
    </row>
    <row r="921" spans="1:150" ht="15" hidden="1" customHeight="1">
      <c r="A921" s="1" t="s">
        <v>1269</v>
      </c>
      <c r="B921" t="s">
        <v>1868</v>
      </c>
      <c r="C921" t="s">
        <v>1869</v>
      </c>
      <c r="D921" t="s">
        <v>1870</v>
      </c>
      <c r="E921" t="s">
        <v>1871</v>
      </c>
      <c r="F921" t="s">
        <v>1872</v>
      </c>
      <c r="G921" t="s">
        <v>1275</v>
      </c>
      <c r="H921" t="s">
        <v>254</v>
      </c>
      <c r="I921">
        <v>2019</v>
      </c>
      <c r="J921">
        <v>2</v>
      </c>
      <c r="K921" t="s">
        <v>1873</v>
      </c>
      <c r="M921" t="str">
        <f t="shared" si="1132"/>
        <v>Kucuker_2019</v>
      </c>
      <c r="N921" t="s">
        <v>222</v>
      </c>
      <c r="O921" s="145" t="s">
        <v>225</v>
      </c>
      <c r="Q921" s="264" t="s">
        <v>256</v>
      </c>
      <c r="R921" s="269" t="s">
        <v>1153</v>
      </c>
      <c r="S921" s="1" t="s">
        <v>1874</v>
      </c>
      <c r="T921" t="s">
        <v>1875</v>
      </c>
      <c r="U921">
        <v>100</v>
      </c>
      <c r="V921">
        <v>0</v>
      </c>
      <c r="W921">
        <v>0</v>
      </c>
      <c r="X921">
        <v>0</v>
      </c>
      <c r="Y921">
        <v>0</v>
      </c>
      <c r="Z921">
        <v>0</v>
      </c>
      <c r="AA921">
        <v>0</v>
      </c>
      <c r="AB921">
        <v>0</v>
      </c>
      <c r="AC921">
        <v>0</v>
      </c>
      <c r="AD921">
        <v>0</v>
      </c>
      <c r="AE921">
        <v>0</v>
      </c>
      <c r="AF921">
        <v>0</v>
      </c>
      <c r="AG921">
        <v>0</v>
      </c>
      <c r="AH921">
        <v>0</v>
      </c>
      <c r="AI921">
        <v>0</v>
      </c>
      <c r="AJ921">
        <v>0</v>
      </c>
      <c r="AK921">
        <v>0</v>
      </c>
      <c r="AL921">
        <v>0</v>
      </c>
      <c r="AM921">
        <v>0</v>
      </c>
      <c r="AN921">
        <v>0</v>
      </c>
      <c r="AO921">
        <v>0</v>
      </c>
      <c r="AP921">
        <v>0</v>
      </c>
      <c r="AQ921">
        <v>0</v>
      </c>
      <c r="AR921">
        <v>0</v>
      </c>
      <c r="AS921">
        <v>0</v>
      </c>
      <c r="AT921">
        <v>0</v>
      </c>
      <c r="AU921">
        <v>0</v>
      </c>
      <c r="AV921">
        <v>1</v>
      </c>
      <c r="AW921">
        <v>0</v>
      </c>
      <c r="AX921" s="141">
        <f t="shared" si="1134"/>
        <v>1</v>
      </c>
      <c r="AY921" s="141">
        <f t="shared" si="1135"/>
        <v>0</v>
      </c>
      <c r="AZ921">
        <f t="shared" si="1136"/>
        <v>0</v>
      </c>
      <c r="BA921">
        <f t="shared" si="1137"/>
        <v>0</v>
      </c>
      <c r="BB921">
        <f t="shared" si="1138"/>
        <v>0</v>
      </c>
      <c r="BC921">
        <f t="shared" si="1139"/>
        <v>1</v>
      </c>
      <c r="BD921">
        <f t="shared" si="1140"/>
        <v>0</v>
      </c>
      <c r="BE921" t="str" cm="1">
        <f t="array" ref="BE921">IF(AY921=1,INDEX($V$7:$AL$7,MATCH(TRUE,INDEX($V921:$AW921&lt;&gt;0,),0)),IF(AY921=0,INDEX($AM$7:$AW$7,MATCH(1,$AM921:$AW921,0)),IF(BF921="Multiple strategies","mixed drivers",IF(BF921="Supply chain","multiple supply","multiple silviculture"))))</f>
        <v>Exogenous C price</v>
      </c>
      <c r="BF921" s="2" t="str" cm="1">
        <f t="array" ref="BF921">IF(COUNTIF(AZ921:BB921,"&lt;&gt;0")=1,INDEX($V$4:$AW$4,MATCH(TRUE,INDEX($V921:$AW921&lt;&gt;0,),0)),IF(COUNTIF(AZ921:BB921,"&lt;&gt;0")=0,INDEX($AM$4:$AW$4,MATCH(1,$AM921:$AW921,0)),"Multiple strategies"))</f>
        <v>Demand</v>
      </c>
      <c r="BG921" s="173" t="s">
        <v>321</v>
      </c>
      <c r="BH921" t="s">
        <v>182</v>
      </c>
      <c r="BJ921" t="s">
        <v>1769</v>
      </c>
      <c r="BK921">
        <v>5347</v>
      </c>
      <c r="BL921" s="143">
        <v>6397</v>
      </c>
      <c r="BM921" s="163">
        <f t="shared" si="1141"/>
        <v>1.1963717972694969</v>
      </c>
      <c r="BN921">
        <f t="shared" si="1142"/>
        <v>1050</v>
      </c>
      <c r="BO921" s="143">
        <f t="shared" si="1143"/>
        <v>1050000</v>
      </c>
      <c r="BP921" t="s">
        <v>232</v>
      </c>
      <c r="BQ921" s="234"/>
      <c r="BR921" t="s">
        <v>1876</v>
      </c>
      <c r="BS921">
        <v>1418</v>
      </c>
      <c r="BT921" s="143">
        <v>3066</v>
      </c>
      <c r="BU921" s="144">
        <f t="shared" si="1144"/>
        <v>2.1622002820874471</v>
      </c>
      <c r="BV921">
        <f t="shared" si="1145"/>
        <v>1648</v>
      </c>
      <c r="BX921">
        <f t="shared" si="1146"/>
        <v>6048160</v>
      </c>
      <c r="BY921">
        <f t="shared" si="1099"/>
        <v>5.7601523809523814</v>
      </c>
      <c r="BZ921">
        <v>0</v>
      </c>
      <c r="CA921">
        <v>0</v>
      </c>
      <c r="CB921">
        <v>0</v>
      </c>
      <c r="CC921">
        <v>0</v>
      </c>
      <c r="CD921">
        <v>0</v>
      </c>
      <c r="CE921">
        <v>0</v>
      </c>
      <c r="CF921">
        <v>0</v>
      </c>
      <c r="CG921">
        <v>0</v>
      </c>
      <c r="CH921">
        <v>0</v>
      </c>
      <c r="CI921">
        <v>0</v>
      </c>
      <c r="CJ921">
        <v>0</v>
      </c>
      <c r="CK921">
        <v>0</v>
      </c>
      <c r="CL921">
        <v>0</v>
      </c>
      <c r="CM921">
        <v>0</v>
      </c>
      <c r="CN921" t="str">
        <f t="shared" si="1147"/>
        <v>refOK</v>
      </c>
      <c r="CO921">
        <f t="shared" si="1166"/>
        <v>5347</v>
      </c>
      <c r="CP921">
        <f t="shared" si="1167"/>
        <v>6397</v>
      </c>
      <c r="CQ921">
        <f t="shared" si="1148"/>
        <v>1050000</v>
      </c>
      <c r="CR921">
        <f t="shared" si="1149"/>
        <v>1418</v>
      </c>
      <c r="CS921">
        <f t="shared" si="1150"/>
        <v>3066</v>
      </c>
      <c r="CT921">
        <f t="shared" si="1151"/>
        <v>6048160</v>
      </c>
      <c r="CU921">
        <f t="shared" si="1152"/>
        <v>5.7601523809523814</v>
      </c>
      <c r="CV921" s="2">
        <f t="shared" si="1153"/>
        <v>1.1622002820874471</v>
      </c>
      <c r="CW921" s="1" t="s">
        <v>1202</v>
      </c>
      <c r="CX921" s="264" t="str">
        <f t="shared" si="1154"/>
        <v>reg</v>
      </c>
      <c r="CY921" t="s">
        <v>1280</v>
      </c>
      <c r="DA921" s="143"/>
      <c r="DB921">
        <v>100</v>
      </c>
      <c r="DC921" t="str">
        <f t="shared" si="1155"/>
        <v>71-100</v>
      </c>
      <c r="DD921">
        <v>0</v>
      </c>
      <c r="DE921">
        <v>0</v>
      </c>
      <c r="DF921">
        <v>0</v>
      </c>
      <c r="DG921">
        <v>1</v>
      </c>
      <c r="DI921">
        <f t="shared" si="1156"/>
        <v>1</v>
      </c>
      <c r="DJ921" t="str">
        <f t="shared" si="1157"/>
        <v>TimberInput</v>
      </c>
      <c r="DK921">
        <f t="shared" si="1158"/>
        <v>0</v>
      </c>
      <c r="DL921">
        <f t="shared" si="1159"/>
        <v>0</v>
      </c>
      <c r="DM921">
        <f t="shared" si="1160"/>
        <v>0</v>
      </c>
      <c r="DN921" t="str">
        <f t="shared" si="1161"/>
        <v>Timber</v>
      </c>
      <c r="DO921">
        <v>0</v>
      </c>
      <c r="DP921" s="143">
        <v>0</v>
      </c>
      <c r="DQ921" s="143">
        <v>0</v>
      </c>
      <c r="DR921">
        <v>0</v>
      </c>
      <c r="DS921" s="143">
        <v>0</v>
      </c>
      <c r="DT921">
        <f t="shared" si="1162"/>
        <v>0</v>
      </c>
      <c r="DU921" s="143" t="str">
        <f t="shared" si="1163"/>
        <v>explicit C balance</v>
      </c>
      <c r="DV921" s="143">
        <v>0</v>
      </c>
      <c r="DW921" s="143">
        <v>0</v>
      </c>
      <c r="DX921" s="143">
        <v>1</v>
      </c>
      <c r="DY921" s="143">
        <v>0</v>
      </c>
      <c r="DZ921">
        <v>0</v>
      </c>
      <c r="EA921" s="143">
        <v>0</v>
      </c>
      <c r="EB921" s="143">
        <v>0</v>
      </c>
      <c r="EC921" s="143">
        <v>0</v>
      </c>
      <c r="ED921" s="143">
        <v>0</v>
      </c>
      <c r="EE921">
        <v>0</v>
      </c>
      <c r="EF921">
        <v>0</v>
      </c>
      <c r="EG921" s="143">
        <v>0</v>
      </c>
      <c r="EH921">
        <v>0</v>
      </c>
      <c r="EI921" s="2">
        <v>0</v>
      </c>
      <c r="EK921" t="str">
        <f t="shared" si="1164"/>
        <v/>
      </c>
      <c r="EL921" t="str">
        <f t="shared" si="1165"/>
        <v/>
      </c>
      <c r="EM921" s="2" t="str">
        <f t="shared" si="1100"/>
        <v/>
      </c>
      <c r="EP921" t="str">
        <f>IF(ISNUMBER(BU921),IF(ABS(BU921-[4]QC_indicators!$B$2)&gt;3*[4]QC_indicators!$C$2,"C ratio",IF(ISNUMBER(BY921),IF(ABS(BY921-[4]QC_indicators!$B$1)&gt;3*[4]QC_indicators!$C$1,"DF","no"))),IF(ISNUMBER(BY921),IF(ABS(BY921-[4]QC_indicators!$B$1)&gt;3*[4]QC_indicators!$C$1,"DF","no")))</f>
        <v>DF</v>
      </c>
      <c r="EQ921" t="s">
        <v>1877</v>
      </c>
      <c r="ET921" s="264" t="s">
        <v>3406</v>
      </c>
    </row>
    <row r="922" spans="1:150" ht="15" hidden="1" customHeight="1">
      <c r="A922" s="1" t="s">
        <v>656</v>
      </c>
      <c r="B922" t="s">
        <v>4846</v>
      </c>
      <c r="C922" t="s">
        <v>4847</v>
      </c>
      <c r="D922" t="s">
        <v>4848</v>
      </c>
      <c r="E922" t="s">
        <v>4849</v>
      </c>
      <c r="F922" t="s">
        <v>4850</v>
      </c>
      <c r="G922" t="s">
        <v>662</v>
      </c>
      <c r="H922" t="s">
        <v>254</v>
      </c>
      <c r="I922">
        <v>2022</v>
      </c>
      <c r="J922">
        <v>2</v>
      </c>
      <c r="K922" t="s">
        <v>4851</v>
      </c>
      <c r="M922" t="str">
        <f t="shared" si="1132"/>
        <v>Kuhmaier_2022</v>
      </c>
      <c r="N922" t="s">
        <v>1351</v>
      </c>
      <c r="AX922" s="141">
        <f t="shared" si="1134"/>
        <v>28</v>
      </c>
      <c r="AY922">
        <f t="shared" si="1135"/>
        <v>17</v>
      </c>
      <c r="BE922"/>
      <c r="BF922" s="2"/>
      <c r="BQ922" s="234"/>
      <c r="BY922" t="str">
        <f t="shared" si="1099"/>
        <v/>
      </c>
      <c r="CN922"/>
      <c r="CO922"/>
      <c r="CP922"/>
      <c r="CQ922"/>
      <c r="CR922"/>
      <c r="CS922"/>
      <c r="CT922"/>
      <c r="CU922"/>
      <c r="CV922" s="2"/>
      <c r="CX922"/>
      <c r="DC922"/>
      <c r="DI922"/>
      <c r="DJ922"/>
      <c r="DK922"/>
      <c r="DL922"/>
      <c r="DM922"/>
      <c r="DN922"/>
      <c r="DT922"/>
      <c r="DU922"/>
      <c r="EK922" t="str">
        <f>IF(AND(AND(AND(OR($DX922=1,$DW922=1),OR($EC922=1,$EA922=1)),SUM($DV922:$DZ922,$EF922)&gt;=3),SUM($EA922:$EE922)&gt;=2),"Whole sector","")</f>
        <v/>
      </c>
      <c r="EL922" t="str">
        <f>IF(AND(AND(OR($DX922=1,$DW922=1),AND($EC922=0,$EA922=0)),SUM($DV922:$DZ922,$EF922)&gt;=3),"Ecosystem approach","")</f>
        <v/>
      </c>
      <c r="EM922" s="2" t="str">
        <f t="shared" si="1100"/>
        <v/>
      </c>
      <c r="EP922" t="b">
        <f>IF(ISNUMBER(BU922),IF(ABS(BU922-[1]QC_indicators!$B$2)&gt;3*[1]QC_indicators!$C$2,"C ratio",IF(ISNUMBER(BY922),IF(ABS(BY922-[1]QC_indicators!$B$1)&gt;3*[1]QC_indicators!$C$1,"DF","no"))),IF(ISNUMBER(BY922),IF(ABS(BY922-[1]QC_indicators!$B$1)&gt;3*[1]QC_indicators!$C$1,"DF","no")))</f>
        <v>0</v>
      </c>
    </row>
    <row r="923" spans="1:150" ht="15" hidden="1" customHeight="1">
      <c r="A923" s="1" t="s">
        <v>4551</v>
      </c>
      <c r="B923" t="s">
        <v>4552</v>
      </c>
      <c r="D923" t="s">
        <v>4553</v>
      </c>
      <c r="E923" t="s">
        <v>4554</v>
      </c>
      <c r="F923" t="s">
        <v>4555</v>
      </c>
      <c r="G923" t="s">
        <v>4556</v>
      </c>
      <c r="H923" t="s">
        <v>254</v>
      </c>
      <c r="I923">
        <v>2021</v>
      </c>
      <c r="J923">
        <v>2</v>
      </c>
      <c r="K923" t="s">
        <v>4557</v>
      </c>
      <c r="M923" t="str">
        <f t="shared" si="1132"/>
        <v>Kunic_2021</v>
      </c>
      <c r="N923" t="s">
        <v>2582</v>
      </c>
      <c r="O923" s="145" t="s">
        <v>225</v>
      </c>
      <c r="Q923" s="311" t="s">
        <v>256</v>
      </c>
      <c r="R923" s="312"/>
      <c r="U923" s="143"/>
      <c r="AX923" s="141"/>
      <c r="AY923" s="141"/>
      <c r="BE923"/>
      <c r="BF923" s="2"/>
      <c r="BG923" s="142"/>
      <c r="BJ923" s="143"/>
      <c r="BL923" s="143"/>
      <c r="BM923" s="163"/>
      <c r="BN923" s="158"/>
      <c r="BO923" s="143"/>
      <c r="BQ923" s="234"/>
      <c r="BS923" s="143"/>
      <c r="BU923" s="144"/>
      <c r="BY923" t="str">
        <f t="shared" si="1099"/>
        <v/>
      </c>
      <c r="CN923"/>
      <c r="CO923"/>
      <c r="CP923"/>
      <c r="CQ923"/>
      <c r="CR923"/>
      <c r="CS923"/>
      <c r="CT923"/>
      <c r="CU923"/>
      <c r="CV923" s="2"/>
      <c r="CX923"/>
      <c r="DA923" s="143"/>
      <c r="DB923" s="143"/>
      <c r="DC923"/>
      <c r="DI923"/>
      <c r="DJ923"/>
      <c r="DK923"/>
      <c r="DL923"/>
      <c r="DM923"/>
      <c r="DN923"/>
      <c r="DP923" s="143"/>
      <c r="DQ923" s="143"/>
      <c r="DS923" s="143"/>
      <c r="DT923"/>
      <c r="DU923" s="143"/>
      <c r="DV923" s="143"/>
      <c r="DW923" s="143"/>
      <c r="EB923" s="143"/>
      <c r="ED923" s="143"/>
      <c r="EG923" s="143"/>
      <c r="EK923" t="str">
        <f>IF(AND(AND(AND(OR($DX923=1,$DW923=1),OR($EC923=1,$EA923=1)),SUM($DV923:$DZ923,$EF923)&gt;=3),SUM($EA923:$EE923)&gt;=2),"Whole sector","")</f>
        <v/>
      </c>
      <c r="EL923" t="str">
        <f>IF(AND(AND(OR($DX923=1,$DW923=1),AND($EC923=0,$EA923=0)),SUM($DV923:$DZ923,$EF923)&gt;=3),"Ecosystem approach","")</f>
        <v/>
      </c>
      <c r="EM923" s="2" t="str">
        <f t="shared" si="1100"/>
        <v/>
      </c>
      <c r="EO923" t="s">
        <v>450</v>
      </c>
      <c r="EP923" t="b">
        <f>IF(ISNUMBER(BU923),IF(ABS(BU923-[1]QC_indicators!$B$2)&gt;3*[1]QC_indicators!$C$2,"C ratio",IF(ISNUMBER(BY923),IF(ABS(BY923-[1]QC_indicators!$B$1)&gt;3*[1]QC_indicators!$C$1,"DF","no"))),IF(ISNUMBER(BY923),IF(ABS(BY923-[1]QC_indicators!$B$1)&gt;3*[1]QC_indicators!$C$1,"DF","no")))</f>
        <v>0</v>
      </c>
    </row>
    <row r="924" spans="1:150" ht="15" hidden="1" customHeight="1">
      <c r="A924" s="1" t="s">
        <v>3797</v>
      </c>
      <c r="B924" t="s">
        <v>3798</v>
      </c>
      <c r="C924" t="s">
        <v>3799</v>
      </c>
      <c r="D924" t="s">
        <v>3800</v>
      </c>
      <c r="E924" t="s">
        <v>3801</v>
      </c>
      <c r="F924" t="s">
        <v>3802</v>
      </c>
      <c r="G924" t="s">
        <v>3803</v>
      </c>
      <c r="H924" t="s">
        <v>254</v>
      </c>
      <c r="I924">
        <v>2019</v>
      </c>
      <c r="J924">
        <v>9</v>
      </c>
      <c r="K924" t="s">
        <v>3804</v>
      </c>
      <c r="M924" t="str">
        <f t="shared" si="1132"/>
        <v>Labelle_2019</v>
      </c>
      <c r="N924" s="311" t="s">
        <v>4382</v>
      </c>
      <c r="O924" s="145" t="s">
        <v>225</v>
      </c>
      <c r="Q924" s="311" t="s">
        <v>256</v>
      </c>
      <c r="R924" s="312"/>
      <c r="S924" s="1" t="s">
        <v>3805</v>
      </c>
      <c r="T924" t="s">
        <v>3806</v>
      </c>
      <c r="U924" t="s">
        <v>3807</v>
      </c>
      <c r="V924">
        <v>0</v>
      </c>
      <c r="W924">
        <v>0</v>
      </c>
      <c r="X924">
        <v>0</v>
      </c>
      <c r="Y924">
        <v>0</v>
      </c>
      <c r="Z924">
        <v>0</v>
      </c>
      <c r="AA924">
        <v>0</v>
      </c>
      <c r="AB924">
        <v>0</v>
      </c>
      <c r="AC924">
        <v>0</v>
      </c>
      <c r="AD924">
        <v>1</v>
      </c>
      <c r="AE924">
        <v>0</v>
      </c>
      <c r="AF924">
        <v>0</v>
      </c>
      <c r="AG924">
        <v>0</v>
      </c>
      <c r="AH924">
        <v>0</v>
      </c>
      <c r="AI924">
        <v>0</v>
      </c>
      <c r="AJ924">
        <v>0</v>
      </c>
      <c r="AK924">
        <v>0</v>
      </c>
      <c r="AL924">
        <v>0</v>
      </c>
      <c r="AM924">
        <v>0</v>
      </c>
      <c r="AN924">
        <v>0</v>
      </c>
      <c r="AO924">
        <v>0</v>
      </c>
      <c r="AP924">
        <v>0</v>
      </c>
      <c r="AQ924">
        <v>0</v>
      </c>
      <c r="AR924">
        <v>0</v>
      </c>
      <c r="AS924">
        <v>0</v>
      </c>
      <c r="AT924">
        <v>0</v>
      </c>
      <c r="AU924">
        <v>0</v>
      </c>
      <c r="AV924">
        <v>0</v>
      </c>
      <c r="AW924">
        <v>0</v>
      </c>
      <c r="AX924" s="141">
        <f t="shared" ref="AX924:AX937" si="1168">COUNTIF(V924:AW924,"&lt;&gt;0")</f>
        <v>1</v>
      </c>
      <c r="AY924" s="141">
        <f t="shared" ref="AY924:AY937" si="1169">COUNTIF(V924:AL924,"&lt;&gt;0")</f>
        <v>1</v>
      </c>
      <c r="AZ924">
        <f t="shared" ref="AZ924:AZ937" si="1170">COUNTIF(V924:AC924,"&lt;&gt;0")</f>
        <v>0</v>
      </c>
      <c r="BA924">
        <f t="shared" ref="BA924:BA937" si="1171">COUNTIF(AD924:AI924,"&lt;&gt;0")</f>
        <v>1</v>
      </c>
      <c r="BB924">
        <f t="shared" ref="BB924:BB937" si="1172">COUNTIF(AJ924:AL924,"&lt;&gt;0")</f>
        <v>0</v>
      </c>
      <c r="BC924">
        <f t="shared" ref="BC924:BC937" si="1173">COUNTIF(AS924:AW924,"&lt;&gt;0")</f>
        <v>0</v>
      </c>
      <c r="BD924">
        <f t="shared" ref="BD924:BD937" si="1174">COUNTIF(AM924:AR924,"&lt;&gt;0")</f>
        <v>0</v>
      </c>
      <c r="BE924" t="str" cm="1">
        <f t="array" ref="BE924">IF(AY924=1,INDEX($V$7:$AL$7,MATCH(TRUE,INDEX($V924:$AW924&lt;&gt;0,),0)),IF(AY924=0,INDEX($AM$7:$AW$7,MATCH(1,$AM924:$AW924,0)),IF(BF924="Multiple strategies","mixed drivers",IF(BF924="Supply chain","multiple supply","multiple silviculture"))))</f>
        <v>harvesting system</v>
      </c>
      <c r="BF924" s="2" t="str" cm="1">
        <f t="array" ref="BF924">IF(COUNTIF(AZ924:BB924,"&lt;&gt;0")=1,INDEX($V$4:$AW$4,MATCH(TRUE,INDEX($V924:$AW924&lt;&gt;0,),0)),IF(COUNTIF(AZ924:BB924,"&lt;&gt;0")=0,INDEX($AM$4:$AW$4,MATCH(1,$AM924:$AW924,0)),"Multiple strategies"))</f>
        <v>Supply chain</v>
      </c>
      <c r="BG924" s="142"/>
      <c r="BJ924" s="143"/>
      <c r="BL924" s="143"/>
      <c r="BM924" s="163"/>
      <c r="BN924" s="158"/>
      <c r="BO924" s="143"/>
      <c r="BP924" s="311" t="s">
        <v>232</v>
      </c>
      <c r="BQ924" s="330"/>
      <c r="BR924" t="s">
        <v>3808</v>
      </c>
      <c r="BS924" s="322">
        <v>-4.4180000000000001</v>
      </c>
      <c r="BT924" s="323">
        <v>-3.0760000000000001</v>
      </c>
      <c r="BU924" s="144">
        <v>0.69624264373019462</v>
      </c>
      <c r="BV924" s="323">
        <f t="shared" ref="BV924:BV933" si="1175">BT924-BS924</f>
        <v>1.3420000000000001</v>
      </c>
      <c r="BX924">
        <f>BV924/10^3</f>
        <v>1.3420000000000001E-3</v>
      </c>
      <c r="BY924" t="str">
        <f t="shared" si="1099"/>
        <v/>
      </c>
      <c r="BZ924">
        <v>0</v>
      </c>
      <c r="CA924">
        <v>0</v>
      </c>
      <c r="CB924">
        <v>0</v>
      </c>
      <c r="CC924">
        <v>0</v>
      </c>
      <c r="CD924">
        <v>0</v>
      </c>
      <c r="CE924">
        <v>0</v>
      </c>
      <c r="CF924">
        <v>0</v>
      </c>
      <c r="CG924">
        <v>0</v>
      </c>
      <c r="CH924">
        <v>0</v>
      </c>
      <c r="CI924">
        <v>0</v>
      </c>
      <c r="CJ924">
        <v>0</v>
      </c>
      <c r="CK924">
        <v>0</v>
      </c>
      <c r="CL924">
        <v>0</v>
      </c>
      <c r="CM924">
        <v>0</v>
      </c>
      <c r="CN924" t="str">
        <f>IF(BL924&lt;BK924,"refNeedCorrection","refOK")</f>
        <v>refOK</v>
      </c>
      <c r="CO924"/>
      <c r="CP924"/>
      <c r="CQ924"/>
      <c r="CR924">
        <f t="shared" ref="CR924:CR933" si="1176">IF($CN924="refOK",$BS924,$BT924)*IF($BP924="Emissions positive",-1,1)</f>
        <v>-4.4180000000000001</v>
      </c>
      <c r="CS924">
        <f t="shared" ref="CS924:CS933" si="1177">IF($CN924="refOK",$BT924,$BS924)*IF($BP924="Emissions positive",-1,1)</f>
        <v>-3.0760000000000001</v>
      </c>
      <c r="CT924">
        <f t="shared" ref="CT924:CT937" si="1178">IF($CN924="refNeedCorrection",-BX924,BX924)*IF($BP924="Emissions positive",-1,1)</f>
        <v>1.3420000000000001E-3</v>
      </c>
      <c r="CU924" t="str">
        <f t="shared" ref="CU924:CU937" si="1179">IFERROR(CT924/CQ924,"")</f>
        <v/>
      </c>
      <c r="CV924" s="2">
        <f t="shared" ref="CV924:CV937" si="1180">IFERROR((CS924-CR924)/ABS(CR924),"")</f>
        <v>0.30375735626980532</v>
      </c>
      <c r="CW924" s="1" t="s">
        <v>1198</v>
      </c>
      <c r="CX924" s="311" t="str">
        <f t="shared" ref="CX924:CX937" si="1181">IF(OR($CW924="prd",$CW924="std",$CW924="cit"),"loc",IF(OR($CW924="eur",$CW924="reg",$CW924="coy"),"reg",$CW924))</f>
        <v>reg</v>
      </c>
      <c r="CY924" t="s">
        <v>1300</v>
      </c>
      <c r="CZ924">
        <v>2016</v>
      </c>
      <c r="DA924" s="143">
        <v>2016</v>
      </c>
      <c r="DB924" s="143">
        <v>1</v>
      </c>
      <c r="DC924" t="str">
        <f t="shared" ref="DC924:DC937" si="1182">IF(DB924=0,"0",IF(AND(DB924&gt;=1,DB924&lt;=30),"1-30",IF(AND(DB924&gt;30,DB924&lt;=70),"31-70",IF(AND(DB924&gt;70,DB924&lt;=100),"71-100",IF(DB924&gt;100,"+100")))))</f>
        <v>1-30</v>
      </c>
      <c r="DD924">
        <v>0</v>
      </c>
      <c r="DE924">
        <v>0</v>
      </c>
      <c r="DF924">
        <v>0</v>
      </c>
      <c r="DG924">
        <v>0</v>
      </c>
      <c r="DI924">
        <f t="shared" ref="DI924:DI937" si="1183">SUM(DD924:DG924)</f>
        <v>0</v>
      </c>
      <c r="DJ924" t="str">
        <f t="shared" ref="DJ924:DJ937" si="1184">IF(DI924=1,INDEX($DD$7:$DG$7,MATCH(1,$DD924:$DG924,0)),"mixedProduct")</f>
        <v>mixedProduct</v>
      </c>
      <c r="DK924">
        <f t="shared" ref="DK924:DK937" si="1185">IF(DD924=1,DK$7,0)</f>
        <v>0</v>
      </c>
      <c r="DL924">
        <f t="shared" ref="DL924:DL937" si="1186">IF(DE924=1,DL$7,0)</f>
        <v>0</v>
      </c>
      <c r="DM924">
        <f t="shared" ref="DM924:DM937" si="1187">IF(DF924=1,DM$7,0)</f>
        <v>0</v>
      </c>
      <c r="DN924">
        <f t="shared" ref="DN924:DN937" si="1188">IF(DG924=1,DN$7,0)</f>
        <v>0</v>
      </c>
      <c r="DO924">
        <v>0</v>
      </c>
      <c r="DP924" s="143">
        <v>0</v>
      </c>
      <c r="DQ924" s="143">
        <v>0</v>
      </c>
      <c r="DR924">
        <v>0</v>
      </c>
      <c r="DS924" s="143">
        <v>0</v>
      </c>
      <c r="DT924">
        <f t="shared" ref="DT924:DT937" si="1189">SUM(DO924:DP924)</f>
        <v>0</v>
      </c>
      <c r="DU924" s="143" t="str">
        <f t="shared" ref="DU924:DU937" si="1190">IF(DO924=1,"self-calculated DF",IF(DP924=1,"external DF used","explicit C balance"))</f>
        <v>explicit C balance</v>
      </c>
      <c r="DV924" s="143">
        <v>0</v>
      </c>
      <c r="DW924" s="143">
        <v>0</v>
      </c>
      <c r="DX924" s="143">
        <v>0</v>
      </c>
      <c r="DY924" s="143">
        <v>0</v>
      </c>
      <c r="DZ924">
        <v>0</v>
      </c>
      <c r="EA924" s="143">
        <v>0</v>
      </c>
      <c r="EB924" s="143">
        <v>1</v>
      </c>
      <c r="EC924" s="143">
        <v>0</v>
      </c>
      <c r="ED924" s="143">
        <v>0</v>
      </c>
      <c r="EE924">
        <v>0</v>
      </c>
      <c r="EF924">
        <v>0</v>
      </c>
      <c r="EG924" s="143">
        <v>0</v>
      </c>
      <c r="EH924">
        <v>0</v>
      </c>
      <c r="EI924" s="2">
        <v>0</v>
      </c>
      <c r="EK924" t="str">
        <f>IF(AND(AND(AND(OR($DX924=1,$DW924=1),OR($EC924=1,$EA924=1)),SUM($DV924:$DZ924,$EF924)&gt;=3),SUM($EA924:$EE924)&gt;=2),"Whole sector","")</f>
        <v/>
      </c>
      <c r="EL924" t="str">
        <f>IF(AND(AND(OR($DX924=1,$DW924=1),AND($EC924=0,$EA924=0)),SUM($DV924:$DZ924,$EF924)&gt;=3),"Ecosystem approach","")</f>
        <v/>
      </c>
      <c r="EM924" s="2" t="str">
        <f t="shared" si="1100"/>
        <v/>
      </c>
      <c r="EP924" t="b">
        <f>IF(ISNUMBER(BU924),IF(ABS(BU924-[1]QC_indicators!$B$2)&gt;3*[1]QC_indicators!$C$2,"C ratio",IF(ISNUMBER(BY924),IF(ABS(BY924-[1]QC_indicators!$B$1)&gt;3*[1]QC_indicators!$C$1,"DF","no"))),IF(ISNUMBER(BY924),IF(ABS(BY924-[1]QC_indicators!$B$1)&gt;3*[1]QC_indicators!$C$1,"DF","no")))</f>
        <v>0</v>
      </c>
      <c r="ER924" s="313" t="s">
        <v>349</v>
      </c>
    </row>
    <row r="925" spans="1:150" ht="15" hidden="1" customHeight="1">
      <c r="A925" s="1" t="s">
        <v>3797</v>
      </c>
      <c r="B925" t="s">
        <v>3798</v>
      </c>
      <c r="C925" t="s">
        <v>3799</v>
      </c>
      <c r="D925" t="s">
        <v>3800</v>
      </c>
      <c r="E925" t="s">
        <v>3801</v>
      </c>
      <c r="F925" t="s">
        <v>3802</v>
      </c>
      <c r="G925" t="s">
        <v>3803</v>
      </c>
      <c r="H925" t="s">
        <v>254</v>
      </c>
      <c r="I925">
        <v>2019</v>
      </c>
      <c r="J925">
        <v>9</v>
      </c>
      <c r="K925" t="s">
        <v>3804</v>
      </c>
      <c r="M925" t="str">
        <f t="shared" si="1132"/>
        <v>Labelle_2019</v>
      </c>
      <c r="N925" s="311" t="s">
        <v>4382</v>
      </c>
      <c r="O925" s="145" t="s">
        <v>225</v>
      </c>
      <c r="Q925" s="311" t="s">
        <v>256</v>
      </c>
      <c r="R925" s="312"/>
      <c r="S925" s="1" t="s">
        <v>3805</v>
      </c>
      <c r="T925" t="s">
        <v>3806</v>
      </c>
      <c r="U925" t="s">
        <v>3809</v>
      </c>
      <c r="V925">
        <v>0</v>
      </c>
      <c r="W925">
        <v>0</v>
      </c>
      <c r="X925">
        <v>0</v>
      </c>
      <c r="Y925">
        <v>0</v>
      </c>
      <c r="Z925">
        <v>0</v>
      </c>
      <c r="AA925">
        <v>0</v>
      </c>
      <c r="AB925">
        <v>0</v>
      </c>
      <c r="AC925">
        <v>0</v>
      </c>
      <c r="AD925">
        <v>1</v>
      </c>
      <c r="AE925">
        <v>0</v>
      </c>
      <c r="AF925">
        <v>0</v>
      </c>
      <c r="AG925">
        <v>0</v>
      </c>
      <c r="AH925">
        <v>0</v>
      </c>
      <c r="AI925">
        <v>0</v>
      </c>
      <c r="AJ925">
        <v>0</v>
      </c>
      <c r="AK925">
        <v>0</v>
      </c>
      <c r="AL925">
        <v>0</v>
      </c>
      <c r="AM925">
        <v>0</v>
      </c>
      <c r="AN925">
        <v>0</v>
      </c>
      <c r="AO925">
        <v>0</v>
      </c>
      <c r="AP925">
        <v>0</v>
      </c>
      <c r="AQ925">
        <v>0</v>
      </c>
      <c r="AR925">
        <v>0</v>
      </c>
      <c r="AS925">
        <v>0</v>
      </c>
      <c r="AT925">
        <v>0</v>
      </c>
      <c r="AU925">
        <v>0</v>
      </c>
      <c r="AV925">
        <v>0</v>
      </c>
      <c r="AW925">
        <v>0</v>
      </c>
      <c r="AX925" s="141">
        <f t="shared" si="1168"/>
        <v>1</v>
      </c>
      <c r="AY925" s="141">
        <f t="shared" si="1169"/>
        <v>1</v>
      </c>
      <c r="AZ925">
        <f t="shared" si="1170"/>
        <v>0</v>
      </c>
      <c r="BA925">
        <f t="shared" si="1171"/>
        <v>1</v>
      </c>
      <c r="BB925">
        <f t="shared" si="1172"/>
        <v>0</v>
      </c>
      <c r="BC925">
        <f t="shared" si="1173"/>
        <v>0</v>
      </c>
      <c r="BD925">
        <f t="shared" si="1174"/>
        <v>0</v>
      </c>
      <c r="BE925" t="str" cm="1">
        <f t="array" ref="BE925">IF(AY925=1,INDEX($V$7:$AL$7,MATCH(TRUE,INDEX($V925:$AW925&lt;&gt;0,),0)),IF(AY925=0,INDEX($AM$7:$AW$7,MATCH(1,$AM925:$AW925,0)),IF(BF925="Multiple strategies","mixed drivers",IF(BF925="Supply chain","multiple supply","multiple silviculture"))))</f>
        <v>harvesting system</v>
      </c>
      <c r="BF925" s="2" t="str" cm="1">
        <f t="array" ref="BF925">IF(COUNTIF(AZ925:BB925,"&lt;&gt;0")=1,INDEX($V$4:$AW$4,MATCH(TRUE,INDEX($V925:$AW925&lt;&gt;0,),0)),IF(COUNTIF(AZ925:BB925,"&lt;&gt;0")=0,INDEX($AM$4:$AW$4,MATCH(1,$AM925:$AW925,0)),"Multiple strategies"))</f>
        <v>Supply chain</v>
      </c>
      <c r="BG925" s="142"/>
      <c r="BJ925" s="143"/>
      <c r="BL925" s="143"/>
      <c r="BM925" s="163"/>
      <c r="BN925" s="158"/>
      <c r="BO925" s="143"/>
      <c r="BP925" s="311" t="s">
        <v>232</v>
      </c>
      <c r="BQ925" s="330"/>
      <c r="BR925" t="s">
        <v>3808</v>
      </c>
      <c r="BS925" s="322">
        <v>-4.4180000000000001</v>
      </c>
      <c r="BT925">
        <v>-2.1970000000000001</v>
      </c>
      <c r="BU925" s="144">
        <v>0.49728383884110455</v>
      </c>
      <c r="BV925" s="323">
        <f t="shared" si="1175"/>
        <v>2.2210000000000001</v>
      </c>
      <c r="BX925">
        <f>BV925/10^3</f>
        <v>2.2209999999999999E-3</v>
      </c>
      <c r="BY925" t="str">
        <f t="shared" si="1099"/>
        <v/>
      </c>
      <c r="BZ925">
        <v>0</v>
      </c>
      <c r="CA925">
        <v>0</v>
      </c>
      <c r="CB925">
        <v>0</v>
      </c>
      <c r="CC925">
        <v>0</v>
      </c>
      <c r="CD925">
        <v>0</v>
      </c>
      <c r="CE925">
        <v>0</v>
      </c>
      <c r="CF925">
        <v>0</v>
      </c>
      <c r="CG925">
        <v>0</v>
      </c>
      <c r="CH925">
        <v>0</v>
      </c>
      <c r="CI925">
        <v>0</v>
      </c>
      <c r="CJ925">
        <v>0</v>
      </c>
      <c r="CK925">
        <v>0</v>
      </c>
      <c r="CL925">
        <v>0</v>
      </c>
      <c r="CM925">
        <v>0</v>
      </c>
      <c r="CN925" t="str">
        <f>IF(BL925&lt;BK925,"refNeedCorrection","refOK")</f>
        <v>refOK</v>
      </c>
      <c r="CO925"/>
      <c r="CP925"/>
      <c r="CQ925"/>
      <c r="CR925">
        <f t="shared" si="1176"/>
        <v>-4.4180000000000001</v>
      </c>
      <c r="CS925">
        <f t="shared" si="1177"/>
        <v>-2.1970000000000001</v>
      </c>
      <c r="CT925">
        <f t="shared" si="1178"/>
        <v>2.2209999999999999E-3</v>
      </c>
      <c r="CU925" t="str">
        <f t="shared" si="1179"/>
        <v/>
      </c>
      <c r="CV925" s="2">
        <f t="shared" si="1180"/>
        <v>0.50271616115889539</v>
      </c>
      <c r="CW925" s="1" t="s">
        <v>1198</v>
      </c>
      <c r="CX925" s="311" t="str">
        <f t="shared" si="1181"/>
        <v>reg</v>
      </c>
      <c r="CY925" t="s">
        <v>1300</v>
      </c>
      <c r="CZ925">
        <v>2016</v>
      </c>
      <c r="DA925" s="143">
        <v>2016</v>
      </c>
      <c r="DB925" s="143">
        <v>1</v>
      </c>
      <c r="DC925" t="str">
        <f t="shared" si="1182"/>
        <v>1-30</v>
      </c>
      <c r="DD925">
        <v>0</v>
      </c>
      <c r="DE925">
        <v>0</v>
      </c>
      <c r="DF925">
        <v>0</v>
      </c>
      <c r="DG925">
        <v>0</v>
      </c>
      <c r="DI925">
        <f t="shared" si="1183"/>
        <v>0</v>
      </c>
      <c r="DJ925" t="str">
        <f t="shared" si="1184"/>
        <v>mixedProduct</v>
      </c>
      <c r="DK925">
        <f t="shared" si="1185"/>
        <v>0</v>
      </c>
      <c r="DL925">
        <f t="shared" si="1186"/>
        <v>0</v>
      </c>
      <c r="DM925">
        <f t="shared" si="1187"/>
        <v>0</v>
      </c>
      <c r="DN925">
        <f t="shared" si="1188"/>
        <v>0</v>
      </c>
      <c r="DO925">
        <v>0</v>
      </c>
      <c r="DP925" s="143">
        <v>0</v>
      </c>
      <c r="DQ925" s="143">
        <v>0</v>
      </c>
      <c r="DR925">
        <v>0</v>
      </c>
      <c r="DS925" s="143">
        <v>0</v>
      </c>
      <c r="DT925">
        <f t="shared" si="1189"/>
        <v>0</v>
      </c>
      <c r="DU925" s="143" t="str">
        <f t="shared" si="1190"/>
        <v>explicit C balance</v>
      </c>
      <c r="DV925" s="143">
        <v>0</v>
      </c>
      <c r="DW925" s="143">
        <v>0</v>
      </c>
      <c r="DX925" s="143">
        <v>0</v>
      </c>
      <c r="DY925" s="143">
        <v>0</v>
      </c>
      <c r="DZ925">
        <v>0</v>
      </c>
      <c r="EA925" s="143">
        <v>0</v>
      </c>
      <c r="EB925" s="143">
        <v>1</v>
      </c>
      <c r="EC925" s="143">
        <v>0</v>
      </c>
      <c r="ED925" s="143">
        <v>0</v>
      </c>
      <c r="EE925">
        <v>0</v>
      </c>
      <c r="EF925">
        <v>0</v>
      </c>
      <c r="EG925" s="143">
        <v>0</v>
      </c>
      <c r="EH925">
        <v>0</v>
      </c>
      <c r="EI925" s="2">
        <v>0</v>
      </c>
      <c r="EK925" t="str">
        <f>IF(AND(AND(AND(OR($DX925=1,$DW925=1),OR($EC925=1,$EA925=1)),SUM($DV925:$DZ925,$EF925)&gt;=3),SUM($EA925:$EE925)&gt;=2),"Whole sector","")</f>
        <v/>
      </c>
      <c r="EL925" t="str">
        <f>IF(AND(AND(OR($DX925=1,$DW925=1),AND($EC925=0,$EA925=0)),SUM($DV925:$DZ925,$EF925)&gt;=3),"Ecosystem approach","")</f>
        <v/>
      </c>
      <c r="EM925" s="2" t="str">
        <f t="shared" si="1100"/>
        <v/>
      </c>
      <c r="EP925" t="b">
        <f>IF(ISNUMBER(BU925),IF(ABS(BU925-[1]QC_indicators!$B$2)&gt;3*[1]QC_indicators!$C$2,"C ratio",IF(ISNUMBER(BY925),IF(ABS(BY925-[1]QC_indicators!$B$1)&gt;3*[1]QC_indicators!$C$1,"DF","no"))),IF(ISNUMBER(BY925),IF(ABS(BY925-[1]QC_indicators!$B$1)&gt;3*[1]QC_indicators!$C$1,"DF","no")))</f>
        <v>0</v>
      </c>
      <c r="ER925" s="313" t="s">
        <v>349</v>
      </c>
    </row>
    <row r="926" spans="1:150" ht="15" hidden="1" customHeight="1">
      <c r="A926" s="1" t="s">
        <v>848</v>
      </c>
      <c r="B926" t="s">
        <v>849</v>
      </c>
      <c r="C926" t="s">
        <v>850</v>
      </c>
      <c r="D926" t="s">
        <v>851</v>
      </c>
      <c r="E926" t="s">
        <v>852</v>
      </c>
      <c r="F926" t="s">
        <v>853</v>
      </c>
      <c r="G926" t="s">
        <v>854</v>
      </c>
      <c r="H926" t="s">
        <v>254</v>
      </c>
      <c r="I926">
        <v>2020</v>
      </c>
      <c r="J926">
        <v>5</v>
      </c>
      <c r="K926" t="s">
        <v>855</v>
      </c>
      <c r="M926" t="str">
        <f t="shared" si="1132"/>
        <v>Lan_2020</v>
      </c>
      <c r="N926" t="s">
        <v>222</v>
      </c>
      <c r="O926" s="145" t="s">
        <v>225</v>
      </c>
      <c r="Q926" t="s">
        <v>256</v>
      </c>
      <c r="R926" s="262" t="s">
        <v>223</v>
      </c>
      <c r="S926" s="1" t="s">
        <v>95</v>
      </c>
      <c r="T926" t="s">
        <v>857</v>
      </c>
      <c r="U926" t="s">
        <v>863</v>
      </c>
      <c r="V926">
        <v>0</v>
      </c>
      <c r="W926">
        <v>0</v>
      </c>
      <c r="X926">
        <v>0</v>
      </c>
      <c r="Y926">
        <v>0</v>
      </c>
      <c r="Z926">
        <v>0</v>
      </c>
      <c r="AA926">
        <v>0</v>
      </c>
      <c r="AB926">
        <v>0</v>
      </c>
      <c r="AC926">
        <v>1</v>
      </c>
      <c r="AD926">
        <v>0</v>
      </c>
      <c r="AE926">
        <v>0</v>
      </c>
      <c r="AF926">
        <v>0</v>
      </c>
      <c r="AG926">
        <v>0</v>
      </c>
      <c r="AH926">
        <v>0</v>
      </c>
      <c r="AI926">
        <v>0</v>
      </c>
      <c r="AJ926">
        <v>0</v>
      </c>
      <c r="AK926">
        <v>0</v>
      </c>
      <c r="AL926">
        <v>0</v>
      </c>
      <c r="AM926">
        <v>0</v>
      </c>
      <c r="AN926">
        <v>0</v>
      </c>
      <c r="AO926">
        <v>0</v>
      </c>
      <c r="AP926">
        <v>0</v>
      </c>
      <c r="AQ926">
        <v>0</v>
      </c>
      <c r="AR926">
        <v>0</v>
      </c>
      <c r="AS926">
        <v>0</v>
      </c>
      <c r="AT926">
        <v>0</v>
      </c>
      <c r="AU926">
        <v>0</v>
      </c>
      <c r="AV926">
        <v>0</v>
      </c>
      <c r="AW926">
        <v>0</v>
      </c>
      <c r="AX926" s="141">
        <f t="shared" si="1168"/>
        <v>1</v>
      </c>
      <c r="AY926" s="141">
        <f t="shared" si="1169"/>
        <v>1</v>
      </c>
      <c r="AZ926">
        <f t="shared" si="1170"/>
        <v>1</v>
      </c>
      <c r="BA926">
        <f t="shared" si="1171"/>
        <v>0</v>
      </c>
      <c r="BB926">
        <f t="shared" si="1172"/>
        <v>0</v>
      </c>
      <c r="BC926">
        <f t="shared" si="1173"/>
        <v>0</v>
      </c>
      <c r="BD926">
        <f t="shared" si="1174"/>
        <v>0</v>
      </c>
      <c r="BE926" t="str">
        <f t="array" ref="BE926">IF(AY926=1,INDEX($V$7:$AL$7,MATCH(TRUE,INDEX($V926:$AW926&lt;&gt;0,),0)),IF(AY926=0,INDEX($AM$7:$AW$7,MATCH(1,$AM926:$AW926,0)),IF(BF926="Multiple strategies","mixed drivers",IF(BF926="Supply chain","multiple supply","multiple silviculture"))))</f>
        <v>site fertility</v>
      </c>
      <c r="BF926" s="2" t="str" cm="1">
        <f t="array" ref="BF926">IF(COUNTIF(AZ926:BB926,"&lt;&gt;0")=1,INDEX($V$4:$AW$4,MATCH(TRUE,INDEX($V926:$AW926&lt;&gt;0,),0)),IF(COUNTIF(AZ926:BB926,"&lt;&gt;0")=0,INDEX($AM$4:$AW$4,MATCH(1,$AM926:$AW926,0)),"Multiple strategies"))</f>
        <v>Silviculture for productivity</v>
      </c>
      <c r="BG926" s="142" t="s">
        <v>321</v>
      </c>
      <c r="BH926" t="s">
        <v>867</v>
      </c>
      <c r="BI926" s="264" t="s">
        <v>701</v>
      </c>
      <c r="BJ926" s="143" t="s">
        <v>868</v>
      </c>
      <c r="BK926">
        <f>282+71</f>
        <v>353</v>
      </c>
      <c r="BL926" s="143">
        <f>111+443</f>
        <v>554</v>
      </c>
      <c r="BM926" s="163">
        <f>BL926/BK926</f>
        <v>1.5694050991501416</v>
      </c>
      <c r="BN926">
        <f>BL926-BK926</f>
        <v>201</v>
      </c>
      <c r="BO926" s="159">
        <f>BN926*t_to_m3</f>
        <v>410.20408163265307</v>
      </c>
      <c r="BP926" t="s">
        <v>232</v>
      </c>
      <c r="BQ926" s="302" t="s">
        <v>429</v>
      </c>
      <c r="BR926" t="s">
        <v>859</v>
      </c>
      <c r="BS926">
        <v>726.60500000000002</v>
      </c>
      <c r="BT926">
        <v>1124.77</v>
      </c>
      <c r="BU926" s="144">
        <f t="shared" ref="BU926:BU933" si="1191">IFERROR(BT926/BS926,"")</f>
        <v>1.5479799891275177</v>
      </c>
      <c r="BV926">
        <f t="shared" si="1175"/>
        <v>398.16499999999996</v>
      </c>
      <c r="BX926">
        <f t="shared" ref="BX926:BX937" si="1192">BV926</f>
        <v>398.16499999999996</v>
      </c>
      <c r="BY926">
        <f t="shared" si="1099"/>
        <v>0.97065099502487551</v>
      </c>
      <c r="BZ926">
        <v>0</v>
      </c>
      <c r="CA926">
        <v>0</v>
      </c>
      <c r="CB926">
        <v>0</v>
      </c>
      <c r="CC926">
        <v>0</v>
      </c>
      <c r="CD926">
        <v>0</v>
      </c>
      <c r="CE926">
        <v>0</v>
      </c>
      <c r="CF926">
        <v>0</v>
      </c>
      <c r="CG926">
        <v>0</v>
      </c>
      <c r="CH926">
        <v>0</v>
      </c>
      <c r="CI926">
        <v>0</v>
      </c>
      <c r="CJ926">
        <v>0</v>
      </c>
      <c r="CK926">
        <v>0</v>
      </c>
      <c r="CL926">
        <v>0</v>
      </c>
      <c r="CM926">
        <v>0</v>
      </c>
      <c r="CN926" t="str">
        <f>IF($BL926&lt;$BK926,"refNeedCorrection","refOK")</f>
        <v>refOK</v>
      </c>
      <c r="CO926">
        <f>IF($CN926="refNeedCorrection",BL926,BK926)</f>
        <v>353</v>
      </c>
      <c r="CP926">
        <f>IF($CN926="refNeedCorrection",BK926,BL926)</f>
        <v>554</v>
      </c>
      <c r="CQ926">
        <f>IF($CN926="refOK",$BO926,-$BO926)</f>
        <v>410.20408163265307</v>
      </c>
      <c r="CR926">
        <f t="shared" si="1176"/>
        <v>726.60500000000002</v>
      </c>
      <c r="CS926">
        <f t="shared" si="1177"/>
        <v>1124.77</v>
      </c>
      <c r="CT926">
        <f t="shared" si="1178"/>
        <v>398.16499999999996</v>
      </c>
      <c r="CU926">
        <f t="shared" si="1179"/>
        <v>0.97065099502487551</v>
      </c>
      <c r="CV926" s="2">
        <f t="shared" si="1180"/>
        <v>0.54797998912751766</v>
      </c>
      <c r="CW926" s="1" t="s">
        <v>234</v>
      </c>
      <c r="CX926" t="str">
        <f t="shared" si="1181"/>
        <v>loc</v>
      </c>
      <c r="CY926" t="s">
        <v>428</v>
      </c>
      <c r="CZ926">
        <v>2021</v>
      </c>
      <c r="DA926" s="143">
        <v>2120</v>
      </c>
      <c r="DB926" s="143">
        <v>100</v>
      </c>
      <c r="DC926" t="str">
        <f t="shared" si="1182"/>
        <v>71-100</v>
      </c>
      <c r="DD926">
        <v>0</v>
      </c>
      <c r="DE926">
        <v>1</v>
      </c>
      <c r="DF926">
        <v>0</v>
      </c>
      <c r="DG926">
        <v>1</v>
      </c>
      <c r="DI926">
        <f t="shared" si="1183"/>
        <v>2</v>
      </c>
      <c r="DJ926" t="str">
        <f t="shared" si="1184"/>
        <v>mixedProduct</v>
      </c>
      <c r="DK926">
        <f t="shared" si="1185"/>
        <v>0</v>
      </c>
      <c r="DL926" t="str">
        <f t="shared" si="1186"/>
        <v>Energy</v>
      </c>
      <c r="DM926">
        <f t="shared" si="1187"/>
        <v>0</v>
      </c>
      <c r="DN926" t="str">
        <f t="shared" si="1188"/>
        <v>Timber</v>
      </c>
      <c r="DO926">
        <v>0</v>
      </c>
      <c r="DP926" s="143">
        <v>0</v>
      </c>
      <c r="DQ926" s="143">
        <v>0</v>
      </c>
      <c r="DR926">
        <v>0</v>
      </c>
      <c r="DS926" s="143">
        <v>0</v>
      </c>
      <c r="DT926">
        <f t="shared" si="1189"/>
        <v>0</v>
      </c>
      <c r="DU926" s="143" t="str">
        <f t="shared" si="1190"/>
        <v>explicit C balance</v>
      </c>
      <c r="DV926" s="143">
        <v>0</v>
      </c>
      <c r="DW926" s="143">
        <v>1</v>
      </c>
      <c r="DX926" s="143">
        <v>1</v>
      </c>
      <c r="DY926" s="143">
        <v>1</v>
      </c>
      <c r="DZ926">
        <v>1</v>
      </c>
      <c r="EA926" s="143">
        <v>0</v>
      </c>
      <c r="EB926" s="143">
        <v>1</v>
      </c>
      <c r="EC926" s="143">
        <v>1</v>
      </c>
      <c r="ED926" s="143">
        <v>1</v>
      </c>
      <c r="EE926">
        <v>0</v>
      </c>
      <c r="EF926">
        <v>1</v>
      </c>
      <c r="EG926" s="143">
        <v>1</v>
      </c>
      <c r="EH926">
        <v>0</v>
      </c>
      <c r="EI926" s="2">
        <v>0</v>
      </c>
      <c r="EK926" t="str">
        <f t="shared" ref="EK926:EK937" si="1193">IF(AND(AND(AND(OR($DX926=1,$DW926=1),OR($EC926=1,$EA926=1)),SUM($DV926:$DZ926,$EF926)&gt;=4),SUM($EA926:$EE926)&gt;=2),"Whole sector","")</f>
        <v>Whole sector</v>
      </c>
      <c r="EL926" t="str">
        <f t="shared" ref="EL926:EL937" si="1194">IF(AND(AND(OR($DX926=1,$DW926=1),AND($EC926=0,$EA926=0)),SUM($DV926:$DZ926,$EF926)&gt;=4),"Ecosystem approach","")</f>
        <v/>
      </c>
      <c r="EM926" s="2" t="str">
        <f t="shared" si="1100"/>
        <v/>
      </c>
      <c r="EP926" t="str">
        <f>IF(ISNUMBER(BU926),IF(ABS(BU926-[3]QC_indicators!$B$2)&gt;3*[3]QC_indicators!$C$2,"C ratio",IF(ISNUMBER(BY926),IF(ABS(BY926-[3]QC_indicators!$B$1)&gt;3*[3]QC_indicators!$C$1,"DF","no"))),IF(ISNUMBER(BY926),IF(ABS(BY926-[3]QC_indicators!$B$1)&gt;3*[3]QC_indicators!$C$1,"DF","no")))</f>
        <v>no</v>
      </c>
      <c r="ER926" t="s">
        <v>860</v>
      </c>
      <c r="ET926" s="264" t="s">
        <v>3150</v>
      </c>
    </row>
    <row r="927" spans="1:150" ht="15" hidden="1" customHeight="1">
      <c r="A927" s="1" t="s">
        <v>848</v>
      </c>
      <c r="B927" t="s">
        <v>849</v>
      </c>
      <c r="C927" t="s">
        <v>850</v>
      </c>
      <c r="D927" t="s">
        <v>851</v>
      </c>
      <c r="E927" t="s">
        <v>852</v>
      </c>
      <c r="F927" t="s">
        <v>853</v>
      </c>
      <c r="G927" t="s">
        <v>854</v>
      </c>
      <c r="H927" t="s">
        <v>254</v>
      </c>
      <c r="I927">
        <v>2020</v>
      </c>
      <c r="J927">
        <v>5</v>
      </c>
      <c r="K927" t="s">
        <v>855</v>
      </c>
      <c r="M927" t="str">
        <f t="shared" si="1132"/>
        <v>Lan_2020</v>
      </c>
      <c r="N927" t="s">
        <v>222</v>
      </c>
      <c r="O927" s="145" t="s">
        <v>225</v>
      </c>
      <c r="Q927" t="s">
        <v>256</v>
      </c>
      <c r="R927" s="262" t="s">
        <v>223</v>
      </c>
      <c r="S927" s="1" t="s">
        <v>95</v>
      </c>
      <c r="T927" t="s">
        <v>858</v>
      </c>
      <c r="U927" t="s">
        <v>864</v>
      </c>
      <c r="V927">
        <v>0</v>
      </c>
      <c r="W927">
        <v>0</v>
      </c>
      <c r="X927">
        <v>0</v>
      </c>
      <c r="Y927">
        <v>0</v>
      </c>
      <c r="Z927">
        <v>0</v>
      </c>
      <c r="AA927">
        <v>0</v>
      </c>
      <c r="AB927">
        <v>0</v>
      </c>
      <c r="AC927">
        <v>1</v>
      </c>
      <c r="AD927">
        <v>0</v>
      </c>
      <c r="AE927">
        <v>0</v>
      </c>
      <c r="AF927">
        <v>0</v>
      </c>
      <c r="AG927">
        <v>0</v>
      </c>
      <c r="AH927">
        <v>0</v>
      </c>
      <c r="AI927">
        <v>0</v>
      </c>
      <c r="AJ927">
        <v>0</v>
      </c>
      <c r="AK927">
        <v>0</v>
      </c>
      <c r="AL927">
        <v>0</v>
      </c>
      <c r="AM927">
        <v>0</v>
      </c>
      <c r="AN927">
        <v>0</v>
      </c>
      <c r="AO927">
        <v>0</v>
      </c>
      <c r="AP927">
        <v>0</v>
      </c>
      <c r="AQ927">
        <v>0</v>
      </c>
      <c r="AR927">
        <v>0</v>
      </c>
      <c r="AS927">
        <v>0</v>
      </c>
      <c r="AT927">
        <v>0</v>
      </c>
      <c r="AU927">
        <v>0</v>
      </c>
      <c r="AV927">
        <v>0</v>
      </c>
      <c r="AW927">
        <v>0</v>
      </c>
      <c r="AX927" s="141">
        <f t="shared" si="1168"/>
        <v>1</v>
      </c>
      <c r="AY927" s="141">
        <f t="shared" si="1169"/>
        <v>1</v>
      </c>
      <c r="AZ927">
        <f t="shared" si="1170"/>
        <v>1</v>
      </c>
      <c r="BA927">
        <f t="shared" si="1171"/>
        <v>0</v>
      </c>
      <c r="BB927">
        <f t="shared" si="1172"/>
        <v>0</v>
      </c>
      <c r="BC927">
        <f t="shared" si="1173"/>
        <v>0</v>
      </c>
      <c r="BD927">
        <f t="shared" si="1174"/>
        <v>0</v>
      </c>
      <c r="BE927" t="str">
        <f t="array" ref="BE927">IF(AY927=1,INDEX($V$7:$AL$7,MATCH(TRUE,INDEX($V927:$AW927&lt;&gt;0,),0)),IF(AY927=0,INDEX($AM$7:$AW$7,MATCH(1,$AM927:$AW927,0)),IF(BF927="Multiple strategies","mixed drivers",IF(BF927="Supply chain","multiple supply","multiple silviculture"))))</f>
        <v>site fertility</v>
      </c>
      <c r="BF927" s="2" t="str" cm="1">
        <f t="array" ref="BF927">IF(COUNTIF(AZ927:BB927,"&lt;&gt;0")=1,INDEX($V$4:$AW$4,MATCH(TRUE,INDEX($V927:$AW927&lt;&gt;0,),0)),IF(COUNTIF(AZ927:BB927,"&lt;&gt;0")=0,INDEX($AM$4:$AW$4,MATCH(1,$AM927:$AW927,0)),"Multiple strategies"))</f>
        <v>Silviculture for productivity</v>
      </c>
      <c r="BG927" s="142" t="s">
        <v>321</v>
      </c>
      <c r="BH927" t="s">
        <v>867</v>
      </c>
      <c r="BI927" s="264" t="s">
        <v>701</v>
      </c>
      <c r="BJ927" s="143" t="s">
        <v>868</v>
      </c>
      <c r="BK927">
        <f>282+71</f>
        <v>353</v>
      </c>
      <c r="BL927" s="143">
        <f>111+443</f>
        <v>554</v>
      </c>
      <c r="BM927" s="163">
        <f>BL927/BK927</f>
        <v>1.5694050991501416</v>
      </c>
      <c r="BN927">
        <f>BL927-BK927</f>
        <v>201</v>
      </c>
      <c r="BO927" s="159">
        <f>BN927*t_to_m3</f>
        <v>410.20408163265307</v>
      </c>
      <c r="BP927" t="s">
        <v>232</v>
      </c>
      <c r="BQ927" s="302" t="s">
        <v>429</v>
      </c>
      <c r="BR927" t="s">
        <v>859</v>
      </c>
      <c r="BS927">
        <v>739.44899999999996</v>
      </c>
      <c r="BT927">
        <v>1150.4580000000001</v>
      </c>
      <c r="BU927" s="144">
        <f t="shared" si="1191"/>
        <v>1.5558314366508037</v>
      </c>
      <c r="BV927">
        <f t="shared" si="1175"/>
        <v>411.00900000000013</v>
      </c>
      <c r="BX927">
        <f t="shared" si="1192"/>
        <v>411.00900000000013</v>
      </c>
      <c r="BY927">
        <f t="shared" si="1099"/>
        <v>1.0019622388059704</v>
      </c>
      <c r="BZ927">
        <v>0</v>
      </c>
      <c r="CA927">
        <v>0</v>
      </c>
      <c r="CB927">
        <v>0</v>
      </c>
      <c r="CC927">
        <v>0</v>
      </c>
      <c r="CD927">
        <v>0</v>
      </c>
      <c r="CE927">
        <v>0</v>
      </c>
      <c r="CF927">
        <v>0</v>
      </c>
      <c r="CG927">
        <v>0</v>
      </c>
      <c r="CH927">
        <v>0</v>
      </c>
      <c r="CI927">
        <v>0</v>
      </c>
      <c r="CJ927">
        <v>0</v>
      </c>
      <c r="CK927">
        <v>0</v>
      </c>
      <c r="CL927">
        <v>0</v>
      </c>
      <c r="CM927">
        <v>0</v>
      </c>
      <c r="CN927" t="str">
        <f>IF($BL927&lt;$BK927,"refNeedCorrection","refOK")</f>
        <v>refOK</v>
      </c>
      <c r="CO927">
        <f>IF($CN927="refNeedCorrection",BL927,BK927)</f>
        <v>353</v>
      </c>
      <c r="CP927">
        <f>IF($CN927="refNeedCorrection",BK927,BL927)</f>
        <v>554</v>
      </c>
      <c r="CQ927">
        <f>IF($CN927="refOK",$BO927,-$BO927)</f>
        <v>410.20408163265307</v>
      </c>
      <c r="CR927">
        <f t="shared" si="1176"/>
        <v>739.44899999999996</v>
      </c>
      <c r="CS927">
        <f t="shared" si="1177"/>
        <v>1150.4580000000001</v>
      </c>
      <c r="CT927">
        <f t="shared" si="1178"/>
        <v>411.00900000000013</v>
      </c>
      <c r="CU927">
        <f t="shared" si="1179"/>
        <v>1.0019622388059704</v>
      </c>
      <c r="CV927" s="2">
        <f t="shared" si="1180"/>
        <v>0.5558314366508037</v>
      </c>
      <c r="CW927" s="1" t="s">
        <v>234</v>
      </c>
      <c r="CX927" t="str">
        <f t="shared" si="1181"/>
        <v>loc</v>
      </c>
      <c r="CY927" t="s">
        <v>428</v>
      </c>
      <c r="CZ927">
        <v>2021</v>
      </c>
      <c r="DA927" s="143">
        <v>2120</v>
      </c>
      <c r="DB927" s="143">
        <v>100</v>
      </c>
      <c r="DC927" t="str">
        <f t="shared" si="1182"/>
        <v>71-100</v>
      </c>
      <c r="DD927">
        <v>0</v>
      </c>
      <c r="DE927">
        <v>1</v>
      </c>
      <c r="DF927">
        <v>0</v>
      </c>
      <c r="DG927">
        <v>1</v>
      </c>
      <c r="DI927">
        <f t="shared" si="1183"/>
        <v>2</v>
      </c>
      <c r="DJ927" t="str">
        <f t="shared" si="1184"/>
        <v>mixedProduct</v>
      </c>
      <c r="DK927">
        <f t="shared" si="1185"/>
        <v>0</v>
      </c>
      <c r="DL927" t="str">
        <f t="shared" si="1186"/>
        <v>Energy</v>
      </c>
      <c r="DM927">
        <f t="shared" si="1187"/>
        <v>0</v>
      </c>
      <c r="DN927" t="str">
        <f t="shared" si="1188"/>
        <v>Timber</v>
      </c>
      <c r="DO927">
        <v>0</v>
      </c>
      <c r="DP927" s="143">
        <v>0</v>
      </c>
      <c r="DQ927" s="143">
        <v>0</v>
      </c>
      <c r="DR927">
        <v>0</v>
      </c>
      <c r="DS927" s="143">
        <v>0</v>
      </c>
      <c r="DT927">
        <f t="shared" si="1189"/>
        <v>0</v>
      </c>
      <c r="DU927" s="143" t="str">
        <f t="shared" si="1190"/>
        <v>explicit C balance</v>
      </c>
      <c r="DV927" s="143">
        <v>0</v>
      </c>
      <c r="DW927" s="143">
        <v>1</v>
      </c>
      <c r="DX927" s="143">
        <v>1</v>
      </c>
      <c r="DY927" s="143">
        <v>1</v>
      </c>
      <c r="DZ927">
        <v>1</v>
      </c>
      <c r="EA927" s="143">
        <v>0</v>
      </c>
      <c r="EB927" s="143">
        <v>1</v>
      </c>
      <c r="EC927" s="143">
        <v>1</v>
      </c>
      <c r="ED927" s="143">
        <v>1</v>
      </c>
      <c r="EE927">
        <v>0</v>
      </c>
      <c r="EF927">
        <v>1</v>
      </c>
      <c r="EG927" s="143">
        <v>1</v>
      </c>
      <c r="EH927">
        <v>0</v>
      </c>
      <c r="EI927" s="2">
        <v>0</v>
      </c>
      <c r="EK927" t="str">
        <f t="shared" si="1193"/>
        <v>Whole sector</v>
      </c>
      <c r="EL927" t="str">
        <f t="shared" si="1194"/>
        <v/>
      </c>
      <c r="EM927" s="2" t="str">
        <f t="shared" si="1100"/>
        <v/>
      </c>
      <c r="EP927" t="str">
        <f>IF(ISNUMBER(BU927),IF(ABS(BU927-[3]QC_indicators!$B$2)&gt;3*[3]QC_indicators!$C$2,"C ratio",IF(ISNUMBER(BY927),IF(ABS(BY927-[3]QC_indicators!$B$1)&gt;3*[3]QC_indicators!$C$1,"DF","no"))),IF(ISNUMBER(BY927),IF(ABS(BY927-[3]QC_indicators!$B$1)&gt;3*[3]QC_indicators!$C$1,"DF","no")))</f>
        <v>no</v>
      </c>
      <c r="ER927" t="s">
        <v>860</v>
      </c>
      <c r="ET927" s="264" t="s">
        <v>3150</v>
      </c>
    </row>
    <row r="928" spans="1:150" ht="15" hidden="1" customHeight="1">
      <c r="A928" s="1" t="s">
        <v>848</v>
      </c>
      <c r="B928" t="s">
        <v>849</v>
      </c>
      <c r="C928" t="s">
        <v>850</v>
      </c>
      <c r="D928" t="s">
        <v>851</v>
      </c>
      <c r="E928" t="s">
        <v>852</v>
      </c>
      <c r="F928" t="s">
        <v>853</v>
      </c>
      <c r="G928" t="s">
        <v>854</v>
      </c>
      <c r="H928" t="s">
        <v>254</v>
      </c>
      <c r="I928">
        <v>2020</v>
      </c>
      <c r="J928">
        <v>5</v>
      </c>
      <c r="K928" t="s">
        <v>855</v>
      </c>
      <c r="M928" t="str">
        <f t="shared" si="1132"/>
        <v>Lan_2020</v>
      </c>
      <c r="N928" t="s">
        <v>222</v>
      </c>
      <c r="O928" s="145" t="s">
        <v>225</v>
      </c>
      <c r="Q928" t="s">
        <v>256</v>
      </c>
      <c r="R928" s="262" t="s">
        <v>223</v>
      </c>
      <c r="S928" s="1" t="s">
        <v>95</v>
      </c>
      <c r="T928" t="s">
        <v>861</v>
      </c>
      <c r="U928" t="s">
        <v>865</v>
      </c>
      <c r="V928">
        <v>0</v>
      </c>
      <c r="W928">
        <v>0</v>
      </c>
      <c r="X928">
        <v>0</v>
      </c>
      <c r="Y928">
        <v>0</v>
      </c>
      <c r="Z928">
        <v>0</v>
      </c>
      <c r="AA928">
        <v>0</v>
      </c>
      <c r="AB928">
        <v>0</v>
      </c>
      <c r="AC928">
        <v>1</v>
      </c>
      <c r="AD928">
        <v>0</v>
      </c>
      <c r="AE928">
        <v>0</v>
      </c>
      <c r="AF928">
        <v>0</v>
      </c>
      <c r="AG928">
        <v>0</v>
      </c>
      <c r="AH928">
        <v>0</v>
      </c>
      <c r="AI928">
        <v>0</v>
      </c>
      <c r="AJ928">
        <v>0</v>
      </c>
      <c r="AK928">
        <v>0</v>
      </c>
      <c r="AL928">
        <v>0</v>
      </c>
      <c r="AM928">
        <v>0</v>
      </c>
      <c r="AN928">
        <v>0</v>
      </c>
      <c r="AO928">
        <v>0</v>
      </c>
      <c r="AP928">
        <v>0</v>
      </c>
      <c r="AQ928">
        <v>0</v>
      </c>
      <c r="AR928">
        <v>0</v>
      </c>
      <c r="AS928">
        <v>0</v>
      </c>
      <c r="AT928">
        <v>0</v>
      </c>
      <c r="AU928">
        <v>0</v>
      </c>
      <c r="AV928">
        <v>0</v>
      </c>
      <c r="AW928">
        <v>0</v>
      </c>
      <c r="AX928" s="141">
        <f t="shared" si="1168"/>
        <v>1</v>
      </c>
      <c r="AY928" s="141">
        <f t="shared" si="1169"/>
        <v>1</v>
      </c>
      <c r="AZ928">
        <f t="shared" si="1170"/>
        <v>1</v>
      </c>
      <c r="BA928">
        <f t="shared" si="1171"/>
        <v>0</v>
      </c>
      <c r="BB928">
        <f t="shared" si="1172"/>
        <v>0</v>
      </c>
      <c r="BC928">
        <f t="shared" si="1173"/>
        <v>0</v>
      </c>
      <c r="BD928">
        <f t="shared" si="1174"/>
        <v>0</v>
      </c>
      <c r="BE928" t="str">
        <f t="array" ref="BE928">IF(AY928=1,INDEX($V$7:$AL$7,MATCH(TRUE,INDEX($V928:$AW928&lt;&gt;0,),0)),IF(AY928=0,INDEX($AM$7:$AW$7,MATCH(1,$AM928:$AW928,0)),IF(BF928="Multiple strategies","mixed drivers",IF(BF928="Supply chain","multiple supply","multiple silviculture"))))</f>
        <v>site fertility</v>
      </c>
      <c r="BF928" s="2" t="str" cm="1">
        <f t="array" ref="BF928">IF(COUNTIF(AZ928:BB928,"&lt;&gt;0")=1,INDEX($V$4:$AW$4,MATCH(TRUE,INDEX($V928:$AW928&lt;&gt;0,),0)),IF(COUNTIF(AZ928:BB928,"&lt;&gt;0")=0,INDEX($AM$4:$AW$4,MATCH(1,$AM928:$AW928,0)),"Multiple strategies"))</f>
        <v>Silviculture for productivity</v>
      </c>
      <c r="BG928" s="142" t="s">
        <v>321</v>
      </c>
      <c r="BH928" t="s">
        <v>867</v>
      </c>
      <c r="BI928" s="264" t="s">
        <v>701</v>
      </c>
      <c r="BJ928" s="143" t="s">
        <v>868</v>
      </c>
      <c r="BK928">
        <f>282+71</f>
        <v>353</v>
      </c>
      <c r="BL928" s="143">
        <f>111+443</f>
        <v>554</v>
      </c>
      <c r="BM928" s="163">
        <f>BL928/BK928</f>
        <v>1.5694050991501416</v>
      </c>
      <c r="BN928">
        <f>BL928-BK928</f>
        <v>201</v>
      </c>
      <c r="BO928" s="159">
        <f>BN928*t_to_m3</f>
        <v>410.20408163265307</v>
      </c>
      <c r="BP928" t="s">
        <v>232</v>
      </c>
      <c r="BQ928" s="302" t="s">
        <v>429</v>
      </c>
      <c r="BR928" t="s">
        <v>859</v>
      </c>
      <c r="BS928">
        <v>816.51300000000003</v>
      </c>
      <c r="BT928">
        <v>1266.0550000000001</v>
      </c>
      <c r="BU928" s="144">
        <f t="shared" si="1191"/>
        <v>1.5505631876038717</v>
      </c>
      <c r="BV928">
        <f t="shared" si="1175"/>
        <v>449.54200000000003</v>
      </c>
      <c r="BX928">
        <f t="shared" si="1192"/>
        <v>449.54200000000003</v>
      </c>
      <c r="BY928">
        <f t="shared" si="1099"/>
        <v>1.095898407960199</v>
      </c>
      <c r="BZ928">
        <v>0</v>
      </c>
      <c r="CA928">
        <v>0</v>
      </c>
      <c r="CB928">
        <v>0</v>
      </c>
      <c r="CC928">
        <v>0</v>
      </c>
      <c r="CD928">
        <v>0</v>
      </c>
      <c r="CE928">
        <v>0</v>
      </c>
      <c r="CF928">
        <v>0</v>
      </c>
      <c r="CG928">
        <v>0</v>
      </c>
      <c r="CH928">
        <v>0</v>
      </c>
      <c r="CI928">
        <v>0</v>
      </c>
      <c r="CJ928">
        <v>0</v>
      </c>
      <c r="CK928">
        <v>0</v>
      </c>
      <c r="CL928">
        <v>0</v>
      </c>
      <c r="CM928">
        <v>0</v>
      </c>
      <c r="CN928" t="str">
        <f>IF($BL928&lt;$BK928,"refNeedCorrection","refOK")</f>
        <v>refOK</v>
      </c>
      <c r="CO928">
        <f>IF($CN928="refNeedCorrection",BL928,BK928)</f>
        <v>353</v>
      </c>
      <c r="CP928">
        <f>IF($CN928="refNeedCorrection",BK928,BL928)</f>
        <v>554</v>
      </c>
      <c r="CQ928">
        <f>IF($CN928="refOK",$BO928,-$BO928)</f>
        <v>410.20408163265307</v>
      </c>
      <c r="CR928">
        <f t="shared" si="1176"/>
        <v>816.51300000000003</v>
      </c>
      <c r="CS928">
        <f t="shared" si="1177"/>
        <v>1266.0550000000001</v>
      </c>
      <c r="CT928">
        <f t="shared" si="1178"/>
        <v>449.54200000000003</v>
      </c>
      <c r="CU928">
        <f t="shared" si="1179"/>
        <v>1.095898407960199</v>
      </c>
      <c r="CV928" s="2">
        <f t="shared" si="1180"/>
        <v>0.55056318760387157</v>
      </c>
      <c r="CW928" s="1" t="s">
        <v>234</v>
      </c>
      <c r="CX928" t="str">
        <f t="shared" si="1181"/>
        <v>loc</v>
      </c>
      <c r="CY928" t="s">
        <v>428</v>
      </c>
      <c r="CZ928">
        <v>2021</v>
      </c>
      <c r="DA928" s="143">
        <v>2120</v>
      </c>
      <c r="DB928" s="143">
        <v>100</v>
      </c>
      <c r="DC928" t="str">
        <f t="shared" si="1182"/>
        <v>71-100</v>
      </c>
      <c r="DD928">
        <v>0</v>
      </c>
      <c r="DE928">
        <v>1</v>
      </c>
      <c r="DF928">
        <v>0</v>
      </c>
      <c r="DG928">
        <v>1</v>
      </c>
      <c r="DI928">
        <f t="shared" si="1183"/>
        <v>2</v>
      </c>
      <c r="DJ928" t="str">
        <f t="shared" si="1184"/>
        <v>mixedProduct</v>
      </c>
      <c r="DK928">
        <f t="shared" si="1185"/>
        <v>0</v>
      </c>
      <c r="DL928" t="str">
        <f t="shared" si="1186"/>
        <v>Energy</v>
      </c>
      <c r="DM928">
        <f t="shared" si="1187"/>
        <v>0</v>
      </c>
      <c r="DN928" t="str">
        <f t="shared" si="1188"/>
        <v>Timber</v>
      </c>
      <c r="DO928">
        <v>0</v>
      </c>
      <c r="DP928" s="143">
        <v>0</v>
      </c>
      <c r="DQ928" s="143">
        <v>0</v>
      </c>
      <c r="DR928">
        <v>0</v>
      </c>
      <c r="DS928" s="143">
        <v>0</v>
      </c>
      <c r="DT928">
        <f t="shared" si="1189"/>
        <v>0</v>
      </c>
      <c r="DU928" s="143" t="str">
        <f t="shared" si="1190"/>
        <v>explicit C balance</v>
      </c>
      <c r="DV928" s="143">
        <v>0</v>
      </c>
      <c r="DW928" s="143">
        <v>1</v>
      </c>
      <c r="DX928" s="143">
        <v>1</v>
      </c>
      <c r="DY928" s="143">
        <v>1</v>
      </c>
      <c r="DZ928">
        <v>1</v>
      </c>
      <c r="EA928" s="143">
        <v>0</v>
      </c>
      <c r="EB928" s="143">
        <v>1</v>
      </c>
      <c r="EC928" s="143">
        <v>1</v>
      </c>
      <c r="ED928" s="143">
        <v>1</v>
      </c>
      <c r="EE928">
        <v>0</v>
      </c>
      <c r="EF928">
        <v>1</v>
      </c>
      <c r="EG928" s="143">
        <v>1</v>
      </c>
      <c r="EH928">
        <v>0</v>
      </c>
      <c r="EI928" s="2">
        <v>0</v>
      </c>
      <c r="EK928" t="str">
        <f t="shared" si="1193"/>
        <v>Whole sector</v>
      </c>
      <c r="EL928" t="str">
        <f t="shared" si="1194"/>
        <v/>
      </c>
      <c r="EM928" s="2" t="str">
        <f t="shared" si="1100"/>
        <v/>
      </c>
      <c r="EP928" t="str">
        <f>IF(ISNUMBER(BU928),IF(ABS(BU928-[3]QC_indicators!$B$2)&gt;3*[3]QC_indicators!$C$2,"C ratio",IF(ISNUMBER(BY928),IF(ABS(BY928-[3]QC_indicators!$B$1)&gt;3*[3]QC_indicators!$C$1,"DF","no"))),IF(ISNUMBER(BY928),IF(ABS(BY928-[3]QC_indicators!$B$1)&gt;3*[3]QC_indicators!$C$1,"DF","no")))</f>
        <v>no</v>
      </c>
      <c r="ER928" t="s">
        <v>860</v>
      </c>
      <c r="ET928" s="264" t="s">
        <v>3150</v>
      </c>
    </row>
    <row r="929" spans="1:150" ht="15" hidden="1" customHeight="1">
      <c r="A929" s="1" t="s">
        <v>848</v>
      </c>
      <c r="B929" t="s">
        <v>849</v>
      </c>
      <c r="C929" t="s">
        <v>850</v>
      </c>
      <c r="D929" t="s">
        <v>851</v>
      </c>
      <c r="E929" t="s">
        <v>852</v>
      </c>
      <c r="F929" t="s">
        <v>853</v>
      </c>
      <c r="G929" t="s">
        <v>854</v>
      </c>
      <c r="H929" t="s">
        <v>254</v>
      </c>
      <c r="I929">
        <v>2020</v>
      </c>
      <c r="J929">
        <v>5</v>
      </c>
      <c r="K929" t="s">
        <v>855</v>
      </c>
      <c r="M929" t="str">
        <f t="shared" si="1132"/>
        <v>Lan_2020</v>
      </c>
      <c r="N929" t="s">
        <v>222</v>
      </c>
      <c r="O929" s="145" t="s">
        <v>225</v>
      </c>
      <c r="Q929" t="s">
        <v>256</v>
      </c>
      <c r="R929" s="262" t="s">
        <v>223</v>
      </c>
      <c r="S929" s="1" t="s">
        <v>95</v>
      </c>
      <c r="T929" t="s">
        <v>862</v>
      </c>
      <c r="U929" t="s">
        <v>866</v>
      </c>
      <c r="V929">
        <v>0</v>
      </c>
      <c r="W929">
        <v>0</v>
      </c>
      <c r="X929">
        <v>0</v>
      </c>
      <c r="Y929">
        <v>0</v>
      </c>
      <c r="Z929">
        <v>0</v>
      </c>
      <c r="AA929">
        <v>0</v>
      </c>
      <c r="AB929">
        <v>0</v>
      </c>
      <c r="AC929">
        <v>1</v>
      </c>
      <c r="AD929">
        <v>0</v>
      </c>
      <c r="AE929">
        <v>0</v>
      </c>
      <c r="AF929">
        <v>0</v>
      </c>
      <c r="AG929">
        <v>0</v>
      </c>
      <c r="AH929">
        <v>0</v>
      </c>
      <c r="AI929">
        <v>0</v>
      </c>
      <c r="AJ929">
        <v>0</v>
      </c>
      <c r="AK929">
        <v>0</v>
      </c>
      <c r="AL929">
        <v>0</v>
      </c>
      <c r="AM929">
        <v>0</v>
      </c>
      <c r="AN929">
        <v>0</v>
      </c>
      <c r="AO929">
        <v>0</v>
      </c>
      <c r="AP929">
        <v>0</v>
      </c>
      <c r="AQ929">
        <v>0</v>
      </c>
      <c r="AR929">
        <v>0</v>
      </c>
      <c r="AS929">
        <v>0</v>
      </c>
      <c r="AT929">
        <v>0</v>
      </c>
      <c r="AU929">
        <v>0</v>
      </c>
      <c r="AV929">
        <v>0</v>
      </c>
      <c r="AW929">
        <v>0</v>
      </c>
      <c r="AX929" s="141">
        <f t="shared" si="1168"/>
        <v>1</v>
      </c>
      <c r="AY929" s="141">
        <f t="shared" si="1169"/>
        <v>1</v>
      </c>
      <c r="AZ929">
        <f t="shared" si="1170"/>
        <v>1</v>
      </c>
      <c r="BA929">
        <f t="shared" si="1171"/>
        <v>0</v>
      </c>
      <c r="BB929">
        <f t="shared" si="1172"/>
        <v>0</v>
      </c>
      <c r="BC929">
        <f t="shared" si="1173"/>
        <v>0</v>
      </c>
      <c r="BD929">
        <f t="shared" si="1174"/>
        <v>0</v>
      </c>
      <c r="BE929" t="str">
        <f t="array" ref="BE929">IF(AY929=1,INDEX($V$7:$AL$7,MATCH(TRUE,INDEX($V929:$AW929&lt;&gt;0,),0)),IF(AY929=0,INDEX($AM$7:$AW$7,MATCH(1,$AM929:$AW929,0)),IF(BF929="Multiple strategies","mixed drivers",IF(BF929="Supply chain","multiple supply","multiple silviculture"))))</f>
        <v>site fertility</v>
      </c>
      <c r="BF929" s="2" t="str" cm="1">
        <f t="array" ref="BF929">IF(COUNTIF(AZ929:BB929,"&lt;&gt;0")=1,INDEX($V$4:$AW$4,MATCH(TRUE,INDEX($V929:$AW929&lt;&gt;0,),0)),IF(COUNTIF(AZ929:BB929,"&lt;&gt;0")=0,INDEX($AM$4:$AW$4,MATCH(1,$AM929:$AW929,0)),"Multiple strategies"))</f>
        <v>Silviculture for productivity</v>
      </c>
      <c r="BG929" s="142" t="s">
        <v>321</v>
      </c>
      <c r="BH929" t="s">
        <v>867</v>
      </c>
      <c r="BI929" s="264" t="s">
        <v>701</v>
      </c>
      <c r="BJ929" s="143" t="s">
        <v>868</v>
      </c>
      <c r="BK929">
        <f>282+71</f>
        <v>353</v>
      </c>
      <c r="BL929" s="143">
        <f>111+443</f>
        <v>554</v>
      </c>
      <c r="BM929" s="163">
        <f>BL929/BK929</f>
        <v>1.5694050991501416</v>
      </c>
      <c r="BN929">
        <f>BL929-BK929</f>
        <v>201</v>
      </c>
      <c r="BO929" s="159">
        <f>BN929*t_to_m3</f>
        <v>410.20408163265307</v>
      </c>
      <c r="BP929" t="s">
        <v>232</v>
      </c>
      <c r="BQ929" s="302" t="s">
        <v>429</v>
      </c>
      <c r="BR929" t="s">
        <v>859</v>
      </c>
      <c r="BS929">
        <v>829.35699999999997</v>
      </c>
      <c r="BT929">
        <v>1291.7429999999999</v>
      </c>
      <c r="BU929" s="144">
        <f t="shared" si="1191"/>
        <v>1.5575234790325516</v>
      </c>
      <c r="BV929">
        <f t="shared" si="1175"/>
        <v>462.38599999999997</v>
      </c>
      <c r="BX929">
        <f t="shared" si="1192"/>
        <v>462.38599999999997</v>
      </c>
      <c r="BY929">
        <f t="shared" si="1099"/>
        <v>1.1272096517412935</v>
      </c>
      <c r="BZ929">
        <v>0</v>
      </c>
      <c r="CA929">
        <v>0</v>
      </c>
      <c r="CB929">
        <v>0</v>
      </c>
      <c r="CC929">
        <v>0</v>
      </c>
      <c r="CD929">
        <v>0</v>
      </c>
      <c r="CE929">
        <v>0</v>
      </c>
      <c r="CF929">
        <v>0</v>
      </c>
      <c r="CG929">
        <v>0</v>
      </c>
      <c r="CH929">
        <v>0</v>
      </c>
      <c r="CI929">
        <v>0</v>
      </c>
      <c r="CJ929">
        <v>0</v>
      </c>
      <c r="CK929">
        <v>0</v>
      </c>
      <c r="CL929">
        <v>0</v>
      </c>
      <c r="CM929">
        <v>0</v>
      </c>
      <c r="CN929" t="str">
        <f>IF($BL929&lt;$BK929,"refNeedCorrection","refOK")</f>
        <v>refOK</v>
      </c>
      <c r="CO929">
        <f>IF($CN929="refNeedCorrection",BL929,BK929)</f>
        <v>353</v>
      </c>
      <c r="CP929">
        <f>IF($CN929="refNeedCorrection",BK929,BL929)</f>
        <v>554</v>
      </c>
      <c r="CQ929">
        <f>IF($CN929="refOK",$BO929,-$BO929)</f>
        <v>410.20408163265307</v>
      </c>
      <c r="CR929">
        <f t="shared" si="1176"/>
        <v>829.35699999999997</v>
      </c>
      <c r="CS929">
        <f t="shared" si="1177"/>
        <v>1291.7429999999999</v>
      </c>
      <c r="CT929">
        <f t="shared" si="1178"/>
        <v>462.38599999999997</v>
      </c>
      <c r="CU929">
        <f t="shared" si="1179"/>
        <v>1.1272096517412935</v>
      </c>
      <c r="CV929" s="2">
        <f t="shared" si="1180"/>
        <v>0.55752347903255173</v>
      </c>
      <c r="CW929" s="1" t="s">
        <v>234</v>
      </c>
      <c r="CX929" t="str">
        <f t="shared" si="1181"/>
        <v>loc</v>
      </c>
      <c r="CY929" t="s">
        <v>428</v>
      </c>
      <c r="CZ929">
        <v>2021</v>
      </c>
      <c r="DA929" s="143">
        <v>2120</v>
      </c>
      <c r="DB929" s="143">
        <v>100</v>
      </c>
      <c r="DC929" t="str">
        <f t="shared" si="1182"/>
        <v>71-100</v>
      </c>
      <c r="DD929">
        <v>0</v>
      </c>
      <c r="DE929">
        <v>1</v>
      </c>
      <c r="DF929">
        <v>0</v>
      </c>
      <c r="DG929">
        <v>1</v>
      </c>
      <c r="DI929">
        <f t="shared" si="1183"/>
        <v>2</v>
      </c>
      <c r="DJ929" t="str">
        <f t="shared" si="1184"/>
        <v>mixedProduct</v>
      </c>
      <c r="DK929">
        <f t="shared" si="1185"/>
        <v>0</v>
      </c>
      <c r="DL929" t="str">
        <f t="shared" si="1186"/>
        <v>Energy</v>
      </c>
      <c r="DM929">
        <f t="shared" si="1187"/>
        <v>0</v>
      </c>
      <c r="DN929" t="str">
        <f t="shared" si="1188"/>
        <v>Timber</v>
      </c>
      <c r="DO929">
        <v>0</v>
      </c>
      <c r="DP929" s="143">
        <v>0</v>
      </c>
      <c r="DQ929" s="143">
        <v>0</v>
      </c>
      <c r="DR929">
        <v>0</v>
      </c>
      <c r="DS929" s="143">
        <v>0</v>
      </c>
      <c r="DT929">
        <f t="shared" si="1189"/>
        <v>0</v>
      </c>
      <c r="DU929" s="143" t="str">
        <f t="shared" si="1190"/>
        <v>explicit C balance</v>
      </c>
      <c r="DV929" s="143">
        <v>0</v>
      </c>
      <c r="DW929" s="143">
        <v>1</v>
      </c>
      <c r="DX929" s="143">
        <v>1</v>
      </c>
      <c r="DY929" s="143">
        <v>1</v>
      </c>
      <c r="DZ929">
        <v>1</v>
      </c>
      <c r="EA929" s="143">
        <v>0</v>
      </c>
      <c r="EB929" s="143">
        <v>1</v>
      </c>
      <c r="EC929" s="143">
        <v>1</v>
      </c>
      <c r="ED929" s="143">
        <v>1</v>
      </c>
      <c r="EE929">
        <v>0</v>
      </c>
      <c r="EF929">
        <v>1</v>
      </c>
      <c r="EG929" s="143">
        <v>1</v>
      </c>
      <c r="EH929">
        <v>0</v>
      </c>
      <c r="EI929" s="2">
        <v>0</v>
      </c>
      <c r="EK929" t="str">
        <f t="shared" si="1193"/>
        <v>Whole sector</v>
      </c>
      <c r="EL929" t="str">
        <f t="shared" si="1194"/>
        <v/>
      </c>
      <c r="EM929" s="2" t="str">
        <f t="shared" si="1100"/>
        <v/>
      </c>
      <c r="EP929" t="str">
        <f>IF(ISNUMBER(BU929),IF(ABS(BU929-[3]QC_indicators!$B$2)&gt;3*[3]QC_indicators!$C$2,"C ratio",IF(ISNUMBER(BY929),IF(ABS(BY929-[3]QC_indicators!$B$1)&gt;3*[3]QC_indicators!$C$1,"DF","no"))),IF(ISNUMBER(BY929),IF(ABS(BY929-[3]QC_indicators!$B$1)&gt;3*[3]QC_indicators!$C$1,"DF","no")))</f>
        <v>no</v>
      </c>
      <c r="ER929" t="s">
        <v>860</v>
      </c>
      <c r="ET929" s="264" t="s">
        <v>3150</v>
      </c>
    </row>
    <row r="930" spans="1:150" ht="15" hidden="1" customHeight="1">
      <c r="A930" s="1" t="s">
        <v>848</v>
      </c>
      <c r="B930" t="s">
        <v>849</v>
      </c>
      <c r="C930" t="s">
        <v>850</v>
      </c>
      <c r="D930" t="s">
        <v>851</v>
      </c>
      <c r="E930" t="s">
        <v>852</v>
      </c>
      <c r="F930" t="s">
        <v>853</v>
      </c>
      <c r="G930" t="s">
        <v>854</v>
      </c>
      <c r="H930" t="s">
        <v>254</v>
      </c>
      <c r="I930">
        <v>2020</v>
      </c>
      <c r="J930">
        <v>5</v>
      </c>
      <c r="K930" t="s">
        <v>855</v>
      </c>
      <c r="M930" t="str">
        <f t="shared" si="1132"/>
        <v>Lan_2020</v>
      </c>
      <c r="N930" t="s">
        <v>222</v>
      </c>
      <c r="O930" s="145" t="s">
        <v>225</v>
      </c>
      <c r="Q930" t="s">
        <v>256</v>
      </c>
      <c r="R930" s="262" t="s">
        <v>223</v>
      </c>
      <c r="S930" s="1" t="s">
        <v>856</v>
      </c>
      <c r="T930" t="s">
        <v>857</v>
      </c>
      <c r="U930" t="s">
        <v>858</v>
      </c>
      <c r="V930">
        <v>0</v>
      </c>
      <c r="W930">
        <v>0</v>
      </c>
      <c r="X930">
        <v>0</v>
      </c>
      <c r="Y930">
        <v>0</v>
      </c>
      <c r="Z930">
        <v>0</v>
      </c>
      <c r="AA930">
        <v>0</v>
      </c>
      <c r="AB930">
        <v>0</v>
      </c>
      <c r="AC930">
        <v>0</v>
      </c>
      <c r="AD930">
        <v>0</v>
      </c>
      <c r="AE930">
        <v>0</v>
      </c>
      <c r="AF930">
        <v>0</v>
      </c>
      <c r="AG930">
        <v>0</v>
      </c>
      <c r="AH930">
        <v>1</v>
      </c>
      <c r="AI930">
        <v>0</v>
      </c>
      <c r="AJ930">
        <v>0</v>
      </c>
      <c r="AK930">
        <v>0</v>
      </c>
      <c r="AL930">
        <v>0</v>
      </c>
      <c r="AM930">
        <v>0</v>
      </c>
      <c r="AN930">
        <v>0</v>
      </c>
      <c r="AO930">
        <v>0</v>
      </c>
      <c r="AP930">
        <v>0</v>
      </c>
      <c r="AQ930">
        <v>0</v>
      </c>
      <c r="AR930">
        <v>0</v>
      </c>
      <c r="AS930">
        <v>0</v>
      </c>
      <c r="AT930">
        <v>0</v>
      </c>
      <c r="AU930">
        <v>0</v>
      </c>
      <c r="AV930">
        <v>0</v>
      </c>
      <c r="AW930">
        <v>0</v>
      </c>
      <c r="AX930" s="141">
        <f t="shared" si="1168"/>
        <v>1</v>
      </c>
      <c r="AY930" s="141">
        <f t="shared" si="1169"/>
        <v>1</v>
      </c>
      <c r="AZ930">
        <f t="shared" si="1170"/>
        <v>0</v>
      </c>
      <c r="BA930">
        <f t="shared" si="1171"/>
        <v>1</v>
      </c>
      <c r="BB930">
        <f t="shared" si="1172"/>
        <v>0</v>
      </c>
      <c r="BC930">
        <f t="shared" si="1173"/>
        <v>0</v>
      </c>
      <c r="BD930">
        <f t="shared" si="1174"/>
        <v>0</v>
      </c>
      <c r="BE930" t="str">
        <f t="array" ref="BE930">IF(AY930=1,INDEX($V$7:$AL$7,MATCH(TRUE,INDEX($V930:$AW930&lt;&gt;0,),0)),IF(AY930=0,INDEX($AM$7:$AW$7,MATCH(1,$AM930:$AW930,0)),IF(BF930="Multiple strategies","mixed drivers",IF(BF930="Supply chain","multiple supply","multiple silviculture"))))</f>
        <v xml:space="preserve">end of life disposal </v>
      </c>
      <c r="BF930" s="2" t="str" cm="1">
        <f t="array" ref="BF930">IF(COUNTIF(AZ930:BB930,"&lt;&gt;0")=1,INDEX($V$4:$AW$4,MATCH(TRUE,INDEX($V930:$AW930&lt;&gt;0,),0)),IF(COUNTIF(AZ930:BB930,"&lt;&gt;0")=0,INDEX($AM$4:$AW$4,MATCH(1,$AM930:$AW930,0)),"Multiple strategies"))</f>
        <v>Supply chain</v>
      </c>
      <c r="BG930" s="142"/>
      <c r="BJ930" s="143"/>
      <c r="BL930" s="143"/>
      <c r="BM930" s="163"/>
      <c r="BN930" s="158"/>
      <c r="BO930" s="143"/>
      <c r="BP930" t="s">
        <v>232</v>
      </c>
      <c r="BQ930" s="302" t="s">
        <v>429</v>
      </c>
      <c r="BR930" t="s">
        <v>859</v>
      </c>
      <c r="BS930">
        <v>726.60500000000002</v>
      </c>
      <c r="BT930">
        <v>739.44899999999996</v>
      </c>
      <c r="BU930" s="144">
        <f t="shared" si="1191"/>
        <v>1.0176767294472235</v>
      </c>
      <c r="BV930">
        <f t="shared" si="1175"/>
        <v>12.843999999999937</v>
      </c>
      <c r="BX930">
        <f t="shared" si="1192"/>
        <v>12.843999999999937</v>
      </c>
      <c r="BY930" t="str">
        <f t="shared" si="1099"/>
        <v/>
      </c>
      <c r="BZ930">
        <v>0</v>
      </c>
      <c r="CA930">
        <v>0</v>
      </c>
      <c r="CB930">
        <v>0</v>
      </c>
      <c r="CC930">
        <v>0</v>
      </c>
      <c r="CD930">
        <v>0</v>
      </c>
      <c r="CE930">
        <v>0</v>
      </c>
      <c r="CF930">
        <v>0</v>
      </c>
      <c r="CG930">
        <v>0</v>
      </c>
      <c r="CH930">
        <v>0</v>
      </c>
      <c r="CI930">
        <v>0</v>
      </c>
      <c r="CJ930">
        <v>0</v>
      </c>
      <c r="CK930">
        <v>0</v>
      </c>
      <c r="CL930">
        <v>0</v>
      </c>
      <c r="CM930">
        <v>0</v>
      </c>
      <c r="CN930" t="str">
        <f>IF(BL930&lt;BK930,"refNeedCorrection","refOK")</f>
        <v>refOK</v>
      </c>
      <c r="CO930"/>
      <c r="CP930"/>
      <c r="CQ930"/>
      <c r="CR930">
        <f t="shared" si="1176"/>
        <v>726.60500000000002</v>
      </c>
      <c r="CS930">
        <f t="shared" si="1177"/>
        <v>739.44899999999996</v>
      </c>
      <c r="CT930">
        <f t="shared" si="1178"/>
        <v>12.843999999999937</v>
      </c>
      <c r="CU930" t="str">
        <f t="shared" si="1179"/>
        <v/>
      </c>
      <c r="CV930" s="2">
        <f t="shared" si="1180"/>
        <v>1.7676729447223646E-2</v>
      </c>
      <c r="CW930" s="1" t="s">
        <v>234</v>
      </c>
      <c r="CX930" t="str">
        <f t="shared" si="1181"/>
        <v>loc</v>
      </c>
      <c r="CY930" t="s">
        <v>428</v>
      </c>
      <c r="CZ930">
        <v>2021</v>
      </c>
      <c r="DA930" s="143">
        <v>2120</v>
      </c>
      <c r="DB930" s="143">
        <v>100</v>
      </c>
      <c r="DC930" t="str">
        <f t="shared" si="1182"/>
        <v>71-100</v>
      </c>
      <c r="DD930">
        <v>1</v>
      </c>
      <c r="DE930">
        <v>1</v>
      </c>
      <c r="DF930">
        <v>0</v>
      </c>
      <c r="DG930">
        <v>1</v>
      </c>
      <c r="DI930">
        <f t="shared" si="1183"/>
        <v>3</v>
      </c>
      <c r="DJ930" t="str">
        <f t="shared" si="1184"/>
        <v>mixedProduct</v>
      </c>
      <c r="DK930" t="str">
        <f t="shared" si="1185"/>
        <v>Upstream</v>
      </c>
      <c r="DL930" t="str">
        <f t="shared" si="1186"/>
        <v>Energy</v>
      </c>
      <c r="DM930">
        <f t="shared" si="1187"/>
        <v>0</v>
      </c>
      <c r="DN930" t="str">
        <f t="shared" si="1188"/>
        <v>Timber</v>
      </c>
      <c r="DO930">
        <v>0</v>
      </c>
      <c r="DP930" s="143">
        <v>0</v>
      </c>
      <c r="DQ930" s="143">
        <v>0</v>
      </c>
      <c r="DR930">
        <v>0</v>
      </c>
      <c r="DS930" s="143">
        <v>0</v>
      </c>
      <c r="DT930">
        <f t="shared" si="1189"/>
        <v>0</v>
      </c>
      <c r="DU930" s="143" t="str">
        <f t="shared" si="1190"/>
        <v>explicit C balance</v>
      </c>
      <c r="DV930" s="143">
        <v>0</v>
      </c>
      <c r="DW930" s="143">
        <v>1</v>
      </c>
      <c r="DX930" s="143">
        <v>1</v>
      </c>
      <c r="DY930" s="143">
        <v>1</v>
      </c>
      <c r="DZ930">
        <v>1</v>
      </c>
      <c r="EA930" s="143">
        <v>0</v>
      </c>
      <c r="EB930" s="143">
        <v>1</v>
      </c>
      <c r="EC930" s="143">
        <v>1</v>
      </c>
      <c r="ED930" s="143">
        <v>1</v>
      </c>
      <c r="EE930">
        <v>0</v>
      </c>
      <c r="EF930">
        <v>1</v>
      </c>
      <c r="EG930" s="143">
        <v>1</v>
      </c>
      <c r="EH930">
        <v>0</v>
      </c>
      <c r="EI930" s="2">
        <v>0</v>
      </c>
      <c r="EK930" t="str">
        <f t="shared" si="1193"/>
        <v>Whole sector</v>
      </c>
      <c r="EL930" t="str">
        <f t="shared" si="1194"/>
        <v/>
      </c>
      <c r="EM930" s="2" t="str">
        <f t="shared" si="1100"/>
        <v/>
      </c>
      <c r="EP930" t="b">
        <f>IF(ISNUMBER(BU930),IF(ABS(BU930-[3]QC_indicators!$B$2)&gt;3*[3]QC_indicators!$C$2,"C ratio",IF(ISNUMBER(BY930),IF(ABS(BY930-[3]QC_indicators!$B$1)&gt;3*[3]QC_indicators!$C$1,"DF","no"))),IF(ISNUMBER(BY930),IF(ABS(BY930-[3]QC_indicators!$B$1)&gt;3*[3]QC_indicators!$C$1,"DF","no")))</f>
        <v>0</v>
      </c>
      <c r="ER930" t="s">
        <v>860</v>
      </c>
      <c r="ET930" s="264" t="s">
        <v>3150</v>
      </c>
    </row>
    <row r="931" spans="1:150" ht="15" hidden="1" customHeight="1">
      <c r="A931" s="1" t="s">
        <v>848</v>
      </c>
      <c r="B931" t="s">
        <v>849</v>
      </c>
      <c r="C931" t="s">
        <v>850</v>
      </c>
      <c r="D931" t="s">
        <v>851</v>
      </c>
      <c r="E931" t="s">
        <v>852</v>
      </c>
      <c r="F931" t="s">
        <v>853</v>
      </c>
      <c r="G931" t="s">
        <v>854</v>
      </c>
      <c r="H931" t="s">
        <v>254</v>
      </c>
      <c r="I931">
        <v>2020</v>
      </c>
      <c r="J931">
        <v>5</v>
      </c>
      <c r="K931" t="s">
        <v>855</v>
      </c>
      <c r="M931" t="str">
        <f t="shared" si="1132"/>
        <v>Lan_2020</v>
      </c>
      <c r="N931" t="s">
        <v>222</v>
      </c>
      <c r="O931" s="145" t="s">
        <v>225</v>
      </c>
      <c r="Q931" t="s">
        <v>256</v>
      </c>
      <c r="R931" s="262" t="s">
        <v>223</v>
      </c>
      <c r="S931" s="1" t="s">
        <v>856</v>
      </c>
      <c r="T931" t="s">
        <v>861</v>
      </c>
      <c r="U931" t="s">
        <v>862</v>
      </c>
      <c r="V931">
        <v>0</v>
      </c>
      <c r="W931">
        <v>0</v>
      </c>
      <c r="X931">
        <v>0</v>
      </c>
      <c r="Y931">
        <v>0</v>
      </c>
      <c r="Z931">
        <v>0</v>
      </c>
      <c r="AA931">
        <v>0</v>
      </c>
      <c r="AB931">
        <v>0</v>
      </c>
      <c r="AC931">
        <v>0</v>
      </c>
      <c r="AD931">
        <v>0</v>
      </c>
      <c r="AE931">
        <v>0</v>
      </c>
      <c r="AF931">
        <v>0</v>
      </c>
      <c r="AG931">
        <v>0</v>
      </c>
      <c r="AH931">
        <v>1</v>
      </c>
      <c r="AI931">
        <v>0</v>
      </c>
      <c r="AJ931">
        <v>0</v>
      </c>
      <c r="AK931">
        <v>0</v>
      </c>
      <c r="AL931">
        <v>0</v>
      </c>
      <c r="AM931">
        <v>0</v>
      </c>
      <c r="AN931">
        <v>0</v>
      </c>
      <c r="AO931">
        <v>0</v>
      </c>
      <c r="AP931">
        <v>0</v>
      </c>
      <c r="AQ931">
        <v>0</v>
      </c>
      <c r="AR931">
        <v>0</v>
      </c>
      <c r="AS931">
        <v>0</v>
      </c>
      <c r="AT931">
        <v>0</v>
      </c>
      <c r="AU931">
        <v>0</v>
      </c>
      <c r="AV931">
        <v>0</v>
      </c>
      <c r="AW931">
        <v>0</v>
      </c>
      <c r="AX931" s="141">
        <f t="shared" si="1168"/>
        <v>1</v>
      </c>
      <c r="AY931" s="141">
        <f t="shared" si="1169"/>
        <v>1</v>
      </c>
      <c r="AZ931">
        <f t="shared" si="1170"/>
        <v>0</v>
      </c>
      <c r="BA931">
        <f t="shared" si="1171"/>
        <v>1</v>
      </c>
      <c r="BB931">
        <f t="shared" si="1172"/>
        <v>0</v>
      </c>
      <c r="BC931">
        <f t="shared" si="1173"/>
        <v>0</v>
      </c>
      <c r="BD931">
        <f t="shared" si="1174"/>
        <v>0</v>
      </c>
      <c r="BE931" t="str">
        <f t="array" ref="BE931">IF(AY931=1,INDEX($V$7:$AL$7,MATCH(TRUE,INDEX($V931:$AW931&lt;&gt;0,),0)),IF(AY931=0,INDEX($AM$7:$AW$7,MATCH(1,$AM931:$AW931,0)),IF(BF931="Multiple strategies","mixed drivers",IF(BF931="Supply chain","multiple supply","multiple silviculture"))))</f>
        <v xml:space="preserve">end of life disposal </v>
      </c>
      <c r="BF931" s="2" t="str" cm="1">
        <f t="array" ref="BF931">IF(COUNTIF(AZ931:BB931,"&lt;&gt;0")=1,INDEX($V$4:$AW$4,MATCH(TRUE,INDEX($V931:$AW931&lt;&gt;0,),0)),IF(COUNTIF(AZ931:BB931,"&lt;&gt;0")=0,INDEX($AM$4:$AW$4,MATCH(1,$AM931:$AW931,0)),"Multiple strategies"))</f>
        <v>Supply chain</v>
      </c>
      <c r="BG931" s="142"/>
      <c r="BJ931" s="143"/>
      <c r="BL931" s="143"/>
      <c r="BM931" s="163"/>
      <c r="BN931" s="158"/>
      <c r="BO931" s="143"/>
      <c r="BP931" t="s">
        <v>232</v>
      </c>
      <c r="BQ931" s="302" t="s">
        <v>429</v>
      </c>
      <c r="BR931" t="s">
        <v>859</v>
      </c>
      <c r="BS931">
        <v>816.51300000000003</v>
      </c>
      <c r="BT931">
        <v>829.35699999999997</v>
      </c>
      <c r="BU931" s="144">
        <f t="shared" si="1191"/>
        <v>1.0157303068046681</v>
      </c>
      <c r="BV931">
        <f t="shared" si="1175"/>
        <v>12.843999999999937</v>
      </c>
      <c r="BX931">
        <f t="shared" si="1192"/>
        <v>12.843999999999937</v>
      </c>
      <c r="BY931" t="str">
        <f t="shared" si="1099"/>
        <v/>
      </c>
      <c r="BZ931">
        <v>0</v>
      </c>
      <c r="CA931">
        <v>0</v>
      </c>
      <c r="CB931">
        <v>0</v>
      </c>
      <c r="CC931">
        <v>0</v>
      </c>
      <c r="CD931">
        <v>0</v>
      </c>
      <c r="CE931">
        <v>0</v>
      </c>
      <c r="CF931">
        <v>0</v>
      </c>
      <c r="CG931">
        <v>0</v>
      </c>
      <c r="CH931">
        <v>0</v>
      </c>
      <c r="CI931">
        <v>0</v>
      </c>
      <c r="CJ931">
        <v>0</v>
      </c>
      <c r="CK931">
        <v>0</v>
      </c>
      <c r="CL931">
        <v>0</v>
      </c>
      <c r="CM931">
        <v>0</v>
      </c>
      <c r="CN931" t="str">
        <f>IF(BL931&lt;BK931,"refNeedCorrection","refOK")</f>
        <v>refOK</v>
      </c>
      <c r="CO931"/>
      <c r="CP931"/>
      <c r="CQ931"/>
      <c r="CR931">
        <f t="shared" si="1176"/>
        <v>816.51300000000003</v>
      </c>
      <c r="CS931">
        <f t="shared" si="1177"/>
        <v>829.35699999999997</v>
      </c>
      <c r="CT931">
        <f t="shared" si="1178"/>
        <v>12.843999999999937</v>
      </c>
      <c r="CU931" t="str">
        <f t="shared" si="1179"/>
        <v/>
      </c>
      <c r="CV931" s="2">
        <f t="shared" si="1180"/>
        <v>1.5730306804668068E-2</v>
      </c>
      <c r="CW931" s="1" t="s">
        <v>234</v>
      </c>
      <c r="CX931" t="str">
        <f t="shared" si="1181"/>
        <v>loc</v>
      </c>
      <c r="CY931" t="s">
        <v>428</v>
      </c>
      <c r="CZ931">
        <v>2021</v>
      </c>
      <c r="DA931" s="143">
        <v>2120</v>
      </c>
      <c r="DB931" s="143">
        <v>100</v>
      </c>
      <c r="DC931" t="str">
        <f t="shared" si="1182"/>
        <v>71-100</v>
      </c>
      <c r="DD931">
        <v>1</v>
      </c>
      <c r="DE931">
        <v>1</v>
      </c>
      <c r="DF931">
        <v>0</v>
      </c>
      <c r="DG931">
        <v>1</v>
      </c>
      <c r="DI931">
        <f t="shared" si="1183"/>
        <v>3</v>
      </c>
      <c r="DJ931" t="str">
        <f t="shared" si="1184"/>
        <v>mixedProduct</v>
      </c>
      <c r="DK931" t="str">
        <f t="shared" si="1185"/>
        <v>Upstream</v>
      </c>
      <c r="DL931" t="str">
        <f t="shared" si="1186"/>
        <v>Energy</v>
      </c>
      <c r="DM931">
        <f t="shared" si="1187"/>
        <v>0</v>
      </c>
      <c r="DN931" t="str">
        <f t="shared" si="1188"/>
        <v>Timber</v>
      </c>
      <c r="DO931">
        <v>0</v>
      </c>
      <c r="DP931" s="143">
        <v>0</v>
      </c>
      <c r="DQ931" s="143">
        <v>0</v>
      </c>
      <c r="DR931">
        <v>0</v>
      </c>
      <c r="DS931" s="143">
        <v>0</v>
      </c>
      <c r="DT931">
        <f t="shared" si="1189"/>
        <v>0</v>
      </c>
      <c r="DU931" s="143" t="str">
        <f t="shared" si="1190"/>
        <v>explicit C balance</v>
      </c>
      <c r="DV931" s="143">
        <v>0</v>
      </c>
      <c r="DW931" s="143">
        <v>1</v>
      </c>
      <c r="DX931" s="143">
        <v>1</v>
      </c>
      <c r="DY931" s="143">
        <v>1</v>
      </c>
      <c r="DZ931">
        <v>1</v>
      </c>
      <c r="EA931" s="143">
        <v>0</v>
      </c>
      <c r="EB931" s="143">
        <v>1</v>
      </c>
      <c r="EC931" s="143">
        <v>1</v>
      </c>
      <c r="ED931" s="143">
        <v>1</v>
      </c>
      <c r="EE931">
        <v>0</v>
      </c>
      <c r="EF931">
        <v>1</v>
      </c>
      <c r="EG931" s="143">
        <v>1</v>
      </c>
      <c r="EH931">
        <v>0</v>
      </c>
      <c r="EI931" s="2">
        <v>0</v>
      </c>
      <c r="EK931" t="str">
        <f t="shared" si="1193"/>
        <v>Whole sector</v>
      </c>
      <c r="EL931" t="str">
        <f t="shared" si="1194"/>
        <v/>
      </c>
      <c r="EM931" s="2" t="str">
        <f t="shared" si="1100"/>
        <v/>
      </c>
      <c r="EP931" t="b">
        <f>IF(ISNUMBER(BU931),IF(ABS(BU931-[3]QC_indicators!$B$2)&gt;3*[3]QC_indicators!$C$2,"C ratio",IF(ISNUMBER(BY931),IF(ABS(BY931-[3]QC_indicators!$B$1)&gt;3*[3]QC_indicators!$C$1,"DF","no"))),IF(ISNUMBER(BY931),IF(ABS(BY931-[3]QC_indicators!$B$1)&gt;3*[3]QC_indicators!$C$1,"DF","no")))</f>
        <v>0</v>
      </c>
      <c r="ER931" t="s">
        <v>860</v>
      </c>
      <c r="ET931" s="264" t="s">
        <v>3150</v>
      </c>
    </row>
    <row r="932" spans="1:150" ht="15" hidden="1" customHeight="1">
      <c r="A932" s="1" t="s">
        <v>848</v>
      </c>
      <c r="B932" t="s">
        <v>849</v>
      </c>
      <c r="C932" t="s">
        <v>850</v>
      </c>
      <c r="D932" t="s">
        <v>851</v>
      </c>
      <c r="E932" t="s">
        <v>852</v>
      </c>
      <c r="F932" t="s">
        <v>853</v>
      </c>
      <c r="G932" t="s">
        <v>854</v>
      </c>
      <c r="H932" t="s">
        <v>254</v>
      </c>
      <c r="I932">
        <v>2020</v>
      </c>
      <c r="J932">
        <v>5</v>
      </c>
      <c r="K932" t="s">
        <v>855</v>
      </c>
      <c r="M932" t="str">
        <f t="shared" si="1132"/>
        <v>Lan_2020</v>
      </c>
      <c r="N932" t="s">
        <v>222</v>
      </c>
      <c r="O932" s="145" t="s">
        <v>225</v>
      </c>
      <c r="Q932" t="s">
        <v>256</v>
      </c>
      <c r="R932" s="262" t="s">
        <v>223</v>
      </c>
      <c r="S932" s="1" t="s">
        <v>856</v>
      </c>
      <c r="T932" t="s">
        <v>863</v>
      </c>
      <c r="U932" t="s">
        <v>864</v>
      </c>
      <c r="V932">
        <v>0</v>
      </c>
      <c r="W932">
        <v>0</v>
      </c>
      <c r="X932">
        <v>0</v>
      </c>
      <c r="Y932">
        <v>0</v>
      </c>
      <c r="Z932">
        <v>0</v>
      </c>
      <c r="AA932">
        <v>0</v>
      </c>
      <c r="AB932">
        <v>0</v>
      </c>
      <c r="AC932">
        <v>0</v>
      </c>
      <c r="AD932">
        <v>0</v>
      </c>
      <c r="AE932">
        <v>0</v>
      </c>
      <c r="AF932">
        <v>0</v>
      </c>
      <c r="AG932">
        <v>0</v>
      </c>
      <c r="AH932">
        <v>1</v>
      </c>
      <c r="AI932">
        <v>0</v>
      </c>
      <c r="AJ932">
        <v>0</v>
      </c>
      <c r="AK932">
        <v>0</v>
      </c>
      <c r="AL932">
        <v>0</v>
      </c>
      <c r="AM932">
        <v>0</v>
      </c>
      <c r="AN932">
        <v>0</v>
      </c>
      <c r="AO932">
        <v>0</v>
      </c>
      <c r="AP932">
        <v>0</v>
      </c>
      <c r="AQ932">
        <v>0</v>
      </c>
      <c r="AR932">
        <v>0</v>
      </c>
      <c r="AS932">
        <v>0</v>
      </c>
      <c r="AT932">
        <v>0</v>
      </c>
      <c r="AU932">
        <v>0</v>
      </c>
      <c r="AV932">
        <v>0</v>
      </c>
      <c r="AW932">
        <v>0</v>
      </c>
      <c r="AX932" s="141">
        <f t="shared" si="1168"/>
        <v>1</v>
      </c>
      <c r="AY932" s="141">
        <f t="shared" si="1169"/>
        <v>1</v>
      </c>
      <c r="AZ932">
        <f t="shared" si="1170"/>
        <v>0</v>
      </c>
      <c r="BA932">
        <f t="shared" si="1171"/>
        <v>1</v>
      </c>
      <c r="BB932">
        <f t="shared" si="1172"/>
        <v>0</v>
      </c>
      <c r="BC932">
        <f t="shared" si="1173"/>
        <v>0</v>
      </c>
      <c r="BD932">
        <f t="shared" si="1174"/>
        <v>0</v>
      </c>
      <c r="BE932" t="str">
        <f t="array" ref="BE932">IF(AY932=1,INDEX($V$7:$AL$7,MATCH(TRUE,INDEX($V932:$AW932&lt;&gt;0,),0)),IF(AY932=0,INDEX($AM$7:$AW$7,MATCH(1,$AM932:$AW932,0)),IF(BF932="Multiple strategies","mixed drivers",IF(BF932="Supply chain","multiple supply","multiple silviculture"))))</f>
        <v xml:space="preserve">end of life disposal </v>
      </c>
      <c r="BF932" s="2" t="str" cm="1">
        <f t="array" ref="BF932">IF(COUNTIF(AZ932:BB932,"&lt;&gt;0")=1,INDEX($V$4:$AW$4,MATCH(TRUE,INDEX($V932:$AW932&lt;&gt;0,),0)),IF(COUNTIF(AZ932:BB932,"&lt;&gt;0")=0,INDEX($AM$4:$AW$4,MATCH(1,$AM932:$AW932,0)),"Multiple strategies"))</f>
        <v>Supply chain</v>
      </c>
      <c r="BG932" s="142"/>
      <c r="BJ932" s="143"/>
      <c r="BL932" s="143"/>
      <c r="BM932" s="163"/>
      <c r="BN932" s="158"/>
      <c r="BO932" s="143"/>
      <c r="BP932" t="s">
        <v>232</v>
      </c>
      <c r="BQ932" s="302" t="s">
        <v>429</v>
      </c>
      <c r="BR932" t="s">
        <v>859</v>
      </c>
      <c r="BS932">
        <v>1124.77</v>
      </c>
      <c r="BT932">
        <v>1150.4580000000001</v>
      </c>
      <c r="BU932" s="144">
        <f t="shared" si="1191"/>
        <v>1.0228384469713809</v>
      </c>
      <c r="BV932">
        <f t="shared" si="1175"/>
        <v>25.688000000000102</v>
      </c>
      <c r="BX932">
        <f t="shared" si="1192"/>
        <v>25.688000000000102</v>
      </c>
      <c r="BY932" t="str">
        <f t="shared" si="1099"/>
        <v/>
      </c>
      <c r="BZ932">
        <v>0</v>
      </c>
      <c r="CA932">
        <v>0</v>
      </c>
      <c r="CB932">
        <v>0</v>
      </c>
      <c r="CC932">
        <v>0</v>
      </c>
      <c r="CD932">
        <v>0</v>
      </c>
      <c r="CE932">
        <v>0</v>
      </c>
      <c r="CF932">
        <v>0</v>
      </c>
      <c r="CG932">
        <v>0</v>
      </c>
      <c r="CH932">
        <v>0</v>
      </c>
      <c r="CI932">
        <v>0</v>
      </c>
      <c r="CJ932">
        <v>0</v>
      </c>
      <c r="CK932">
        <v>0</v>
      </c>
      <c r="CL932">
        <v>0</v>
      </c>
      <c r="CM932">
        <v>0</v>
      </c>
      <c r="CN932" t="str">
        <f>IF(BL932&lt;BK932,"refNeedCorrection","refOK")</f>
        <v>refOK</v>
      </c>
      <c r="CO932"/>
      <c r="CP932"/>
      <c r="CQ932"/>
      <c r="CR932">
        <f t="shared" si="1176"/>
        <v>1124.77</v>
      </c>
      <c r="CS932">
        <f t="shared" si="1177"/>
        <v>1150.4580000000001</v>
      </c>
      <c r="CT932">
        <f t="shared" si="1178"/>
        <v>25.688000000000102</v>
      </c>
      <c r="CU932" t="str">
        <f t="shared" si="1179"/>
        <v/>
      </c>
      <c r="CV932" s="2">
        <f t="shared" si="1180"/>
        <v>2.2838446971380908E-2</v>
      </c>
      <c r="CW932" s="1" t="s">
        <v>234</v>
      </c>
      <c r="CX932" t="str">
        <f t="shared" si="1181"/>
        <v>loc</v>
      </c>
      <c r="CY932" t="s">
        <v>428</v>
      </c>
      <c r="CZ932">
        <v>2021</v>
      </c>
      <c r="DA932" s="143">
        <v>2120</v>
      </c>
      <c r="DB932" s="143">
        <v>100</v>
      </c>
      <c r="DC932" t="str">
        <f t="shared" si="1182"/>
        <v>71-100</v>
      </c>
      <c r="DD932">
        <v>1</v>
      </c>
      <c r="DE932">
        <v>1</v>
      </c>
      <c r="DF932">
        <v>0</v>
      </c>
      <c r="DG932">
        <v>1</v>
      </c>
      <c r="DI932">
        <f t="shared" si="1183"/>
        <v>3</v>
      </c>
      <c r="DJ932" t="str">
        <f t="shared" si="1184"/>
        <v>mixedProduct</v>
      </c>
      <c r="DK932" t="str">
        <f t="shared" si="1185"/>
        <v>Upstream</v>
      </c>
      <c r="DL932" t="str">
        <f t="shared" si="1186"/>
        <v>Energy</v>
      </c>
      <c r="DM932">
        <f t="shared" si="1187"/>
        <v>0</v>
      </c>
      <c r="DN932" t="str">
        <f t="shared" si="1188"/>
        <v>Timber</v>
      </c>
      <c r="DO932">
        <v>0</v>
      </c>
      <c r="DP932" s="143">
        <v>0</v>
      </c>
      <c r="DQ932" s="143">
        <v>0</v>
      </c>
      <c r="DR932">
        <v>0</v>
      </c>
      <c r="DS932" s="143">
        <v>0</v>
      </c>
      <c r="DT932">
        <f t="shared" si="1189"/>
        <v>0</v>
      </c>
      <c r="DU932" s="143" t="str">
        <f t="shared" si="1190"/>
        <v>explicit C balance</v>
      </c>
      <c r="DV932" s="143">
        <v>0</v>
      </c>
      <c r="DW932" s="143">
        <v>1</v>
      </c>
      <c r="DX932" s="143">
        <v>1</v>
      </c>
      <c r="DY932" s="143">
        <v>1</v>
      </c>
      <c r="DZ932">
        <v>1</v>
      </c>
      <c r="EA932" s="143">
        <v>0</v>
      </c>
      <c r="EB932" s="143">
        <v>1</v>
      </c>
      <c r="EC932" s="143">
        <v>1</v>
      </c>
      <c r="ED932" s="143">
        <v>1</v>
      </c>
      <c r="EE932">
        <v>0</v>
      </c>
      <c r="EF932">
        <v>1</v>
      </c>
      <c r="EG932" s="143">
        <v>1</v>
      </c>
      <c r="EH932">
        <v>0</v>
      </c>
      <c r="EI932" s="2">
        <v>0</v>
      </c>
      <c r="EK932" t="str">
        <f t="shared" si="1193"/>
        <v>Whole sector</v>
      </c>
      <c r="EL932" t="str">
        <f t="shared" si="1194"/>
        <v/>
      </c>
      <c r="EM932" s="2" t="str">
        <f t="shared" si="1100"/>
        <v/>
      </c>
      <c r="EP932" t="b">
        <f>IF(ISNUMBER(BU932),IF(ABS(BU932-[3]QC_indicators!$B$2)&gt;3*[3]QC_indicators!$C$2,"C ratio",IF(ISNUMBER(BY932),IF(ABS(BY932-[3]QC_indicators!$B$1)&gt;3*[3]QC_indicators!$C$1,"DF","no"))),IF(ISNUMBER(BY932),IF(ABS(BY932-[3]QC_indicators!$B$1)&gt;3*[3]QC_indicators!$C$1,"DF","no")))</f>
        <v>0</v>
      </c>
      <c r="ER932" t="s">
        <v>860</v>
      </c>
      <c r="ET932" s="264" t="s">
        <v>3150</v>
      </c>
    </row>
    <row r="933" spans="1:150" ht="15" hidden="1" customHeight="1">
      <c r="A933" s="1" t="s">
        <v>848</v>
      </c>
      <c r="B933" t="s">
        <v>849</v>
      </c>
      <c r="C933" t="s">
        <v>850</v>
      </c>
      <c r="D933" t="s">
        <v>851</v>
      </c>
      <c r="E933" t="s">
        <v>852</v>
      </c>
      <c r="F933" t="s">
        <v>853</v>
      </c>
      <c r="G933" t="s">
        <v>854</v>
      </c>
      <c r="H933" t="s">
        <v>254</v>
      </c>
      <c r="I933">
        <v>2020</v>
      </c>
      <c r="J933">
        <v>5</v>
      </c>
      <c r="K933" t="s">
        <v>855</v>
      </c>
      <c r="M933" t="str">
        <f t="shared" si="1132"/>
        <v>Lan_2020</v>
      </c>
      <c r="N933" t="s">
        <v>222</v>
      </c>
      <c r="O933" s="145" t="s">
        <v>225</v>
      </c>
      <c r="Q933" t="s">
        <v>256</v>
      </c>
      <c r="R933" s="262" t="s">
        <v>223</v>
      </c>
      <c r="S933" s="1" t="s">
        <v>856</v>
      </c>
      <c r="T933" t="s">
        <v>865</v>
      </c>
      <c r="U933" t="s">
        <v>866</v>
      </c>
      <c r="V933">
        <v>0</v>
      </c>
      <c r="W933">
        <v>0</v>
      </c>
      <c r="X933">
        <v>0</v>
      </c>
      <c r="Y933">
        <v>0</v>
      </c>
      <c r="Z933">
        <v>0</v>
      </c>
      <c r="AA933">
        <v>0</v>
      </c>
      <c r="AB933">
        <v>0</v>
      </c>
      <c r="AC933">
        <v>0</v>
      </c>
      <c r="AD933">
        <v>0</v>
      </c>
      <c r="AE933">
        <v>0</v>
      </c>
      <c r="AF933">
        <v>0</v>
      </c>
      <c r="AG933">
        <v>0</v>
      </c>
      <c r="AH933">
        <v>1</v>
      </c>
      <c r="AI933">
        <v>0</v>
      </c>
      <c r="AJ933">
        <v>0</v>
      </c>
      <c r="AK933">
        <v>0</v>
      </c>
      <c r="AL933">
        <v>0</v>
      </c>
      <c r="AM933">
        <v>0</v>
      </c>
      <c r="AN933">
        <v>0</v>
      </c>
      <c r="AO933">
        <v>0</v>
      </c>
      <c r="AP933">
        <v>0</v>
      </c>
      <c r="AQ933">
        <v>0</v>
      </c>
      <c r="AR933">
        <v>0</v>
      </c>
      <c r="AS933">
        <v>0</v>
      </c>
      <c r="AT933">
        <v>0</v>
      </c>
      <c r="AU933">
        <v>0</v>
      </c>
      <c r="AV933">
        <v>0</v>
      </c>
      <c r="AW933">
        <v>0</v>
      </c>
      <c r="AX933" s="141">
        <f t="shared" si="1168"/>
        <v>1</v>
      </c>
      <c r="AY933" s="141">
        <f t="shared" si="1169"/>
        <v>1</v>
      </c>
      <c r="AZ933">
        <f t="shared" si="1170"/>
        <v>0</v>
      </c>
      <c r="BA933">
        <f t="shared" si="1171"/>
        <v>1</v>
      </c>
      <c r="BB933">
        <f t="shared" si="1172"/>
        <v>0</v>
      </c>
      <c r="BC933">
        <f t="shared" si="1173"/>
        <v>0</v>
      </c>
      <c r="BD933">
        <f t="shared" si="1174"/>
        <v>0</v>
      </c>
      <c r="BE933" t="str">
        <f t="array" ref="BE933">IF(AY933=1,INDEX($V$7:$AL$7,MATCH(TRUE,INDEX($V933:$AW933&lt;&gt;0,),0)),IF(AY933=0,INDEX($AM$7:$AW$7,MATCH(1,$AM933:$AW933,0)),IF(BF933="Multiple strategies","mixed drivers",IF(BF933="Supply chain","multiple supply","multiple silviculture"))))</f>
        <v xml:space="preserve">end of life disposal </v>
      </c>
      <c r="BF933" s="2" t="str" cm="1">
        <f t="array" ref="BF933">IF(COUNTIF(AZ933:BB933,"&lt;&gt;0")=1,INDEX($V$4:$AW$4,MATCH(TRUE,INDEX($V933:$AW933&lt;&gt;0,),0)),IF(COUNTIF(AZ933:BB933,"&lt;&gt;0")=0,INDEX($AM$4:$AW$4,MATCH(1,$AM933:$AW933,0)),"Multiple strategies"))</f>
        <v>Supply chain</v>
      </c>
      <c r="BM933" s="163"/>
      <c r="BN933" s="158"/>
      <c r="BO933" s="143"/>
      <c r="BP933" t="s">
        <v>232</v>
      </c>
      <c r="BQ933" s="153" t="s">
        <v>429</v>
      </c>
      <c r="BR933" t="s">
        <v>859</v>
      </c>
      <c r="BS933">
        <v>1266.0550000000001</v>
      </c>
      <c r="BT933">
        <v>1291.7429999999999</v>
      </c>
      <c r="BU933" s="144">
        <f t="shared" si="1191"/>
        <v>1.0202897978365868</v>
      </c>
      <c r="BV933">
        <f t="shared" si="1175"/>
        <v>25.687999999999874</v>
      </c>
      <c r="BX933">
        <f t="shared" si="1192"/>
        <v>25.687999999999874</v>
      </c>
      <c r="BY933" t="str">
        <f t="shared" si="1099"/>
        <v/>
      </c>
      <c r="BZ933">
        <v>0</v>
      </c>
      <c r="CA933">
        <v>0</v>
      </c>
      <c r="CB933">
        <v>0</v>
      </c>
      <c r="CC933">
        <v>0</v>
      </c>
      <c r="CD933">
        <v>0</v>
      </c>
      <c r="CE933">
        <v>0</v>
      </c>
      <c r="CF933">
        <v>0</v>
      </c>
      <c r="CG933">
        <v>0</v>
      </c>
      <c r="CH933">
        <v>0</v>
      </c>
      <c r="CI933">
        <v>0</v>
      </c>
      <c r="CJ933">
        <v>0</v>
      </c>
      <c r="CK933">
        <v>0</v>
      </c>
      <c r="CL933">
        <v>0</v>
      </c>
      <c r="CM933">
        <v>0</v>
      </c>
      <c r="CN933" t="str">
        <f>IF(BL933&lt;BK933,"refNeedCorrection","refOK")</f>
        <v>refOK</v>
      </c>
      <c r="CO933"/>
      <c r="CP933"/>
      <c r="CQ933"/>
      <c r="CR933">
        <f t="shared" si="1176"/>
        <v>1266.0550000000001</v>
      </c>
      <c r="CS933">
        <f t="shared" si="1177"/>
        <v>1291.7429999999999</v>
      </c>
      <c r="CT933">
        <f t="shared" si="1178"/>
        <v>25.687999999999874</v>
      </c>
      <c r="CU933" t="str">
        <f t="shared" si="1179"/>
        <v/>
      </c>
      <c r="CV933" s="2">
        <f t="shared" si="1180"/>
        <v>2.0289797836586777E-2</v>
      </c>
      <c r="CW933" s="1" t="s">
        <v>234</v>
      </c>
      <c r="CX933" t="str">
        <f t="shared" si="1181"/>
        <v>loc</v>
      </c>
      <c r="CY933" t="s">
        <v>428</v>
      </c>
      <c r="CZ933">
        <v>2021</v>
      </c>
      <c r="DA933" s="143">
        <v>2120</v>
      </c>
      <c r="DB933" s="143">
        <v>100</v>
      </c>
      <c r="DC933" t="str">
        <f t="shared" si="1182"/>
        <v>71-100</v>
      </c>
      <c r="DD933">
        <v>1</v>
      </c>
      <c r="DE933">
        <v>1</v>
      </c>
      <c r="DF933">
        <v>0</v>
      </c>
      <c r="DG933">
        <v>1</v>
      </c>
      <c r="DI933">
        <f t="shared" si="1183"/>
        <v>3</v>
      </c>
      <c r="DJ933" t="str">
        <f t="shared" si="1184"/>
        <v>mixedProduct</v>
      </c>
      <c r="DK933" t="str">
        <f t="shared" si="1185"/>
        <v>Upstream</v>
      </c>
      <c r="DL933" t="str">
        <f t="shared" si="1186"/>
        <v>Energy</v>
      </c>
      <c r="DM933">
        <f t="shared" si="1187"/>
        <v>0</v>
      </c>
      <c r="DN933" t="str">
        <f t="shared" si="1188"/>
        <v>Timber</v>
      </c>
      <c r="DO933">
        <v>0</v>
      </c>
      <c r="DP933" s="143">
        <v>0</v>
      </c>
      <c r="DQ933" s="143">
        <v>0</v>
      </c>
      <c r="DR933">
        <v>0</v>
      </c>
      <c r="DS933" s="143">
        <v>0</v>
      </c>
      <c r="DT933">
        <f t="shared" si="1189"/>
        <v>0</v>
      </c>
      <c r="DU933" s="143" t="str">
        <f t="shared" si="1190"/>
        <v>explicit C balance</v>
      </c>
      <c r="DV933" s="143">
        <v>0</v>
      </c>
      <c r="DW933" s="143">
        <v>1</v>
      </c>
      <c r="DX933" s="143">
        <v>1</v>
      </c>
      <c r="DY933" s="143">
        <v>1</v>
      </c>
      <c r="DZ933">
        <v>1</v>
      </c>
      <c r="EA933" s="143">
        <v>0</v>
      </c>
      <c r="EB933" s="143">
        <v>1</v>
      </c>
      <c r="EC933" s="143">
        <v>1</v>
      </c>
      <c r="ED933" s="143">
        <v>1</v>
      </c>
      <c r="EE933">
        <v>0</v>
      </c>
      <c r="EF933">
        <v>1</v>
      </c>
      <c r="EG933" s="143">
        <v>1</v>
      </c>
      <c r="EH933">
        <v>0</v>
      </c>
      <c r="EI933" s="2">
        <v>0</v>
      </c>
      <c r="EK933" t="str">
        <f t="shared" si="1193"/>
        <v>Whole sector</v>
      </c>
      <c r="EL933" t="str">
        <f t="shared" si="1194"/>
        <v/>
      </c>
      <c r="EM933" s="2" t="str">
        <f t="shared" si="1100"/>
        <v/>
      </c>
      <c r="EP933" t="b">
        <f>IF(ISNUMBER(BU933),IF(ABS(BU933-[3]QC_indicators!$B$2)&gt;3*[3]QC_indicators!$C$2,"C ratio",IF(ISNUMBER(BY933),IF(ABS(BY933-[3]QC_indicators!$B$1)&gt;3*[3]QC_indicators!$C$1,"DF","no"))),IF(ISNUMBER(BY933),IF(ABS(BY933-[3]QC_indicators!$B$1)&gt;3*[3]QC_indicators!$C$1,"DF","no")))</f>
        <v>0</v>
      </c>
      <c r="ER933" t="s">
        <v>860</v>
      </c>
      <c r="ET933" s="264" t="s">
        <v>3150</v>
      </c>
    </row>
    <row r="934" spans="1:150" ht="15" hidden="1" customHeight="1">
      <c r="A934" s="1" t="s">
        <v>848</v>
      </c>
      <c r="B934" t="s">
        <v>849</v>
      </c>
      <c r="C934" t="s">
        <v>850</v>
      </c>
      <c r="D934" t="s">
        <v>851</v>
      </c>
      <c r="E934" t="s">
        <v>852</v>
      </c>
      <c r="F934" t="s">
        <v>853</v>
      </c>
      <c r="G934" t="s">
        <v>854</v>
      </c>
      <c r="H934" t="s">
        <v>254</v>
      </c>
      <c r="I934">
        <v>2020</v>
      </c>
      <c r="J934">
        <v>5</v>
      </c>
      <c r="K934" t="s">
        <v>855</v>
      </c>
      <c r="M934" t="str">
        <f t="shared" si="1132"/>
        <v>Lan_2020</v>
      </c>
      <c r="N934" t="s">
        <v>222</v>
      </c>
      <c r="O934" s="145" t="s">
        <v>225</v>
      </c>
      <c r="Q934" t="s">
        <v>256</v>
      </c>
      <c r="R934" s="262" t="s">
        <v>223</v>
      </c>
      <c r="S934" s="1" t="s">
        <v>869</v>
      </c>
      <c r="T934" t="s">
        <v>870</v>
      </c>
      <c r="U934" t="s">
        <v>871</v>
      </c>
      <c r="V934">
        <v>0</v>
      </c>
      <c r="W934">
        <v>0</v>
      </c>
      <c r="X934">
        <v>0</v>
      </c>
      <c r="Y934">
        <v>0</v>
      </c>
      <c r="Z934">
        <v>0</v>
      </c>
      <c r="AA934">
        <v>0</v>
      </c>
      <c r="AB934">
        <v>0</v>
      </c>
      <c r="AC934">
        <v>0</v>
      </c>
      <c r="AD934">
        <v>0</v>
      </c>
      <c r="AE934">
        <v>0</v>
      </c>
      <c r="AF934">
        <v>1</v>
      </c>
      <c r="AG934">
        <v>0</v>
      </c>
      <c r="AH934">
        <v>0</v>
      </c>
      <c r="AI934">
        <v>0</v>
      </c>
      <c r="AJ934">
        <v>0</v>
      </c>
      <c r="AK934">
        <v>0</v>
      </c>
      <c r="AL934">
        <v>0</v>
      </c>
      <c r="AM934">
        <v>0</v>
      </c>
      <c r="AN934">
        <v>0</v>
      </c>
      <c r="AO934">
        <v>0</v>
      </c>
      <c r="AP934">
        <v>0</v>
      </c>
      <c r="AQ934">
        <v>0</v>
      </c>
      <c r="AR934">
        <v>0</v>
      </c>
      <c r="AS934">
        <v>0</v>
      </c>
      <c r="AT934">
        <v>0</v>
      </c>
      <c r="AU934">
        <v>0</v>
      </c>
      <c r="AV934">
        <v>0</v>
      </c>
      <c r="AW934">
        <v>0</v>
      </c>
      <c r="AX934" s="141">
        <f t="shared" si="1168"/>
        <v>1</v>
      </c>
      <c r="AY934" s="141">
        <f t="shared" si="1169"/>
        <v>1</v>
      </c>
      <c r="AZ934">
        <f t="shared" si="1170"/>
        <v>0</v>
      </c>
      <c r="BA934">
        <f t="shared" si="1171"/>
        <v>1</v>
      </c>
      <c r="BB934">
        <f t="shared" si="1172"/>
        <v>0</v>
      </c>
      <c r="BC934">
        <f t="shared" si="1173"/>
        <v>0</v>
      </c>
      <c r="BD934">
        <f t="shared" si="1174"/>
        <v>0</v>
      </c>
      <c r="BE934" t="str">
        <f t="array" ref="BE934">IF(AY934=1,INDEX($V$7:$AL$7,MATCH(TRUE,INDEX($V934:$AW934&lt;&gt;0,),0)),IF(AY934=0,INDEX($AM$7:$AW$7,MATCH(1,$AM934:$AW934,0)),IF(BF934="Multiple strategies","mixed drivers",IF(BF934="Supply chain","multiple supply","multiple silviculture"))))</f>
        <v>supply chain organization</v>
      </c>
      <c r="BF934" s="2" t="str" cm="1">
        <f t="array" ref="BF934">IF(COUNTIF(AZ934:BB934,"&lt;&gt;0")=1,INDEX($V$4:$AW$4,MATCH(TRUE,INDEX($V934:$AW934&lt;&gt;0,),0)),IF(COUNTIF(AZ934:BB934,"&lt;&gt;0")=0,INDEX($AM$4:$AW$4,MATCH(1,$AM934:$AW934,0)),"Multiple strategies"))</f>
        <v>Supply chain</v>
      </c>
      <c r="BG934" s="142"/>
      <c r="BH934" s="264"/>
      <c r="BI934" s="264"/>
      <c r="BJ934" s="143"/>
      <c r="BL934" s="143"/>
      <c r="BM934" s="163"/>
      <c r="BO934" s="159"/>
      <c r="BP934" t="s">
        <v>232</v>
      </c>
      <c r="BQ934" s="153" t="s">
        <v>429</v>
      </c>
      <c r="BR934" t="s">
        <v>859</v>
      </c>
      <c r="BS934">
        <v>1266.0550000000001</v>
      </c>
      <c r="BT934">
        <v>1124.77</v>
      </c>
      <c r="BU934" s="144">
        <f>IFERROR(BS934/BT934,"")</f>
        <v>1.1256123474132491</v>
      </c>
      <c r="BV934">
        <f>BS934-BT934</f>
        <v>141.28500000000008</v>
      </c>
      <c r="BX934">
        <f t="shared" si="1192"/>
        <v>141.28500000000008</v>
      </c>
      <c r="BY934" t="str">
        <f t="shared" si="1099"/>
        <v/>
      </c>
      <c r="BZ934">
        <v>0</v>
      </c>
      <c r="CA934">
        <v>0</v>
      </c>
      <c r="CB934">
        <v>0</v>
      </c>
      <c r="CC934">
        <v>0</v>
      </c>
      <c r="CD934">
        <v>0</v>
      </c>
      <c r="CE934">
        <v>0</v>
      </c>
      <c r="CF934">
        <v>0</v>
      </c>
      <c r="CG934">
        <v>0</v>
      </c>
      <c r="CH934">
        <v>0</v>
      </c>
      <c r="CI934">
        <v>0</v>
      </c>
      <c r="CJ934">
        <v>0</v>
      </c>
      <c r="CK934">
        <v>0</v>
      </c>
      <c r="CL934">
        <v>0</v>
      </c>
      <c r="CM934">
        <v>0</v>
      </c>
      <c r="CN934" t="str">
        <f>IF(BL934&lt;BK934,"refNeedCorrection","refOK")</f>
        <v>refOK</v>
      </c>
      <c r="CO934"/>
      <c r="CP934"/>
      <c r="CQ934"/>
      <c r="CR934">
        <f>IF($CN934="refOK",$BT934,$BS934)*IF($BP934="Emissions positive",-1,1)</f>
        <v>1124.77</v>
      </c>
      <c r="CS934">
        <f>IF($CN934="refOK",$BS934,$BT934)*IF($BP934="Emissions positive",-1,1)</f>
        <v>1266.0550000000001</v>
      </c>
      <c r="CT934">
        <f t="shared" si="1178"/>
        <v>141.28500000000008</v>
      </c>
      <c r="CU934" t="str">
        <f t="shared" si="1179"/>
        <v/>
      </c>
      <c r="CV934" s="2">
        <f t="shared" si="1180"/>
        <v>0.125612347413249</v>
      </c>
      <c r="CW934" s="1" t="s">
        <v>234</v>
      </c>
      <c r="CX934" t="str">
        <f t="shared" si="1181"/>
        <v>loc</v>
      </c>
      <c r="CY934" t="s">
        <v>428</v>
      </c>
      <c r="CZ934">
        <v>2021</v>
      </c>
      <c r="DA934" s="143">
        <v>2120</v>
      </c>
      <c r="DB934" s="143">
        <v>100</v>
      </c>
      <c r="DC934" t="str">
        <f t="shared" si="1182"/>
        <v>71-100</v>
      </c>
      <c r="DD934">
        <v>0</v>
      </c>
      <c r="DE934">
        <v>1</v>
      </c>
      <c r="DF934">
        <v>0</v>
      </c>
      <c r="DG934">
        <v>0</v>
      </c>
      <c r="DI934">
        <f t="shared" si="1183"/>
        <v>1</v>
      </c>
      <c r="DJ934" t="str">
        <f t="shared" si="1184"/>
        <v>EnergyInput</v>
      </c>
      <c r="DK934">
        <f t="shared" si="1185"/>
        <v>0</v>
      </c>
      <c r="DL934" t="str">
        <f t="shared" si="1186"/>
        <v>Energy</v>
      </c>
      <c r="DM934">
        <f t="shared" si="1187"/>
        <v>0</v>
      </c>
      <c r="DN934">
        <f t="shared" si="1188"/>
        <v>0</v>
      </c>
      <c r="DO934">
        <v>0</v>
      </c>
      <c r="DP934" s="143">
        <v>0</v>
      </c>
      <c r="DQ934" s="143">
        <v>0</v>
      </c>
      <c r="DR934">
        <v>0</v>
      </c>
      <c r="DS934" s="143">
        <v>0</v>
      </c>
      <c r="DT934">
        <f t="shared" si="1189"/>
        <v>0</v>
      </c>
      <c r="DU934" s="143" t="str">
        <f t="shared" si="1190"/>
        <v>explicit C balance</v>
      </c>
      <c r="DV934" s="143">
        <v>0</v>
      </c>
      <c r="DW934" s="143">
        <v>1</v>
      </c>
      <c r="DX934" s="143">
        <v>1</v>
      </c>
      <c r="DY934" s="143">
        <v>1</v>
      </c>
      <c r="DZ934">
        <v>1</v>
      </c>
      <c r="EA934" s="143">
        <v>0</v>
      </c>
      <c r="EB934" s="143">
        <v>1</v>
      </c>
      <c r="EC934" s="143">
        <v>1</v>
      </c>
      <c r="ED934" s="143">
        <v>1</v>
      </c>
      <c r="EE934">
        <v>0</v>
      </c>
      <c r="EF934">
        <v>1</v>
      </c>
      <c r="EG934" s="143">
        <v>1</v>
      </c>
      <c r="EH934">
        <v>0</v>
      </c>
      <c r="EI934" s="2">
        <v>0</v>
      </c>
      <c r="EK934" t="str">
        <f t="shared" si="1193"/>
        <v>Whole sector</v>
      </c>
      <c r="EL934" t="str">
        <f t="shared" si="1194"/>
        <v/>
      </c>
      <c r="EM934" s="2" t="str">
        <f t="shared" si="1100"/>
        <v/>
      </c>
      <c r="EP934" t="b">
        <f>IF(ISNUMBER(BU934),IF(ABS(BU934-[3]QC_indicators!$B$2)&gt;3*[3]QC_indicators!$C$2,"C ratio",IF(ISNUMBER(BY934),IF(ABS(BY934-[3]QC_indicators!$B$1)&gt;3*[3]QC_indicators!$C$1,"DF","no"))),IF(ISNUMBER(BY934),IF(ABS(BY934-[3]QC_indicators!$B$1)&gt;3*[3]QC_indicators!$C$1,"DF","no")))</f>
        <v>0</v>
      </c>
      <c r="ER934" s="264" t="s">
        <v>3151</v>
      </c>
      <c r="ET934" s="264" t="s">
        <v>3152</v>
      </c>
    </row>
    <row r="935" spans="1:150" ht="15" hidden="1" customHeight="1">
      <c r="A935" s="1" t="s">
        <v>848</v>
      </c>
      <c r="B935" t="s">
        <v>849</v>
      </c>
      <c r="C935" t="s">
        <v>850</v>
      </c>
      <c r="D935" t="s">
        <v>851</v>
      </c>
      <c r="E935" t="s">
        <v>852</v>
      </c>
      <c r="F935" t="s">
        <v>853</v>
      </c>
      <c r="G935" t="s">
        <v>854</v>
      </c>
      <c r="H935" t="s">
        <v>254</v>
      </c>
      <c r="I935">
        <v>2020</v>
      </c>
      <c r="J935">
        <v>5</v>
      </c>
      <c r="K935" t="s">
        <v>855</v>
      </c>
      <c r="M935" t="str">
        <f t="shared" si="1132"/>
        <v>Lan_2020</v>
      </c>
      <c r="N935" t="s">
        <v>222</v>
      </c>
      <c r="O935" s="145" t="s">
        <v>225</v>
      </c>
      <c r="Q935" t="s">
        <v>256</v>
      </c>
      <c r="R935" s="262" t="s">
        <v>223</v>
      </c>
      <c r="S935" s="1" t="s">
        <v>869</v>
      </c>
      <c r="T935" t="s">
        <v>872</v>
      </c>
      <c r="U935" t="s">
        <v>873</v>
      </c>
      <c r="V935">
        <v>0</v>
      </c>
      <c r="W935">
        <v>0</v>
      </c>
      <c r="X935">
        <v>0</v>
      </c>
      <c r="Y935">
        <v>0</v>
      </c>
      <c r="Z935">
        <v>0</v>
      </c>
      <c r="AA935">
        <v>0</v>
      </c>
      <c r="AB935">
        <v>0</v>
      </c>
      <c r="AC935">
        <v>0</v>
      </c>
      <c r="AD935">
        <v>0</v>
      </c>
      <c r="AE935">
        <v>0</v>
      </c>
      <c r="AF935">
        <v>1</v>
      </c>
      <c r="AG935">
        <v>0</v>
      </c>
      <c r="AH935">
        <v>0</v>
      </c>
      <c r="AI935">
        <v>0</v>
      </c>
      <c r="AJ935">
        <v>0</v>
      </c>
      <c r="AK935">
        <v>0</v>
      </c>
      <c r="AL935">
        <v>0</v>
      </c>
      <c r="AM935">
        <v>0</v>
      </c>
      <c r="AN935">
        <v>0</v>
      </c>
      <c r="AO935">
        <v>0</v>
      </c>
      <c r="AP935">
        <v>0</v>
      </c>
      <c r="AQ935">
        <v>0</v>
      </c>
      <c r="AR935">
        <v>0</v>
      </c>
      <c r="AS935">
        <v>0</v>
      </c>
      <c r="AT935">
        <v>0</v>
      </c>
      <c r="AU935">
        <v>0</v>
      </c>
      <c r="AV935">
        <v>0</v>
      </c>
      <c r="AW935">
        <v>0</v>
      </c>
      <c r="AX935" s="141">
        <f t="shared" si="1168"/>
        <v>1</v>
      </c>
      <c r="AY935" s="141">
        <f t="shared" si="1169"/>
        <v>1</v>
      </c>
      <c r="AZ935">
        <f t="shared" si="1170"/>
        <v>0</v>
      </c>
      <c r="BA935">
        <f t="shared" si="1171"/>
        <v>1</v>
      </c>
      <c r="BB935">
        <f t="shared" si="1172"/>
        <v>0</v>
      </c>
      <c r="BC935">
        <f t="shared" si="1173"/>
        <v>0</v>
      </c>
      <c r="BD935">
        <f t="shared" si="1174"/>
        <v>0</v>
      </c>
      <c r="BE935" t="str">
        <f t="array" ref="BE935">IF(AY935=1,INDEX($V$7:$AL$7,MATCH(TRUE,INDEX($V935:$AW935&lt;&gt;0,),0)),IF(AY935=0,INDEX($AM$7:$AW$7,MATCH(1,$AM935:$AW935,0)),IF(BF935="Multiple strategies","mixed drivers",IF(BF935="Supply chain","multiple supply","multiple silviculture"))))</f>
        <v>supply chain organization</v>
      </c>
      <c r="BF935" s="2" t="str" cm="1">
        <f t="array" ref="BF935">IF(COUNTIF(AZ935:BB935,"&lt;&gt;0")=1,INDEX($V$4:$AW$4,MATCH(TRUE,INDEX($V935:$AW935&lt;&gt;0,),0)),IF(COUNTIF(AZ935:BB935,"&lt;&gt;0")=0,INDEX($AM$4:$AW$4,MATCH(1,$AM935:$AW935,0)),"Multiple strategies"))</f>
        <v>Supply chain</v>
      </c>
      <c r="BG935" s="142"/>
      <c r="BH935" s="264"/>
      <c r="BI935" s="264"/>
      <c r="BJ935" s="143"/>
      <c r="BL935" s="143"/>
      <c r="BM935" s="163"/>
      <c r="BO935" s="159"/>
      <c r="BP935" t="s">
        <v>232</v>
      </c>
      <c r="BQ935" s="153" t="s">
        <v>429</v>
      </c>
      <c r="BR935" t="s">
        <v>859</v>
      </c>
      <c r="BS935">
        <v>1291.7429999999999</v>
      </c>
      <c r="BT935">
        <v>1150.4580000000001</v>
      </c>
      <c r="BU935" s="144">
        <f>IFERROR(BS935/BT935,"")</f>
        <v>1.1228076122726773</v>
      </c>
      <c r="BV935">
        <f>BS935-BT935</f>
        <v>141.28499999999985</v>
      </c>
      <c r="BX935">
        <f t="shared" si="1192"/>
        <v>141.28499999999985</v>
      </c>
      <c r="BY935" t="str">
        <f t="shared" si="1099"/>
        <v/>
      </c>
      <c r="BZ935">
        <v>0</v>
      </c>
      <c r="CA935">
        <v>0</v>
      </c>
      <c r="CB935">
        <v>0</v>
      </c>
      <c r="CC935">
        <v>0</v>
      </c>
      <c r="CD935">
        <v>0</v>
      </c>
      <c r="CE935">
        <v>0</v>
      </c>
      <c r="CF935">
        <v>0</v>
      </c>
      <c r="CG935">
        <v>0</v>
      </c>
      <c r="CH935">
        <v>0</v>
      </c>
      <c r="CI935">
        <v>0</v>
      </c>
      <c r="CJ935">
        <v>0</v>
      </c>
      <c r="CK935">
        <v>0</v>
      </c>
      <c r="CL935">
        <v>0</v>
      </c>
      <c r="CM935">
        <v>0</v>
      </c>
      <c r="CN935" t="str">
        <f>IF($BL935&lt;$BK935,"refNeedCorrection","refOK")</f>
        <v>refOK</v>
      </c>
      <c r="CO935"/>
      <c r="CP935"/>
      <c r="CQ935"/>
      <c r="CR935">
        <f>IF($CN935="refOK",$BT935,$BS935)*IF($BP935="Emissions positive",-1,1)</f>
        <v>1150.4580000000001</v>
      </c>
      <c r="CS935">
        <f>IF($CN935="refOK",$BS935,$BT935)*IF($BP935="Emissions positive",-1,1)</f>
        <v>1291.7429999999999</v>
      </c>
      <c r="CT935">
        <f t="shared" si="1178"/>
        <v>141.28499999999985</v>
      </c>
      <c r="CU935" t="str">
        <f t="shared" si="1179"/>
        <v/>
      </c>
      <c r="CV935" s="2">
        <f t="shared" si="1180"/>
        <v>0.12280761227267735</v>
      </c>
      <c r="CW935" s="1" t="s">
        <v>234</v>
      </c>
      <c r="CX935" t="str">
        <f t="shared" si="1181"/>
        <v>loc</v>
      </c>
      <c r="CY935" t="s">
        <v>428</v>
      </c>
      <c r="CZ935">
        <v>2021</v>
      </c>
      <c r="DA935" s="143">
        <v>2120</v>
      </c>
      <c r="DB935" s="143">
        <v>100</v>
      </c>
      <c r="DC935" t="str">
        <f t="shared" si="1182"/>
        <v>71-100</v>
      </c>
      <c r="DD935">
        <v>0</v>
      </c>
      <c r="DE935">
        <v>1</v>
      </c>
      <c r="DF935">
        <v>0</v>
      </c>
      <c r="DG935">
        <v>0</v>
      </c>
      <c r="DI935">
        <f t="shared" si="1183"/>
        <v>1</v>
      </c>
      <c r="DJ935" t="str">
        <f t="shared" si="1184"/>
        <v>EnergyInput</v>
      </c>
      <c r="DK935">
        <f t="shared" si="1185"/>
        <v>0</v>
      </c>
      <c r="DL935" t="str">
        <f t="shared" si="1186"/>
        <v>Energy</v>
      </c>
      <c r="DM935">
        <f t="shared" si="1187"/>
        <v>0</v>
      </c>
      <c r="DN935">
        <f t="shared" si="1188"/>
        <v>0</v>
      </c>
      <c r="DO935">
        <v>0</v>
      </c>
      <c r="DP935" s="143">
        <v>0</v>
      </c>
      <c r="DQ935" s="143">
        <v>0</v>
      </c>
      <c r="DR935">
        <v>0</v>
      </c>
      <c r="DS935" s="143">
        <v>0</v>
      </c>
      <c r="DT935">
        <f t="shared" si="1189"/>
        <v>0</v>
      </c>
      <c r="DU935" s="143" t="str">
        <f t="shared" si="1190"/>
        <v>explicit C balance</v>
      </c>
      <c r="DV935" s="143">
        <v>0</v>
      </c>
      <c r="DW935" s="143">
        <v>1</v>
      </c>
      <c r="DX935" s="143">
        <v>1</v>
      </c>
      <c r="DY935" s="143">
        <v>1</v>
      </c>
      <c r="DZ935">
        <v>1</v>
      </c>
      <c r="EA935" s="143">
        <v>0</v>
      </c>
      <c r="EB935" s="143">
        <v>1</v>
      </c>
      <c r="EC935" s="143">
        <v>1</v>
      </c>
      <c r="ED935" s="143">
        <v>1</v>
      </c>
      <c r="EE935">
        <v>0</v>
      </c>
      <c r="EF935">
        <v>1</v>
      </c>
      <c r="EG935" s="143">
        <v>1</v>
      </c>
      <c r="EH935">
        <v>0</v>
      </c>
      <c r="EI935" s="2">
        <v>0</v>
      </c>
      <c r="EK935" t="str">
        <f t="shared" si="1193"/>
        <v>Whole sector</v>
      </c>
      <c r="EL935" t="str">
        <f t="shared" si="1194"/>
        <v/>
      </c>
      <c r="EM935" s="2" t="str">
        <f t="shared" si="1100"/>
        <v/>
      </c>
      <c r="EP935" t="b">
        <f>IF(ISNUMBER(BU935),IF(ABS(BU935-[3]QC_indicators!$B$2)&gt;3*[3]QC_indicators!$C$2,"C ratio",IF(ISNUMBER(BY935),IF(ABS(BY935-[3]QC_indicators!$B$1)&gt;3*[3]QC_indicators!$C$1,"DF","no"))),IF(ISNUMBER(BY935),IF(ABS(BY935-[3]QC_indicators!$B$1)&gt;3*[3]QC_indicators!$C$1,"DF","no")))</f>
        <v>0</v>
      </c>
      <c r="ER935" s="264" t="s">
        <v>3151</v>
      </c>
      <c r="ET935" s="264" t="s">
        <v>3152</v>
      </c>
    </row>
    <row r="936" spans="1:150" ht="15" hidden="1" customHeight="1">
      <c r="A936" s="1" t="s">
        <v>848</v>
      </c>
      <c r="B936" t="s">
        <v>849</v>
      </c>
      <c r="C936" t="s">
        <v>850</v>
      </c>
      <c r="D936" t="s">
        <v>851</v>
      </c>
      <c r="E936" t="s">
        <v>852</v>
      </c>
      <c r="F936" t="s">
        <v>853</v>
      </c>
      <c r="G936" t="s">
        <v>854</v>
      </c>
      <c r="H936" t="s">
        <v>254</v>
      </c>
      <c r="I936">
        <v>2020</v>
      </c>
      <c r="J936">
        <v>5</v>
      </c>
      <c r="K936" t="s">
        <v>855</v>
      </c>
      <c r="M936" t="str">
        <f t="shared" si="1132"/>
        <v>Lan_2020</v>
      </c>
      <c r="N936" t="s">
        <v>222</v>
      </c>
      <c r="O936" s="145" t="s">
        <v>225</v>
      </c>
      <c r="Q936" t="s">
        <v>256</v>
      </c>
      <c r="R936" s="262" t="s">
        <v>223</v>
      </c>
      <c r="S936" s="1" t="s">
        <v>869</v>
      </c>
      <c r="T936" t="s">
        <v>874</v>
      </c>
      <c r="U936" t="s">
        <v>875</v>
      </c>
      <c r="V936">
        <v>0</v>
      </c>
      <c r="W936">
        <v>0</v>
      </c>
      <c r="X936">
        <v>0</v>
      </c>
      <c r="Y936">
        <v>0</v>
      </c>
      <c r="Z936">
        <v>0</v>
      </c>
      <c r="AA936">
        <v>0</v>
      </c>
      <c r="AB936">
        <v>0</v>
      </c>
      <c r="AC936">
        <v>0</v>
      </c>
      <c r="AD936">
        <v>0</v>
      </c>
      <c r="AE936">
        <v>0</v>
      </c>
      <c r="AF936">
        <v>1</v>
      </c>
      <c r="AG936">
        <v>0</v>
      </c>
      <c r="AH936">
        <v>0</v>
      </c>
      <c r="AI936">
        <v>0</v>
      </c>
      <c r="AJ936">
        <v>0</v>
      </c>
      <c r="AK936">
        <v>0</v>
      </c>
      <c r="AL936">
        <v>0</v>
      </c>
      <c r="AM936">
        <v>0</v>
      </c>
      <c r="AN936">
        <v>0</v>
      </c>
      <c r="AO936">
        <v>0</v>
      </c>
      <c r="AP936">
        <v>0</v>
      </c>
      <c r="AQ936">
        <v>0</v>
      </c>
      <c r="AR936">
        <v>0</v>
      </c>
      <c r="AS936">
        <v>0</v>
      </c>
      <c r="AT936">
        <v>0</v>
      </c>
      <c r="AU936">
        <v>0</v>
      </c>
      <c r="AV936">
        <v>0</v>
      </c>
      <c r="AW936">
        <v>0</v>
      </c>
      <c r="AX936" s="141">
        <f t="shared" si="1168"/>
        <v>1</v>
      </c>
      <c r="AY936" s="141">
        <f t="shared" si="1169"/>
        <v>1</v>
      </c>
      <c r="AZ936">
        <f t="shared" si="1170"/>
        <v>0</v>
      </c>
      <c r="BA936">
        <f t="shared" si="1171"/>
        <v>1</v>
      </c>
      <c r="BB936">
        <f t="shared" si="1172"/>
        <v>0</v>
      </c>
      <c r="BC936">
        <f t="shared" si="1173"/>
        <v>0</v>
      </c>
      <c r="BD936">
        <f t="shared" si="1174"/>
        <v>0</v>
      </c>
      <c r="BE936" t="str">
        <f t="array" ref="BE936">IF(AY936=1,INDEX($V$7:$AL$7,MATCH(TRUE,INDEX($V936:$AW936&lt;&gt;0,),0)),IF(AY936=0,INDEX($AM$7:$AW$7,MATCH(1,$AM936:$AW936,0)),IF(BF936="Multiple strategies","mixed drivers",IF(BF936="Supply chain","multiple supply","multiple silviculture"))))</f>
        <v>supply chain organization</v>
      </c>
      <c r="BF936" s="2" t="str" cm="1">
        <f t="array" ref="BF936">IF(COUNTIF(AZ936:BB936,"&lt;&gt;0")=1,INDEX($V$4:$AW$4,MATCH(TRUE,INDEX($V936:$AW936&lt;&gt;0,),0)),IF(COUNTIF(AZ936:BB936,"&lt;&gt;0")=0,INDEX($AM$4:$AW$4,MATCH(1,$AM936:$AW936,0)),"Multiple strategies"))</f>
        <v>Supply chain</v>
      </c>
      <c r="BG936" s="142"/>
      <c r="BH936" s="264"/>
      <c r="BI936" s="264"/>
      <c r="BJ936" s="143"/>
      <c r="BL936" s="143"/>
      <c r="BM936" s="163"/>
      <c r="BO936" s="159"/>
      <c r="BP936" t="s">
        <v>232</v>
      </c>
      <c r="BQ936" s="153" t="s">
        <v>429</v>
      </c>
      <c r="BR936" t="s">
        <v>859</v>
      </c>
      <c r="BS936">
        <v>816.51300000000003</v>
      </c>
      <c r="BT936">
        <v>726.60500000000002</v>
      </c>
      <c r="BU936" s="144">
        <f>IFERROR(BS936/BT936,"")</f>
        <v>1.1237371061305661</v>
      </c>
      <c r="BV936">
        <f>BS936-BT936</f>
        <v>89.908000000000015</v>
      </c>
      <c r="BX936">
        <f t="shared" si="1192"/>
        <v>89.908000000000015</v>
      </c>
      <c r="BY936" t="str">
        <f t="shared" si="1099"/>
        <v/>
      </c>
      <c r="BZ936">
        <v>0</v>
      </c>
      <c r="CA936">
        <v>0</v>
      </c>
      <c r="CB936">
        <v>0</v>
      </c>
      <c r="CC936">
        <v>0</v>
      </c>
      <c r="CD936">
        <v>0</v>
      </c>
      <c r="CE936">
        <v>0</v>
      </c>
      <c r="CF936">
        <v>0</v>
      </c>
      <c r="CG936">
        <v>0</v>
      </c>
      <c r="CH936">
        <v>0</v>
      </c>
      <c r="CI936">
        <v>0</v>
      </c>
      <c r="CJ936">
        <v>0</v>
      </c>
      <c r="CK936">
        <v>0</v>
      </c>
      <c r="CL936">
        <v>0</v>
      </c>
      <c r="CM936">
        <v>0</v>
      </c>
      <c r="CN936" t="str">
        <f>IF(BL936&lt;BK936,"refNeedCorrection","refOK")</f>
        <v>refOK</v>
      </c>
      <c r="CO936"/>
      <c r="CP936"/>
      <c r="CQ936"/>
      <c r="CR936">
        <f>IF($CN936="refOK",$BT936,$BS936)*IF($BP936="Emissions positive",-1,1)</f>
        <v>726.60500000000002</v>
      </c>
      <c r="CS936">
        <f>IF($CN936="refOK",$BS936,$BT936)*IF($BP936="Emissions positive",-1,1)</f>
        <v>816.51300000000003</v>
      </c>
      <c r="CT936">
        <f t="shared" si="1178"/>
        <v>89.908000000000015</v>
      </c>
      <c r="CU936" t="str">
        <f t="shared" si="1179"/>
        <v/>
      </c>
      <c r="CV936" s="2">
        <f t="shared" si="1180"/>
        <v>0.12373710613056614</v>
      </c>
      <c r="CW936" s="1" t="s">
        <v>234</v>
      </c>
      <c r="CX936" t="str">
        <f t="shared" si="1181"/>
        <v>loc</v>
      </c>
      <c r="CY936" t="s">
        <v>428</v>
      </c>
      <c r="CZ936">
        <v>2021</v>
      </c>
      <c r="DA936" s="143">
        <v>2120</v>
      </c>
      <c r="DB936" s="143">
        <v>100</v>
      </c>
      <c r="DC936" t="str">
        <f t="shared" si="1182"/>
        <v>71-100</v>
      </c>
      <c r="DD936">
        <v>0</v>
      </c>
      <c r="DE936">
        <v>1</v>
      </c>
      <c r="DF936">
        <v>0</v>
      </c>
      <c r="DG936">
        <v>0</v>
      </c>
      <c r="DI936">
        <f t="shared" si="1183"/>
        <v>1</v>
      </c>
      <c r="DJ936" t="str">
        <f t="shared" si="1184"/>
        <v>EnergyInput</v>
      </c>
      <c r="DK936">
        <f t="shared" si="1185"/>
        <v>0</v>
      </c>
      <c r="DL936" t="str">
        <f t="shared" si="1186"/>
        <v>Energy</v>
      </c>
      <c r="DM936">
        <f t="shared" si="1187"/>
        <v>0</v>
      </c>
      <c r="DN936">
        <f t="shared" si="1188"/>
        <v>0</v>
      </c>
      <c r="DO936">
        <v>0</v>
      </c>
      <c r="DP936" s="143">
        <v>0</v>
      </c>
      <c r="DQ936" s="143">
        <v>0</v>
      </c>
      <c r="DR936">
        <v>0</v>
      </c>
      <c r="DS936" s="143">
        <v>0</v>
      </c>
      <c r="DT936">
        <f t="shared" si="1189"/>
        <v>0</v>
      </c>
      <c r="DU936" s="143" t="str">
        <f t="shared" si="1190"/>
        <v>explicit C balance</v>
      </c>
      <c r="DV936" s="143">
        <v>0</v>
      </c>
      <c r="DW936" s="143">
        <v>1</v>
      </c>
      <c r="DX936" s="143">
        <v>1</v>
      </c>
      <c r="DY936" s="143">
        <v>1</v>
      </c>
      <c r="DZ936">
        <v>1</v>
      </c>
      <c r="EA936" s="143">
        <v>0</v>
      </c>
      <c r="EB936" s="143">
        <v>1</v>
      </c>
      <c r="EC936" s="143">
        <v>1</v>
      </c>
      <c r="ED936" s="143">
        <v>1</v>
      </c>
      <c r="EE936">
        <v>0</v>
      </c>
      <c r="EF936">
        <v>1</v>
      </c>
      <c r="EG936" s="143">
        <v>1</v>
      </c>
      <c r="EH936">
        <v>0</v>
      </c>
      <c r="EI936" s="2">
        <v>0</v>
      </c>
      <c r="EK936" t="str">
        <f t="shared" si="1193"/>
        <v>Whole sector</v>
      </c>
      <c r="EL936" t="str">
        <f t="shared" si="1194"/>
        <v/>
      </c>
      <c r="EM936" s="2" t="str">
        <f t="shared" si="1100"/>
        <v/>
      </c>
      <c r="EP936" t="b">
        <f>IF(ISNUMBER(BU936),IF(ABS(BU936-[3]QC_indicators!$B$2)&gt;3*[3]QC_indicators!$C$2,"C ratio",IF(ISNUMBER(BY936),IF(ABS(BY936-[3]QC_indicators!$B$1)&gt;3*[3]QC_indicators!$C$1,"DF","no"))),IF(ISNUMBER(BY936),IF(ABS(BY936-[3]QC_indicators!$B$1)&gt;3*[3]QC_indicators!$C$1,"DF","no")))</f>
        <v>0</v>
      </c>
      <c r="ER936" s="264" t="s">
        <v>3151</v>
      </c>
      <c r="ET936" s="264" t="s">
        <v>3152</v>
      </c>
    </row>
    <row r="937" spans="1:150" ht="15" hidden="1" customHeight="1">
      <c r="A937" s="1" t="s">
        <v>848</v>
      </c>
      <c r="B937" t="s">
        <v>849</v>
      </c>
      <c r="C937" t="s">
        <v>850</v>
      </c>
      <c r="D937" t="s">
        <v>851</v>
      </c>
      <c r="E937" t="s">
        <v>852</v>
      </c>
      <c r="F937" t="s">
        <v>853</v>
      </c>
      <c r="G937" t="s">
        <v>854</v>
      </c>
      <c r="H937" t="s">
        <v>254</v>
      </c>
      <c r="I937">
        <v>2020</v>
      </c>
      <c r="J937">
        <v>5</v>
      </c>
      <c r="K937" t="s">
        <v>855</v>
      </c>
      <c r="M937" t="str">
        <f t="shared" si="1132"/>
        <v>Lan_2020</v>
      </c>
      <c r="N937" t="s">
        <v>222</v>
      </c>
      <c r="O937" s="145" t="s">
        <v>225</v>
      </c>
      <c r="Q937" t="s">
        <v>256</v>
      </c>
      <c r="R937" s="262" t="s">
        <v>223</v>
      </c>
      <c r="S937" s="1" t="s">
        <v>869</v>
      </c>
      <c r="T937" t="s">
        <v>876</v>
      </c>
      <c r="U937" t="s">
        <v>877</v>
      </c>
      <c r="V937">
        <v>0</v>
      </c>
      <c r="W937">
        <v>0</v>
      </c>
      <c r="X937">
        <v>0</v>
      </c>
      <c r="Y937">
        <v>0</v>
      </c>
      <c r="Z937">
        <v>0</v>
      </c>
      <c r="AA937">
        <v>0</v>
      </c>
      <c r="AB937">
        <v>0</v>
      </c>
      <c r="AC937">
        <v>0</v>
      </c>
      <c r="AD937">
        <v>0</v>
      </c>
      <c r="AE937">
        <v>0</v>
      </c>
      <c r="AF937">
        <v>1</v>
      </c>
      <c r="AG937">
        <v>0</v>
      </c>
      <c r="AH937">
        <v>0</v>
      </c>
      <c r="AI937">
        <v>0</v>
      </c>
      <c r="AJ937">
        <v>0</v>
      </c>
      <c r="AK937">
        <v>0</v>
      </c>
      <c r="AL937">
        <v>0</v>
      </c>
      <c r="AM937">
        <v>0</v>
      </c>
      <c r="AN937">
        <v>0</v>
      </c>
      <c r="AO937">
        <v>0</v>
      </c>
      <c r="AP937">
        <v>0</v>
      </c>
      <c r="AQ937">
        <v>0</v>
      </c>
      <c r="AR937">
        <v>0</v>
      </c>
      <c r="AS937">
        <v>0</v>
      </c>
      <c r="AT937">
        <v>0</v>
      </c>
      <c r="AU937">
        <v>0</v>
      </c>
      <c r="AV937">
        <v>0</v>
      </c>
      <c r="AW937">
        <v>0</v>
      </c>
      <c r="AX937" s="141">
        <f t="shared" si="1168"/>
        <v>1</v>
      </c>
      <c r="AY937" s="141">
        <f t="shared" si="1169"/>
        <v>1</v>
      </c>
      <c r="AZ937">
        <f t="shared" si="1170"/>
        <v>0</v>
      </c>
      <c r="BA937">
        <f t="shared" si="1171"/>
        <v>1</v>
      </c>
      <c r="BB937">
        <f t="shared" si="1172"/>
        <v>0</v>
      </c>
      <c r="BC937">
        <f t="shared" si="1173"/>
        <v>0</v>
      </c>
      <c r="BD937">
        <f t="shared" si="1174"/>
        <v>0</v>
      </c>
      <c r="BE937" t="str">
        <f t="array" ref="BE937">IF(AY937=1,INDEX($V$7:$AL$7,MATCH(TRUE,INDEX($V937:$AW937&lt;&gt;0,),0)),IF(AY937=0,INDEX($AM$7:$AW$7,MATCH(1,$AM937:$AW937,0)),IF(BF937="Multiple strategies","mixed drivers",IF(BF937="Supply chain","multiple supply","multiple silviculture"))))</f>
        <v>supply chain organization</v>
      </c>
      <c r="BF937" s="2" t="str" cm="1">
        <f t="array" ref="BF937">IF(COUNTIF(AZ937:BB937,"&lt;&gt;0")=1,INDEX($V$4:$AW$4,MATCH(TRUE,INDEX($V937:$AW937&lt;&gt;0,),0)),IF(COUNTIF(AZ937:BB937,"&lt;&gt;0")=0,INDEX($AM$4:$AW$4,MATCH(1,$AM937:$AW937,0)),"Multiple strategies"))</f>
        <v>Supply chain</v>
      </c>
      <c r="BG937" s="142"/>
      <c r="BH937" s="264"/>
      <c r="BI937" s="264"/>
      <c r="BJ937" s="143"/>
      <c r="BL937" s="143"/>
      <c r="BM937" s="163"/>
      <c r="BO937" s="159"/>
      <c r="BP937" t="s">
        <v>232</v>
      </c>
      <c r="BQ937" s="153" t="s">
        <v>429</v>
      </c>
      <c r="BR937" t="s">
        <v>859</v>
      </c>
      <c r="BS937">
        <v>829.35699999999997</v>
      </c>
      <c r="BT937">
        <v>739.44899999999996</v>
      </c>
      <c r="BU937" s="144">
        <f>IFERROR(BS937/BT937,"")</f>
        <v>1.1215878309389831</v>
      </c>
      <c r="BV937">
        <f>BS937-BT937</f>
        <v>89.908000000000015</v>
      </c>
      <c r="BX937">
        <f t="shared" si="1192"/>
        <v>89.908000000000015</v>
      </c>
      <c r="BY937" t="str">
        <f t="shared" si="1099"/>
        <v/>
      </c>
      <c r="BZ937">
        <v>0</v>
      </c>
      <c r="CA937">
        <v>0</v>
      </c>
      <c r="CB937">
        <v>0</v>
      </c>
      <c r="CC937">
        <v>0</v>
      </c>
      <c r="CD937">
        <v>0</v>
      </c>
      <c r="CE937">
        <v>0</v>
      </c>
      <c r="CF937">
        <v>0</v>
      </c>
      <c r="CG937">
        <v>0</v>
      </c>
      <c r="CH937">
        <v>0</v>
      </c>
      <c r="CI937">
        <v>0</v>
      </c>
      <c r="CJ937">
        <v>0</v>
      </c>
      <c r="CK937">
        <v>0</v>
      </c>
      <c r="CL937">
        <v>0</v>
      </c>
      <c r="CM937">
        <v>0</v>
      </c>
      <c r="CN937" t="str">
        <f>IF(BL937&lt;BK937,"refNeedCorrection","refOK")</f>
        <v>refOK</v>
      </c>
      <c r="CO937"/>
      <c r="CP937"/>
      <c r="CQ937"/>
      <c r="CR937">
        <f>IF($CN937="refOK",$BT937,$BS937)*IF($BP937="Emissions positive",-1,1)</f>
        <v>739.44899999999996</v>
      </c>
      <c r="CS937">
        <f>IF($CN937="refOK",$BS937,$BT937)*IF($BP937="Emissions positive",-1,1)</f>
        <v>829.35699999999997</v>
      </c>
      <c r="CT937">
        <f t="shared" si="1178"/>
        <v>89.908000000000015</v>
      </c>
      <c r="CU937" t="str">
        <f t="shared" si="1179"/>
        <v/>
      </c>
      <c r="CV937" s="2">
        <f t="shared" si="1180"/>
        <v>0.12158783093898297</v>
      </c>
      <c r="CW937" s="1" t="s">
        <v>234</v>
      </c>
      <c r="CX937" t="str">
        <f t="shared" si="1181"/>
        <v>loc</v>
      </c>
      <c r="CY937" t="s">
        <v>428</v>
      </c>
      <c r="CZ937">
        <v>2021</v>
      </c>
      <c r="DA937" s="143">
        <v>2120</v>
      </c>
      <c r="DB937" s="143">
        <v>100</v>
      </c>
      <c r="DC937" t="str">
        <f t="shared" si="1182"/>
        <v>71-100</v>
      </c>
      <c r="DD937">
        <v>0</v>
      </c>
      <c r="DE937">
        <v>1</v>
      </c>
      <c r="DF937">
        <v>0</v>
      </c>
      <c r="DG937">
        <v>0</v>
      </c>
      <c r="DI937">
        <f t="shared" si="1183"/>
        <v>1</v>
      </c>
      <c r="DJ937" t="str">
        <f t="shared" si="1184"/>
        <v>EnergyInput</v>
      </c>
      <c r="DK937">
        <f t="shared" si="1185"/>
        <v>0</v>
      </c>
      <c r="DL937" t="str">
        <f t="shared" si="1186"/>
        <v>Energy</v>
      </c>
      <c r="DM937">
        <f t="shared" si="1187"/>
        <v>0</v>
      </c>
      <c r="DN937">
        <f t="shared" si="1188"/>
        <v>0</v>
      </c>
      <c r="DO937">
        <v>0</v>
      </c>
      <c r="DP937" s="143">
        <v>0</v>
      </c>
      <c r="DQ937" s="143">
        <v>0</v>
      </c>
      <c r="DR937">
        <v>0</v>
      </c>
      <c r="DS937" s="143">
        <v>0</v>
      </c>
      <c r="DT937">
        <f t="shared" si="1189"/>
        <v>0</v>
      </c>
      <c r="DU937" s="143" t="str">
        <f t="shared" si="1190"/>
        <v>explicit C balance</v>
      </c>
      <c r="DV937" s="143">
        <v>0</v>
      </c>
      <c r="DW937" s="143">
        <v>1</v>
      </c>
      <c r="DX937" s="143">
        <v>1</v>
      </c>
      <c r="DY937" s="143">
        <v>1</v>
      </c>
      <c r="DZ937">
        <v>1</v>
      </c>
      <c r="EA937" s="143">
        <v>0</v>
      </c>
      <c r="EB937" s="143">
        <v>1</v>
      </c>
      <c r="EC937" s="143">
        <v>1</v>
      </c>
      <c r="ED937" s="143">
        <v>1</v>
      </c>
      <c r="EE937">
        <v>0</v>
      </c>
      <c r="EF937">
        <v>1</v>
      </c>
      <c r="EG937" s="143">
        <v>1</v>
      </c>
      <c r="EH937">
        <v>0</v>
      </c>
      <c r="EI937" s="2">
        <v>0</v>
      </c>
      <c r="EK937" t="str">
        <f t="shared" si="1193"/>
        <v>Whole sector</v>
      </c>
      <c r="EL937" t="str">
        <f t="shared" si="1194"/>
        <v/>
      </c>
      <c r="EM937" s="2" t="str">
        <f t="shared" si="1100"/>
        <v/>
      </c>
      <c r="EP937" t="b">
        <f>IF(ISNUMBER(BU937),IF(ABS(BU937-[3]QC_indicators!$B$2)&gt;3*[3]QC_indicators!$C$2,"C ratio",IF(ISNUMBER(BY937),IF(ABS(BY937-[3]QC_indicators!$B$1)&gt;3*[3]QC_indicators!$C$1,"DF","no"))),IF(ISNUMBER(BY937),IF(ABS(BY937-[3]QC_indicators!$B$1)&gt;3*[3]QC_indicators!$C$1,"DF","no")))</f>
        <v>0</v>
      </c>
      <c r="ER937" s="264" t="s">
        <v>3151</v>
      </c>
      <c r="ET937" s="264" t="s">
        <v>3152</v>
      </c>
    </row>
    <row r="938" spans="1:150" ht="15" hidden="1" customHeight="1">
      <c r="A938" s="1" t="s">
        <v>4292</v>
      </c>
      <c r="B938" t="s">
        <v>4852</v>
      </c>
      <c r="C938" t="s">
        <v>4853</v>
      </c>
      <c r="D938" t="s">
        <v>4854</v>
      </c>
      <c r="E938" t="s">
        <v>4855</v>
      </c>
      <c r="F938" t="s">
        <v>4856</v>
      </c>
      <c r="G938" t="s">
        <v>4298</v>
      </c>
      <c r="H938" t="s">
        <v>254</v>
      </c>
      <c r="I938">
        <v>2016</v>
      </c>
      <c r="J938">
        <v>4</v>
      </c>
      <c r="K938" t="s">
        <v>4857</v>
      </c>
      <c r="M938" t="str">
        <f t="shared" si="1132"/>
        <v>Laurent_2016</v>
      </c>
      <c r="N938" t="s">
        <v>1351</v>
      </c>
      <c r="O938" s="145" t="s">
        <v>225</v>
      </c>
      <c r="Q938" s="311" t="s">
        <v>256</v>
      </c>
      <c r="R938" s="312"/>
      <c r="U938" s="143"/>
      <c r="AX938" s="141"/>
      <c r="AY938" s="141"/>
      <c r="BE938"/>
      <c r="BF938" s="2"/>
      <c r="BG938" s="142"/>
      <c r="BJ938" s="143"/>
      <c r="BL938" s="143"/>
      <c r="BM938" s="163"/>
      <c r="BN938" s="158"/>
      <c r="BO938" s="143"/>
      <c r="BP938" s="143"/>
      <c r="BQ938" s="143"/>
      <c r="BS938" s="143"/>
      <c r="BU938" s="144"/>
      <c r="BY938" t="str">
        <f t="shared" ref="BY938:BY1001" si="1195">IFERROR(BX938/BO938,"")</f>
        <v/>
      </c>
      <c r="CN938"/>
      <c r="CO938"/>
      <c r="CP938"/>
      <c r="CQ938"/>
      <c r="CR938"/>
      <c r="CS938"/>
      <c r="CT938"/>
      <c r="CU938"/>
      <c r="CV938" s="2"/>
      <c r="CX938"/>
      <c r="DA938" s="143"/>
      <c r="DB938" s="143"/>
      <c r="DC938"/>
      <c r="DI938"/>
      <c r="DJ938"/>
      <c r="DK938"/>
      <c r="DL938"/>
      <c r="DM938"/>
      <c r="DN938"/>
      <c r="DP938" s="143"/>
      <c r="DQ938" s="143"/>
      <c r="DS938" s="143"/>
      <c r="DT938"/>
      <c r="DU938" s="143"/>
      <c r="DV938" s="143"/>
      <c r="DW938" s="143"/>
      <c r="EB938" s="143"/>
      <c r="ED938" s="143"/>
      <c r="EG938" s="143"/>
      <c r="EK938" t="str">
        <f>IF(AND(AND(AND(OR($DX938=1,$DW938=1),OR($EC938=1,$EA938=1)),SUM($DV938:$DZ938,$EF938)&gt;=3),SUM($EA938:$EE938)&gt;=2),"Whole sector","")</f>
        <v/>
      </c>
      <c r="EL938" t="str">
        <f>IF(AND(AND(OR($DX938=1,$DW938=1),AND($EC938=0,$EA938=0)),SUM($DV938:$DZ938,$EF938)&gt;=3),"Ecosystem approach","")</f>
        <v/>
      </c>
      <c r="EM938" s="2" t="str">
        <f t="shared" si="1100"/>
        <v/>
      </c>
      <c r="EN938" t="s">
        <v>4858</v>
      </c>
      <c r="EO938" t="s">
        <v>450</v>
      </c>
      <c r="EP938" t="b">
        <f>IF(ISNUMBER(BU938),IF(ABS(BU938-[1]QC_indicators!$B$2)&gt;3*[1]QC_indicators!$C$2,"C ratio",IF(ISNUMBER(BY938),IF(ABS(BY938-[1]QC_indicators!$B$1)&gt;3*[1]QC_indicators!$C$1,"DF","no"))),IF(ISNUMBER(BY938),IF(ABS(BY938-[1]QC_indicators!$B$1)&gt;3*[1]QC_indicators!$C$1,"DF","no")))</f>
        <v>0</v>
      </c>
    </row>
    <row r="939" spans="1:150" ht="15" customHeight="1">
      <c r="A939" s="1" t="s">
        <v>878</v>
      </c>
      <c r="D939" s="264" t="s">
        <v>879</v>
      </c>
      <c r="E939" s="264" t="s">
        <v>880</v>
      </c>
      <c r="H939" t="s">
        <v>881</v>
      </c>
      <c r="I939">
        <v>2020</v>
      </c>
      <c r="J939">
        <v>8</v>
      </c>
      <c r="K939" t="s">
        <v>882</v>
      </c>
      <c r="M939" t="str">
        <f t="shared" si="1132"/>
        <v>Lausselet_2020</v>
      </c>
      <c r="N939" t="s">
        <v>222</v>
      </c>
      <c r="O939" s="145" t="s">
        <v>225</v>
      </c>
      <c r="Q939" s="264" t="s">
        <v>256</v>
      </c>
      <c r="R939" s="269" t="s">
        <v>341</v>
      </c>
      <c r="S939" s="1" t="s">
        <v>883</v>
      </c>
      <c r="T939" s="143" t="s">
        <v>884</v>
      </c>
      <c r="U939" t="s">
        <v>885</v>
      </c>
      <c r="V939">
        <v>0</v>
      </c>
      <c r="W939">
        <v>1</v>
      </c>
      <c r="X939">
        <v>0</v>
      </c>
      <c r="Y939">
        <v>0</v>
      </c>
      <c r="Z939">
        <v>0</v>
      </c>
      <c r="AA939">
        <v>0</v>
      </c>
      <c r="AB939">
        <v>0</v>
      </c>
      <c r="AC939">
        <v>0</v>
      </c>
      <c r="AD939">
        <v>0</v>
      </c>
      <c r="AE939">
        <v>0</v>
      </c>
      <c r="AF939">
        <v>0</v>
      </c>
      <c r="AG939">
        <v>0</v>
      </c>
      <c r="AH939">
        <v>0</v>
      </c>
      <c r="AI939">
        <v>0</v>
      </c>
      <c r="AJ939">
        <v>0</v>
      </c>
      <c r="AK939">
        <v>0</v>
      </c>
      <c r="AL939">
        <v>0</v>
      </c>
      <c r="AM939">
        <v>0</v>
      </c>
      <c r="AN939">
        <v>0</v>
      </c>
      <c r="AO939">
        <v>0</v>
      </c>
      <c r="AP939">
        <v>0</v>
      </c>
      <c r="AQ939">
        <v>0</v>
      </c>
      <c r="AR939">
        <v>0</v>
      </c>
      <c r="AS939">
        <v>0</v>
      </c>
      <c r="AT939">
        <v>0</v>
      </c>
      <c r="AU939">
        <v>0</v>
      </c>
      <c r="AV939">
        <v>0</v>
      </c>
      <c r="AW939">
        <v>0</v>
      </c>
      <c r="AX939" s="141">
        <f t="shared" ref="AX939:AX947" si="1196">COUNTIF(V939:AW939,"&lt;&gt;0")</f>
        <v>1</v>
      </c>
      <c r="AY939" s="141">
        <f t="shared" ref="AY939:AY947" si="1197">COUNTIF(V939:AL939,"&lt;&gt;0")</f>
        <v>1</v>
      </c>
      <c r="AZ939">
        <f t="shared" ref="AZ939:AZ945" si="1198">COUNTIF(V939:AC939,"&lt;&gt;0")</f>
        <v>1</v>
      </c>
      <c r="BA939">
        <f t="shared" ref="BA939:BA945" si="1199">COUNTIF(AD939:AI939,"&lt;&gt;0")</f>
        <v>0</v>
      </c>
      <c r="BB939">
        <f t="shared" ref="BB939:BB945" si="1200">COUNTIF(AJ939:AL939,"&lt;&gt;0")</f>
        <v>0</v>
      </c>
      <c r="BC939">
        <f t="shared" ref="BC939:BC945" si="1201">COUNTIF(AS939:AW939,"&lt;&gt;0")</f>
        <v>0</v>
      </c>
      <c r="BD939">
        <f t="shared" ref="BD939:BD945" si="1202">COUNTIF(AM939:AR939,"&lt;&gt;0")</f>
        <v>0</v>
      </c>
      <c r="BE939" t="str" cm="1">
        <f t="array" ref="BE939">IF(AY939=1,INDEX($V$7:$AL$7,MATCH(TRUE,INDEX($V939:$AW939&lt;&gt;0,),0)),IF(AY939=0,INDEX($AM$7:$AW$7,MATCH(1,$AM939:$AW939,0)),IF(BF939="Multiple strategies","mixed drivers",IF(BF939="Supply chain","multiple supply","multiple silviculture"))))</f>
        <v>unspecified harvest increase</v>
      </c>
      <c r="BF939" s="2" t="str" cm="1">
        <f t="array" ref="BF939">IF(COUNTIF(AZ939:BB939,"&lt;&gt;0")=1,INDEX($V$4:$AW$4,MATCH(TRUE,INDEX($V939:$AW939&lt;&gt;0,),0)),IF(COUNTIF(AZ939:BB939,"&lt;&gt;0")=0,INDEX($AM$4:$AW$4,MATCH(1,$AM939:$AW939,0)),"Multiple strategies"))</f>
        <v>Silviculture for removals</v>
      </c>
      <c r="BG939" s="164" t="s">
        <v>229</v>
      </c>
      <c r="BH939" s="165" t="s">
        <v>3415</v>
      </c>
      <c r="BI939" s="165" t="s">
        <v>3416</v>
      </c>
      <c r="BJ939" s="166" t="s">
        <v>345</v>
      </c>
      <c r="BK939" s="167">
        <f>BL939*0.75</f>
        <v>21000000</v>
      </c>
      <c r="BL939" s="167">
        <f>28000000</f>
        <v>28000000</v>
      </c>
      <c r="BM939" s="168" t="s">
        <v>886</v>
      </c>
      <c r="BN939">
        <f t="shared" ref="BN939:BN945" si="1203">BL939-BK939</f>
        <v>7000000</v>
      </c>
      <c r="BO939">
        <f t="shared" ref="BO939:BO944" si="1204">BN939*kg_to_m3</f>
        <v>14285.714285714286</v>
      </c>
      <c r="BP939" s="305" t="s">
        <v>395</v>
      </c>
      <c r="BQ939" s="264" t="s">
        <v>887</v>
      </c>
      <c r="BR939" s="264" t="s">
        <v>888</v>
      </c>
      <c r="BS939" s="169">
        <v>62317211.173472598</v>
      </c>
      <c r="BT939" s="169">
        <v>81960007.070510104</v>
      </c>
      <c r="BU939" s="144">
        <v>1.3157894736842106</v>
      </c>
      <c r="BV939" s="169">
        <f t="shared" ref="BV939:BV944" si="1205">BT939-BS939</f>
        <v>19642795.897037506</v>
      </c>
      <c r="BX939">
        <f t="shared" ref="BX939:BX944" si="1206">BV939/1000</f>
        <v>19642.795897037508</v>
      </c>
      <c r="BY939">
        <f t="shared" si="1195"/>
        <v>1.3749957127926256</v>
      </c>
      <c r="BZ939">
        <v>0</v>
      </c>
      <c r="CA939">
        <v>0</v>
      </c>
      <c r="CB939">
        <v>0</v>
      </c>
      <c r="CC939">
        <v>0</v>
      </c>
      <c r="CD939">
        <v>0</v>
      </c>
      <c r="CE939">
        <v>0</v>
      </c>
      <c r="CF939">
        <v>0</v>
      </c>
      <c r="CG939">
        <v>0</v>
      </c>
      <c r="CH939">
        <v>0</v>
      </c>
      <c r="CI939">
        <v>0</v>
      </c>
      <c r="CJ939">
        <v>0</v>
      </c>
      <c r="CK939">
        <v>0</v>
      </c>
      <c r="CL939">
        <v>0</v>
      </c>
      <c r="CM939">
        <v>0</v>
      </c>
      <c r="CN939" t="str">
        <f>IF($BL939&lt;$BK939,"refNeedCorrection","refOK")</f>
        <v>refOK</v>
      </c>
      <c r="CO939"/>
      <c r="CP939"/>
      <c r="CQ939">
        <f t="shared" ref="CQ939:CQ945" si="1207">IF($CN939="refOK",$BO939,-$BO939)</f>
        <v>14285.714285714286</v>
      </c>
      <c r="CR939">
        <f t="shared" ref="CR939:CR945" si="1208">IF($CN939="refOK",$BS939,$BT939)*IF($BP939="Emissions positive",-1,1)</f>
        <v>-62317211.173472598</v>
      </c>
      <c r="CS939">
        <f t="shared" ref="CS939:CS945" si="1209">IF($CN939="refOK",$BT939,$BS939)*IF($BP939="Emissions positive",-1,1)</f>
        <v>-81960007.070510104</v>
      </c>
      <c r="CT939">
        <f t="shared" ref="CT939:CT945" si="1210">IF($CN939="refNeedCorrection",-BX939,BX939)*IF($BP939="Emissions positive",-1,1)</f>
        <v>-19642.795897037508</v>
      </c>
      <c r="CU939">
        <f t="shared" ref="CU939:CU945" si="1211">IFERROR(CT939/CQ939,"")</f>
        <v>-1.3749957127926256</v>
      </c>
      <c r="CV939" s="2">
        <f t="shared" ref="CV939:CV945" si="1212">IFERROR((CS939-CR939)/ABS(CR939),"")</f>
        <v>-0.31520659424822139</v>
      </c>
      <c r="CW939" s="1" t="s">
        <v>347</v>
      </c>
      <c r="CX939" s="264" t="str">
        <f t="shared" ref="CX939:CX945" si="1213">IF(OR($CW939="prd",$CW939="std",$CW939="cit"),"loc",IF(OR($CW939="eur",$CW939="reg",$CW939="coy"),"reg",$CW939))</f>
        <v>loc</v>
      </c>
      <c r="CY939" t="s">
        <v>264</v>
      </c>
      <c r="CZ939">
        <v>2019</v>
      </c>
      <c r="DA939" s="143">
        <v>2080</v>
      </c>
      <c r="DB939" s="143">
        <f t="shared" ref="DB939:DB944" si="1214">DA939-CZ939</f>
        <v>61</v>
      </c>
      <c r="DC939" t="str">
        <f t="shared" ref="DC939:DC945" si="1215">IF(DB939=0,"0",IF(AND(DB939&gt;=1,DB939&lt;=30),"1-30",IF(AND(DB939&gt;30,DB939&lt;=70),"31-70",IF(AND(DB939&gt;70,DB939&lt;=100),"71-100",IF(DB939&gt;100,"+100")))))</f>
        <v>31-70</v>
      </c>
      <c r="DD939">
        <v>0</v>
      </c>
      <c r="DE939">
        <v>0</v>
      </c>
      <c r="DF939">
        <v>0</v>
      </c>
      <c r="DG939">
        <v>1</v>
      </c>
      <c r="DI939">
        <f t="shared" ref="DI939:DI945" si="1216">SUM(DD939:DG939)</f>
        <v>1</v>
      </c>
      <c r="DJ939" t="str">
        <f t="shared" ref="DJ939:DJ945" si="1217">IF(DI939=1,INDEX($DD$7:$DG$7,MATCH(1,$DD939:$DG939,0)),"mixedProduct")</f>
        <v>TimberInput</v>
      </c>
      <c r="DK939">
        <f t="shared" ref="DK939:DN945" si="1218">IF(DD939=1,DK$7,0)</f>
        <v>0</v>
      </c>
      <c r="DL939">
        <f t="shared" si="1218"/>
        <v>0</v>
      </c>
      <c r="DM939">
        <f t="shared" si="1218"/>
        <v>0</v>
      </c>
      <c r="DN939" t="str">
        <f t="shared" si="1218"/>
        <v>Timber</v>
      </c>
      <c r="DO939">
        <v>0</v>
      </c>
      <c r="DP939" s="143">
        <v>0</v>
      </c>
      <c r="DQ939" s="143">
        <v>0</v>
      </c>
      <c r="DR939">
        <v>0</v>
      </c>
      <c r="DS939" s="143">
        <v>0</v>
      </c>
      <c r="DT939">
        <f t="shared" ref="DT939:DT945" si="1219">SUM(DO939:DP939)</f>
        <v>0</v>
      </c>
      <c r="DU939" s="143" t="str">
        <f t="shared" ref="DU939:DU945" si="1220">IF(DO939=1,"self-calculated DF",IF(DP939=1,"external DF used","explicit C balance"))</f>
        <v>explicit C balance</v>
      </c>
      <c r="DV939" s="143">
        <v>0</v>
      </c>
      <c r="DW939" s="143">
        <v>0</v>
      </c>
      <c r="DX939" s="143">
        <v>0</v>
      </c>
      <c r="DY939" s="143">
        <v>1</v>
      </c>
      <c r="DZ939">
        <v>0</v>
      </c>
      <c r="EA939" s="143">
        <v>0</v>
      </c>
      <c r="EB939" s="143">
        <v>1</v>
      </c>
      <c r="EC939" s="143">
        <v>1</v>
      </c>
      <c r="ED939" s="143">
        <v>1</v>
      </c>
      <c r="EE939">
        <v>0</v>
      </c>
      <c r="EF939">
        <v>0</v>
      </c>
      <c r="EG939" s="143">
        <v>0</v>
      </c>
      <c r="EH939">
        <v>0</v>
      </c>
      <c r="EI939" s="2">
        <v>0</v>
      </c>
      <c r="EK939" t="str">
        <f t="shared" ref="EK939:EK945" si="1221">IF(AND(AND(AND(OR($DX939=1,$DW939=1),OR($EC939=1,$EA939=1)),SUM($DV939:$DZ939,$EF939)&gt;=4),SUM($EA939:$EE939)&gt;=2),"Whole sector","")</f>
        <v/>
      </c>
      <c r="EL939" t="str">
        <f t="shared" ref="EL939:EL945" si="1222">IF(AND(AND(OR($DX939=1,$DW939=1),AND($EC939=0,$EA939=0)),SUM($DV939:$DZ939,$EF939)&gt;=4),"Ecosystem approach","")</f>
        <v/>
      </c>
      <c r="EM939" s="2" t="str">
        <f t="shared" si="1100"/>
        <v>Technology approach</v>
      </c>
      <c r="EP939" t="str">
        <f>IF(ISNUMBER(BU939),IF(ABS(BU939-[4]QC_indicators!$B$2)&gt;3*[4]QC_indicators!$C$2,"C ratio",IF(ISNUMBER(BY939),IF(ABS(BY939-[4]QC_indicators!$B$1)&gt;3*[4]QC_indicators!$C$1,"DF","no"))),IF(ISNUMBER(BY939),IF(ABS(BY939-[4]QC_indicators!$B$1)&gt;3*[4]QC_indicators!$C$1,"DF","no")))</f>
        <v>no</v>
      </c>
      <c r="ER939" s="294" t="s">
        <v>349</v>
      </c>
      <c r="ET939" s="305" t="s">
        <v>3417</v>
      </c>
    </row>
    <row r="940" spans="1:150" ht="15" customHeight="1">
      <c r="A940" s="1" t="s">
        <v>878</v>
      </c>
      <c r="D940" s="264" t="s">
        <v>879</v>
      </c>
      <c r="E940" s="264" t="s">
        <v>880</v>
      </c>
      <c r="H940" t="s">
        <v>881</v>
      </c>
      <c r="I940">
        <v>2020</v>
      </c>
      <c r="J940">
        <v>8</v>
      </c>
      <c r="K940" t="s">
        <v>882</v>
      </c>
      <c r="M940" t="str">
        <f t="shared" si="1132"/>
        <v>Lausselet_2020</v>
      </c>
      <c r="N940" t="s">
        <v>222</v>
      </c>
      <c r="O940" s="145" t="s">
        <v>225</v>
      </c>
      <c r="Q940" s="264" t="s">
        <v>256</v>
      </c>
      <c r="R940" s="269" t="s">
        <v>341</v>
      </c>
      <c r="S940" s="1" t="s">
        <v>892</v>
      </c>
      <c r="T940" t="s">
        <v>885</v>
      </c>
      <c r="U940" s="143" t="s">
        <v>893</v>
      </c>
      <c r="V940">
        <v>0</v>
      </c>
      <c r="W940">
        <v>0</v>
      </c>
      <c r="X940">
        <v>0</v>
      </c>
      <c r="Y940">
        <v>0</v>
      </c>
      <c r="Z940">
        <v>0</v>
      </c>
      <c r="AA940">
        <v>0</v>
      </c>
      <c r="AB940">
        <v>0</v>
      </c>
      <c r="AC940">
        <v>0</v>
      </c>
      <c r="AD940">
        <v>0</v>
      </c>
      <c r="AE940">
        <v>0</v>
      </c>
      <c r="AF940">
        <v>0</v>
      </c>
      <c r="AG940">
        <v>0</v>
      </c>
      <c r="AH940">
        <v>0</v>
      </c>
      <c r="AI940">
        <v>1</v>
      </c>
      <c r="AJ940">
        <v>0</v>
      </c>
      <c r="AK940">
        <v>0</v>
      </c>
      <c r="AL940">
        <v>0</v>
      </c>
      <c r="AM940">
        <v>0</v>
      </c>
      <c r="AN940">
        <v>0</v>
      </c>
      <c r="AO940">
        <v>0</v>
      </c>
      <c r="AP940">
        <v>0</v>
      </c>
      <c r="AQ940">
        <v>0</v>
      </c>
      <c r="AR940">
        <v>0</v>
      </c>
      <c r="AS940">
        <v>0</v>
      </c>
      <c r="AT940">
        <v>0</v>
      </c>
      <c r="AU940">
        <v>0</v>
      </c>
      <c r="AV940">
        <v>0</v>
      </c>
      <c r="AW940">
        <v>0</v>
      </c>
      <c r="AX940" s="141">
        <f t="shared" si="1196"/>
        <v>1</v>
      </c>
      <c r="AY940" s="141">
        <f t="shared" si="1197"/>
        <v>1</v>
      </c>
      <c r="AZ940">
        <f t="shared" si="1198"/>
        <v>0</v>
      </c>
      <c r="BA940">
        <f t="shared" si="1199"/>
        <v>1</v>
      </c>
      <c r="BB940">
        <f t="shared" si="1200"/>
        <v>0</v>
      </c>
      <c r="BC940">
        <f t="shared" si="1201"/>
        <v>0</v>
      </c>
      <c r="BD940">
        <f t="shared" si="1202"/>
        <v>0</v>
      </c>
      <c r="BE940" t="str" cm="1">
        <f t="array" ref="BE940">IF(AY940=1,INDEX($V$7:$AL$7,MATCH(TRUE,INDEX($V940:$AW940&lt;&gt;0,),0)),IF(AY940=0,INDEX($AM$7:$AW$7,MATCH(1,$AM940:$AW940,0)),IF(BF940="Multiple strategies","mixed drivers",IF(BF940="Supply chain","multiple supply","multiple silviculture"))))</f>
        <v>products lifespan</v>
      </c>
      <c r="BF940" s="2" t="str" cm="1">
        <f t="array" ref="BF940">IF(COUNTIF(AZ940:BB940,"&lt;&gt;0")=1,INDEX($V$4:$AW$4,MATCH(TRUE,INDEX($V940:$AW940&lt;&gt;0,),0)),IF(COUNTIF(AZ940:BB940,"&lt;&gt;0")=0,INDEX($AM$4:$AW$4,MATCH(1,$AM940:$AW940,0)),"Multiple strategies"))</f>
        <v>Supply chain</v>
      </c>
      <c r="BG940" s="164" t="s">
        <v>229</v>
      </c>
      <c r="BH940" s="165" t="s">
        <v>3415</v>
      </c>
      <c r="BI940" s="165" t="s">
        <v>3414</v>
      </c>
      <c r="BJ940" s="166" t="s">
        <v>345</v>
      </c>
      <c r="BK940" s="167"/>
      <c r="BL940" s="167"/>
      <c r="BM940" s="168" t="s">
        <v>886</v>
      </c>
      <c r="BN940">
        <f t="shared" si="1203"/>
        <v>0</v>
      </c>
      <c r="BO940">
        <f t="shared" si="1204"/>
        <v>0</v>
      </c>
      <c r="BP940" s="305" t="s">
        <v>395</v>
      </c>
      <c r="BQ940" s="264" t="s">
        <v>887</v>
      </c>
      <c r="BR940" s="264" t="s">
        <v>888</v>
      </c>
      <c r="BS940" s="169">
        <v>81960007.070510104</v>
      </c>
      <c r="BT940" s="170">
        <v>75925100</v>
      </c>
      <c r="BU940" s="144">
        <v>0.93</v>
      </c>
      <c r="BV940">
        <f t="shared" si="1205"/>
        <v>-6034907.0705101043</v>
      </c>
      <c r="BX940">
        <f t="shared" si="1206"/>
        <v>-6034.9070705101039</v>
      </c>
      <c r="BY940" t="str">
        <f t="shared" si="1195"/>
        <v/>
      </c>
      <c r="BZ940">
        <v>0</v>
      </c>
      <c r="CA940">
        <v>0</v>
      </c>
      <c r="CB940">
        <v>0</v>
      </c>
      <c r="CC940">
        <v>0</v>
      </c>
      <c r="CD940">
        <v>0</v>
      </c>
      <c r="CE940">
        <v>0</v>
      </c>
      <c r="CF940">
        <v>0</v>
      </c>
      <c r="CG940">
        <v>0</v>
      </c>
      <c r="CH940">
        <v>0</v>
      </c>
      <c r="CI940">
        <v>0</v>
      </c>
      <c r="CJ940">
        <v>0</v>
      </c>
      <c r="CK940">
        <v>0</v>
      </c>
      <c r="CL940">
        <v>0</v>
      </c>
      <c r="CM940">
        <v>0</v>
      </c>
      <c r="CN940" t="str">
        <f>IF(BL940&lt;BK940,"refNeedCorrection","refOK")</f>
        <v>refOK</v>
      </c>
      <c r="CO940"/>
      <c r="CP940"/>
      <c r="CQ940">
        <f t="shared" si="1207"/>
        <v>0</v>
      </c>
      <c r="CR940">
        <f t="shared" si="1208"/>
        <v>-81960007.070510104</v>
      </c>
      <c r="CS940">
        <f t="shared" si="1209"/>
        <v>-75925100</v>
      </c>
      <c r="CT940">
        <f t="shared" si="1210"/>
        <v>6034.9070705101039</v>
      </c>
      <c r="CU940" t="str">
        <f t="shared" si="1211"/>
        <v/>
      </c>
      <c r="CV940" s="2">
        <f t="shared" si="1212"/>
        <v>7.3632339554562026E-2</v>
      </c>
      <c r="CW940" s="1" t="s">
        <v>347</v>
      </c>
      <c r="CX940" s="264" t="str">
        <f t="shared" si="1213"/>
        <v>loc</v>
      </c>
      <c r="CY940" t="s">
        <v>264</v>
      </c>
      <c r="CZ940">
        <v>2019</v>
      </c>
      <c r="DA940" s="143">
        <v>2080</v>
      </c>
      <c r="DB940" s="143">
        <f t="shared" si="1214"/>
        <v>61</v>
      </c>
      <c r="DC940" t="str">
        <f t="shared" si="1215"/>
        <v>31-70</v>
      </c>
      <c r="DD940">
        <v>0</v>
      </c>
      <c r="DE940">
        <v>0</v>
      </c>
      <c r="DF940">
        <v>0</v>
      </c>
      <c r="DG940">
        <v>1</v>
      </c>
      <c r="DI940">
        <f t="shared" si="1216"/>
        <v>1</v>
      </c>
      <c r="DJ940" t="str">
        <f t="shared" si="1217"/>
        <v>TimberInput</v>
      </c>
      <c r="DK940">
        <f t="shared" si="1218"/>
        <v>0</v>
      </c>
      <c r="DL940">
        <f t="shared" si="1218"/>
        <v>0</v>
      </c>
      <c r="DM940">
        <f t="shared" si="1218"/>
        <v>0</v>
      </c>
      <c r="DN940" t="str">
        <f t="shared" si="1218"/>
        <v>Timber</v>
      </c>
      <c r="DO940">
        <v>0</v>
      </c>
      <c r="DP940" s="143">
        <v>0</v>
      </c>
      <c r="DQ940" s="143">
        <v>0</v>
      </c>
      <c r="DR940">
        <v>0</v>
      </c>
      <c r="DS940" s="143">
        <v>0</v>
      </c>
      <c r="DT940">
        <f t="shared" si="1219"/>
        <v>0</v>
      </c>
      <c r="DU940" s="143" t="str">
        <f t="shared" si="1220"/>
        <v>explicit C balance</v>
      </c>
      <c r="DV940" s="143">
        <v>0</v>
      </c>
      <c r="DW940" s="143">
        <v>0</v>
      </c>
      <c r="DX940" s="143">
        <v>0</v>
      </c>
      <c r="DY940" s="143">
        <v>1</v>
      </c>
      <c r="DZ940">
        <v>0</v>
      </c>
      <c r="EA940" s="143">
        <v>0</v>
      </c>
      <c r="EB940" s="143">
        <v>1</v>
      </c>
      <c r="EC940" s="143">
        <v>1</v>
      </c>
      <c r="ED940" s="143">
        <v>1</v>
      </c>
      <c r="EE940">
        <v>0</v>
      </c>
      <c r="EF940">
        <v>0</v>
      </c>
      <c r="EG940" s="143">
        <v>0</v>
      </c>
      <c r="EH940">
        <v>0</v>
      </c>
      <c r="EI940" s="2">
        <v>0</v>
      </c>
      <c r="EK940" t="str">
        <f t="shared" si="1221"/>
        <v/>
      </c>
      <c r="EL940" t="str">
        <f t="shared" si="1222"/>
        <v/>
      </c>
      <c r="EM940" s="2" t="str">
        <f t="shared" ref="EM940:EM1003" si="1223">IF(AND(AND(AND($DX940=0,$DW940=0),OR($EC940=1,$EA940=1)),SUM($EB940:$EE940)&gt;=2),"Technology approach","")</f>
        <v>Technology approach</v>
      </c>
      <c r="EP940" t="b">
        <f>IF(ISNUMBER(BU940),IF(ABS(BU940-[4]QC_indicators!$B$2)&gt;3*[4]QC_indicators!$C$2,"C ratio",IF(ISNUMBER(BY940),IF(ABS(BY940-[4]QC_indicators!$B$1)&gt;3*[4]QC_indicators!$C$1,"DF","no"))),IF(ISNUMBER(BY940),IF(ABS(BY940-[4]QC_indicators!$B$1)&gt;3*[4]QC_indicators!$C$1,"DF","no")))</f>
        <v>0</v>
      </c>
      <c r="ER940" s="294" t="s">
        <v>349</v>
      </c>
      <c r="ET940" s="305" t="s">
        <v>3418</v>
      </c>
    </row>
    <row r="941" spans="1:150" ht="15" customHeight="1">
      <c r="A941" s="1" t="s">
        <v>878</v>
      </c>
      <c r="D941" s="264" t="s">
        <v>879</v>
      </c>
      <c r="E941" s="264" t="s">
        <v>880</v>
      </c>
      <c r="H941" t="s">
        <v>881</v>
      </c>
      <c r="I941">
        <v>2020</v>
      </c>
      <c r="J941">
        <v>8</v>
      </c>
      <c r="K941" t="s">
        <v>882</v>
      </c>
      <c r="M941" t="str">
        <f t="shared" si="1132"/>
        <v>Lausselet_2020</v>
      </c>
      <c r="N941" t="s">
        <v>222</v>
      </c>
      <c r="O941" s="145" t="s">
        <v>225</v>
      </c>
      <c r="Q941" s="264" t="s">
        <v>256</v>
      </c>
      <c r="R941" s="269" t="s">
        <v>341</v>
      </c>
      <c r="S941" s="1" t="s">
        <v>892</v>
      </c>
      <c r="T941" t="s">
        <v>885</v>
      </c>
      <c r="U941" s="143" t="s">
        <v>894</v>
      </c>
      <c r="V941">
        <v>0</v>
      </c>
      <c r="W941">
        <v>0</v>
      </c>
      <c r="X941">
        <v>0</v>
      </c>
      <c r="Y941">
        <v>0</v>
      </c>
      <c r="Z941">
        <v>0</v>
      </c>
      <c r="AA941">
        <v>0</v>
      </c>
      <c r="AB941">
        <v>0</v>
      </c>
      <c r="AC941">
        <v>0</v>
      </c>
      <c r="AD941">
        <v>0</v>
      </c>
      <c r="AE941">
        <v>0</v>
      </c>
      <c r="AF941">
        <v>0</v>
      </c>
      <c r="AG941">
        <v>0</v>
      </c>
      <c r="AH941">
        <v>0</v>
      </c>
      <c r="AI941">
        <v>1</v>
      </c>
      <c r="AJ941">
        <v>0</v>
      </c>
      <c r="AK941">
        <v>0</v>
      </c>
      <c r="AL941">
        <v>0</v>
      </c>
      <c r="AM941">
        <v>0</v>
      </c>
      <c r="AN941">
        <v>0</v>
      </c>
      <c r="AO941">
        <v>0</v>
      </c>
      <c r="AP941">
        <v>0</v>
      </c>
      <c r="AQ941">
        <v>0</v>
      </c>
      <c r="AR941">
        <v>0</v>
      </c>
      <c r="AS941">
        <v>0</v>
      </c>
      <c r="AT941">
        <v>0</v>
      </c>
      <c r="AU941">
        <v>0</v>
      </c>
      <c r="AV941">
        <v>0</v>
      </c>
      <c r="AW941">
        <v>0</v>
      </c>
      <c r="AX941" s="141">
        <f t="shared" si="1196"/>
        <v>1</v>
      </c>
      <c r="AY941" s="141">
        <f t="shared" si="1197"/>
        <v>1</v>
      </c>
      <c r="AZ941">
        <f t="shared" si="1198"/>
        <v>0</v>
      </c>
      <c r="BA941">
        <f t="shared" si="1199"/>
        <v>1</v>
      </c>
      <c r="BB941">
        <f t="shared" si="1200"/>
        <v>0</v>
      </c>
      <c r="BC941">
        <f t="shared" si="1201"/>
        <v>0</v>
      </c>
      <c r="BD941">
        <f t="shared" si="1202"/>
        <v>0</v>
      </c>
      <c r="BE941" t="str" cm="1">
        <f t="array" ref="BE941">IF(AY941=1,INDEX($V$7:$AL$7,MATCH(TRUE,INDEX($V941:$AW941&lt;&gt;0,),0)),IF(AY941=0,INDEX($AM$7:$AW$7,MATCH(1,$AM941:$AW941,0)),IF(BF941="Multiple strategies","mixed drivers",IF(BF941="Supply chain","multiple supply","multiple silviculture"))))</f>
        <v>products lifespan</v>
      </c>
      <c r="BF941" s="2" t="str" cm="1">
        <f t="array" ref="BF941">IF(COUNTIF(AZ941:BB941,"&lt;&gt;0")=1,INDEX($V$4:$AW$4,MATCH(TRUE,INDEX($V941:$AW941&lt;&gt;0,),0)),IF(COUNTIF(AZ941:BB941,"&lt;&gt;0")=0,INDEX($AM$4:$AW$4,MATCH(1,$AM941:$AW941,0)),"Multiple strategies"))</f>
        <v>Supply chain</v>
      </c>
      <c r="BG941" s="164" t="s">
        <v>229</v>
      </c>
      <c r="BH941" s="165" t="s">
        <v>3415</v>
      </c>
      <c r="BI941" s="165" t="s">
        <v>3414</v>
      </c>
      <c r="BJ941" s="166" t="s">
        <v>345</v>
      </c>
      <c r="BK941" s="167"/>
      <c r="BL941" s="167"/>
      <c r="BM941" s="168" t="s">
        <v>886</v>
      </c>
      <c r="BN941">
        <f t="shared" si="1203"/>
        <v>0</v>
      </c>
      <c r="BO941">
        <f t="shared" si="1204"/>
        <v>0</v>
      </c>
      <c r="BP941" s="305" t="s">
        <v>395</v>
      </c>
      <c r="BQ941" s="264" t="s">
        <v>887</v>
      </c>
      <c r="BR941" s="264" t="s">
        <v>888</v>
      </c>
      <c r="BS941" s="169">
        <v>81960007.070510104</v>
      </c>
      <c r="BT941" s="169">
        <v>72552900</v>
      </c>
      <c r="BU941" s="144">
        <v>0.89</v>
      </c>
      <c r="BV941">
        <f t="shared" si="1205"/>
        <v>-9407107.0705101043</v>
      </c>
      <c r="BX941">
        <f t="shared" si="1206"/>
        <v>-9407.1070705101047</v>
      </c>
      <c r="BY941" t="str">
        <f t="shared" si="1195"/>
        <v/>
      </c>
      <c r="BZ941">
        <v>0</v>
      </c>
      <c r="CA941">
        <v>0</v>
      </c>
      <c r="CB941">
        <v>0</v>
      </c>
      <c r="CC941">
        <v>0</v>
      </c>
      <c r="CD941">
        <v>0</v>
      </c>
      <c r="CE941">
        <v>0</v>
      </c>
      <c r="CF941">
        <v>0</v>
      </c>
      <c r="CG941">
        <v>0</v>
      </c>
      <c r="CH941">
        <v>0</v>
      </c>
      <c r="CI941">
        <v>0</v>
      </c>
      <c r="CJ941">
        <v>0</v>
      </c>
      <c r="CK941">
        <v>0</v>
      </c>
      <c r="CL941">
        <v>0</v>
      </c>
      <c r="CM941">
        <v>0</v>
      </c>
      <c r="CN941" t="str">
        <f>IF(BL941&lt;BK941,"refNeedCorrection","refOK")</f>
        <v>refOK</v>
      </c>
      <c r="CO941"/>
      <c r="CP941"/>
      <c r="CQ941">
        <f t="shared" si="1207"/>
        <v>0</v>
      </c>
      <c r="CR941">
        <f t="shared" si="1208"/>
        <v>-81960007.070510104</v>
      </c>
      <c r="CS941">
        <f t="shared" si="1209"/>
        <v>-72552900</v>
      </c>
      <c r="CT941">
        <f t="shared" si="1210"/>
        <v>9407.1070705101047</v>
      </c>
      <c r="CU941" t="str">
        <f t="shared" si="1211"/>
        <v/>
      </c>
      <c r="CV941" s="2">
        <f t="shared" si="1212"/>
        <v>0.11477679671766232</v>
      </c>
      <c r="CW941" s="1" t="s">
        <v>347</v>
      </c>
      <c r="CX941" s="264" t="str">
        <f t="shared" si="1213"/>
        <v>loc</v>
      </c>
      <c r="CY941" t="s">
        <v>264</v>
      </c>
      <c r="CZ941">
        <v>2019</v>
      </c>
      <c r="DA941" s="143">
        <v>2080</v>
      </c>
      <c r="DB941" s="143">
        <f t="shared" si="1214"/>
        <v>61</v>
      </c>
      <c r="DC941" t="str">
        <f t="shared" si="1215"/>
        <v>31-70</v>
      </c>
      <c r="DD941">
        <v>0</v>
      </c>
      <c r="DE941">
        <v>0</v>
      </c>
      <c r="DF941">
        <v>0</v>
      </c>
      <c r="DG941">
        <v>1</v>
      </c>
      <c r="DI941">
        <f t="shared" si="1216"/>
        <v>1</v>
      </c>
      <c r="DJ941" t="str">
        <f t="shared" si="1217"/>
        <v>TimberInput</v>
      </c>
      <c r="DK941">
        <f t="shared" si="1218"/>
        <v>0</v>
      </c>
      <c r="DL941">
        <f t="shared" si="1218"/>
        <v>0</v>
      </c>
      <c r="DM941">
        <f t="shared" si="1218"/>
        <v>0</v>
      </c>
      <c r="DN941" t="str">
        <f t="shared" si="1218"/>
        <v>Timber</v>
      </c>
      <c r="DO941">
        <v>0</v>
      </c>
      <c r="DP941" s="143">
        <v>0</v>
      </c>
      <c r="DQ941" s="143">
        <v>0</v>
      </c>
      <c r="DR941">
        <v>0</v>
      </c>
      <c r="DS941" s="143">
        <v>0</v>
      </c>
      <c r="DT941">
        <f t="shared" si="1219"/>
        <v>0</v>
      </c>
      <c r="DU941" s="143" t="str">
        <f t="shared" si="1220"/>
        <v>explicit C balance</v>
      </c>
      <c r="DV941" s="143">
        <v>0</v>
      </c>
      <c r="DW941" s="143">
        <v>0</v>
      </c>
      <c r="DX941" s="143">
        <v>0</v>
      </c>
      <c r="DY941" s="143">
        <v>1</v>
      </c>
      <c r="DZ941">
        <v>0</v>
      </c>
      <c r="EA941" s="143">
        <v>0</v>
      </c>
      <c r="EB941" s="143">
        <v>1</v>
      </c>
      <c r="EC941" s="143">
        <v>1</v>
      </c>
      <c r="ED941" s="143">
        <v>1</v>
      </c>
      <c r="EE941">
        <v>0</v>
      </c>
      <c r="EF941">
        <v>0</v>
      </c>
      <c r="EG941" s="143">
        <v>0</v>
      </c>
      <c r="EH941">
        <v>0</v>
      </c>
      <c r="EI941" s="2">
        <v>0</v>
      </c>
      <c r="EK941" t="str">
        <f t="shared" si="1221"/>
        <v/>
      </c>
      <c r="EL941" t="str">
        <f t="shared" si="1222"/>
        <v/>
      </c>
      <c r="EM941" s="2" t="str">
        <f t="shared" si="1223"/>
        <v>Technology approach</v>
      </c>
      <c r="EP941" t="b">
        <f>IF(ISNUMBER(BU941),IF(ABS(BU941-[4]QC_indicators!$B$2)&gt;3*[4]QC_indicators!$C$2,"C ratio",IF(ISNUMBER(BY941),IF(ABS(BY941-[4]QC_indicators!$B$1)&gt;3*[4]QC_indicators!$C$1,"DF","no"))),IF(ISNUMBER(BY941),IF(ABS(BY941-[4]QC_indicators!$B$1)&gt;3*[4]QC_indicators!$C$1,"DF","no")))</f>
        <v>0</v>
      </c>
      <c r="ER941" s="294" t="s">
        <v>349</v>
      </c>
      <c r="ET941" s="305" t="s">
        <v>3418</v>
      </c>
    </row>
    <row r="942" spans="1:150" ht="15" customHeight="1">
      <c r="A942" s="1" t="s">
        <v>878</v>
      </c>
      <c r="D942" s="264" t="s">
        <v>879</v>
      </c>
      <c r="E942" s="264" t="s">
        <v>880</v>
      </c>
      <c r="H942" t="s">
        <v>881</v>
      </c>
      <c r="I942">
        <v>2020</v>
      </c>
      <c r="J942">
        <v>8</v>
      </c>
      <c r="K942" t="s">
        <v>882</v>
      </c>
      <c r="M942" t="str">
        <f t="shared" si="1132"/>
        <v>Lausselet_2020</v>
      </c>
      <c r="N942" t="s">
        <v>222</v>
      </c>
      <c r="O942" s="145" t="s">
        <v>225</v>
      </c>
      <c r="Q942" s="264" t="s">
        <v>256</v>
      </c>
      <c r="R942" s="269" t="s">
        <v>341</v>
      </c>
      <c r="S942" s="1" t="s">
        <v>892</v>
      </c>
      <c r="T942" t="s">
        <v>885</v>
      </c>
      <c r="U942" s="143" t="s">
        <v>895</v>
      </c>
      <c r="V942">
        <v>0</v>
      </c>
      <c r="W942">
        <v>0</v>
      </c>
      <c r="X942">
        <v>0</v>
      </c>
      <c r="Y942">
        <v>0</v>
      </c>
      <c r="Z942">
        <v>0</v>
      </c>
      <c r="AA942">
        <v>0</v>
      </c>
      <c r="AB942">
        <v>0</v>
      </c>
      <c r="AC942">
        <v>0</v>
      </c>
      <c r="AD942">
        <v>0</v>
      </c>
      <c r="AE942">
        <v>0</v>
      </c>
      <c r="AF942">
        <v>0</v>
      </c>
      <c r="AG942">
        <v>0</v>
      </c>
      <c r="AH942">
        <v>0</v>
      </c>
      <c r="AI942">
        <v>1</v>
      </c>
      <c r="AJ942">
        <v>0</v>
      </c>
      <c r="AK942">
        <v>0</v>
      </c>
      <c r="AL942">
        <v>0</v>
      </c>
      <c r="AM942">
        <v>0</v>
      </c>
      <c r="AN942">
        <v>0</v>
      </c>
      <c r="AO942">
        <v>0</v>
      </c>
      <c r="AP942">
        <v>0</v>
      </c>
      <c r="AQ942">
        <v>0</v>
      </c>
      <c r="AR942">
        <v>0</v>
      </c>
      <c r="AS942">
        <v>0</v>
      </c>
      <c r="AT942">
        <v>0</v>
      </c>
      <c r="AU942">
        <v>0</v>
      </c>
      <c r="AV942">
        <v>0</v>
      </c>
      <c r="AW942">
        <v>0</v>
      </c>
      <c r="AX942" s="141">
        <f t="shared" si="1196"/>
        <v>1</v>
      </c>
      <c r="AY942" s="141">
        <f t="shared" si="1197"/>
        <v>1</v>
      </c>
      <c r="AZ942">
        <f t="shared" si="1198"/>
        <v>0</v>
      </c>
      <c r="BA942">
        <f t="shared" si="1199"/>
        <v>1</v>
      </c>
      <c r="BB942">
        <f t="shared" si="1200"/>
        <v>0</v>
      </c>
      <c r="BC942">
        <f t="shared" si="1201"/>
        <v>0</v>
      </c>
      <c r="BD942">
        <f t="shared" si="1202"/>
        <v>0</v>
      </c>
      <c r="BE942" t="str" cm="1">
        <f t="array" ref="BE942">IF(AY942=1,INDEX($V$7:$AL$7,MATCH(TRUE,INDEX($V942:$AW942&lt;&gt;0,),0)),IF(AY942=0,INDEX($AM$7:$AW$7,MATCH(1,$AM942:$AW942,0)),IF(BF942="Multiple strategies","mixed drivers",IF(BF942="Supply chain","multiple supply","multiple silviculture"))))</f>
        <v>products lifespan</v>
      </c>
      <c r="BF942" s="2" t="str" cm="1">
        <f t="array" ref="BF942">IF(COUNTIF(AZ942:BB942,"&lt;&gt;0")=1,INDEX($V$4:$AW$4,MATCH(TRUE,INDEX($V942:$AW942&lt;&gt;0,),0)),IF(COUNTIF(AZ942:BB942,"&lt;&gt;0")=0,INDEX($AM$4:$AW$4,MATCH(1,$AM942:$AW942,0)),"Multiple strategies"))</f>
        <v>Supply chain</v>
      </c>
      <c r="BG942" s="164" t="s">
        <v>229</v>
      </c>
      <c r="BH942" s="165" t="s">
        <v>3415</v>
      </c>
      <c r="BI942" s="165" t="s">
        <v>3414</v>
      </c>
      <c r="BJ942" s="166" t="s">
        <v>345</v>
      </c>
      <c r="BK942" s="167"/>
      <c r="BL942" s="167"/>
      <c r="BM942" s="168" t="s">
        <v>886</v>
      </c>
      <c r="BN942">
        <f t="shared" si="1203"/>
        <v>0</v>
      </c>
      <c r="BO942">
        <f t="shared" si="1204"/>
        <v>0</v>
      </c>
      <c r="BP942" s="305" t="s">
        <v>395</v>
      </c>
      <c r="BQ942" s="264" t="s">
        <v>887</v>
      </c>
      <c r="BR942" s="264" t="s">
        <v>888</v>
      </c>
      <c r="BS942" s="169">
        <v>81960007.070510104</v>
      </c>
      <c r="BT942" s="169">
        <v>97621800</v>
      </c>
      <c r="BU942" s="144">
        <v>1.19</v>
      </c>
      <c r="BV942">
        <f t="shared" si="1205"/>
        <v>15661792.929489896</v>
      </c>
      <c r="BX942">
        <f t="shared" si="1206"/>
        <v>15661.792929489895</v>
      </c>
      <c r="BY942" t="str">
        <f t="shared" si="1195"/>
        <v/>
      </c>
      <c r="BZ942">
        <v>0</v>
      </c>
      <c r="CA942">
        <v>0</v>
      </c>
      <c r="CB942">
        <v>0</v>
      </c>
      <c r="CC942">
        <v>0</v>
      </c>
      <c r="CD942">
        <v>0</v>
      </c>
      <c r="CE942">
        <v>0</v>
      </c>
      <c r="CF942">
        <v>0</v>
      </c>
      <c r="CG942">
        <v>0</v>
      </c>
      <c r="CH942">
        <v>0</v>
      </c>
      <c r="CI942">
        <v>0</v>
      </c>
      <c r="CJ942">
        <v>0</v>
      </c>
      <c r="CK942">
        <v>0</v>
      </c>
      <c r="CL942">
        <v>0</v>
      </c>
      <c r="CM942">
        <v>0</v>
      </c>
      <c r="CN942" t="str">
        <f>IF(BL942&lt;BK942,"refNeedCorrection","refOK")</f>
        <v>refOK</v>
      </c>
      <c r="CO942"/>
      <c r="CP942"/>
      <c r="CQ942">
        <f t="shared" si="1207"/>
        <v>0</v>
      </c>
      <c r="CR942">
        <f t="shared" si="1208"/>
        <v>-81960007.070510104</v>
      </c>
      <c r="CS942">
        <f t="shared" si="1209"/>
        <v>-97621800</v>
      </c>
      <c r="CT942">
        <f t="shared" si="1210"/>
        <v>-15661.792929489895</v>
      </c>
      <c r="CU942" t="str">
        <f t="shared" si="1211"/>
        <v/>
      </c>
      <c r="CV942" s="2">
        <f t="shared" si="1212"/>
        <v>-0.1910906732354973</v>
      </c>
      <c r="CW942" s="1" t="s">
        <v>347</v>
      </c>
      <c r="CX942" s="264" t="str">
        <f t="shared" si="1213"/>
        <v>loc</v>
      </c>
      <c r="CY942" t="s">
        <v>264</v>
      </c>
      <c r="CZ942">
        <v>2019</v>
      </c>
      <c r="DA942" s="143">
        <v>2080</v>
      </c>
      <c r="DB942" s="143">
        <f t="shared" si="1214"/>
        <v>61</v>
      </c>
      <c r="DC942" t="str">
        <f t="shared" si="1215"/>
        <v>31-70</v>
      </c>
      <c r="DD942">
        <v>0</v>
      </c>
      <c r="DE942">
        <v>0</v>
      </c>
      <c r="DF942">
        <v>0</v>
      </c>
      <c r="DG942">
        <v>1</v>
      </c>
      <c r="DI942">
        <f t="shared" si="1216"/>
        <v>1</v>
      </c>
      <c r="DJ942" t="str">
        <f t="shared" si="1217"/>
        <v>TimberInput</v>
      </c>
      <c r="DK942">
        <f t="shared" si="1218"/>
        <v>0</v>
      </c>
      <c r="DL942">
        <f t="shared" si="1218"/>
        <v>0</v>
      </c>
      <c r="DM942">
        <f t="shared" si="1218"/>
        <v>0</v>
      </c>
      <c r="DN942" t="str">
        <f t="shared" si="1218"/>
        <v>Timber</v>
      </c>
      <c r="DO942">
        <v>0</v>
      </c>
      <c r="DP942" s="143">
        <v>0</v>
      </c>
      <c r="DQ942" s="143">
        <v>0</v>
      </c>
      <c r="DR942">
        <v>0</v>
      </c>
      <c r="DS942" s="143">
        <v>0</v>
      </c>
      <c r="DT942">
        <f t="shared" si="1219"/>
        <v>0</v>
      </c>
      <c r="DU942" s="143" t="str">
        <f t="shared" si="1220"/>
        <v>explicit C balance</v>
      </c>
      <c r="DV942" s="143">
        <v>0</v>
      </c>
      <c r="DW942" s="143">
        <v>0</v>
      </c>
      <c r="DX942" s="143">
        <v>0</v>
      </c>
      <c r="DY942" s="143">
        <v>1</v>
      </c>
      <c r="DZ942">
        <v>0</v>
      </c>
      <c r="EA942" s="143">
        <v>0</v>
      </c>
      <c r="EB942" s="143">
        <v>1</v>
      </c>
      <c r="EC942" s="143">
        <v>1</v>
      </c>
      <c r="ED942" s="143">
        <v>1</v>
      </c>
      <c r="EE942">
        <v>0</v>
      </c>
      <c r="EF942">
        <v>0</v>
      </c>
      <c r="EG942" s="143">
        <v>0</v>
      </c>
      <c r="EH942">
        <v>0</v>
      </c>
      <c r="EI942" s="2">
        <v>0</v>
      </c>
      <c r="EK942" t="str">
        <f t="shared" si="1221"/>
        <v/>
      </c>
      <c r="EL942" t="str">
        <f t="shared" si="1222"/>
        <v/>
      </c>
      <c r="EM942" s="2" t="str">
        <f t="shared" si="1223"/>
        <v>Technology approach</v>
      </c>
      <c r="EP942" t="b">
        <f>IF(ISNUMBER(BU942),IF(ABS(BU942-[4]QC_indicators!$B$2)&gt;3*[4]QC_indicators!$C$2,"C ratio",IF(ISNUMBER(BY942),IF(ABS(BY942-[4]QC_indicators!$B$1)&gt;3*[4]QC_indicators!$C$1,"DF","no"))),IF(ISNUMBER(BY942),IF(ABS(BY942-[4]QC_indicators!$B$1)&gt;3*[4]QC_indicators!$C$1,"DF","no")))</f>
        <v>0</v>
      </c>
      <c r="ER942" s="294" t="s">
        <v>349</v>
      </c>
      <c r="ET942" s="305" t="s">
        <v>3418</v>
      </c>
    </row>
    <row r="943" spans="1:150" ht="15" customHeight="1">
      <c r="A943" s="1" t="s">
        <v>878</v>
      </c>
      <c r="D943" s="264" t="s">
        <v>879</v>
      </c>
      <c r="E943" s="264" t="s">
        <v>880</v>
      </c>
      <c r="H943" t="s">
        <v>881</v>
      </c>
      <c r="I943">
        <v>2020</v>
      </c>
      <c r="J943">
        <v>8</v>
      </c>
      <c r="K943" t="s">
        <v>882</v>
      </c>
      <c r="M943" t="str">
        <f t="shared" si="1132"/>
        <v>Lausselet_2020</v>
      </c>
      <c r="N943" t="s">
        <v>222</v>
      </c>
      <c r="O943" s="145" t="s">
        <v>225</v>
      </c>
      <c r="Q943" s="264" t="s">
        <v>256</v>
      </c>
      <c r="R943" s="269" t="s">
        <v>341</v>
      </c>
      <c r="S943" s="1" t="s">
        <v>889</v>
      </c>
      <c r="T943" t="s">
        <v>885</v>
      </c>
      <c r="U943" s="143" t="s">
        <v>890</v>
      </c>
      <c r="V943">
        <v>0</v>
      </c>
      <c r="W943">
        <v>0</v>
      </c>
      <c r="X943">
        <v>0</v>
      </c>
      <c r="Y943">
        <v>0</v>
      </c>
      <c r="Z943">
        <v>0</v>
      </c>
      <c r="AA943">
        <v>0</v>
      </c>
      <c r="AB943">
        <v>0</v>
      </c>
      <c r="AC943">
        <v>0</v>
      </c>
      <c r="AD943">
        <v>0</v>
      </c>
      <c r="AE943">
        <v>0</v>
      </c>
      <c r="AF943">
        <v>0</v>
      </c>
      <c r="AG943">
        <v>0</v>
      </c>
      <c r="AH943">
        <v>0</v>
      </c>
      <c r="AI943">
        <v>0</v>
      </c>
      <c r="AJ943">
        <v>1</v>
      </c>
      <c r="AK943">
        <v>0</v>
      </c>
      <c r="AL943">
        <v>0</v>
      </c>
      <c r="AM943">
        <v>0</v>
      </c>
      <c r="AN943">
        <v>0</v>
      </c>
      <c r="AO943">
        <v>0</v>
      </c>
      <c r="AP943">
        <v>0</v>
      </c>
      <c r="AQ943">
        <v>0</v>
      </c>
      <c r="AR943">
        <v>0</v>
      </c>
      <c r="AS943">
        <v>0</v>
      </c>
      <c r="AT943">
        <v>0</v>
      </c>
      <c r="AU943">
        <v>0</v>
      </c>
      <c r="AV943">
        <v>0</v>
      </c>
      <c r="AW943">
        <v>0</v>
      </c>
      <c r="AX943" s="141">
        <f t="shared" si="1196"/>
        <v>1</v>
      </c>
      <c r="AY943" s="141">
        <f t="shared" si="1197"/>
        <v>1</v>
      </c>
      <c r="AZ943">
        <f t="shared" si="1198"/>
        <v>0</v>
      </c>
      <c r="BA943">
        <f t="shared" si="1199"/>
        <v>0</v>
      </c>
      <c r="BB943">
        <f t="shared" si="1200"/>
        <v>1</v>
      </c>
      <c r="BC943">
        <f t="shared" si="1201"/>
        <v>0</v>
      </c>
      <c r="BD943">
        <f t="shared" si="1202"/>
        <v>0</v>
      </c>
      <c r="BE943" t="str" cm="1">
        <f t="array" ref="BE943">IF(AY943=1,INDEX($V$7:$AL$7,MATCH(TRUE,INDEX($V943:$AW943&lt;&gt;0,),0)),IF(AY943=0,INDEX($AM$7:$AW$7,MATCH(1,$AM943:$AW943,0)),IF(BF943="Multiple strategies","mixed drivers",IF(BF943="Supply chain","multiple supply","multiple silviculture"))))</f>
        <v>efficiency improvement</v>
      </c>
      <c r="BF943" s="2" t="str" cm="1">
        <f t="array" ref="BF943">IF(COUNTIF(AZ943:BB943,"&lt;&gt;0")=1,INDEX($V$4:$AW$4,MATCH(TRUE,INDEX($V943:$AW943&lt;&gt;0,),0)),IF(COUNTIF(AZ943:BB943,"&lt;&gt;0")=0,INDEX($AM$4:$AW$4,MATCH(1,$AM943:$AW943,0)),"Multiple strategies"))</f>
        <v>Technology</v>
      </c>
      <c r="BG943" s="164" t="s">
        <v>229</v>
      </c>
      <c r="BH943" s="165" t="s">
        <v>3415</v>
      </c>
      <c r="BI943" s="165" t="s">
        <v>3414</v>
      </c>
      <c r="BJ943" s="166" t="s">
        <v>345</v>
      </c>
      <c r="BK943" s="167"/>
      <c r="BL943" s="167"/>
      <c r="BM943" s="168" t="s">
        <v>886</v>
      </c>
      <c r="BN943">
        <f t="shared" si="1203"/>
        <v>0</v>
      </c>
      <c r="BO943">
        <f t="shared" si="1204"/>
        <v>0</v>
      </c>
      <c r="BP943" s="305" t="s">
        <v>395</v>
      </c>
      <c r="BQ943" s="264" t="s">
        <v>887</v>
      </c>
      <c r="BR943" s="264" t="s">
        <v>888</v>
      </c>
      <c r="BS943" s="169">
        <v>81960007.070510104</v>
      </c>
      <c r="BT943" s="169">
        <v>63759415.453145199</v>
      </c>
      <c r="BU943" s="144">
        <v>0.78</v>
      </c>
      <c r="BV943">
        <f t="shared" si="1205"/>
        <v>-18200591.617364906</v>
      </c>
      <c r="BX943">
        <f t="shared" si="1206"/>
        <v>-18200.591617364906</v>
      </c>
      <c r="BY943" t="str">
        <f t="shared" si="1195"/>
        <v/>
      </c>
      <c r="BZ943">
        <v>0</v>
      </c>
      <c r="CA943">
        <v>0</v>
      </c>
      <c r="CB943">
        <v>0</v>
      </c>
      <c r="CC943">
        <v>0</v>
      </c>
      <c r="CD943">
        <v>0</v>
      </c>
      <c r="CE943">
        <v>0</v>
      </c>
      <c r="CF943">
        <v>0</v>
      </c>
      <c r="CG943">
        <v>0</v>
      </c>
      <c r="CH943">
        <v>0</v>
      </c>
      <c r="CI943">
        <v>0</v>
      </c>
      <c r="CJ943">
        <v>0</v>
      </c>
      <c r="CK943">
        <v>0</v>
      </c>
      <c r="CL943">
        <v>0</v>
      </c>
      <c r="CM943">
        <v>0</v>
      </c>
      <c r="CN943" t="str">
        <f>IF($BL943&lt;$BK943,"refNeedCorrection","refOK")</f>
        <v>refOK</v>
      </c>
      <c r="CO943"/>
      <c r="CP943"/>
      <c r="CQ943">
        <f t="shared" si="1207"/>
        <v>0</v>
      </c>
      <c r="CR943">
        <f t="shared" si="1208"/>
        <v>-81960007.070510104</v>
      </c>
      <c r="CS943">
        <f t="shared" si="1209"/>
        <v>-63759415.453145199</v>
      </c>
      <c r="CT943">
        <f t="shared" si="1210"/>
        <v>18200.591617364906</v>
      </c>
      <c r="CU943" t="str">
        <f t="shared" si="1211"/>
        <v/>
      </c>
      <c r="CV943" s="2">
        <f t="shared" si="1212"/>
        <v>0.2220667404494848</v>
      </c>
      <c r="CW943" s="1" t="s">
        <v>347</v>
      </c>
      <c r="CX943" s="264" t="str">
        <f t="shared" si="1213"/>
        <v>loc</v>
      </c>
      <c r="CY943" t="s">
        <v>264</v>
      </c>
      <c r="CZ943">
        <v>2019</v>
      </c>
      <c r="DA943" s="143">
        <v>2080</v>
      </c>
      <c r="DB943" s="143">
        <f t="shared" si="1214"/>
        <v>61</v>
      </c>
      <c r="DC943" t="str">
        <f t="shared" si="1215"/>
        <v>31-70</v>
      </c>
      <c r="DD943">
        <v>0</v>
      </c>
      <c r="DE943">
        <v>0</v>
      </c>
      <c r="DF943">
        <v>0</v>
      </c>
      <c r="DG943">
        <v>1</v>
      </c>
      <c r="DI943">
        <f t="shared" si="1216"/>
        <v>1</v>
      </c>
      <c r="DJ943" t="str">
        <f t="shared" si="1217"/>
        <v>TimberInput</v>
      </c>
      <c r="DK943">
        <f t="shared" si="1218"/>
        <v>0</v>
      </c>
      <c r="DL943">
        <f t="shared" si="1218"/>
        <v>0</v>
      </c>
      <c r="DM943">
        <f t="shared" si="1218"/>
        <v>0</v>
      </c>
      <c r="DN943" t="str">
        <f t="shared" si="1218"/>
        <v>Timber</v>
      </c>
      <c r="DO943">
        <v>0</v>
      </c>
      <c r="DP943" s="143">
        <v>0</v>
      </c>
      <c r="DQ943" s="143">
        <v>0</v>
      </c>
      <c r="DR943">
        <v>0</v>
      </c>
      <c r="DS943" s="143">
        <v>0</v>
      </c>
      <c r="DT943">
        <f t="shared" si="1219"/>
        <v>0</v>
      </c>
      <c r="DU943" s="143" t="str">
        <f t="shared" si="1220"/>
        <v>explicit C balance</v>
      </c>
      <c r="DV943" s="143">
        <v>0</v>
      </c>
      <c r="DW943" s="143">
        <v>0</v>
      </c>
      <c r="DX943" s="143">
        <v>0</v>
      </c>
      <c r="DY943" s="143">
        <v>1</v>
      </c>
      <c r="DZ943">
        <v>0</v>
      </c>
      <c r="EA943" s="143">
        <v>0</v>
      </c>
      <c r="EB943" s="143">
        <v>1</v>
      </c>
      <c r="EC943" s="143">
        <v>1</v>
      </c>
      <c r="ED943" s="143">
        <v>1</v>
      </c>
      <c r="EE943">
        <v>0</v>
      </c>
      <c r="EF943">
        <v>0</v>
      </c>
      <c r="EG943" s="143">
        <v>0</v>
      </c>
      <c r="EH943">
        <v>0</v>
      </c>
      <c r="EI943" s="2">
        <v>0</v>
      </c>
      <c r="EK943" t="str">
        <f t="shared" si="1221"/>
        <v/>
      </c>
      <c r="EL943" t="str">
        <f t="shared" si="1222"/>
        <v/>
      </c>
      <c r="EM943" s="2" t="str">
        <f t="shared" si="1223"/>
        <v>Technology approach</v>
      </c>
      <c r="EP943" t="b">
        <f>IF(ISNUMBER(BU943),IF(ABS(BU943-[4]QC_indicators!$B$2)&gt;3*[4]QC_indicators!$C$2,"C ratio",IF(ISNUMBER(BY943),IF(ABS(BY943-[4]QC_indicators!$B$1)&gt;3*[4]QC_indicators!$C$1,"DF","no"))),IF(ISNUMBER(BY943),IF(ABS(BY943-[4]QC_indicators!$B$1)&gt;3*[4]QC_indicators!$C$1,"DF","no")))</f>
        <v>0</v>
      </c>
      <c r="ER943" s="294" t="s">
        <v>349</v>
      </c>
      <c r="ET943" s="305" t="s">
        <v>3418</v>
      </c>
    </row>
    <row r="944" spans="1:150" ht="15" customHeight="1">
      <c r="A944" s="1" t="s">
        <v>878</v>
      </c>
      <c r="D944" s="264" t="s">
        <v>879</v>
      </c>
      <c r="E944" s="264" t="s">
        <v>880</v>
      </c>
      <c r="H944" t="s">
        <v>881</v>
      </c>
      <c r="I944">
        <v>2020</v>
      </c>
      <c r="J944">
        <v>8</v>
      </c>
      <c r="K944" t="s">
        <v>882</v>
      </c>
      <c r="M944" t="str">
        <f t="shared" si="1132"/>
        <v>Lausselet_2020</v>
      </c>
      <c r="N944" t="s">
        <v>222</v>
      </c>
      <c r="O944" s="145" t="s">
        <v>225</v>
      </c>
      <c r="Q944" s="264" t="s">
        <v>256</v>
      </c>
      <c r="R944" s="269" t="s">
        <v>341</v>
      </c>
      <c r="S944" s="1" t="s">
        <v>889</v>
      </c>
      <c r="T944" t="s">
        <v>885</v>
      </c>
      <c r="U944" s="143" t="s">
        <v>891</v>
      </c>
      <c r="V944">
        <v>0</v>
      </c>
      <c r="W944">
        <v>0</v>
      </c>
      <c r="X944">
        <v>0</v>
      </c>
      <c r="Y944">
        <v>0</v>
      </c>
      <c r="Z944">
        <v>0</v>
      </c>
      <c r="AA944">
        <v>0</v>
      </c>
      <c r="AB944">
        <v>0</v>
      </c>
      <c r="AC944">
        <v>0</v>
      </c>
      <c r="AD944">
        <v>0</v>
      </c>
      <c r="AE944">
        <v>0</v>
      </c>
      <c r="AF944">
        <v>0</v>
      </c>
      <c r="AG944">
        <v>0</v>
      </c>
      <c r="AH944">
        <v>0</v>
      </c>
      <c r="AI944">
        <v>0</v>
      </c>
      <c r="AJ944">
        <v>1</v>
      </c>
      <c r="AK944">
        <v>0</v>
      </c>
      <c r="AL944">
        <v>0</v>
      </c>
      <c r="AM944">
        <v>0</v>
      </c>
      <c r="AN944">
        <v>0</v>
      </c>
      <c r="AO944">
        <v>0</v>
      </c>
      <c r="AP944">
        <v>0</v>
      </c>
      <c r="AQ944">
        <v>0</v>
      </c>
      <c r="AR944">
        <v>0</v>
      </c>
      <c r="AS944">
        <v>0</v>
      </c>
      <c r="AT944">
        <v>0</v>
      </c>
      <c r="AU944">
        <v>0</v>
      </c>
      <c r="AV944">
        <v>0</v>
      </c>
      <c r="AW944">
        <v>0</v>
      </c>
      <c r="AX944" s="141">
        <f t="shared" si="1196"/>
        <v>1</v>
      </c>
      <c r="AY944" s="141">
        <f t="shared" si="1197"/>
        <v>1</v>
      </c>
      <c r="AZ944">
        <f t="shared" si="1198"/>
        <v>0</v>
      </c>
      <c r="BA944">
        <f t="shared" si="1199"/>
        <v>0</v>
      </c>
      <c r="BB944">
        <f t="shared" si="1200"/>
        <v>1</v>
      </c>
      <c r="BC944">
        <f t="shared" si="1201"/>
        <v>0</v>
      </c>
      <c r="BD944">
        <f t="shared" si="1202"/>
        <v>0</v>
      </c>
      <c r="BE944" t="str" cm="1">
        <f t="array" ref="BE944">IF(AY944=1,INDEX($V$7:$AL$7,MATCH(TRUE,INDEX($V944:$AW944&lt;&gt;0,),0)),IF(AY944=0,INDEX($AM$7:$AW$7,MATCH(1,$AM944:$AW944,0)),IF(BF944="Multiple strategies","mixed drivers",IF(BF944="Supply chain","multiple supply","multiple silviculture"))))</f>
        <v>efficiency improvement</v>
      </c>
      <c r="BF944" s="2" t="str" cm="1">
        <f t="array" ref="BF944">IF(COUNTIF(AZ944:BB944,"&lt;&gt;0")=1,INDEX($V$4:$AW$4,MATCH(TRUE,INDEX($V944:$AW944&lt;&gt;0,),0)),IF(COUNTIF(AZ944:BB944,"&lt;&gt;0")=0,INDEX($AM$4:$AW$4,MATCH(1,$AM944:$AW944,0)),"Multiple strategies"))</f>
        <v>Technology</v>
      </c>
      <c r="BG944" s="164" t="s">
        <v>229</v>
      </c>
      <c r="BH944" s="165" t="s">
        <v>3415</v>
      </c>
      <c r="BI944" s="165" t="s">
        <v>3414</v>
      </c>
      <c r="BJ944" s="166" t="s">
        <v>345</v>
      </c>
      <c r="BK944" s="167"/>
      <c r="BL944" s="167"/>
      <c r="BM944" s="168" t="s">
        <v>886</v>
      </c>
      <c r="BN944">
        <f t="shared" si="1203"/>
        <v>0</v>
      </c>
      <c r="BO944">
        <f t="shared" si="1204"/>
        <v>0</v>
      </c>
      <c r="BP944" s="305" t="s">
        <v>395</v>
      </c>
      <c r="BQ944" s="264" t="s">
        <v>887</v>
      </c>
      <c r="BR944" s="264" t="s">
        <v>888</v>
      </c>
      <c r="BS944" s="169">
        <v>81960007.070510104</v>
      </c>
      <c r="BT944" s="169">
        <v>69008389.932988703</v>
      </c>
      <c r="BU944" s="144">
        <v>0.83999999999999986</v>
      </c>
      <c r="BV944">
        <f t="shared" si="1205"/>
        <v>-12951617.137521401</v>
      </c>
      <c r="BX944">
        <f t="shared" si="1206"/>
        <v>-12951.617137521402</v>
      </c>
      <c r="BY944" t="str">
        <f t="shared" si="1195"/>
        <v/>
      </c>
      <c r="BZ944">
        <v>0</v>
      </c>
      <c r="CA944">
        <v>0</v>
      </c>
      <c r="CB944">
        <v>0</v>
      </c>
      <c r="CC944">
        <v>0</v>
      </c>
      <c r="CD944">
        <v>0</v>
      </c>
      <c r="CE944">
        <v>0</v>
      </c>
      <c r="CF944">
        <v>0</v>
      </c>
      <c r="CG944">
        <v>0</v>
      </c>
      <c r="CH944">
        <v>0</v>
      </c>
      <c r="CI944">
        <v>0</v>
      </c>
      <c r="CJ944">
        <v>0</v>
      </c>
      <c r="CK944">
        <v>0</v>
      </c>
      <c r="CL944">
        <v>0</v>
      </c>
      <c r="CM944">
        <v>0</v>
      </c>
      <c r="CN944" t="str">
        <f>IF($BL944&lt;$BK944,"refNeedCorrection","refOK")</f>
        <v>refOK</v>
      </c>
      <c r="CO944"/>
      <c r="CP944"/>
      <c r="CQ944">
        <f t="shared" si="1207"/>
        <v>0</v>
      </c>
      <c r="CR944">
        <f t="shared" si="1208"/>
        <v>-81960007.070510104</v>
      </c>
      <c r="CS944">
        <f t="shared" si="1209"/>
        <v>-69008389.932988703</v>
      </c>
      <c r="CT944">
        <f t="shared" si="1210"/>
        <v>12951.617137521402</v>
      </c>
      <c r="CU944" t="str">
        <f t="shared" si="1211"/>
        <v/>
      </c>
      <c r="CV944" s="2">
        <f t="shared" si="1212"/>
        <v>0.15802362152530244</v>
      </c>
      <c r="CW944" s="1" t="s">
        <v>347</v>
      </c>
      <c r="CX944" s="264" t="str">
        <f t="shared" si="1213"/>
        <v>loc</v>
      </c>
      <c r="CY944" t="s">
        <v>264</v>
      </c>
      <c r="CZ944">
        <v>2019</v>
      </c>
      <c r="DA944" s="143">
        <v>2080</v>
      </c>
      <c r="DB944" s="143">
        <f t="shared" si="1214"/>
        <v>61</v>
      </c>
      <c r="DC944" t="str">
        <f t="shared" si="1215"/>
        <v>31-70</v>
      </c>
      <c r="DD944">
        <v>0</v>
      </c>
      <c r="DE944">
        <v>0</v>
      </c>
      <c r="DF944">
        <v>0</v>
      </c>
      <c r="DG944">
        <v>1</v>
      </c>
      <c r="DI944">
        <f t="shared" si="1216"/>
        <v>1</v>
      </c>
      <c r="DJ944" t="str">
        <f t="shared" si="1217"/>
        <v>TimberInput</v>
      </c>
      <c r="DK944">
        <f t="shared" si="1218"/>
        <v>0</v>
      </c>
      <c r="DL944">
        <f t="shared" si="1218"/>
        <v>0</v>
      </c>
      <c r="DM944">
        <f t="shared" si="1218"/>
        <v>0</v>
      </c>
      <c r="DN944" t="str">
        <f t="shared" si="1218"/>
        <v>Timber</v>
      </c>
      <c r="DO944">
        <v>0</v>
      </c>
      <c r="DP944" s="143">
        <v>0</v>
      </c>
      <c r="DQ944" s="143">
        <v>0</v>
      </c>
      <c r="DR944">
        <v>0</v>
      </c>
      <c r="DS944" s="143">
        <v>0</v>
      </c>
      <c r="DT944">
        <f t="shared" si="1219"/>
        <v>0</v>
      </c>
      <c r="DU944" s="143" t="str">
        <f t="shared" si="1220"/>
        <v>explicit C balance</v>
      </c>
      <c r="DV944" s="143">
        <v>0</v>
      </c>
      <c r="DW944" s="143">
        <v>0</v>
      </c>
      <c r="DX944" s="143">
        <v>0</v>
      </c>
      <c r="DY944" s="143">
        <v>1</v>
      </c>
      <c r="DZ944">
        <v>0</v>
      </c>
      <c r="EA944" s="143">
        <v>0</v>
      </c>
      <c r="EB944" s="143">
        <v>1</v>
      </c>
      <c r="EC944" s="143">
        <v>1</v>
      </c>
      <c r="ED944" s="143">
        <v>1</v>
      </c>
      <c r="EE944">
        <v>0</v>
      </c>
      <c r="EF944">
        <v>0</v>
      </c>
      <c r="EG944" s="143">
        <v>0</v>
      </c>
      <c r="EH944">
        <v>0</v>
      </c>
      <c r="EI944" s="2">
        <v>0</v>
      </c>
      <c r="EK944" t="str">
        <f t="shared" si="1221"/>
        <v/>
      </c>
      <c r="EL944" t="str">
        <f t="shared" si="1222"/>
        <v/>
      </c>
      <c r="EM944" s="2" t="str">
        <f t="shared" si="1223"/>
        <v>Technology approach</v>
      </c>
      <c r="EP944" t="b">
        <f>IF(ISNUMBER(BU944),IF(ABS(BU944-[4]QC_indicators!$B$2)&gt;3*[4]QC_indicators!$C$2,"C ratio",IF(ISNUMBER(BY944),IF(ABS(BY944-[4]QC_indicators!$B$1)&gt;3*[4]QC_indicators!$C$1,"DF","no"))),IF(ISNUMBER(BY944),IF(ABS(BY944-[4]QC_indicators!$B$1)&gt;3*[4]QC_indicators!$C$1,"DF","no")))</f>
        <v>0</v>
      </c>
      <c r="ER944" s="294" t="s">
        <v>349</v>
      </c>
      <c r="ET944" s="305" t="s">
        <v>3418</v>
      </c>
    </row>
    <row r="945" spans="1:150" ht="15" hidden="1" customHeight="1">
      <c r="A945" s="1" t="s">
        <v>2540</v>
      </c>
      <c r="B945" t="s">
        <v>2541</v>
      </c>
      <c r="C945" t="s">
        <v>2542</v>
      </c>
      <c r="D945" t="s">
        <v>2543</v>
      </c>
      <c r="E945" t="s">
        <v>2544</v>
      </c>
      <c r="F945" t="s">
        <v>2545</v>
      </c>
      <c r="G945" t="s">
        <v>2546</v>
      </c>
      <c r="H945" t="s">
        <v>254</v>
      </c>
      <c r="I945">
        <v>2018</v>
      </c>
      <c r="J945">
        <v>16</v>
      </c>
      <c r="K945" t="s">
        <v>2547</v>
      </c>
      <c r="M945" t="str">
        <f t="shared" si="1132"/>
        <v>Lawrence_2018</v>
      </c>
      <c r="N945" t="s">
        <v>222</v>
      </c>
      <c r="O945" s="145" t="s">
        <v>225</v>
      </c>
      <c r="Q945" s="264" t="s">
        <v>256</v>
      </c>
      <c r="R945" s="269" t="s">
        <v>1153</v>
      </c>
      <c r="S945" s="1" t="s">
        <v>2548</v>
      </c>
      <c r="T945" t="s">
        <v>2549</v>
      </c>
      <c r="U945" t="s">
        <v>2550</v>
      </c>
      <c r="V945">
        <v>2</v>
      </c>
      <c r="W945">
        <v>0</v>
      </c>
      <c r="X945">
        <v>0</v>
      </c>
      <c r="Y945">
        <v>0</v>
      </c>
      <c r="Z945">
        <v>0</v>
      </c>
      <c r="AA945">
        <v>0</v>
      </c>
      <c r="AB945">
        <v>0</v>
      </c>
      <c r="AC945">
        <v>0</v>
      </c>
      <c r="AD945">
        <v>0</v>
      </c>
      <c r="AE945">
        <v>0</v>
      </c>
      <c r="AF945">
        <v>0</v>
      </c>
      <c r="AG945">
        <v>0</v>
      </c>
      <c r="AH945">
        <v>0</v>
      </c>
      <c r="AI945">
        <v>0</v>
      </c>
      <c r="AJ945">
        <v>0</v>
      </c>
      <c r="AK945">
        <v>0</v>
      </c>
      <c r="AL945">
        <v>0</v>
      </c>
      <c r="AM945">
        <v>0</v>
      </c>
      <c r="AN945">
        <v>1</v>
      </c>
      <c r="AO945">
        <v>2</v>
      </c>
      <c r="AP945">
        <v>2</v>
      </c>
      <c r="AQ945">
        <v>0</v>
      </c>
      <c r="AR945">
        <v>2</v>
      </c>
      <c r="AS945">
        <v>0</v>
      </c>
      <c r="AT945">
        <v>0</v>
      </c>
      <c r="AU945">
        <v>0</v>
      </c>
      <c r="AV945">
        <v>0</v>
      </c>
      <c r="AW945">
        <v>0</v>
      </c>
      <c r="AX945" s="141">
        <f t="shared" si="1196"/>
        <v>5</v>
      </c>
      <c r="AY945" s="141">
        <f t="shared" si="1197"/>
        <v>1</v>
      </c>
      <c r="AZ945">
        <f t="shared" si="1198"/>
        <v>1</v>
      </c>
      <c r="BA945">
        <f t="shared" si="1199"/>
        <v>0</v>
      </c>
      <c r="BB945">
        <f t="shared" si="1200"/>
        <v>0</v>
      </c>
      <c r="BC945">
        <f t="shared" si="1201"/>
        <v>0</v>
      </c>
      <c r="BD945">
        <f t="shared" si="1202"/>
        <v>4</v>
      </c>
      <c r="BE945" t="str" cm="1">
        <f t="array" ref="BE945">IF(AY945=1,INDEX($V$7:$AL$7,MATCH(TRUE,INDEX($V945:$AW945&lt;&gt;0,),0)),IF(AY945=0,INDEX($AM$7:$AW$7,MATCH(1,$AM945:$AW945,0)),IF(BF945="Multiple strategies","mixed drivers",IF(BF945="Supply chain","multiple supply","multiple silviculture"))))</f>
        <v>area subject to harvest</v>
      </c>
      <c r="BF945" s="2" t="str" cm="1">
        <f t="array" ref="BF945">IF(COUNTIF(AZ945:BB945,"&lt;&gt;0")=1,INDEX($V$4:$AW$4,MATCH(TRUE,INDEX($V945:$AW945&lt;&gt;0,),0)),IF(COUNTIF(AZ945:BB945,"&lt;&gt;0")=0,INDEX($AM$4:$AW$4,MATCH(1,$AM945:$AW945,0)),"Multiple strategies"))</f>
        <v>Silviculture for removals</v>
      </c>
      <c r="BG945" s="1" t="s">
        <v>321</v>
      </c>
      <c r="BH945" t="s">
        <v>2551</v>
      </c>
      <c r="BJ945" t="s">
        <v>2552</v>
      </c>
      <c r="BK945">
        <v>1.7809999999999999</v>
      </c>
      <c r="BL945">
        <v>4.0309999999999997</v>
      </c>
      <c r="BM945" s="163">
        <v>2.2633352049410442</v>
      </c>
      <c r="BN945">
        <f t="shared" si="1203"/>
        <v>2.25</v>
      </c>
      <c r="BO945" s="143">
        <f>BN945*10^9*tC_to_m3</f>
        <v>9769865392.9656982</v>
      </c>
      <c r="BP945" s="264" t="s">
        <v>232</v>
      </c>
      <c r="BQ945" s="264"/>
      <c r="BR945" t="s">
        <v>2552</v>
      </c>
      <c r="BS945" s="143">
        <v>-1225</v>
      </c>
      <c r="BT945">
        <v>-1287</v>
      </c>
      <c r="BU945" s="144">
        <v>1.0506122448979591</v>
      </c>
      <c r="BV945" s="169">
        <v>-62</v>
      </c>
      <c r="BX945" s="169">
        <f>BV945*10^9*C_to_CO2</f>
        <v>-227540000000</v>
      </c>
      <c r="BY945">
        <f t="shared" si="1195"/>
        <v>-23.289983111111109</v>
      </c>
      <c r="BZ945">
        <v>0</v>
      </c>
      <c r="CA945">
        <v>0</v>
      </c>
      <c r="CB945">
        <v>0</v>
      </c>
      <c r="CC945">
        <v>0</v>
      </c>
      <c r="CD945">
        <v>0</v>
      </c>
      <c r="CE945">
        <v>0</v>
      </c>
      <c r="CF945">
        <v>0</v>
      </c>
      <c r="CG945">
        <v>0</v>
      </c>
      <c r="CH945">
        <v>0</v>
      </c>
      <c r="CI945">
        <v>0</v>
      </c>
      <c r="CJ945">
        <v>0</v>
      </c>
      <c r="CK945">
        <v>0</v>
      </c>
      <c r="CL945">
        <v>0</v>
      </c>
      <c r="CM945">
        <v>0</v>
      </c>
      <c r="CN945" t="str">
        <f>IF($BL945&lt;$BK945,"refNeedCorrection","refOK")</f>
        <v>refOK</v>
      </c>
      <c r="CO945">
        <f>IF($CN945="refOK",$BK945,$BL945)</f>
        <v>1.7809999999999999</v>
      </c>
      <c r="CP945">
        <f>IF($CN945="refOK",$BL945,$BK945)</f>
        <v>4.0309999999999997</v>
      </c>
      <c r="CQ945">
        <f t="shared" si="1207"/>
        <v>9769865392.9656982</v>
      </c>
      <c r="CR945">
        <f t="shared" si="1208"/>
        <v>-1225</v>
      </c>
      <c r="CS945">
        <f t="shared" si="1209"/>
        <v>-1287</v>
      </c>
      <c r="CT945">
        <f t="shared" si="1210"/>
        <v>-227540000000</v>
      </c>
      <c r="CU945">
        <f t="shared" si="1211"/>
        <v>-23.289983111111109</v>
      </c>
      <c r="CV945" s="2">
        <f t="shared" si="1212"/>
        <v>-5.0612244897959187E-2</v>
      </c>
      <c r="CW945" s="1" t="s">
        <v>2538</v>
      </c>
      <c r="CX945" s="264" t="str">
        <f t="shared" si="1213"/>
        <v>w</v>
      </c>
      <c r="CY945" s="264" t="s">
        <v>2539</v>
      </c>
      <c r="CZ945">
        <v>2011</v>
      </c>
      <c r="DA945" s="143">
        <v>2100</v>
      </c>
      <c r="DB945" s="143">
        <v>90</v>
      </c>
      <c r="DC945" t="str">
        <f t="shared" si="1215"/>
        <v>71-100</v>
      </c>
      <c r="DD945">
        <v>0</v>
      </c>
      <c r="DE945">
        <v>0</v>
      </c>
      <c r="DF945">
        <v>0</v>
      </c>
      <c r="DG945">
        <v>0</v>
      </c>
      <c r="DI945">
        <f t="shared" si="1216"/>
        <v>0</v>
      </c>
      <c r="DJ945" t="str">
        <f t="shared" si="1217"/>
        <v>mixedProduct</v>
      </c>
      <c r="DK945">
        <f t="shared" si="1218"/>
        <v>0</v>
      </c>
      <c r="DL945">
        <f t="shared" si="1218"/>
        <v>0</v>
      </c>
      <c r="DM945">
        <f t="shared" si="1218"/>
        <v>0</v>
      </c>
      <c r="DN945">
        <f t="shared" si="1218"/>
        <v>0</v>
      </c>
      <c r="DO945">
        <v>0</v>
      </c>
      <c r="DP945" s="143">
        <v>0</v>
      </c>
      <c r="DQ945" s="143">
        <v>0</v>
      </c>
      <c r="DR945">
        <v>0</v>
      </c>
      <c r="DS945" s="143">
        <v>0</v>
      </c>
      <c r="DT945">
        <f t="shared" si="1219"/>
        <v>0</v>
      </c>
      <c r="DU945" s="143" t="str">
        <f t="shared" si="1220"/>
        <v>explicit C balance</v>
      </c>
      <c r="DV945" s="143">
        <v>1</v>
      </c>
      <c r="DW945" s="143">
        <v>1</v>
      </c>
      <c r="DX945" s="143">
        <v>1</v>
      </c>
      <c r="DY945" s="143">
        <v>1</v>
      </c>
      <c r="DZ945">
        <v>0</v>
      </c>
      <c r="EA945" s="143">
        <v>0</v>
      </c>
      <c r="EB945" s="143">
        <v>0</v>
      </c>
      <c r="EC945" s="143">
        <v>0</v>
      </c>
      <c r="ED945" s="143">
        <v>0</v>
      </c>
      <c r="EE945">
        <v>0</v>
      </c>
      <c r="EF945">
        <v>0</v>
      </c>
      <c r="EG945" s="143">
        <v>0</v>
      </c>
      <c r="EH945">
        <v>0</v>
      </c>
      <c r="EI945" s="2">
        <v>0</v>
      </c>
      <c r="EK945" t="str">
        <f t="shared" si="1221"/>
        <v/>
      </c>
      <c r="EL945" t="str">
        <f t="shared" si="1222"/>
        <v>Ecosystem approach</v>
      </c>
      <c r="EM945" s="2" t="str">
        <f t="shared" si="1223"/>
        <v/>
      </c>
      <c r="EP945" t="str">
        <f>IF(ISNUMBER(BU945),IF(ABS(BU945-[4]QC_indicators!$B$2)&gt;3*[4]QC_indicators!$C$2,"C ratio",IF(ISNUMBER(BY945),IF(ABS(BY945-[4]QC_indicators!$B$1)&gt;3*[4]QC_indicators!$C$1,"DF","no"))),IF(ISNUMBER(BY945),IF(ABS(BY945-[4]QC_indicators!$B$1)&gt;3*[4]QC_indicators!$C$1,"DF","no")))</f>
        <v>DF</v>
      </c>
      <c r="ER945" s="294" t="s">
        <v>349</v>
      </c>
      <c r="ET945" s="264" t="s">
        <v>3406</v>
      </c>
    </row>
    <row r="946" spans="1:150" ht="15" hidden="1" customHeight="1">
      <c r="A946" s="1" t="s">
        <v>1137</v>
      </c>
      <c r="B946" t="s">
        <v>4859</v>
      </c>
      <c r="C946" t="s">
        <v>4860</v>
      </c>
      <c r="D946" t="s">
        <v>4861</v>
      </c>
      <c r="E946" t="s">
        <v>4862</v>
      </c>
      <c r="F946" t="s">
        <v>4863</v>
      </c>
      <c r="G946" t="s">
        <v>1138</v>
      </c>
      <c r="H946" t="s">
        <v>254</v>
      </c>
      <c r="I946">
        <v>2022</v>
      </c>
      <c r="J946">
        <v>1</v>
      </c>
      <c r="K946" t="s">
        <v>4864</v>
      </c>
      <c r="M946" t="str">
        <f t="shared" si="1132"/>
        <v>Ledermann_2022</v>
      </c>
      <c r="N946" t="s">
        <v>1351</v>
      </c>
      <c r="AX946" s="141">
        <f t="shared" si="1196"/>
        <v>28</v>
      </c>
      <c r="AY946">
        <f t="shared" si="1197"/>
        <v>17</v>
      </c>
      <c r="BE946"/>
      <c r="BF946" s="2"/>
      <c r="BY946" t="str">
        <f t="shared" si="1195"/>
        <v/>
      </c>
      <c r="CN946"/>
      <c r="CO946"/>
      <c r="CP946"/>
      <c r="CQ946"/>
      <c r="CR946"/>
      <c r="CS946"/>
      <c r="CT946"/>
      <c r="CU946"/>
      <c r="CV946" s="2"/>
      <c r="CX946"/>
      <c r="DC946"/>
      <c r="DI946"/>
      <c r="DJ946"/>
      <c r="DK946"/>
      <c r="DL946"/>
      <c r="DM946"/>
      <c r="DN946"/>
      <c r="DT946"/>
      <c r="DU946"/>
      <c r="EK946" t="str">
        <f>IF(AND(AND(AND(OR($DX946=1,$DW946=1),OR($EC946=1,$EA946=1)),SUM($DV946:$DZ946,$EF946)&gt;=3),SUM($EA946:$EE946)&gt;=2),"Whole sector","")</f>
        <v/>
      </c>
      <c r="EL946" t="str">
        <f>IF(AND(AND(OR($DX946=1,$DW946=1),AND($EC946=0,$EA946=0)),SUM($DV946:$DZ946,$EF946)&gt;=3),"Ecosystem approach","")</f>
        <v/>
      </c>
      <c r="EM946" s="2" t="str">
        <f t="shared" si="1223"/>
        <v/>
      </c>
      <c r="EP946" t="b">
        <f>IF(ISNUMBER(BU946),IF(ABS(BU946-[1]QC_indicators!$B$2)&gt;3*[1]QC_indicators!$C$2,"C ratio",IF(ISNUMBER(BY946),IF(ABS(BY946-[1]QC_indicators!$B$1)&gt;3*[1]QC_indicators!$C$1,"DF","no"))),IF(ISNUMBER(BY946),IF(ABS(BY946-[1]QC_indicators!$B$1)&gt;3*[1]QC_indicators!$C$1,"DF","no")))</f>
        <v>0</v>
      </c>
    </row>
    <row r="947" spans="1:150" ht="15" hidden="1" customHeight="1">
      <c r="A947" s="1" t="s">
        <v>398</v>
      </c>
      <c r="B947" t="s">
        <v>896</v>
      </c>
      <c r="C947" t="s">
        <v>897</v>
      </c>
      <c r="D947" t="s">
        <v>898</v>
      </c>
      <c r="E947" t="s">
        <v>899</v>
      </c>
      <c r="F947" t="s">
        <v>900</v>
      </c>
      <c r="G947" t="s">
        <v>404</v>
      </c>
      <c r="H947" t="s">
        <v>254</v>
      </c>
      <c r="I947">
        <v>2022</v>
      </c>
      <c r="J947">
        <v>0</v>
      </c>
      <c r="K947" t="s">
        <v>901</v>
      </c>
      <c r="M947" t="str">
        <f t="shared" si="1132"/>
        <v>Lei_2022</v>
      </c>
      <c r="N947" t="s">
        <v>222</v>
      </c>
      <c r="O947" s="161" t="s">
        <v>223</v>
      </c>
      <c r="Q947" s="264" t="s">
        <v>389</v>
      </c>
      <c r="R947" s="269" t="s">
        <v>1153</v>
      </c>
      <c r="S947" s="154" t="s">
        <v>257</v>
      </c>
      <c r="T947" s="294" t="s">
        <v>258</v>
      </c>
      <c r="U947" s="264" t="s">
        <v>259</v>
      </c>
      <c r="V947">
        <v>0</v>
      </c>
      <c r="W947">
        <v>0</v>
      </c>
      <c r="X947">
        <v>0</v>
      </c>
      <c r="Y947">
        <v>0</v>
      </c>
      <c r="Z947">
        <v>0</v>
      </c>
      <c r="AA947">
        <v>0</v>
      </c>
      <c r="AB947">
        <v>0</v>
      </c>
      <c r="AC947">
        <v>0</v>
      </c>
      <c r="AD947">
        <v>0</v>
      </c>
      <c r="AE947">
        <v>0</v>
      </c>
      <c r="AF947">
        <v>0</v>
      </c>
      <c r="AG947">
        <v>0</v>
      </c>
      <c r="AH947">
        <v>0</v>
      </c>
      <c r="AI947">
        <v>0</v>
      </c>
      <c r="AJ947">
        <v>0</v>
      </c>
      <c r="AK947">
        <v>1</v>
      </c>
      <c r="AL947">
        <v>0</v>
      </c>
      <c r="AM947">
        <v>0</v>
      </c>
      <c r="AN947">
        <v>0</v>
      </c>
      <c r="AO947">
        <v>0</v>
      </c>
      <c r="AP947">
        <v>0</v>
      </c>
      <c r="AQ947">
        <v>0</v>
      </c>
      <c r="AR947">
        <v>0</v>
      </c>
      <c r="AS947">
        <v>0</v>
      </c>
      <c r="AT947">
        <v>0</v>
      </c>
      <c r="AU947">
        <v>0</v>
      </c>
      <c r="AV947">
        <v>0</v>
      </c>
      <c r="AW947">
        <v>0</v>
      </c>
      <c r="AX947" s="141">
        <f t="shared" si="1196"/>
        <v>1</v>
      </c>
      <c r="AY947" s="141">
        <f t="shared" si="1197"/>
        <v>1</v>
      </c>
      <c r="AZ947">
        <f>COUNTIF(V947:AC947,"&lt;&gt;0")</f>
        <v>0</v>
      </c>
      <c r="BA947">
        <f>COUNTIF(AD947:AI947,"&lt;&gt;0")</f>
        <v>0</v>
      </c>
      <c r="BB947">
        <f>COUNTIF(AJ947:AL947,"&lt;&gt;0")</f>
        <v>1</v>
      </c>
      <c r="BC947">
        <f>COUNTIF(AS947:AW947,"&lt;&gt;0")</f>
        <v>0</v>
      </c>
      <c r="BD947">
        <f>COUNTIF(AM947:AR947,"&lt;&gt;0")</f>
        <v>0</v>
      </c>
      <c r="BE947" t="str" cm="1">
        <f t="array" ref="BE947">IF(AY947=1,INDEX($V$7:$AL$7,MATCH(TRUE,INDEX($V947:$AW947&lt;&gt;0,),0)),IF(AY947=0,INDEX($AM$7:$AW$7,MATCH(1,$AM947:$AW947,0)),IF(BF947="Multiple strategies","mixed drivers",IF(BF947="Supply chain","multiple supply","multiple silviculture"))))</f>
        <v>technologies/design switch</v>
      </c>
      <c r="BF947" s="2" t="str" cm="1">
        <f t="array" ref="BF947">IF(COUNTIF(AZ947:BB947,"&lt;&gt;0")=1,INDEX($V$4:$AW$4,MATCH(TRUE,INDEX($V947:$AW947&lt;&gt;0,),0)),IF(COUNTIF(AZ947:BB947,"&lt;&gt;0")=0,INDEX($AM$4:$AW$4,MATCH(1,$AM947:$AW947,0)),"Multiple strategies"))</f>
        <v>Technology</v>
      </c>
      <c r="BG947" s="1" t="s">
        <v>229</v>
      </c>
      <c r="BH947" s="264" t="s">
        <v>902</v>
      </c>
      <c r="BI947" s="264" t="s">
        <v>410</v>
      </c>
      <c r="BJ947" s="264" t="s">
        <v>903</v>
      </c>
      <c r="BK947">
        <v>0</v>
      </c>
      <c r="BL947">
        <f>(119193+8552)/1248</f>
        <v>102.35977564102564</v>
      </c>
      <c r="BN947">
        <f>BL947-BK947</f>
        <v>102.35977564102564</v>
      </c>
      <c r="BO947">
        <f>BN947</f>
        <v>102.35977564102564</v>
      </c>
      <c r="BP947" t="s">
        <v>395</v>
      </c>
      <c r="BR947" s="264" t="s">
        <v>262</v>
      </c>
      <c r="BS947">
        <v>488</v>
      </c>
      <c r="BT947">
        <v>280</v>
      </c>
      <c r="BV947">
        <f>BT947-BS947</f>
        <v>-208</v>
      </c>
      <c r="BX947">
        <f>BV947/1000</f>
        <v>-0.20799999999999999</v>
      </c>
      <c r="BY947">
        <f t="shared" si="1195"/>
        <v>-2.0320482210654037E-3</v>
      </c>
      <c r="BZ947">
        <v>0</v>
      </c>
      <c r="CA947">
        <v>0</v>
      </c>
      <c r="CB947">
        <v>0</v>
      </c>
      <c r="CC947">
        <v>0</v>
      </c>
      <c r="CD947">
        <v>0</v>
      </c>
      <c r="CE947">
        <v>0</v>
      </c>
      <c r="CF947">
        <v>0</v>
      </c>
      <c r="CG947">
        <v>0</v>
      </c>
      <c r="CH947">
        <v>0</v>
      </c>
      <c r="CI947">
        <v>0</v>
      </c>
      <c r="CJ947">
        <v>0</v>
      </c>
      <c r="CK947">
        <v>0</v>
      </c>
      <c r="CL947">
        <v>0</v>
      </c>
      <c r="CM947">
        <v>0</v>
      </c>
      <c r="CN947" t="str">
        <f>IF($BL947&lt;$BK947,"refNeedCorrection","refOK")</f>
        <v>refOK</v>
      </c>
      <c r="CO947">
        <f>IF($CN947="refOK",$BK947,$BL947)</f>
        <v>0</v>
      </c>
      <c r="CP947">
        <f>IF($CN947="refOK",$BL947,$BK947)</f>
        <v>102.35977564102564</v>
      </c>
      <c r="CQ947">
        <f>IF($CN947="refOK",$BO947,-$BO947)</f>
        <v>102.35977564102564</v>
      </c>
      <c r="CR947">
        <f>IF($CN947="refOK",$BS947,$BT947)*IF($BP947="Emissions positive",-1,1)</f>
        <v>-488</v>
      </c>
      <c r="CS947">
        <f>IF($CN947="refOK",$BT947,$BS947)*IF($BP947="Emissions positive",-1,1)</f>
        <v>-280</v>
      </c>
      <c r="CT947">
        <f>IF($CN947="refNeedCorrection",-BX947,BX947)*IF($BP947="Emissions positive",-1,1)</f>
        <v>0.20799999999999999</v>
      </c>
      <c r="CU947">
        <f>IFERROR(CT947/CQ947,"")</f>
        <v>2.0320482210654037E-3</v>
      </c>
      <c r="CV947" s="2">
        <f>IFERROR((CS947-CR947)/ABS(CR947),"")</f>
        <v>0.42622950819672129</v>
      </c>
      <c r="CW947" s="263" t="s">
        <v>263</v>
      </c>
      <c r="CX947" s="264" t="str">
        <f>IF(OR($CW947="prd",$CW947="std",$CW947="cit"),"loc",IF(OR($CW947="eur",$CW947="reg",$CW947="coy"),"reg",$CW947))</f>
        <v>loc</v>
      </c>
      <c r="CY947" s="264" t="s">
        <v>574</v>
      </c>
      <c r="DB947">
        <v>0</v>
      </c>
      <c r="DC947" t="str">
        <f>IF(DB947=0,"0",IF(AND(DB947&gt;=1,DB947&lt;=30),"1-30",IF(AND(DB947&gt;30,DB947&lt;=70),"31-70",IF(AND(DB947&gt;70,DB947&lt;=100),"71-100",IF(DB947&gt;100,"+100")))))</f>
        <v>0</v>
      </c>
      <c r="DD947">
        <v>0</v>
      </c>
      <c r="DE947">
        <v>0</v>
      </c>
      <c r="DF947">
        <v>0</v>
      </c>
      <c r="DG947">
        <v>1</v>
      </c>
      <c r="DH947">
        <v>0</v>
      </c>
      <c r="DI947">
        <f>SUM(DD947:DG947)</f>
        <v>1</v>
      </c>
      <c r="DJ947" t="str">
        <f>IF(DI947=1,INDEX($DD$7:$DG$7,MATCH(1,$DD947:$DG947,0)),"mixedProduct")</f>
        <v>TimberInput</v>
      </c>
      <c r="DK947">
        <f>IF(DD947=1,DK$7,0)</f>
        <v>0</v>
      </c>
      <c r="DL947">
        <f>IF(DE947=1,DL$7,0)</f>
        <v>0</v>
      </c>
      <c r="DM947">
        <f>IF(DF947=1,DM$7,0)</f>
        <v>0</v>
      </c>
      <c r="DN947" t="str">
        <f>IF(DG947=1,DN$7,0)</f>
        <v>Timber</v>
      </c>
      <c r="DO947">
        <v>0</v>
      </c>
      <c r="DP947">
        <v>0</v>
      </c>
      <c r="DQ947">
        <v>0</v>
      </c>
      <c r="DR947">
        <v>0</v>
      </c>
      <c r="DS947">
        <v>0</v>
      </c>
      <c r="DT947">
        <f>SUM(DO947:DP947)</f>
        <v>0</v>
      </c>
      <c r="DU947" s="143" t="str">
        <f>IF(DO947=1,"self-calculated DF",IF(DP947=1,"external DF used","explicit C balance"))</f>
        <v>explicit C balance</v>
      </c>
      <c r="DV947">
        <v>0</v>
      </c>
      <c r="DW947">
        <v>0</v>
      </c>
      <c r="DX947">
        <v>0</v>
      </c>
      <c r="DY947">
        <v>0</v>
      </c>
      <c r="DZ947">
        <v>1</v>
      </c>
      <c r="EA947">
        <v>1</v>
      </c>
      <c r="EB947">
        <v>1</v>
      </c>
      <c r="EC947" s="264">
        <v>1</v>
      </c>
      <c r="ED947" s="264">
        <v>1</v>
      </c>
      <c r="EE947" s="264">
        <v>1</v>
      </c>
      <c r="EF947" s="264">
        <v>0</v>
      </c>
      <c r="EG947" s="264">
        <v>0</v>
      </c>
      <c r="EH947" s="264">
        <v>0</v>
      </c>
      <c r="EI947" s="269">
        <v>0</v>
      </c>
      <c r="EK947" t="str">
        <f>IF(AND(AND(AND(OR($DX947=1,$DW947=1),OR($EC947=1,$EA947=1)),SUM($DV947:$DZ947,$EF947)&gt;=4),SUM($EA947:$EE947)&gt;=2),"Whole sector","")</f>
        <v/>
      </c>
      <c r="EL947" t="str">
        <f>IF(AND(AND(OR($DX947=1,$DW947=1),AND($EC947=0,$EA947=0)),SUM($DV947:$DZ947,$EF947)&gt;=4),"Ecosystem approach","")</f>
        <v/>
      </c>
      <c r="EM947" s="2" t="str">
        <f t="shared" si="1223"/>
        <v>Technology approach</v>
      </c>
      <c r="EP947" t="str">
        <f>IF(ISNUMBER(BU947),IF(ABS(BU947-[4]QC_indicators!$B$2)&gt;3*[4]QC_indicators!$C$2,"C ratio",IF(ISNUMBER(BY947),IF(ABS(BY947-[4]QC_indicators!$B$1)&gt;3*[4]QC_indicators!$C$1,"DF","no"))),IF(ISNUMBER(BY947),IF(ABS(BY947-[4]QC_indicators!$B$1)&gt;3*[4]QC_indicators!$C$1,"DF","no")))</f>
        <v>no</v>
      </c>
      <c r="ET947" s="264" t="s">
        <v>3406</v>
      </c>
    </row>
    <row r="948" spans="1:150" ht="15" hidden="1" customHeight="1">
      <c r="A948" s="1" t="s">
        <v>5131</v>
      </c>
      <c r="B948" t="s">
        <v>5132</v>
      </c>
      <c r="C948" t="s">
        <v>5133</v>
      </c>
      <c r="D948" t="s">
        <v>5134</v>
      </c>
      <c r="E948" t="s">
        <v>5135</v>
      </c>
      <c r="F948" t="s">
        <v>5136</v>
      </c>
      <c r="G948" t="s">
        <v>5137</v>
      </c>
      <c r="H948" t="s">
        <v>3790</v>
      </c>
      <c r="I948">
        <v>2013</v>
      </c>
      <c r="J948">
        <v>89</v>
      </c>
      <c r="K948" t="s">
        <v>5138</v>
      </c>
      <c r="M948" t="str">
        <f t="shared" si="1132"/>
        <v>Lempriere_2013</v>
      </c>
      <c r="N948" t="s">
        <v>2585</v>
      </c>
      <c r="O948" s="145" t="s">
        <v>225</v>
      </c>
      <c r="Q948" s="311" t="s">
        <v>256</v>
      </c>
      <c r="R948" s="312"/>
      <c r="U948" s="143"/>
      <c r="AX948" s="141"/>
      <c r="AY948" s="141"/>
      <c r="BE948"/>
      <c r="BF948" s="2"/>
      <c r="BJ948" s="143"/>
      <c r="BL948" s="143"/>
      <c r="BM948" s="163"/>
      <c r="BN948" s="158"/>
      <c r="BO948" s="143"/>
      <c r="BP948" s="143"/>
      <c r="BQ948" s="143"/>
      <c r="BS948" s="143"/>
      <c r="BU948" s="144"/>
      <c r="BY948" t="str">
        <f t="shared" si="1195"/>
        <v/>
      </c>
      <c r="CN948"/>
      <c r="CO948"/>
      <c r="CP948"/>
      <c r="CQ948"/>
      <c r="CR948"/>
      <c r="CS948"/>
      <c r="CT948"/>
      <c r="CU948"/>
      <c r="CV948" s="2"/>
      <c r="CX948"/>
      <c r="DA948" s="143"/>
      <c r="DB948" s="143"/>
      <c r="DC948"/>
      <c r="DI948"/>
      <c r="DJ948"/>
      <c r="DK948"/>
      <c r="DL948"/>
      <c r="DM948"/>
      <c r="DN948"/>
      <c r="DP948" s="143"/>
      <c r="DQ948" s="143"/>
      <c r="DS948" s="143"/>
      <c r="DT948"/>
      <c r="DU948" s="143"/>
      <c r="DV948" s="143"/>
      <c r="DW948" s="143"/>
      <c r="EB948" s="143"/>
      <c r="ED948" s="143"/>
      <c r="EG948" s="143"/>
      <c r="EK948" t="str">
        <f>IF(AND(AND(AND(OR($DX948=1,$DW948=1),OR($EC948=1,$EA948=1)),SUM($DV948:$DZ948,$EF948)&gt;=3),SUM($EA948:$EE948)&gt;=2),"Whole sector","")</f>
        <v/>
      </c>
      <c r="EL948" t="str">
        <f>IF(AND(AND(OR($DX948=1,$DW948=1),AND($EC948=0,$EA948=0)),SUM($DV948:$DZ948,$EF948)&gt;=3),"Ecosystem approach","")</f>
        <v/>
      </c>
      <c r="EM948" s="2" t="str">
        <f t="shared" si="1223"/>
        <v/>
      </c>
      <c r="EO948" t="s">
        <v>450</v>
      </c>
      <c r="EP948" t="b">
        <f>IF(ISNUMBER(BU948),IF(ABS(BU948-[1]QC_indicators!$B$2)&gt;3*[1]QC_indicators!$C$2,"C ratio",IF(ISNUMBER(BY948),IF(ABS(BY948-[1]QC_indicators!$B$1)&gt;3*[1]QC_indicators!$C$1,"DF","no"))),IF(ISNUMBER(BY948),IF(ABS(BY948-[1]QC_indicators!$B$1)&gt;3*[1]QC_indicators!$C$1,"DF","no")))</f>
        <v>0</v>
      </c>
    </row>
    <row r="949" spans="1:150" ht="15" hidden="1" customHeight="1">
      <c r="A949" s="1" t="s">
        <v>4995</v>
      </c>
      <c r="B949" t="s">
        <v>4996</v>
      </c>
      <c r="D949" t="s">
        <v>4997</v>
      </c>
      <c r="E949" t="s">
        <v>4998</v>
      </c>
      <c r="F949" t="s">
        <v>4999</v>
      </c>
      <c r="H949" t="s">
        <v>3964</v>
      </c>
      <c r="I949">
        <v>2011</v>
      </c>
      <c r="J949">
        <v>0</v>
      </c>
      <c r="M949" t="str">
        <f t="shared" si="1132"/>
        <v>Lennox_2011</v>
      </c>
      <c r="N949" t="s">
        <v>2583</v>
      </c>
      <c r="O949" s="145" t="s">
        <v>225</v>
      </c>
      <c r="Q949" s="311" t="s">
        <v>256</v>
      </c>
      <c r="R949" s="312"/>
      <c r="U949" s="143"/>
      <c r="AX949" s="141"/>
      <c r="AY949" s="141"/>
      <c r="BE949"/>
      <c r="BF949" s="2"/>
      <c r="BJ949" s="143"/>
      <c r="BL949" s="143"/>
      <c r="BM949" s="163"/>
      <c r="BN949" s="158"/>
      <c r="BO949" s="143"/>
      <c r="BP949" s="143"/>
      <c r="BQ949" s="143"/>
      <c r="BS949" s="143"/>
      <c r="BU949" s="144"/>
      <c r="BY949" t="str">
        <f t="shared" si="1195"/>
        <v/>
      </c>
      <c r="CN949"/>
      <c r="CO949"/>
      <c r="CP949"/>
      <c r="CQ949"/>
      <c r="CR949"/>
      <c r="CS949"/>
      <c r="CT949"/>
      <c r="CU949"/>
      <c r="CV949" s="2"/>
      <c r="CX949"/>
      <c r="DA949" s="143"/>
      <c r="DB949" s="143"/>
      <c r="DC949"/>
      <c r="DI949"/>
      <c r="DJ949"/>
      <c r="DK949"/>
      <c r="DL949"/>
      <c r="DM949"/>
      <c r="DN949"/>
      <c r="DP949" s="143"/>
      <c r="DQ949" s="143"/>
      <c r="DS949" s="143"/>
      <c r="DT949"/>
      <c r="DU949" s="143"/>
      <c r="DV949" s="143"/>
      <c r="DW949" s="143"/>
      <c r="EB949" s="143"/>
      <c r="ED949" s="143"/>
      <c r="EG949" s="143"/>
      <c r="EK949" t="str">
        <f>IF(AND(AND(AND(OR($DX949=1,$DW949=1),OR($EC949=1,$EA949=1)),SUM($DV949:$DZ949,$EF949)&gt;=3),SUM($EA949:$EE949)&gt;=2),"Whole sector","")</f>
        <v/>
      </c>
      <c r="EL949" t="str">
        <f>IF(AND(AND(OR($DX949=1,$DW949=1),AND($EC949=0,$EA949=0)),SUM($DV949:$DZ949,$EF949)&gt;=3),"Ecosystem approach","")</f>
        <v/>
      </c>
      <c r="EM949" s="2" t="str">
        <f t="shared" si="1223"/>
        <v/>
      </c>
      <c r="EO949" t="s">
        <v>5000</v>
      </c>
      <c r="EP949" t="b">
        <f>IF(ISNUMBER(BU949),IF(ABS(BU949-[1]QC_indicators!$B$2)&gt;3*[1]QC_indicators!$C$2,"C ratio",IF(ISNUMBER(BY949),IF(ABS(BY949-[1]QC_indicators!$B$1)&gt;3*[1]QC_indicators!$C$1,"DF","no"))),IF(ISNUMBER(BY949),IF(ABS(BY949-[1]QC_indicators!$B$1)&gt;3*[1]QC_indicators!$C$1,"DF","no")))</f>
        <v>0</v>
      </c>
    </row>
    <row r="950" spans="1:150" ht="15" hidden="1" customHeight="1">
      <c r="A950" s="1" t="s">
        <v>4558</v>
      </c>
      <c r="C950" t="s">
        <v>4559</v>
      </c>
      <c r="D950" t="s">
        <v>4560</v>
      </c>
      <c r="E950" t="s">
        <v>4561</v>
      </c>
      <c r="F950" t="s">
        <v>4562</v>
      </c>
      <c r="G950" t="s">
        <v>4563</v>
      </c>
      <c r="H950" t="s">
        <v>254</v>
      </c>
      <c r="I950">
        <v>2020</v>
      </c>
      <c r="J950">
        <v>10</v>
      </c>
      <c r="K950" t="s">
        <v>4564</v>
      </c>
      <c r="M950" t="str">
        <f t="shared" si="1132"/>
        <v>Leturcq_2020</v>
      </c>
      <c r="N950" s="311" t="s">
        <v>2582</v>
      </c>
      <c r="O950" s="145" t="s">
        <v>225</v>
      </c>
      <c r="Q950" s="311" t="s">
        <v>256</v>
      </c>
      <c r="R950" s="312"/>
      <c r="U950" s="143"/>
      <c r="AX950" s="141"/>
      <c r="AY950" s="141"/>
      <c r="BE950"/>
      <c r="BF950" s="2"/>
      <c r="BG950" s="142"/>
      <c r="BJ950" s="143"/>
      <c r="BL950" s="143"/>
      <c r="BM950" s="163"/>
      <c r="BN950" s="158"/>
      <c r="BO950" s="143"/>
      <c r="BP950" s="143"/>
      <c r="BQ950" s="143"/>
      <c r="BS950" s="143"/>
      <c r="BU950" s="144"/>
      <c r="BY950" t="str">
        <f t="shared" si="1195"/>
        <v/>
      </c>
      <c r="CN950"/>
      <c r="CO950"/>
      <c r="CP950"/>
      <c r="CQ950"/>
      <c r="CR950"/>
      <c r="CS950"/>
      <c r="CT950"/>
      <c r="CU950"/>
      <c r="CV950" s="2"/>
      <c r="CX950"/>
      <c r="DA950" s="143"/>
      <c r="DB950" s="143"/>
      <c r="DC950"/>
      <c r="DI950"/>
      <c r="DJ950"/>
      <c r="DK950"/>
      <c r="DL950"/>
      <c r="DM950"/>
      <c r="DN950"/>
      <c r="DP950" s="143"/>
      <c r="DQ950" s="143"/>
      <c r="DS950" s="143"/>
      <c r="DT950"/>
      <c r="DU950" s="143"/>
      <c r="DV950" s="143"/>
      <c r="DW950" s="143"/>
      <c r="EB950" s="143"/>
      <c r="ED950" s="143"/>
      <c r="EG950" s="143"/>
      <c r="EK950" t="str">
        <f>IF(AND(AND(AND(OR($DX950=1,$DW950=1),OR($EC950=1,$EA950=1)),SUM($DV950:$DZ950,$EF950)&gt;=3),SUM($EA950:$EE950)&gt;=2),"Whole sector","")</f>
        <v/>
      </c>
      <c r="EL950" t="str">
        <f>IF(AND(AND(OR($DX950=1,$DW950=1),AND($EC950=0,$EA950=0)),SUM($DV950:$DZ950,$EF950)&gt;=3),"Ecosystem approach","")</f>
        <v/>
      </c>
      <c r="EM950" s="2" t="str">
        <f t="shared" si="1223"/>
        <v/>
      </c>
      <c r="EN950" t="s">
        <v>4565</v>
      </c>
      <c r="EO950" t="s">
        <v>450</v>
      </c>
      <c r="EP950" t="b">
        <f>IF(ISNUMBER(BU950),IF(ABS(BU950-[1]QC_indicators!$B$2)&gt;3*[1]QC_indicators!$C$2,"C ratio",IF(ISNUMBER(BY950),IF(ABS(BY950-[1]QC_indicators!$B$1)&gt;3*[1]QC_indicators!$C$1,"DF","no"))),IF(ISNUMBER(BY950),IF(ABS(BY950-[1]QC_indicators!$B$1)&gt;3*[1]QC_indicators!$C$1,"DF","no")))</f>
        <v>0</v>
      </c>
    </row>
    <row r="951" spans="1:150" ht="15" hidden="1" customHeight="1">
      <c r="A951" s="1" t="s">
        <v>380</v>
      </c>
      <c r="B951" t="s">
        <v>4566</v>
      </c>
      <c r="D951" t="s">
        <v>4567</v>
      </c>
      <c r="E951" t="s">
        <v>4568</v>
      </c>
      <c r="F951" t="s">
        <v>4569</v>
      </c>
      <c r="G951" t="s">
        <v>386</v>
      </c>
      <c r="H951" t="s">
        <v>254</v>
      </c>
      <c r="I951">
        <v>2008</v>
      </c>
      <c r="J951">
        <v>11</v>
      </c>
      <c r="K951" t="s">
        <v>4570</v>
      </c>
      <c r="M951" t="str">
        <f t="shared" si="1132"/>
        <v>Lewandowska_2008</v>
      </c>
      <c r="N951" t="s">
        <v>2582</v>
      </c>
      <c r="O951" s="145" t="s">
        <v>225</v>
      </c>
      <c r="Q951" s="311" t="s">
        <v>256</v>
      </c>
      <c r="R951" s="312"/>
      <c r="U951" s="143"/>
      <c r="AX951" s="141"/>
      <c r="AY951" s="141"/>
      <c r="BE951"/>
      <c r="BF951" s="2"/>
      <c r="BG951" s="142"/>
      <c r="BJ951" s="143"/>
      <c r="BL951" s="143"/>
      <c r="BM951" s="163"/>
      <c r="BN951" s="158"/>
      <c r="BO951" s="143"/>
      <c r="BP951" s="143"/>
      <c r="BQ951" s="143"/>
      <c r="BS951" s="143"/>
      <c r="BU951" s="144"/>
      <c r="BY951" t="str">
        <f t="shared" si="1195"/>
        <v/>
      </c>
      <c r="CN951"/>
      <c r="CO951"/>
      <c r="CP951"/>
      <c r="CQ951"/>
      <c r="CR951"/>
      <c r="CS951"/>
      <c r="CT951"/>
      <c r="CU951"/>
      <c r="CV951" s="2"/>
      <c r="CX951"/>
      <c r="DA951" s="143"/>
      <c r="DB951" s="143"/>
      <c r="DC951"/>
      <c r="DI951"/>
      <c r="DJ951"/>
      <c r="DK951"/>
      <c r="DL951"/>
      <c r="DM951"/>
      <c r="DN951"/>
      <c r="DP951" s="143"/>
      <c r="DQ951" s="143"/>
      <c r="DS951" s="143"/>
      <c r="DT951"/>
      <c r="DU951" s="143"/>
      <c r="DV951" s="143"/>
      <c r="DW951" s="143"/>
      <c r="EB951" s="143"/>
      <c r="ED951" s="143"/>
      <c r="EG951" s="143"/>
      <c r="EK951" t="str">
        <f>IF(AND(AND(AND(OR($DX951=1,$DW951=1),OR($EC951=1,$EA951=1)),SUM($DV951:$DZ951,$EF951)&gt;=3),SUM($EA951:$EE951)&gt;=2),"Whole sector","")</f>
        <v/>
      </c>
      <c r="EL951" t="str">
        <f>IF(AND(AND(OR($DX951=1,$DW951=1),AND($EC951=0,$EA951=0)),SUM($DV951:$DZ951,$EF951)&gt;=3),"Ecosystem approach","")</f>
        <v/>
      </c>
      <c r="EM951" s="2" t="str">
        <f t="shared" si="1223"/>
        <v/>
      </c>
      <c r="EN951" t="s">
        <v>4571</v>
      </c>
      <c r="EO951" t="s">
        <v>450</v>
      </c>
      <c r="EP951" t="b">
        <f>IF(ISNUMBER(BU951),IF(ABS(BU951-[1]QC_indicators!$B$2)&gt;3*[1]QC_indicators!$C$2,"C ratio",IF(ISNUMBER(BY951),IF(ABS(BY951-[1]QC_indicators!$B$1)&gt;3*[1]QC_indicators!$C$1,"DF","no"))),IF(ISNUMBER(BY951),IF(ABS(BY951-[1]QC_indicators!$B$1)&gt;3*[1]QC_indicators!$C$1,"DF","no")))</f>
        <v>0</v>
      </c>
    </row>
    <row r="952" spans="1:150" ht="15" hidden="1" customHeight="1">
      <c r="A952" s="1" t="s">
        <v>333</v>
      </c>
      <c r="B952" t="s">
        <v>904</v>
      </c>
      <c r="C952" t="s">
        <v>905</v>
      </c>
      <c r="D952" t="s">
        <v>906</v>
      </c>
      <c r="E952" t="s">
        <v>907</v>
      </c>
      <c r="F952" t="s">
        <v>908</v>
      </c>
      <c r="G952" t="s">
        <v>339</v>
      </c>
      <c r="H952" t="s">
        <v>254</v>
      </c>
      <c r="I952">
        <v>2019</v>
      </c>
      <c r="J952">
        <v>15</v>
      </c>
      <c r="K952" t="s">
        <v>909</v>
      </c>
      <c r="M952" t="str">
        <f t="shared" si="1132"/>
        <v>Li_2019</v>
      </c>
      <c r="N952" t="s">
        <v>222</v>
      </c>
      <c r="O952" s="145" t="s">
        <v>225</v>
      </c>
      <c r="Q952" t="s">
        <v>256</v>
      </c>
      <c r="R952" s="262" t="s">
        <v>223</v>
      </c>
      <c r="S952" s="1" t="s">
        <v>910</v>
      </c>
      <c r="T952" t="s">
        <v>911</v>
      </c>
      <c r="U952" s="143" t="s">
        <v>912</v>
      </c>
      <c r="V952">
        <v>0</v>
      </c>
      <c r="W952">
        <v>0</v>
      </c>
      <c r="X952">
        <v>0</v>
      </c>
      <c r="Y952">
        <v>0</v>
      </c>
      <c r="Z952">
        <v>0</v>
      </c>
      <c r="AA952">
        <v>0</v>
      </c>
      <c r="AB952">
        <v>0</v>
      </c>
      <c r="AC952">
        <v>0</v>
      </c>
      <c r="AD952">
        <v>0</v>
      </c>
      <c r="AE952">
        <v>0</v>
      </c>
      <c r="AF952">
        <v>0</v>
      </c>
      <c r="AG952">
        <v>0</v>
      </c>
      <c r="AH952">
        <v>0</v>
      </c>
      <c r="AI952">
        <v>0</v>
      </c>
      <c r="AJ952">
        <v>0</v>
      </c>
      <c r="AK952">
        <v>1</v>
      </c>
      <c r="AL952">
        <v>0</v>
      </c>
      <c r="AM952">
        <v>0</v>
      </c>
      <c r="AN952">
        <v>0</v>
      </c>
      <c r="AO952">
        <v>0</v>
      </c>
      <c r="AP952">
        <v>0</v>
      </c>
      <c r="AQ952">
        <v>0</v>
      </c>
      <c r="AR952">
        <v>0</v>
      </c>
      <c r="AS952">
        <v>0</v>
      </c>
      <c r="AT952">
        <v>0</v>
      </c>
      <c r="AU952">
        <v>0</v>
      </c>
      <c r="AV952">
        <v>0</v>
      </c>
      <c r="AW952">
        <v>0</v>
      </c>
      <c r="AX952" s="141">
        <f t="shared" ref="AX952:AX961" si="1224">COUNTIF(V952:AW952,"&lt;&gt;0")</f>
        <v>1</v>
      </c>
      <c r="AY952" s="141">
        <f t="shared" ref="AY952:AY961" si="1225">COUNTIF(V952:AL952,"&lt;&gt;0")</f>
        <v>1</v>
      </c>
      <c r="AZ952">
        <f t="shared" ref="AZ952:AZ961" si="1226">COUNTIF(V952:AC952,"&lt;&gt;0")</f>
        <v>0</v>
      </c>
      <c r="BA952">
        <f t="shared" ref="BA952:BA961" si="1227">COUNTIF(AD952:AI952,"&lt;&gt;0")</f>
        <v>0</v>
      </c>
      <c r="BB952">
        <f t="shared" ref="BB952:BB961" si="1228">COUNTIF(AJ952:AL952,"&lt;&gt;0")</f>
        <v>1</v>
      </c>
      <c r="BC952">
        <f t="shared" ref="BC952:BC961" si="1229">COUNTIF(AS952:AW952,"&lt;&gt;0")</f>
        <v>0</v>
      </c>
      <c r="BD952">
        <f t="shared" ref="BD952:BD961" si="1230">COUNTIF(AM952:AR952,"&lt;&gt;0")</f>
        <v>0</v>
      </c>
      <c r="BE952" t="str">
        <f t="array" ref="BE952">IF(AY952=1,INDEX($V$7:$AL$7,MATCH(TRUE,INDEX($V952:$AW952&lt;&gt;0,),0)),IF(AY952=0,INDEX($AM$7:$AW$7,MATCH(1,$AM952:$AW952,0)),IF(BF952="Multiple strategies","mixed drivers",IF(BF952="Supply chain","multiple supply","multiple silviculture"))))</f>
        <v>technologies/design switch</v>
      </c>
      <c r="BF952" s="2" t="str" cm="1">
        <f t="array" ref="BF952">IF(COUNTIF(AZ952:BB952,"&lt;&gt;0")=1,INDEX($V$4:$AW$4,MATCH(TRUE,INDEX($V952:$AW952&lt;&gt;0,),0)),IF(COUNTIF(AZ952:BB952,"&lt;&gt;0")=0,INDEX($AM$4:$AW$4,MATCH(1,$AM952:$AW952,0)),"Multiple strategies"))</f>
        <v>Technology</v>
      </c>
      <c r="BG952" s="142" t="s">
        <v>229</v>
      </c>
      <c r="BH952" t="s">
        <v>913</v>
      </c>
      <c r="BI952" s="264" t="s">
        <v>3153</v>
      </c>
      <c r="BJ952" s="143" t="s">
        <v>498</v>
      </c>
      <c r="BK952">
        <v>0</v>
      </c>
      <c r="BL952">
        <f>9962+4706</f>
        <v>14668</v>
      </c>
      <c r="BM952" s="163"/>
      <c r="BN952">
        <f>BL952-BK952</f>
        <v>14668</v>
      </c>
      <c r="BO952">
        <f>BN952</f>
        <v>14668</v>
      </c>
      <c r="BP952" t="s">
        <v>232</v>
      </c>
      <c r="BQ952" s="153" t="s">
        <v>3154</v>
      </c>
      <c r="BR952" t="s">
        <v>442</v>
      </c>
      <c r="BS952" s="143">
        <v>-5933.97</v>
      </c>
      <c r="BT952">
        <v>9463.36</v>
      </c>
      <c r="BU952" s="144">
        <f>IFERROR(BT952/BS952,"")</f>
        <v>-1.59477718963864</v>
      </c>
      <c r="BV952">
        <f>BT952-BS952</f>
        <v>15397.330000000002</v>
      </c>
      <c r="BX952">
        <f>BV952*C_to_CO2</f>
        <v>56508.201100000006</v>
      </c>
      <c r="BY952">
        <f t="shared" si="1195"/>
        <v>3.8524816675756752</v>
      </c>
      <c r="BZ952">
        <v>0</v>
      </c>
      <c r="CA952">
        <v>0</v>
      </c>
      <c r="CB952">
        <v>0</v>
      </c>
      <c r="CC952">
        <v>0</v>
      </c>
      <c r="CD952">
        <v>0</v>
      </c>
      <c r="CE952">
        <v>0</v>
      </c>
      <c r="CF952">
        <v>0</v>
      </c>
      <c r="CG952">
        <v>0</v>
      </c>
      <c r="CH952">
        <v>0</v>
      </c>
      <c r="CI952">
        <v>0</v>
      </c>
      <c r="CJ952">
        <v>0</v>
      </c>
      <c r="CK952">
        <v>0</v>
      </c>
      <c r="CL952">
        <v>0</v>
      </c>
      <c r="CM952">
        <v>0</v>
      </c>
      <c r="CN952" t="str">
        <f>IF($BL952&lt;$BK952,"refNeedCorrection","refOK")</f>
        <v>refOK</v>
      </c>
      <c r="CO952">
        <f>IF($CN952="refNeedCorrection",BL952,BK952)</f>
        <v>0</v>
      </c>
      <c r="CP952">
        <f>IF($CN952="refNeedCorrection",BK952,BL952)</f>
        <v>14668</v>
      </c>
      <c r="CQ952">
        <f>IF($CN952="refOK",$BO952,-$BO952)</f>
        <v>14668</v>
      </c>
      <c r="CR952">
        <f t="shared" ref="CR952:CR961" si="1231">IF($CN952="refOK",$BS952,$BT952)*IF($BP952="Emissions positive",-1,1)</f>
        <v>-5933.97</v>
      </c>
      <c r="CS952">
        <f t="shared" ref="CS952:CS961" si="1232">IF($CN952="refOK",$BT952,$BS952)*IF($BP952="Emissions positive",-1,1)</f>
        <v>9463.36</v>
      </c>
      <c r="CT952">
        <f t="shared" ref="CT952:CT961" si="1233">IF($CN952="refNeedCorrection",-BX952,BX952)*IF($BP952="Emissions positive",-1,1)</f>
        <v>56508.201100000006</v>
      </c>
      <c r="CU952">
        <f t="shared" ref="CU952:CU961" si="1234">IFERROR(CT952/CQ952,"")</f>
        <v>3.8524816675756752</v>
      </c>
      <c r="CV952" s="2">
        <f t="shared" ref="CV952:CV961" si="1235">IFERROR((CS952-CR952)/ABS(CR952),"")</f>
        <v>2.59477718963864</v>
      </c>
      <c r="CW952" s="1" t="s">
        <v>347</v>
      </c>
      <c r="CX952" t="str">
        <f t="shared" ref="CX952:CX961" si="1236">IF(OR($CW952="prd",$CW952="std",$CW952="cit"),"loc",IF(OR($CW952="eur",$CW952="reg",$CW952="coy"),"reg",$CW952))</f>
        <v>loc</v>
      </c>
      <c r="CY952" t="s">
        <v>574</v>
      </c>
      <c r="DA952" s="143"/>
      <c r="DB952" s="143">
        <v>0</v>
      </c>
      <c r="DC952" t="str">
        <f t="shared" ref="DC952:DC961" si="1237">IF(DB952=0,"0",IF(AND(DB952&gt;=1,DB952&lt;=30),"1-30",IF(AND(DB952&gt;30,DB952&lt;=70),"31-70",IF(AND(DB952&gt;70,DB952&lt;=100),"71-100",IF(DB952&gt;100,"+100")))))</f>
        <v>0</v>
      </c>
      <c r="DD952">
        <v>0</v>
      </c>
      <c r="DE952">
        <v>0</v>
      </c>
      <c r="DF952">
        <v>0</v>
      </c>
      <c r="DG952">
        <v>1</v>
      </c>
      <c r="DI952">
        <f t="shared" ref="DI952:DI961" si="1238">SUM(DD952:DG952)</f>
        <v>1</v>
      </c>
      <c r="DJ952" t="str">
        <f t="shared" ref="DJ952:DJ961" si="1239">IF(DI952=1,INDEX($DD$7:$DG$7,MATCH(1,$DD952:$DG952,0)),"mixedProduct")</f>
        <v>TimberInput</v>
      </c>
      <c r="DK952">
        <f t="shared" ref="DK952:DK961" si="1240">IF(DD952=1,DK$7,0)</f>
        <v>0</v>
      </c>
      <c r="DL952">
        <f t="shared" ref="DL952:DL961" si="1241">IF(DE952=1,DL$7,0)</f>
        <v>0</v>
      </c>
      <c r="DM952">
        <f t="shared" ref="DM952:DM961" si="1242">IF(DF952=1,DM$7,0)</f>
        <v>0</v>
      </c>
      <c r="DN952" t="str">
        <f t="shared" ref="DN952:DN961" si="1243">IF(DG952=1,DN$7,0)</f>
        <v>Timber</v>
      </c>
      <c r="DO952">
        <v>0</v>
      </c>
      <c r="DP952" s="143">
        <v>0</v>
      </c>
      <c r="DQ952" s="143">
        <v>0</v>
      </c>
      <c r="DR952">
        <v>0</v>
      </c>
      <c r="DS952" s="143">
        <v>0</v>
      </c>
      <c r="DT952">
        <f t="shared" ref="DT952:DT961" si="1244">SUM(DO952:DP952)</f>
        <v>0</v>
      </c>
      <c r="DU952" s="143" t="str">
        <f t="shared" ref="DU952:DU961" si="1245">IF(DO952=1,"self-calculated DF",IF(DP952=1,"external DF used","explicit C balance"))</f>
        <v>explicit C balance</v>
      </c>
      <c r="DV952" s="143">
        <v>0</v>
      </c>
      <c r="DW952" s="143">
        <v>0</v>
      </c>
      <c r="DX952" s="143">
        <v>0</v>
      </c>
      <c r="DY952" s="143">
        <v>1</v>
      </c>
      <c r="DZ952">
        <v>0</v>
      </c>
      <c r="EA952" s="143">
        <v>0</v>
      </c>
      <c r="EB952" s="143">
        <v>0</v>
      </c>
      <c r="EC952" s="143">
        <v>1</v>
      </c>
      <c r="ED952" s="143">
        <v>0</v>
      </c>
      <c r="EE952">
        <v>0</v>
      </c>
      <c r="EF952">
        <v>0</v>
      </c>
      <c r="EG952" s="143">
        <v>0</v>
      </c>
      <c r="EH952">
        <v>0</v>
      </c>
      <c r="EI952" s="2">
        <v>0</v>
      </c>
      <c r="EK952" t="str">
        <f>IF(AND(AND(AND(OR($DX952=1,$DW952=1),OR($EC952=1,$EA952=1)),SUM($DV952:$DZ952,$EF952)&gt;=4),SUM($EA952:$EE952)&gt;=2),"Whole sector","")</f>
        <v/>
      </c>
      <c r="EL952" t="str">
        <f>IF(AND(AND(OR($DX952=1,$DW952=1),AND($EC952=0,$EA952=0)),SUM($DV952:$DZ952,$EF952)&gt;=4),"Ecosystem approach","")</f>
        <v/>
      </c>
      <c r="EM952" s="2" t="str">
        <f t="shared" si="1223"/>
        <v/>
      </c>
      <c r="EP952" t="str">
        <f>IF(ISNUMBER(BU952),IF(ABS(BU952-[3]QC_indicators!$B$2)&gt;3*[3]QC_indicators!$C$2,"C ratio",IF(ISNUMBER(BY952),IF(ABS(BY952-[3]QC_indicators!$B$1)&gt;3*[3]QC_indicators!$C$1,"DF","no"))),IF(ISNUMBER(BY952),IF(ABS(BY952-[3]QC_indicators!$B$1)&gt;3*[3]QC_indicators!$C$1,"DF","no")))</f>
        <v>no</v>
      </c>
      <c r="ET952" s="264" t="s">
        <v>3155</v>
      </c>
    </row>
    <row r="953" spans="1:150" ht="15" hidden="1" customHeight="1">
      <c r="A953" s="1" t="s">
        <v>333</v>
      </c>
      <c r="B953" t="s">
        <v>904</v>
      </c>
      <c r="C953" t="s">
        <v>905</v>
      </c>
      <c r="D953" t="s">
        <v>906</v>
      </c>
      <c r="E953" t="s">
        <v>907</v>
      </c>
      <c r="F953" t="s">
        <v>908</v>
      </c>
      <c r="G953" t="s">
        <v>339</v>
      </c>
      <c r="H953" t="s">
        <v>254</v>
      </c>
      <c r="I953">
        <v>2019</v>
      </c>
      <c r="J953">
        <v>15</v>
      </c>
      <c r="K953" t="s">
        <v>909</v>
      </c>
      <c r="M953" t="str">
        <f t="shared" si="1132"/>
        <v>Li_2019</v>
      </c>
      <c r="N953" t="s">
        <v>222</v>
      </c>
      <c r="O953" s="145" t="s">
        <v>225</v>
      </c>
      <c r="Q953" t="s">
        <v>256</v>
      </c>
      <c r="R953" s="262" t="s">
        <v>223</v>
      </c>
      <c r="S953" s="1" t="s">
        <v>910</v>
      </c>
      <c r="T953" t="s">
        <v>914</v>
      </c>
      <c r="U953" s="143" t="s">
        <v>915</v>
      </c>
      <c r="V953">
        <v>0</v>
      </c>
      <c r="W953">
        <v>0</v>
      </c>
      <c r="X953">
        <v>0</v>
      </c>
      <c r="Y953">
        <v>0</v>
      </c>
      <c r="Z953">
        <v>0</v>
      </c>
      <c r="AA953">
        <v>0</v>
      </c>
      <c r="AB953">
        <v>0</v>
      </c>
      <c r="AC953">
        <v>0</v>
      </c>
      <c r="AD953">
        <v>0</v>
      </c>
      <c r="AE953">
        <v>0</v>
      </c>
      <c r="AF953">
        <v>0</v>
      </c>
      <c r="AG953">
        <v>0</v>
      </c>
      <c r="AH953">
        <v>0</v>
      </c>
      <c r="AI953">
        <v>0</v>
      </c>
      <c r="AJ953">
        <v>0</v>
      </c>
      <c r="AK953">
        <v>1</v>
      </c>
      <c r="AL953">
        <v>0</v>
      </c>
      <c r="AM953">
        <v>0</v>
      </c>
      <c r="AN953">
        <v>0</v>
      </c>
      <c r="AO953">
        <v>0</v>
      </c>
      <c r="AP953">
        <v>0</v>
      </c>
      <c r="AQ953">
        <v>0</v>
      </c>
      <c r="AR953">
        <v>0</v>
      </c>
      <c r="AS953">
        <v>0</v>
      </c>
      <c r="AT953">
        <v>0</v>
      </c>
      <c r="AU953">
        <v>0</v>
      </c>
      <c r="AV953">
        <v>0</v>
      </c>
      <c r="AW953">
        <v>0</v>
      </c>
      <c r="AX953" s="141">
        <f t="shared" si="1224"/>
        <v>1</v>
      </c>
      <c r="AY953" s="141">
        <f t="shared" si="1225"/>
        <v>1</v>
      </c>
      <c r="AZ953">
        <f t="shared" si="1226"/>
        <v>0</v>
      </c>
      <c r="BA953">
        <f t="shared" si="1227"/>
        <v>0</v>
      </c>
      <c r="BB953">
        <f t="shared" si="1228"/>
        <v>1</v>
      </c>
      <c r="BC953">
        <f t="shared" si="1229"/>
        <v>0</v>
      </c>
      <c r="BD953">
        <f t="shared" si="1230"/>
        <v>0</v>
      </c>
      <c r="BE953" t="str">
        <f t="array" ref="BE953">IF(AY953=1,INDEX($V$7:$AL$7,MATCH(TRUE,INDEX($V953:$AW953&lt;&gt;0,),0)),IF(AY953=0,INDEX($AM$7:$AW$7,MATCH(1,$AM953:$AW953,0)),IF(BF953="Multiple strategies","mixed drivers",IF(BF953="Supply chain","multiple supply","multiple silviculture"))))</f>
        <v>technologies/design switch</v>
      </c>
      <c r="BF953" s="2" t="str" cm="1">
        <f t="array" ref="BF953">IF(COUNTIF(AZ953:BB953,"&lt;&gt;0")=1,INDEX($V$4:$AW$4,MATCH(TRUE,INDEX($V953:$AW953&lt;&gt;0,),0)),IF(COUNTIF(AZ953:BB953,"&lt;&gt;0")=0,INDEX($AM$4:$AW$4,MATCH(1,$AM953:$AW953,0)),"Multiple strategies"))</f>
        <v>Technology</v>
      </c>
      <c r="BG953" s="142" t="s">
        <v>229</v>
      </c>
      <c r="BH953" t="s">
        <v>913</v>
      </c>
      <c r="BI953" s="264" t="s">
        <v>3153</v>
      </c>
      <c r="BJ953" s="143" t="s">
        <v>498</v>
      </c>
      <c r="BK953">
        <v>0</v>
      </c>
      <c r="BL953" s="143">
        <v>2529</v>
      </c>
      <c r="BM953" s="163"/>
      <c r="BN953">
        <f>BL953-BK953</f>
        <v>2529</v>
      </c>
      <c r="BO953">
        <f>BN953</f>
        <v>2529</v>
      </c>
      <c r="BP953" t="s">
        <v>232</v>
      </c>
      <c r="BQ953" s="153" t="s">
        <v>3154</v>
      </c>
      <c r="BR953" t="s">
        <v>442</v>
      </c>
      <c r="BS953" s="143">
        <v>-5933.97</v>
      </c>
      <c r="BT953">
        <v>-2419.67</v>
      </c>
      <c r="BU953" s="144">
        <f>IFERROR(BT953/BS953,"")</f>
        <v>0.40776579591740436</v>
      </c>
      <c r="BV953">
        <f>BT953-BS953</f>
        <v>3514.3</v>
      </c>
      <c r="BX953">
        <f>BV953*C_to_CO2</f>
        <v>12897.481</v>
      </c>
      <c r="BY953">
        <f t="shared" si="1195"/>
        <v>5.09983432186635</v>
      </c>
      <c r="BZ953">
        <v>0</v>
      </c>
      <c r="CA953">
        <v>0</v>
      </c>
      <c r="CB953">
        <v>0</v>
      </c>
      <c r="CC953">
        <v>0</v>
      </c>
      <c r="CD953">
        <v>0</v>
      </c>
      <c r="CE953">
        <v>0</v>
      </c>
      <c r="CF953">
        <v>0</v>
      </c>
      <c r="CG953">
        <v>0</v>
      </c>
      <c r="CH953">
        <v>0</v>
      </c>
      <c r="CI953">
        <v>0</v>
      </c>
      <c r="CJ953">
        <v>0</v>
      </c>
      <c r="CK953">
        <v>0</v>
      </c>
      <c r="CL953">
        <v>0</v>
      </c>
      <c r="CM953">
        <v>0</v>
      </c>
      <c r="CN953" t="str">
        <f>IF($BL953&lt;$BK953,"refNeedCorrection","refOK")</f>
        <v>refOK</v>
      </c>
      <c r="CO953">
        <f>IF($CN953="refNeedCorrection",BL953,BK953)</f>
        <v>0</v>
      </c>
      <c r="CP953">
        <f>IF($CN953="refNeedCorrection",BK953,BL953)</f>
        <v>2529</v>
      </c>
      <c r="CQ953">
        <f>IF($CN953="refOK",$BO953,-$BO953)</f>
        <v>2529</v>
      </c>
      <c r="CR953">
        <f t="shared" si="1231"/>
        <v>-5933.97</v>
      </c>
      <c r="CS953">
        <f t="shared" si="1232"/>
        <v>-2419.67</v>
      </c>
      <c r="CT953">
        <f t="shared" si="1233"/>
        <v>12897.481</v>
      </c>
      <c r="CU953">
        <f t="shared" si="1234"/>
        <v>5.09983432186635</v>
      </c>
      <c r="CV953" s="2">
        <f t="shared" si="1235"/>
        <v>0.59223420408259564</v>
      </c>
      <c r="CW953" s="1" t="s">
        <v>347</v>
      </c>
      <c r="CX953" t="str">
        <f t="shared" si="1236"/>
        <v>loc</v>
      </c>
      <c r="CY953" t="s">
        <v>574</v>
      </c>
      <c r="DA953" s="143"/>
      <c r="DB953" s="143">
        <v>0</v>
      </c>
      <c r="DC953" t="str">
        <f t="shared" si="1237"/>
        <v>0</v>
      </c>
      <c r="DD953">
        <v>0</v>
      </c>
      <c r="DE953">
        <v>0</v>
      </c>
      <c r="DF953">
        <v>0</v>
      </c>
      <c r="DG953">
        <v>1</v>
      </c>
      <c r="DI953">
        <f t="shared" si="1238"/>
        <v>1</v>
      </c>
      <c r="DJ953" t="str">
        <f t="shared" si="1239"/>
        <v>TimberInput</v>
      </c>
      <c r="DK953">
        <f t="shared" si="1240"/>
        <v>0</v>
      </c>
      <c r="DL953">
        <f t="shared" si="1241"/>
        <v>0</v>
      </c>
      <c r="DM953">
        <f t="shared" si="1242"/>
        <v>0</v>
      </c>
      <c r="DN953" t="str">
        <f t="shared" si="1243"/>
        <v>Timber</v>
      </c>
      <c r="DO953">
        <v>0</v>
      </c>
      <c r="DP953" s="143">
        <v>0</v>
      </c>
      <c r="DQ953" s="143">
        <v>0</v>
      </c>
      <c r="DR953">
        <v>0</v>
      </c>
      <c r="DS953" s="143">
        <v>0</v>
      </c>
      <c r="DT953">
        <f t="shared" si="1244"/>
        <v>0</v>
      </c>
      <c r="DU953" s="143" t="str">
        <f t="shared" si="1245"/>
        <v>explicit C balance</v>
      </c>
      <c r="DV953" s="143">
        <v>0</v>
      </c>
      <c r="DW953" s="143">
        <v>0</v>
      </c>
      <c r="DX953" s="143">
        <v>0</v>
      </c>
      <c r="DY953" s="143">
        <v>1</v>
      </c>
      <c r="DZ953">
        <v>0</v>
      </c>
      <c r="EA953" s="143">
        <v>0</v>
      </c>
      <c r="EB953" s="143">
        <v>0</v>
      </c>
      <c r="EC953" s="143">
        <v>1</v>
      </c>
      <c r="ED953" s="143">
        <v>0</v>
      </c>
      <c r="EE953">
        <v>0</v>
      </c>
      <c r="EF953">
        <v>0</v>
      </c>
      <c r="EG953" s="143">
        <v>0</v>
      </c>
      <c r="EH953">
        <v>0</v>
      </c>
      <c r="EI953" s="2">
        <v>0</v>
      </c>
      <c r="EK953" t="str">
        <f>IF(AND(AND(AND(OR($DX953=1,$DW953=1),OR($EC953=1,$EA953=1)),SUM($DV953:$DZ953,$EF953)&gt;=4),SUM($EA953:$EE953)&gt;=2),"Whole sector","")</f>
        <v/>
      </c>
      <c r="EL953" t="str">
        <f>IF(AND(AND(OR($DX953=1,$DW953=1),AND($EC953=0,$EA953=0)),SUM($DV953:$DZ953,$EF953)&gt;=4),"Ecosystem approach","")</f>
        <v/>
      </c>
      <c r="EM953" s="2" t="str">
        <f t="shared" si="1223"/>
        <v/>
      </c>
      <c r="EP953" t="str">
        <f>IF(ISNUMBER(BU953),IF(ABS(BU953-[3]QC_indicators!$B$2)&gt;3*[3]QC_indicators!$C$2,"C ratio",IF(ISNUMBER(BY953),IF(ABS(BY953-[3]QC_indicators!$B$1)&gt;3*[3]QC_indicators!$C$1,"DF","no"))),IF(ISNUMBER(BY953),IF(ABS(BY953-[3]QC_indicators!$B$1)&gt;3*[3]QC_indicators!$C$1,"DF","no")))</f>
        <v>no</v>
      </c>
      <c r="EQ953" t="s">
        <v>450</v>
      </c>
      <c r="ET953" s="264" t="s">
        <v>3155</v>
      </c>
    </row>
    <row r="954" spans="1:150" ht="15" hidden="1" customHeight="1">
      <c r="A954" s="1" t="s">
        <v>656</v>
      </c>
      <c r="B954" t="s">
        <v>3810</v>
      </c>
      <c r="C954" t="s">
        <v>3811</v>
      </c>
      <c r="D954" t="s">
        <v>3812</v>
      </c>
      <c r="E954" t="s">
        <v>3813</v>
      </c>
      <c r="F954" t="s">
        <v>3814</v>
      </c>
      <c r="G954" t="s">
        <v>662</v>
      </c>
      <c r="H954" t="s">
        <v>254</v>
      </c>
      <c r="I954">
        <v>2021</v>
      </c>
      <c r="J954">
        <v>2</v>
      </c>
      <c r="K954" t="s">
        <v>3815</v>
      </c>
      <c r="M954" t="str">
        <f t="shared" si="1132"/>
        <v>Liang_2021</v>
      </c>
      <c r="N954" s="311" t="s">
        <v>4382</v>
      </c>
      <c r="O954" s="145" t="s">
        <v>225</v>
      </c>
      <c r="Q954" s="311" t="s">
        <v>256</v>
      </c>
      <c r="R954" s="312"/>
      <c r="S954" s="1" t="s">
        <v>3816</v>
      </c>
      <c r="T954" s="143" t="s">
        <v>3817</v>
      </c>
      <c r="U954" s="143" t="s">
        <v>3818</v>
      </c>
      <c r="V954">
        <v>0</v>
      </c>
      <c r="W954">
        <v>0</v>
      </c>
      <c r="X954">
        <v>0</v>
      </c>
      <c r="Y954">
        <v>0</v>
      </c>
      <c r="Z954">
        <v>0</v>
      </c>
      <c r="AA954">
        <v>0</v>
      </c>
      <c r="AB954">
        <v>0</v>
      </c>
      <c r="AC954">
        <v>0</v>
      </c>
      <c r="AD954">
        <v>0</v>
      </c>
      <c r="AE954">
        <v>0</v>
      </c>
      <c r="AF954">
        <v>0</v>
      </c>
      <c r="AG954">
        <v>0</v>
      </c>
      <c r="AH954">
        <v>1</v>
      </c>
      <c r="AI954">
        <v>0</v>
      </c>
      <c r="AJ954">
        <v>0</v>
      </c>
      <c r="AK954">
        <v>0</v>
      </c>
      <c r="AL954">
        <v>0</v>
      </c>
      <c r="AM954">
        <v>0</v>
      </c>
      <c r="AN954">
        <v>0</v>
      </c>
      <c r="AO954">
        <v>0</v>
      </c>
      <c r="AP954">
        <v>0</v>
      </c>
      <c r="AQ954">
        <v>0</v>
      </c>
      <c r="AR954">
        <v>0</v>
      </c>
      <c r="AS954">
        <v>0</v>
      </c>
      <c r="AT954">
        <v>0</v>
      </c>
      <c r="AU954">
        <v>0</v>
      </c>
      <c r="AV954">
        <v>0</v>
      </c>
      <c r="AW954">
        <v>0</v>
      </c>
      <c r="AX954" s="141">
        <f t="shared" si="1224"/>
        <v>1</v>
      </c>
      <c r="AY954" s="141">
        <f t="shared" si="1225"/>
        <v>1</v>
      </c>
      <c r="AZ954">
        <f t="shared" si="1226"/>
        <v>0</v>
      </c>
      <c r="BA954">
        <f t="shared" si="1227"/>
        <v>1</v>
      </c>
      <c r="BB954">
        <f t="shared" si="1228"/>
        <v>0</v>
      </c>
      <c r="BC954">
        <f t="shared" si="1229"/>
        <v>0</v>
      </c>
      <c r="BD954">
        <f t="shared" si="1230"/>
        <v>0</v>
      </c>
      <c r="BE954" t="str" cm="1">
        <f t="array" ref="BE954">IF(AY954=1,INDEX($V$7:$AL$7,MATCH(TRUE,INDEX($V954:$AW954&lt;&gt;0,),0)),IF(AY954=0,INDEX($AM$7:$AW$7,MATCH(1,$AM954:$AW954,0)),IF(BF954="Multiple strategies","mixed drivers",IF(BF954="Supply chain","multiple supply","multiple silviculture"))))</f>
        <v xml:space="preserve">end of life disposal </v>
      </c>
      <c r="BF954" s="2" t="str" cm="1">
        <f t="array" ref="BF954">IF(COUNTIF(AZ954:BB954,"&lt;&gt;0")=1,INDEX($V$4:$AW$4,MATCH(TRUE,INDEX($V954:$AW954&lt;&gt;0,),0)),IF(COUNTIF(AZ954:BB954,"&lt;&gt;0")=0,INDEX($AM$4:$AW$4,MATCH(1,$AM954:$AW954,0)),"Multiple strategies"))</f>
        <v>Supply chain</v>
      </c>
      <c r="BG954" s="142"/>
      <c r="BJ954" s="143"/>
      <c r="BL954" s="143"/>
      <c r="BM954" s="163"/>
      <c r="BN954" s="158"/>
      <c r="BO954" s="143"/>
      <c r="BP954" s="311" t="s">
        <v>232</v>
      </c>
      <c r="BQ954" s="311"/>
      <c r="BR954" t="s">
        <v>3819</v>
      </c>
      <c r="BS954">
        <v>-273</v>
      </c>
      <c r="BT954">
        <v>-186</v>
      </c>
      <c r="BU954" s="144">
        <v>0.68131868131868134</v>
      </c>
      <c r="BV954">
        <v>87</v>
      </c>
      <c r="BX954">
        <v>-8.6999999999999994E-2</v>
      </c>
      <c r="BY954" t="str">
        <f t="shared" si="1195"/>
        <v/>
      </c>
      <c r="BZ954">
        <v>0</v>
      </c>
      <c r="CA954">
        <v>0</v>
      </c>
      <c r="CB954">
        <v>0</v>
      </c>
      <c r="CC954">
        <v>0</v>
      </c>
      <c r="CD954">
        <v>0</v>
      </c>
      <c r="CE954">
        <v>0</v>
      </c>
      <c r="CF954">
        <v>0</v>
      </c>
      <c r="CG954">
        <v>0</v>
      </c>
      <c r="CH954">
        <v>0</v>
      </c>
      <c r="CI954">
        <v>0</v>
      </c>
      <c r="CJ954">
        <v>0</v>
      </c>
      <c r="CK954">
        <v>0</v>
      </c>
      <c r="CL954">
        <v>0</v>
      </c>
      <c r="CM954">
        <v>0</v>
      </c>
      <c r="CN954" t="str">
        <f t="shared" ref="CN954:CN961" si="1246">IF(BL954&lt;BK954,"refNeedCorrection","refOK")</f>
        <v>refOK</v>
      </c>
      <c r="CO954"/>
      <c r="CP954"/>
      <c r="CQ954"/>
      <c r="CR954">
        <f t="shared" si="1231"/>
        <v>-273</v>
      </c>
      <c r="CS954">
        <f t="shared" si="1232"/>
        <v>-186</v>
      </c>
      <c r="CT954">
        <f t="shared" si="1233"/>
        <v>-8.6999999999999994E-2</v>
      </c>
      <c r="CU954" t="str">
        <f t="shared" si="1234"/>
        <v/>
      </c>
      <c r="CV954" s="2">
        <f t="shared" si="1235"/>
        <v>0.31868131868131866</v>
      </c>
      <c r="CW954" s="1" t="s">
        <v>1202</v>
      </c>
      <c r="CX954" s="311" t="str">
        <f t="shared" si="1236"/>
        <v>reg</v>
      </c>
      <c r="CY954" t="s">
        <v>428</v>
      </c>
      <c r="DA954" s="143"/>
      <c r="DB954" s="143">
        <v>60</v>
      </c>
      <c r="DC954" t="str">
        <f t="shared" si="1237"/>
        <v>31-70</v>
      </c>
      <c r="DD954">
        <v>0</v>
      </c>
      <c r="DE954">
        <v>0</v>
      </c>
      <c r="DF954">
        <v>0</v>
      </c>
      <c r="DG954">
        <v>1</v>
      </c>
      <c r="DI954">
        <f t="shared" si="1238"/>
        <v>1</v>
      </c>
      <c r="DJ954" t="str">
        <f t="shared" si="1239"/>
        <v>TimberInput</v>
      </c>
      <c r="DK954">
        <f t="shared" si="1240"/>
        <v>0</v>
      </c>
      <c r="DL954">
        <f t="shared" si="1241"/>
        <v>0</v>
      </c>
      <c r="DM954">
        <f t="shared" si="1242"/>
        <v>0</v>
      </c>
      <c r="DN954" t="str">
        <f t="shared" si="1243"/>
        <v>Timber</v>
      </c>
      <c r="DO954">
        <v>0</v>
      </c>
      <c r="DP954" s="143">
        <v>0</v>
      </c>
      <c r="DQ954" s="143">
        <v>0</v>
      </c>
      <c r="DR954">
        <v>0</v>
      </c>
      <c r="DS954" s="143">
        <v>0</v>
      </c>
      <c r="DT954">
        <f t="shared" si="1244"/>
        <v>0</v>
      </c>
      <c r="DU954" s="143" t="str">
        <f t="shared" si="1245"/>
        <v>explicit C balance</v>
      </c>
      <c r="DV954" s="143">
        <v>0</v>
      </c>
      <c r="DW954" s="143">
        <v>0</v>
      </c>
      <c r="DX954" s="143">
        <v>0</v>
      </c>
      <c r="DY954" s="143">
        <v>1</v>
      </c>
      <c r="DZ954">
        <v>1</v>
      </c>
      <c r="EA954" s="143">
        <v>1</v>
      </c>
      <c r="EB954" s="143">
        <v>1</v>
      </c>
      <c r="EC954" s="143">
        <v>1</v>
      </c>
      <c r="ED954" s="143">
        <v>1</v>
      </c>
      <c r="EE954" s="143">
        <v>1</v>
      </c>
      <c r="EF954">
        <v>0</v>
      </c>
      <c r="EG954" s="143">
        <v>0</v>
      </c>
      <c r="EH954">
        <v>0</v>
      </c>
      <c r="EI954" s="2">
        <v>0</v>
      </c>
      <c r="EK954" t="str">
        <f t="shared" ref="EK954:EK962" si="1247">IF(AND(AND(AND(OR($DX954=1,$DW954=1),OR($EC954=1,$EA954=1)),SUM($DV954:$DZ954,$EF954)&gt;=3),SUM($EA954:$EE954)&gt;=2),"Whole sector","")</f>
        <v/>
      </c>
      <c r="EL954" t="str">
        <f t="shared" ref="EL954:EL962" si="1248">IF(AND(AND(OR($DX954=1,$DW954=1),AND($EC954=0,$EA954=0)),SUM($DV954:$DZ954,$EF954)&gt;=3),"Ecosystem approach","")</f>
        <v/>
      </c>
      <c r="EM954" s="2" t="str">
        <f t="shared" si="1223"/>
        <v>Technology approach</v>
      </c>
      <c r="EP954" t="b">
        <f>IF(ISNUMBER(BU954),IF(ABS(BU954-[1]QC_indicators!$B$2)&gt;3*[1]QC_indicators!$C$2,"C ratio",IF(ISNUMBER(BY954),IF(ABS(BY954-[1]QC_indicators!$B$1)&gt;3*[1]QC_indicators!$C$1,"DF","no"))),IF(ISNUMBER(BY954),IF(ABS(BY954-[1]QC_indicators!$B$1)&gt;3*[1]QC_indicators!$C$1,"DF","no")))</f>
        <v>0</v>
      </c>
      <c r="ER954" s="313" t="s">
        <v>349</v>
      </c>
    </row>
    <row r="955" spans="1:150" ht="15" hidden="1" customHeight="1">
      <c r="A955" s="1" t="s">
        <v>656</v>
      </c>
      <c r="B955" t="s">
        <v>3810</v>
      </c>
      <c r="C955" t="s">
        <v>3811</v>
      </c>
      <c r="D955" t="s">
        <v>3812</v>
      </c>
      <c r="E955" t="s">
        <v>3813</v>
      </c>
      <c r="F955" t="s">
        <v>3814</v>
      </c>
      <c r="G955" t="s">
        <v>662</v>
      </c>
      <c r="H955" t="s">
        <v>254</v>
      </c>
      <c r="I955">
        <v>2021</v>
      </c>
      <c r="J955">
        <v>2</v>
      </c>
      <c r="K955" t="s">
        <v>3815</v>
      </c>
      <c r="M955" t="str">
        <f t="shared" si="1132"/>
        <v>Liang_2021</v>
      </c>
      <c r="N955" s="311" t="s">
        <v>4382</v>
      </c>
      <c r="O955" s="145" t="s">
        <v>225</v>
      </c>
      <c r="Q955" s="311" t="s">
        <v>256</v>
      </c>
      <c r="R955" s="312"/>
      <c r="S955" s="1" t="s">
        <v>3816</v>
      </c>
      <c r="T955" s="143" t="s">
        <v>3817</v>
      </c>
      <c r="U955" s="143" t="s">
        <v>3820</v>
      </c>
      <c r="V955">
        <v>0</v>
      </c>
      <c r="W955">
        <v>0</v>
      </c>
      <c r="X955">
        <v>0</v>
      </c>
      <c r="Y955">
        <v>0</v>
      </c>
      <c r="Z955">
        <v>0</v>
      </c>
      <c r="AA955">
        <v>0</v>
      </c>
      <c r="AB955">
        <v>0</v>
      </c>
      <c r="AC955">
        <v>0</v>
      </c>
      <c r="AD955">
        <v>0</v>
      </c>
      <c r="AE955">
        <v>0</v>
      </c>
      <c r="AF955">
        <v>0</v>
      </c>
      <c r="AG955">
        <v>0</v>
      </c>
      <c r="AH955">
        <v>1</v>
      </c>
      <c r="AI955">
        <v>0</v>
      </c>
      <c r="AJ955">
        <v>0</v>
      </c>
      <c r="AK955">
        <v>0</v>
      </c>
      <c r="AL955">
        <v>0</v>
      </c>
      <c r="AM955">
        <v>0</v>
      </c>
      <c r="AN955">
        <v>0</v>
      </c>
      <c r="AO955">
        <v>0</v>
      </c>
      <c r="AP955">
        <v>0</v>
      </c>
      <c r="AQ955">
        <v>0</v>
      </c>
      <c r="AR955">
        <v>0</v>
      </c>
      <c r="AS955">
        <v>0</v>
      </c>
      <c r="AT955">
        <v>0</v>
      </c>
      <c r="AU955">
        <v>0</v>
      </c>
      <c r="AV955">
        <v>0</v>
      </c>
      <c r="AW955">
        <v>0</v>
      </c>
      <c r="AX955" s="141">
        <f t="shared" si="1224"/>
        <v>1</v>
      </c>
      <c r="AY955" s="141">
        <f t="shared" si="1225"/>
        <v>1</v>
      </c>
      <c r="AZ955">
        <f t="shared" si="1226"/>
        <v>0</v>
      </c>
      <c r="BA955">
        <f t="shared" si="1227"/>
        <v>1</v>
      </c>
      <c r="BB955">
        <f t="shared" si="1228"/>
        <v>0</v>
      </c>
      <c r="BC955">
        <f t="shared" si="1229"/>
        <v>0</v>
      </c>
      <c r="BD955">
        <f t="shared" si="1230"/>
        <v>0</v>
      </c>
      <c r="BE955" t="str" cm="1">
        <f t="array" ref="BE955">IF(AY955=1,INDEX($V$7:$AL$7,MATCH(TRUE,INDEX($V955:$AW955&lt;&gt;0,),0)),IF(AY955=0,INDEX($AM$7:$AW$7,MATCH(1,$AM955:$AW955,0)),IF(BF955="Multiple strategies","mixed drivers",IF(BF955="Supply chain","multiple supply","multiple silviculture"))))</f>
        <v xml:space="preserve">end of life disposal </v>
      </c>
      <c r="BF955" s="2" t="str" cm="1">
        <f t="array" ref="BF955">IF(COUNTIF(AZ955:BB955,"&lt;&gt;0")=1,INDEX($V$4:$AW$4,MATCH(TRUE,INDEX($V955:$AW955&lt;&gt;0,),0)),IF(COUNTIF(AZ955:BB955,"&lt;&gt;0")=0,INDEX($AM$4:$AW$4,MATCH(1,$AM955:$AW955,0)),"Multiple strategies"))</f>
        <v>Supply chain</v>
      </c>
      <c r="BG955" s="142"/>
      <c r="BJ955" s="143"/>
      <c r="BL955" s="143"/>
      <c r="BM955" s="163"/>
      <c r="BN955" s="158"/>
      <c r="BO955" s="143"/>
      <c r="BP955" s="311" t="s">
        <v>232</v>
      </c>
      <c r="BQ955" s="311"/>
      <c r="BR955" t="s">
        <v>3819</v>
      </c>
      <c r="BS955">
        <v>-273</v>
      </c>
      <c r="BT955">
        <v>-251</v>
      </c>
      <c r="BU955" s="144">
        <v>0.91941391941391937</v>
      </c>
      <c r="BV955">
        <v>22</v>
      </c>
      <c r="BX955">
        <v>-2.1999999999999999E-2</v>
      </c>
      <c r="BY955" t="str">
        <f t="shared" si="1195"/>
        <v/>
      </c>
      <c r="BZ955">
        <v>0</v>
      </c>
      <c r="CA955">
        <v>0</v>
      </c>
      <c r="CB955">
        <v>0</v>
      </c>
      <c r="CC955">
        <v>0</v>
      </c>
      <c r="CD955">
        <v>0</v>
      </c>
      <c r="CE955">
        <v>0</v>
      </c>
      <c r="CF955">
        <v>0</v>
      </c>
      <c r="CG955">
        <v>0</v>
      </c>
      <c r="CH955">
        <v>0</v>
      </c>
      <c r="CI955">
        <v>0</v>
      </c>
      <c r="CJ955">
        <v>0</v>
      </c>
      <c r="CK955">
        <v>0</v>
      </c>
      <c r="CL955">
        <v>0</v>
      </c>
      <c r="CM955">
        <v>0</v>
      </c>
      <c r="CN955" t="str">
        <f t="shared" si="1246"/>
        <v>refOK</v>
      </c>
      <c r="CO955"/>
      <c r="CP955"/>
      <c r="CQ955"/>
      <c r="CR955">
        <f t="shared" si="1231"/>
        <v>-273</v>
      </c>
      <c r="CS955">
        <f t="shared" si="1232"/>
        <v>-251</v>
      </c>
      <c r="CT955">
        <f t="shared" si="1233"/>
        <v>-2.1999999999999999E-2</v>
      </c>
      <c r="CU955" t="str">
        <f t="shared" si="1234"/>
        <v/>
      </c>
      <c r="CV955" s="2">
        <f t="shared" si="1235"/>
        <v>8.0586080586080591E-2</v>
      </c>
      <c r="CW955" s="1" t="s">
        <v>1202</v>
      </c>
      <c r="CX955" s="311" t="str">
        <f t="shared" si="1236"/>
        <v>reg</v>
      </c>
      <c r="CY955" t="s">
        <v>428</v>
      </c>
      <c r="DA955" s="143"/>
      <c r="DB955" s="143">
        <v>60</v>
      </c>
      <c r="DC955" t="str">
        <f t="shared" si="1237"/>
        <v>31-70</v>
      </c>
      <c r="DD955">
        <v>0</v>
      </c>
      <c r="DE955">
        <v>0</v>
      </c>
      <c r="DF955">
        <v>0</v>
      </c>
      <c r="DG955">
        <v>1</v>
      </c>
      <c r="DI955">
        <f t="shared" si="1238"/>
        <v>1</v>
      </c>
      <c r="DJ955" t="str">
        <f t="shared" si="1239"/>
        <v>TimberInput</v>
      </c>
      <c r="DK955">
        <f t="shared" si="1240"/>
        <v>0</v>
      </c>
      <c r="DL955">
        <f t="shared" si="1241"/>
        <v>0</v>
      </c>
      <c r="DM955">
        <f t="shared" si="1242"/>
        <v>0</v>
      </c>
      <c r="DN955" t="str">
        <f t="shared" si="1243"/>
        <v>Timber</v>
      </c>
      <c r="DO955">
        <v>0</v>
      </c>
      <c r="DP955" s="143">
        <v>0</v>
      </c>
      <c r="DQ955" s="143">
        <v>0</v>
      </c>
      <c r="DR955">
        <v>0</v>
      </c>
      <c r="DS955" s="143">
        <v>0</v>
      </c>
      <c r="DT955">
        <f t="shared" si="1244"/>
        <v>0</v>
      </c>
      <c r="DU955" s="143" t="str">
        <f t="shared" si="1245"/>
        <v>explicit C balance</v>
      </c>
      <c r="DV955" s="143">
        <v>0</v>
      </c>
      <c r="DW955" s="143">
        <v>0</v>
      </c>
      <c r="DX955" s="143">
        <v>0</v>
      </c>
      <c r="DY955" s="143">
        <v>1</v>
      </c>
      <c r="DZ955">
        <v>1</v>
      </c>
      <c r="EA955" s="143">
        <v>1</v>
      </c>
      <c r="EB955" s="143">
        <v>1</v>
      </c>
      <c r="EC955" s="143">
        <v>1</v>
      </c>
      <c r="ED955" s="143">
        <v>1</v>
      </c>
      <c r="EE955" s="143">
        <v>1</v>
      </c>
      <c r="EF955">
        <v>0</v>
      </c>
      <c r="EG955" s="143">
        <v>0</v>
      </c>
      <c r="EH955">
        <v>0</v>
      </c>
      <c r="EI955" s="2">
        <v>0</v>
      </c>
      <c r="EK955" t="str">
        <f t="shared" si="1247"/>
        <v/>
      </c>
      <c r="EL955" t="str">
        <f t="shared" si="1248"/>
        <v/>
      </c>
      <c r="EM955" s="2" t="str">
        <f t="shared" si="1223"/>
        <v>Technology approach</v>
      </c>
      <c r="EP955" t="b">
        <f>IF(ISNUMBER(BU955),IF(ABS(BU955-[1]QC_indicators!$B$2)&gt;3*[1]QC_indicators!$C$2,"C ratio",IF(ISNUMBER(BY955),IF(ABS(BY955-[1]QC_indicators!$B$1)&gt;3*[1]QC_indicators!$C$1,"DF","no"))),IF(ISNUMBER(BY955),IF(ABS(BY955-[1]QC_indicators!$B$1)&gt;3*[1]QC_indicators!$C$1,"DF","no")))</f>
        <v>0</v>
      </c>
      <c r="ER955" s="313" t="s">
        <v>349</v>
      </c>
    </row>
    <row r="956" spans="1:150" ht="15" hidden="1" customHeight="1">
      <c r="A956" s="1" t="s">
        <v>656</v>
      </c>
      <c r="B956" t="s">
        <v>3810</v>
      </c>
      <c r="C956" t="s">
        <v>3811</v>
      </c>
      <c r="D956" t="s">
        <v>3812</v>
      </c>
      <c r="E956" t="s">
        <v>3813</v>
      </c>
      <c r="F956" t="s">
        <v>3814</v>
      </c>
      <c r="G956" t="s">
        <v>662</v>
      </c>
      <c r="H956" t="s">
        <v>254</v>
      </c>
      <c r="I956">
        <v>2021</v>
      </c>
      <c r="J956">
        <v>2</v>
      </c>
      <c r="K956" t="s">
        <v>3815</v>
      </c>
      <c r="M956" t="str">
        <f t="shared" si="1132"/>
        <v>Liang_2021</v>
      </c>
      <c r="N956" s="311" t="s">
        <v>4382</v>
      </c>
      <c r="O956" s="145" t="s">
        <v>225</v>
      </c>
      <c r="Q956" s="311" t="s">
        <v>256</v>
      </c>
      <c r="R956" s="312"/>
      <c r="S956" s="1" t="s">
        <v>3816</v>
      </c>
      <c r="T956" s="143" t="s">
        <v>3817</v>
      </c>
      <c r="U956" s="143" t="s">
        <v>3821</v>
      </c>
      <c r="V956">
        <v>0</v>
      </c>
      <c r="W956">
        <v>0</v>
      </c>
      <c r="X956">
        <v>0</v>
      </c>
      <c r="Y956">
        <v>0</v>
      </c>
      <c r="Z956">
        <v>0</v>
      </c>
      <c r="AA956">
        <v>0</v>
      </c>
      <c r="AB956">
        <v>0</v>
      </c>
      <c r="AC956">
        <v>0</v>
      </c>
      <c r="AD956">
        <v>0</v>
      </c>
      <c r="AE956">
        <v>0</v>
      </c>
      <c r="AF956">
        <v>0</v>
      </c>
      <c r="AG956">
        <v>0</v>
      </c>
      <c r="AH956">
        <v>1</v>
      </c>
      <c r="AI956">
        <v>0</v>
      </c>
      <c r="AJ956">
        <v>0</v>
      </c>
      <c r="AK956">
        <v>0</v>
      </c>
      <c r="AL956">
        <v>0</v>
      </c>
      <c r="AM956">
        <v>0</v>
      </c>
      <c r="AN956">
        <v>0</v>
      </c>
      <c r="AO956">
        <v>0</v>
      </c>
      <c r="AP956">
        <v>0</v>
      </c>
      <c r="AQ956">
        <v>0</v>
      </c>
      <c r="AR956">
        <v>0</v>
      </c>
      <c r="AS956">
        <v>0</v>
      </c>
      <c r="AT956">
        <v>0</v>
      </c>
      <c r="AU956">
        <v>0</v>
      </c>
      <c r="AV956">
        <v>0</v>
      </c>
      <c r="AW956">
        <v>0</v>
      </c>
      <c r="AX956" s="141">
        <f t="shared" si="1224"/>
        <v>1</v>
      </c>
      <c r="AY956" s="141">
        <f t="shared" si="1225"/>
        <v>1</v>
      </c>
      <c r="AZ956">
        <f t="shared" si="1226"/>
        <v>0</v>
      </c>
      <c r="BA956">
        <f t="shared" si="1227"/>
        <v>1</v>
      </c>
      <c r="BB956">
        <f t="shared" si="1228"/>
        <v>0</v>
      </c>
      <c r="BC956">
        <f t="shared" si="1229"/>
        <v>0</v>
      </c>
      <c r="BD956">
        <f t="shared" si="1230"/>
        <v>0</v>
      </c>
      <c r="BE956" t="str" cm="1">
        <f t="array" ref="BE956">IF(AY956=1,INDEX($V$7:$AL$7,MATCH(TRUE,INDEX($V956:$AW956&lt;&gt;0,),0)),IF(AY956=0,INDEX($AM$7:$AW$7,MATCH(1,$AM956:$AW956,0)),IF(BF956="Multiple strategies","mixed drivers",IF(BF956="Supply chain","multiple supply","multiple silviculture"))))</f>
        <v xml:space="preserve">end of life disposal </v>
      </c>
      <c r="BF956" s="2" t="str" cm="1">
        <f t="array" ref="BF956">IF(COUNTIF(AZ956:BB956,"&lt;&gt;0")=1,INDEX($V$4:$AW$4,MATCH(TRUE,INDEX($V956:$AW956&lt;&gt;0,),0)),IF(COUNTIF(AZ956:BB956,"&lt;&gt;0")=0,INDEX($AM$4:$AW$4,MATCH(1,$AM956:$AW956,0)),"Multiple strategies"))</f>
        <v>Supply chain</v>
      </c>
      <c r="BG956" s="142"/>
      <c r="BJ956" s="143"/>
      <c r="BL956" s="143"/>
      <c r="BM956" s="163"/>
      <c r="BN956" s="158"/>
      <c r="BO956" s="143"/>
      <c r="BP956" s="311" t="s">
        <v>232</v>
      </c>
      <c r="BQ956" s="311"/>
      <c r="BR956" t="s">
        <v>3819</v>
      </c>
      <c r="BS956">
        <v>-273</v>
      </c>
      <c r="BT956">
        <v>-225</v>
      </c>
      <c r="BU956" s="144">
        <v>0.82417582417582413</v>
      </c>
      <c r="BV956">
        <v>48</v>
      </c>
      <c r="BX956">
        <v>-4.8000000000000001E-2</v>
      </c>
      <c r="BY956" t="str">
        <f t="shared" si="1195"/>
        <v/>
      </c>
      <c r="BZ956">
        <v>0</v>
      </c>
      <c r="CA956">
        <v>0</v>
      </c>
      <c r="CB956">
        <v>0</v>
      </c>
      <c r="CC956">
        <v>0</v>
      </c>
      <c r="CD956">
        <v>0</v>
      </c>
      <c r="CE956">
        <v>0</v>
      </c>
      <c r="CF956">
        <v>0</v>
      </c>
      <c r="CG956">
        <v>0</v>
      </c>
      <c r="CH956">
        <v>0</v>
      </c>
      <c r="CI956">
        <v>0</v>
      </c>
      <c r="CJ956">
        <v>0</v>
      </c>
      <c r="CK956">
        <v>0</v>
      </c>
      <c r="CL956">
        <v>0</v>
      </c>
      <c r="CM956">
        <v>0</v>
      </c>
      <c r="CN956" t="str">
        <f t="shared" si="1246"/>
        <v>refOK</v>
      </c>
      <c r="CO956"/>
      <c r="CP956"/>
      <c r="CQ956"/>
      <c r="CR956">
        <f t="shared" si="1231"/>
        <v>-273</v>
      </c>
      <c r="CS956">
        <f t="shared" si="1232"/>
        <v>-225</v>
      </c>
      <c r="CT956">
        <f t="shared" si="1233"/>
        <v>-4.8000000000000001E-2</v>
      </c>
      <c r="CU956" t="str">
        <f t="shared" si="1234"/>
        <v/>
      </c>
      <c r="CV956" s="2">
        <f t="shared" si="1235"/>
        <v>0.17582417582417584</v>
      </c>
      <c r="CW956" s="1" t="s">
        <v>1202</v>
      </c>
      <c r="CX956" s="311" t="str">
        <f t="shared" si="1236"/>
        <v>reg</v>
      </c>
      <c r="CY956" t="s">
        <v>428</v>
      </c>
      <c r="DA956" s="143"/>
      <c r="DB956" s="143">
        <v>60</v>
      </c>
      <c r="DC956" t="str">
        <f t="shared" si="1237"/>
        <v>31-70</v>
      </c>
      <c r="DD956">
        <v>0</v>
      </c>
      <c r="DE956">
        <v>0</v>
      </c>
      <c r="DF956">
        <v>0</v>
      </c>
      <c r="DG956">
        <v>1</v>
      </c>
      <c r="DI956">
        <f t="shared" si="1238"/>
        <v>1</v>
      </c>
      <c r="DJ956" t="str">
        <f t="shared" si="1239"/>
        <v>TimberInput</v>
      </c>
      <c r="DK956">
        <f t="shared" si="1240"/>
        <v>0</v>
      </c>
      <c r="DL956">
        <f t="shared" si="1241"/>
        <v>0</v>
      </c>
      <c r="DM956">
        <f t="shared" si="1242"/>
        <v>0</v>
      </c>
      <c r="DN956" t="str">
        <f t="shared" si="1243"/>
        <v>Timber</v>
      </c>
      <c r="DO956">
        <v>0</v>
      </c>
      <c r="DP956" s="143">
        <v>0</v>
      </c>
      <c r="DQ956" s="143">
        <v>0</v>
      </c>
      <c r="DR956">
        <v>0</v>
      </c>
      <c r="DS956" s="143">
        <v>0</v>
      </c>
      <c r="DT956">
        <f t="shared" si="1244"/>
        <v>0</v>
      </c>
      <c r="DU956" s="143" t="str">
        <f t="shared" si="1245"/>
        <v>explicit C balance</v>
      </c>
      <c r="DV956" s="143">
        <v>0</v>
      </c>
      <c r="DW956" s="143">
        <v>0</v>
      </c>
      <c r="DX956" s="143">
        <v>0</v>
      </c>
      <c r="DY956" s="143">
        <v>1</v>
      </c>
      <c r="DZ956">
        <v>1</v>
      </c>
      <c r="EA956" s="143">
        <v>1</v>
      </c>
      <c r="EB956" s="143">
        <v>1</v>
      </c>
      <c r="EC956" s="143">
        <v>1</v>
      </c>
      <c r="ED956" s="143">
        <v>1</v>
      </c>
      <c r="EE956" s="143">
        <v>1</v>
      </c>
      <c r="EF956">
        <v>0</v>
      </c>
      <c r="EG956" s="143">
        <v>0</v>
      </c>
      <c r="EH956">
        <v>0</v>
      </c>
      <c r="EI956" s="2">
        <v>0</v>
      </c>
      <c r="EK956" t="str">
        <f t="shared" si="1247"/>
        <v/>
      </c>
      <c r="EL956" t="str">
        <f t="shared" si="1248"/>
        <v/>
      </c>
      <c r="EM956" s="2" t="str">
        <f t="shared" si="1223"/>
        <v>Technology approach</v>
      </c>
      <c r="EP956" t="b">
        <f>IF(ISNUMBER(BU956),IF(ABS(BU956-[1]QC_indicators!$B$2)&gt;3*[1]QC_indicators!$C$2,"C ratio",IF(ISNUMBER(BY956),IF(ABS(BY956-[1]QC_indicators!$B$1)&gt;3*[1]QC_indicators!$C$1,"DF","no"))),IF(ISNUMBER(BY956),IF(ABS(BY956-[1]QC_indicators!$B$1)&gt;3*[1]QC_indicators!$C$1,"DF","no")))</f>
        <v>0</v>
      </c>
      <c r="ER956" s="313" t="s">
        <v>349</v>
      </c>
    </row>
    <row r="957" spans="1:150" ht="15" hidden="1" customHeight="1">
      <c r="A957" s="1" t="s">
        <v>656</v>
      </c>
      <c r="B957" t="s">
        <v>3810</v>
      </c>
      <c r="C957" t="s">
        <v>3811</v>
      </c>
      <c r="D957" t="s">
        <v>3812</v>
      </c>
      <c r="E957" t="s">
        <v>3813</v>
      </c>
      <c r="F957" t="s">
        <v>3814</v>
      </c>
      <c r="G957" t="s">
        <v>662</v>
      </c>
      <c r="H957" t="s">
        <v>254</v>
      </c>
      <c r="I957">
        <v>2021</v>
      </c>
      <c r="J957">
        <v>2</v>
      </c>
      <c r="K957" t="s">
        <v>3815</v>
      </c>
      <c r="M957" t="str">
        <f t="shared" si="1132"/>
        <v>Liang_2021</v>
      </c>
      <c r="N957" s="311" t="s">
        <v>4382</v>
      </c>
      <c r="O957" s="145" t="s">
        <v>225</v>
      </c>
      <c r="Q957" s="311" t="s">
        <v>256</v>
      </c>
      <c r="R957" s="312"/>
      <c r="S957" s="1" t="s">
        <v>3816</v>
      </c>
      <c r="T957" s="143" t="s">
        <v>3817</v>
      </c>
      <c r="U957" s="143" t="s">
        <v>3822</v>
      </c>
      <c r="V957">
        <v>0</v>
      </c>
      <c r="W957">
        <v>0</v>
      </c>
      <c r="X957">
        <v>0</v>
      </c>
      <c r="Y957">
        <v>0</v>
      </c>
      <c r="Z957">
        <v>0</v>
      </c>
      <c r="AA957">
        <v>0</v>
      </c>
      <c r="AB957">
        <v>0</v>
      </c>
      <c r="AC957">
        <v>0</v>
      </c>
      <c r="AD957">
        <v>0</v>
      </c>
      <c r="AE957">
        <v>0</v>
      </c>
      <c r="AF957">
        <v>0</v>
      </c>
      <c r="AG957">
        <v>0</v>
      </c>
      <c r="AH957">
        <v>1</v>
      </c>
      <c r="AI957">
        <v>0</v>
      </c>
      <c r="AJ957">
        <v>0</v>
      </c>
      <c r="AK957">
        <v>0</v>
      </c>
      <c r="AL957">
        <v>0</v>
      </c>
      <c r="AM957">
        <v>0</v>
      </c>
      <c r="AN957">
        <v>0</v>
      </c>
      <c r="AO957">
        <v>0</v>
      </c>
      <c r="AP957">
        <v>0</v>
      </c>
      <c r="AQ957">
        <v>0</v>
      </c>
      <c r="AR957">
        <v>0</v>
      </c>
      <c r="AS957">
        <v>0</v>
      </c>
      <c r="AT957">
        <v>0</v>
      </c>
      <c r="AU957">
        <v>0</v>
      </c>
      <c r="AV957">
        <v>0</v>
      </c>
      <c r="AW957">
        <v>0</v>
      </c>
      <c r="AX957" s="141">
        <f t="shared" si="1224"/>
        <v>1</v>
      </c>
      <c r="AY957" s="141">
        <f t="shared" si="1225"/>
        <v>1</v>
      </c>
      <c r="AZ957">
        <f t="shared" si="1226"/>
        <v>0</v>
      </c>
      <c r="BA957">
        <f t="shared" si="1227"/>
        <v>1</v>
      </c>
      <c r="BB957">
        <f t="shared" si="1228"/>
        <v>0</v>
      </c>
      <c r="BC957">
        <f t="shared" si="1229"/>
        <v>0</v>
      </c>
      <c r="BD957">
        <f t="shared" si="1230"/>
        <v>0</v>
      </c>
      <c r="BE957" t="str" cm="1">
        <f t="array" ref="BE957">IF(AY957=1,INDEX($V$7:$AL$7,MATCH(TRUE,INDEX($V957:$AW957&lt;&gt;0,),0)),IF(AY957=0,INDEX($AM$7:$AW$7,MATCH(1,$AM957:$AW957,0)),IF(BF957="Multiple strategies","mixed drivers",IF(BF957="Supply chain","multiple supply","multiple silviculture"))))</f>
        <v xml:space="preserve">end of life disposal </v>
      </c>
      <c r="BF957" s="2" t="str" cm="1">
        <f t="array" ref="BF957">IF(COUNTIF(AZ957:BB957,"&lt;&gt;0")=1,INDEX($V$4:$AW$4,MATCH(TRUE,INDEX($V957:$AW957&lt;&gt;0,),0)),IF(COUNTIF(AZ957:BB957,"&lt;&gt;0")=0,INDEX($AM$4:$AW$4,MATCH(1,$AM957:$AW957,0)),"Multiple strategies"))</f>
        <v>Supply chain</v>
      </c>
      <c r="BG957" s="142"/>
      <c r="BJ957" s="143"/>
      <c r="BL957" s="143"/>
      <c r="BM957" s="163"/>
      <c r="BN957" s="158"/>
      <c r="BO957" s="143"/>
      <c r="BP957" s="311" t="s">
        <v>232</v>
      </c>
      <c r="BQ957" s="311"/>
      <c r="BR957" t="s">
        <v>3819</v>
      </c>
      <c r="BS957">
        <v>-273</v>
      </c>
      <c r="BT957">
        <v>-208</v>
      </c>
      <c r="BU957" s="144">
        <v>0.76190476190476186</v>
      </c>
      <c r="BV957">
        <v>65</v>
      </c>
      <c r="BX957">
        <v>-6.5000000000000002E-2</v>
      </c>
      <c r="BY957" t="str">
        <f t="shared" si="1195"/>
        <v/>
      </c>
      <c r="BZ957">
        <v>0</v>
      </c>
      <c r="CA957">
        <v>0</v>
      </c>
      <c r="CB957">
        <v>0</v>
      </c>
      <c r="CC957">
        <v>0</v>
      </c>
      <c r="CD957">
        <v>0</v>
      </c>
      <c r="CE957">
        <v>0</v>
      </c>
      <c r="CF957">
        <v>0</v>
      </c>
      <c r="CG957">
        <v>0</v>
      </c>
      <c r="CH957">
        <v>0</v>
      </c>
      <c r="CI957">
        <v>0</v>
      </c>
      <c r="CJ957">
        <v>0</v>
      </c>
      <c r="CK957">
        <v>0</v>
      </c>
      <c r="CL957">
        <v>0</v>
      </c>
      <c r="CM957">
        <v>0</v>
      </c>
      <c r="CN957" t="str">
        <f t="shared" si="1246"/>
        <v>refOK</v>
      </c>
      <c r="CO957"/>
      <c r="CP957"/>
      <c r="CQ957"/>
      <c r="CR957">
        <f t="shared" si="1231"/>
        <v>-273</v>
      </c>
      <c r="CS957">
        <f t="shared" si="1232"/>
        <v>-208</v>
      </c>
      <c r="CT957">
        <f t="shared" si="1233"/>
        <v>-6.5000000000000002E-2</v>
      </c>
      <c r="CU957" t="str">
        <f t="shared" si="1234"/>
        <v/>
      </c>
      <c r="CV957" s="2">
        <f t="shared" si="1235"/>
        <v>0.23809523809523808</v>
      </c>
      <c r="CW957" s="1" t="s">
        <v>1202</v>
      </c>
      <c r="CX957" s="311" t="str">
        <f t="shared" si="1236"/>
        <v>reg</v>
      </c>
      <c r="CY957" t="s">
        <v>428</v>
      </c>
      <c r="DA957" s="143"/>
      <c r="DB957" s="143">
        <v>60</v>
      </c>
      <c r="DC957" t="str">
        <f t="shared" si="1237"/>
        <v>31-70</v>
      </c>
      <c r="DD957">
        <v>0</v>
      </c>
      <c r="DE957">
        <v>0</v>
      </c>
      <c r="DF957">
        <v>0</v>
      </c>
      <c r="DG957">
        <v>1</v>
      </c>
      <c r="DI957">
        <f t="shared" si="1238"/>
        <v>1</v>
      </c>
      <c r="DJ957" t="str">
        <f t="shared" si="1239"/>
        <v>TimberInput</v>
      </c>
      <c r="DK957">
        <f t="shared" si="1240"/>
        <v>0</v>
      </c>
      <c r="DL957">
        <f t="shared" si="1241"/>
        <v>0</v>
      </c>
      <c r="DM957">
        <f t="shared" si="1242"/>
        <v>0</v>
      </c>
      <c r="DN957" t="str">
        <f t="shared" si="1243"/>
        <v>Timber</v>
      </c>
      <c r="DO957">
        <v>0</v>
      </c>
      <c r="DP957" s="143">
        <v>0</v>
      </c>
      <c r="DQ957" s="143">
        <v>0</v>
      </c>
      <c r="DR957">
        <v>0</v>
      </c>
      <c r="DS957" s="143">
        <v>0</v>
      </c>
      <c r="DT957">
        <f t="shared" si="1244"/>
        <v>0</v>
      </c>
      <c r="DU957" s="143" t="str">
        <f t="shared" si="1245"/>
        <v>explicit C balance</v>
      </c>
      <c r="DV957" s="143">
        <v>0</v>
      </c>
      <c r="DW957" s="143">
        <v>0</v>
      </c>
      <c r="DX957" s="143">
        <v>0</v>
      </c>
      <c r="DY957" s="143">
        <v>1</v>
      </c>
      <c r="DZ957">
        <v>1</v>
      </c>
      <c r="EA957" s="143">
        <v>1</v>
      </c>
      <c r="EB957" s="143">
        <v>1</v>
      </c>
      <c r="EC957" s="143">
        <v>1</v>
      </c>
      <c r="ED957" s="143">
        <v>1</v>
      </c>
      <c r="EE957" s="143">
        <v>1</v>
      </c>
      <c r="EF957">
        <v>0</v>
      </c>
      <c r="EG957" s="143">
        <v>0</v>
      </c>
      <c r="EH957">
        <v>0</v>
      </c>
      <c r="EI957" s="2">
        <v>0</v>
      </c>
      <c r="EK957" t="str">
        <f t="shared" si="1247"/>
        <v/>
      </c>
      <c r="EL957" t="str">
        <f t="shared" si="1248"/>
        <v/>
      </c>
      <c r="EM957" s="2" t="str">
        <f t="shared" si="1223"/>
        <v>Technology approach</v>
      </c>
      <c r="EP957" t="b">
        <f>IF(ISNUMBER(BU957),IF(ABS(BU957-[1]QC_indicators!$B$2)&gt;3*[1]QC_indicators!$C$2,"C ratio",IF(ISNUMBER(BY957),IF(ABS(BY957-[1]QC_indicators!$B$1)&gt;3*[1]QC_indicators!$C$1,"DF","no"))),IF(ISNUMBER(BY957),IF(ABS(BY957-[1]QC_indicators!$B$1)&gt;3*[1]QC_indicators!$C$1,"DF","no")))</f>
        <v>0</v>
      </c>
      <c r="ER957" s="313" t="s">
        <v>349</v>
      </c>
    </row>
    <row r="958" spans="1:150" ht="15" hidden="1" customHeight="1">
      <c r="A958" s="1" t="s">
        <v>656</v>
      </c>
      <c r="B958" t="s">
        <v>3810</v>
      </c>
      <c r="C958" t="s">
        <v>3811</v>
      </c>
      <c r="D958" t="s">
        <v>3812</v>
      </c>
      <c r="E958" t="s">
        <v>3813</v>
      </c>
      <c r="F958" t="s">
        <v>3814</v>
      </c>
      <c r="G958" t="s">
        <v>662</v>
      </c>
      <c r="H958" t="s">
        <v>254</v>
      </c>
      <c r="I958">
        <v>2021</v>
      </c>
      <c r="J958">
        <v>2</v>
      </c>
      <c r="K958" t="s">
        <v>3815</v>
      </c>
      <c r="M958" t="str">
        <f t="shared" si="1132"/>
        <v>Liang_2021</v>
      </c>
      <c r="N958" s="311" t="s">
        <v>4382</v>
      </c>
      <c r="O958" s="145" t="s">
        <v>225</v>
      </c>
      <c r="Q958" s="311" t="s">
        <v>256</v>
      </c>
      <c r="R958" s="312"/>
      <c r="S958" s="1" t="s">
        <v>3823</v>
      </c>
      <c r="T958" t="s">
        <v>3824</v>
      </c>
      <c r="U958" s="143" t="s">
        <v>3825</v>
      </c>
      <c r="V958">
        <v>0</v>
      </c>
      <c r="W958">
        <v>0</v>
      </c>
      <c r="X958">
        <v>0</v>
      </c>
      <c r="Y958">
        <v>0</v>
      </c>
      <c r="Z958">
        <v>0</v>
      </c>
      <c r="AA958">
        <v>0</v>
      </c>
      <c r="AB958">
        <v>0</v>
      </c>
      <c r="AC958">
        <v>0</v>
      </c>
      <c r="AD958">
        <v>0</v>
      </c>
      <c r="AE958">
        <v>0</v>
      </c>
      <c r="AF958">
        <v>1</v>
      </c>
      <c r="AG958">
        <v>0</v>
      </c>
      <c r="AH958">
        <v>0</v>
      </c>
      <c r="AI958">
        <v>0</v>
      </c>
      <c r="AJ958">
        <v>0</v>
      </c>
      <c r="AK958">
        <v>0</v>
      </c>
      <c r="AL958">
        <v>0</v>
      </c>
      <c r="AM958">
        <v>0</v>
      </c>
      <c r="AN958">
        <v>0</v>
      </c>
      <c r="AO958">
        <v>0</v>
      </c>
      <c r="AP958">
        <v>0</v>
      </c>
      <c r="AQ958">
        <v>0</v>
      </c>
      <c r="AR958">
        <v>0</v>
      </c>
      <c r="AS958">
        <v>0</v>
      </c>
      <c r="AT958">
        <v>0</v>
      </c>
      <c r="AU958">
        <v>0</v>
      </c>
      <c r="AV958">
        <v>0</v>
      </c>
      <c r="AW958">
        <v>0</v>
      </c>
      <c r="AX958" s="141">
        <f t="shared" si="1224"/>
        <v>1</v>
      </c>
      <c r="AY958" s="141">
        <f t="shared" si="1225"/>
        <v>1</v>
      </c>
      <c r="AZ958">
        <f t="shared" si="1226"/>
        <v>0</v>
      </c>
      <c r="BA958">
        <f t="shared" si="1227"/>
        <v>1</v>
      </c>
      <c r="BB958">
        <f t="shared" si="1228"/>
        <v>0</v>
      </c>
      <c r="BC958">
        <f t="shared" si="1229"/>
        <v>0</v>
      </c>
      <c r="BD958">
        <f t="shared" si="1230"/>
        <v>0</v>
      </c>
      <c r="BE958" t="str" cm="1">
        <f t="array" ref="BE958">IF(AY958=1,INDEX($V$7:$AL$7,MATCH(TRUE,INDEX($V958:$AW958&lt;&gt;0,),0)),IF(AY958=0,INDEX($AM$7:$AW$7,MATCH(1,$AM958:$AW958,0)),IF(BF958="Multiple strategies","mixed drivers",IF(BF958="Supply chain","multiple supply","multiple silviculture"))))</f>
        <v>supply chain organization</v>
      </c>
      <c r="BF958" s="2" t="str" cm="1">
        <f t="array" ref="BF958">IF(COUNTIF(AZ958:BB958,"&lt;&gt;0")=1,INDEX($V$4:$AW$4,MATCH(TRUE,INDEX($V958:$AW958&lt;&gt;0,),0)),IF(COUNTIF(AZ958:BB958,"&lt;&gt;0")=0,INDEX($AM$4:$AW$4,MATCH(1,$AM958:$AW958,0)),"Multiple strategies"))</f>
        <v>Supply chain</v>
      </c>
      <c r="BG958" s="142"/>
      <c r="BJ958" s="143"/>
      <c r="BL958" s="143"/>
      <c r="BM958" s="163"/>
      <c r="BN958" s="158"/>
      <c r="BO958" s="143"/>
      <c r="BP958" s="311" t="s">
        <v>232</v>
      </c>
      <c r="BQ958" s="311"/>
      <c r="BR958" t="s">
        <v>3819</v>
      </c>
      <c r="BS958">
        <v>-36.467999999999996</v>
      </c>
      <c r="BT958">
        <v>-63.11</v>
      </c>
      <c r="BU958" s="144">
        <v>1.7305582976856424</v>
      </c>
      <c r="BV958">
        <v>-26.642000000000003</v>
      </c>
      <c r="BX958">
        <v>2.6642000000000002E-2</v>
      </c>
      <c r="BY958" t="str">
        <f t="shared" si="1195"/>
        <v/>
      </c>
      <c r="BZ958">
        <v>0</v>
      </c>
      <c r="CA958">
        <v>0</v>
      </c>
      <c r="CB958">
        <v>0</v>
      </c>
      <c r="CC958">
        <v>0</v>
      </c>
      <c r="CD958">
        <v>0</v>
      </c>
      <c r="CE958">
        <v>0</v>
      </c>
      <c r="CF958">
        <v>0</v>
      </c>
      <c r="CG958">
        <v>0</v>
      </c>
      <c r="CH958">
        <v>0</v>
      </c>
      <c r="CI958">
        <v>0</v>
      </c>
      <c r="CJ958">
        <v>0</v>
      </c>
      <c r="CK958">
        <v>0</v>
      </c>
      <c r="CL958">
        <v>0</v>
      </c>
      <c r="CM958">
        <v>0</v>
      </c>
      <c r="CN958" t="str">
        <f t="shared" si="1246"/>
        <v>refOK</v>
      </c>
      <c r="CO958"/>
      <c r="CP958"/>
      <c r="CQ958"/>
      <c r="CR958">
        <f t="shared" si="1231"/>
        <v>-36.467999999999996</v>
      </c>
      <c r="CS958">
        <f t="shared" si="1232"/>
        <v>-63.11</v>
      </c>
      <c r="CT958">
        <f t="shared" si="1233"/>
        <v>2.6642000000000002E-2</v>
      </c>
      <c r="CU958" t="str">
        <f t="shared" si="1234"/>
        <v/>
      </c>
      <c r="CV958" s="2">
        <f t="shared" si="1235"/>
        <v>-0.7305582976856424</v>
      </c>
      <c r="CW958" s="1" t="s">
        <v>1202</v>
      </c>
      <c r="CX958" s="311" t="str">
        <f t="shared" si="1236"/>
        <v>reg</v>
      </c>
      <c r="CY958" t="s">
        <v>428</v>
      </c>
      <c r="DA958" s="143"/>
      <c r="DB958" s="143">
        <v>60</v>
      </c>
      <c r="DC958" t="str">
        <f t="shared" si="1237"/>
        <v>31-70</v>
      </c>
      <c r="DD958">
        <v>0</v>
      </c>
      <c r="DE958">
        <v>0</v>
      </c>
      <c r="DF958">
        <v>0</v>
      </c>
      <c r="DG958">
        <v>1</v>
      </c>
      <c r="DI958">
        <f t="shared" si="1238"/>
        <v>1</v>
      </c>
      <c r="DJ958" t="str">
        <f t="shared" si="1239"/>
        <v>TimberInput</v>
      </c>
      <c r="DK958">
        <f t="shared" si="1240"/>
        <v>0</v>
      </c>
      <c r="DL958">
        <f t="shared" si="1241"/>
        <v>0</v>
      </c>
      <c r="DM958">
        <f t="shared" si="1242"/>
        <v>0</v>
      </c>
      <c r="DN958" t="str">
        <f t="shared" si="1243"/>
        <v>Timber</v>
      </c>
      <c r="DO958">
        <v>0</v>
      </c>
      <c r="DP958" s="143">
        <v>0</v>
      </c>
      <c r="DQ958" s="143">
        <v>0</v>
      </c>
      <c r="DR958">
        <v>0</v>
      </c>
      <c r="DS958" s="143">
        <v>0</v>
      </c>
      <c r="DT958">
        <f t="shared" si="1244"/>
        <v>0</v>
      </c>
      <c r="DU958" s="143" t="str">
        <f t="shared" si="1245"/>
        <v>explicit C balance</v>
      </c>
      <c r="DV958" s="143">
        <v>0</v>
      </c>
      <c r="DW958" s="143">
        <v>0</v>
      </c>
      <c r="DX958" s="143">
        <v>0</v>
      </c>
      <c r="DY958" s="143">
        <v>1</v>
      </c>
      <c r="DZ958">
        <v>1</v>
      </c>
      <c r="EA958" s="143">
        <v>1</v>
      </c>
      <c r="EB958" s="143">
        <v>1</v>
      </c>
      <c r="EC958" s="143">
        <v>1</v>
      </c>
      <c r="ED958" s="143">
        <v>1</v>
      </c>
      <c r="EE958" s="143">
        <v>1</v>
      </c>
      <c r="EF958">
        <v>0</v>
      </c>
      <c r="EG958" s="143">
        <v>0</v>
      </c>
      <c r="EH958">
        <v>0</v>
      </c>
      <c r="EI958" s="2">
        <v>0</v>
      </c>
      <c r="EK958" t="str">
        <f t="shared" si="1247"/>
        <v/>
      </c>
      <c r="EL958" t="str">
        <f t="shared" si="1248"/>
        <v/>
      </c>
      <c r="EM958" s="2" t="str">
        <f t="shared" si="1223"/>
        <v>Technology approach</v>
      </c>
      <c r="EP958" t="b">
        <f>IF(ISNUMBER(BU958),IF(ABS(BU958-[1]QC_indicators!$B$2)&gt;3*[1]QC_indicators!$C$2,"C ratio",IF(ISNUMBER(BY958),IF(ABS(BY958-[1]QC_indicators!$B$1)&gt;3*[1]QC_indicators!$C$1,"DF","no"))),IF(ISNUMBER(BY958),IF(ABS(BY958-[1]QC_indicators!$B$1)&gt;3*[1]QC_indicators!$C$1,"DF","no")))</f>
        <v>0</v>
      </c>
      <c r="ER958" s="313" t="s">
        <v>349</v>
      </c>
    </row>
    <row r="959" spans="1:150" ht="15" hidden="1" customHeight="1">
      <c r="A959" s="1" t="s">
        <v>656</v>
      </c>
      <c r="B959" t="s">
        <v>3810</v>
      </c>
      <c r="C959" t="s">
        <v>3811</v>
      </c>
      <c r="D959" t="s">
        <v>3812</v>
      </c>
      <c r="E959" t="s">
        <v>3813</v>
      </c>
      <c r="F959" t="s">
        <v>3814</v>
      </c>
      <c r="G959" t="s">
        <v>662</v>
      </c>
      <c r="H959" t="s">
        <v>254</v>
      </c>
      <c r="I959">
        <v>2021</v>
      </c>
      <c r="J959">
        <v>2</v>
      </c>
      <c r="K959" t="s">
        <v>3815</v>
      </c>
      <c r="M959" t="str">
        <f t="shared" si="1132"/>
        <v>Liang_2021</v>
      </c>
      <c r="N959" s="311" t="s">
        <v>4382</v>
      </c>
      <c r="O959" s="145" t="s">
        <v>225</v>
      </c>
      <c r="Q959" s="311" t="s">
        <v>256</v>
      </c>
      <c r="R959" s="312"/>
      <c r="S959" s="1" t="s">
        <v>3823</v>
      </c>
      <c r="T959" t="s">
        <v>3824</v>
      </c>
      <c r="U959" s="143" t="s">
        <v>3826</v>
      </c>
      <c r="V959">
        <v>0</v>
      </c>
      <c r="W959">
        <v>0</v>
      </c>
      <c r="X959">
        <v>0</v>
      </c>
      <c r="Y959">
        <v>0</v>
      </c>
      <c r="Z959">
        <v>0</v>
      </c>
      <c r="AA959">
        <v>0</v>
      </c>
      <c r="AB959">
        <v>0</v>
      </c>
      <c r="AC959">
        <v>0</v>
      </c>
      <c r="AD959">
        <v>0</v>
      </c>
      <c r="AE959">
        <v>0</v>
      </c>
      <c r="AF959">
        <v>1</v>
      </c>
      <c r="AG959">
        <v>0</v>
      </c>
      <c r="AH959">
        <v>0</v>
      </c>
      <c r="AI959">
        <v>0</v>
      </c>
      <c r="AJ959">
        <v>0</v>
      </c>
      <c r="AK959">
        <v>0</v>
      </c>
      <c r="AL959">
        <v>0</v>
      </c>
      <c r="AM959">
        <v>0</v>
      </c>
      <c r="AN959">
        <v>0</v>
      </c>
      <c r="AO959">
        <v>0</v>
      </c>
      <c r="AP959">
        <v>0</v>
      </c>
      <c r="AQ959">
        <v>0</v>
      </c>
      <c r="AR959">
        <v>0</v>
      </c>
      <c r="AS959">
        <v>0</v>
      </c>
      <c r="AT959">
        <v>0</v>
      </c>
      <c r="AU959">
        <v>0</v>
      </c>
      <c r="AV959">
        <v>0</v>
      </c>
      <c r="AW959">
        <v>0</v>
      </c>
      <c r="AX959" s="141">
        <f t="shared" si="1224"/>
        <v>1</v>
      </c>
      <c r="AY959" s="141">
        <f t="shared" si="1225"/>
        <v>1</v>
      </c>
      <c r="AZ959">
        <f t="shared" si="1226"/>
        <v>0</v>
      </c>
      <c r="BA959">
        <f t="shared" si="1227"/>
        <v>1</v>
      </c>
      <c r="BB959">
        <f t="shared" si="1228"/>
        <v>0</v>
      </c>
      <c r="BC959">
        <f t="shared" si="1229"/>
        <v>0</v>
      </c>
      <c r="BD959">
        <f t="shared" si="1230"/>
        <v>0</v>
      </c>
      <c r="BE959" t="str" cm="1">
        <f t="array" ref="BE959">IF(AY959=1,INDEX($V$7:$AL$7,MATCH(TRUE,INDEX($V959:$AW959&lt;&gt;0,),0)),IF(AY959=0,INDEX($AM$7:$AW$7,MATCH(1,$AM959:$AW959,0)),IF(BF959="Multiple strategies","mixed drivers",IF(BF959="Supply chain","multiple supply","multiple silviculture"))))</f>
        <v>supply chain organization</v>
      </c>
      <c r="BF959" s="2" t="str" cm="1">
        <f t="array" ref="BF959">IF(COUNTIF(AZ959:BB959,"&lt;&gt;0")=1,INDEX($V$4:$AW$4,MATCH(TRUE,INDEX($V959:$AW959&lt;&gt;0,),0)),IF(COUNTIF(AZ959:BB959,"&lt;&gt;0")=0,INDEX($AM$4:$AW$4,MATCH(1,$AM959:$AW959,0)),"Multiple strategies"))</f>
        <v>Supply chain</v>
      </c>
      <c r="BG959" s="164"/>
      <c r="BH959" s="165"/>
      <c r="BI959" s="165"/>
      <c r="BJ959" s="166"/>
      <c r="BK959" s="167"/>
      <c r="BL959" s="314"/>
      <c r="BM959" s="324"/>
      <c r="BN959" s="325"/>
      <c r="BO959" s="166"/>
      <c r="BP959" s="311" t="s">
        <v>232</v>
      </c>
      <c r="BQ959" s="311"/>
      <c r="BR959" t="s">
        <v>3819</v>
      </c>
      <c r="BS959">
        <v>-36.467999999999996</v>
      </c>
      <c r="BT959">
        <v>-41.379999999999995</v>
      </c>
      <c r="BU959" s="144">
        <v>1.1346934298563123</v>
      </c>
      <c r="BV959">
        <v>-4.911999999999999</v>
      </c>
      <c r="BX959">
        <v>4.9119999999999988E-3</v>
      </c>
      <c r="BY959" t="str">
        <f t="shared" si="1195"/>
        <v/>
      </c>
      <c r="BZ959">
        <v>0</v>
      </c>
      <c r="CA959">
        <v>0</v>
      </c>
      <c r="CB959">
        <v>0</v>
      </c>
      <c r="CC959">
        <v>0</v>
      </c>
      <c r="CD959">
        <v>0</v>
      </c>
      <c r="CE959">
        <v>0</v>
      </c>
      <c r="CF959">
        <v>0</v>
      </c>
      <c r="CG959">
        <v>0</v>
      </c>
      <c r="CH959">
        <v>0</v>
      </c>
      <c r="CI959">
        <v>0</v>
      </c>
      <c r="CJ959">
        <v>0</v>
      </c>
      <c r="CK959">
        <v>0</v>
      </c>
      <c r="CL959">
        <v>0</v>
      </c>
      <c r="CM959">
        <v>0</v>
      </c>
      <c r="CN959" t="str">
        <f t="shared" si="1246"/>
        <v>refOK</v>
      </c>
      <c r="CO959"/>
      <c r="CP959"/>
      <c r="CQ959"/>
      <c r="CR959">
        <f t="shared" si="1231"/>
        <v>-36.467999999999996</v>
      </c>
      <c r="CS959">
        <f t="shared" si="1232"/>
        <v>-41.379999999999995</v>
      </c>
      <c r="CT959">
        <f t="shared" si="1233"/>
        <v>4.9119999999999988E-3</v>
      </c>
      <c r="CU959" t="str">
        <f t="shared" si="1234"/>
        <v/>
      </c>
      <c r="CV959" s="2">
        <f t="shared" si="1235"/>
        <v>-0.13469342985631236</v>
      </c>
      <c r="CW959" s="1" t="s">
        <v>1202</v>
      </c>
      <c r="CX959" s="311" t="str">
        <f t="shared" si="1236"/>
        <v>reg</v>
      </c>
      <c r="CY959" t="s">
        <v>428</v>
      </c>
      <c r="DA959" s="143"/>
      <c r="DB959" s="143">
        <v>60</v>
      </c>
      <c r="DC959" t="str">
        <f t="shared" si="1237"/>
        <v>31-70</v>
      </c>
      <c r="DD959">
        <v>0</v>
      </c>
      <c r="DE959">
        <v>0</v>
      </c>
      <c r="DF959">
        <v>0</v>
      </c>
      <c r="DG959">
        <v>1</v>
      </c>
      <c r="DI959">
        <f t="shared" si="1238"/>
        <v>1</v>
      </c>
      <c r="DJ959" t="str">
        <f t="shared" si="1239"/>
        <v>TimberInput</v>
      </c>
      <c r="DK959">
        <f t="shared" si="1240"/>
        <v>0</v>
      </c>
      <c r="DL959">
        <f t="shared" si="1241"/>
        <v>0</v>
      </c>
      <c r="DM959">
        <f t="shared" si="1242"/>
        <v>0</v>
      </c>
      <c r="DN959" t="str">
        <f t="shared" si="1243"/>
        <v>Timber</v>
      </c>
      <c r="DO959">
        <v>0</v>
      </c>
      <c r="DP959" s="143">
        <v>0</v>
      </c>
      <c r="DQ959" s="143">
        <v>0</v>
      </c>
      <c r="DR959">
        <v>0</v>
      </c>
      <c r="DS959" s="143">
        <v>0</v>
      </c>
      <c r="DT959">
        <f t="shared" si="1244"/>
        <v>0</v>
      </c>
      <c r="DU959" s="143" t="str">
        <f t="shared" si="1245"/>
        <v>explicit C balance</v>
      </c>
      <c r="DV959" s="143">
        <v>0</v>
      </c>
      <c r="DW959" s="143">
        <v>0</v>
      </c>
      <c r="DX959" s="143">
        <v>0</v>
      </c>
      <c r="DY959" s="143">
        <v>1</v>
      </c>
      <c r="DZ959">
        <v>1</v>
      </c>
      <c r="EA959" s="143">
        <v>1</v>
      </c>
      <c r="EB959" s="143">
        <v>1</v>
      </c>
      <c r="EC959" s="143">
        <v>1</v>
      </c>
      <c r="ED959" s="143">
        <v>1</v>
      </c>
      <c r="EE959" s="143">
        <v>1</v>
      </c>
      <c r="EF959">
        <v>0</v>
      </c>
      <c r="EG959" s="143">
        <v>0</v>
      </c>
      <c r="EH959">
        <v>0</v>
      </c>
      <c r="EI959" s="2">
        <v>0</v>
      </c>
      <c r="EK959" t="str">
        <f t="shared" si="1247"/>
        <v/>
      </c>
      <c r="EL959" t="str">
        <f t="shared" si="1248"/>
        <v/>
      </c>
      <c r="EM959" s="2" t="str">
        <f t="shared" si="1223"/>
        <v>Technology approach</v>
      </c>
      <c r="EP959" t="b">
        <f>IF(ISNUMBER(BU959),IF(ABS(BU959-[1]QC_indicators!$B$2)&gt;3*[1]QC_indicators!$C$2,"C ratio",IF(ISNUMBER(BY959),IF(ABS(BY959-[1]QC_indicators!$B$1)&gt;3*[1]QC_indicators!$C$1,"DF","no"))),IF(ISNUMBER(BY959),IF(ABS(BY959-[1]QC_indicators!$B$1)&gt;3*[1]QC_indicators!$C$1,"DF","no")))</f>
        <v>0</v>
      </c>
      <c r="ER959" s="313" t="s">
        <v>349</v>
      </c>
    </row>
    <row r="960" spans="1:150" ht="15" hidden="1" customHeight="1">
      <c r="A960" s="1" t="s">
        <v>656</v>
      </c>
      <c r="B960" t="s">
        <v>3810</v>
      </c>
      <c r="C960" t="s">
        <v>3811</v>
      </c>
      <c r="D960" t="s">
        <v>3812</v>
      </c>
      <c r="E960" t="s">
        <v>3813</v>
      </c>
      <c r="F960" t="s">
        <v>3814</v>
      </c>
      <c r="G960" t="s">
        <v>662</v>
      </c>
      <c r="H960" t="s">
        <v>254</v>
      </c>
      <c r="I960">
        <v>2021</v>
      </c>
      <c r="J960">
        <v>2</v>
      </c>
      <c r="K960" t="s">
        <v>3815</v>
      </c>
      <c r="M960" t="str">
        <f t="shared" si="1132"/>
        <v>Liang_2021</v>
      </c>
      <c r="N960" s="311" t="s">
        <v>4382</v>
      </c>
      <c r="O960" s="145" t="s">
        <v>225</v>
      </c>
      <c r="Q960" s="311" t="s">
        <v>256</v>
      </c>
      <c r="R960" s="312"/>
      <c r="S960" s="1" t="s">
        <v>3823</v>
      </c>
      <c r="T960" t="s">
        <v>3824</v>
      </c>
      <c r="U960" s="143" t="s">
        <v>3827</v>
      </c>
      <c r="V960">
        <v>0</v>
      </c>
      <c r="W960">
        <v>0</v>
      </c>
      <c r="X960">
        <v>0</v>
      </c>
      <c r="Y960">
        <v>0</v>
      </c>
      <c r="Z960">
        <v>0</v>
      </c>
      <c r="AA960">
        <v>0</v>
      </c>
      <c r="AB960">
        <v>0</v>
      </c>
      <c r="AC960">
        <v>0</v>
      </c>
      <c r="AD960">
        <v>0</v>
      </c>
      <c r="AE960">
        <v>0</v>
      </c>
      <c r="AF960">
        <v>1</v>
      </c>
      <c r="AG960">
        <v>0</v>
      </c>
      <c r="AH960">
        <v>0</v>
      </c>
      <c r="AI960">
        <v>0</v>
      </c>
      <c r="AJ960">
        <v>0</v>
      </c>
      <c r="AK960">
        <v>0</v>
      </c>
      <c r="AL960">
        <v>0</v>
      </c>
      <c r="AM960">
        <v>0</v>
      </c>
      <c r="AN960">
        <v>0</v>
      </c>
      <c r="AO960">
        <v>0</v>
      </c>
      <c r="AP960">
        <v>0</v>
      </c>
      <c r="AQ960">
        <v>0</v>
      </c>
      <c r="AR960">
        <v>0</v>
      </c>
      <c r="AS960">
        <v>0</v>
      </c>
      <c r="AT960">
        <v>0</v>
      </c>
      <c r="AU960">
        <v>0</v>
      </c>
      <c r="AV960">
        <v>0</v>
      </c>
      <c r="AW960">
        <v>0</v>
      </c>
      <c r="AX960" s="141">
        <f t="shared" si="1224"/>
        <v>1</v>
      </c>
      <c r="AY960" s="141">
        <f t="shared" si="1225"/>
        <v>1</v>
      </c>
      <c r="AZ960">
        <f t="shared" si="1226"/>
        <v>0</v>
      </c>
      <c r="BA960">
        <f t="shared" si="1227"/>
        <v>1</v>
      </c>
      <c r="BB960">
        <f t="shared" si="1228"/>
        <v>0</v>
      </c>
      <c r="BC960">
        <f t="shared" si="1229"/>
        <v>0</v>
      </c>
      <c r="BD960">
        <f t="shared" si="1230"/>
        <v>0</v>
      </c>
      <c r="BE960" t="str" cm="1">
        <f t="array" ref="BE960">IF(AY960=1,INDEX($V$7:$AL$7,MATCH(TRUE,INDEX($V960:$AW960&lt;&gt;0,),0)),IF(AY960=0,INDEX($AM$7:$AW$7,MATCH(1,$AM960:$AW960,0)),IF(BF960="Multiple strategies","mixed drivers",IF(BF960="Supply chain","multiple supply","multiple silviculture"))))</f>
        <v>supply chain organization</v>
      </c>
      <c r="BF960" s="2" t="str" cm="1">
        <f t="array" ref="BF960">IF(COUNTIF(AZ960:BB960,"&lt;&gt;0")=1,INDEX($V$4:$AW$4,MATCH(TRUE,INDEX($V960:$AW960&lt;&gt;0,),0)),IF(COUNTIF(AZ960:BB960,"&lt;&gt;0")=0,INDEX($AM$4:$AW$4,MATCH(1,$AM960:$AW960,0)),"Multiple strategies"))</f>
        <v>Supply chain</v>
      </c>
      <c r="BG960" s="142"/>
      <c r="BJ960" s="143"/>
      <c r="BL960" s="143"/>
      <c r="BM960" s="163"/>
      <c r="BN960" s="158"/>
      <c r="BO960" s="143"/>
      <c r="BP960" s="311" t="s">
        <v>232</v>
      </c>
      <c r="BQ960" s="311"/>
      <c r="BR960" t="s">
        <v>3819</v>
      </c>
      <c r="BS960">
        <v>-36.467999999999996</v>
      </c>
      <c r="BT960">
        <v>-35.64</v>
      </c>
      <c r="BU960" s="144">
        <v>0.97729516288252727</v>
      </c>
      <c r="BV960">
        <v>0.82799999999999585</v>
      </c>
      <c r="BX960">
        <v>-8.2799999999999584E-4</v>
      </c>
      <c r="BY960" t="str">
        <f t="shared" si="1195"/>
        <v/>
      </c>
      <c r="BZ960">
        <v>0</v>
      </c>
      <c r="CA960">
        <v>0</v>
      </c>
      <c r="CB960">
        <v>0</v>
      </c>
      <c r="CC960">
        <v>0</v>
      </c>
      <c r="CD960">
        <v>0</v>
      </c>
      <c r="CE960">
        <v>0</v>
      </c>
      <c r="CF960">
        <v>0</v>
      </c>
      <c r="CG960">
        <v>0</v>
      </c>
      <c r="CH960">
        <v>0</v>
      </c>
      <c r="CI960">
        <v>0</v>
      </c>
      <c r="CJ960">
        <v>0</v>
      </c>
      <c r="CK960">
        <v>0</v>
      </c>
      <c r="CL960">
        <v>0</v>
      </c>
      <c r="CM960">
        <v>0</v>
      </c>
      <c r="CN960" t="str">
        <f t="shared" si="1246"/>
        <v>refOK</v>
      </c>
      <c r="CO960"/>
      <c r="CP960"/>
      <c r="CQ960"/>
      <c r="CR960">
        <f t="shared" si="1231"/>
        <v>-36.467999999999996</v>
      </c>
      <c r="CS960">
        <f t="shared" si="1232"/>
        <v>-35.64</v>
      </c>
      <c r="CT960">
        <f t="shared" si="1233"/>
        <v>-8.2799999999999584E-4</v>
      </c>
      <c r="CU960" t="str">
        <f t="shared" si="1234"/>
        <v/>
      </c>
      <c r="CV960" s="2">
        <f t="shared" si="1235"/>
        <v>2.2704837117472742E-2</v>
      </c>
      <c r="CW960" s="1" t="s">
        <v>1202</v>
      </c>
      <c r="CX960" s="311" t="str">
        <f t="shared" si="1236"/>
        <v>reg</v>
      </c>
      <c r="CY960" t="s">
        <v>428</v>
      </c>
      <c r="DA960" s="143"/>
      <c r="DB960" s="143">
        <v>60</v>
      </c>
      <c r="DC960" t="str">
        <f t="shared" si="1237"/>
        <v>31-70</v>
      </c>
      <c r="DD960">
        <v>0</v>
      </c>
      <c r="DE960">
        <v>0</v>
      </c>
      <c r="DF960">
        <v>0</v>
      </c>
      <c r="DG960">
        <v>1</v>
      </c>
      <c r="DI960">
        <f t="shared" si="1238"/>
        <v>1</v>
      </c>
      <c r="DJ960" t="str">
        <f t="shared" si="1239"/>
        <v>TimberInput</v>
      </c>
      <c r="DK960">
        <f t="shared" si="1240"/>
        <v>0</v>
      </c>
      <c r="DL960">
        <f t="shared" si="1241"/>
        <v>0</v>
      </c>
      <c r="DM960">
        <f t="shared" si="1242"/>
        <v>0</v>
      </c>
      <c r="DN960" t="str">
        <f t="shared" si="1243"/>
        <v>Timber</v>
      </c>
      <c r="DO960">
        <v>0</v>
      </c>
      <c r="DP960" s="143">
        <v>0</v>
      </c>
      <c r="DQ960" s="143">
        <v>0</v>
      </c>
      <c r="DR960">
        <v>0</v>
      </c>
      <c r="DS960" s="143">
        <v>0</v>
      </c>
      <c r="DT960">
        <f t="shared" si="1244"/>
        <v>0</v>
      </c>
      <c r="DU960" s="143" t="str">
        <f t="shared" si="1245"/>
        <v>explicit C balance</v>
      </c>
      <c r="DV960" s="143">
        <v>0</v>
      </c>
      <c r="DW960" s="143">
        <v>0</v>
      </c>
      <c r="DX960" s="143">
        <v>0</v>
      </c>
      <c r="DY960" s="143">
        <v>1</v>
      </c>
      <c r="DZ960">
        <v>1</v>
      </c>
      <c r="EA960" s="143">
        <v>1</v>
      </c>
      <c r="EB960" s="143">
        <v>1</v>
      </c>
      <c r="EC960" s="143">
        <v>1</v>
      </c>
      <c r="ED960" s="143">
        <v>1</v>
      </c>
      <c r="EE960" s="143">
        <v>1</v>
      </c>
      <c r="EF960">
        <v>0</v>
      </c>
      <c r="EG960" s="143">
        <v>0</v>
      </c>
      <c r="EH960">
        <v>0</v>
      </c>
      <c r="EI960" s="2">
        <v>0</v>
      </c>
      <c r="EK960" t="str">
        <f t="shared" si="1247"/>
        <v/>
      </c>
      <c r="EL960" t="str">
        <f t="shared" si="1248"/>
        <v/>
      </c>
      <c r="EM960" s="2" t="str">
        <f t="shared" si="1223"/>
        <v>Technology approach</v>
      </c>
      <c r="EP960" t="b">
        <f>IF(ISNUMBER(BU960),IF(ABS(BU960-[1]QC_indicators!$B$2)&gt;3*[1]QC_indicators!$C$2,"C ratio",IF(ISNUMBER(BY960),IF(ABS(BY960-[1]QC_indicators!$B$1)&gt;3*[1]QC_indicators!$C$1,"DF","no"))),IF(ISNUMBER(BY960),IF(ABS(BY960-[1]QC_indicators!$B$1)&gt;3*[1]QC_indicators!$C$1,"DF","no")))</f>
        <v>0</v>
      </c>
      <c r="ER960" s="313" t="s">
        <v>349</v>
      </c>
    </row>
    <row r="961" spans="1:150" ht="15" hidden="1" customHeight="1">
      <c r="A961" s="1" t="s">
        <v>656</v>
      </c>
      <c r="B961" t="s">
        <v>3810</v>
      </c>
      <c r="C961" t="s">
        <v>3811</v>
      </c>
      <c r="D961" t="s">
        <v>3812</v>
      </c>
      <c r="E961" t="s">
        <v>3813</v>
      </c>
      <c r="F961" t="s">
        <v>3814</v>
      </c>
      <c r="G961" t="s">
        <v>662</v>
      </c>
      <c r="H961" t="s">
        <v>254</v>
      </c>
      <c r="I961">
        <v>2021</v>
      </c>
      <c r="J961">
        <v>2</v>
      </c>
      <c r="K961" t="s">
        <v>3815</v>
      </c>
      <c r="M961" t="str">
        <f t="shared" ref="M961:M1024" si="1249">LEFT($D961,FIND(",",$D961)-1)&amp;"_"&amp;I961&amp;L961</f>
        <v>Liang_2021</v>
      </c>
      <c r="N961" s="311" t="s">
        <v>4382</v>
      </c>
      <c r="O961" s="145" t="s">
        <v>225</v>
      </c>
      <c r="Q961" s="311" t="s">
        <v>256</v>
      </c>
      <c r="R961" s="312"/>
      <c r="S961" s="1" t="s">
        <v>3823</v>
      </c>
      <c r="T961" t="s">
        <v>3824</v>
      </c>
      <c r="U961" s="143" t="s">
        <v>3828</v>
      </c>
      <c r="V961">
        <v>0</v>
      </c>
      <c r="W961">
        <v>0</v>
      </c>
      <c r="X961">
        <v>0</v>
      </c>
      <c r="Y961">
        <v>0</v>
      </c>
      <c r="Z961">
        <v>0</v>
      </c>
      <c r="AA961">
        <v>0</v>
      </c>
      <c r="AB961">
        <v>0</v>
      </c>
      <c r="AC961">
        <v>0</v>
      </c>
      <c r="AD961">
        <v>0</v>
      </c>
      <c r="AE961">
        <v>0</v>
      </c>
      <c r="AF961">
        <v>1</v>
      </c>
      <c r="AG961">
        <v>0</v>
      </c>
      <c r="AH961">
        <v>0</v>
      </c>
      <c r="AI961">
        <v>0</v>
      </c>
      <c r="AJ961">
        <v>0</v>
      </c>
      <c r="AK961">
        <v>0</v>
      </c>
      <c r="AL961">
        <v>0</v>
      </c>
      <c r="AM961">
        <v>0</v>
      </c>
      <c r="AN961">
        <v>0</v>
      </c>
      <c r="AO961">
        <v>0</v>
      </c>
      <c r="AP961">
        <v>0</v>
      </c>
      <c r="AQ961">
        <v>0</v>
      </c>
      <c r="AR961">
        <v>0</v>
      </c>
      <c r="AS961">
        <v>0</v>
      </c>
      <c r="AT961">
        <v>0</v>
      </c>
      <c r="AU961">
        <v>0</v>
      </c>
      <c r="AV961">
        <v>0</v>
      </c>
      <c r="AW961">
        <v>0</v>
      </c>
      <c r="AX961" s="141">
        <f t="shared" si="1224"/>
        <v>1</v>
      </c>
      <c r="AY961" s="141">
        <f t="shared" si="1225"/>
        <v>1</v>
      </c>
      <c r="AZ961">
        <f t="shared" si="1226"/>
        <v>0</v>
      </c>
      <c r="BA961">
        <f t="shared" si="1227"/>
        <v>1</v>
      </c>
      <c r="BB961">
        <f t="shared" si="1228"/>
        <v>0</v>
      </c>
      <c r="BC961">
        <f t="shared" si="1229"/>
        <v>0</v>
      </c>
      <c r="BD961">
        <f t="shared" si="1230"/>
        <v>0</v>
      </c>
      <c r="BE961" t="str" cm="1">
        <f t="array" ref="BE961">IF(AY961=1,INDEX($V$7:$AL$7,MATCH(TRUE,INDEX($V961:$AW961&lt;&gt;0,),0)),IF(AY961=0,INDEX($AM$7:$AW$7,MATCH(1,$AM961:$AW961,0)),IF(BF961="Multiple strategies","mixed drivers",IF(BF961="Supply chain","multiple supply","multiple silviculture"))))</f>
        <v>supply chain organization</v>
      </c>
      <c r="BF961" s="2" t="str" cm="1">
        <f t="array" ref="BF961">IF(COUNTIF(AZ961:BB961,"&lt;&gt;0")=1,INDEX($V$4:$AW$4,MATCH(TRUE,INDEX($V961:$AW961&lt;&gt;0,),0)),IF(COUNTIF(AZ961:BB961,"&lt;&gt;0")=0,INDEX($AM$4:$AW$4,MATCH(1,$AM961:$AW961,0)),"Multiple strategies"))</f>
        <v>Supply chain</v>
      </c>
      <c r="BG961" s="142"/>
      <c r="BJ961" s="143"/>
      <c r="BL961" s="143"/>
      <c r="BM961" s="163"/>
      <c r="BN961" s="158"/>
      <c r="BO961" s="143"/>
      <c r="BP961" s="311" t="s">
        <v>232</v>
      </c>
      <c r="BQ961" s="311"/>
      <c r="BR961" t="s">
        <v>3819</v>
      </c>
      <c r="BS961">
        <v>-36.467999999999996</v>
      </c>
      <c r="BT961">
        <v>-28.270000000000003</v>
      </c>
      <c r="BU961" s="144">
        <v>0.77520017549632569</v>
      </c>
      <c r="BV961">
        <v>8.1979999999999933</v>
      </c>
      <c r="BX961">
        <v>-8.1979999999999935E-3</v>
      </c>
      <c r="BY961" t="str">
        <f t="shared" si="1195"/>
        <v/>
      </c>
      <c r="BZ961">
        <v>0</v>
      </c>
      <c r="CA961">
        <v>0</v>
      </c>
      <c r="CB961">
        <v>0</v>
      </c>
      <c r="CC961">
        <v>0</v>
      </c>
      <c r="CD961">
        <v>0</v>
      </c>
      <c r="CE961">
        <v>0</v>
      </c>
      <c r="CF961">
        <v>0</v>
      </c>
      <c r="CG961">
        <v>0</v>
      </c>
      <c r="CH961">
        <v>0</v>
      </c>
      <c r="CI961">
        <v>0</v>
      </c>
      <c r="CJ961">
        <v>0</v>
      </c>
      <c r="CK961">
        <v>0</v>
      </c>
      <c r="CL961">
        <v>0</v>
      </c>
      <c r="CM961">
        <v>0</v>
      </c>
      <c r="CN961" t="str">
        <f t="shared" si="1246"/>
        <v>refOK</v>
      </c>
      <c r="CO961"/>
      <c r="CP961"/>
      <c r="CQ961"/>
      <c r="CR961">
        <f t="shared" si="1231"/>
        <v>-36.467999999999996</v>
      </c>
      <c r="CS961">
        <f t="shared" si="1232"/>
        <v>-28.270000000000003</v>
      </c>
      <c r="CT961">
        <f t="shared" si="1233"/>
        <v>-8.1979999999999935E-3</v>
      </c>
      <c r="CU961" t="str">
        <f t="shared" si="1234"/>
        <v/>
      </c>
      <c r="CV961" s="2">
        <f t="shared" si="1235"/>
        <v>0.22479982450367431</v>
      </c>
      <c r="CW961" s="1" t="s">
        <v>1202</v>
      </c>
      <c r="CX961" s="311" t="str">
        <f t="shared" si="1236"/>
        <v>reg</v>
      </c>
      <c r="CY961" t="s">
        <v>428</v>
      </c>
      <c r="DA961" s="143"/>
      <c r="DB961" s="143">
        <v>60</v>
      </c>
      <c r="DC961" t="str">
        <f t="shared" si="1237"/>
        <v>31-70</v>
      </c>
      <c r="DD961">
        <v>0</v>
      </c>
      <c r="DE961">
        <v>0</v>
      </c>
      <c r="DF961">
        <v>0</v>
      </c>
      <c r="DG961">
        <v>1</v>
      </c>
      <c r="DI961">
        <f t="shared" si="1238"/>
        <v>1</v>
      </c>
      <c r="DJ961" t="str">
        <f t="shared" si="1239"/>
        <v>TimberInput</v>
      </c>
      <c r="DK961">
        <f t="shared" si="1240"/>
        <v>0</v>
      </c>
      <c r="DL961">
        <f t="shared" si="1241"/>
        <v>0</v>
      </c>
      <c r="DM961">
        <f t="shared" si="1242"/>
        <v>0</v>
      </c>
      <c r="DN961" t="str">
        <f t="shared" si="1243"/>
        <v>Timber</v>
      </c>
      <c r="DO961">
        <v>0</v>
      </c>
      <c r="DP961" s="143">
        <v>0</v>
      </c>
      <c r="DQ961" s="143">
        <v>0</v>
      </c>
      <c r="DR961">
        <v>0</v>
      </c>
      <c r="DS961" s="143">
        <v>0</v>
      </c>
      <c r="DT961">
        <f t="shared" si="1244"/>
        <v>0</v>
      </c>
      <c r="DU961" s="143" t="str">
        <f t="shared" si="1245"/>
        <v>explicit C balance</v>
      </c>
      <c r="DV961" s="143">
        <v>0</v>
      </c>
      <c r="DW961" s="143">
        <v>0</v>
      </c>
      <c r="DX961" s="143">
        <v>0</v>
      </c>
      <c r="DY961" s="143">
        <v>1</v>
      </c>
      <c r="DZ961">
        <v>1</v>
      </c>
      <c r="EA961" s="143">
        <v>1</v>
      </c>
      <c r="EB961" s="143">
        <v>1</v>
      </c>
      <c r="EC961" s="143">
        <v>1</v>
      </c>
      <c r="ED961" s="143">
        <v>1</v>
      </c>
      <c r="EE961" s="143">
        <v>1</v>
      </c>
      <c r="EF961">
        <v>0</v>
      </c>
      <c r="EG961" s="143">
        <v>0</v>
      </c>
      <c r="EH961">
        <v>0</v>
      </c>
      <c r="EI961" s="2">
        <v>0</v>
      </c>
      <c r="EK961" t="str">
        <f t="shared" si="1247"/>
        <v/>
      </c>
      <c r="EL961" t="str">
        <f t="shared" si="1248"/>
        <v/>
      </c>
      <c r="EM961" s="2" t="str">
        <f t="shared" si="1223"/>
        <v>Technology approach</v>
      </c>
      <c r="EP961" t="b">
        <f>IF(ISNUMBER(BU961),IF(ABS(BU961-[1]QC_indicators!$B$2)&gt;3*[1]QC_indicators!$C$2,"C ratio",IF(ISNUMBER(BY961),IF(ABS(BY961-[1]QC_indicators!$B$1)&gt;3*[1]QC_indicators!$C$1,"DF","no"))),IF(ISNUMBER(BY961),IF(ABS(BY961-[1]QC_indicators!$B$1)&gt;3*[1]QC_indicators!$C$1,"DF","no")))</f>
        <v>0</v>
      </c>
      <c r="ER961" s="313" t="s">
        <v>349</v>
      </c>
    </row>
    <row r="962" spans="1:150" ht="15" hidden="1" customHeight="1">
      <c r="A962" s="1" t="s">
        <v>5001</v>
      </c>
      <c r="B962" t="s">
        <v>5002</v>
      </c>
      <c r="C962" t="s">
        <v>4679</v>
      </c>
      <c r="D962" t="s">
        <v>5003</v>
      </c>
      <c r="E962" t="s">
        <v>5004</v>
      </c>
      <c r="F962" t="s">
        <v>5005</v>
      </c>
      <c r="H962" t="s">
        <v>3964</v>
      </c>
      <c r="I962">
        <v>2020</v>
      </c>
      <c r="J962">
        <v>0</v>
      </c>
      <c r="K962" t="s">
        <v>5006</v>
      </c>
      <c r="M962" t="str">
        <f t="shared" si="1249"/>
        <v>Lip_2020</v>
      </c>
      <c r="N962" t="s">
        <v>2583</v>
      </c>
      <c r="O962" s="145" t="s">
        <v>225</v>
      </c>
      <c r="Q962" s="311" t="s">
        <v>256</v>
      </c>
      <c r="R962" s="312"/>
      <c r="U962" s="143"/>
      <c r="AX962" s="141"/>
      <c r="AY962" s="141"/>
      <c r="BE962"/>
      <c r="BF962" s="2"/>
      <c r="BM962" s="163"/>
      <c r="BN962" s="158"/>
      <c r="BO962" s="143"/>
      <c r="BS962" s="143"/>
      <c r="BU962" s="144"/>
      <c r="BY962" t="str">
        <f t="shared" si="1195"/>
        <v/>
      </c>
      <c r="CN962"/>
      <c r="CO962"/>
      <c r="CP962"/>
      <c r="CQ962"/>
      <c r="CR962"/>
      <c r="CS962"/>
      <c r="CT962"/>
      <c r="CU962"/>
      <c r="CV962" s="2"/>
      <c r="CX962"/>
      <c r="DA962" s="143"/>
      <c r="DB962" s="143"/>
      <c r="DC962"/>
      <c r="DI962"/>
      <c r="DJ962"/>
      <c r="DK962"/>
      <c r="DL962"/>
      <c r="DM962"/>
      <c r="DN962"/>
      <c r="DP962" s="143"/>
      <c r="DQ962" s="143"/>
      <c r="DS962" s="143"/>
      <c r="DT962"/>
      <c r="DU962" s="143"/>
      <c r="DV962" s="143"/>
      <c r="DW962" s="143"/>
      <c r="EB962" s="143"/>
      <c r="ED962" s="143"/>
      <c r="EG962" s="143"/>
      <c r="EK962" t="str">
        <f t="shared" si="1247"/>
        <v/>
      </c>
      <c r="EL962" t="str">
        <f t="shared" si="1248"/>
        <v/>
      </c>
      <c r="EM962" s="2" t="str">
        <f t="shared" si="1223"/>
        <v/>
      </c>
      <c r="EN962" t="s">
        <v>5007</v>
      </c>
      <c r="EO962" t="s">
        <v>4989</v>
      </c>
      <c r="EP962" t="b">
        <f>IF(ISNUMBER(BU962),IF(ABS(BU962-[1]QC_indicators!$B$2)&gt;3*[1]QC_indicators!$C$2,"C ratio",IF(ISNUMBER(BY962),IF(ABS(BY962-[1]QC_indicators!$B$1)&gt;3*[1]QC_indicators!$C$1,"DF","no"))),IF(ISNUMBER(BY962),IF(ABS(BY962-[1]QC_indicators!$B$1)&gt;3*[1]QC_indicators!$C$1,"DF","no")))</f>
        <v>0</v>
      </c>
    </row>
    <row r="963" spans="1:150" ht="15" hidden="1" customHeight="1">
      <c r="D963" t="s">
        <v>916</v>
      </c>
      <c r="E963" t="s">
        <v>917</v>
      </c>
      <c r="G963" t="s">
        <v>918</v>
      </c>
      <c r="I963">
        <v>2004</v>
      </c>
      <c r="K963" t="s">
        <v>919</v>
      </c>
      <c r="M963" t="str">
        <f t="shared" si="1249"/>
        <v>Lippke_2004</v>
      </c>
      <c r="N963" t="s">
        <v>222</v>
      </c>
      <c r="O963" t="s">
        <v>223</v>
      </c>
      <c r="Q963" t="s">
        <v>256</v>
      </c>
      <c r="R963" s="255" t="s">
        <v>225</v>
      </c>
      <c r="S963" s="1" t="s">
        <v>752</v>
      </c>
      <c r="T963" t="s">
        <v>920</v>
      </c>
      <c r="U963" s="264" t="s">
        <v>921</v>
      </c>
      <c r="V963">
        <v>0</v>
      </c>
      <c r="W963">
        <v>0</v>
      </c>
      <c r="X963">
        <v>0</v>
      </c>
      <c r="Y963">
        <v>0</v>
      </c>
      <c r="Z963">
        <v>0</v>
      </c>
      <c r="AA963">
        <v>0</v>
      </c>
      <c r="AB963">
        <v>0</v>
      </c>
      <c r="AC963">
        <v>0</v>
      </c>
      <c r="AD963">
        <v>0</v>
      </c>
      <c r="AE963">
        <v>0</v>
      </c>
      <c r="AF963">
        <v>0</v>
      </c>
      <c r="AG963">
        <v>0</v>
      </c>
      <c r="AH963">
        <v>0</v>
      </c>
      <c r="AI963">
        <v>0</v>
      </c>
      <c r="AJ963">
        <v>0</v>
      </c>
      <c r="AK963">
        <v>1</v>
      </c>
      <c r="AL963">
        <v>0</v>
      </c>
      <c r="AM963">
        <v>0</v>
      </c>
      <c r="AN963">
        <v>0</v>
      </c>
      <c r="AO963">
        <v>0</v>
      </c>
      <c r="AP963">
        <v>0</v>
      </c>
      <c r="AQ963">
        <v>0</v>
      </c>
      <c r="AR963">
        <v>0</v>
      </c>
      <c r="AS963">
        <v>0</v>
      </c>
      <c r="AT963">
        <v>0</v>
      </c>
      <c r="AU963">
        <v>0</v>
      </c>
      <c r="AV963">
        <v>0</v>
      </c>
      <c r="AW963">
        <v>0</v>
      </c>
      <c r="AX963" s="141">
        <f t="shared" ref="AX963:AX985" si="1250">COUNTIF(V963:AW963,"&lt;&gt;0")</f>
        <v>1</v>
      </c>
      <c r="AY963" s="141">
        <f t="shared" ref="AY963:AY985" si="1251">COUNTIF(V963:AL963,"&lt;&gt;0")</f>
        <v>1</v>
      </c>
      <c r="AZ963">
        <f t="shared" ref="AZ963:AZ985" si="1252">COUNTIF(V963:AC963,"&lt;&gt;0")</f>
        <v>0</v>
      </c>
      <c r="BA963">
        <f t="shared" ref="BA963:BA985" si="1253">COUNTIF(AD963:AI963,"&lt;&gt;0")</f>
        <v>0</v>
      </c>
      <c r="BB963">
        <f t="shared" ref="BB963:BB985" si="1254">COUNTIF(AJ963:AL963,"&lt;&gt;0")</f>
        <v>1</v>
      </c>
      <c r="BC963">
        <f t="shared" ref="BC963:BC985" si="1255">COUNTIF(AS963:AW963,"&lt;&gt;0")</f>
        <v>0</v>
      </c>
      <c r="BD963">
        <f t="shared" ref="BD963:BD985" si="1256">COUNTIF(AM963:AR963,"&lt;&gt;0")</f>
        <v>0</v>
      </c>
      <c r="BE963" t="str">
        <f t="array" ref="BE963">IF(AY963=1,INDEX($V$7:$AL$7,MATCH(TRUE,INDEX($V963:$AW963&lt;&gt;0,),0)),IF(AY963=0,INDEX($AM$7:$AW$7,MATCH(1,$AM963:$AW963,0)),IF(BF963="Multiple strategies","mixed drivers",IF(BF963="Supply chain","multiple supply","multiple silviculture"))))</f>
        <v>technologies/design switch</v>
      </c>
      <c r="BF963" s="2" t="str" cm="1">
        <f t="array" ref="BF963">IF(COUNTIF(AZ963:BB963,"&lt;&gt;0")=1,INDEX($V$4:$AW$4,MATCH(TRUE,INDEX($V963:$AW963&lt;&gt;0,),0)),IF(COUNTIF(AZ963:BB963,"&lt;&gt;0")=0,INDEX($AM$4:$AW$4,MATCH(1,$AM963:$AW963,0)),"Multiple strategies"))</f>
        <v>Technology</v>
      </c>
      <c r="BG963" s="1" t="s">
        <v>229</v>
      </c>
      <c r="BH963" t="s">
        <v>922</v>
      </c>
      <c r="BI963" s="260" t="s">
        <v>3369</v>
      </c>
      <c r="BJ963" s="264" t="s">
        <v>345</v>
      </c>
      <c r="BK963">
        <v>6595</v>
      </c>
      <c r="BL963" s="264">
        <v>12993</v>
      </c>
      <c r="BM963" s="264">
        <f>BL963/BK963</f>
        <v>1.9701288855193329</v>
      </c>
      <c r="BN963">
        <f t="shared" ref="BN963:BN985" si="1257">BL963-BK963</f>
        <v>6398</v>
      </c>
      <c r="BO963" s="264">
        <f>BN963*kg_to_m3</f>
        <v>13.057142857142859</v>
      </c>
      <c r="BP963" t="s">
        <v>232</v>
      </c>
      <c r="BQ963" s="260" t="s">
        <v>813</v>
      </c>
      <c r="BR963" t="s">
        <v>728</v>
      </c>
      <c r="BS963" s="264">
        <v>-46826</v>
      </c>
      <c r="BT963">
        <v>-37047</v>
      </c>
      <c r="BU963" s="144">
        <f>IFERROR(BT963/BS963,"")</f>
        <v>0.79116302908640501</v>
      </c>
      <c r="BV963">
        <f t="shared" ref="BV963:BV985" si="1258">BT963-BS963</f>
        <v>9779</v>
      </c>
      <c r="BX963">
        <f>BV963/1000</f>
        <v>9.7789999999999999</v>
      </c>
      <c r="BY963">
        <f t="shared" si="1195"/>
        <v>0.74893873085339158</v>
      </c>
      <c r="BZ963">
        <v>0</v>
      </c>
      <c r="CA963">
        <v>0</v>
      </c>
      <c r="CB963">
        <v>0</v>
      </c>
      <c r="CC963">
        <v>0</v>
      </c>
      <c r="CD963">
        <v>0</v>
      </c>
      <c r="CE963">
        <v>0</v>
      </c>
      <c r="CF963">
        <v>0</v>
      </c>
      <c r="CG963">
        <v>0</v>
      </c>
      <c r="CH963">
        <v>0</v>
      </c>
      <c r="CI963">
        <v>0</v>
      </c>
      <c r="CJ963">
        <v>1</v>
      </c>
      <c r="CK963">
        <v>0</v>
      </c>
      <c r="CL963">
        <v>0</v>
      </c>
      <c r="CM963">
        <v>0</v>
      </c>
      <c r="CN963" t="str">
        <f t="shared" ref="CN963:CN985" si="1259">IF($BL963&lt;$BK963,"refNeedCorrection","refOK")</f>
        <v>refOK</v>
      </c>
      <c r="CO963">
        <f>IF($CN963="refNeedCorrection",BL963,BK963)</f>
        <v>6595</v>
      </c>
      <c r="CP963">
        <f>IF($CN963="refNeedCorrection",BK963,BL963)</f>
        <v>12993</v>
      </c>
      <c r="CQ963">
        <f t="shared" ref="CQ963:CQ985" si="1260">IF($CN963="refOK",$BO963,-$BO963)</f>
        <v>13.057142857142859</v>
      </c>
      <c r="CR963">
        <f t="shared" ref="CR963:CR985" si="1261">IF($CN963="refOK",$BS963,$BT963)*IF($BP963="Emissions positive",-1,1)</f>
        <v>-46826</v>
      </c>
      <c r="CS963">
        <f t="shared" ref="CS963:CS971" si="1262">IF($CN963="refOK",$BT963,$BS963)*IF($BP963="Emissions positive",-1,1)</f>
        <v>-37047</v>
      </c>
      <c r="CT963">
        <f t="shared" ref="CT963:CT985" si="1263">IF($CN963="refNeedCorrection",-BX963,BX963)*IF($BP963="Emissions positive",-1,1)</f>
        <v>9.7789999999999999</v>
      </c>
      <c r="CU963">
        <f t="shared" ref="CU963:CU985" si="1264">IFERROR(CT963/CQ963,"")</f>
        <v>0.74893873085339158</v>
      </c>
      <c r="CV963" s="2">
        <f t="shared" ref="CV963:CV985" si="1265">IFERROR((CS963-CR963)/ABS(CR963),"")</f>
        <v>0.20883697091359502</v>
      </c>
      <c r="CW963" s="1" t="s">
        <v>263</v>
      </c>
      <c r="CX963" t="str">
        <f t="shared" ref="CX963:CX985" si="1266">IF(OR($CW963="prd",$CW963="std",$CW963="cit"),"loc",IF(OR($CW963="eur",$CW963="reg",$CW963="coy"),"reg",$CW963))</f>
        <v>loc</v>
      </c>
      <c r="CY963" t="s">
        <v>428</v>
      </c>
      <c r="DA963" s="143"/>
      <c r="DB963" s="264">
        <v>0</v>
      </c>
      <c r="DC963" t="str">
        <f t="shared" ref="DC963:DC985" si="1267">IF(DB963=0,"0",IF(AND(DB963&gt;=1,DB963&lt;=30),"1-30",IF(AND(DB963&gt;30,DB963&lt;=70),"31-70",IF(AND(DB963&gt;70,DB963&lt;=100),"71-100",IF(DB963&gt;100,"+100")))))</f>
        <v>0</v>
      </c>
      <c r="DD963">
        <v>0</v>
      </c>
      <c r="DE963">
        <v>0</v>
      </c>
      <c r="DF963">
        <v>0</v>
      </c>
      <c r="DG963">
        <v>1</v>
      </c>
      <c r="DI963">
        <f t="shared" ref="DI963:DI985" si="1268">SUM(DD963:DG963)</f>
        <v>1</v>
      </c>
      <c r="DJ963" t="str">
        <f t="shared" ref="DJ963:DJ985" si="1269">IF(DI963=1,INDEX($DD$7:$DG$7,MATCH(1,$DD963:$DG963,0)),"mixedProduct")</f>
        <v>TimberInput</v>
      </c>
      <c r="DK963">
        <f t="shared" ref="DK963:DK985" si="1270">IF(DD963=1,DK$7,0)</f>
        <v>0</v>
      </c>
      <c r="DL963">
        <f t="shared" ref="DL963:DL985" si="1271">IF(DE963=1,DL$7,0)</f>
        <v>0</v>
      </c>
      <c r="DM963">
        <f t="shared" ref="DM963:DM985" si="1272">IF(DF963=1,DM$7,0)</f>
        <v>0</v>
      </c>
      <c r="DN963" t="str">
        <f t="shared" ref="DN963:DN985" si="1273">IF(DG963=1,DN$7,0)</f>
        <v>Timber</v>
      </c>
      <c r="DO963">
        <v>0</v>
      </c>
      <c r="DP963" s="143">
        <v>0</v>
      </c>
      <c r="DQ963" s="143">
        <v>0</v>
      </c>
      <c r="DR963">
        <v>0</v>
      </c>
      <c r="DS963" s="143">
        <v>0</v>
      </c>
      <c r="DT963">
        <f t="shared" ref="DT963:DT985" si="1274">SUM(DO963:DP963)</f>
        <v>0</v>
      </c>
      <c r="DU963" s="143" t="str">
        <f t="shared" ref="DU963:DU985" si="1275">IF(DO963=1,"self-calculated DF",IF(DP963=1,"external DF used","explicit C balance"))</f>
        <v>explicit C balance</v>
      </c>
      <c r="DV963" s="143">
        <v>0</v>
      </c>
      <c r="DW963" s="143">
        <v>0</v>
      </c>
      <c r="DX963">
        <v>0</v>
      </c>
      <c r="DY963">
        <v>0</v>
      </c>
      <c r="DZ963">
        <v>0</v>
      </c>
      <c r="EA963" s="143">
        <v>0</v>
      </c>
      <c r="EB963" s="143">
        <v>0</v>
      </c>
      <c r="EC963">
        <v>1</v>
      </c>
      <c r="ED963" s="143">
        <v>0</v>
      </c>
      <c r="EE963">
        <v>1</v>
      </c>
      <c r="EF963">
        <v>0</v>
      </c>
      <c r="EG963" s="143">
        <v>0</v>
      </c>
      <c r="EH963">
        <v>0</v>
      </c>
      <c r="EI963" s="2">
        <v>0</v>
      </c>
      <c r="EK963" t="str">
        <f t="shared" ref="EK963:EK985" si="1276">IF(AND(AND(AND(OR($DX963=1,$DW963=1),OR($EC963=1,$EA963=1)),SUM($DV963:$DZ963,$EF963)&gt;=4),SUM($EA963:$EE963)&gt;=2),"Whole sector","")</f>
        <v/>
      </c>
      <c r="EL963" t="str">
        <f t="shared" ref="EL963:EL985" si="1277">IF(AND(AND(OR($DX963=1,$DW963=1),AND($EC963=0,$EA963=0)),SUM($DV963:$DZ963,$EF963)&gt;=4),"Ecosystem approach","")</f>
        <v/>
      </c>
      <c r="EM963" s="2" t="str">
        <f t="shared" si="1223"/>
        <v>Technology approach</v>
      </c>
      <c r="EN963" t="s">
        <v>923</v>
      </c>
      <c r="EP963" t="str">
        <f>IF(ISNUMBER(BU963),IF(ABS(BU963-[5]QC_indicators!$B$2)&gt;3*[5]QC_indicators!$C$2,"C ratio",IF(ISNUMBER(BY963),IF(ABS(BY963-[5]QC_indicators!$B$1)&gt;3*[5]QC_indicators!$C$1,"DF","no"))),IF(ISNUMBER(BY963),IF(ABS(BY963-[5]QC_indicators!$B$1)&gt;3*[5]QC_indicators!$C$1,"DF","no")))</f>
        <v>no</v>
      </c>
      <c r="ER963" s="149" t="s">
        <v>349</v>
      </c>
      <c r="ET963" s="264" t="s">
        <v>3272</v>
      </c>
    </row>
    <row r="964" spans="1:150" ht="15" hidden="1" customHeight="1">
      <c r="D964" t="s">
        <v>916</v>
      </c>
      <c r="E964" t="s">
        <v>917</v>
      </c>
      <c r="G964" t="s">
        <v>918</v>
      </c>
      <c r="I964">
        <v>2004</v>
      </c>
      <c r="K964" t="s">
        <v>919</v>
      </c>
      <c r="M964" t="str">
        <f t="shared" si="1249"/>
        <v>Lippke_2004</v>
      </c>
      <c r="N964" t="s">
        <v>222</v>
      </c>
      <c r="O964" t="s">
        <v>223</v>
      </c>
      <c r="Q964" t="s">
        <v>256</v>
      </c>
      <c r="R964" s="255" t="s">
        <v>225</v>
      </c>
      <c r="S964" s="1" t="s">
        <v>752</v>
      </c>
      <c r="T964" t="s">
        <v>920</v>
      </c>
      <c r="U964" s="264" t="s">
        <v>921</v>
      </c>
      <c r="V964">
        <v>0</v>
      </c>
      <c r="W964">
        <v>0</v>
      </c>
      <c r="X964">
        <v>0</v>
      </c>
      <c r="Y964">
        <v>0</v>
      </c>
      <c r="Z964">
        <v>0</v>
      </c>
      <c r="AA964">
        <v>0</v>
      </c>
      <c r="AB964">
        <v>0</v>
      </c>
      <c r="AC964">
        <v>0</v>
      </c>
      <c r="AD964">
        <v>0</v>
      </c>
      <c r="AE964">
        <v>0</v>
      </c>
      <c r="AF964">
        <v>0</v>
      </c>
      <c r="AG964">
        <v>0</v>
      </c>
      <c r="AH964">
        <v>0</v>
      </c>
      <c r="AI964">
        <v>0</v>
      </c>
      <c r="AJ964">
        <v>0</v>
      </c>
      <c r="AK964">
        <v>1</v>
      </c>
      <c r="AL964">
        <v>0</v>
      </c>
      <c r="AM964">
        <v>0</v>
      </c>
      <c r="AN964">
        <v>0</v>
      </c>
      <c r="AO964">
        <v>0</v>
      </c>
      <c r="AP964">
        <v>0</v>
      </c>
      <c r="AQ964">
        <v>0</v>
      </c>
      <c r="AR964">
        <v>0</v>
      </c>
      <c r="AS964">
        <v>0</v>
      </c>
      <c r="AT964">
        <v>0</v>
      </c>
      <c r="AU964">
        <v>0</v>
      </c>
      <c r="AV964">
        <v>0</v>
      </c>
      <c r="AW964">
        <v>0</v>
      </c>
      <c r="AX964" s="141">
        <f t="shared" si="1250"/>
        <v>1</v>
      </c>
      <c r="AY964" s="141">
        <f t="shared" si="1251"/>
        <v>1</v>
      </c>
      <c r="AZ964">
        <f t="shared" si="1252"/>
        <v>0</v>
      </c>
      <c r="BA964">
        <f t="shared" si="1253"/>
        <v>0</v>
      </c>
      <c r="BB964">
        <f t="shared" si="1254"/>
        <v>1</v>
      </c>
      <c r="BC964">
        <f t="shared" si="1255"/>
        <v>0</v>
      </c>
      <c r="BD964">
        <f t="shared" si="1256"/>
        <v>0</v>
      </c>
      <c r="BE964" t="str">
        <f t="array" ref="BE964">IF(AY964=1,INDEX($V$7:$AL$7,MATCH(TRUE,INDEX($V964:$AW964&lt;&gt;0,),0)),IF(AY964=0,INDEX($AM$7:$AW$7,MATCH(1,$AM964:$AW964,0)),IF(BF964="Multiple strategies","mixed drivers",IF(BF964="Supply chain","multiple supply","multiple silviculture"))))</f>
        <v>technologies/design switch</v>
      </c>
      <c r="BF964" s="2" t="str" cm="1">
        <f t="array" ref="BF964">IF(COUNTIF(AZ964:BB964,"&lt;&gt;0")=1,INDEX($V$4:$AW$4,MATCH(TRUE,INDEX($V964:$AW964&lt;&gt;0,),0)),IF(COUNTIF(AZ964:BB964,"&lt;&gt;0")=0,INDEX($AM$4:$AW$4,MATCH(1,$AM964:$AW964,0)),"Multiple strategies"))</f>
        <v>Technology</v>
      </c>
      <c r="BG964" s="1" t="s">
        <v>229</v>
      </c>
      <c r="BH964" t="s">
        <v>922</v>
      </c>
      <c r="BI964" s="260" t="s">
        <v>3370</v>
      </c>
      <c r="BJ964" s="264" t="s">
        <v>345</v>
      </c>
      <c r="BK964">
        <v>8191</v>
      </c>
      <c r="BL964" s="264">
        <v>9811</v>
      </c>
      <c r="BM964" s="264">
        <f>BL964/BK964</f>
        <v>1.1977780490782566</v>
      </c>
      <c r="BN964">
        <f t="shared" si="1257"/>
        <v>1620</v>
      </c>
      <c r="BO964" s="264">
        <f>BN964*kg_to_m3</f>
        <v>3.306122448979592</v>
      </c>
      <c r="BP964" t="s">
        <v>232</v>
      </c>
      <c r="BQ964" s="260" t="s">
        <v>813</v>
      </c>
      <c r="BR964" t="s">
        <v>728</v>
      </c>
      <c r="BS964" s="264">
        <v>-28004</v>
      </c>
      <c r="BT964">
        <v>-21367</v>
      </c>
      <c r="BU964" s="144">
        <f>IFERROR(BT964/BS964,"")</f>
        <v>0.7629981431224111</v>
      </c>
      <c r="BV964">
        <f t="shared" si="1258"/>
        <v>6637</v>
      </c>
      <c r="BX964">
        <f>BV964/1000</f>
        <v>6.6369999999999996</v>
      </c>
      <c r="BY964">
        <f t="shared" si="1195"/>
        <v>2.0074876543209874</v>
      </c>
      <c r="BZ964">
        <v>0</v>
      </c>
      <c r="CA964">
        <v>0</v>
      </c>
      <c r="CB964">
        <v>0</v>
      </c>
      <c r="CC964">
        <v>0</v>
      </c>
      <c r="CD964">
        <v>0</v>
      </c>
      <c r="CE964">
        <v>0</v>
      </c>
      <c r="CF964">
        <v>0</v>
      </c>
      <c r="CG964">
        <v>0</v>
      </c>
      <c r="CH964">
        <v>0</v>
      </c>
      <c r="CI964">
        <v>0</v>
      </c>
      <c r="CJ964">
        <v>1</v>
      </c>
      <c r="CK964">
        <v>0</v>
      </c>
      <c r="CL964">
        <v>0</v>
      </c>
      <c r="CM964">
        <v>0</v>
      </c>
      <c r="CN964" t="str">
        <f t="shared" si="1259"/>
        <v>refOK</v>
      </c>
      <c r="CO964">
        <f>IF($CN964="refNeedCorrection",BL964,BK964)</f>
        <v>8191</v>
      </c>
      <c r="CP964">
        <f>IF($CN964="refNeedCorrection",BK964,BL964)</f>
        <v>9811</v>
      </c>
      <c r="CQ964">
        <f t="shared" si="1260"/>
        <v>3.306122448979592</v>
      </c>
      <c r="CR964">
        <f t="shared" si="1261"/>
        <v>-28004</v>
      </c>
      <c r="CS964">
        <f t="shared" si="1262"/>
        <v>-21367</v>
      </c>
      <c r="CT964">
        <f t="shared" si="1263"/>
        <v>6.6369999999999996</v>
      </c>
      <c r="CU964">
        <f t="shared" si="1264"/>
        <v>2.0074876543209874</v>
      </c>
      <c r="CV964" s="2">
        <f t="shared" si="1265"/>
        <v>0.23700185687758893</v>
      </c>
      <c r="CW964" s="1" t="s">
        <v>263</v>
      </c>
      <c r="CX964" t="str">
        <f t="shared" si="1266"/>
        <v>loc</v>
      </c>
      <c r="CY964" t="s">
        <v>428</v>
      </c>
      <c r="DA964" s="143"/>
      <c r="DB964" s="264">
        <v>0</v>
      </c>
      <c r="DC964" t="str">
        <f t="shared" si="1267"/>
        <v>0</v>
      </c>
      <c r="DD964">
        <v>0</v>
      </c>
      <c r="DE964">
        <v>0</v>
      </c>
      <c r="DF964">
        <v>0</v>
      </c>
      <c r="DG964">
        <v>1</v>
      </c>
      <c r="DI964">
        <f t="shared" si="1268"/>
        <v>1</v>
      </c>
      <c r="DJ964" t="str">
        <f t="shared" si="1269"/>
        <v>TimberInput</v>
      </c>
      <c r="DK964">
        <f t="shared" si="1270"/>
        <v>0</v>
      </c>
      <c r="DL964">
        <f t="shared" si="1271"/>
        <v>0</v>
      </c>
      <c r="DM964">
        <f t="shared" si="1272"/>
        <v>0</v>
      </c>
      <c r="DN964" t="str">
        <f t="shared" si="1273"/>
        <v>Timber</v>
      </c>
      <c r="DO964">
        <v>0</v>
      </c>
      <c r="DP964" s="143">
        <v>0</v>
      </c>
      <c r="DQ964" s="143">
        <v>0</v>
      </c>
      <c r="DR964">
        <v>0</v>
      </c>
      <c r="DS964" s="143">
        <v>0</v>
      </c>
      <c r="DT964">
        <f t="shared" si="1274"/>
        <v>0</v>
      </c>
      <c r="DU964" s="143" t="str">
        <f t="shared" si="1275"/>
        <v>explicit C balance</v>
      </c>
      <c r="DV964" s="143">
        <v>0</v>
      </c>
      <c r="DW964" s="143">
        <v>0</v>
      </c>
      <c r="DX964">
        <v>0</v>
      </c>
      <c r="DY964">
        <v>0</v>
      </c>
      <c r="DZ964">
        <v>0</v>
      </c>
      <c r="EA964" s="143">
        <v>0</v>
      </c>
      <c r="EB964" s="143">
        <v>0</v>
      </c>
      <c r="EC964">
        <v>1</v>
      </c>
      <c r="ED964" s="143">
        <v>0</v>
      </c>
      <c r="EE964">
        <v>1</v>
      </c>
      <c r="EF964">
        <v>0</v>
      </c>
      <c r="EG964" s="143">
        <v>0</v>
      </c>
      <c r="EH964">
        <v>0</v>
      </c>
      <c r="EI964" s="2">
        <v>0</v>
      </c>
      <c r="EK964" t="str">
        <f t="shared" si="1276"/>
        <v/>
      </c>
      <c r="EL964" t="str">
        <f t="shared" si="1277"/>
        <v/>
      </c>
      <c r="EM964" s="2" t="str">
        <f t="shared" si="1223"/>
        <v>Technology approach</v>
      </c>
      <c r="EN964" s="264" t="s">
        <v>3371</v>
      </c>
      <c r="EP964" t="str">
        <f>IF(ISNUMBER(BU964),IF(ABS(BU964-[5]QC_indicators!$B$2)&gt;3*[5]QC_indicators!$C$2,"C ratio",IF(ISNUMBER(BY964),IF(ABS(BY964-[5]QC_indicators!$B$1)&gt;3*[5]QC_indicators!$C$1,"DF","no"))),IF(ISNUMBER(BY964),IF(ABS(BY964-[5]QC_indicators!$B$1)&gt;3*[5]QC_indicators!$C$1,"DF","no")))</f>
        <v>no</v>
      </c>
      <c r="ER964" s="149" t="s">
        <v>349</v>
      </c>
      <c r="ET964" s="264" t="s">
        <v>3272</v>
      </c>
    </row>
    <row r="965" spans="1:150" ht="15" hidden="1" customHeight="1">
      <c r="A965" s="1" t="s">
        <v>1890</v>
      </c>
      <c r="B965" t="s">
        <v>1891</v>
      </c>
      <c r="D965" t="s">
        <v>1892</v>
      </c>
      <c r="E965" t="s">
        <v>1893</v>
      </c>
      <c r="F965" t="s">
        <v>1894</v>
      </c>
      <c r="G965" t="s">
        <v>1895</v>
      </c>
      <c r="H965" t="s">
        <v>254</v>
      </c>
      <c r="I965">
        <v>2009</v>
      </c>
      <c r="J965">
        <v>31</v>
      </c>
      <c r="K965" t="s">
        <v>1896</v>
      </c>
      <c r="M965" t="str">
        <f t="shared" si="1249"/>
        <v>Liu_2009</v>
      </c>
      <c r="N965" t="s">
        <v>222</v>
      </c>
      <c r="O965" s="145" t="s">
        <v>225</v>
      </c>
      <c r="Q965" t="s">
        <v>256</v>
      </c>
      <c r="R965" s="262" t="s">
        <v>223</v>
      </c>
      <c r="S965" s="1" t="s">
        <v>1321</v>
      </c>
      <c r="T965" s="143" t="s">
        <v>1897</v>
      </c>
      <c r="U965" s="143" t="s">
        <v>1898</v>
      </c>
      <c r="V965">
        <v>1</v>
      </c>
      <c r="W965">
        <v>0</v>
      </c>
      <c r="X965">
        <v>0</v>
      </c>
      <c r="Y965">
        <v>0</v>
      </c>
      <c r="Z965">
        <v>0</v>
      </c>
      <c r="AA965">
        <v>0</v>
      </c>
      <c r="AB965">
        <v>0</v>
      </c>
      <c r="AC965">
        <v>0</v>
      </c>
      <c r="AD965">
        <v>0</v>
      </c>
      <c r="AE965">
        <v>0</v>
      </c>
      <c r="AF965">
        <v>0</v>
      </c>
      <c r="AG965">
        <v>0</v>
      </c>
      <c r="AH965">
        <v>0</v>
      </c>
      <c r="AI965">
        <v>0</v>
      </c>
      <c r="AJ965">
        <v>0</v>
      </c>
      <c r="AK965">
        <v>0</v>
      </c>
      <c r="AL965">
        <v>0</v>
      </c>
      <c r="AM965">
        <v>0</v>
      </c>
      <c r="AN965">
        <v>0</v>
      </c>
      <c r="AO965">
        <v>0</v>
      </c>
      <c r="AP965">
        <v>0</v>
      </c>
      <c r="AQ965">
        <v>0</v>
      </c>
      <c r="AR965">
        <v>0</v>
      </c>
      <c r="AS965">
        <v>0</v>
      </c>
      <c r="AT965">
        <v>0</v>
      </c>
      <c r="AU965">
        <v>0</v>
      </c>
      <c r="AV965">
        <v>0</v>
      </c>
      <c r="AW965">
        <v>0</v>
      </c>
      <c r="AX965" s="141">
        <f t="shared" si="1250"/>
        <v>1</v>
      </c>
      <c r="AY965" s="141">
        <f t="shared" si="1251"/>
        <v>1</v>
      </c>
      <c r="AZ965">
        <f t="shared" si="1252"/>
        <v>1</v>
      </c>
      <c r="BA965">
        <f t="shared" si="1253"/>
        <v>0</v>
      </c>
      <c r="BB965">
        <f t="shared" si="1254"/>
        <v>0</v>
      </c>
      <c r="BC965">
        <f t="shared" si="1255"/>
        <v>0</v>
      </c>
      <c r="BD965">
        <f t="shared" si="1256"/>
        <v>0</v>
      </c>
      <c r="BE965" t="str">
        <f t="array" ref="BE965">IF(AY965=1,INDEX($V$7:$AL$7,MATCH(TRUE,INDEX($V965:$AW965&lt;&gt;0,),0)),IF(AY965=0,INDEX($AM$7:$AW$7,MATCH(1,$AM965:$AW965,0)),IF(BF965="Multiple strategies","mixed drivers",IF(BF965="Supply chain","multiple supply","multiple silviculture"))))</f>
        <v>area subject to harvest</v>
      </c>
      <c r="BF965" s="2" t="str" cm="1">
        <f t="array" ref="BF965">IF(COUNTIF(AZ965:BB965,"&lt;&gt;0")=1,INDEX($V$4:$AW$4,MATCH(TRUE,INDEX($V965:$AW965&lt;&gt;0,),0)),IF(COUNTIF(AZ965:BB965,"&lt;&gt;0")=0,INDEX($AM$4:$AW$4,MATCH(1,$AM965:$AW965,0)),"Multiple strategies"))</f>
        <v>Silviculture for removals</v>
      </c>
      <c r="BG965" s="142" t="s">
        <v>321</v>
      </c>
      <c r="BH965" s="264" t="s">
        <v>3156</v>
      </c>
      <c r="BI965" s="264" t="s">
        <v>3157</v>
      </c>
      <c r="BJ965" s="143" t="s">
        <v>1354</v>
      </c>
      <c r="BK965">
        <v>0</v>
      </c>
      <c r="BL965" s="143">
        <f>4.8*10+3.3*390</f>
        <v>1335</v>
      </c>
      <c r="BM965" s="163"/>
      <c r="BN965">
        <f t="shared" si="1257"/>
        <v>1335</v>
      </c>
      <c r="BO965">
        <f>BN965*10^6</f>
        <v>1335000000</v>
      </c>
      <c r="BP965" t="s">
        <v>232</v>
      </c>
      <c r="BQ965" s="309" t="s">
        <v>783</v>
      </c>
      <c r="BR965" t="s">
        <v>1899</v>
      </c>
      <c r="BS965" s="143">
        <v>505</v>
      </c>
      <c r="BT965">
        <f>560</f>
        <v>560</v>
      </c>
      <c r="BU965" s="144">
        <f>IFERROR(BT965/BS965,"")</f>
        <v>1.108910891089109</v>
      </c>
      <c r="BV965">
        <f t="shared" si="1258"/>
        <v>55</v>
      </c>
      <c r="BX965">
        <f>BV965*10^6*C_to_CO2</f>
        <v>201850000</v>
      </c>
      <c r="BY965">
        <f t="shared" si="1195"/>
        <v>0.15119850187265918</v>
      </c>
      <c r="BZ965">
        <v>0</v>
      </c>
      <c r="CA965">
        <v>0</v>
      </c>
      <c r="CB965">
        <v>0</v>
      </c>
      <c r="CC965">
        <v>0</v>
      </c>
      <c r="CD965">
        <v>0</v>
      </c>
      <c r="CE965">
        <v>0</v>
      </c>
      <c r="CF965">
        <v>0</v>
      </c>
      <c r="CG965">
        <v>0</v>
      </c>
      <c r="CH965">
        <v>0</v>
      </c>
      <c r="CI965">
        <v>0</v>
      </c>
      <c r="CJ965">
        <v>0</v>
      </c>
      <c r="CK965">
        <v>0</v>
      </c>
      <c r="CL965">
        <v>0</v>
      </c>
      <c r="CM965">
        <v>0</v>
      </c>
      <c r="CN965" t="str">
        <f t="shared" si="1259"/>
        <v>refOK</v>
      </c>
      <c r="CO965">
        <f>IF($CN965="refOK",$BK965,$BL965)</f>
        <v>0</v>
      </c>
      <c r="CP965">
        <f>IF($CN965="refOK",$BL965,$BK965)</f>
        <v>1335</v>
      </c>
      <c r="CQ965">
        <f t="shared" si="1260"/>
        <v>1335000000</v>
      </c>
      <c r="CR965">
        <f t="shared" si="1261"/>
        <v>505</v>
      </c>
      <c r="CS965">
        <f t="shared" si="1262"/>
        <v>560</v>
      </c>
      <c r="CT965">
        <f t="shared" si="1263"/>
        <v>201850000</v>
      </c>
      <c r="CU965">
        <f t="shared" si="1264"/>
        <v>0.15119850187265918</v>
      </c>
      <c r="CV965" s="2">
        <f t="shared" si="1265"/>
        <v>0.10891089108910891</v>
      </c>
      <c r="CW965" s="1" t="s">
        <v>1198</v>
      </c>
      <c r="CX965" t="str">
        <f t="shared" si="1266"/>
        <v>reg</v>
      </c>
      <c r="CY965" t="s">
        <v>540</v>
      </c>
      <c r="DA965" s="143"/>
      <c r="DB965" s="143">
        <v>400</v>
      </c>
      <c r="DC965" t="str">
        <f t="shared" si="1267"/>
        <v>+100</v>
      </c>
      <c r="DD965">
        <v>0</v>
      </c>
      <c r="DE965">
        <v>0</v>
      </c>
      <c r="DF965">
        <v>0</v>
      </c>
      <c r="DG965">
        <v>1</v>
      </c>
      <c r="DI965">
        <f t="shared" si="1268"/>
        <v>1</v>
      </c>
      <c r="DJ965" t="str">
        <f t="shared" si="1269"/>
        <v>TimberInput</v>
      </c>
      <c r="DK965">
        <f t="shared" si="1270"/>
        <v>0</v>
      </c>
      <c r="DL965">
        <f t="shared" si="1271"/>
        <v>0</v>
      </c>
      <c r="DM965">
        <f t="shared" si="1272"/>
        <v>0</v>
      </c>
      <c r="DN965" t="str">
        <f t="shared" si="1273"/>
        <v>Timber</v>
      </c>
      <c r="DO965">
        <v>0</v>
      </c>
      <c r="DP965" s="143">
        <v>0</v>
      </c>
      <c r="DQ965" s="143">
        <v>0</v>
      </c>
      <c r="DR965">
        <v>0</v>
      </c>
      <c r="DS965" s="143">
        <v>0</v>
      </c>
      <c r="DT965">
        <f t="shared" si="1274"/>
        <v>0</v>
      </c>
      <c r="DU965" s="143" t="str">
        <f t="shared" si="1275"/>
        <v>explicit C balance</v>
      </c>
      <c r="DV965" s="143">
        <v>1</v>
      </c>
      <c r="DW965" s="143">
        <v>0</v>
      </c>
      <c r="DX965" s="143">
        <v>1</v>
      </c>
      <c r="DY965" s="143">
        <v>1</v>
      </c>
      <c r="DZ965">
        <v>1</v>
      </c>
      <c r="EA965" s="143">
        <v>0</v>
      </c>
      <c r="EB965" s="143">
        <v>0</v>
      </c>
      <c r="EC965" s="143">
        <v>0</v>
      </c>
      <c r="ED965" s="143">
        <v>0</v>
      </c>
      <c r="EE965">
        <v>0</v>
      </c>
      <c r="EF965">
        <v>1</v>
      </c>
      <c r="EG965" s="143">
        <v>0</v>
      </c>
      <c r="EH965">
        <v>0</v>
      </c>
      <c r="EI965" s="2">
        <v>0</v>
      </c>
      <c r="EJ965" s="263" t="s">
        <v>3159</v>
      </c>
      <c r="EK965" t="str">
        <f t="shared" si="1276"/>
        <v/>
      </c>
      <c r="EL965" t="str">
        <f t="shared" si="1277"/>
        <v>Ecosystem approach</v>
      </c>
      <c r="EM965" s="2" t="str">
        <f t="shared" si="1223"/>
        <v/>
      </c>
      <c r="EP965" t="str">
        <f>IF(ISNUMBER(BU965),IF(ABS(BU965-[3]QC_indicators!$B$2)&gt;3*[3]QC_indicators!$C$2,"C ratio",IF(ISNUMBER(BY965),IF(ABS(BY965-[3]QC_indicators!$B$1)&gt;3*[3]QC_indicators!$C$1,"DF","no"))),IF(ISNUMBER(BY965),IF(ABS(BY965-[3]QC_indicators!$B$1)&gt;3*[3]QC_indicators!$C$1,"DF","no")))</f>
        <v>no</v>
      </c>
      <c r="ET965" s="264" t="s">
        <v>3160</v>
      </c>
    </row>
    <row r="966" spans="1:150" ht="15" hidden="1" customHeight="1">
      <c r="A966" s="1" t="s">
        <v>1890</v>
      </c>
      <c r="B966" t="s">
        <v>1891</v>
      </c>
      <c r="D966" t="s">
        <v>1892</v>
      </c>
      <c r="E966" t="s">
        <v>1893</v>
      </c>
      <c r="F966" t="s">
        <v>1894</v>
      </c>
      <c r="G966" t="s">
        <v>1895</v>
      </c>
      <c r="H966" t="s">
        <v>254</v>
      </c>
      <c r="I966">
        <v>2009</v>
      </c>
      <c r="J966">
        <v>31</v>
      </c>
      <c r="K966" t="s">
        <v>1896</v>
      </c>
      <c r="M966" t="str">
        <f t="shared" si="1249"/>
        <v>Liu_2009</v>
      </c>
      <c r="N966" t="s">
        <v>222</v>
      </c>
      <c r="O966" s="145" t="s">
        <v>225</v>
      </c>
      <c r="Q966" t="s">
        <v>256</v>
      </c>
      <c r="R966" s="262" t="s">
        <v>223</v>
      </c>
      <c r="S966" s="1" t="s">
        <v>1321</v>
      </c>
      <c r="T966" s="143" t="s">
        <v>1897</v>
      </c>
      <c r="U966" s="143" t="s">
        <v>1900</v>
      </c>
      <c r="V966">
        <v>1</v>
      </c>
      <c r="W966">
        <v>0</v>
      </c>
      <c r="X966">
        <v>0</v>
      </c>
      <c r="Y966">
        <v>0</v>
      </c>
      <c r="Z966">
        <v>0</v>
      </c>
      <c r="AA966">
        <v>0</v>
      </c>
      <c r="AB966">
        <v>0</v>
      </c>
      <c r="AC966">
        <v>0</v>
      </c>
      <c r="AD966">
        <v>0</v>
      </c>
      <c r="AE966">
        <v>0</v>
      </c>
      <c r="AF966">
        <v>0</v>
      </c>
      <c r="AG966">
        <v>0</v>
      </c>
      <c r="AH966">
        <v>0</v>
      </c>
      <c r="AI966">
        <v>0</v>
      </c>
      <c r="AJ966">
        <v>0</v>
      </c>
      <c r="AK966">
        <v>0</v>
      </c>
      <c r="AL966">
        <v>0</v>
      </c>
      <c r="AM966">
        <v>0</v>
      </c>
      <c r="AN966">
        <v>0</v>
      </c>
      <c r="AO966">
        <v>0</v>
      </c>
      <c r="AP966">
        <v>0</v>
      </c>
      <c r="AQ966">
        <v>0</v>
      </c>
      <c r="AR966">
        <v>0</v>
      </c>
      <c r="AS966">
        <v>0</v>
      </c>
      <c r="AT966">
        <v>0</v>
      </c>
      <c r="AU966">
        <v>0</v>
      </c>
      <c r="AV966">
        <v>0</v>
      </c>
      <c r="AW966">
        <v>0</v>
      </c>
      <c r="AX966" s="141">
        <f t="shared" si="1250"/>
        <v>1</v>
      </c>
      <c r="AY966" s="141">
        <f t="shared" si="1251"/>
        <v>1</v>
      </c>
      <c r="AZ966">
        <f t="shared" si="1252"/>
        <v>1</v>
      </c>
      <c r="BA966">
        <f t="shared" si="1253"/>
        <v>0</v>
      </c>
      <c r="BB966">
        <f t="shared" si="1254"/>
        <v>0</v>
      </c>
      <c r="BC966">
        <f t="shared" si="1255"/>
        <v>0</v>
      </c>
      <c r="BD966">
        <f t="shared" si="1256"/>
        <v>0</v>
      </c>
      <c r="BE966" t="str">
        <f t="array" ref="BE966">IF(AY966=1,INDEX($V$7:$AL$7,MATCH(TRUE,INDEX($V966:$AW966&lt;&gt;0,),0)),IF(AY966=0,INDEX($AM$7:$AW$7,MATCH(1,$AM966:$AW966,0)),IF(BF966="Multiple strategies","mixed drivers",IF(BF966="Supply chain","multiple supply","multiple silviculture"))))</f>
        <v>area subject to harvest</v>
      </c>
      <c r="BF966" s="2" t="str" cm="1">
        <f t="array" ref="BF966">IF(COUNTIF(AZ966:BB966,"&lt;&gt;0")=1,INDEX($V$4:$AW$4,MATCH(TRUE,INDEX($V966:$AW966&lt;&gt;0,),0)),IF(COUNTIF(AZ966:BB966,"&lt;&gt;0")=0,INDEX($AM$4:$AW$4,MATCH(1,$AM966:$AW966,0)),"Multiple strategies"))</f>
        <v>Silviculture for removals</v>
      </c>
      <c r="BG966" s="142" t="s">
        <v>321</v>
      </c>
      <c r="BH966" s="264" t="s">
        <v>3156</v>
      </c>
      <c r="BI966" s="264" t="s">
        <v>3157</v>
      </c>
      <c r="BJ966" s="143" t="s">
        <v>1354</v>
      </c>
      <c r="BK966">
        <v>0</v>
      </c>
      <c r="BL966" s="143">
        <f>1.8*400</f>
        <v>720</v>
      </c>
      <c r="BM966" s="163"/>
      <c r="BN966">
        <f t="shared" si="1257"/>
        <v>720</v>
      </c>
      <c r="BO966">
        <f>BN966*10^6</f>
        <v>720000000</v>
      </c>
      <c r="BP966" t="s">
        <v>232</v>
      </c>
      <c r="BQ966" s="309" t="s">
        <v>783</v>
      </c>
      <c r="BR966" t="s">
        <v>1899</v>
      </c>
      <c r="BS966" s="143">
        <v>505</v>
      </c>
      <c r="BT966">
        <f>545</f>
        <v>545</v>
      </c>
      <c r="BU966" s="144">
        <f>IFERROR(BT966/BS966,"")</f>
        <v>1.0792079207920793</v>
      </c>
      <c r="BV966">
        <f t="shared" si="1258"/>
        <v>40</v>
      </c>
      <c r="BX966">
        <f>BV966*10^6*C_to_CO2</f>
        <v>146800000</v>
      </c>
      <c r="BY966">
        <f t="shared" si="1195"/>
        <v>0.2038888888888889</v>
      </c>
      <c r="BZ966">
        <v>0</v>
      </c>
      <c r="CA966">
        <v>0</v>
      </c>
      <c r="CB966">
        <v>0</v>
      </c>
      <c r="CC966">
        <v>0</v>
      </c>
      <c r="CD966">
        <v>0</v>
      </c>
      <c r="CE966">
        <v>0</v>
      </c>
      <c r="CF966">
        <v>0</v>
      </c>
      <c r="CG966">
        <v>0</v>
      </c>
      <c r="CH966">
        <v>0</v>
      </c>
      <c r="CI966">
        <v>0</v>
      </c>
      <c r="CJ966">
        <v>0</v>
      </c>
      <c r="CK966">
        <v>0</v>
      </c>
      <c r="CL966">
        <v>0</v>
      </c>
      <c r="CM966">
        <v>0</v>
      </c>
      <c r="CN966" t="str">
        <f t="shared" si="1259"/>
        <v>refOK</v>
      </c>
      <c r="CO966">
        <f>IF($CN966="refOK",$BK966,$BL966)</f>
        <v>0</v>
      </c>
      <c r="CP966">
        <f>IF($CN966="refOK",$BL966,$BK966)</f>
        <v>720</v>
      </c>
      <c r="CQ966">
        <f t="shared" si="1260"/>
        <v>720000000</v>
      </c>
      <c r="CR966">
        <f t="shared" si="1261"/>
        <v>505</v>
      </c>
      <c r="CS966">
        <f t="shared" si="1262"/>
        <v>545</v>
      </c>
      <c r="CT966">
        <f t="shared" si="1263"/>
        <v>146800000</v>
      </c>
      <c r="CU966">
        <f t="shared" si="1264"/>
        <v>0.2038888888888889</v>
      </c>
      <c r="CV966" s="2">
        <f t="shared" si="1265"/>
        <v>7.9207920792079209E-2</v>
      </c>
      <c r="CW966" s="1" t="s">
        <v>1198</v>
      </c>
      <c r="CX966" t="str">
        <f t="shared" si="1266"/>
        <v>reg</v>
      </c>
      <c r="CY966" t="s">
        <v>540</v>
      </c>
      <c r="DA966" s="143"/>
      <c r="DB966" s="143">
        <v>400</v>
      </c>
      <c r="DC966" t="str">
        <f t="shared" si="1267"/>
        <v>+100</v>
      </c>
      <c r="DD966">
        <v>0</v>
      </c>
      <c r="DE966">
        <v>0</v>
      </c>
      <c r="DF966">
        <v>0</v>
      </c>
      <c r="DG966">
        <v>1</v>
      </c>
      <c r="DI966">
        <f t="shared" si="1268"/>
        <v>1</v>
      </c>
      <c r="DJ966" t="str">
        <f t="shared" si="1269"/>
        <v>TimberInput</v>
      </c>
      <c r="DK966">
        <f t="shared" si="1270"/>
        <v>0</v>
      </c>
      <c r="DL966">
        <f t="shared" si="1271"/>
        <v>0</v>
      </c>
      <c r="DM966">
        <f t="shared" si="1272"/>
        <v>0</v>
      </c>
      <c r="DN966" t="str">
        <f t="shared" si="1273"/>
        <v>Timber</v>
      </c>
      <c r="DO966">
        <v>0</v>
      </c>
      <c r="DP966" s="143">
        <v>0</v>
      </c>
      <c r="DQ966" s="143">
        <v>0</v>
      </c>
      <c r="DR966">
        <v>0</v>
      </c>
      <c r="DS966" s="143">
        <v>0</v>
      </c>
      <c r="DT966">
        <f t="shared" si="1274"/>
        <v>0</v>
      </c>
      <c r="DU966" s="143" t="str">
        <f t="shared" si="1275"/>
        <v>explicit C balance</v>
      </c>
      <c r="DV966" s="143">
        <v>1</v>
      </c>
      <c r="DW966" s="143">
        <v>0</v>
      </c>
      <c r="DX966" s="143">
        <v>1</v>
      </c>
      <c r="DY966" s="143">
        <v>1</v>
      </c>
      <c r="DZ966">
        <v>1</v>
      </c>
      <c r="EA966" s="143">
        <v>0</v>
      </c>
      <c r="EB966" s="143">
        <v>0</v>
      </c>
      <c r="EC966" s="143">
        <v>0</v>
      </c>
      <c r="ED966" s="143">
        <v>0</v>
      </c>
      <c r="EE966">
        <v>0</v>
      </c>
      <c r="EF966">
        <v>1</v>
      </c>
      <c r="EG966" s="143">
        <v>0</v>
      </c>
      <c r="EH966">
        <v>0</v>
      </c>
      <c r="EI966" s="2">
        <v>0</v>
      </c>
      <c r="EJ966" s="263" t="s">
        <v>3159</v>
      </c>
      <c r="EK966" t="str">
        <f t="shared" si="1276"/>
        <v/>
      </c>
      <c r="EL966" t="str">
        <f t="shared" si="1277"/>
        <v>Ecosystem approach</v>
      </c>
      <c r="EM966" s="2" t="str">
        <f t="shared" si="1223"/>
        <v/>
      </c>
      <c r="EP966" t="str">
        <f>IF(ISNUMBER(BU966),IF(ABS(BU966-[3]QC_indicators!$B$2)&gt;3*[3]QC_indicators!$C$2,"C ratio",IF(ISNUMBER(BY966),IF(ABS(BY966-[3]QC_indicators!$B$1)&gt;3*[3]QC_indicators!$C$1,"DF","no"))),IF(ISNUMBER(BY966),IF(ABS(BY966-[3]QC_indicators!$B$1)&gt;3*[3]QC_indicators!$C$1,"DF","no")))</f>
        <v>no</v>
      </c>
      <c r="ET966" s="264" t="s">
        <v>3160</v>
      </c>
    </row>
    <row r="967" spans="1:150" ht="15" hidden="1" customHeight="1">
      <c r="A967" s="1" t="s">
        <v>1890</v>
      </c>
      <c r="B967" t="s">
        <v>1891</v>
      </c>
      <c r="D967" t="s">
        <v>1892</v>
      </c>
      <c r="E967" t="s">
        <v>1893</v>
      </c>
      <c r="F967" t="s">
        <v>1894</v>
      </c>
      <c r="G967" t="s">
        <v>1895</v>
      </c>
      <c r="H967" t="s">
        <v>254</v>
      </c>
      <c r="I967">
        <v>2009</v>
      </c>
      <c r="J967">
        <v>31</v>
      </c>
      <c r="K967" t="s">
        <v>1896</v>
      </c>
      <c r="M967" t="str">
        <f t="shared" si="1249"/>
        <v>Liu_2009</v>
      </c>
      <c r="N967" t="s">
        <v>222</v>
      </c>
      <c r="O967" s="145" t="s">
        <v>225</v>
      </c>
      <c r="Q967" t="s">
        <v>256</v>
      </c>
      <c r="R967" s="262" t="s">
        <v>223</v>
      </c>
      <c r="S967" s="1" t="s">
        <v>1901</v>
      </c>
      <c r="T967" s="143" t="s">
        <v>1902</v>
      </c>
      <c r="U967" s="143" t="s">
        <v>1903</v>
      </c>
      <c r="V967">
        <v>0</v>
      </c>
      <c r="W967">
        <v>0</v>
      </c>
      <c r="X967">
        <v>0</v>
      </c>
      <c r="Y967">
        <v>0</v>
      </c>
      <c r="Z967">
        <v>0</v>
      </c>
      <c r="AA967">
        <v>0</v>
      </c>
      <c r="AB967">
        <v>0</v>
      </c>
      <c r="AC967">
        <v>0</v>
      </c>
      <c r="AD967">
        <v>0</v>
      </c>
      <c r="AE967">
        <v>0</v>
      </c>
      <c r="AF967">
        <v>0</v>
      </c>
      <c r="AG967">
        <v>0</v>
      </c>
      <c r="AH967">
        <v>0</v>
      </c>
      <c r="AI967">
        <v>1</v>
      </c>
      <c r="AJ967">
        <v>0</v>
      </c>
      <c r="AK967">
        <v>0</v>
      </c>
      <c r="AL967">
        <v>0</v>
      </c>
      <c r="AM967">
        <v>0</v>
      </c>
      <c r="AN967">
        <v>0</v>
      </c>
      <c r="AO967">
        <v>0</v>
      </c>
      <c r="AP967">
        <v>0</v>
      </c>
      <c r="AQ967">
        <v>0</v>
      </c>
      <c r="AR967">
        <v>0</v>
      </c>
      <c r="AS967">
        <v>0</v>
      </c>
      <c r="AT967">
        <v>0</v>
      </c>
      <c r="AU967">
        <v>0</v>
      </c>
      <c r="AV967">
        <v>0</v>
      </c>
      <c r="AW967">
        <v>0</v>
      </c>
      <c r="AX967" s="141">
        <f t="shared" si="1250"/>
        <v>1</v>
      </c>
      <c r="AY967" s="141">
        <f t="shared" si="1251"/>
        <v>1</v>
      </c>
      <c r="AZ967">
        <f t="shared" si="1252"/>
        <v>0</v>
      </c>
      <c r="BA967">
        <f t="shared" si="1253"/>
        <v>1</v>
      </c>
      <c r="BB967">
        <f t="shared" si="1254"/>
        <v>0</v>
      </c>
      <c r="BC967">
        <f t="shared" si="1255"/>
        <v>0</v>
      </c>
      <c r="BD967">
        <f t="shared" si="1256"/>
        <v>0</v>
      </c>
      <c r="BE967" t="str">
        <f t="array" ref="BE967">IF(AY967=1,INDEX($V$7:$AL$7,MATCH(TRUE,INDEX($V967:$AW967&lt;&gt;0,),0)),IF(AY967=0,INDEX($AM$7:$AW$7,MATCH(1,$AM967:$AW967,0)),IF(BF967="Multiple strategies","mixed drivers",IF(BF967="Supply chain","multiple supply","multiple silviculture"))))</f>
        <v>products lifespan</v>
      </c>
      <c r="BF967" s="2" t="str" cm="1">
        <f t="array" ref="BF967">IF(COUNTIF(AZ967:BB967,"&lt;&gt;0")=1,INDEX($V$4:$AW$4,MATCH(TRUE,INDEX($V967:$AW967&lt;&gt;0,),0)),IF(COUNTIF(AZ967:BB967,"&lt;&gt;0")=0,INDEX($AM$4:$AW$4,MATCH(1,$AM967:$AW967,0)),"Multiple strategies"))</f>
        <v>Supply chain</v>
      </c>
      <c r="BG967" s="142" t="s">
        <v>321</v>
      </c>
      <c r="BH967" s="264" t="s">
        <v>3156</v>
      </c>
      <c r="BI967" s="264" t="s">
        <v>3157</v>
      </c>
      <c r="BJ967" s="143" t="s">
        <v>1354</v>
      </c>
      <c r="BK967" s="143">
        <f>4.8*10+3.3*390</f>
        <v>1335</v>
      </c>
      <c r="BL967" s="143">
        <f>4.8*10+3.3*390</f>
        <v>1335</v>
      </c>
      <c r="BM967" s="163">
        <f>BL967/BK967</f>
        <v>1</v>
      </c>
      <c r="BN967">
        <f t="shared" si="1257"/>
        <v>0</v>
      </c>
      <c r="BO967">
        <f>BN967*10^6</f>
        <v>0</v>
      </c>
      <c r="BP967" t="s">
        <v>232</v>
      </c>
      <c r="BQ967" s="153" t="s">
        <v>3158</v>
      </c>
      <c r="BR967" t="s">
        <v>1899</v>
      </c>
      <c r="BS967" s="143">
        <f>500</f>
        <v>500</v>
      </c>
      <c r="BT967">
        <f>560</f>
        <v>560</v>
      </c>
      <c r="BU967" s="144">
        <f>IFERROR(BT967/BS967,"")</f>
        <v>1.1200000000000001</v>
      </c>
      <c r="BV967">
        <f t="shared" si="1258"/>
        <v>60</v>
      </c>
      <c r="BX967">
        <f>BV967*10^6*C_to_CO2</f>
        <v>220200000</v>
      </c>
      <c r="BY967" t="str">
        <f t="shared" si="1195"/>
        <v/>
      </c>
      <c r="BZ967">
        <v>0</v>
      </c>
      <c r="CA967">
        <v>0</v>
      </c>
      <c r="CB967">
        <v>0</v>
      </c>
      <c r="CC967">
        <v>0</v>
      </c>
      <c r="CD967">
        <v>0</v>
      </c>
      <c r="CE967">
        <v>0</v>
      </c>
      <c r="CF967">
        <v>0</v>
      </c>
      <c r="CG967">
        <v>0</v>
      </c>
      <c r="CH967">
        <v>0</v>
      </c>
      <c r="CI967">
        <v>0</v>
      </c>
      <c r="CJ967">
        <v>0</v>
      </c>
      <c r="CK967">
        <v>0</v>
      </c>
      <c r="CL967">
        <v>0</v>
      </c>
      <c r="CM967">
        <v>0</v>
      </c>
      <c r="CN967" t="str">
        <f t="shared" si="1259"/>
        <v>refOK</v>
      </c>
      <c r="CO967">
        <f>IF($CN967="refOK",$BK967,$BL967)</f>
        <v>1335</v>
      </c>
      <c r="CP967">
        <f>IF($CN967="refOK",$BL967,$BK967)</f>
        <v>1335</v>
      </c>
      <c r="CQ967">
        <f t="shared" si="1260"/>
        <v>0</v>
      </c>
      <c r="CR967">
        <f t="shared" si="1261"/>
        <v>500</v>
      </c>
      <c r="CS967">
        <f t="shared" si="1262"/>
        <v>560</v>
      </c>
      <c r="CT967">
        <f t="shared" si="1263"/>
        <v>220200000</v>
      </c>
      <c r="CU967" t="str">
        <f t="shared" si="1264"/>
        <v/>
      </c>
      <c r="CV967" s="2">
        <f t="shared" si="1265"/>
        <v>0.12</v>
      </c>
      <c r="CW967" s="1" t="s">
        <v>1198</v>
      </c>
      <c r="CX967" t="str">
        <f t="shared" si="1266"/>
        <v>reg</v>
      </c>
      <c r="CY967" t="s">
        <v>540</v>
      </c>
      <c r="DA967" s="143"/>
      <c r="DB967" s="143">
        <v>400</v>
      </c>
      <c r="DC967" t="str">
        <f t="shared" si="1267"/>
        <v>+100</v>
      </c>
      <c r="DD967">
        <v>0</v>
      </c>
      <c r="DE967">
        <v>0</v>
      </c>
      <c r="DF967">
        <v>0</v>
      </c>
      <c r="DG967">
        <v>1</v>
      </c>
      <c r="DI967">
        <f t="shared" si="1268"/>
        <v>1</v>
      </c>
      <c r="DJ967" t="str">
        <f t="shared" si="1269"/>
        <v>TimberInput</v>
      </c>
      <c r="DK967">
        <f t="shared" si="1270"/>
        <v>0</v>
      </c>
      <c r="DL967">
        <f t="shared" si="1271"/>
        <v>0</v>
      </c>
      <c r="DM967">
        <f t="shared" si="1272"/>
        <v>0</v>
      </c>
      <c r="DN967" t="str">
        <f t="shared" si="1273"/>
        <v>Timber</v>
      </c>
      <c r="DO967">
        <v>0</v>
      </c>
      <c r="DP967" s="143">
        <v>0</v>
      </c>
      <c r="DQ967" s="143">
        <v>0</v>
      </c>
      <c r="DR967">
        <v>0</v>
      </c>
      <c r="DS967" s="143">
        <v>0</v>
      </c>
      <c r="DT967">
        <f t="shared" si="1274"/>
        <v>0</v>
      </c>
      <c r="DU967" s="143" t="str">
        <f t="shared" si="1275"/>
        <v>explicit C balance</v>
      </c>
      <c r="DV967" s="143">
        <v>1</v>
      </c>
      <c r="DW967" s="143">
        <v>0</v>
      </c>
      <c r="DX967" s="143">
        <v>1</v>
      </c>
      <c r="DY967" s="143">
        <v>1</v>
      </c>
      <c r="DZ967">
        <v>1</v>
      </c>
      <c r="EA967" s="143">
        <v>0</v>
      </c>
      <c r="EB967" s="143">
        <v>0</v>
      </c>
      <c r="EC967" s="143">
        <v>0</v>
      </c>
      <c r="ED967" s="143">
        <v>0</v>
      </c>
      <c r="EE967">
        <v>0</v>
      </c>
      <c r="EF967">
        <v>1</v>
      </c>
      <c r="EG967" s="143">
        <v>0</v>
      </c>
      <c r="EH967">
        <v>0</v>
      </c>
      <c r="EI967" s="2">
        <v>0</v>
      </c>
      <c r="EJ967" s="263" t="s">
        <v>3159</v>
      </c>
      <c r="EK967" t="str">
        <f t="shared" si="1276"/>
        <v/>
      </c>
      <c r="EL967" t="str">
        <f t="shared" si="1277"/>
        <v>Ecosystem approach</v>
      </c>
      <c r="EM967" s="2" t="str">
        <f t="shared" si="1223"/>
        <v/>
      </c>
      <c r="EP967" t="b">
        <f>IF(ISNUMBER(BU967),IF(ABS(BU967-[3]QC_indicators!$B$2)&gt;3*[3]QC_indicators!$C$2,"C ratio",IF(ISNUMBER(BY967),IF(ABS(BY967-[3]QC_indicators!$B$1)&gt;3*[3]QC_indicators!$C$1,"DF","no"))),IF(ISNUMBER(BY967),IF(ABS(BY967-[3]QC_indicators!$B$1)&gt;3*[3]QC_indicators!$C$1,"DF","no")))</f>
        <v>0</v>
      </c>
      <c r="ET967" s="264" t="s">
        <v>3160</v>
      </c>
    </row>
    <row r="968" spans="1:150" ht="15" hidden="1" customHeight="1">
      <c r="A968" s="1" t="s">
        <v>656</v>
      </c>
      <c r="B968" t="s">
        <v>1904</v>
      </c>
      <c r="C968" t="s">
        <v>1905</v>
      </c>
      <c r="D968" t="s">
        <v>1906</v>
      </c>
      <c r="E968" t="s">
        <v>1907</v>
      </c>
      <c r="F968" t="s">
        <v>1908</v>
      </c>
      <c r="G968" t="s">
        <v>662</v>
      </c>
      <c r="H968" t="s">
        <v>254</v>
      </c>
      <c r="I968">
        <v>2016</v>
      </c>
      <c r="J968">
        <v>41</v>
      </c>
      <c r="K968" t="s">
        <v>1909</v>
      </c>
      <c r="M968" t="str">
        <f t="shared" si="1249"/>
        <v>Liu_2016</v>
      </c>
      <c r="N968" t="s">
        <v>222</v>
      </c>
      <c r="O968" s="145" t="s">
        <v>225</v>
      </c>
      <c r="Q968" s="264" t="s">
        <v>256</v>
      </c>
      <c r="R968" s="269" t="s">
        <v>1153</v>
      </c>
      <c r="S968" s="1" t="s">
        <v>1916</v>
      </c>
      <c r="T968" s="143" t="s">
        <v>1917</v>
      </c>
      <c r="U968" s="143" t="s">
        <v>1918</v>
      </c>
      <c r="V968">
        <v>0</v>
      </c>
      <c r="W968">
        <v>0</v>
      </c>
      <c r="X968">
        <v>0</v>
      </c>
      <c r="Y968">
        <v>0</v>
      </c>
      <c r="Z968">
        <v>0</v>
      </c>
      <c r="AA968">
        <v>0</v>
      </c>
      <c r="AB968">
        <v>0</v>
      </c>
      <c r="AC968">
        <v>0</v>
      </c>
      <c r="AD968">
        <v>0</v>
      </c>
      <c r="AE968">
        <v>0</v>
      </c>
      <c r="AF968">
        <v>0</v>
      </c>
      <c r="AG968">
        <v>0</v>
      </c>
      <c r="AH968">
        <v>0</v>
      </c>
      <c r="AI968">
        <v>0</v>
      </c>
      <c r="AJ968">
        <v>0</v>
      </c>
      <c r="AK968">
        <v>1</v>
      </c>
      <c r="AL968">
        <v>0</v>
      </c>
      <c r="AM968">
        <v>0</v>
      </c>
      <c r="AN968">
        <v>0</v>
      </c>
      <c r="AO968">
        <v>0</v>
      </c>
      <c r="AP968">
        <v>0</v>
      </c>
      <c r="AQ968">
        <v>0</v>
      </c>
      <c r="AR968">
        <v>0</v>
      </c>
      <c r="AS968">
        <v>0</v>
      </c>
      <c r="AT968">
        <v>0</v>
      </c>
      <c r="AU968">
        <v>0</v>
      </c>
      <c r="AV968">
        <v>0</v>
      </c>
      <c r="AW968">
        <v>0</v>
      </c>
      <c r="AX968" s="141">
        <f t="shared" si="1250"/>
        <v>1</v>
      </c>
      <c r="AY968" s="141">
        <f t="shared" si="1251"/>
        <v>1</v>
      </c>
      <c r="AZ968">
        <f t="shared" si="1252"/>
        <v>0</v>
      </c>
      <c r="BA968">
        <f t="shared" si="1253"/>
        <v>0</v>
      </c>
      <c r="BB968">
        <f t="shared" si="1254"/>
        <v>1</v>
      </c>
      <c r="BC968">
        <f t="shared" si="1255"/>
        <v>0</v>
      </c>
      <c r="BD968">
        <f t="shared" si="1256"/>
        <v>0</v>
      </c>
      <c r="BE968" t="str" cm="1">
        <f t="array" ref="BE968">IF(AY968=1,INDEX($V$7:$AL$7,MATCH(TRUE,INDEX($V968:$AW968&lt;&gt;0,),0)),IF(AY968=0,INDEX($AM$7:$AW$7,MATCH(1,$AM968:$AW968,0)),IF(BF968="Multiple strategies","mixed drivers",IF(BF968="Supply chain","multiple supply","multiple silviculture"))))</f>
        <v>technologies/design switch</v>
      </c>
      <c r="BF968" s="2" t="str" cm="1">
        <f t="array" ref="BF968">IF(COUNTIF(AZ968:BB968,"&lt;&gt;0")=1,INDEX($V$4:$AW$4,MATCH(TRUE,INDEX($V968:$AW968&lt;&gt;0,),0)),IF(COUNTIF(AZ968:BB968,"&lt;&gt;0")=0,INDEX($AM$4:$AW$4,MATCH(1,$AM968:$AW968,0)),"Multiple strategies"))</f>
        <v>Technology</v>
      </c>
      <c r="BG968" s="142" t="s">
        <v>229</v>
      </c>
      <c r="BH968" t="s">
        <v>1911</v>
      </c>
      <c r="BJ968" s="143" t="s">
        <v>1912</v>
      </c>
      <c r="BK968">
        <v>0</v>
      </c>
      <c r="BL968" s="143">
        <v>606</v>
      </c>
      <c r="BM968" s="163"/>
      <c r="BN968">
        <f t="shared" si="1257"/>
        <v>606</v>
      </c>
      <c r="BO968" s="143">
        <f>BN968*t_to_m3</f>
        <v>1236.7346938775511</v>
      </c>
      <c r="BP968" s="264" t="s">
        <v>232</v>
      </c>
      <c r="BQ968" s="264"/>
      <c r="BR968" t="s">
        <v>1913</v>
      </c>
      <c r="BS968" s="143">
        <v>-3829</v>
      </c>
      <c r="BT968">
        <v>-2339</v>
      </c>
      <c r="BU968" s="144">
        <v>0.61086445547140245</v>
      </c>
      <c r="BV968">
        <f t="shared" si="1258"/>
        <v>1490</v>
      </c>
      <c r="BX968">
        <f>BV968</f>
        <v>1490</v>
      </c>
      <c r="BY968">
        <f t="shared" si="1195"/>
        <v>1.2047854785478547</v>
      </c>
      <c r="BZ968">
        <v>0</v>
      </c>
      <c r="CA968">
        <v>0</v>
      </c>
      <c r="CB968">
        <v>0</v>
      </c>
      <c r="CC968">
        <v>0</v>
      </c>
      <c r="CD968">
        <v>0</v>
      </c>
      <c r="CE968">
        <v>0</v>
      </c>
      <c r="CF968">
        <v>0</v>
      </c>
      <c r="CG968">
        <v>0</v>
      </c>
      <c r="CH968">
        <v>0</v>
      </c>
      <c r="CI968">
        <v>0</v>
      </c>
      <c r="CJ968">
        <v>0</v>
      </c>
      <c r="CK968">
        <v>0</v>
      </c>
      <c r="CL968">
        <v>0</v>
      </c>
      <c r="CM968">
        <v>0</v>
      </c>
      <c r="CN968" t="str">
        <f t="shared" si="1259"/>
        <v>refOK</v>
      </c>
      <c r="CO968">
        <f>IF($CN968="refNeedCorrection",BL968,BK968)</f>
        <v>0</v>
      </c>
      <c r="CP968">
        <f>IF($CN968="refNeedCorrection",BK968,BL968)</f>
        <v>606</v>
      </c>
      <c r="CQ968">
        <f t="shared" si="1260"/>
        <v>1236.7346938775511</v>
      </c>
      <c r="CR968">
        <f t="shared" si="1261"/>
        <v>-3829</v>
      </c>
      <c r="CS968">
        <f t="shared" si="1262"/>
        <v>-2339</v>
      </c>
      <c r="CT968">
        <f t="shared" si="1263"/>
        <v>1490</v>
      </c>
      <c r="CU968">
        <f t="shared" si="1264"/>
        <v>1.2047854785478547</v>
      </c>
      <c r="CV968" s="2">
        <f t="shared" si="1265"/>
        <v>0.38913554452859755</v>
      </c>
      <c r="CW968" s="1" t="s">
        <v>1198</v>
      </c>
      <c r="CX968" s="264" t="str">
        <f t="shared" si="1266"/>
        <v>reg</v>
      </c>
      <c r="CY968" t="s">
        <v>690</v>
      </c>
      <c r="DA968" s="143"/>
      <c r="DB968" s="143">
        <v>50</v>
      </c>
      <c r="DC968" t="str">
        <f t="shared" si="1267"/>
        <v>31-70</v>
      </c>
      <c r="DD968">
        <v>0</v>
      </c>
      <c r="DE968">
        <v>0</v>
      </c>
      <c r="DF968">
        <v>0</v>
      </c>
      <c r="DG968">
        <v>1</v>
      </c>
      <c r="DI968">
        <f t="shared" si="1268"/>
        <v>1</v>
      </c>
      <c r="DJ968" t="str">
        <f t="shared" si="1269"/>
        <v>TimberInput</v>
      </c>
      <c r="DK968">
        <f t="shared" si="1270"/>
        <v>0</v>
      </c>
      <c r="DL968">
        <f t="shared" si="1271"/>
        <v>0</v>
      </c>
      <c r="DM968">
        <f t="shared" si="1272"/>
        <v>0</v>
      </c>
      <c r="DN968" t="str">
        <f t="shared" si="1273"/>
        <v>Timber</v>
      </c>
      <c r="DO968">
        <v>0</v>
      </c>
      <c r="DP968" s="143">
        <v>0</v>
      </c>
      <c r="DQ968" s="143">
        <v>0</v>
      </c>
      <c r="DR968">
        <v>0</v>
      </c>
      <c r="DS968" s="143">
        <v>0</v>
      </c>
      <c r="DT968">
        <f t="shared" si="1274"/>
        <v>0</v>
      </c>
      <c r="DU968" s="143" t="str">
        <f t="shared" si="1275"/>
        <v>explicit C balance</v>
      </c>
      <c r="DV968" s="143">
        <v>0</v>
      </c>
      <c r="DW968" s="143">
        <v>0</v>
      </c>
      <c r="DX968" s="143">
        <v>0</v>
      </c>
      <c r="DY968" s="143">
        <v>1</v>
      </c>
      <c r="DZ968">
        <v>0</v>
      </c>
      <c r="EA968" s="143">
        <v>0</v>
      </c>
      <c r="EB968" s="143">
        <v>1</v>
      </c>
      <c r="EC968" s="143">
        <v>1</v>
      </c>
      <c r="ED968" s="143">
        <v>1</v>
      </c>
      <c r="EE968">
        <v>1</v>
      </c>
      <c r="EF968">
        <v>0</v>
      </c>
      <c r="EG968" s="143">
        <v>0</v>
      </c>
      <c r="EH968">
        <v>0</v>
      </c>
      <c r="EI968" s="2">
        <v>0</v>
      </c>
      <c r="EK968" t="str">
        <f t="shared" si="1276"/>
        <v/>
      </c>
      <c r="EL968" t="str">
        <f t="shared" si="1277"/>
        <v/>
      </c>
      <c r="EM968" s="2" t="str">
        <f t="shared" si="1223"/>
        <v>Technology approach</v>
      </c>
      <c r="EN968" t="s">
        <v>1914</v>
      </c>
      <c r="EP968" t="str">
        <f>IF(ISNUMBER(BU968),IF(ABS(BU968-[4]QC_indicators!$B$2)&gt;3*[4]QC_indicators!$C$2,"C ratio",IF(ISNUMBER(BY968),IF(ABS(BY968-[4]QC_indicators!$B$1)&gt;3*[4]QC_indicators!$C$1,"DF","no"))),IF(ISNUMBER(BY968),IF(ABS(BY968-[4]QC_indicators!$B$1)&gt;3*[4]QC_indicators!$C$1,"DF","no")))</f>
        <v>no</v>
      </c>
      <c r="EQ968" t="s">
        <v>1163</v>
      </c>
      <c r="ER968" s="264" t="s">
        <v>1915</v>
      </c>
      <c r="ET968" s="264" t="s">
        <v>3406</v>
      </c>
    </row>
    <row r="969" spans="1:150" ht="15" hidden="1" customHeight="1">
      <c r="A969" s="1" t="s">
        <v>656</v>
      </c>
      <c r="B969" t="s">
        <v>1904</v>
      </c>
      <c r="C969" t="s">
        <v>1905</v>
      </c>
      <c r="D969" t="s">
        <v>1906</v>
      </c>
      <c r="E969" t="s">
        <v>1907</v>
      </c>
      <c r="F969" t="s">
        <v>1908</v>
      </c>
      <c r="G969" t="s">
        <v>662</v>
      </c>
      <c r="H969" t="s">
        <v>254</v>
      </c>
      <c r="I969">
        <v>2016</v>
      </c>
      <c r="J969">
        <v>41</v>
      </c>
      <c r="K969" t="s">
        <v>1909</v>
      </c>
      <c r="M969" t="str">
        <f t="shared" si="1249"/>
        <v>Liu_2016</v>
      </c>
      <c r="N969" t="s">
        <v>222</v>
      </c>
      <c r="O969" s="145" t="s">
        <v>225</v>
      </c>
      <c r="Q969" s="264" t="s">
        <v>256</v>
      </c>
      <c r="R969" s="269" t="s">
        <v>1153</v>
      </c>
      <c r="S969" s="1" t="s">
        <v>1916</v>
      </c>
      <c r="T969" s="143" t="s">
        <v>1919</v>
      </c>
      <c r="U969" s="143" t="s">
        <v>1920</v>
      </c>
      <c r="V969">
        <v>0</v>
      </c>
      <c r="W969">
        <v>0</v>
      </c>
      <c r="X969">
        <v>0</v>
      </c>
      <c r="Y969">
        <v>0</v>
      </c>
      <c r="Z969">
        <v>0</v>
      </c>
      <c r="AA969">
        <v>0</v>
      </c>
      <c r="AB969">
        <v>0</v>
      </c>
      <c r="AC969">
        <v>0</v>
      </c>
      <c r="AD969">
        <v>0</v>
      </c>
      <c r="AE969">
        <v>0</v>
      </c>
      <c r="AF969">
        <v>0</v>
      </c>
      <c r="AG969">
        <v>0</v>
      </c>
      <c r="AH969">
        <v>0</v>
      </c>
      <c r="AI969">
        <v>0</v>
      </c>
      <c r="AJ969">
        <v>0</v>
      </c>
      <c r="AK969">
        <v>1</v>
      </c>
      <c r="AL969">
        <v>0</v>
      </c>
      <c r="AM969">
        <v>0</v>
      </c>
      <c r="AN969">
        <v>0</v>
      </c>
      <c r="AO969">
        <v>0</v>
      </c>
      <c r="AP969">
        <v>0</v>
      </c>
      <c r="AQ969">
        <v>0</v>
      </c>
      <c r="AR969">
        <v>0</v>
      </c>
      <c r="AS969">
        <v>0</v>
      </c>
      <c r="AT969">
        <v>0</v>
      </c>
      <c r="AU969">
        <v>0</v>
      </c>
      <c r="AV969">
        <v>0</v>
      </c>
      <c r="AW969">
        <v>0</v>
      </c>
      <c r="AX969" s="141">
        <f t="shared" si="1250"/>
        <v>1</v>
      </c>
      <c r="AY969" s="141">
        <f t="shared" si="1251"/>
        <v>1</v>
      </c>
      <c r="AZ969">
        <f t="shared" si="1252"/>
        <v>0</v>
      </c>
      <c r="BA969">
        <f t="shared" si="1253"/>
        <v>0</v>
      </c>
      <c r="BB969">
        <f t="shared" si="1254"/>
        <v>1</v>
      </c>
      <c r="BC969">
        <f t="shared" si="1255"/>
        <v>0</v>
      </c>
      <c r="BD969">
        <f t="shared" si="1256"/>
        <v>0</v>
      </c>
      <c r="BE969" t="str" cm="1">
        <f t="array" ref="BE969">IF(AY969=1,INDEX($V$7:$AL$7,MATCH(TRUE,INDEX($V969:$AW969&lt;&gt;0,),0)),IF(AY969=0,INDEX($AM$7:$AW$7,MATCH(1,$AM969:$AW969,0)),IF(BF969="Multiple strategies","mixed drivers",IF(BF969="Supply chain","multiple supply","multiple silviculture"))))</f>
        <v>technologies/design switch</v>
      </c>
      <c r="BF969" s="2" t="str" cm="1">
        <f t="array" ref="BF969">IF(COUNTIF(AZ969:BB969,"&lt;&gt;0")=1,INDEX($V$4:$AW$4,MATCH(TRUE,INDEX($V969:$AW969&lt;&gt;0,),0)),IF(COUNTIF(AZ969:BB969,"&lt;&gt;0")=0,INDEX($AM$4:$AW$4,MATCH(1,$AM969:$AW969,0)),"Multiple strategies"))</f>
        <v>Technology</v>
      </c>
      <c r="BG969" s="142" t="s">
        <v>229</v>
      </c>
      <c r="BH969" t="s">
        <v>1911</v>
      </c>
      <c r="BJ969" s="143" t="s">
        <v>1912</v>
      </c>
      <c r="BK969">
        <v>0</v>
      </c>
      <c r="BL969" s="143">
        <v>606</v>
      </c>
      <c r="BM969" s="163"/>
      <c r="BN969">
        <f t="shared" si="1257"/>
        <v>606</v>
      </c>
      <c r="BO969" s="143">
        <f>BN969*t_to_m3</f>
        <v>1236.7346938775511</v>
      </c>
      <c r="BP969" s="264" t="s">
        <v>232</v>
      </c>
      <c r="BQ969" s="264"/>
      <c r="BR969" t="s">
        <v>1913</v>
      </c>
      <c r="BS969" s="143">
        <v>-5229</v>
      </c>
      <c r="BT969">
        <v>-2970</v>
      </c>
      <c r="BU969" s="144">
        <v>0.56798623063683307</v>
      </c>
      <c r="BV969">
        <f t="shared" si="1258"/>
        <v>2259</v>
      </c>
      <c r="BX969">
        <f>BV969</f>
        <v>2259</v>
      </c>
      <c r="BY969">
        <f t="shared" si="1195"/>
        <v>1.8265841584158415</v>
      </c>
      <c r="BZ969">
        <v>0</v>
      </c>
      <c r="CA969">
        <v>0</v>
      </c>
      <c r="CB969">
        <v>0</v>
      </c>
      <c r="CC969">
        <v>0</v>
      </c>
      <c r="CD969">
        <v>0</v>
      </c>
      <c r="CE969">
        <v>0</v>
      </c>
      <c r="CF969">
        <v>0</v>
      </c>
      <c r="CG969">
        <v>0</v>
      </c>
      <c r="CH969">
        <v>0</v>
      </c>
      <c r="CI969">
        <v>0</v>
      </c>
      <c r="CJ969">
        <v>0</v>
      </c>
      <c r="CK969">
        <v>0</v>
      </c>
      <c r="CL969">
        <v>0</v>
      </c>
      <c r="CM969">
        <v>0</v>
      </c>
      <c r="CN969" t="str">
        <f t="shared" si="1259"/>
        <v>refOK</v>
      </c>
      <c r="CO969">
        <f>IF($CN969="refNeedCorrection",BL969,BK969)</f>
        <v>0</v>
      </c>
      <c r="CP969">
        <f>IF($CN969="refNeedCorrection",BK969,BL969)</f>
        <v>606</v>
      </c>
      <c r="CQ969">
        <f t="shared" si="1260"/>
        <v>1236.7346938775511</v>
      </c>
      <c r="CR969">
        <f t="shared" si="1261"/>
        <v>-5229</v>
      </c>
      <c r="CS969">
        <f t="shared" si="1262"/>
        <v>-2970</v>
      </c>
      <c r="CT969">
        <f t="shared" si="1263"/>
        <v>2259</v>
      </c>
      <c r="CU969">
        <f t="shared" si="1264"/>
        <v>1.8265841584158415</v>
      </c>
      <c r="CV969" s="2">
        <f t="shared" si="1265"/>
        <v>0.43201376936316693</v>
      </c>
      <c r="CW969" s="1" t="s">
        <v>1198</v>
      </c>
      <c r="CX969" s="264" t="str">
        <f t="shared" si="1266"/>
        <v>reg</v>
      </c>
      <c r="CY969" t="s">
        <v>690</v>
      </c>
      <c r="DA969" s="143"/>
      <c r="DB969" s="143">
        <v>50</v>
      </c>
      <c r="DC969" t="str">
        <f t="shared" si="1267"/>
        <v>31-70</v>
      </c>
      <c r="DD969">
        <v>0</v>
      </c>
      <c r="DE969">
        <v>0</v>
      </c>
      <c r="DF969">
        <v>0</v>
      </c>
      <c r="DG969">
        <v>1</v>
      </c>
      <c r="DI969">
        <f t="shared" si="1268"/>
        <v>1</v>
      </c>
      <c r="DJ969" t="str">
        <f t="shared" si="1269"/>
        <v>TimberInput</v>
      </c>
      <c r="DK969">
        <f t="shared" si="1270"/>
        <v>0</v>
      </c>
      <c r="DL969">
        <f t="shared" si="1271"/>
        <v>0</v>
      </c>
      <c r="DM969">
        <f t="shared" si="1272"/>
        <v>0</v>
      </c>
      <c r="DN969" t="str">
        <f t="shared" si="1273"/>
        <v>Timber</v>
      </c>
      <c r="DO969">
        <v>0</v>
      </c>
      <c r="DP969" s="143">
        <v>0</v>
      </c>
      <c r="DQ969" s="143">
        <v>0</v>
      </c>
      <c r="DR969">
        <v>0</v>
      </c>
      <c r="DS969" s="143">
        <v>0</v>
      </c>
      <c r="DT969">
        <f t="shared" si="1274"/>
        <v>0</v>
      </c>
      <c r="DU969" s="143" t="str">
        <f t="shared" si="1275"/>
        <v>explicit C balance</v>
      </c>
      <c r="DV969" s="143">
        <v>0</v>
      </c>
      <c r="DW969" s="143">
        <v>0</v>
      </c>
      <c r="DX969" s="143">
        <v>0</v>
      </c>
      <c r="DY969" s="143">
        <v>1</v>
      </c>
      <c r="DZ969">
        <v>0</v>
      </c>
      <c r="EA969" s="143">
        <v>0</v>
      </c>
      <c r="EB969" s="143">
        <v>1</v>
      </c>
      <c r="EC969" s="143">
        <v>1</v>
      </c>
      <c r="ED969" s="143">
        <v>1</v>
      </c>
      <c r="EE969">
        <v>1</v>
      </c>
      <c r="EF969">
        <v>0</v>
      </c>
      <c r="EG969" s="143">
        <v>0</v>
      </c>
      <c r="EH969">
        <v>0</v>
      </c>
      <c r="EI969" s="2">
        <v>0</v>
      </c>
      <c r="EK969" t="str">
        <f t="shared" si="1276"/>
        <v/>
      </c>
      <c r="EL969" t="str">
        <f t="shared" si="1277"/>
        <v/>
      </c>
      <c r="EM969" s="2" t="str">
        <f t="shared" si="1223"/>
        <v>Technology approach</v>
      </c>
      <c r="EN969" t="s">
        <v>1914</v>
      </c>
      <c r="EP969" t="str">
        <f>IF(ISNUMBER(BU969),IF(ABS(BU969-[4]QC_indicators!$B$2)&gt;3*[4]QC_indicators!$C$2,"C ratio",IF(ISNUMBER(BY969),IF(ABS(BY969-[4]QC_indicators!$B$1)&gt;3*[4]QC_indicators!$C$1,"DF","no"))),IF(ISNUMBER(BY969),IF(ABS(BY969-[4]QC_indicators!$B$1)&gt;3*[4]QC_indicators!$C$1,"DF","no")))</f>
        <v>no</v>
      </c>
      <c r="EQ969" t="s">
        <v>1163</v>
      </c>
      <c r="ER969" s="264" t="s">
        <v>1915</v>
      </c>
      <c r="ET969" s="264" t="s">
        <v>3406</v>
      </c>
    </row>
    <row r="970" spans="1:150" ht="15" hidden="1" customHeight="1">
      <c r="A970" s="1" t="s">
        <v>656</v>
      </c>
      <c r="B970" t="s">
        <v>1904</v>
      </c>
      <c r="C970" t="s">
        <v>1905</v>
      </c>
      <c r="D970" t="s">
        <v>1906</v>
      </c>
      <c r="E970" t="s">
        <v>1907</v>
      </c>
      <c r="F970" t="s">
        <v>1908</v>
      </c>
      <c r="G970" t="s">
        <v>662</v>
      </c>
      <c r="H970" t="s">
        <v>254</v>
      </c>
      <c r="I970">
        <v>2016</v>
      </c>
      <c r="J970">
        <v>41</v>
      </c>
      <c r="K970" t="s">
        <v>1909</v>
      </c>
      <c r="M970" t="str">
        <f t="shared" si="1249"/>
        <v>Liu_2016</v>
      </c>
      <c r="N970" t="s">
        <v>222</v>
      </c>
      <c r="O970" s="145" t="s">
        <v>225</v>
      </c>
      <c r="Q970" s="264" t="s">
        <v>256</v>
      </c>
      <c r="R970" s="269" t="s">
        <v>1153</v>
      </c>
      <c r="S970" s="1" t="s">
        <v>1910</v>
      </c>
      <c r="T970" s="183">
        <v>0.55000000000000004</v>
      </c>
      <c r="U970" s="183">
        <v>0.9</v>
      </c>
      <c r="V970">
        <v>0</v>
      </c>
      <c r="W970">
        <v>0</v>
      </c>
      <c r="X970">
        <v>0</v>
      </c>
      <c r="Y970">
        <v>0</v>
      </c>
      <c r="Z970">
        <v>0</v>
      </c>
      <c r="AA970">
        <v>0</v>
      </c>
      <c r="AB970">
        <v>0</v>
      </c>
      <c r="AC970">
        <v>0</v>
      </c>
      <c r="AD970">
        <v>0</v>
      </c>
      <c r="AE970">
        <v>0</v>
      </c>
      <c r="AF970">
        <v>0</v>
      </c>
      <c r="AG970">
        <v>1</v>
      </c>
      <c r="AH970">
        <v>0</v>
      </c>
      <c r="AI970">
        <v>0</v>
      </c>
      <c r="AJ970">
        <v>0</v>
      </c>
      <c r="AK970">
        <v>0</v>
      </c>
      <c r="AL970">
        <v>0</v>
      </c>
      <c r="AM970">
        <v>0</v>
      </c>
      <c r="AN970">
        <v>0</v>
      </c>
      <c r="AO970">
        <v>0</v>
      </c>
      <c r="AP970">
        <v>0</v>
      </c>
      <c r="AQ970">
        <v>0</v>
      </c>
      <c r="AR970">
        <v>0</v>
      </c>
      <c r="AS970">
        <v>0</v>
      </c>
      <c r="AT970">
        <v>0</v>
      </c>
      <c r="AU970">
        <v>0</v>
      </c>
      <c r="AV970">
        <v>0</v>
      </c>
      <c r="AW970">
        <v>0</v>
      </c>
      <c r="AX970" s="141">
        <f t="shared" si="1250"/>
        <v>1</v>
      </c>
      <c r="AY970" s="141">
        <f t="shared" si="1251"/>
        <v>1</v>
      </c>
      <c r="AZ970">
        <f t="shared" si="1252"/>
        <v>0</v>
      </c>
      <c r="BA970">
        <f t="shared" si="1253"/>
        <v>1</v>
      </c>
      <c r="BB970">
        <f t="shared" si="1254"/>
        <v>0</v>
      </c>
      <c r="BC970">
        <f t="shared" si="1255"/>
        <v>0</v>
      </c>
      <c r="BD970">
        <f t="shared" si="1256"/>
        <v>0</v>
      </c>
      <c r="BE970" t="str" cm="1">
        <f t="array" ref="BE970">IF(AY970=1,INDEX($V$7:$AL$7,MATCH(TRUE,INDEX($V970:$AW970&lt;&gt;0,),0)),IF(AY970=0,INDEX($AM$7:$AW$7,MATCH(1,$AM970:$AW970,0)),IF(BF970="Multiple strategies","mixed drivers",IF(BF970="Supply chain","multiple supply","multiple silviculture"))))</f>
        <v>recycling</v>
      </c>
      <c r="BF970" s="2" t="str" cm="1">
        <f t="array" ref="BF970">IF(COUNTIF(AZ970:BB970,"&lt;&gt;0")=1,INDEX($V$4:$AW$4,MATCH(TRUE,INDEX($V970:$AW970&lt;&gt;0,),0)),IF(COUNTIF(AZ970:BB970,"&lt;&gt;0")=0,INDEX($AM$4:$AW$4,MATCH(1,$AM970:$AW970,0)),"Multiple strategies"))</f>
        <v>Supply chain</v>
      </c>
      <c r="BG970" s="142" t="s">
        <v>229</v>
      </c>
      <c r="BH970" t="s">
        <v>1911</v>
      </c>
      <c r="BJ970" s="143" t="s">
        <v>1912</v>
      </c>
      <c r="BK970">
        <v>606</v>
      </c>
      <c r="BL970" s="143">
        <v>606</v>
      </c>
      <c r="BM970" s="163"/>
      <c r="BN970">
        <f t="shared" si="1257"/>
        <v>0</v>
      </c>
      <c r="BO970" s="143">
        <f>BN970*t_to_m3</f>
        <v>0</v>
      </c>
      <c r="BP970" s="264" t="s">
        <v>232</v>
      </c>
      <c r="BQ970" s="264"/>
      <c r="BR970" t="s">
        <v>1913</v>
      </c>
      <c r="BS970" s="143">
        <v>-2295.4259999999999</v>
      </c>
      <c r="BT970">
        <v>-2043.489</v>
      </c>
      <c r="BU970" s="144">
        <v>0.8902439024390244</v>
      </c>
      <c r="BV970">
        <f t="shared" si="1258"/>
        <v>251.9369999999999</v>
      </c>
      <c r="BX970">
        <f>BV970</f>
        <v>251.9369999999999</v>
      </c>
      <c r="BY970" t="str">
        <f t="shared" si="1195"/>
        <v/>
      </c>
      <c r="BZ970">
        <v>0</v>
      </c>
      <c r="CA970">
        <v>0</v>
      </c>
      <c r="CB970">
        <v>0</v>
      </c>
      <c r="CC970">
        <v>0</v>
      </c>
      <c r="CD970">
        <v>0</v>
      </c>
      <c r="CE970">
        <v>0</v>
      </c>
      <c r="CF970">
        <v>0</v>
      </c>
      <c r="CG970">
        <v>0</v>
      </c>
      <c r="CH970">
        <v>0</v>
      </c>
      <c r="CI970">
        <v>0</v>
      </c>
      <c r="CJ970">
        <v>0</v>
      </c>
      <c r="CK970">
        <v>0</v>
      </c>
      <c r="CL970">
        <v>0</v>
      </c>
      <c r="CM970">
        <v>0</v>
      </c>
      <c r="CN970" t="str">
        <f t="shared" si="1259"/>
        <v>refOK</v>
      </c>
      <c r="CO970">
        <f>IF($CN970="refNeedCorrection",BL970,BK970)</f>
        <v>606</v>
      </c>
      <c r="CP970">
        <f>IF($CN970="refNeedCorrection",BK970,BL970)</f>
        <v>606</v>
      </c>
      <c r="CQ970">
        <f t="shared" si="1260"/>
        <v>0</v>
      </c>
      <c r="CR970">
        <f t="shared" si="1261"/>
        <v>-2295.4259999999999</v>
      </c>
      <c r="CS970">
        <f t="shared" si="1262"/>
        <v>-2043.489</v>
      </c>
      <c r="CT970">
        <f t="shared" si="1263"/>
        <v>251.9369999999999</v>
      </c>
      <c r="CU970" t="str">
        <f t="shared" si="1264"/>
        <v/>
      </c>
      <c r="CV970" s="2">
        <f t="shared" si="1265"/>
        <v>0.10975609756097557</v>
      </c>
      <c r="CW970" s="1" t="s">
        <v>1198</v>
      </c>
      <c r="CX970" s="264" t="str">
        <f t="shared" si="1266"/>
        <v>reg</v>
      </c>
      <c r="CY970" t="s">
        <v>690</v>
      </c>
      <c r="DA970" s="143"/>
      <c r="DB970" s="143">
        <v>50</v>
      </c>
      <c r="DC970" t="str">
        <f t="shared" si="1267"/>
        <v>31-70</v>
      </c>
      <c r="DD970">
        <v>0</v>
      </c>
      <c r="DE970">
        <v>0</v>
      </c>
      <c r="DF970">
        <v>0</v>
      </c>
      <c r="DG970">
        <v>1</v>
      </c>
      <c r="DI970">
        <f t="shared" si="1268"/>
        <v>1</v>
      </c>
      <c r="DJ970" t="str">
        <f t="shared" si="1269"/>
        <v>TimberInput</v>
      </c>
      <c r="DK970">
        <f t="shared" si="1270"/>
        <v>0</v>
      </c>
      <c r="DL970">
        <f t="shared" si="1271"/>
        <v>0</v>
      </c>
      <c r="DM970">
        <f t="shared" si="1272"/>
        <v>0</v>
      </c>
      <c r="DN970" t="str">
        <f t="shared" si="1273"/>
        <v>Timber</v>
      </c>
      <c r="DO970">
        <v>0</v>
      </c>
      <c r="DP970" s="143">
        <v>0</v>
      </c>
      <c r="DQ970" s="143">
        <v>0</v>
      </c>
      <c r="DR970">
        <v>0</v>
      </c>
      <c r="DS970" s="143">
        <v>0</v>
      </c>
      <c r="DT970">
        <f t="shared" si="1274"/>
        <v>0</v>
      </c>
      <c r="DU970" s="143" t="str">
        <f t="shared" si="1275"/>
        <v>explicit C balance</v>
      </c>
      <c r="DV970" s="143">
        <v>0</v>
      </c>
      <c r="DW970" s="143">
        <v>0</v>
      </c>
      <c r="DX970" s="143">
        <v>0</v>
      </c>
      <c r="DY970" s="143">
        <v>1</v>
      </c>
      <c r="DZ970">
        <v>0</v>
      </c>
      <c r="EA970" s="143">
        <v>0</v>
      </c>
      <c r="EB970" s="143">
        <v>1</v>
      </c>
      <c r="EC970" s="143">
        <v>1</v>
      </c>
      <c r="ED970" s="143">
        <v>1</v>
      </c>
      <c r="EE970">
        <v>1</v>
      </c>
      <c r="EF970">
        <v>0</v>
      </c>
      <c r="EG970" s="143">
        <v>0</v>
      </c>
      <c r="EH970">
        <v>0</v>
      </c>
      <c r="EI970" s="2">
        <v>0</v>
      </c>
      <c r="EK970" t="str">
        <f t="shared" si="1276"/>
        <v/>
      </c>
      <c r="EL970" t="str">
        <f t="shared" si="1277"/>
        <v/>
      </c>
      <c r="EM970" s="2" t="str">
        <f t="shared" si="1223"/>
        <v>Technology approach</v>
      </c>
      <c r="EN970" t="s">
        <v>1914</v>
      </c>
      <c r="EP970" t="b">
        <f>IF(ISNUMBER(BU970),IF(ABS(BU970-[4]QC_indicators!$B$2)&gt;3*[4]QC_indicators!$C$2,"C ratio",IF(ISNUMBER(BY970),IF(ABS(BY970-[4]QC_indicators!$B$1)&gt;3*[4]QC_indicators!$C$1,"DF","no"))),IF(ISNUMBER(BY970),IF(ABS(BY970-[4]QC_indicators!$B$1)&gt;3*[4]QC_indicators!$C$1,"DF","no")))</f>
        <v>0</v>
      </c>
      <c r="EQ970" t="s">
        <v>1163</v>
      </c>
      <c r="ER970" s="264" t="s">
        <v>1915</v>
      </c>
      <c r="ET970" s="264" t="s">
        <v>3406</v>
      </c>
    </row>
    <row r="971" spans="1:150" ht="15" hidden="1" customHeight="1">
      <c r="A971" s="1" t="s">
        <v>656</v>
      </c>
      <c r="B971" t="s">
        <v>1904</v>
      </c>
      <c r="C971" t="s">
        <v>1905</v>
      </c>
      <c r="D971" t="s">
        <v>1906</v>
      </c>
      <c r="E971" t="s">
        <v>1907</v>
      </c>
      <c r="F971" t="s">
        <v>1908</v>
      </c>
      <c r="G971" t="s">
        <v>662</v>
      </c>
      <c r="H971" t="s">
        <v>254</v>
      </c>
      <c r="I971">
        <v>2016</v>
      </c>
      <c r="J971">
        <v>41</v>
      </c>
      <c r="K971" t="s">
        <v>1909</v>
      </c>
      <c r="M971" t="str">
        <f t="shared" si="1249"/>
        <v>Liu_2016</v>
      </c>
      <c r="N971" t="s">
        <v>222</v>
      </c>
      <c r="O971" s="145" t="s">
        <v>225</v>
      </c>
      <c r="Q971" s="264" t="s">
        <v>256</v>
      </c>
      <c r="R971" s="269" t="s">
        <v>1153</v>
      </c>
      <c r="S971" s="1" t="s">
        <v>1916</v>
      </c>
      <c r="T971" s="183">
        <v>0.55000000000000004</v>
      </c>
      <c r="U971" s="183">
        <v>0.9</v>
      </c>
      <c r="V971">
        <v>0</v>
      </c>
      <c r="W971">
        <v>0</v>
      </c>
      <c r="X971">
        <v>0</v>
      </c>
      <c r="Y971">
        <v>0</v>
      </c>
      <c r="Z971">
        <v>0</v>
      </c>
      <c r="AA971">
        <v>0</v>
      </c>
      <c r="AB971">
        <v>0</v>
      </c>
      <c r="AC971">
        <v>0</v>
      </c>
      <c r="AD971">
        <v>0</v>
      </c>
      <c r="AE971">
        <v>0</v>
      </c>
      <c r="AF971">
        <v>0</v>
      </c>
      <c r="AG971">
        <v>1</v>
      </c>
      <c r="AH971">
        <v>0</v>
      </c>
      <c r="AI971">
        <v>0</v>
      </c>
      <c r="AJ971">
        <v>0</v>
      </c>
      <c r="AK971">
        <v>0</v>
      </c>
      <c r="AL971">
        <v>0</v>
      </c>
      <c r="AM971">
        <v>0</v>
      </c>
      <c r="AN971">
        <v>0</v>
      </c>
      <c r="AO971">
        <v>0</v>
      </c>
      <c r="AP971">
        <v>0</v>
      </c>
      <c r="AQ971">
        <v>0</v>
      </c>
      <c r="AR971">
        <v>0</v>
      </c>
      <c r="AS971">
        <v>0</v>
      </c>
      <c r="AT971">
        <v>0</v>
      </c>
      <c r="AU971">
        <v>0</v>
      </c>
      <c r="AV971">
        <v>0</v>
      </c>
      <c r="AW971">
        <v>0</v>
      </c>
      <c r="AX971" s="141">
        <f t="shared" si="1250"/>
        <v>1</v>
      </c>
      <c r="AY971" s="141">
        <f t="shared" si="1251"/>
        <v>1</v>
      </c>
      <c r="AZ971">
        <f t="shared" si="1252"/>
        <v>0</v>
      </c>
      <c r="BA971">
        <f t="shared" si="1253"/>
        <v>1</v>
      </c>
      <c r="BB971">
        <f t="shared" si="1254"/>
        <v>0</v>
      </c>
      <c r="BC971">
        <f t="shared" si="1255"/>
        <v>0</v>
      </c>
      <c r="BD971">
        <f t="shared" si="1256"/>
        <v>0</v>
      </c>
      <c r="BE971" t="str" cm="1">
        <f t="array" ref="BE971">IF(AY971=1,INDEX($V$7:$AL$7,MATCH(TRUE,INDEX($V971:$AW971&lt;&gt;0,),0)),IF(AY971=0,INDEX($AM$7:$AW$7,MATCH(1,$AM971:$AW971,0)),IF(BF971="Multiple strategies","mixed drivers",IF(BF971="Supply chain","multiple supply","multiple silviculture"))))</f>
        <v>recycling</v>
      </c>
      <c r="BF971" s="2" t="str" cm="1">
        <f t="array" ref="BF971">IF(COUNTIF(AZ971:BB971,"&lt;&gt;0")=1,INDEX($V$4:$AW$4,MATCH(TRUE,INDEX($V971:$AW971&lt;&gt;0,),0)),IF(COUNTIF(AZ971:BB971,"&lt;&gt;0")=0,INDEX($AM$4:$AW$4,MATCH(1,$AM971:$AW971,0)),"Multiple strategies"))</f>
        <v>Supply chain</v>
      </c>
      <c r="BG971" s="142" t="s">
        <v>229</v>
      </c>
      <c r="BH971" t="s">
        <v>1911</v>
      </c>
      <c r="BJ971" s="143" t="s">
        <v>1912</v>
      </c>
      <c r="BK971">
        <v>606</v>
      </c>
      <c r="BL971" s="143">
        <v>606</v>
      </c>
      <c r="BM971" s="163"/>
      <c r="BN971">
        <f t="shared" si="1257"/>
        <v>0</v>
      </c>
      <c r="BO971" s="143">
        <f>BN971*t_to_m3</f>
        <v>0</v>
      </c>
      <c r="BP971" s="264" t="s">
        <v>232</v>
      </c>
      <c r="BQ971" s="264"/>
      <c r="BR971" t="s">
        <v>1913</v>
      </c>
      <c r="BS971" s="143">
        <v>-2995.2510000000002</v>
      </c>
      <c r="BT971">
        <v>-2771.3070000000002</v>
      </c>
      <c r="BU971" s="144">
        <v>0.92523364485981308</v>
      </c>
      <c r="BV971">
        <f t="shared" si="1258"/>
        <v>223.94399999999996</v>
      </c>
      <c r="BX971">
        <f>BV971</f>
        <v>223.94399999999996</v>
      </c>
      <c r="BY971" t="str">
        <f t="shared" si="1195"/>
        <v/>
      </c>
      <c r="BZ971">
        <v>0</v>
      </c>
      <c r="CA971">
        <v>0</v>
      </c>
      <c r="CB971">
        <v>0</v>
      </c>
      <c r="CC971">
        <v>0</v>
      </c>
      <c r="CD971">
        <v>0</v>
      </c>
      <c r="CE971">
        <v>0</v>
      </c>
      <c r="CF971">
        <v>0</v>
      </c>
      <c r="CG971">
        <v>0</v>
      </c>
      <c r="CH971">
        <v>0</v>
      </c>
      <c r="CI971">
        <v>0</v>
      </c>
      <c r="CJ971">
        <v>0</v>
      </c>
      <c r="CK971">
        <v>0</v>
      </c>
      <c r="CL971">
        <v>0</v>
      </c>
      <c r="CM971">
        <v>0</v>
      </c>
      <c r="CN971" t="str">
        <f t="shared" si="1259"/>
        <v>refOK</v>
      </c>
      <c r="CO971">
        <f>IF($CN971="refNeedCorrection",BL971,BK971)</f>
        <v>606</v>
      </c>
      <c r="CP971">
        <f>IF($CN971="refNeedCorrection",BK971,BL971)</f>
        <v>606</v>
      </c>
      <c r="CQ971">
        <f t="shared" si="1260"/>
        <v>0</v>
      </c>
      <c r="CR971">
        <f t="shared" si="1261"/>
        <v>-2995.2510000000002</v>
      </c>
      <c r="CS971">
        <f t="shared" si="1262"/>
        <v>-2771.3070000000002</v>
      </c>
      <c r="CT971">
        <f t="shared" si="1263"/>
        <v>223.94399999999996</v>
      </c>
      <c r="CU971" t="str">
        <f t="shared" si="1264"/>
        <v/>
      </c>
      <c r="CV971" s="2">
        <f t="shared" si="1265"/>
        <v>7.4766355140186896E-2</v>
      </c>
      <c r="CW971" s="1" t="s">
        <v>1198</v>
      </c>
      <c r="CX971" s="264" t="str">
        <f t="shared" si="1266"/>
        <v>reg</v>
      </c>
      <c r="CY971" t="s">
        <v>690</v>
      </c>
      <c r="DA971" s="143"/>
      <c r="DB971" s="143">
        <v>50</v>
      </c>
      <c r="DC971" t="str">
        <f t="shared" si="1267"/>
        <v>31-70</v>
      </c>
      <c r="DD971">
        <v>0</v>
      </c>
      <c r="DE971">
        <v>0</v>
      </c>
      <c r="DF971">
        <v>0</v>
      </c>
      <c r="DG971">
        <v>1</v>
      </c>
      <c r="DI971">
        <f t="shared" si="1268"/>
        <v>1</v>
      </c>
      <c r="DJ971" t="str">
        <f t="shared" si="1269"/>
        <v>TimberInput</v>
      </c>
      <c r="DK971">
        <f t="shared" si="1270"/>
        <v>0</v>
      </c>
      <c r="DL971">
        <f t="shared" si="1271"/>
        <v>0</v>
      </c>
      <c r="DM971">
        <f t="shared" si="1272"/>
        <v>0</v>
      </c>
      <c r="DN971" t="str">
        <f t="shared" si="1273"/>
        <v>Timber</v>
      </c>
      <c r="DO971">
        <v>0</v>
      </c>
      <c r="DP971" s="143">
        <v>0</v>
      </c>
      <c r="DQ971" s="143">
        <v>0</v>
      </c>
      <c r="DR971">
        <v>0</v>
      </c>
      <c r="DS971" s="143">
        <v>0</v>
      </c>
      <c r="DT971">
        <f t="shared" si="1274"/>
        <v>0</v>
      </c>
      <c r="DU971" s="143" t="str">
        <f t="shared" si="1275"/>
        <v>explicit C balance</v>
      </c>
      <c r="DV971" s="143">
        <v>0</v>
      </c>
      <c r="DW971" s="143">
        <v>0</v>
      </c>
      <c r="DX971" s="143">
        <v>0</v>
      </c>
      <c r="DY971" s="143">
        <v>1</v>
      </c>
      <c r="DZ971">
        <v>0</v>
      </c>
      <c r="EA971" s="143">
        <v>0</v>
      </c>
      <c r="EB971" s="143">
        <v>1</v>
      </c>
      <c r="EC971" s="143">
        <v>1</v>
      </c>
      <c r="ED971" s="143">
        <v>1</v>
      </c>
      <c r="EE971">
        <v>1</v>
      </c>
      <c r="EF971">
        <v>0</v>
      </c>
      <c r="EG971" s="143">
        <v>0</v>
      </c>
      <c r="EH971">
        <v>0</v>
      </c>
      <c r="EI971" s="2">
        <v>0</v>
      </c>
      <c r="EK971" t="str">
        <f t="shared" si="1276"/>
        <v/>
      </c>
      <c r="EL971" t="str">
        <f t="shared" si="1277"/>
        <v/>
      </c>
      <c r="EM971" s="2" t="str">
        <f t="shared" si="1223"/>
        <v>Technology approach</v>
      </c>
      <c r="EN971" t="s">
        <v>1914</v>
      </c>
      <c r="EP971" t="b">
        <f>IF(ISNUMBER(BU971),IF(ABS(BU971-[4]QC_indicators!$B$2)&gt;3*[4]QC_indicators!$C$2,"C ratio",IF(ISNUMBER(BY971),IF(ABS(BY971-[4]QC_indicators!$B$1)&gt;3*[4]QC_indicators!$C$1,"DF","no"))),IF(ISNUMBER(BY971),IF(ABS(BY971-[4]QC_indicators!$B$1)&gt;3*[4]QC_indicators!$C$1,"DF","no")))</f>
        <v>0</v>
      </c>
      <c r="EQ971" t="s">
        <v>1163</v>
      </c>
      <c r="ER971" s="264" t="s">
        <v>1915</v>
      </c>
      <c r="ET971" s="264" t="s">
        <v>3406</v>
      </c>
    </row>
    <row r="972" spans="1:150" ht="15" hidden="1" customHeight="1">
      <c r="A972" s="1" t="s">
        <v>1377</v>
      </c>
      <c r="B972" t="s">
        <v>1921</v>
      </c>
      <c r="C972" t="s">
        <v>1922</v>
      </c>
      <c r="D972" t="s">
        <v>1923</v>
      </c>
      <c r="E972" t="s">
        <v>1924</v>
      </c>
      <c r="F972" t="s">
        <v>1925</v>
      </c>
      <c r="G972" t="s">
        <v>1383</v>
      </c>
      <c r="H972" t="s">
        <v>254</v>
      </c>
      <c r="I972">
        <v>2016</v>
      </c>
      <c r="J972">
        <v>12</v>
      </c>
      <c r="K972" t="s">
        <v>1926</v>
      </c>
      <c r="M972" t="str">
        <f t="shared" si="1249"/>
        <v>Lobianco_2016</v>
      </c>
      <c r="N972" t="s">
        <v>222</v>
      </c>
      <c r="O972" s="145" t="s">
        <v>225</v>
      </c>
      <c r="P972" t="s">
        <v>513</v>
      </c>
      <c r="Q972" t="s">
        <v>256</v>
      </c>
      <c r="R972" s="262" t="s">
        <v>223</v>
      </c>
      <c r="S972" s="1" t="s">
        <v>1932</v>
      </c>
      <c r="T972" s="143" t="s">
        <v>1933</v>
      </c>
      <c r="U972" s="143" t="s">
        <v>3170</v>
      </c>
      <c r="V972">
        <v>0</v>
      </c>
      <c r="W972">
        <v>0</v>
      </c>
      <c r="X972">
        <v>0</v>
      </c>
      <c r="Y972">
        <v>0</v>
      </c>
      <c r="Z972">
        <v>0</v>
      </c>
      <c r="AA972">
        <v>0</v>
      </c>
      <c r="AB972">
        <v>0</v>
      </c>
      <c r="AC972">
        <v>1</v>
      </c>
      <c r="AD972">
        <v>0</v>
      </c>
      <c r="AE972">
        <v>0</v>
      </c>
      <c r="AF972">
        <v>0</v>
      </c>
      <c r="AG972">
        <v>0</v>
      </c>
      <c r="AH972">
        <v>0</v>
      </c>
      <c r="AI972">
        <v>0</v>
      </c>
      <c r="AJ972">
        <v>0</v>
      </c>
      <c r="AK972">
        <v>0</v>
      </c>
      <c r="AL972">
        <v>0</v>
      </c>
      <c r="AM972">
        <v>0</v>
      </c>
      <c r="AN972">
        <v>1</v>
      </c>
      <c r="AO972">
        <v>0</v>
      </c>
      <c r="AP972">
        <v>0</v>
      </c>
      <c r="AQ972">
        <v>0</v>
      </c>
      <c r="AR972">
        <v>0</v>
      </c>
      <c r="AS972">
        <v>0</v>
      </c>
      <c r="AT972">
        <v>0</v>
      </c>
      <c r="AU972">
        <v>1</v>
      </c>
      <c r="AV972">
        <v>0</v>
      </c>
      <c r="AW972">
        <v>0</v>
      </c>
      <c r="AX972" s="141">
        <f t="shared" si="1250"/>
        <v>3</v>
      </c>
      <c r="AY972" s="141">
        <f t="shared" si="1251"/>
        <v>1</v>
      </c>
      <c r="AZ972">
        <f t="shared" si="1252"/>
        <v>1</v>
      </c>
      <c r="BA972">
        <f t="shared" si="1253"/>
        <v>0</v>
      </c>
      <c r="BB972">
        <f t="shared" si="1254"/>
        <v>0</v>
      </c>
      <c r="BC972">
        <f t="shared" si="1255"/>
        <v>1</v>
      </c>
      <c r="BD972">
        <f t="shared" si="1256"/>
        <v>1</v>
      </c>
      <c r="BE972" t="str">
        <f t="array" ref="BE972">IF(AY972=1,INDEX($V$7:$AL$7,MATCH(TRUE,INDEX($V972:$AW972&lt;&gt;0,),0)),IF(AY972=0,INDEX($AM$7:$AW$7,MATCH(1,$AM972:$AW972,0)),IF(BF972="Multiple strategies","mixed drivers",IF(BF972="Supply chain","multiple supply","multiple silviculture"))))</f>
        <v>site fertility</v>
      </c>
      <c r="BF972" s="2" t="str" cm="1">
        <f t="array" ref="BF972">IF(COUNTIF(AZ972:BB972,"&lt;&gt;0")=1,INDEX($V$4:$AW$4,MATCH(TRUE,INDEX($V972:$AW972&lt;&gt;0,),0)),IF(COUNTIF(AZ972:BB972,"&lt;&gt;0")=0,INDEX($AM$4:$AW$4,MATCH(1,$AM972:$AW972,0)),"Multiple strategies"))</f>
        <v>Silviculture for productivity</v>
      </c>
      <c r="BG972" s="142" t="s">
        <v>321</v>
      </c>
      <c r="BH972" s="265" t="s">
        <v>3162</v>
      </c>
      <c r="BI972" s="264" t="s">
        <v>3171</v>
      </c>
      <c r="BJ972" s="143" t="s">
        <v>3164</v>
      </c>
      <c r="BK972">
        <v>52.988999999999997</v>
      </c>
      <c r="BL972">
        <f>53.247</f>
        <v>53.247</v>
      </c>
      <c r="BN972">
        <f t="shared" si="1257"/>
        <v>0.25800000000000267</v>
      </c>
      <c r="BO972" s="143">
        <f t="shared" ref="BO972:BO985" si="1278">BN972*10^6</f>
        <v>258000.00000000268</v>
      </c>
      <c r="BP972" t="s">
        <v>232</v>
      </c>
      <c r="BQ972" s="264" t="s">
        <v>3172</v>
      </c>
      <c r="BR972" s="143" t="s">
        <v>1928</v>
      </c>
      <c r="BS972">
        <v>149.31399999999999</v>
      </c>
      <c r="BT972" s="144">
        <v>117.962</v>
      </c>
      <c r="BU972" s="144">
        <f>IFERROR(BT972/BS972,"")</f>
        <v>0.79002638734479025</v>
      </c>
      <c r="BV972">
        <f t="shared" si="1258"/>
        <v>-31.35199999999999</v>
      </c>
      <c r="BX972">
        <f t="shared" ref="BX972:BX985" si="1279">BV972*10^6</f>
        <v>-31351999.999999989</v>
      </c>
      <c r="BY972">
        <f t="shared" si="1195"/>
        <v>-121.51937984495994</v>
      </c>
      <c r="BZ972">
        <v>0</v>
      </c>
      <c r="CA972">
        <v>0</v>
      </c>
      <c r="CB972">
        <v>0</v>
      </c>
      <c r="CC972">
        <v>0</v>
      </c>
      <c r="CD972">
        <v>0</v>
      </c>
      <c r="CE972">
        <v>0</v>
      </c>
      <c r="CF972">
        <v>0</v>
      </c>
      <c r="CG972">
        <v>0</v>
      </c>
      <c r="CH972">
        <v>0</v>
      </c>
      <c r="CI972">
        <v>0</v>
      </c>
      <c r="CJ972">
        <v>0</v>
      </c>
      <c r="CK972">
        <v>0</v>
      </c>
      <c r="CL972">
        <v>0</v>
      </c>
      <c r="CM972">
        <v>0</v>
      </c>
      <c r="CN972" t="str">
        <f t="shared" si="1259"/>
        <v>refOK</v>
      </c>
      <c r="CO972">
        <f t="shared" ref="CO972:CO985" si="1280">IF($CN972="refOK",$BK972,$BL972)</f>
        <v>52.988999999999997</v>
      </c>
      <c r="CP972">
        <f>IF($CN972="refOK",$BL972,$BK972)</f>
        <v>53.247</v>
      </c>
      <c r="CQ972">
        <f t="shared" si="1260"/>
        <v>258000.00000000268</v>
      </c>
      <c r="CR972">
        <f t="shared" si="1261"/>
        <v>149.31399999999999</v>
      </c>
      <c r="CS972">
        <f>IF($CN972="refOK",$BS972,#REF!)*IF($BP972="Emissions positive",-1,1)</f>
        <v>149.31399999999999</v>
      </c>
      <c r="CT972">
        <f t="shared" si="1263"/>
        <v>-31351999.999999989</v>
      </c>
      <c r="CU972">
        <f t="shared" si="1264"/>
        <v>-121.51937984495994</v>
      </c>
      <c r="CV972" s="2">
        <f t="shared" si="1265"/>
        <v>0</v>
      </c>
      <c r="CW972" s="1" t="s">
        <v>1198</v>
      </c>
      <c r="CX972" t="str">
        <f t="shared" si="1266"/>
        <v>reg</v>
      </c>
      <c r="CY972" t="s">
        <v>729</v>
      </c>
      <c r="CZ972">
        <v>2007</v>
      </c>
      <c r="DA972" s="143">
        <v>2100</v>
      </c>
      <c r="DB972" s="143">
        <f t="shared" ref="DB972:DB985" si="1281">DA972-CZ972</f>
        <v>93</v>
      </c>
      <c r="DC972" t="str">
        <f t="shared" si="1267"/>
        <v>71-100</v>
      </c>
      <c r="DD972">
        <v>0</v>
      </c>
      <c r="DE972">
        <v>1</v>
      </c>
      <c r="DF972">
        <v>0</v>
      </c>
      <c r="DG972">
        <v>1</v>
      </c>
      <c r="DH972">
        <v>1</v>
      </c>
      <c r="DI972">
        <f t="shared" si="1268"/>
        <v>2</v>
      </c>
      <c r="DJ972" t="str">
        <f t="shared" si="1269"/>
        <v>mixedProduct</v>
      </c>
      <c r="DK972">
        <f t="shared" si="1270"/>
        <v>0</v>
      </c>
      <c r="DL972" t="str">
        <f t="shared" si="1271"/>
        <v>Energy</v>
      </c>
      <c r="DM972">
        <f t="shared" si="1272"/>
        <v>0</v>
      </c>
      <c r="DN972" t="str">
        <f t="shared" si="1273"/>
        <v>Timber</v>
      </c>
      <c r="DO972">
        <v>0</v>
      </c>
      <c r="DP972" s="143">
        <v>0</v>
      </c>
      <c r="DQ972" s="143">
        <v>0</v>
      </c>
      <c r="DR972">
        <v>0</v>
      </c>
      <c r="DS972" s="143">
        <v>0</v>
      </c>
      <c r="DT972">
        <f t="shared" si="1274"/>
        <v>0</v>
      </c>
      <c r="DU972" s="143" t="str">
        <f t="shared" si="1275"/>
        <v>explicit C balance</v>
      </c>
      <c r="DV972" s="143">
        <v>0</v>
      </c>
      <c r="DW972" s="143">
        <v>0</v>
      </c>
      <c r="DX972" s="143">
        <v>1</v>
      </c>
      <c r="DY972" s="143">
        <v>1</v>
      </c>
      <c r="DZ972">
        <v>0</v>
      </c>
      <c r="EA972" s="143">
        <v>1</v>
      </c>
      <c r="EB972" s="143">
        <v>1</v>
      </c>
      <c r="EC972" s="143">
        <v>0</v>
      </c>
      <c r="ED972" s="143">
        <v>0</v>
      </c>
      <c r="EE972">
        <v>0</v>
      </c>
      <c r="EF972">
        <v>1</v>
      </c>
      <c r="EG972" s="143">
        <v>0</v>
      </c>
      <c r="EH972">
        <v>0</v>
      </c>
      <c r="EI972" s="2">
        <v>1</v>
      </c>
      <c r="EK972" t="str">
        <f t="shared" si="1276"/>
        <v/>
      </c>
      <c r="EL972" t="str">
        <f t="shared" si="1277"/>
        <v/>
      </c>
      <c r="EM972" s="2" t="str">
        <f t="shared" si="1223"/>
        <v/>
      </c>
      <c r="EP972" t="str">
        <f>IF(ISNUMBER(BT972),IF(ABS(BT972-[3]QC_indicators!$B$2)&gt;3*[3]QC_indicators!$C$2,"C ratio",IF(ISNUMBER(BY972),IF(ABS(BY972-[3]QC_indicators!$B$1)&gt;3*[3]QC_indicators!$C$1,"DF","no"))),IF(ISNUMBER(BY972),IF(ABS(BY972-[3]QC_indicators!$B$1)&gt;3*[3]QC_indicators!$C$1,"DF","no")))</f>
        <v>C ratio</v>
      </c>
      <c r="ET972" s="264" t="s">
        <v>3166</v>
      </c>
    </row>
    <row r="973" spans="1:150" ht="15" hidden="1" customHeight="1">
      <c r="A973" s="1" t="s">
        <v>1377</v>
      </c>
      <c r="B973" t="s">
        <v>1921</v>
      </c>
      <c r="C973" t="s">
        <v>1922</v>
      </c>
      <c r="D973" t="s">
        <v>1923</v>
      </c>
      <c r="E973" t="s">
        <v>1924</v>
      </c>
      <c r="F973" t="s">
        <v>1925</v>
      </c>
      <c r="G973" t="s">
        <v>1383</v>
      </c>
      <c r="H973" t="s">
        <v>254</v>
      </c>
      <c r="I973">
        <v>2016</v>
      </c>
      <c r="J973">
        <v>12</v>
      </c>
      <c r="K973" t="s">
        <v>1926</v>
      </c>
      <c r="M973" t="str">
        <f t="shared" si="1249"/>
        <v>Lobianco_2016</v>
      </c>
      <c r="N973" t="s">
        <v>222</v>
      </c>
      <c r="O973" s="145" t="s">
        <v>225</v>
      </c>
      <c r="P973" t="s">
        <v>513</v>
      </c>
      <c r="Q973" t="s">
        <v>256</v>
      </c>
      <c r="R973" s="262" t="s">
        <v>223</v>
      </c>
      <c r="S973" s="1" t="s">
        <v>1932</v>
      </c>
      <c r="T973" s="143" t="s">
        <v>1933</v>
      </c>
      <c r="U973" s="143" t="s">
        <v>3170</v>
      </c>
      <c r="V973">
        <v>0</v>
      </c>
      <c r="W973">
        <v>0</v>
      </c>
      <c r="X973">
        <v>0</v>
      </c>
      <c r="Y973">
        <v>0</v>
      </c>
      <c r="Z973">
        <v>0</v>
      </c>
      <c r="AA973">
        <v>0</v>
      </c>
      <c r="AB973">
        <v>0</v>
      </c>
      <c r="AC973">
        <v>1</v>
      </c>
      <c r="AD973">
        <v>0</v>
      </c>
      <c r="AE973">
        <v>0</v>
      </c>
      <c r="AF973">
        <v>0</v>
      </c>
      <c r="AG973">
        <v>0</v>
      </c>
      <c r="AH973">
        <v>0</v>
      </c>
      <c r="AI973">
        <v>0</v>
      </c>
      <c r="AJ973">
        <v>0</v>
      </c>
      <c r="AK973">
        <v>0</v>
      </c>
      <c r="AL973">
        <v>0</v>
      </c>
      <c r="AM973">
        <v>0</v>
      </c>
      <c r="AN973">
        <v>1</v>
      </c>
      <c r="AO973">
        <v>0</v>
      </c>
      <c r="AP973">
        <v>0</v>
      </c>
      <c r="AQ973">
        <v>0</v>
      </c>
      <c r="AR973">
        <v>0</v>
      </c>
      <c r="AS973">
        <v>0</v>
      </c>
      <c r="AT973">
        <v>0</v>
      </c>
      <c r="AU973">
        <v>1</v>
      </c>
      <c r="AV973">
        <v>0</v>
      </c>
      <c r="AW973">
        <v>0</v>
      </c>
      <c r="AX973" s="141">
        <f t="shared" si="1250"/>
        <v>3</v>
      </c>
      <c r="AY973" s="141">
        <f t="shared" si="1251"/>
        <v>1</v>
      </c>
      <c r="AZ973">
        <f t="shared" si="1252"/>
        <v>1</v>
      </c>
      <c r="BA973">
        <f t="shared" si="1253"/>
        <v>0</v>
      </c>
      <c r="BB973">
        <f t="shared" si="1254"/>
        <v>0</v>
      </c>
      <c r="BC973">
        <f t="shared" si="1255"/>
        <v>1</v>
      </c>
      <c r="BD973">
        <f t="shared" si="1256"/>
        <v>1</v>
      </c>
      <c r="BE973" t="str">
        <f t="array" ref="BE973">IF(AY973=1,INDEX($V$7:$AL$7,MATCH(TRUE,INDEX($V973:$AW973&lt;&gt;0,),0)),IF(AY973=0,INDEX($AM$7:$AW$7,MATCH(1,$AM973:$AW973,0)),IF(BF973="Multiple strategies","mixed drivers",IF(BF973="Supply chain","multiple supply","multiple silviculture"))))</f>
        <v>site fertility</v>
      </c>
      <c r="BF973" s="2" t="str" cm="1">
        <f t="array" ref="BF973">IF(COUNTIF(AZ973:BB973,"&lt;&gt;0")=1,INDEX($V$4:$AW$4,MATCH(TRUE,INDEX($V973:$AW973&lt;&gt;0,),0)),IF(COUNTIF(AZ973:BB973,"&lt;&gt;0")=0,INDEX($AM$4:$AW$4,MATCH(1,$AM973:$AW973,0)),"Multiple strategies"))</f>
        <v>Silviculture for productivity</v>
      </c>
      <c r="BG973" s="142" t="s">
        <v>321</v>
      </c>
      <c r="BH973" s="265" t="s">
        <v>3162</v>
      </c>
      <c r="BI973" s="264" t="s">
        <v>3171</v>
      </c>
      <c r="BJ973" s="143" t="s">
        <v>3164</v>
      </c>
      <c r="BK973">
        <v>52.988999999999997</v>
      </c>
      <c r="BL973">
        <f>53.247</f>
        <v>53.247</v>
      </c>
      <c r="BN973">
        <f t="shared" si="1257"/>
        <v>0.25800000000000267</v>
      </c>
      <c r="BO973" s="143">
        <f t="shared" si="1278"/>
        <v>258000.00000000268</v>
      </c>
      <c r="BP973" t="s">
        <v>232</v>
      </c>
      <c r="BQ973" s="264" t="s">
        <v>3172</v>
      </c>
      <c r="BR973" s="143" t="s">
        <v>1928</v>
      </c>
      <c r="BS973">
        <v>97.120999999999995</v>
      </c>
      <c r="BT973">
        <v>89.468999999999994</v>
      </c>
      <c r="BU973" s="144">
        <f>IFERROR(BT973/BS973,"")</f>
        <v>0.9212116843936945</v>
      </c>
      <c r="BV973">
        <f t="shared" si="1258"/>
        <v>-7.652000000000001</v>
      </c>
      <c r="BX973">
        <f t="shared" si="1279"/>
        <v>-7652000.0000000009</v>
      </c>
      <c r="BY973">
        <f t="shared" si="1195"/>
        <v>-29.658914728681868</v>
      </c>
      <c r="BZ973">
        <v>0</v>
      </c>
      <c r="CA973">
        <v>0</v>
      </c>
      <c r="CB973">
        <v>0</v>
      </c>
      <c r="CC973">
        <v>0</v>
      </c>
      <c r="CD973">
        <v>0</v>
      </c>
      <c r="CE973">
        <v>0</v>
      </c>
      <c r="CF973">
        <v>0</v>
      </c>
      <c r="CG973">
        <v>0</v>
      </c>
      <c r="CH973">
        <v>0</v>
      </c>
      <c r="CI973">
        <v>0</v>
      </c>
      <c r="CJ973">
        <v>0</v>
      </c>
      <c r="CK973">
        <v>0</v>
      </c>
      <c r="CL973">
        <v>0</v>
      </c>
      <c r="CM973">
        <v>0</v>
      </c>
      <c r="CN973" t="str">
        <f t="shared" si="1259"/>
        <v>refOK</v>
      </c>
      <c r="CO973">
        <f t="shared" si="1280"/>
        <v>52.988999999999997</v>
      </c>
      <c r="CP973">
        <f>IF($CN973="refOK",$BL973,$BK973)</f>
        <v>53.247</v>
      </c>
      <c r="CQ973">
        <f t="shared" si="1260"/>
        <v>258000.00000000268</v>
      </c>
      <c r="CR973">
        <f t="shared" si="1261"/>
        <v>97.120999999999995</v>
      </c>
      <c r="CS973">
        <f>IF($CN973="refOK",$BT973,$BS973)*IF($BP973="Emissions positive",-1,1)</f>
        <v>89.468999999999994</v>
      </c>
      <c r="CT973">
        <f t="shared" si="1263"/>
        <v>-7652000.0000000009</v>
      </c>
      <c r="CU973">
        <f t="shared" si="1264"/>
        <v>-29.658914728681868</v>
      </c>
      <c r="CV973" s="2">
        <f t="shared" si="1265"/>
        <v>-7.8788315606305545E-2</v>
      </c>
      <c r="CW973" s="1" t="s">
        <v>1198</v>
      </c>
      <c r="CX973" t="str">
        <f t="shared" si="1266"/>
        <v>reg</v>
      </c>
      <c r="CY973" t="s">
        <v>729</v>
      </c>
      <c r="CZ973">
        <v>2007</v>
      </c>
      <c r="DA973" s="143">
        <v>2100</v>
      </c>
      <c r="DB973" s="143">
        <f t="shared" si="1281"/>
        <v>93</v>
      </c>
      <c r="DC973" t="str">
        <f t="shared" si="1267"/>
        <v>71-100</v>
      </c>
      <c r="DD973">
        <v>0</v>
      </c>
      <c r="DE973">
        <v>1</v>
      </c>
      <c r="DF973">
        <v>0</v>
      </c>
      <c r="DG973">
        <v>1</v>
      </c>
      <c r="DH973">
        <v>1</v>
      </c>
      <c r="DI973">
        <f t="shared" si="1268"/>
        <v>2</v>
      </c>
      <c r="DJ973" t="str">
        <f t="shared" si="1269"/>
        <v>mixedProduct</v>
      </c>
      <c r="DK973">
        <f t="shared" si="1270"/>
        <v>0</v>
      </c>
      <c r="DL973" t="str">
        <f t="shared" si="1271"/>
        <v>Energy</v>
      </c>
      <c r="DM973">
        <f t="shared" si="1272"/>
        <v>0</v>
      </c>
      <c r="DN973" t="str">
        <f t="shared" si="1273"/>
        <v>Timber</v>
      </c>
      <c r="DO973">
        <v>0</v>
      </c>
      <c r="DP973" s="143">
        <v>0</v>
      </c>
      <c r="DQ973" s="143">
        <v>0</v>
      </c>
      <c r="DR973">
        <v>0</v>
      </c>
      <c r="DS973" s="143">
        <v>0</v>
      </c>
      <c r="DT973">
        <f t="shared" si="1274"/>
        <v>0</v>
      </c>
      <c r="DU973" s="143" t="str">
        <f t="shared" si="1275"/>
        <v>explicit C balance</v>
      </c>
      <c r="DV973" s="143">
        <v>0</v>
      </c>
      <c r="DW973" s="143">
        <v>0</v>
      </c>
      <c r="DX973" s="143">
        <v>1</v>
      </c>
      <c r="DY973" s="143">
        <v>1</v>
      </c>
      <c r="DZ973">
        <v>0</v>
      </c>
      <c r="EA973" s="143">
        <v>0</v>
      </c>
      <c r="EB973" s="143">
        <v>0</v>
      </c>
      <c r="EC973" s="143">
        <v>0</v>
      </c>
      <c r="ED973" s="143">
        <v>0</v>
      </c>
      <c r="EE973">
        <v>0</v>
      </c>
      <c r="EF973">
        <v>1</v>
      </c>
      <c r="EG973" s="143">
        <v>0</v>
      </c>
      <c r="EH973">
        <v>0</v>
      </c>
      <c r="EI973" s="2">
        <v>1</v>
      </c>
      <c r="EK973" t="str">
        <f t="shared" si="1276"/>
        <v/>
      </c>
      <c r="EL973" t="str">
        <f t="shared" si="1277"/>
        <v/>
      </c>
      <c r="EM973" s="2" t="str">
        <f t="shared" si="1223"/>
        <v/>
      </c>
      <c r="EP973" t="str">
        <f>IF(ISNUMBER(BU973),IF(ABS(BU973-[3]QC_indicators!$B$2)&gt;3*[3]QC_indicators!$C$2,"C ratio",IF(ISNUMBER(BY973),IF(ABS(BY973-[3]QC_indicators!$B$1)&gt;3*[3]QC_indicators!$C$1,"DF","no"))),IF(ISNUMBER(BY973),IF(ABS(BY973-[3]QC_indicators!$B$1)&gt;3*[3]QC_indicators!$C$1,"DF","no")))</f>
        <v>no</v>
      </c>
      <c r="ET973" s="264" t="s">
        <v>3166</v>
      </c>
    </row>
    <row r="974" spans="1:150" ht="15" hidden="1" customHeight="1">
      <c r="A974" s="1" t="s">
        <v>1377</v>
      </c>
      <c r="B974" t="s">
        <v>1921</v>
      </c>
      <c r="C974" t="s">
        <v>1922</v>
      </c>
      <c r="D974" t="s">
        <v>1923</v>
      </c>
      <c r="E974" t="s">
        <v>1924</v>
      </c>
      <c r="F974" t="s">
        <v>1925</v>
      </c>
      <c r="G974" t="s">
        <v>1383</v>
      </c>
      <c r="H974" t="s">
        <v>254</v>
      </c>
      <c r="I974">
        <v>2016</v>
      </c>
      <c r="J974">
        <v>12</v>
      </c>
      <c r="K974" t="s">
        <v>1926</v>
      </c>
      <c r="M974" t="str">
        <f t="shared" si="1249"/>
        <v>Lobianco_2016</v>
      </c>
      <c r="N974" t="s">
        <v>222</v>
      </c>
      <c r="O974" s="145" t="s">
        <v>225</v>
      </c>
      <c r="P974" t="s">
        <v>513</v>
      </c>
      <c r="Q974" t="s">
        <v>256</v>
      </c>
      <c r="R974" s="262" t="s">
        <v>223</v>
      </c>
      <c r="S974" s="1" t="s">
        <v>1931</v>
      </c>
      <c r="T974" s="143" t="s">
        <v>3169</v>
      </c>
      <c r="U974" s="143" t="s">
        <v>1154</v>
      </c>
      <c r="V974">
        <v>0</v>
      </c>
      <c r="W974">
        <v>0</v>
      </c>
      <c r="X974">
        <v>1</v>
      </c>
      <c r="Y974">
        <v>0</v>
      </c>
      <c r="Z974">
        <v>0</v>
      </c>
      <c r="AA974">
        <v>0</v>
      </c>
      <c r="AB974">
        <v>0</v>
      </c>
      <c r="AC974">
        <v>0</v>
      </c>
      <c r="AD974">
        <v>0</v>
      </c>
      <c r="AE974">
        <v>0</v>
      </c>
      <c r="AF974">
        <v>0</v>
      </c>
      <c r="AG974">
        <v>0</v>
      </c>
      <c r="AH974">
        <v>0</v>
      </c>
      <c r="AI974">
        <v>0</v>
      </c>
      <c r="AJ974">
        <v>0</v>
      </c>
      <c r="AK974">
        <v>0</v>
      </c>
      <c r="AL974">
        <v>0</v>
      </c>
      <c r="AM974">
        <v>0</v>
      </c>
      <c r="AN974">
        <v>0</v>
      </c>
      <c r="AO974">
        <v>0</v>
      </c>
      <c r="AP974">
        <v>0</v>
      </c>
      <c r="AQ974">
        <v>0</v>
      </c>
      <c r="AR974">
        <v>0</v>
      </c>
      <c r="AS974">
        <v>0</v>
      </c>
      <c r="AT974">
        <v>0</v>
      </c>
      <c r="AU974">
        <v>1</v>
      </c>
      <c r="AV974">
        <v>0</v>
      </c>
      <c r="AW974">
        <v>0</v>
      </c>
      <c r="AX974" s="141">
        <f t="shared" si="1250"/>
        <v>2</v>
      </c>
      <c r="AY974" s="141">
        <f t="shared" si="1251"/>
        <v>1</v>
      </c>
      <c r="AZ974">
        <f t="shared" si="1252"/>
        <v>1</v>
      </c>
      <c r="BA974">
        <f t="shared" si="1253"/>
        <v>0</v>
      </c>
      <c r="BB974">
        <f t="shared" si="1254"/>
        <v>0</v>
      </c>
      <c r="BC974">
        <f t="shared" si="1255"/>
        <v>1</v>
      </c>
      <c r="BD974">
        <f t="shared" si="1256"/>
        <v>0</v>
      </c>
      <c r="BE974" t="str">
        <f t="array" ref="BE974">IF(AY974=1,INDEX($V$7:$AL$7,MATCH(TRUE,INDEX($V974:$AW974&lt;&gt;0,),0)),IF(AY974=0,INDEX($AM$7:$AW$7,MATCH(1,$AM974:$AW974,0)),IF(BF974="Multiple strategies","mixed drivers",IF(BF974="Supply chain","multiple supply","multiple silviculture"))))</f>
        <v>rotation length</v>
      </c>
      <c r="BF974" s="2" t="str" cm="1">
        <f t="array" ref="BF974">IF(COUNTIF(AZ974:BB974,"&lt;&gt;0")=1,INDEX($V$4:$AW$4,MATCH(TRUE,INDEX($V974:$AW974&lt;&gt;0,),0)),IF(COUNTIF(AZ974:BB974,"&lt;&gt;0")=0,INDEX($AM$4:$AW$4,MATCH(1,$AM974:$AW974,0)),"Multiple strategies"))</f>
        <v>Silviculture for removals</v>
      </c>
      <c r="BG974" s="142" t="s">
        <v>321</v>
      </c>
      <c r="BH974" s="265" t="s">
        <v>3162</v>
      </c>
      <c r="BI974" s="264" t="s">
        <v>3163</v>
      </c>
      <c r="BJ974" s="143" t="s">
        <v>3164</v>
      </c>
      <c r="BK974">
        <f>53.247*(1-0.06/100)</f>
        <v>53.215051799999998</v>
      </c>
      <c r="BL974">
        <f>53.247</f>
        <v>53.247</v>
      </c>
      <c r="BN974">
        <f t="shared" si="1257"/>
        <v>3.1948200000002203E-2</v>
      </c>
      <c r="BO974" s="143">
        <f t="shared" si="1278"/>
        <v>31948.200000002202</v>
      </c>
      <c r="BP974" t="s">
        <v>232</v>
      </c>
      <c r="BQ974" s="264" t="s">
        <v>3165</v>
      </c>
      <c r="BR974" s="143" t="s">
        <v>1928</v>
      </c>
      <c r="BS974">
        <f>117.96*(100.18/100)</f>
        <v>118.17232799999999</v>
      </c>
      <c r="BT974" s="144">
        <v>117.962</v>
      </c>
      <c r="BV974">
        <f t="shared" si="1258"/>
        <v>-0.21032799999998986</v>
      </c>
      <c r="BX974">
        <f t="shared" si="1279"/>
        <v>-210327.99999998984</v>
      </c>
      <c r="BY974">
        <f t="shared" si="1195"/>
        <v>-6.5834068899022586</v>
      </c>
      <c r="BZ974">
        <v>0</v>
      </c>
      <c r="CA974">
        <v>0</v>
      </c>
      <c r="CB974">
        <v>0</v>
      </c>
      <c r="CC974">
        <v>0</v>
      </c>
      <c r="CD974">
        <v>0</v>
      </c>
      <c r="CE974">
        <v>0</v>
      </c>
      <c r="CF974">
        <v>0</v>
      </c>
      <c r="CG974">
        <v>0</v>
      </c>
      <c r="CH974">
        <v>0</v>
      </c>
      <c r="CI974">
        <v>0</v>
      </c>
      <c r="CJ974">
        <v>0</v>
      </c>
      <c r="CK974">
        <v>0</v>
      </c>
      <c r="CL974">
        <v>0</v>
      </c>
      <c r="CM974">
        <v>0</v>
      </c>
      <c r="CN974" t="str">
        <f t="shared" si="1259"/>
        <v>refOK</v>
      </c>
      <c r="CO974">
        <f t="shared" si="1280"/>
        <v>53.215051799999998</v>
      </c>
      <c r="CP974">
        <f>IF($CN974="refOK",$BL974,$BK974)</f>
        <v>53.247</v>
      </c>
      <c r="CQ974">
        <f t="shared" si="1260"/>
        <v>31948.200000002202</v>
      </c>
      <c r="CR974">
        <f t="shared" si="1261"/>
        <v>118.17232799999999</v>
      </c>
      <c r="CS974">
        <f>IF($CN974="refOK",$BS974,#REF!)*IF($BP974="Emissions positive",-1,1)</f>
        <v>118.17232799999999</v>
      </c>
      <c r="CT974">
        <f t="shared" si="1263"/>
        <v>-210327.99999998984</v>
      </c>
      <c r="CU974">
        <f t="shared" si="1264"/>
        <v>-6.5834068899022586</v>
      </c>
      <c r="CV974" s="2">
        <f t="shared" si="1265"/>
        <v>0</v>
      </c>
      <c r="CW974" s="1" t="s">
        <v>1198</v>
      </c>
      <c r="CX974" t="str">
        <f t="shared" si="1266"/>
        <v>reg</v>
      </c>
      <c r="CY974" t="s">
        <v>729</v>
      </c>
      <c r="CZ974">
        <v>2007</v>
      </c>
      <c r="DA974" s="143">
        <v>2100</v>
      </c>
      <c r="DB974" s="143">
        <f t="shared" si="1281"/>
        <v>93</v>
      </c>
      <c r="DC974" t="str">
        <f t="shared" si="1267"/>
        <v>71-100</v>
      </c>
      <c r="DD974">
        <v>0</v>
      </c>
      <c r="DE974">
        <v>1</v>
      </c>
      <c r="DF974">
        <v>0</v>
      </c>
      <c r="DG974">
        <v>1</v>
      </c>
      <c r="DH974">
        <v>1</v>
      </c>
      <c r="DI974">
        <f t="shared" si="1268"/>
        <v>2</v>
      </c>
      <c r="DJ974" t="str">
        <f t="shared" si="1269"/>
        <v>mixedProduct</v>
      </c>
      <c r="DK974">
        <f t="shared" si="1270"/>
        <v>0</v>
      </c>
      <c r="DL974" t="str">
        <f t="shared" si="1271"/>
        <v>Energy</v>
      </c>
      <c r="DM974">
        <f t="shared" si="1272"/>
        <v>0</v>
      </c>
      <c r="DN974" t="str">
        <f t="shared" si="1273"/>
        <v>Timber</v>
      </c>
      <c r="DO974">
        <v>0</v>
      </c>
      <c r="DP974" s="143">
        <v>0</v>
      </c>
      <c r="DQ974" s="143">
        <v>0</v>
      </c>
      <c r="DR974">
        <v>0</v>
      </c>
      <c r="DS974" s="143">
        <v>0</v>
      </c>
      <c r="DT974">
        <f t="shared" si="1274"/>
        <v>0</v>
      </c>
      <c r="DU974" s="143" t="str">
        <f t="shared" si="1275"/>
        <v>explicit C balance</v>
      </c>
      <c r="DV974" s="143">
        <v>0</v>
      </c>
      <c r="DW974" s="143">
        <v>0</v>
      </c>
      <c r="DX974" s="143">
        <v>1</v>
      </c>
      <c r="DY974" s="143">
        <v>1</v>
      </c>
      <c r="DZ974">
        <v>0</v>
      </c>
      <c r="EA974" s="143">
        <v>1</v>
      </c>
      <c r="EB974" s="143">
        <v>1</v>
      </c>
      <c r="EC974" s="143">
        <v>0</v>
      </c>
      <c r="ED974" s="143">
        <v>0</v>
      </c>
      <c r="EE974">
        <v>0</v>
      </c>
      <c r="EF974">
        <v>1</v>
      </c>
      <c r="EG974" s="143">
        <v>0</v>
      </c>
      <c r="EH974">
        <v>0</v>
      </c>
      <c r="EI974" s="2">
        <v>1</v>
      </c>
      <c r="EK974" t="str">
        <f t="shared" si="1276"/>
        <v/>
      </c>
      <c r="EL974" t="str">
        <f t="shared" si="1277"/>
        <v/>
      </c>
      <c r="EM974" s="2" t="str">
        <f t="shared" si="1223"/>
        <v/>
      </c>
      <c r="EP974" t="str">
        <f>IF(ISNUMBER(BT974),IF(ABS(BT974-[3]QC_indicators!$B$2)&gt;3*[3]QC_indicators!$C$2,"C ratio",IF(ISNUMBER(BY974),IF(ABS(BY974-[3]QC_indicators!$B$1)&gt;3*[3]QC_indicators!$C$1,"DF","no"))),IF(ISNUMBER(BY974),IF(ABS(BY974-[3]QC_indicators!$B$1)&gt;3*[3]QC_indicators!$C$1,"DF","no")))</f>
        <v>C ratio</v>
      </c>
      <c r="ET974" s="264" t="s">
        <v>3166</v>
      </c>
    </row>
    <row r="975" spans="1:150" ht="15" hidden="1" customHeight="1">
      <c r="A975" s="1" t="s">
        <v>1377</v>
      </c>
      <c r="B975" t="s">
        <v>1921</v>
      </c>
      <c r="C975" t="s">
        <v>1922</v>
      </c>
      <c r="D975" t="s">
        <v>1923</v>
      </c>
      <c r="E975" t="s">
        <v>1924</v>
      </c>
      <c r="F975" t="s">
        <v>1925</v>
      </c>
      <c r="G975" t="s">
        <v>1383</v>
      </c>
      <c r="H975" t="s">
        <v>254</v>
      </c>
      <c r="I975">
        <v>2016</v>
      </c>
      <c r="J975">
        <v>12</v>
      </c>
      <c r="K975" t="s">
        <v>1926</v>
      </c>
      <c r="M975" t="str">
        <f t="shared" si="1249"/>
        <v>Lobianco_2016</v>
      </c>
      <c r="N975" t="s">
        <v>222</v>
      </c>
      <c r="O975" s="145" t="s">
        <v>225</v>
      </c>
      <c r="P975" t="s">
        <v>513</v>
      </c>
      <c r="Q975" t="s">
        <v>256</v>
      </c>
      <c r="R975" s="262" t="s">
        <v>223</v>
      </c>
      <c r="S975" s="1" t="s">
        <v>1929</v>
      </c>
      <c r="T975" s="143" t="s">
        <v>1154</v>
      </c>
      <c r="U975" t="s">
        <v>3167</v>
      </c>
      <c r="V975">
        <v>0</v>
      </c>
      <c r="W975">
        <v>0</v>
      </c>
      <c r="X975">
        <v>0</v>
      </c>
      <c r="Y975">
        <v>1</v>
      </c>
      <c r="Z975">
        <v>0</v>
      </c>
      <c r="AA975">
        <v>0</v>
      </c>
      <c r="AB975">
        <v>0</v>
      </c>
      <c r="AC975">
        <v>0</v>
      </c>
      <c r="AD975">
        <v>0</v>
      </c>
      <c r="AE975">
        <v>0</v>
      </c>
      <c r="AF975">
        <v>0</v>
      </c>
      <c r="AG975">
        <v>0</v>
      </c>
      <c r="AH975">
        <v>0</v>
      </c>
      <c r="AI975">
        <v>0</v>
      </c>
      <c r="AJ975">
        <v>0</v>
      </c>
      <c r="AK975">
        <v>0</v>
      </c>
      <c r="AL975">
        <v>0</v>
      </c>
      <c r="AM975">
        <v>0</v>
      </c>
      <c r="AN975">
        <v>0</v>
      </c>
      <c r="AO975">
        <v>0</v>
      </c>
      <c r="AP975">
        <v>0</v>
      </c>
      <c r="AQ975">
        <v>0</v>
      </c>
      <c r="AR975">
        <v>0</v>
      </c>
      <c r="AS975">
        <v>0</v>
      </c>
      <c r="AT975">
        <v>0</v>
      </c>
      <c r="AU975">
        <v>1</v>
      </c>
      <c r="AV975">
        <v>0</v>
      </c>
      <c r="AW975">
        <v>0</v>
      </c>
      <c r="AX975" s="141">
        <f t="shared" si="1250"/>
        <v>2</v>
      </c>
      <c r="AY975" s="141">
        <f t="shared" si="1251"/>
        <v>1</v>
      </c>
      <c r="AZ975">
        <f t="shared" si="1252"/>
        <v>1</v>
      </c>
      <c r="BA975">
        <f t="shared" si="1253"/>
        <v>0</v>
      </c>
      <c r="BB975">
        <f t="shared" si="1254"/>
        <v>0</v>
      </c>
      <c r="BC975">
        <f t="shared" si="1255"/>
        <v>1</v>
      </c>
      <c r="BD975">
        <f t="shared" si="1256"/>
        <v>0</v>
      </c>
      <c r="BE975" t="str">
        <f t="array" ref="BE975">IF(AY975=1,INDEX($V$7:$AL$7,MATCH(TRUE,INDEX($V975:$AW975&lt;&gt;0,),0)),IF(AY975=0,INDEX($AM$7:$AW$7,MATCH(1,$AM975:$AW975,0)),IF(BF975="Multiple strategies","mixed drivers",IF(BF975="Supply chain","multiple supply","multiple silviculture"))))</f>
        <v xml:space="preserve">cutting intensity </v>
      </c>
      <c r="BF975" s="2" t="str" cm="1">
        <f t="array" ref="BF975">IF(COUNTIF(AZ975:BB975,"&lt;&gt;0")=1,INDEX($V$4:$AW$4,MATCH(TRUE,INDEX($V975:$AW975&lt;&gt;0,),0)),IF(COUNTIF(AZ975:BB975,"&lt;&gt;0")=0,INDEX($AM$4:$AW$4,MATCH(1,$AM975:$AW975,0)),"Multiple strategies"))</f>
        <v>Silviculture for removals</v>
      </c>
      <c r="BG975" s="142" t="s">
        <v>321</v>
      </c>
      <c r="BH975" s="265" t="s">
        <v>3162</v>
      </c>
      <c r="BI975" s="264" t="s">
        <v>3163</v>
      </c>
      <c r="BJ975" s="143" t="s">
        <v>3164</v>
      </c>
      <c r="BK975">
        <f>53.247</f>
        <v>53.247</v>
      </c>
      <c r="BL975">
        <f>53.247*(1+9.16/100)</f>
        <v>58.124425199999997</v>
      </c>
      <c r="BN975">
        <f t="shared" si="1257"/>
        <v>4.8774251999999976</v>
      </c>
      <c r="BO975" s="143">
        <f t="shared" si="1278"/>
        <v>4877425.1999999974</v>
      </c>
      <c r="BP975" t="s">
        <v>232</v>
      </c>
      <c r="BQ975" s="264" t="s">
        <v>3165</v>
      </c>
      <c r="BR975" s="143" t="s">
        <v>1928</v>
      </c>
      <c r="BS975">
        <v>89.468999999999994</v>
      </c>
      <c r="BT975">
        <v>81.568887299999986</v>
      </c>
      <c r="BU975" s="144">
        <f>IFERROR(BT975/BS975,"")</f>
        <v>0.91169999999999995</v>
      </c>
      <c r="BV975">
        <f t="shared" si="1258"/>
        <v>-7.9001127000000082</v>
      </c>
      <c r="BX975">
        <f t="shared" si="1279"/>
        <v>-7900112.7000000086</v>
      </c>
      <c r="BY975">
        <f t="shared" si="1195"/>
        <v>-1.6197301600852869</v>
      </c>
      <c r="BZ975">
        <v>0</v>
      </c>
      <c r="CA975">
        <v>0</v>
      </c>
      <c r="CB975">
        <v>0</v>
      </c>
      <c r="CC975">
        <v>0</v>
      </c>
      <c r="CD975">
        <v>0</v>
      </c>
      <c r="CE975">
        <v>0</v>
      </c>
      <c r="CF975">
        <v>0</v>
      </c>
      <c r="CG975">
        <v>0</v>
      </c>
      <c r="CH975">
        <v>0</v>
      </c>
      <c r="CI975">
        <v>0</v>
      </c>
      <c r="CJ975">
        <v>0</v>
      </c>
      <c r="CK975">
        <v>0</v>
      </c>
      <c r="CL975">
        <v>0</v>
      </c>
      <c r="CM975">
        <v>0</v>
      </c>
      <c r="CN975" t="str">
        <f t="shared" si="1259"/>
        <v>refOK</v>
      </c>
      <c r="CO975">
        <f t="shared" si="1280"/>
        <v>53.247</v>
      </c>
      <c r="CP975">
        <f>IF($CN975="refOK",$BL975,#REF!)</f>
        <v>58.124425199999997</v>
      </c>
      <c r="CQ975">
        <f t="shared" si="1260"/>
        <v>4877425.1999999974</v>
      </c>
      <c r="CR975">
        <f t="shared" si="1261"/>
        <v>89.468999999999994</v>
      </c>
      <c r="CS975">
        <f>IF($CN975="refOK",$BT975,$BS975)*IF($BP975="Emissions positive",-1,1)</f>
        <v>81.568887299999986</v>
      </c>
      <c r="CT975">
        <f t="shared" si="1263"/>
        <v>-7900112.7000000086</v>
      </c>
      <c r="CU975">
        <f t="shared" si="1264"/>
        <v>-1.6197301600852869</v>
      </c>
      <c r="CV975" s="2">
        <f t="shared" si="1265"/>
        <v>-8.8300000000000101E-2</v>
      </c>
      <c r="CW975" s="1" t="s">
        <v>1198</v>
      </c>
      <c r="CX975" t="str">
        <f t="shared" si="1266"/>
        <v>reg</v>
      </c>
      <c r="CY975" t="s">
        <v>729</v>
      </c>
      <c r="CZ975">
        <v>2007</v>
      </c>
      <c r="DA975" s="143">
        <v>2100</v>
      </c>
      <c r="DB975" s="143">
        <f t="shared" si="1281"/>
        <v>93</v>
      </c>
      <c r="DC975" t="str">
        <f t="shared" si="1267"/>
        <v>71-100</v>
      </c>
      <c r="DD975">
        <v>0</v>
      </c>
      <c r="DE975">
        <v>1</v>
      </c>
      <c r="DF975">
        <v>0</v>
      </c>
      <c r="DG975">
        <v>1</v>
      </c>
      <c r="DH975">
        <v>1</v>
      </c>
      <c r="DI975">
        <f t="shared" si="1268"/>
        <v>2</v>
      </c>
      <c r="DJ975" t="str">
        <f t="shared" si="1269"/>
        <v>mixedProduct</v>
      </c>
      <c r="DK975">
        <f t="shared" si="1270"/>
        <v>0</v>
      </c>
      <c r="DL975" t="str">
        <f t="shared" si="1271"/>
        <v>Energy</v>
      </c>
      <c r="DM975">
        <f t="shared" si="1272"/>
        <v>0</v>
      </c>
      <c r="DN975" t="str">
        <f t="shared" si="1273"/>
        <v>Timber</v>
      </c>
      <c r="DO975">
        <v>0</v>
      </c>
      <c r="DP975" s="143">
        <v>0</v>
      </c>
      <c r="DQ975" s="143">
        <v>0</v>
      </c>
      <c r="DR975">
        <v>0</v>
      </c>
      <c r="DS975" s="143">
        <v>0</v>
      </c>
      <c r="DT975">
        <f t="shared" si="1274"/>
        <v>0</v>
      </c>
      <c r="DU975" s="143" t="str">
        <f t="shared" si="1275"/>
        <v>explicit C balance</v>
      </c>
      <c r="DV975" s="143">
        <v>0</v>
      </c>
      <c r="DW975" s="143">
        <v>0</v>
      </c>
      <c r="DX975" s="143">
        <v>1</v>
      </c>
      <c r="DY975" s="143">
        <v>1</v>
      </c>
      <c r="DZ975">
        <v>0</v>
      </c>
      <c r="EA975" s="143">
        <v>0</v>
      </c>
      <c r="EB975" s="143">
        <v>0</v>
      </c>
      <c r="EC975" s="143">
        <v>0</v>
      </c>
      <c r="ED975" s="143">
        <v>0</v>
      </c>
      <c r="EE975">
        <v>0</v>
      </c>
      <c r="EF975">
        <v>1</v>
      </c>
      <c r="EG975" s="143">
        <v>0</v>
      </c>
      <c r="EH975">
        <v>0</v>
      </c>
      <c r="EI975" s="2">
        <v>1</v>
      </c>
      <c r="EK975" t="str">
        <f t="shared" si="1276"/>
        <v/>
      </c>
      <c r="EL975" t="str">
        <f t="shared" si="1277"/>
        <v/>
      </c>
      <c r="EM975" s="2" t="str">
        <f t="shared" si="1223"/>
        <v/>
      </c>
      <c r="EP975" t="str">
        <f>IF(ISNUMBER(BU975),IF(ABS(BU975-[3]QC_indicators!$B$2)&gt;3*[3]QC_indicators!$C$2,"C ratio",IF(ISNUMBER(BY975),IF(ABS(BY975-[3]QC_indicators!$B$1)&gt;3*[3]QC_indicators!$C$1,"DF","no"))),IF(ISNUMBER(BY975),IF(ABS(BY975-[3]QC_indicators!$B$1)&gt;3*[3]QC_indicators!$C$1,"DF","no")))</f>
        <v>no</v>
      </c>
      <c r="ET975" s="264" t="s">
        <v>3166</v>
      </c>
    </row>
    <row r="976" spans="1:150" ht="15" hidden="1" customHeight="1">
      <c r="A976" s="1" t="s">
        <v>1377</v>
      </c>
      <c r="B976" t="s">
        <v>1921</v>
      </c>
      <c r="C976" t="s">
        <v>1922</v>
      </c>
      <c r="D976" t="s">
        <v>1923</v>
      </c>
      <c r="E976" t="s">
        <v>1924</v>
      </c>
      <c r="F976" t="s">
        <v>1925</v>
      </c>
      <c r="G976" t="s">
        <v>1383</v>
      </c>
      <c r="H976" t="s">
        <v>254</v>
      </c>
      <c r="I976">
        <v>2016</v>
      </c>
      <c r="J976">
        <v>12</v>
      </c>
      <c r="K976" t="s">
        <v>1926</v>
      </c>
      <c r="M976" t="str">
        <f t="shared" si="1249"/>
        <v>Lobianco_2016</v>
      </c>
      <c r="N976" t="s">
        <v>222</v>
      </c>
      <c r="O976" s="145" t="s">
        <v>225</v>
      </c>
      <c r="P976" t="s">
        <v>513</v>
      </c>
      <c r="Q976" t="s">
        <v>256</v>
      </c>
      <c r="R976" s="262" t="s">
        <v>223</v>
      </c>
      <c r="S976" s="1" t="s">
        <v>1930</v>
      </c>
      <c r="T976" s="143" t="s">
        <v>3161</v>
      </c>
      <c r="U976" s="143" t="s">
        <v>1154</v>
      </c>
      <c r="V976">
        <v>0</v>
      </c>
      <c r="W976">
        <v>0</v>
      </c>
      <c r="X976">
        <v>0</v>
      </c>
      <c r="Y976">
        <v>1</v>
      </c>
      <c r="Z976">
        <v>0</v>
      </c>
      <c r="AA976">
        <v>0</v>
      </c>
      <c r="AB976">
        <v>0</v>
      </c>
      <c r="AC976">
        <v>0</v>
      </c>
      <c r="AD976">
        <v>0</v>
      </c>
      <c r="AE976">
        <v>0</v>
      </c>
      <c r="AF976">
        <v>0</v>
      </c>
      <c r="AG976">
        <v>0</v>
      </c>
      <c r="AH976">
        <v>0</v>
      </c>
      <c r="AI976">
        <v>0</v>
      </c>
      <c r="AJ976">
        <v>0</v>
      </c>
      <c r="AK976">
        <v>0</v>
      </c>
      <c r="AL976">
        <v>0</v>
      </c>
      <c r="AM976">
        <v>0</v>
      </c>
      <c r="AN976">
        <v>0</v>
      </c>
      <c r="AO976">
        <v>0</v>
      </c>
      <c r="AP976">
        <v>0</v>
      </c>
      <c r="AQ976">
        <v>0</v>
      </c>
      <c r="AR976">
        <v>0</v>
      </c>
      <c r="AS976">
        <v>0</v>
      </c>
      <c r="AT976">
        <v>0</v>
      </c>
      <c r="AU976">
        <v>1</v>
      </c>
      <c r="AV976">
        <v>0</v>
      </c>
      <c r="AW976">
        <v>0</v>
      </c>
      <c r="AX976" s="141">
        <f t="shared" si="1250"/>
        <v>2</v>
      </c>
      <c r="AY976" s="141">
        <f t="shared" si="1251"/>
        <v>1</v>
      </c>
      <c r="AZ976">
        <f t="shared" si="1252"/>
        <v>1</v>
      </c>
      <c r="BA976">
        <f t="shared" si="1253"/>
        <v>0</v>
      </c>
      <c r="BB976">
        <f t="shared" si="1254"/>
        <v>0</v>
      </c>
      <c r="BC976">
        <f t="shared" si="1255"/>
        <v>1</v>
      </c>
      <c r="BD976">
        <f t="shared" si="1256"/>
        <v>0</v>
      </c>
      <c r="BE976" t="str">
        <f t="array" ref="BE976">IF(AY976=1,INDEX($V$7:$AL$7,MATCH(TRUE,INDEX($V976:$AW976&lt;&gt;0,),0)),IF(AY976=0,INDEX($AM$7:$AW$7,MATCH(1,$AM976:$AW976,0)),IF(BF976="Multiple strategies","mixed drivers",IF(BF976="Supply chain","multiple supply","multiple silviculture"))))</f>
        <v xml:space="preserve">cutting intensity </v>
      </c>
      <c r="BF976" s="2" t="str" cm="1">
        <f t="array" ref="BF976">IF(COUNTIF(AZ976:BB976,"&lt;&gt;0")=1,INDEX($V$4:$AW$4,MATCH(TRUE,INDEX($V976:$AW976&lt;&gt;0,),0)),IF(COUNTIF(AZ976:BB976,"&lt;&gt;0")=0,INDEX($AM$4:$AW$4,MATCH(1,$AM976:$AW976,0)),"Multiple strategies"))</f>
        <v>Silviculture for removals</v>
      </c>
      <c r="BG976" s="142" t="s">
        <v>321</v>
      </c>
      <c r="BH976" s="265" t="s">
        <v>3162</v>
      </c>
      <c r="BI976" s="264" t="s">
        <v>3163</v>
      </c>
      <c r="BJ976" s="143" t="s">
        <v>3164</v>
      </c>
      <c r="BK976">
        <f>53.247*(1-4.06/100)</f>
        <v>51.085171800000005</v>
      </c>
      <c r="BL976">
        <f>53.247</f>
        <v>53.247</v>
      </c>
      <c r="BM976" s="163"/>
      <c r="BN976">
        <f t="shared" si="1257"/>
        <v>2.1618281999999951</v>
      </c>
      <c r="BO976" s="143">
        <f t="shared" si="1278"/>
        <v>2161828.1999999951</v>
      </c>
      <c r="BP976" t="s">
        <v>232</v>
      </c>
      <c r="BQ976" s="264" t="s">
        <v>3165</v>
      </c>
      <c r="BR976" s="143" t="s">
        <v>1928</v>
      </c>
      <c r="BS976">
        <f>89.469*(1+3.82/100)</f>
        <v>92.88671579999999</v>
      </c>
      <c r="BT976">
        <v>89.468999999999994</v>
      </c>
      <c r="BU976" s="144">
        <f>IFERROR(BT976/BS976,"")</f>
        <v>0.96320554806395686</v>
      </c>
      <c r="BV976">
        <f t="shared" si="1258"/>
        <v>-3.4177157999999963</v>
      </c>
      <c r="BX976">
        <f t="shared" si="1279"/>
        <v>-3417715.7999999961</v>
      </c>
      <c r="BY976">
        <f t="shared" si="1195"/>
        <v>-1.5809377451917797</v>
      </c>
      <c r="BZ976">
        <v>0</v>
      </c>
      <c r="CA976">
        <v>0</v>
      </c>
      <c r="CB976">
        <v>0</v>
      </c>
      <c r="CC976">
        <v>0</v>
      </c>
      <c r="CD976">
        <v>0</v>
      </c>
      <c r="CE976">
        <v>0</v>
      </c>
      <c r="CF976">
        <v>0</v>
      </c>
      <c r="CG976">
        <v>0</v>
      </c>
      <c r="CH976">
        <v>0</v>
      </c>
      <c r="CI976">
        <v>0</v>
      </c>
      <c r="CJ976">
        <v>0</v>
      </c>
      <c r="CK976">
        <v>0</v>
      </c>
      <c r="CL976">
        <v>0</v>
      </c>
      <c r="CM976">
        <v>0</v>
      </c>
      <c r="CN976" t="str">
        <f t="shared" si="1259"/>
        <v>refOK</v>
      </c>
      <c r="CO976">
        <f t="shared" si="1280"/>
        <v>51.085171800000005</v>
      </c>
      <c r="CP976">
        <f>IF($CN976="refOK",$BL976,$BK976)</f>
        <v>53.247</v>
      </c>
      <c r="CQ976">
        <f t="shared" si="1260"/>
        <v>2161828.1999999951</v>
      </c>
      <c r="CR976">
        <f t="shared" si="1261"/>
        <v>92.88671579999999</v>
      </c>
      <c r="CS976">
        <f>IF($CN976="refOK",$BT976,$BS976)*IF($BP976="Emissions positive",-1,1)</f>
        <v>89.468999999999994</v>
      </c>
      <c r="CT976">
        <f t="shared" si="1263"/>
        <v>-3417715.7999999961</v>
      </c>
      <c r="CU976">
        <f t="shared" si="1264"/>
        <v>-1.5809377451917797</v>
      </c>
      <c r="CV976" s="2">
        <f t="shared" si="1265"/>
        <v>-3.6794451936043117E-2</v>
      </c>
      <c r="CW976" s="1" t="s">
        <v>1198</v>
      </c>
      <c r="CX976" t="str">
        <f t="shared" si="1266"/>
        <v>reg</v>
      </c>
      <c r="CY976" t="s">
        <v>729</v>
      </c>
      <c r="CZ976">
        <v>2007</v>
      </c>
      <c r="DA976" s="143">
        <v>2100</v>
      </c>
      <c r="DB976" s="143">
        <f t="shared" si="1281"/>
        <v>93</v>
      </c>
      <c r="DC976" t="str">
        <f t="shared" si="1267"/>
        <v>71-100</v>
      </c>
      <c r="DD976">
        <v>0</v>
      </c>
      <c r="DE976">
        <v>1</v>
      </c>
      <c r="DF976">
        <v>0</v>
      </c>
      <c r="DG976">
        <v>1</v>
      </c>
      <c r="DH976">
        <v>1</v>
      </c>
      <c r="DI976">
        <f t="shared" si="1268"/>
        <v>2</v>
      </c>
      <c r="DJ976" t="str">
        <f t="shared" si="1269"/>
        <v>mixedProduct</v>
      </c>
      <c r="DK976">
        <f t="shared" si="1270"/>
        <v>0</v>
      </c>
      <c r="DL976" t="str">
        <f t="shared" si="1271"/>
        <v>Energy</v>
      </c>
      <c r="DM976">
        <f t="shared" si="1272"/>
        <v>0</v>
      </c>
      <c r="DN976" t="str">
        <f t="shared" si="1273"/>
        <v>Timber</v>
      </c>
      <c r="DO976">
        <v>0</v>
      </c>
      <c r="DP976" s="143">
        <v>0</v>
      </c>
      <c r="DQ976" s="143">
        <v>0</v>
      </c>
      <c r="DR976">
        <v>0</v>
      </c>
      <c r="DS976" s="143">
        <v>0</v>
      </c>
      <c r="DT976">
        <f t="shared" si="1274"/>
        <v>0</v>
      </c>
      <c r="DU976" s="143" t="str">
        <f t="shared" si="1275"/>
        <v>explicit C balance</v>
      </c>
      <c r="DV976" s="143">
        <v>0</v>
      </c>
      <c r="DW976" s="143">
        <v>0</v>
      </c>
      <c r="DX976" s="143">
        <v>1</v>
      </c>
      <c r="DY976" s="143">
        <v>1</v>
      </c>
      <c r="DZ976">
        <v>0</v>
      </c>
      <c r="EA976" s="143">
        <v>0</v>
      </c>
      <c r="EB976" s="143">
        <v>0</v>
      </c>
      <c r="EC976" s="143">
        <v>0</v>
      </c>
      <c r="ED976" s="143">
        <v>0</v>
      </c>
      <c r="EE976">
        <v>0</v>
      </c>
      <c r="EF976">
        <v>1</v>
      </c>
      <c r="EG976" s="143">
        <v>0</v>
      </c>
      <c r="EH976">
        <v>0</v>
      </c>
      <c r="EI976" s="2">
        <v>1</v>
      </c>
      <c r="EK976" t="str">
        <f t="shared" si="1276"/>
        <v/>
      </c>
      <c r="EL976" t="str">
        <f t="shared" si="1277"/>
        <v/>
      </c>
      <c r="EM976" s="2" t="str">
        <f t="shared" si="1223"/>
        <v/>
      </c>
      <c r="EP976" t="str">
        <f>IF(ISNUMBER(BU976),IF(ABS(BU976-[3]QC_indicators!$B$2)&gt;3*[3]QC_indicators!$C$2,"C ratio",IF(ISNUMBER(BY976),IF(ABS(BY976-[3]QC_indicators!$B$1)&gt;3*[3]QC_indicators!$C$1,"DF","no"))),IF(ISNUMBER(BY976),IF(ABS(BY976-[3]QC_indicators!$B$1)&gt;3*[3]QC_indicators!$C$1,"DF","no")))</f>
        <v>no</v>
      </c>
      <c r="ET976" s="264" t="s">
        <v>3166</v>
      </c>
    </row>
    <row r="977" spans="1:150" ht="15" hidden="1" customHeight="1">
      <c r="A977" s="1" t="s">
        <v>1377</v>
      </c>
      <c r="B977" t="s">
        <v>1921</v>
      </c>
      <c r="C977" t="s">
        <v>1922</v>
      </c>
      <c r="D977" t="s">
        <v>1923</v>
      </c>
      <c r="E977" t="s">
        <v>1924</v>
      </c>
      <c r="F977" t="s">
        <v>1925</v>
      </c>
      <c r="G977" t="s">
        <v>1383</v>
      </c>
      <c r="H977" t="s">
        <v>254</v>
      </c>
      <c r="I977">
        <v>2016</v>
      </c>
      <c r="J977">
        <v>12</v>
      </c>
      <c r="K977" t="s">
        <v>1926</v>
      </c>
      <c r="M977" t="str">
        <f t="shared" si="1249"/>
        <v>Lobianco_2016</v>
      </c>
      <c r="N977" t="s">
        <v>222</v>
      </c>
      <c r="O977" s="145" t="s">
        <v>225</v>
      </c>
      <c r="P977" t="s">
        <v>513</v>
      </c>
      <c r="Q977" t="s">
        <v>256</v>
      </c>
      <c r="R977" s="262" t="s">
        <v>223</v>
      </c>
      <c r="S977" s="1" t="s">
        <v>1930</v>
      </c>
      <c r="T977" s="143" t="s">
        <v>3161</v>
      </c>
      <c r="U977" s="143" t="s">
        <v>1154</v>
      </c>
      <c r="V977">
        <v>0</v>
      </c>
      <c r="W977">
        <v>0</v>
      </c>
      <c r="X977">
        <v>0</v>
      </c>
      <c r="Y977">
        <v>1</v>
      </c>
      <c r="Z977">
        <v>0</v>
      </c>
      <c r="AA977">
        <v>0</v>
      </c>
      <c r="AB977">
        <v>0</v>
      </c>
      <c r="AC977">
        <v>0</v>
      </c>
      <c r="AD977">
        <v>0</v>
      </c>
      <c r="AE977">
        <v>0</v>
      </c>
      <c r="AF977">
        <v>0</v>
      </c>
      <c r="AG977">
        <v>0</v>
      </c>
      <c r="AH977">
        <v>0</v>
      </c>
      <c r="AI977">
        <v>0</v>
      </c>
      <c r="AJ977">
        <v>0</v>
      </c>
      <c r="AK977">
        <v>0</v>
      </c>
      <c r="AL977">
        <v>0</v>
      </c>
      <c r="AM977">
        <v>0</v>
      </c>
      <c r="AN977">
        <v>0</v>
      </c>
      <c r="AO977">
        <v>0</v>
      </c>
      <c r="AP977">
        <v>0</v>
      </c>
      <c r="AQ977">
        <v>0</v>
      </c>
      <c r="AR977">
        <v>0</v>
      </c>
      <c r="AS977">
        <v>0</v>
      </c>
      <c r="AT977">
        <v>0</v>
      </c>
      <c r="AU977">
        <v>1</v>
      </c>
      <c r="AV977">
        <v>0</v>
      </c>
      <c r="AW977">
        <v>0</v>
      </c>
      <c r="AX977" s="141">
        <f t="shared" si="1250"/>
        <v>2</v>
      </c>
      <c r="AY977" s="141">
        <f t="shared" si="1251"/>
        <v>1</v>
      </c>
      <c r="AZ977">
        <f t="shared" si="1252"/>
        <v>1</v>
      </c>
      <c r="BA977">
        <f t="shared" si="1253"/>
        <v>0</v>
      </c>
      <c r="BB977">
        <f t="shared" si="1254"/>
        <v>0</v>
      </c>
      <c r="BC977">
        <f t="shared" si="1255"/>
        <v>1</v>
      </c>
      <c r="BD977">
        <f t="shared" si="1256"/>
        <v>0</v>
      </c>
      <c r="BE977" t="str">
        <f t="array" ref="BE977">IF(AY977=1,INDEX($V$7:$AL$7,MATCH(TRUE,INDEX($V977:$AW977&lt;&gt;0,),0)),IF(AY977=0,INDEX($AM$7:$AW$7,MATCH(1,$AM977:$AW977,0)),IF(BF977="Multiple strategies","mixed drivers",IF(BF977="Supply chain","multiple supply","multiple silviculture"))))</f>
        <v xml:space="preserve">cutting intensity </v>
      </c>
      <c r="BF977" s="2" t="str" cm="1">
        <f t="array" ref="BF977">IF(COUNTIF(AZ977:BB977,"&lt;&gt;0")=1,INDEX($V$4:$AW$4,MATCH(TRUE,INDEX($V977:$AW977&lt;&gt;0,),0)),IF(COUNTIF(AZ977:BB977,"&lt;&gt;0")=0,INDEX($AM$4:$AW$4,MATCH(1,$AM977:$AW977,0)),"Multiple strategies"))</f>
        <v>Silviculture for removals</v>
      </c>
      <c r="BG977" s="142" t="s">
        <v>321</v>
      </c>
      <c r="BH977" s="265" t="s">
        <v>3162</v>
      </c>
      <c r="BI977" s="264" t="s">
        <v>3163</v>
      </c>
      <c r="BJ977" s="143" t="s">
        <v>3164</v>
      </c>
      <c r="BK977">
        <f>53.247*(1-4.06/100)</f>
        <v>51.085171800000005</v>
      </c>
      <c r="BL977">
        <f>53.247</f>
        <v>53.247</v>
      </c>
      <c r="BM977" s="163"/>
      <c r="BN977">
        <f t="shared" si="1257"/>
        <v>2.1618281999999951</v>
      </c>
      <c r="BO977" s="143">
        <f t="shared" si="1278"/>
        <v>2161828.1999999951</v>
      </c>
      <c r="BP977" t="s">
        <v>232</v>
      </c>
      <c r="BQ977" s="264" t="s">
        <v>3165</v>
      </c>
      <c r="BR977" s="143" t="s">
        <v>1928</v>
      </c>
      <c r="BS977">
        <f>117.96*(1+2.48/100)</f>
        <v>120.88540799999998</v>
      </c>
      <c r="BT977" s="144">
        <v>117.962</v>
      </c>
      <c r="BV977">
        <f t="shared" si="1258"/>
        <v>-2.9234079999999807</v>
      </c>
      <c r="BX977">
        <f t="shared" si="1279"/>
        <v>-2923407.9999999809</v>
      </c>
      <c r="BY977">
        <f t="shared" si="1195"/>
        <v>-1.3522850705712821</v>
      </c>
      <c r="BZ977">
        <v>0</v>
      </c>
      <c r="CA977">
        <v>0</v>
      </c>
      <c r="CB977">
        <v>0</v>
      </c>
      <c r="CC977">
        <v>0</v>
      </c>
      <c r="CD977">
        <v>0</v>
      </c>
      <c r="CE977">
        <v>0</v>
      </c>
      <c r="CF977">
        <v>0</v>
      </c>
      <c r="CG977">
        <v>0</v>
      </c>
      <c r="CH977">
        <v>0</v>
      </c>
      <c r="CI977">
        <v>0</v>
      </c>
      <c r="CJ977">
        <v>0</v>
      </c>
      <c r="CK977">
        <v>0</v>
      </c>
      <c r="CL977">
        <v>0</v>
      </c>
      <c r="CM977">
        <v>0</v>
      </c>
      <c r="CN977" t="str">
        <f t="shared" si="1259"/>
        <v>refOK</v>
      </c>
      <c r="CO977">
        <f t="shared" si="1280"/>
        <v>51.085171800000005</v>
      </c>
      <c r="CP977">
        <f>IF($CN977="refOK",$BL977,$BK977)</f>
        <v>53.247</v>
      </c>
      <c r="CQ977">
        <f t="shared" si="1260"/>
        <v>2161828.1999999951</v>
      </c>
      <c r="CR977">
        <f t="shared" si="1261"/>
        <v>120.88540799999998</v>
      </c>
      <c r="CS977">
        <f>IF($CN977="refOK",$BS977,#REF!)*IF($BP977="Emissions positive",-1,1)</f>
        <v>120.88540799999998</v>
      </c>
      <c r="CT977">
        <f t="shared" si="1263"/>
        <v>-2923407.9999999809</v>
      </c>
      <c r="CU977">
        <f t="shared" si="1264"/>
        <v>-1.3522850705712821</v>
      </c>
      <c r="CV977" s="2">
        <f t="shared" si="1265"/>
        <v>0</v>
      </c>
      <c r="CW977" s="1" t="s">
        <v>1198</v>
      </c>
      <c r="CX977" t="str">
        <f t="shared" si="1266"/>
        <v>reg</v>
      </c>
      <c r="CY977" t="s">
        <v>729</v>
      </c>
      <c r="CZ977">
        <v>2007</v>
      </c>
      <c r="DA977" s="143">
        <v>2100</v>
      </c>
      <c r="DB977" s="143">
        <f t="shared" si="1281"/>
        <v>93</v>
      </c>
      <c r="DC977" t="str">
        <f t="shared" si="1267"/>
        <v>71-100</v>
      </c>
      <c r="DD977">
        <v>0</v>
      </c>
      <c r="DE977">
        <v>1</v>
      </c>
      <c r="DF977">
        <v>0</v>
      </c>
      <c r="DG977">
        <v>1</v>
      </c>
      <c r="DH977">
        <v>1</v>
      </c>
      <c r="DI977">
        <f t="shared" si="1268"/>
        <v>2</v>
      </c>
      <c r="DJ977" t="str">
        <f t="shared" si="1269"/>
        <v>mixedProduct</v>
      </c>
      <c r="DK977">
        <f t="shared" si="1270"/>
        <v>0</v>
      </c>
      <c r="DL977" t="str">
        <f t="shared" si="1271"/>
        <v>Energy</v>
      </c>
      <c r="DM977">
        <f t="shared" si="1272"/>
        <v>0</v>
      </c>
      <c r="DN977" t="str">
        <f t="shared" si="1273"/>
        <v>Timber</v>
      </c>
      <c r="DO977">
        <v>0</v>
      </c>
      <c r="DP977" s="143">
        <v>0</v>
      </c>
      <c r="DQ977" s="143">
        <v>0</v>
      </c>
      <c r="DR977">
        <v>0</v>
      </c>
      <c r="DS977" s="143">
        <v>0</v>
      </c>
      <c r="DT977">
        <f t="shared" si="1274"/>
        <v>0</v>
      </c>
      <c r="DU977" s="143" t="str">
        <f t="shared" si="1275"/>
        <v>explicit C balance</v>
      </c>
      <c r="DV977" s="143">
        <v>0</v>
      </c>
      <c r="DW977" s="143">
        <v>0</v>
      </c>
      <c r="DX977" s="143">
        <v>1</v>
      </c>
      <c r="DY977" s="143">
        <v>1</v>
      </c>
      <c r="DZ977">
        <v>0</v>
      </c>
      <c r="EA977" s="143">
        <v>1</v>
      </c>
      <c r="EB977" s="143">
        <v>1</v>
      </c>
      <c r="EC977" s="143">
        <v>0</v>
      </c>
      <c r="ED977" s="143">
        <v>0</v>
      </c>
      <c r="EE977">
        <v>0</v>
      </c>
      <c r="EF977">
        <v>1</v>
      </c>
      <c r="EG977" s="143">
        <v>0</v>
      </c>
      <c r="EH977">
        <v>0</v>
      </c>
      <c r="EI977" s="2">
        <v>1</v>
      </c>
      <c r="EK977" t="str">
        <f t="shared" si="1276"/>
        <v/>
      </c>
      <c r="EL977" t="str">
        <f t="shared" si="1277"/>
        <v/>
      </c>
      <c r="EM977" s="2" t="str">
        <f t="shared" si="1223"/>
        <v/>
      </c>
      <c r="EP977" t="str">
        <f>IF(ISNUMBER(BT977),IF(ABS(BT977-[3]QC_indicators!$B$2)&gt;3*[3]QC_indicators!$C$2,"C ratio",IF(ISNUMBER(BY977),IF(ABS(BY977-[3]QC_indicators!$B$1)&gt;3*[3]QC_indicators!$C$1,"DF","no"))),IF(ISNUMBER(BY977),IF(ABS(BY977-[3]QC_indicators!$B$1)&gt;3*[3]QC_indicators!$C$1,"DF","no")))</f>
        <v>C ratio</v>
      </c>
      <c r="ET977" s="264" t="s">
        <v>3166</v>
      </c>
    </row>
    <row r="978" spans="1:150" ht="15" hidden="1" customHeight="1">
      <c r="A978" s="1" t="s">
        <v>1377</v>
      </c>
      <c r="B978" t="s">
        <v>1921</v>
      </c>
      <c r="C978" t="s">
        <v>1922</v>
      </c>
      <c r="D978" t="s">
        <v>1923</v>
      </c>
      <c r="E978" t="s">
        <v>1924</v>
      </c>
      <c r="F978" t="s">
        <v>1925</v>
      </c>
      <c r="G978" t="s">
        <v>1383</v>
      </c>
      <c r="H978" t="s">
        <v>254</v>
      </c>
      <c r="I978">
        <v>2016</v>
      </c>
      <c r="J978">
        <v>12</v>
      </c>
      <c r="K978" t="s">
        <v>1926</v>
      </c>
      <c r="M978" t="str">
        <f t="shared" si="1249"/>
        <v>Lobianco_2016</v>
      </c>
      <c r="N978" t="s">
        <v>222</v>
      </c>
      <c r="O978" s="145" t="s">
        <v>225</v>
      </c>
      <c r="P978" t="s">
        <v>513</v>
      </c>
      <c r="Q978" t="s">
        <v>256</v>
      </c>
      <c r="R978" s="262" t="s">
        <v>223</v>
      </c>
      <c r="S978" s="1" t="s">
        <v>1929</v>
      </c>
      <c r="T978" s="143" t="s">
        <v>1154</v>
      </c>
      <c r="U978" t="s">
        <v>3167</v>
      </c>
      <c r="V978">
        <v>0</v>
      </c>
      <c r="W978">
        <v>0</v>
      </c>
      <c r="X978">
        <v>0</v>
      </c>
      <c r="Y978">
        <v>1</v>
      </c>
      <c r="Z978">
        <v>0</v>
      </c>
      <c r="AA978">
        <v>0</v>
      </c>
      <c r="AB978">
        <v>0</v>
      </c>
      <c r="AC978">
        <v>0</v>
      </c>
      <c r="AD978">
        <v>0</v>
      </c>
      <c r="AE978">
        <v>0</v>
      </c>
      <c r="AF978">
        <v>0</v>
      </c>
      <c r="AG978">
        <v>0</v>
      </c>
      <c r="AH978">
        <v>0</v>
      </c>
      <c r="AI978">
        <v>0</v>
      </c>
      <c r="AJ978">
        <v>0</v>
      </c>
      <c r="AK978">
        <v>0</v>
      </c>
      <c r="AL978">
        <v>0</v>
      </c>
      <c r="AM978">
        <v>0</v>
      </c>
      <c r="AN978">
        <v>0</v>
      </c>
      <c r="AO978">
        <v>0</v>
      </c>
      <c r="AP978">
        <v>0</v>
      </c>
      <c r="AQ978">
        <v>0</v>
      </c>
      <c r="AR978">
        <v>0</v>
      </c>
      <c r="AS978">
        <v>0</v>
      </c>
      <c r="AT978">
        <v>0</v>
      </c>
      <c r="AU978">
        <v>1</v>
      </c>
      <c r="AV978">
        <v>0</v>
      </c>
      <c r="AW978">
        <v>0</v>
      </c>
      <c r="AX978" s="141">
        <f t="shared" si="1250"/>
        <v>2</v>
      </c>
      <c r="AY978" s="141">
        <f t="shared" si="1251"/>
        <v>1</v>
      </c>
      <c r="AZ978">
        <f t="shared" si="1252"/>
        <v>1</v>
      </c>
      <c r="BA978">
        <f t="shared" si="1253"/>
        <v>0</v>
      </c>
      <c r="BB978">
        <f t="shared" si="1254"/>
        <v>0</v>
      </c>
      <c r="BC978">
        <f t="shared" si="1255"/>
        <v>1</v>
      </c>
      <c r="BD978">
        <f t="shared" si="1256"/>
        <v>0</v>
      </c>
      <c r="BE978" t="str">
        <f t="array" ref="BE978">IF(AY978=1,INDEX($V$7:$AL$7,MATCH(TRUE,INDEX($V978:$AW978&lt;&gt;0,),0)),IF(AY978=0,INDEX($AM$7:$AW$7,MATCH(1,$AM978:$AW978,0)),IF(BF978="Multiple strategies","mixed drivers",IF(BF978="Supply chain","multiple supply","multiple silviculture"))))</f>
        <v xml:space="preserve">cutting intensity </v>
      </c>
      <c r="BF978" s="2" t="str" cm="1">
        <f t="array" ref="BF978">IF(COUNTIF(AZ978:BB978,"&lt;&gt;0")=1,INDEX($V$4:$AW$4,MATCH(TRUE,INDEX($V978:$AW978&lt;&gt;0,),0)),IF(COUNTIF(AZ978:BB978,"&lt;&gt;0")=0,INDEX($AM$4:$AW$4,MATCH(1,$AM978:$AW978,0)),"Multiple strategies"))</f>
        <v>Silviculture for removals</v>
      </c>
      <c r="BG978" s="142" t="s">
        <v>321</v>
      </c>
      <c r="BH978" s="265" t="s">
        <v>3162</v>
      </c>
      <c r="BI978" s="264" t="s">
        <v>3163</v>
      </c>
      <c r="BJ978" s="143" t="s">
        <v>3164</v>
      </c>
      <c r="BK978">
        <f>53.247</f>
        <v>53.247</v>
      </c>
      <c r="BL978">
        <f>53.247*(1+9.16/100)</f>
        <v>58.124425199999997</v>
      </c>
      <c r="BN978">
        <f t="shared" si="1257"/>
        <v>4.8774251999999976</v>
      </c>
      <c r="BO978" s="143">
        <f t="shared" si="1278"/>
        <v>4877425.1999999974</v>
      </c>
      <c r="BP978" t="s">
        <v>232</v>
      </c>
      <c r="BQ978" s="264" t="s">
        <v>3165</v>
      </c>
      <c r="BR978" s="143" t="s">
        <v>1928</v>
      </c>
      <c r="BS978" s="144">
        <v>117.962</v>
      </c>
      <c r="BT978">
        <f>117.96*(1-5.55/100)</f>
        <v>111.41322</v>
      </c>
      <c r="BV978">
        <f t="shared" si="1258"/>
        <v>-6.5487800000000078</v>
      </c>
      <c r="BX978">
        <f t="shared" si="1279"/>
        <v>-6548780.0000000075</v>
      </c>
      <c r="BY978">
        <f t="shared" si="1195"/>
        <v>-1.3426715390735282</v>
      </c>
      <c r="BZ978">
        <v>0</v>
      </c>
      <c r="CA978">
        <v>0</v>
      </c>
      <c r="CB978">
        <v>0</v>
      </c>
      <c r="CC978">
        <v>0</v>
      </c>
      <c r="CD978">
        <v>0</v>
      </c>
      <c r="CE978">
        <v>0</v>
      </c>
      <c r="CF978">
        <v>0</v>
      </c>
      <c r="CG978">
        <v>0</v>
      </c>
      <c r="CH978">
        <v>0</v>
      </c>
      <c r="CI978">
        <v>0</v>
      </c>
      <c r="CJ978">
        <v>0</v>
      </c>
      <c r="CK978">
        <v>0</v>
      </c>
      <c r="CL978">
        <v>0</v>
      </c>
      <c r="CM978">
        <v>0</v>
      </c>
      <c r="CN978" t="str">
        <f t="shared" si="1259"/>
        <v>refOK</v>
      </c>
      <c r="CO978">
        <f t="shared" si="1280"/>
        <v>53.247</v>
      </c>
      <c r="CP978">
        <f>IF($CN978="refOK",$BL978,#REF!)</f>
        <v>58.124425199999997</v>
      </c>
      <c r="CQ978">
        <f t="shared" si="1260"/>
        <v>4877425.1999999974</v>
      </c>
      <c r="CR978">
        <f t="shared" si="1261"/>
        <v>117.962</v>
      </c>
      <c r="CS978">
        <f>IF($CN978="refOK",$BS978,#REF!)*IF($BP978="Emissions positive",-1,1)</f>
        <v>117.962</v>
      </c>
      <c r="CT978">
        <f t="shared" si="1263"/>
        <v>-6548780.0000000075</v>
      </c>
      <c r="CU978">
        <f t="shared" si="1264"/>
        <v>-1.3426715390735282</v>
      </c>
      <c r="CV978" s="2">
        <f t="shared" si="1265"/>
        <v>0</v>
      </c>
      <c r="CW978" s="1" t="s">
        <v>1198</v>
      </c>
      <c r="CX978" t="str">
        <f t="shared" si="1266"/>
        <v>reg</v>
      </c>
      <c r="CY978" t="s">
        <v>729</v>
      </c>
      <c r="CZ978">
        <v>2007</v>
      </c>
      <c r="DA978" s="143">
        <v>2100</v>
      </c>
      <c r="DB978" s="143">
        <f t="shared" si="1281"/>
        <v>93</v>
      </c>
      <c r="DC978" t="str">
        <f t="shared" si="1267"/>
        <v>71-100</v>
      </c>
      <c r="DD978">
        <v>0</v>
      </c>
      <c r="DE978">
        <v>1</v>
      </c>
      <c r="DF978">
        <v>0</v>
      </c>
      <c r="DG978">
        <v>1</v>
      </c>
      <c r="DH978">
        <v>1</v>
      </c>
      <c r="DI978">
        <f t="shared" si="1268"/>
        <v>2</v>
      </c>
      <c r="DJ978" t="str">
        <f t="shared" si="1269"/>
        <v>mixedProduct</v>
      </c>
      <c r="DK978">
        <f t="shared" si="1270"/>
        <v>0</v>
      </c>
      <c r="DL978" t="str">
        <f t="shared" si="1271"/>
        <v>Energy</v>
      </c>
      <c r="DM978">
        <f t="shared" si="1272"/>
        <v>0</v>
      </c>
      <c r="DN978" t="str">
        <f t="shared" si="1273"/>
        <v>Timber</v>
      </c>
      <c r="DO978">
        <v>0</v>
      </c>
      <c r="DP978" s="143">
        <v>0</v>
      </c>
      <c r="DQ978" s="143">
        <v>0</v>
      </c>
      <c r="DR978">
        <v>0</v>
      </c>
      <c r="DS978" s="143">
        <v>0</v>
      </c>
      <c r="DT978">
        <f t="shared" si="1274"/>
        <v>0</v>
      </c>
      <c r="DU978" s="143" t="str">
        <f t="shared" si="1275"/>
        <v>explicit C balance</v>
      </c>
      <c r="DV978" s="143">
        <v>0</v>
      </c>
      <c r="DW978" s="143">
        <v>0</v>
      </c>
      <c r="DX978" s="143">
        <v>1</v>
      </c>
      <c r="DY978" s="143">
        <v>1</v>
      </c>
      <c r="DZ978">
        <v>0</v>
      </c>
      <c r="EA978" s="143">
        <v>1</v>
      </c>
      <c r="EB978" s="143">
        <v>1</v>
      </c>
      <c r="EC978" s="143">
        <v>0</v>
      </c>
      <c r="ED978" s="143">
        <v>0</v>
      </c>
      <c r="EE978">
        <v>0</v>
      </c>
      <c r="EF978">
        <v>1</v>
      </c>
      <c r="EG978" s="143">
        <v>0</v>
      </c>
      <c r="EH978">
        <v>0</v>
      </c>
      <c r="EI978" s="2">
        <v>1</v>
      </c>
      <c r="EK978" t="str">
        <f t="shared" si="1276"/>
        <v/>
      </c>
      <c r="EL978" t="str">
        <f t="shared" si="1277"/>
        <v/>
      </c>
      <c r="EM978" s="2" t="str">
        <f t="shared" si="1223"/>
        <v/>
      </c>
      <c r="EP978" t="str">
        <f>IF(ISNUMBER(BT978),IF(ABS(BT978-[3]QC_indicators!$B$2)&gt;3*[3]QC_indicators!$C$2,"C ratio",IF(ISNUMBER(BY978),IF(ABS(BY978-[3]QC_indicators!$B$1)&gt;3*[3]QC_indicators!$C$1,"DF","no"))),IF(ISNUMBER(BY978),IF(ABS(BY978-[3]QC_indicators!$B$1)&gt;3*[3]QC_indicators!$C$1,"DF","no")))</f>
        <v>C ratio</v>
      </c>
      <c r="ET978" s="264" t="s">
        <v>3166</v>
      </c>
    </row>
    <row r="979" spans="1:150" ht="15" hidden="1" customHeight="1">
      <c r="A979" s="1" t="s">
        <v>1377</v>
      </c>
      <c r="B979" t="s">
        <v>1921</v>
      </c>
      <c r="C979" t="s">
        <v>1922</v>
      </c>
      <c r="D979" t="s">
        <v>1923</v>
      </c>
      <c r="E979" t="s">
        <v>1924</v>
      </c>
      <c r="F979" t="s">
        <v>1925</v>
      </c>
      <c r="G979" t="s">
        <v>1383</v>
      </c>
      <c r="H979" t="s">
        <v>254</v>
      </c>
      <c r="I979">
        <v>2016</v>
      </c>
      <c r="J979">
        <v>12</v>
      </c>
      <c r="K979" t="s">
        <v>1926</v>
      </c>
      <c r="M979" t="str">
        <f t="shared" si="1249"/>
        <v>Lobianco_2016</v>
      </c>
      <c r="N979" t="s">
        <v>222</v>
      </c>
      <c r="O979" s="145" t="s">
        <v>225</v>
      </c>
      <c r="P979" t="s">
        <v>513</v>
      </c>
      <c r="Q979" t="s">
        <v>256</v>
      </c>
      <c r="R979" s="262" t="s">
        <v>223</v>
      </c>
      <c r="S979" s="1" t="s">
        <v>1927</v>
      </c>
      <c r="T979" s="143" t="s">
        <v>3168</v>
      </c>
      <c r="U979" s="143" t="s">
        <v>1154</v>
      </c>
      <c r="V979">
        <v>0</v>
      </c>
      <c r="W979">
        <v>0</v>
      </c>
      <c r="X979">
        <v>1</v>
      </c>
      <c r="Y979">
        <v>0</v>
      </c>
      <c r="Z979">
        <v>0</v>
      </c>
      <c r="AA979">
        <v>0</v>
      </c>
      <c r="AB979">
        <v>0</v>
      </c>
      <c r="AC979">
        <v>0</v>
      </c>
      <c r="AD979">
        <v>0</v>
      </c>
      <c r="AE979">
        <v>0</v>
      </c>
      <c r="AF979">
        <v>0</v>
      </c>
      <c r="AG979">
        <v>0</v>
      </c>
      <c r="AH979">
        <v>0</v>
      </c>
      <c r="AI979">
        <v>0</v>
      </c>
      <c r="AJ979">
        <v>0</v>
      </c>
      <c r="AK979">
        <v>0</v>
      </c>
      <c r="AL979">
        <v>0</v>
      </c>
      <c r="AM979">
        <v>0</v>
      </c>
      <c r="AN979">
        <v>0</v>
      </c>
      <c r="AO979">
        <v>0</v>
      </c>
      <c r="AP979">
        <v>0</v>
      </c>
      <c r="AQ979">
        <v>0</v>
      </c>
      <c r="AR979">
        <v>0</v>
      </c>
      <c r="AS979">
        <v>0</v>
      </c>
      <c r="AT979">
        <v>0</v>
      </c>
      <c r="AU979">
        <v>1</v>
      </c>
      <c r="AV979">
        <v>0</v>
      </c>
      <c r="AW979">
        <v>0</v>
      </c>
      <c r="AX979" s="141">
        <f t="shared" si="1250"/>
        <v>2</v>
      </c>
      <c r="AY979" s="141">
        <f t="shared" si="1251"/>
        <v>1</v>
      </c>
      <c r="AZ979">
        <f t="shared" si="1252"/>
        <v>1</v>
      </c>
      <c r="BA979">
        <f t="shared" si="1253"/>
        <v>0</v>
      </c>
      <c r="BB979">
        <f t="shared" si="1254"/>
        <v>0</v>
      </c>
      <c r="BC979">
        <f t="shared" si="1255"/>
        <v>1</v>
      </c>
      <c r="BD979">
        <f t="shared" si="1256"/>
        <v>0</v>
      </c>
      <c r="BE979" t="str">
        <f t="array" ref="BE979">IF(AY979=1,INDEX($V$7:$AL$7,MATCH(TRUE,INDEX($V979:$AW979&lt;&gt;0,),0)),IF(AY979=0,INDEX($AM$7:$AW$7,MATCH(1,$AM979:$AW979,0)),IF(BF979="Multiple strategies","mixed drivers",IF(BF979="Supply chain","multiple supply","multiple silviculture"))))</f>
        <v>rotation length</v>
      </c>
      <c r="BF979" s="2" t="str" cm="1">
        <f t="array" ref="BF979">IF(COUNTIF(AZ979:BB979,"&lt;&gt;0")=1,INDEX($V$4:$AW$4,MATCH(TRUE,INDEX($V979:$AW979&lt;&gt;0,),0)),IF(COUNTIF(AZ979:BB979,"&lt;&gt;0")=0,INDEX($AM$4:$AW$4,MATCH(1,$AM979:$AW979,0)),"Multiple strategies"))</f>
        <v>Silviculture for removals</v>
      </c>
      <c r="BG979" s="142" t="s">
        <v>321</v>
      </c>
      <c r="BH979" s="265" t="s">
        <v>3162</v>
      </c>
      <c r="BI979" s="264" t="s">
        <v>3163</v>
      </c>
      <c r="BJ979" s="143" t="s">
        <v>3164</v>
      </c>
      <c r="BK979">
        <f>53.247*(1-0.04/100)</f>
        <v>53.225701200000003</v>
      </c>
      <c r="BL979">
        <f>53.247</f>
        <v>53.247</v>
      </c>
      <c r="BN979">
        <f t="shared" si="1257"/>
        <v>2.1298799999996731E-2</v>
      </c>
      <c r="BO979" s="143">
        <f t="shared" si="1278"/>
        <v>21298.799999996732</v>
      </c>
      <c r="BP979" t="s">
        <v>232</v>
      </c>
      <c r="BQ979" s="264" t="s">
        <v>3165</v>
      </c>
      <c r="BR979" s="143" t="s">
        <v>1928</v>
      </c>
      <c r="BS979">
        <v>89.397424799999996</v>
      </c>
      <c r="BT979">
        <v>89.468999999999994</v>
      </c>
      <c r="BU979" s="144">
        <f>IFERROR(BT979/BS979,"")</f>
        <v>1.0008006405124099</v>
      </c>
      <c r="BV979">
        <f t="shared" si="1258"/>
        <v>7.1575199999998063E-2</v>
      </c>
      <c r="BX979">
        <f t="shared" si="1279"/>
        <v>71575.199999998062</v>
      </c>
      <c r="BY979">
        <f t="shared" si="1195"/>
        <v>3.3605273536541516</v>
      </c>
      <c r="BZ979">
        <v>0</v>
      </c>
      <c r="CA979">
        <v>0</v>
      </c>
      <c r="CB979">
        <v>0</v>
      </c>
      <c r="CC979">
        <v>0</v>
      </c>
      <c r="CD979">
        <v>0</v>
      </c>
      <c r="CE979">
        <v>0</v>
      </c>
      <c r="CF979">
        <v>0</v>
      </c>
      <c r="CG979">
        <v>0</v>
      </c>
      <c r="CH979">
        <v>0</v>
      </c>
      <c r="CI979">
        <v>0</v>
      </c>
      <c r="CJ979">
        <v>0</v>
      </c>
      <c r="CK979">
        <v>0</v>
      </c>
      <c r="CL979">
        <v>0</v>
      </c>
      <c r="CM979">
        <v>0</v>
      </c>
      <c r="CN979" t="str">
        <f t="shared" si="1259"/>
        <v>refOK</v>
      </c>
      <c r="CO979">
        <f t="shared" si="1280"/>
        <v>53.225701200000003</v>
      </c>
      <c r="CP979">
        <f t="shared" ref="CP979:CP985" si="1282">IF($CN979="refOK",$BL979,$BK979)</f>
        <v>53.247</v>
      </c>
      <c r="CQ979">
        <f t="shared" si="1260"/>
        <v>21298.799999996732</v>
      </c>
      <c r="CR979">
        <f t="shared" si="1261"/>
        <v>89.397424799999996</v>
      </c>
      <c r="CS979">
        <f>IF($CN979="refOK",$BT979,$BS979)*IF($BP979="Emissions positive",-1,1)</f>
        <v>89.468999999999994</v>
      </c>
      <c r="CT979">
        <f t="shared" si="1263"/>
        <v>71575.199999998062</v>
      </c>
      <c r="CU979">
        <f t="shared" si="1264"/>
        <v>3.3605273536541516</v>
      </c>
      <c r="CV979" s="2">
        <f t="shared" si="1265"/>
        <v>8.0064051240990631E-4</v>
      </c>
      <c r="CW979" s="1" t="s">
        <v>1198</v>
      </c>
      <c r="CX979" t="str">
        <f t="shared" si="1266"/>
        <v>reg</v>
      </c>
      <c r="CY979" t="s">
        <v>729</v>
      </c>
      <c r="CZ979">
        <v>2007</v>
      </c>
      <c r="DA979" s="143">
        <v>2100</v>
      </c>
      <c r="DB979" s="143">
        <f t="shared" si="1281"/>
        <v>93</v>
      </c>
      <c r="DC979" t="str">
        <f t="shared" si="1267"/>
        <v>71-100</v>
      </c>
      <c r="DD979">
        <v>0</v>
      </c>
      <c r="DE979">
        <v>1</v>
      </c>
      <c r="DF979">
        <v>0</v>
      </c>
      <c r="DG979">
        <v>1</v>
      </c>
      <c r="DH979">
        <v>1</v>
      </c>
      <c r="DI979">
        <f t="shared" si="1268"/>
        <v>2</v>
      </c>
      <c r="DJ979" t="str">
        <f t="shared" si="1269"/>
        <v>mixedProduct</v>
      </c>
      <c r="DK979">
        <f t="shared" si="1270"/>
        <v>0</v>
      </c>
      <c r="DL979" t="str">
        <f t="shared" si="1271"/>
        <v>Energy</v>
      </c>
      <c r="DM979">
        <f t="shared" si="1272"/>
        <v>0</v>
      </c>
      <c r="DN979" t="str">
        <f t="shared" si="1273"/>
        <v>Timber</v>
      </c>
      <c r="DO979">
        <v>0</v>
      </c>
      <c r="DP979" s="143">
        <v>0</v>
      </c>
      <c r="DQ979" s="143">
        <v>0</v>
      </c>
      <c r="DR979">
        <v>0</v>
      </c>
      <c r="DS979" s="143">
        <v>0</v>
      </c>
      <c r="DT979">
        <f t="shared" si="1274"/>
        <v>0</v>
      </c>
      <c r="DU979" s="143" t="str">
        <f t="shared" si="1275"/>
        <v>explicit C balance</v>
      </c>
      <c r="DV979" s="143">
        <v>0</v>
      </c>
      <c r="DW979" s="143">
        <v>0</v>
      </c>
      <c r="DX979" s="143">
        <v>1</v>
      </c>
      <c r="DY979" s="143">
        <v>1</v>
      </c>
      <c r="DZ979">
        <v>0</v>
      </c>
      <c r="EA979" s="143">
        <v>0</v>
      </c>
      <c r="EB979" s="143">
        <v>0</v>
      </c>
      <c r="EC979" s="143">
        <v>0</v>
      </c>
      <c r="ED979" s="143">
        <v>0</v>
      </c>
      <c r="EE979">
        <v>0</v>
      </c>
      <c r="EF979">
        <v>1</v>
      </c>
      <c r="EG979" s="143">
        <v>0</v>
      </c>
      <c r="EH979">
        <v>0</v>
      </c>
      <c r="EI979" s="2">
        <v>1</v>
      </c>
      <c r="EK979" t="str">
        <f t="shared" si="1276"/>
        <v/>
      </c>
      <c r="EL979" t="str">
        <f t="shared" si="1277"/>
        <v/>
      </c>
      <c r="EM979" s="2" t="str">
        <f t="shared" si="1223"/>
        <v/>
      </c>
      <c r="EP979" t="str">
        <f>IF(ISNUMBER(BU979),IF(ABS(BU979-[3]QC_indicators!$B$2)&gt;3*[3]QC_indicators!$C$2,"C ratio",IF(ISNUMBER(BY979),IF(ABS(BY979-[3]QC_indicators!$B$1)&gt;3*[3]QC_indicators!$C$1,"DF","no"))),IF(ISNUMBER(BY979),IF(ABS(BY979-[3]QC_indicators!$B$1)&gt;3*[3]QC_indicators!$C$1,"DF","no")))</f>
        <v>no</v>
      </c>
      <c r="ET979" s="264" t="s">
        <v>3166</v>
      </c>
    </row>
    <row r="980" spans="1:150" ht="15" hidden="1" customHeight="1">
      <c r="A980" s="1" t="s">
        <v>1377</v>
      </c>
      <c r="B980" t="s">
        <v>1921</v>
      </c>
      <c r="C980" t="s">
        <v>1922</v>
      </c>
      <c r="D980" t="s">
        <v>1923</v>
      </c>
      <c r="E980" t="s">
        <v>1924</v>
      </c>
      <c r="F980" t="s">
        <v>1925</v>
      </c>
      <c r="G980" t="s">
        <v>1383</v>
      </c>
      <c r="H980" t="s">
        <v>254</v>
      </c>
      <c r="I980">
        <v>2016</v>
      </c>
      <c r="J980">
        <v>12</v>
      </c>
      <c r="K980" t="s">
        <v>1926</v>
      </c>
      <c r="M980" t="str">
        <f t="shared" si="1249"/>
        <v>Lobianco_2016</v>
      </c>
      <c r="N980" t="s">
        <v>222</v>
      </c>
      <c r="O980" s="145" t="s">
        <v>225</v>
      </c>
      <c r="P980" t="s">
        <v>513</v>
      </c>
      <c r="Q980" t="s">
        <v>256</v>
      </c>
      <c r="R980" s="262" t="s">
        <v>223</v>
      </c>
      <c r="S980" s="1" t="s">
        <v>1927</v>
      </c>
      <c r="T980" s="143" t="s">
        <v>3168</v>
      </c>
      <c r="U980" s="143" t="s">
        <v>1154</v>
      </c>
      <c r="V980">
        <v>0</v>
      </c>
      <c r="W980">
        <v>0</v>
      </c>
      <c r="X980">
        <v>1</v>
      </c>
      <c r="Y980">
        <v>0</v>
      </c>
      <c r="Z980">
        <v>0</v>
      </c>
      <c r="AA980">
        <v>0</v>
      </c>
      <c r="AB980">
        <v>0</v>
      </c>
      <c r="AC980">
        <v>0</v>
      </c>
      <c r="AD980">
        <v>0</v>
      </c>
      <c r="AE980">
        <v>0</v>
      </c>
      <c r="AF980">
        <v>0</v>
      </c>
      <c r="AG980">
        <v>0</v>
      </c>
      <c r="AH980">
        <v>0</v>
      </c>
      <c r="AI980">
        <v>0</v>
      </c>
      <c r="AJ980">
        <v>0</v>
      </c>
      <c r="AK980">
        <v>0</v>
      </c>
      <c r="AL980">
        <v>0</v>
      </c>
      <c r="AM980">
        <v>0</v>
      </c>
      <c r="AN980">
        <v>0</v>
      </c>
      <c r="AO980">
        <v>0</v>
      </c>
      <c r="AP980">
        <v>0</v>
      </c>
      <c r="AQ980">
        <v>0</v>
      </c>
      <c r="AR980">
        <v>0</v>
      </c>
      <c r="AS980">
        <v>0</v>
      </c>
      <c r="AT980">
        <v>0</v>
      </c>
      <c r="AU980">
        <v>1</v>
      </c>
      <c r="AV980">
        <v>0</v>
      </c>
      <c r="AW980">
        <v>0</v>
      </c>
      <c r="AX980" s="141">
        <f t="shared" si="1250"/>
        <v>2</v>
      </c>
      <c r="AY980" s="141">
        <f t="shared" si="1251"/>
        <v>1</v>
      </c>
      <c r="AZ980">
        <f t="shared" si="1252"/>
        <v>1</v>
      </c>
      <c r="BA980">
        <f t="shared" si="1253"/>
        <v>0</v>
      </c>
      <c r="BB980">
        <f t="shared" si="1254"/>
        <v>0</v>
      </c>
      <c r="BC980">
        <f t="shared" si="1255"/>
        <v>1</v>
      </c>
      <c r="BD980">
        <f t="shared" si="1256"/>
        <v>0</v>
      </c>
      <c r="BE980" t="str">
        <f t="array" ref="BE980">IF(AY980=1,INDEX($V$7:$AL$7,MATCH(TRUE,INDEX($V980:$AW980&lt;&gt;0,),0)),IF(AY980=0,INDEX($AM$7:$AW$7,MATCH(1,$AM980:$AW980,0)),IF(BF980="Multiple strategies","mixed drivers",IF(BF980="Supply chain","multiple supply","multiple silviculture"))))</f>
        <v>rotation length</v>
      </c>
      <c r="BF980" s="2" t="str" cm="1">
        <f t="array" ref="BF980">IF(COUNTIF(AZ980:BB980,"&lt;&gt;0")=1,INDEX($V$4:$AW$4,MATCH(TRUE,INDEX($V980:$AW980&lt;&gt;0,),0)),IF(COUNTIF(AZ980:BB980,"&lt;&gt;0")=0,INDEX($AM$4:$AW$4,MATCH(1,$AM980:$AW980,0)),"Multiple strategies"))</f>
        <v>Silviculture for removals</v>
      </c>
      <c r="BG980" s="142" t="s">
        <v>321</v>
      </c>
      <c r="BH980" s="265" t="s">
        <v>3162</v>
      </c>
      <c r="BI980" s="264" t="s">
        <v>3163</v>
      </c>
      <c r="BJ980" s="143" t="s">
        <v>3164</v>
      </c>
      <c r="BK980">
        <f>53.247*(1-0.04/100)</f>
        <v>53.225701200000003</v>
      </c>
      <c r="BL980">
        <f>53.247</f>
        <v>53.247</v>
      </c>
      <c r="BN980">
        <f t="shared" si="1257"/>
        <v>2.1298799999996731E-2</v>
      </c>
      <c r="BO980" s="143">
        <f t="shared" si="1278"/>
        <v>21298.799999996732</v>
      </c>
      <c r="BP980" t="s">
        <v>232</v>
      </c>
      <c r="BQ980" s="264" t="s">
        <v>3165</v>
      </c>
      <c r="BR980" s="143" t="s">
        <v>1928</v>
      </c>
      <c r="BS980">
        <f>117.96*(1-0.07/100)</f>
        <v>117.87742799999999</v>
      </c>
      <c r="BT980" s="144">
        <v>117.962</v>
      </c>
      <c r="BV980">
        <f t="shared" si="1258"/>
        <v>8.4572000000008529E-2</v>
      </c>
      <c r="BX980">
        <f t="shared" si="1279"/>
        <v>84572.000000008527</v>
      </c>
      <c r="BY980">
        <f t="shared" si="1195"/>
        <v>3.970740135595503</v>
      </c>
      <c r="BZ980">
        <v>0</v>
      </c>
      <c r="CA980">
        <v>0</v>
      </c>
      <c r="CB980">
        <v>0</v>
      </c>
      <c r="CC980">
        <v>0</v>
      </c>
      <c r="CD980">
        <v>0</v>
      </c>
      <c r="CE980">
        <v>0</v>
      </c>
      <c r="CF980">
        <v>0</v>
      </c>
      <c r="CG980">
        <v>0</v>
      </c>
      <c r="CH980">
        <v>0</v>
      </c>
      <c r="CI980">
        <v>0</v>
      </c>
      <c r="CJ980">
        <v>0</v>
      </c>
      <c r="CK980">
        <v>0</v>
      </c>
      <c r="CL980">
        <v>0</v>
      </c>
      <c r="CM980">
        <v>0</v>
      </c>
      <c r="CN980" t="str">
        <f t="shared" si="1259"/>
        <v>refOK</v>
      </c>
      <c r="CO980">
        <f t="shared" si="1280"/>
        <v>53.225701200000003</v>
      </c>
      <c r="CP980">
        <f t="shared" si="1282"/>
        <v>53.247</v>
      </c>
      <c r="CQ980">
        <f t="shared" si="1260"/>
        <v>21298.799999996732</v>
      </c>
      <c r="CR980">
        <f t="shared" si="1261"/>
        <v>117.87742799999999</v>
      </c>
      <c r="CS980">
        <f>IF($CN980="refOK",$BS980,#REF!)*IF($BP980="Emissions positive",-1,1)</f>
        <v>117.87742799999999</v>
      </c>
      <c r="CT980">
        <f t="shared" si="1263"/>
        <v>84572.000000008527</v>
      </c>
      <c r="CU980">
        <f t="shared" si="1264"/>
        <v>3.970740135595503</v>
      </c>
      <c r="CV980" s="2">
        <f t="shared" si="1265"/>
        <v>0</v>
      </c>
      <c r="CW980" s="1" t="s">
        <v>1198</v>
      </c>
      <c r="CX980" t="str">
        <f t="shared" si="1266"/>
        <v>reg</v>
      </c>
      <c r="CY980" t="s">
        <v>729</v>
      </c>
      <c r="CZ980">
        <v>2007</v>
      </c>
      <c r="DA980" s="143">
        <v>2100</v>
      </c>
      <c r="DB980" s="143">
        <f t="shared" si="1281"/>
        <v>93</v>
      </c>
      <c r="DC980" t="str">
        <f t="shared" si="1267"/>
        <v>71-100</v>
      </c>
      <c r="DD980">
        <v>0</v>
      </c>
      <c r="DE980">
        <v>1</v>
      </c>
      <c r="DF980">
        <v>0</v>
      </c>
      <c r="DG980">
        <v>1</v>
      </c>
      <c r="DH980">
        <v>1</v>
      </c>
      <c r="DI980">
        <f t="shared" si="1268"/>
        <v>2</v>
      </c>
      <c r="DJ980" t="str">
        <f t="shared" si="1269"/>
        <v>mixedProduct</v>
      </c>
      <c r="DK980">
        <f t="shared" si="1270"/>
        <v>0</v>
      </c>
      <c r="DL980" t="str">
        <f t="shared" si="1271"/>
        <v>Energy</v>
      </c>
      <c r="DM980">
        <f t="shared" si="1272"/>
        <v>0</v>
      </c>
      <c r="DN980" t="str">
        <f t="shared" si="1273"/>
        <v>Timber</v>
      </c>
      <c r="DO980">
        <v>0</v>
      </c>
      <c r="DP980" s="143">
        <v>0</v>
      </c>
      <c r="DQ980" s="143">
        <v>0</v>
      </c>
      <c r="DR980">
        <v>0</v>
      </c>
      <c r="DS980" s="143">
        <v>0</v>
      </c>
      <c r="DT980">
        <f t="shared" si="1274"/>
        <v>0</v>
      </c>
      <c r="DU980" s="143" t="str">
        <f t="shared" si="1275"/>
        <v>explicit C balance</v>
      </c>
      <c r="DV980" s="143">
        <v>0</v>
      </c>
      <c r="DW980" s="143">
        <v>0</v>
      </c>
      <c r="DX980" s="143">
        <v>1</v>
      </c>
      <c r="DY980" s="143">
        <v>1</v>
      </c>
      <c r="DZ980">
        <v>0</v>
      </c>
      <c r="EA980" s="143">
        <v>1</v>
      </c>
      <c r="EB980" s="143">
        <v>1</v>
      </c>
      <c r="EC980" s="143">
        <v>0</v>
      </c>
      <c r="ED980" s="143">
        <v>0</v>
      </c>
      <c r="EE980">
        <v>0</v>
      </c>
      <c r="EF980">
        <v>1</v>
      </c>
      <c r="EG980" s="143">
        <v>0</v>
      </c>
      <c r="EH980">
        <v>0</v>
      </c>
      <c r="EI980" s="2">
        <v>1</v>
      </c>
      <c r="EK980" t="str">
        <f t="shared" si="1276"/>
        <v/>
      </c>
      <c r="EL980" t="str">
        <f t="shared" si="1277"/>
        <v/>
      </c>
      <c r="EM980" s="2" t="str">
        <f t="shared" si="1223"/>
        <v/>
      </c>
      <c r="EP980" t="str">
        <f>IF(ISNUMBER(BT980),IF(ABS(BT980-[3]QC_indicators!$B$2)&gt;3*[3]QC_indicators!$C$2,"C ratio",IF(ISNUMBER(BY980),IF(ABS(BY980-[3]QC_indicators!$B$1)&gt;3*[3]QC_indicators!$C$1,"DF","no"))),IF(ISNUMBER(BY980),IF(ABS(BY980-[3]QC_indicators!$B$1)&gt;3*[3]QC_indicators!$C$1,"DF","no")))</f>
        <v>C ratio</v>
      </c>
      <c r="ET980" s="264" t="s">
        <v>3166</v>
      </c>
    </row>
    <row r="981" spans="1:150" ht="15" hidden="1" customHeight="1">
      <c r="A981" s="1" t="s">
        <v>1377</v>
      </c>
      <c r="B981" t="s">
        <v>1921</v>
      </c>
      <c r="C981" t="s">
        <v>1922</v>
      </c>
      <c r="D981" t="s">
        <v>1923</v>
      </c>
      <c r="E981" t="s">
        <v>1924</v>
      </c>
      <c r="F981" t="s">
        <v>1925</v>
      </c>
      <c r="G981" t="s">
        <v>1383</v>
      </c>
      <c r="H981" t="s">
        <v>254</v>
      </c>
      <c r="I981">
        <v>2016</v>
      </c>
      <c r="J981">
        <v>12</v>
      </c>
      <c r="K981" t="s">
        <v>1926</v>
      </c>
      <c r="M981" t="str">
        <f t="shared" si="1249"/>
        <v>Lobianco_2016</v>
      </c>
      <c r="N981" t="s">
        <v>222</v>
      </c>
      <c r="O981" s="145" t="s">
        <v>225</v>
      </c>
      <c r="P981" t="s">
        <v>513</v>
      </c>
      <c r="Q981" t="s">
        <v>256</v>
      </c>
      <c r="R981" s="262" t="s">
        <v>223</v>
      </c>
      <c r="S981" s="1" t="s">
        <v>1934</v>
      </c>
      <c r="T981" s="143" t="s">
        <v>3173</v>
      </c>
      <c r="U981" s="143" t="s">
        <v>1154</v>
      </c>
      <c r="V981">
        <v>0</v>
      </c>
      <c r="W981">
        <v>0</v>
      </c>
      <c r="X981">
        <v>0</v>
      </c>
      <c r="Y981">
        <v>0</v>
      </c>
      <c r="Z981">
        <v>0</v>
      </c>
      <c r="AA981">
        <v>0</v>
      </c>
      <c r="AB981">
        <v>0</v>
      </c>
      <c r="AC981">
        <v>1</v>
      </c>
      <c r="AD981">
        <v>0</v>
      </c>
      <c r="AE981">
        <v>0</v>
      </c>
      <c r="AF981">
        <v>0</v>
      </c>
      <c r="AG981">
        <v>0</v>
      </c>
      <c r="AH981">
        <v>0</v>
      </c>
      <c r="AI981">
        <v>0</v>
      </c>
      <c r="AJ981">
        <v>0</v>
      </c>
      <c r="AK981">
        <v>0</v>
      </c>
      <c r="AL981">
        <v>0</v>
      </c>
      <c r="AM981">
        <v>0</v>
      </c>
      <c r="AN981">
        <v>1</v>
      </c>
      <c r="AO981">
        <v>0</v>
      </c>
      <c r="AP981">
        <v>0</v>
      </c>
      <c r="AQ981">
        <v>0</v>
      </c>
      <c r="AR981">
        <v>0</v>
      </c>
      <c r="AS981">
        <v>0</v>
      </c>
      <c r="AT981">
        <v>0</v>
      </c>
      <c r="AU981">
        <v>0</v>
      </c>
      <c r="AV981">
        <v>0</v>
      </c>
      <c r="AW981">
        <v>0</v>
      </c>
      <c r="AX981" s="141">
        <f t="shared" si="1250"/>
        <v>2</v>
      </c>
      <c r="AY981" s="141">
        <f t="shared" si="1251"/>
        <v>1</v>
      </c>
      <c r="AZ981">
        <f t="shared" si="1252"/>
        <v>1</v>
      </c>
      <c r="BA981">
        <f t="shared" si="1253"/>
        <v>0</v>
      </c>
      <c r="BB981">
        <f t="shared" si="1254"/>
        <v>0</v>
      </c>
      <c r="BC981">
        <f t="shared" si="1255"/>
        <v>0</v>
      </c>
      <c r="BD981">
        <f t="shared" si="1256"/>
        <v>1</v>
      </c>
      <c r="BE981" t="str">
        <f t="array" ref="BE981">IF(AY981=1,INDEX($V$7:$AL$7,MATCH(TRUE,INDEX($V981:$AW981&lt;&gt;0,),0)),IF(AY981=0,INDEX($AM$7:$AW$7,MATCH(1,$AM981:$AW981,0)),IF(BF981="Multiple strategies","mixed drivers",IF(BF981="Supply chain","multiple supply","multiple silviculture"))))</f>
        <v>site fertility</v>
      </c>
      <c r="BF981" s="2" t="str" cm="1">
        <f t="array" ref="BF981">IF(COUNTIF(AZ981:BB981,"&lt;&gt;0")=1,INDEX($V$4:$AW$4,MATCH(TRUE,INDEX($V981:$AW981&lt;&gt;0,),0)),IF(COUNTIF(AZ981:BB981,"&lt;&gt;0")=0,INDEX($AM$4:$AW$4,MATCH(1,$AM981:$AW981,0)),"Multiple strategies"))</f>
        <v>Silviculture for productivity</v>
      </c>
      <c r="BG981" s="142" t="s">
        <v>321</v>
      </c>
      <c r="BH981" s="265" t="s">
        <v>3162</v>
      </c>
      <c r="BI981" s="264" t="s">
        <v>3163</v>
      </c>
      <c r="BJ981" s="143" t="s">
        <v>3164</v>
      </c>
      <c r="BK981">
        <f>53.247*(1-0.23/100)</f>
        <v>53.124531900000001</v>
      </c>
      <c r="BL981">
        <f>53.247</f>
        <v>53.247</v>
      </c>
      <c r="BN981">
        <f t="shared" si="1257"/>
        <v>0.12246809999999897</v>
      </c>
      <c r="BO981" s="143">
        <f t="shared" si="1278"/>
        <v>122468.09999999897</v>
      </c>
      <c r="BP981" t="s">
        <v>232</v>
      </c>
      <c r="BQ981" s="264" t="s">
        <v>3165</v>
      </c>
      <c r="BR981" s="143" t="s">
        <v>1928</v>
      </c>
      <c r="BS981">
        <v>88.869557699999987</v>
      </c>
      <c r="BT981">
        <v>89.468999999999994</v>
      </c>
      <c r="BU981" s="144">
        <f>IFERROR(BT981/BS981,"")</f>
        <v>1.0067451927917046</v>
      </c>
      <c r="BV981">
        <f t="shared" si="1258"/>
        <v>0.59944230000000687</v>
      </c>
      <c r="BX981">
        <f t="shared" si="1279"/>
        <v>599442.30000000692</v>
      </c>
      <c r="BY981">
        <f t="shared" si="1195"/>
        <v>4.8946811455392218</v>
      </c>
      <c r="BZ981">
        <v>0</v>
      </c>
      <c r="CA981">
        <v>0</v>
      </c>
      <c r="CB981">
        <v>0</v>
      </c>
      <c r="CC981">
        <v>0</v>
      </c>
      <c r="CD981">
        <v>0</v>
      </c>
      <c r="CE981">
        <v>0</v>
      </c>
      <c r="CF981">
        <v>0</v>
      </c>
      <c r="CG981">
        <v>0</v>
      </c>
      <c r="CH981">
        <v>0</v>
      </c>
      <c r="CI981">
        <v>0</v>
      </c>
      <c r="CJ981">
        <v>0</v>
      </c>
      <c r="CK981">
        <v>0</v>
      </c>
      <c r="CL981">
        <v>0</v>
      </c>
      <c r="CM981">
        <v>0</v>
      </c>
      <c r="CN981" t="str">
        <f t="shared" si="1259"/>
        <v>refOK</v>
      </c>
      <c r="CO981">
        <f t="shared" si="1280"/>
        <v>53.124531900000001</v>
      </c>
      <c r="CP981">
        <f t="shared" si="1282"/>
        <v>53.247</v>
      </c>
      <c r="CQ981">
        <f t="shared" si="1260"/>
        <v>122468.09999999897</v>
      </c>
      <c r="CR981">
        <f t="shared" si="1261"/>
        <v>88.869557699999987</v>
      </c>
      <c r="CS981">
        <f>IF($CN981="refOK",$BT981,$BS981)*IF($BP981="Emissions positive",-1,1)</f>
        <v>89.468999999999994</v>
      </c>
      <c r="CT981">
        <f t="shared" si="1263"/>
        <v>599442.30000000692</v>
      </c>
      <c r="CU981">
        <f t="shared" si="1264"/>
        <v>4.8946811455392218</v>
      </c>
      <c r="CV981" s="2">
        <f t="shared" si="1265"/>
        <v>6.7451927917044976E-3</v>
      </c>
      <c r="CW981" s="1" t="s">
        <v>1198</v>
      </c>
      <c r="CX981" t="str">
        <f t="shared" si="1266"/>
        <v>reg</v>
      </c>
      <c r="CY981" t="s">
        <v>729</v>
      </c>
      <c r="CZ981">
        <v>2007</v>
      </c>
      <c r="DA981" s="143">
        <v>2100</v>
      </c>
      <c r="DB981" s="143">
        <f t="shared" si="1281"/>
        <v>93</v>
      </c>
      <c r="DC981" t="str">
        <f t="shared" si="1267"/>
        <v>71-100</v>
      </c>
      <c r="DD981">
        <v>0</v>
      </c>
      <c r="DE981">
        <v>1</v>
      </c>
      <c r="DF981">
        <v>0</v>
      </c>
      <c r="DG981">
        <v>1</v>
      </c>
      <c r="DH981">
        <v>1</v>
      </c>
      <c r="DI981">
        <f t="shared" si="1268"/>
        <v>2</v>
      </c>
      <c r="DJ981" t="str">
        <f t="shared" si="1269"/>
        <v>mixedProduct</v>
      </c>
      <c r="DK981">
        <f t="shared" si="1270"/>
        <v>0</v>
      </c>
      <c r="DL981" t="str">
        <f t="shared" si="1271"/>
        <v>Energy</v>
      </c>
      <c r="DM981">
        <f t="shared" si="1272"/>
        <v>0</v>
      </c>
      <c r="DN981" t="str">
        <f t="shared" si="1273"/>
        <v>Timber</v>
      </c>
      <c r="DO981">
        <v>0</v>
      </c>
      <c r="DP981" s="143">
        <v>0</v>
      </c>
      <c r="DQ981" s="143">
        <v>0</v>
      </c>
      <c r="DR981">
        <v>0</v>
      </c>
      <c r="DS981" s="143">
        <v>0</v>
      </c>
      <c r="DT981">
        <f t="shared" si="1274"/>
        <v>0</v>
      </c>
      <c r="DU981" s="143" t="str">
        <f t="shared" si="1275"/>
        <v>explicit C balance</v>
      </c>
      <c r="DV981" s="143">
        <v>0</v>
      </c>
      <c r="DW981" s="143">
        <v>0</v>
      </c>
      <c r="DX981" s="143">
        <v>1</v>
      </c>
      <c r="DY981" s="143">
        <v>1</v>
      </c>
      <c r="DZ981">
        <v>0</v>
      </c>
      <c r="EA981" s="143">
        <v>0</v>
      </c>
      <c r="EB981" s="143">
        <v>0</v>
      </c>
      <c r="EC981" s="143">
        <v>0</v>
      </c>
      <c r="ED981" s="143">
        <v>0</v>
      </c>
      <c r="EE981">
        <v>0</v>
      </c>
      <c r="EF981">
        <v>1</v>
      </c>
      <c r="EG981" s="143">
        <v>0</v>
      </c>
      <c r="EH981">
        <v>0</v>
      </c>
      <c r="EI981" s="2">
        <v>1</v>
      </c>
      <c r="EK981" t="str">
        <f t="shared" si="1276"/>
        <v/>
      </c>
      <c r="EL981" t="str">
        <f t="shared" si="1277"/>
        <v/>
      </c>
      <c r="EM981" s="2" t="str">
        <f t="shared" si="1223"/>
        <v/>
      </c>
      <c r="EP981" t="str">
        <f>IF(ISNUMBER(BU981),IF(ABS(BU981-[3]QC_indicators!$B$2)&gt;3*[3]QC_indicators!$C$2,"C ratio",IF(ISNUMBER(BY981),IF(ABS(BY981-[3]QC_indicators!$B$1)&gt;3*[3]QC_indicators!$C$1,"DF","no"))),IF(ISNUMBER(BY981),IF(ABS(BY981-[3]QC_indicators!$B$1)&gt;3*[3]QC_indicators!$C$1,"DF","no")))</f>
        <v>no</v>
      </c>
      <c r="ET981" s="264" t="s">
        <v>3166</v>
      </c>
    </row>
    <row r="982" spans="1:150" ht="15" hidden="1" customHeight="1">
      <c r="A982" s="1" t="s">
        <v>1377</v>
      </c>
      <c r="B982" t="s">
        <v>1921</v>
      </c>
      <c r="C982" t="s">
        <v>1922</v>
      </c>
      <c r="D982" t="s">
        <v>1923</v>
      </c>
      <c r="E982" t="s">
        <v>1924</v>
      </c>
      <c r="F982" t="s">
        <v>1925</v>
      </c>
      <c r="G982" t="s">
        <v>1383</v>
      </c>
      <c r="H982" t="s">
        <v>254</v>
      </c>
      <c r="I982">
        <v>2016</v>
      </c>
      <c r="J982">
        <v>12</v>
      </c>
      <c r="K982" t="s">
        <v>1926</v>
      </c>
      <c r="M982" t="str">
        <f t="shared" si="1249"/>
        <v>Lobianco_2016</v>
      </c>
      <c r="N982" t="s">
        <v>222</v>
      </c>
      <c r="O982" s="145" t="s">
        <v>225</v>
      </c>
      <c r="P982" t="s">
        <v>513</v>
      </c>
      <c r="Q982" t="s">
        <v>256</v>
      </c>
      <c r="R982" s="262" t="s">
        <v>223</v>
      </c>
      <c r="S982" s="1" t="s">
        <v>1934</v>
      </c>
      <c r="T982" s="143" t="s">
        <v>3173</v>
      </c>
      <c r="U982" s="143" t="s">
        <v>1154</v>
      </c>
      <c r="V982">
        <v>0</v>
      </c>
      <c r="W982">
        <v>0</v>
      </c>
      <c r="X982">
        <v>0</v>
      </c>
      <c r="Y982">
        <v>0</v>
      </c>
      <c r="Z982">
        <v>0</v>
      </c>
      <c r="AA982">
        <v>0</v>
      </c>
      <c r="AB982">
        <v>0</v>
      </c>
      <c r="AC982">
        <v>1</v>
      </c>
      <c r="AD982">
        <v>0</v>
      </c>
      <c r="AE982">
        <v>0</v>
      </c>
      <c r="AF982">
        <v>0</v>
      </c>
      <c r="AG982">
        <v>0</v>
      </c>
      <c r="AH982">
        <v>0</v>
      </c>
      <c r="AI982">
        <v>0</v>
      </c>
      <c r="AJ982">
        <v>0</v>
      </c>
      <c r="AK982">
        <v>0</v>
      </c>
      <c r="AL982">
        <v>0</v>
      </c>
      <c r="AM982">
        <v>0</v>
      </c>
      <c r="AN982">
        <v>1</v>
      </c>
      <c r="AO982">
        <v>0</v>
      </c>
      <c r="AP982">
        <v>0</v>
      </c>
      <c r="AQ982">
        <v>0</v>
      </c>
      <c r="AR982">
        <v>0</v>
      </c>
      <c r="AS982">
        <v>0</v>
      </c>
      <c r="AT982">
        <v>0</v>
      </c>
      <c r="AU982">
        <v>0</v>
      </c>
      <c r="AV982">
        <v>0</v>
      </c>
      <c r="AW982">
        <v>0</v>
      </c>
      <c r="AX982" s="141">
        <f t="shared" si="1250"/>
        <v>2</v>
      </c>
      <c r="AY982" s="141">
        <f t="shared" si="1251"/>
        <v>1</v>
      </c>
      <c r="AZ982">
        <f t="shared" si="1252"/>
        <v>1</v>
      </c>
      <c r="BA982">
        <f t="shared" si="1253"/>
        <v>0</v>
      </c>
      <c r="BB982">
        <f t="shared" si="1254"/>
        <v>0</v>
      </c>
      <c r="BC982">
        <f t="shared" si="1255"/>
        <v>0</v>
      </c>
      <c r="BD982">
        <f t="shared" si="1256"/>
        <v>1</v>
      </c>
      <c r="BE982" t="str">
        <f t="array" ref="BE982">IF(AY982=1,INDEX($V$7:$AL$7,MATCH(TRUE,INDEX($V982:$AW982&lt;&gt;0,),0)),IF(AY982=0,INDEX($AM$7:$AW$7,MATCH(1,$AM982:$AW982,0)),IF(BF982="Multiple strategies","mixed drivers",IF(BF982="Supply chain","multiple supply","multiple silviculture"))))</f>
        <v>site fertility</v>
      </c>
      <c r="BF982" s="2" t="str" cm="1">
        <f t="array" ref="BF982">IF(COUNTIF(AZ982:BB982,"&lt;&gt;0")=1,INDEX($V$4:$AW$4,MATCH(TRUE,INDEX($V982:$AW982&lt;&gt;0,),0)),IF(COUNTIF(AZ982:BB982,"&lt;&gt;0")=0,INDEX($AM$4:$AW$4,MATCH(1,$AM982:$AW982,0)),"Multiple strategies"))</f>
        <v>Silviculture for productivity</v>
      </c>
      <c r="BG982" s="142" t="s">
        <v>321</v>
      </c>
      <c r="BH982" s="265" t="s">
        <v>3162</v>
      </c>
      <c r="BI982" s="264" t="s">
        <v>3163</v>
      </c>
      <c r="BJ982" s="143" t="s">
        <v>3164</v>
      </c>
      <c r="BK982">
        <f>53.247*(1-0.23/100)</f>
        <v>53.124531900000001</v>
      </c>
      <c r="BL982">
        <f>53.247</f>
        <v>53.247</v>
      </c>
      <c r="BN982">
        <f t="shared" si="1257"/>
        <v>0.12246809999999897</v>
      </c>
      <c r="BO982" s="143">
        <f t="shared" si="1278"/>
        <v>122468.09999999897</v>
      </c>
      <c r="BP982" t="s">
        <v>232</v>
      </c>
      <c r="BQ982" s="264" t="s">
        <v>3165</v>
      </c>
      <c r="BR982" s="143" t="s">
        <v>1928</v>
      </c>
      <c r="BS982">
        <f>117.96*(1-0.57/100)</f>
        <v>117.28762799999998</v>
      </c>
      <c r="BT982" s="144">
        <v>117.962</v>
      </c>
      <c r="BV982">
        <f t="shared" si="1258"/>
        <v>0.67437200000001951</v>
      </c>
      <c r="BX982">
        <f t="shared" si="1279"/>
        <v>674372.00000001956</v>
      </c>
      <c r="BY982">
        <f t="shared" si="1195"/>
        <v>5.5065114915641313</v>
      </c>
      <c r="BZ982">
        <v>0</v>
      </c>
      <c r="CA982">
        <v>0</v>
      </c>
      <c r="CB982">
        <v>0</v>
      </c>
      <c r="CC982">
        <v>0</v>
      </c>
      <c r="CD982">
        <v>0</v>
      </c>
      <c r="CE982">
        <v>0</v>
      </c>
      <c r="CF982">
        <v>0</v>
      </c>
      <c r="CG982">
        <v>0</v>
      </c>
      <c r="CH982">
        <v>0</v>
      </c>
      <c r="CI982">
        <v>0</v>
      </c>
      <c r="CJ982">
        <v>0</v>
      </c>
      <c r="CK982">
        <v>0</v>
      </c>
      <c r="CL982">
        <v>0</v>
      </c>
      <c r="CM982">
        <v>0</v>
      </c>
      <c r="CN982" t="str">
        <f t="shared" si="1259"/>
        <v>refOK</v>
      </c>
      <c r="CO982">
        <f t="shared" si="1280"/>
        <v>53.124531900000001</v>
      </c>
      <c r="CP982">
        <f t="shared" si="1282"/>
        <v>53.247</v>
      </c>
      <c r="CQ982">
        <f t="shared" si="1260"/>
        <v>122468.09999999897</v>
      </c>
      <c r="CR982">
        <f t="shared" si="1261"/>
        <v>117.28762799999998</v>
      </c>
      <c r="CS982">
        <f>IF($CN982="refOK",$BS982,#REF!)*IF($BP982="Emissions positive",-1,1)</f>
        <v>117.28762799999998</v>
      </c>
      <c r="CT982">
        <f t="shared" si="1263"/>
        <v>674372.00000001956</v>
      </c>
      <c r="CU982">
        <f t="shared" si="1264"/>
        <v>5.5065114915641313</v>
      </c>
      <c r="CV982" s="2">
        <f t="shared" si="1265"/>
        <v>0</v>
      </c>
      <c r="CW982" s="1" t="s">
        <v>1198</v>
      </c>
      <c r="CX982" t="str">
        <f t="shared" si="1266"/>
        <v>reg</v>
      </c>
      <c r="CY982" t="s">
        <v>729</v>
      </c>
      <c r="CZ982">
        <v>2007</v>
      </c>
      <c r="DA982" s="143">
        <v>2100</v>
      </c>
      <c r="DB982" s="143">
        <f t="shared" si="1281"/>
        <v>93</v>
      </c>
      <c r="DC982" t="str">
        <f t="shared" si="1267"/>
        <v>71-100</v>
      </c>
      <c r="DD982">
        <v>0</v>
      </c>
      <c r="DE982">
        <v>1</v>
      </c>
      <c r="DF982">
        <v>0</v>
      </c>
      <c r="DG982">
        <v>1</v>
      </c>
      <c r="DH982">
        <v>1</v>
      </c>
      <c r="DI982">
        <f t="shared" si="1268"/>
        <v>2</v>
      </c>
      <c r="DJ982" t="str">
        <f t="shared" si="1269"/>
        <v>mixedProduct</v>
      </c>
      <c r="DK982">
        <f t="shared" si="1270"/>
        <v>0</v>
      </c>
      <c r="DL982" t="str">
        <f t="shared" si="1271"/>
        <v>Energy</v>
      </c>
      <c r="DM982">
        <f t="shared" si="1272"/>
        <v>0</v>
      </c>
      <c r="DN982" t="str">
        <f t="shared" si="1273"/>
        <v>Timber</v>
      </c>
      <c r="DO982">
        <v>0</v>
      </c>
      <c r="DP982" s="143">
        <v>0</v>
      </c>
      <c r="DQ982" s="143">
        <v>0</v>
      </c>
      <c r="DR982">
        <v>0</v>
      </c>
      <c r="DS982" s="143">
        <v>0</v>
      </c>
      <c r="DT982">
        <f t="shared" si="1274"/>
        <v>0</v>
      </c>
      <c r="DU982" s="143" t="str">
        <f t="shared" si="1275"/>
        <v>explicit C balance</v>
      </c>
      <c r="DV982" s="143">
        <v>0</v>
      </c>
      <c r="DW982" s="143">
        <v>0</v>
      </c>
      <c r="DX982" s="143">
        <v>1</v>
      </c>
      <c r="DY982" s="143">
        <v>1</v>
      </c>
      <c r="DZ982">
        <v>0</v>
      </c>
      <c r="EA982" s="143">
        <v>1</v>
      </c>
      <c r="EB982" s="143">
        <v>1</v>
      </c>
      <c r="EC982" s="143">
        <v>0</v>
      </c>
      <c r="ED982" s="143">
        <v>0</v>
      </c>
      <c r="EE982">
        <v>0</v>
      </c>
      <c r="EF982">
        <v>1</v>
      </c>
      <c r="EG982" s="143">
        <v>0</v>
      </c>
      <c r="EH982">
        <v>0</v>
      </c>
      <c r="EI982" s="2">
        <v>1</v>
      </c>
      <c r="EK982" t="str">
        <f t="shared" si="1276"/>
        <v/>
      </c>
      <c r="EL982" t="str">
        <f t="shared" si="1277"/>
        <v/>
      </c>
      <c r="EM982" s="2" t="str">
        <f t="shared" si="1223"/>
        <v/>
      </c>
      <c r="EP982" t="str">
        <f>IF(ISNUMBER(BT982),IF(ABS(BT982-[3]QC_indicators!$B$2)&gt;3*[3]QC_indicators!$C$2,"C ratio",IF(ISNUMBER(BY982),IF(ABS(BY982-[3]QC_indicators!$B$1)&gt;3*[3]QC_indicators!$C$1,"DF","no"))),IF(ISNUMBER(BY982),IF(ABS(BY982-[3]QC_indicators!$B$1)&gt;3*[3]QC_indicators!$C$1,"DF","no")))</f>
        <v>C ratio</v>
      </c>
      <c r="ET982" s="264" t="s">
        <v>3166</v>
      </c>
    </row>
    <row r="983" spans="1:150" ht="15" hidden="1" customHeight="1">
      <c r="A983" s="1" t="s">
        <v>1377</v>
      </c>
      <c r="B983" t="s">
        <v>1921</v>
      </c>
      <c r="C983" t="s">
        <v>1922</v>
      </c>
      <c r="D983" t="s">
        <v>1923</v>
      </c>
      <c r="E983" t="s">
        <v>1924</v>
      </c>
      <c r="F983" t="s">
        <v>1925</v>
      </c>
      <c r="G983" t="s">
        <v>1383</v>
      </c>
      <c r="H983" t="s">
        <v>254</v>
      </c>
      <c r="I983">
        <v>2016</v>
      </c>
      <c r="J983">
        <v>12</v>
      </c>
      <c r="K983" t="s">
        <v>1926</v>
      </c>
      <c r="M983" t="str">
        <f t="shared" si="1249"/>
        <v>Lobianco_2016</v>
      </c>
      <c r="N983" t="s">
        <v>222</v>
      </c>
      <c r="O983" s="145" t="s">
        <v>225</v>
      </c>
      <c r="P983" t="s">
        <v>513</v>
      </c>
      <c r="Q983" t="s">
        <v>256</v>
      </c>
      <c r="R983" s="262" t="s">
        <v>223</v>
      </c>
      <c r="S983" s="1" t="s">
        <v>1931</v>
      </c>
      <c r="T983" s="143" t="s">
        <v>3169</v>
      </c>
      <c r="U983" s="143" t="s">
        <v>1154</v>
      </c>
      <c r="V983">
        <v>0</v>
      </c>
      <c r="W983">
        <v>0</v>
      </c>
      <c r="X983">
        <v>1</v>
      </c>
      <c r="Y983">
        <v>0</v>
      </c>
      <c r="Z983">
        <v>0</v>
      </c>
      <c r="AA983">
        <v>0</v>
      </c>
      <c r="AB983">
        <v>0</v>
      </c>
      <c r="AC983">
        <v>0</v>
      </c>
      <c r="AD983">
        <v>0</v>
      </c>
      <c r="AE983">
        <v>0</v>
      </c>
      <c r="AF983">
        <v>0</v>
      </c>
      <c r="AG983">
        <v>0</v>
      </c>
      <c r="AH983">
        <v>0</v>
      </c>
      <c r="AI983">
        <v>0</v>
      </c>
      <c r="AJ983">
        <v>0</v>
      </c>
      <c r="AK983">
        <v>0</v>
      </c>
      <c r="AL983">
        <v>0</v>
      </c>
      <c r="AM983">
        <v>0</v>
      </c>
      <c r="AN983">
        <v>0</v>
      </c>
      <c r="AO983">
        <v>0</v>
      </c>
      <c r="AP983">
        <v>0</v>
      </c>
      <c r="AQ983">
        <v>0</v>
      </c>
      <c r="AR983">
        <v>0</v>
      </c>
      <c r="AS983">
        <v>0</v>
      </c>
      <c r="AT983">
        <v>0</v>
      </c>
      <c r="AU983">
        <v>1</v>
      </c>
      <c r="AV983">
        <v>0</v>
      </c>
      <c r="AW983">
        <v>0</v>
      </c>
      <c r="AX983" s="141">
        <f t="shared" si="1250"/>
        <v>2</v>
      </c>
      <c r="AY983" s="141">
        <f t="shared" si="1251"/>
        <v>1</v>
      </c>
      <c r="AZ983">
        <f t="shared" si="1252"/>
        <v>1</v>
      </c>
      <c r="BA983">
        <f t="shared" si="1253"/>
        <v>0</v>
      </c>
      <c r="BB983">
        <f t="shared" si="1254"/>
        <v>0</v>
      </c>
      <c r="BC983">
        <f t="shared" si="1255"/>
        <v>1</v>
      </c>
      <c r="BD983">
        <f t="shared" si="1256"/>
        <v>0</v>
      </c>
      <c r="BE983" t="str">
        <f t="array" ref="BE983">IF(AY983=1,INDEX($V$7:$AL$7,MATCH(TRUE,INDEX($V983:$AW983&lt;&gt;0,),0)),IF(AY983=0,INDEX($AM$7:$AW$7,MATCH(1,$AM983:$AW983,0)),IF(BF983="Multiple strategies","mixed drivers",IF(BF983="Supply chain","multiple supply","multiple silviculture"))))</f>
        <v>rotation length</v>
      </c>
      <c r="BF983" s="2" t="str" cm="1">
        <f t="array" ref="BF983">IF(COUNTIF(AZ983:BB983,"&lt;&gt;0")=1,INDEX($V$4:$AW$4,MATCH(TRUE,INDEX($V983:$AW983&lt;&gt;0,),0)),IF(COUNTIF(AZ983:BB983,"&lt;&gt;0")=0,INDEX($AM$4:$AW$4,MATCH(1,$AM983:$AW983,0)),"Multiple strategies"))</f>
        <v>Silviculture for removals</v>
      </c>
      <c r="BG983" s="142" t="s">
        <v>321</v>
      </c>
      <c r="BH983" s="265" t="s">
        <v>3162</v>
      </c>
      <c r="BI983" s="264" t="s">
        <v>3163</v>
      </c>
      <c r="BJ983" s="143" t="s">
        <v>3164</v>
      </c>
      <c r="BK983">
        <f>53.247*(1-0.06/100)</f>
        <v>53.215051799999998</v>
      </c>
      <c r="BL983">
        <f>53.247</f>
        <v>53.247</v>
      </c>
      <c r="BN983">
        <f t="shared" si="1257"/>
        <v>3.1948200000002203E-2</v>
      </c>
      <c r="BO983" s="143">
        <f t="shared" si="1278"/>
        <v>31948.200000002202</v>
      </c>
      <c r="BP983" t="s">
        <v>232</v>
      </c>
      <c r="BQ983" s="264" t="s">
        <v>3165</v>
      </c>
      <c r="BR983" s="143" t="s">
        <v>1928</v>
      </c>
      <c r="BS983">
        <v>89.281115099999994</v>
      </c>
      <c r="BT983">
        <v>89.468999999999994</v>
      </c>
      <c r="BU983" s="144">
        <f>IFERROR(BT983/BS983,"")</f>
        <v>1.0021044192804891</v>
      </c>
      <c r="BV983">
        <f t="shared" si="1258"/>
        <v>0.18788490000000024</v>
      </c>
      <c r="BX983">
        <f t="shared" si="1279"/>
        <v>187884.90000000026</v>
      </c>
      <c r="BY983">
        <f t="shared" si="1195"/>
        <v>5.8809228688936246</v>
      </c>
      <c r="BZ983">
        <v>0</v>
      </c>
      <c r="CA983">
        <v>0</v>
      </c>
      <c r="CB983">
        <v>0</v>
      </c>
      <c r="CC983">
        <v>0</v>
      </c>
      <c r="CD983">
        <v>0</v>
      </c>
      <c r="CE983">
        <v>0</v>
      </c>
      <c r="CF983">
        <v>0</v>
      </c>
      <c r="CG983">
        <v>0</v>
      </c>
      <c r="CH983">
        <v>0</v>
      </c>
      <c r="CI983">
        <v>0</v>
      </c>
      <c r="CJ983">
        <v>0</v>
      </c>
      <c r="CK983">
        <v>0</v>
      </c>
      <c r="CL983">
        <v>0</v>
      </c>
      <c r="CM983">
        <v>0</v>
      </c>
      <c r="CN983" t="str">
        <f t="shared" si="1259"/>
        <v>refOK</v>
      </c>
      <c r="CO983">
        <f t="shared" si="1280"/>
        <v>53.215051799999998</v>
      </c>
      <c r="CP983">
        <f t="shared" si="1282"/>
        <v>53.247</v>
      </c>
      <c r="CQ983">
        <f t="shared" si="1260"/>
        <v>31948.200000002202</v>
      </c>
      <c r="CR983">
        <f t="shared" si="1261"/>
        <v>89.281115099999994</v>
      </c>
      <c r="CS983">
        <f>IF($CN983="refOK",$BT983,$BS983)*IF($BP983="Emissions positive",-1,1)</f>
        <v>89.468999999999994</v>
      </c>
      <c r="CT983">
        <f t="shared" si="1263"/>
        <v>187884.90000000026</v>
      </c>
      <c r="CU983">
        <f t="shared" si="1264"/>
        <v>5.8809228688936246</v>
      </c>
      <c r="CV983" s="2">
        <f t="shared" si="1265"/>
        <v>2.1044192804890297E-3</v>
      </c>
      <c r="CW983" s="1" t="s">
        <v>1198</v>
      </c>
      <c r="CX983" t="str">
        <f t="shared" si="1266"/>
        <v>reg</v>
      </c>
      <c r="CY983" t="s">
        <v>729</v>
      </c>
      <c r="CZ983">
        <v>2007</v>
      </c>
      <c r="DA983" s="143">
        <v>2100</v>
      </c>
      <c r="DB983" s="143">
        <f t="shared" si="1281"/>
        <v>93</v>
      </c>
      <c r="DC983" t="str">
        <f t="shared" si="1267"/>
        <v>71-100</v>
      </c>
      <c r="DD983">
        <v>0</v>
      </c>
      <c r="DE983">
        <v>1</v>
      </c>
      <c r="DF983">
        <v>0</v>
      </c>
      <c r="DG983">
        <v>1</v>
      </c>
      <c r="DH983">
        <v>1</v>
      </c>
      <c r="DI983">
        <f t="shared" si="1268"/>
        <v>2</v>
      </c>
      <c r="DJ983" t="str">
        <f t="shared" si="1269"/>
        <v>mixedProduct</v>
      </c>
      <c r="DK983">
        <f t="shared" si="1270"/>
        <v>0</v>
      </c>
      <c r="DL983" t="str">
        <f t="shared" si="1271"/>
        <v>Energy</v>
      </c>
      <c r="DM983">
        <f t="shared" si="1272"/>
        <v>0</v>
      </c>
      <c r="DN983" t="str">
        <f t="shared" si="1273"/>
        <v>Timber</v>
      </c>
      <c r="DO983">
        <v>0</v>
      </c>
      <c r="DP983" s="143">
        <v>0</v>
      </c>
      <c r="DQ983" s="143">
        <v>0</v>
      </c>
      <c r="DR983">
        <v>0</v>
      </c>
      <c r="DS983" s="143">
        <v>0</v>
      </c>
      <c r="DT983">
        <f t="shared" si="1274"/>
        <v>0</v>
      </c>
      <c r="DU983" s="143" t="str">
        <f t="shared" si="1275"/>
        <v>explicit C balance</v>
      </c>
      <c r="DV983" s="143">
        <v>0</v>
      </c>
      <c r="DW983" s="143">
        <v>0</v>
      </c>
      <c r="DX983" s="143">
        <v>1</v>
      </c>
      <c r="DY983" s="143">
        <v>1</v>
      </c>
      <c r="DZ983">
        <v>0</v>
      </c>
      <c r="EA983" s="143">
        <v>0</v>
      </c>
      <c r="EB983" s="143">
        <v>0</v>
      </c>
      <c r="EC983" s="143">
        <v>0</v>
      </c>
      <c r="ED983" s="143">
        <v>0</v>
      </c>
      <c r="EE983">
        <v>0</v>
      </c>
      <c r="EF983">
        <v>1</v>
      </c>
      <c r="EG983" s="143">
        <v>0</v>
      </c>
      <c r="EH983">
        <v>0</v>
      </c>
      <c r="EI983" s="2">
        <v>1</v>
      </c>
      <c r="EK983" t="str">
        <f t="shared" si="1276"/>
        <v/>
      </c>
      <c r="EL983" t="str">
        <f t="shared" si="1277"/>
        <v/>
      </c>
      <c r="EM983" s="2" t="str">
        <f t="shared" si="1223"/>
        <v/>
      </c>
      <c r="EP983" t="str">
        <f>IF(ISNUMBER(BU983),IF(ABS(BU983-[3]QC_indicators!$B$2)&gt;3*[3]QC_indicators!$C$2,"C ratio",IF(ISNUMBER(BY983),IF(ABS(BY983-[3]QC_indicators!$B$1)&gt;3*[3]QC_indicators!$C$1,"DF","no"))),IF(ISNUMBER(BY983),IF(ABS(BY983-[3]QC_indicators!$B$1)&gt;3*[3]QC_indicators!$C$1,"DF","no")))</f>
        <v>no</v>
      </c>
      <c r="ET983" s="264" t="s">
        <v>3166</v>
      </c>
    </row>
    <row r="984" spans="1:150" ht="15" hidden="1" customHeight="1">
      <c r="A984" s="1" t="s">
        <v>1377</v>
      </c>
      <c r="B984" t="s">
        <v>1921</v>
      </c>
      <c r="C984" t="s">
        <v>1922</v>
      </c>
      <c r="D984" t="s">
        <v>1923</v>
      </c>
      <c r="E984" t="s">
        <v>1924</v>
      </c>
      <c r="F984" t="s">
        <v>1925</v>
      </c>
      <c r="G984" t="s">
        <v>1383</v>
      </c>
      <c r="H984" t="s">
        <v>254</v>
      </c>
      <c r="I984">
        <v>2016</v>
      </c>
      <c r="J984">
        <v>12</v>
      </c>
      <c r="K984" t="s">
        <v>1926</v>
      </c>
      <c r="M984" t="str">
        <f t="shared" si="1249"/>
        <v>Lobianco_2016</v>
      </c>
      <c r="N984" t="s">
        <v>222</v>
      </c>
      <c r="O984" s="145" t="s">
        <v>225</v>
      </c>
      <c r="P984" t="s">
        <v>513</v>
      </c>
      <c r="Q984" t="s">
        <v>256</v>
      </c>
      <c r="R984" s="262" t="s">
        <v>223</v>
      </c>
      <c r="S984" s="1" t="s">
        <v>1935</v>
      </c>
      <c r="T984" s="143" t="s">
        <v>1154</v>
      </c>
      <c r="U984" s="143" t="s">
        <v>3174</v>
      </c>
      <c r="V984">
        <v>0</v>
      </c>
      <c r="W984">
        <v>0</v>
      </c>
      <c r="X984">
        <v>0</v>
      </c>
      <c r="Y984">
        <v>0</v>
      </c>
      <c r="Z984">
        <v>0</v>
      </c>
      <c r="AA984">
        <v>0</v>
      </c>
      <c r="AB984">
        <v>0</v>
      </c>
      <c r="AC984">
        <v>0</v>
      </c>
      <c r="AD984">
        <v>0</v>
      </c>
      <c r="AE984">
        <v>0</v>
      </c>
      <c r="AF984">
        <v>0</v>
      </c>
      <c r="AG984">
        <v>0</v>
      </c>
      <c r="AH984">
        <v>0</v>
      </c>
      <c r="AI984">
        <v>0</v>
      </c>
      <c r="AJ984">
        <v>0</v>
      </c>
      <c r="AK984">
        <v>0</v>
      </c>
      <c r="AL984">
        <v>0</v>
      </c>
      <c r="AM984">
        <v>0</v>
      </c>
      <c r="AN984">
        <v>1</v>
      </c>
      <c r="AO984">
        <v>0</v>
      </c>
      <c r="AP984">
        <v>0</v>
      </c>
      <c r="AQ984">
        <v>0</v>
      </c>
      <c r="AR984">
        <v>0</v>
      </c>
      <c r="AS984">
        <v>0</v>
      </c>
      <c r="AT984">
        <v>0</v>
      </c>
      <c r="AU984">
        <v>0</v>
      </c>
      <c r="AV984">
        <v>0</v>
      </c>
      <c r="AW984">
        <v>0</v>
      </c>
      <c r="AX984" s="141">
        <f t="shared" si="1250"/>
        <v>1</v>
      </c>
      <c r="AY984" s="141">
        <f t="shared" si="1251"/>
        <v>0</v>
      </c>
      <c r="AZ984">
        <f t="shared" si="1252"/>
        <v>0</v>
      </c>
      <c r="BA984">
        <f t="shared" si="1253"/>
        <v>0</v>
      </c>
      <c r="BB984">
        <f t="shared" si="1254"/>
        <v>0</v>
      </c>
      <c r="BC984">
        <f t="shared" si="1255"/>
        <v>0</v>
      </c>
      <c r="BD984">
        <f t="shared" si="1256"/>
        <v>1</v>
      </c>
      <c r="BE984" t="str">
        <f t="array" ref="BE984">IF(AY984=1,INDEX($V$7:$AL$7,MATCH(TRUE,INDEX($V984:$AW984&lt;&gt;0,),0)),IF(AY984=0,INDEX($AM$7:$AW$7,MATCH(1,$AM984:$AW984,0)),IF(BF984="Multiple strategies","mixed drivers",IF(BF984="Supply chain","multiple supply","multiple silviculture"))))</f>
        <v>Temperature</v>
      </c>
      <c r="BF984" s="2" t="str" cm="1">
        <f t="array" ref="BF984">IF(COUNTIF(AZ984:BB984,"&lt;&gt;0")=1,INDEX($V$4:$AW$4,MATCH(TRUE,INDEX($V984:$AW984&lt;&gt;0,),0)),IF(COUNTIF(AZ984:BB984,"&lt;&gt;0")=0,INDEX($AM$4:$AW$4,MATCH(1,$AM984:$AW984,0)),"Multiple strategies"))</f>
        <v>Environmental change</v>
      </c>
      <c r="BG984" s="142" t="s">
        <v>321</v>
      </c>
      <c r="BH984" s="265" t="s">
        <v>3162</v>
      </c>
      <c r="BI984" s="264" t="s">
        <v>3163</v>
      </c>
      <c r="BJ984" s="143" t="s">
        <v>3164</v>
      </c>
      <c r="BK984">
        <f>53.247</f>
        <v>53.247</v>
      </c>
      <c r="BL984">
        <f>53.247*(1+0.29/100)</f>
        <v>53.401416299999994</v>
      </c>
      <c r="BM984" s="163"/>
      <c r="BN984">
        <f t="shared" si="1257"/>
        <v>0.15441629999999407</v>
      </c>
      <c r="BO984" s="143">
        <f t="shared" si="1278"/>
        <v>154416.29999999408</v>
      </c>
      <c r="BP984" t="s">
        <v>232</v>
      </c>
      <c r="BQ984" s="264" t="s">
        <v>3165</v>
      </c>
      <c r="BR984" s="143" t="s">
        <v>1928</v>
      </c>
      <c r="BS984">
        <v>89.468999999999994</v>
      </c>
      <c r="BT984">
        <v>90.909450899999996</v>
      </c>
      <c r="BU984" s="144">
        <f>IFERROR(BT984/BS984,"")</f>
        <v>1.0161</v>
      </c>
      <c r="BV984">
        <f t="shared" si="1258"/>
        <v>1.4404509000000019</v>
      </c>
      <c r="BX984">
        <f t="shared" si="1279"/>
        <v>1440450.9000000018</v>
      </c>
      <c r="BY984">
        <f t="shared" si="1195"/>
        <v>9.3283604127288182</v>
      </c>
      <c r="BZ984">
        <v>0</v>
      </c>
      <c r="CA984">
        <v>0</v>
      </c>
      <c r="CB984">
        <v>0</v>
      </c>
      <c r="CC984">
        <v>0</v>
      </c>
      <c r="CD984">
        <v>0</v>
      </c>
      <c r="CE984">
        <v>0</v>
      </c>
      <c r="CF984">
        <v>0</v>
      </c>
      <c r="CG984">
        <v>0</v>
      </c>
      <c r="CH984">
        <v>0</v>
      </c>
      <c r="CI984">
        <v>0</v>
      </c>
      <c r="CJ984">
        <v>0</v>
      </c>
      <c r="CK984">
        <v>0</v>
      </c>
      <c r="CL984">
        <v>0</v>
      </c>
      <c r="CM984">
        <v>0</v>
      </c>
      <c r="CN984" t="str">
        <f t="shared" si="1259"/>
        <v>refOK</v>
      </c>
      <c r="CO984">
        <f t="shared" si="1280"/>
        <v>53.247</v>
      </c>
      <c r="CP984">
        <f t="shared" si="1282"/>
        <v>53.401416299999994</v>
      </c>
      <c r="CQ984">
        <f t="shared" si="1260"/>
        <v>154416.29999999408</v>
      </c>
      <c r="CR984">
        <f t="shared" si="1261"/>
        <v>89.468999999999994</v>
      </c>
      <c r="CS984">
        <f>IF($CN984="refOK",$BT984,$BS984)*IF($BP984="Emissions positive",-1,1)</f>
        <v>90.909450899999996</v>
      </c>
      <c r="CT984">
        <f t="shared" si="1263"/>
        <v>1440450.9000000018</v>
      </c>
      <c r="CU984">
        <f t="shared" si="1264"/>
        <v>9.3283604127288182</v>
      </c>
      <c r="CV984" s="2">
        <f t="shared" si="1265"/>
        <v>1.6100000000000021E-2</v>
      </c>
      <c r="CW984" s="1" t="s">
        <v>1198</v>
      </c>
      <c r="CX984" t="str">
        <f t="shared" si="1266"/>
        <v>reg</v>
      </c>
      <c r="CY984" t="s">
        <v>729</v>
      </c>
      <c r="CZ984">
        <v>2007</v>
      </c>
      <c r="DA984" s="143">
        <v>2100</v>
      </c>
      <c r="DB984" s="143">
        <f t="shared" si="1281"/>
        <v>93</v>
      </c>
      <c r="DC984" t="str">
        <f t="shared" si="1267"/>
        <v>71-100</v>
      </c>
      <c r="DD984">
        <v>0</v>
      </c>
      <c r="DE984">
        <v>1</v>
      </c>
      <c r="DF984">
        <v>0</v>
      </c>
      <c r="DG984">
        <v>1</v>
      </c>
      <c r="DH984">
        <v>1</v>
      </c>
      <c r="DI984">
        <f t="shared" si="1268"/>
        <v>2</v>
      </c>
      <c r="DJ984" t="str">
        <f t="shared" si="1269"/>
        <v>mixedProduct</v>
      </c>
      <c r="DK984">
        <f t="shared" si="1270"/>
        <v>0</v>
      </c>
      <c r="DL984" t="str">
        <f t="shared" si="1271"/>
        <v>Energy</v>
      </c>
      <c r="DM984">
        <f t="shared" si="1272"/>
        <v>0</v>
      </c>
      <c r="DN984" t="str">
        <f t="shared" si="1273"/>
        <v>Timber</v>
      </c>
      <c r="DO984">
        <v>0</v>
      </c>
      <c r="DP984" s="143">
        <v>0</v>
      </c>
      <c r="DQ984" s="143">
        <v>0</v>
      </c>
      <c r="DR984">
        <v>0</v>
      </c>
      <c r="DS984" s="143">
        <v>0</v>
      </c>
      <c r="DT984">
        <f t="shared" si="1274"/>
        <v>0</v>
      </c>
      <c r="DU984" s="143" t="str">
        <f t="shared" si="1275"/>
        <v>explicit C balance</v>
      </c>
      <c r="DV984" s="143">
        <v>0</v>
      </c>
      <c r="DW984" s="143">
        <v>0</v>
      </c>
      <c r="DX984" s="143">
        <v>1</v>
      </c>
      <c r="DY984" s="143">
        <v>1</v>
      </c>
      <c r="DZ984">
        <v>0</v>
      </c>
      <c r="EA984" s="143">
        <v>0</v>
      </c>
      <c r="EB984" s="143">
        <v>0</v>
      </c>
      <c r="EC984" s="143">
        <v>0</v>
      </c>
      <c r="ED984" s="143">
        <v>0</v>
      </c>
      <c r="EE984">
        <v>0</v>
      </c>
      <c r="EF984">
        <v>1</v>
      </c>
      <c r="EG984" s="143">
        <v>0</v>
      </c>
      <c r="EH984">
        <v>0</v>
      </c>
      <c r="EI984" s="2">
        <v>1</v>
      </c>
      <c r="EK984" t="str">
        <f t="shared" si="1276"/>
        <v/>
      </c>
      <c r="EL984" t="str">
        <f t="shared" si="1277"/>
        <v/>
      </c>
      <c r="EM984" s="2" t="str">
        <f t="shared" si="1223"/>
        <v/>
      </c>
      <c r="EP984" t="str">
        <f>IF(ISNUMBER(BU984),IF(ABS(BU984-[3]QC_indicators!$B$2)&gt;3*[3]QC_indicators!$C$2,"C ratio",IF(ISNUMBER(BY984),IF(ABS(BY984-[3]QC_indicators!$B$1)&gt;3*[3]QC_indicators!$C$1,"DF","no"))),IF(ISNUMBER(BY984),IF(ABS(BY984-[3]QC_indicators!$B$1)&gt;3*[3]QC_indicators!$C$1,"DF","no")))</f>
        <v>no</v>
      </c>
      <c r="ET984" s="264" t="s">
        <v>3166</v>
      </c>
    </row>
    <row r="985" spans="1:150" ht="15" hidden="1" customHeight="1">
      <c r="A985" s="1" t="s">
        <v>1377</v>
      </c>
      <c r="B985" t="s">
        <v>1921</v>
      </c>
      <c r="C985" t="s">
        <v>1922</v>
      </c>
      <c r="D985" t="s">
        <v>1923</v>
      </c>
      <c r="E985" t="s">
        <v>1924</v>
      </c>
      <c r="F985" t="s">
        <v>1925</v>
      </c>
      <c r="G985" t="s">
        <v>1383</v>
      </c>
      <c r="H985" t="s">
        <v>254</v>
      </c>
      <c r="I985">
        <v>2016</v>
      </c>
      <c r="J985">
        <v>12</v>
      </c>
      <c r="K985" t="s">
        <v>1926</v>
      </c>
      <c r="M985" t="str">
        <f t="shared" si="1249"/>
        <v>Lobianco_2016</v>
      </c>
      <c r="N985" t="s">
        <v>222</v>
      </c>
      <c r="O985" s="145" t="s">
        <v>225</v>
      </c>
      <c r="P985" t="s">
        <v>513</v>
      </c>
      <c r="Q985" t="s">
        <v>256</v>
      </c>
      <c r="R985" s="262" t="s">
        <v>223</v>
      </c>
      <c r="S985" s="1" t="s">
        <v>1935</v>
      </c>
      <c r="T985" s="143" t="s">
        <v>1154</v>
      </c>
      <c r="U985" s="143" t="s">
        <v>3174</v>
      </c>
      <c r="V985">
        <v>0</v>
      </c>
      <c r="W985">
        <v>0</v>
      </c>
      <c r="X985">
        <v>0</v>
      </c>
      <c r="Y985">
        <v>0</v>
      </c>
      <c r="Z985">
        <v>0</v>
      </c>
      <c r="AA985">
        <v>0</v>
      </c>
      <c r="AB985">
        <v>0</v>
      </c>
      <c r="AC985">
        <v>0</v>
      </c>
      <c r="AD985">
        <v>0</v>
      </c>
      <c r="AE985">
        <v>0</v>
      </c>
      <c r="AF985">
        <v>0</v>
      </c>
      <c r="AG985">
        <v>0</v>
      </c>
      <c r="AH985">
        <v>0</v>
      </c>
      <c r="AI985">
        <v>0</v>
      </c>
      <c r="AJ985">
        <v>0</v>
      </c>
      <c r="AK985">
        <v>0</v>
      </c>
      <c r="AL985">
        <v>0</v>
      </c>
      <c r="AM985">
        <v>0</v>
      </c>
      <c r="AN985">
        <v>1</v>
      </c>
      <c r="AO985">
        <v>0</v>
      </c>
      <c r="AP985">
        <v>0</v>
      </c>
      <c r="AQ985">
        <v>0</v>
      </c>
      <c r="AR985">
        <v>0</v>
      </c>
      <c r="AS985">
        <v>0</v>
      </c>
      <c r="AT985">
        <v>0</v>
      </c>
      <c r="AU985">
        <v>0</v>
      </c>
      <c r="AV985">
        <v>0</v>
      </c>
      <c r="AW985">
        <v>0</v>
      </c>
      <c r="AX985" s="141">
        <f t="shared" si="1250"/>
        <v>1</v>
      </c>
      <c r="AY985" s="141">
        <f t="shared" si="1251"/>
        <v>0</v>
      </c>
      <c r="AZ985">
        <f t="shared" si="1252"/>
        <v>0</v>
      </c>
      <c r="BA985">
        <f t="shared" si="1253"/>
        <v>0</v>
      </c>
      <c r="BB985">
        <f t="shared" si="1254"/>
        <v>0</v>
      </c>
      <c r="BC985">
        <f t="shared" si="1255"/>
        <v>0</v>
      </c>
      <c r="BD985">
        <f t="shared" si="1256"/>
        <v>1</v>
      </c>
      <c r="BE985" t="str">
        <f t="array" ref="BE985">IF(AY985=1,INDEX($V$7:$AL$7,MATCH(TRUE,INDEX($V985:$AW985&lt;&gt;0,),0)),IF(AY985=0,INDEX($AM$7:$AW$7,MATCH(1,$AM985:$AW985,0)),IF(BF985="Multiple strategies","mixed drivers",IF(BF985="Supply chain","multiple supply","multiple silviculture"))))</f>
        <v>Temperature</v>
      </c>
      <c r="BF985" s="2" t="str" cm="1">
        <f t="array" ref="BF985">IF(COUNTIF(AZ985:BB985,"&lt;&gt;0")=1,INDEX($V$4:$AW$4,MATCH(TRUE,INDEX($V985:$AW985&lt;&gt;0,),0)),IF(COUNTIF(AZ985:BB985,"&lt;&gt;0")=0,INDEX($AM$4:$AW$4,MATCH(1,$AM985:$AW985,0)),"Multiple strategies"))</f>
        <v>Environmental change</v>
      </c>
      <c r="BG985" s="142" t="s">
        <v>321</v>
      </c>
      <c r="BH985" s="265" t="s">
        <v>3162</v>
      </c>
      <c r="BI985" s="264" t="s">
        <v>3163</v>
      </c>
      <c r="BJ985" s="143" t="s">
        <v>3164</v>
      </c>
      <c r="BK985">
        <f>53.247</f>
        <v>53.247</v>
      </c>
      <c r="BL985">
        <f>53.247*(1+0.29/100)</f>
        <v>53.401416299999994</v>
      </c>
      <c r="BM985" s="163"/>
      <c r="BN985">
        <f t="shared" si="1257"/>
        <v>0.15441629999999407</v>
      </c>
      <c r="BO985" s="143">
        <f t="shared" si="1278"/>
        <v>154416.29999999408</v>
      </c>
      <c r="BP985" t="s">
        <v>232</v>
      </c>
      <c r="BQ985" s="264" t="s">
        <v>3165</v>
      </c>
      <c r="BR985" s="143" t="s">
        <v>1928</v>
      </c>
      <c r="BS985" s="144">
        <v>117.962</v>
      </c>
      <c r="BT985">
        <f>117.96*(1+1.29/100)</f>
        <v>119.48168399999999</v>
      </c>
      <c r="BV985">
        <f t="shared" si="1258"/>
        <v>1.5196839999999838</v>
      </c>
      <c r="BX985">
        <f t="shared" si="1279"/>
        <v>1519683.9999999839</v>
      </c>
      <c r="BY985">
        <f t="shared" si="1195"/>
        <v>9.8414739894690015</v>
      </c>
      <c r="BZ985">
        <v>0</v>
      </c>
      <c r="CA985">
        <v>0</v>
      </c>
      <c r="CB985">
        <v>0</v>
      </c>
      <c r="CC985">
        <v>0</v>
      </c>
      <c r="CD985">
        <v>0</v>
      </c>
      <c r="CE985">
        <v>0</v>
      </c>
      <c r="CF985">
        <v>0</v>
      </c>
      <c r="CG985">
        <v>0</v>
      </c>
      <c r="CH985">
        <v>0</v>
      </c>
      <c r="CI985">
        <v>0</v>
      </c>
      <c r="CJ985">
        <v>0</v>
      </c>
      <c r="CK985">
        <v>0</v>
      </c>
      <c r="CL985">
        <v>0</v>
      </c>
      <c r="CM985">
        <v>0</v>
      </c>
      <c r="CN985" t="str">
        <f t="shared" si="1259"/>
        <v>refOK</v>
      </c>
      <c r="CO985">
        <f t="shared" si="1280"/>
        <v>53.247</v>
      </c>
      <c r="CP985">
        <f t="shared" si="1282"/>
        <v>53.401416299999994</v>
      </c>
      <c r="CQ985">
        <f t="shared" si="1260"/>
        <v>154416.29999999408</v>
      </c>
      <c r="CR985">
        <f t="shared" si="1261"/>
        <v>117.962</v>
      </c>
      <c r="CS985">
        <f>IF($CN985="refOK",$BS985,#REF!)*IF($BP985="Emissions positive",-1,1)</f>
        <v>117.962</v>
      </c>
      <c r="CT985">
        <f t="shared" si="1263"/>
        <v>1519683.9999999839</v>
      </c>
      <c r="CU985">
        <f t="shared" si="1264"/>
        <v>9.8414739894690015</v>
      </c>
      <c r="CV985" s="2">
        <f t="shared" si="1265"/>
        <v>0</v>
      </c>
      <c r="CW985" s="1" t="s">
        <v>1198</v>
      </c>
      <c r="CX985" t="str">
        <f t="shared" si="1266"/>
        <v>reg</v>
      </c>
      <c r="CY985" t="s">
        <v>729</v>
      </c>
      <c r="CZ985">
        <v>2007</v>
      </c>
      <c r="DA985" s="143">
        <v>2100</v>
      </c>
      <c r="DB985" s="143">
        <f t="shared" si="1281"/>
        <v>93</v>
      </c>
      <c r="DC985" t="str">
        <f t="shared" si="1267"/>
        <v>71-100</v>
      </c>
      <c r="DD985">
        <v>0</v>
      </c>
      <c r="DE985">
        <v>1</v>
      </c>
      <c r="DF985">
        <v>0</v>
      </c>
      <c r="DG985">
        <v>1</v>
      </c>
      <c r="DH985">
        <v>1</v>
      </c>
      <c r="DI985">
        <f t="shared" si="1268"/>
        <v>2</v>
      </c>
      <c r="DJ985" t="str">
        <f t="shared" si="1269"/>
        <v>mixedProduct</v>
      </c>
      <c r="DK985">
        <f t="shared" si="1270"/>
        <v>0</v>
      </c>
      <c r="DL985" t="str">
        <f t="shared" si="1271"/>
        <v>Energy</v>
      </c>
      <c r="DM985">
        <f t="shared" si="1272"/>
        <v>0</v>
      </c>
      <c r="DN985" t="str">
        <f t="shared" si="1273"/>
        <v>Timber</v>
      </c>
      <c r="DO985">
        <v>0</v>
      </c>
      <c r="DP985" s="143">
        <v>0</v>
      </c>
      <c r="DQ985" s="143">
        <v>0</v>
      </c>
      <c r="DR985">
        <v>0</v>
      </c>
      <c r="DS985" s="143">
        <v>0</v>
      </c>
      <c r="DT985">
        <f t="shared" si="1274"/>
        <v>0</v>
      </c>
      <c r="DU985" s="143" t="str">
        <f t="shared" si="1275"/>
        <v>explicit C balance</v>
      </c>
      <c r="DV985" s="143">
        <v>0</v>
      </c>
      <c r="DW985" s="143">
        <v>0</v>
      </c>
      <c r="DX985" s="143">
        <v>1</v>
      </c>
      <c r="DY985" s="143">
        <v>1</v>
      </c>
      <c r="DZ985">
        <v>0</v>
      </c>
      <c r="EA985" s="143">
        <v>1</v>
      </c>
      <c r="EB985" s="143">
        <v>1</v>
      </c>
      <c r="EC985" s="143">
        <v>0</v>
      </c>
      <c r="ED985" s="143">
        <v>0</v>
      </c>
      <c r="EE985">
        <v>0</v>
      </c>
      <c r="EF985">
        <v>1</v>
      </c>
      <c r="EG985" s="143">
        <v>0</v>
      </c>
      <c r="EH985">
        <v>0</v>
      </c>
      <c r="EI985" s="2">
        <v>1</v>
      </c>
      <c r="EK985" t="str">
        <f t="shared" si="1276"/>
        <v/>
      </c>
      <c r="EL985" t="str">
        <f t="shared" si="1277"/>
        <v/>
      </c>
      <c r="EM985" s="2" t="str">
        <f t="shared" si="1223"/>
        <v/>
      </c>
      <c r="EP985" t="str">
        <f>IF(ISNUMBER(BT985),IF(ABS(BT985-[3]QC_indicators!$B$2)&gt;3*[3]QC_indicators!$C$2,"C ratio",IF(ISNUMBER(BY985),IF(ABS(BY985-[3]QC_indicators!$B$1)&gt;3*[3]QC_indicators!$C$1,"DF","no"))),IF(ISNUMBER(BY985),IF(ABS(BY985-[3]QC_indicators!$B$1)&gt;3*[3]QC_indicators!$C$1,"DF","no")))</f>
        <v>C ratio</v>
      </c>
      <c r="ET985" s="264" t="s">
        <v>3166</v>
      </c>
    </row>
    <row r="986" spans="1:150" ht="15" hidden="1" customHeight="1">
      <c r="A986" s="1" t="s">
        <v>2066</v>
      </c>
      <c r="B986" t="s">
        <v>4572</v>
      </c>
      <c r="C986" t="s">
        <v>4573</v>
      </c>
      <c r="D986" t="s">
        <v>4574</v>
      </c>
      <c r="E986" t="s">
        <v>4575</v>
      </c>
      <c r="F986" t="s">
        <v>4576</v>
      </c>
      <c r="G986" t="s">
        <v>2071</v>
      </c>
      <c r="H986" t="s">
        <v>254</v>
      </c>
      <c r="I986">
        <v>2020</v>
      </c>
      <c r="J986">
        <v>1</v>
      </c>
      <c r="K986" t="s">
        <v>4577</v>
      </c>
      <c r="M986" t="str">
        <f t="shared" si="1249"/>
        <v>Lopez_2020</v>
      </c>
      <c r="N986" t="s">
        <v>2582</v>
      </c>
      <c r="O986" s="145" t="s">
        <v>225</v>
      </c>
      <c r="Q986" s="311" t="s">
        <v>256</v>
      </c>
      <c r="R986" s="312"/>
      <c r="U986" s="143"/>
      <c r="AX986" s="141"/>
      <c r="AY986" s="141"/>
      <c r="BE986"/>
      <c r="BF986" s="2"/>
      <c r="BG986" s="142"/>
      <c r="BJ986" s="143"/>
      <c r="BL986" s="143"/>
      <c r="BM986" s="163"/>
      <c r="BN986" s="158"/>
      <c r="BO986" s="143"/>
      <c r="BS986" s="143"/>
      <c r="BU986" s="144"/>
      <c r="BY986" t="str">
        <f t="shared" si="1195"/>
        <v/>
      </c>
      <c r="CN986"/>
      <c r="CO986"/>
      <c r="CP986"/>
      <c r="CQ986"/>
      <c r="CR986"/>
      <c r="CS986"/>
      <c r="CT986"/>
      <c r="CU986"/>
      <c r="CV986" s="2"/>
      <c r="CX986"/>
      <c r="DA986" s="143"/>
      <c r="DB986" s="143"/>
      <c r="DC986"/>
      <c r="DI986"/>
      <c r="DJ986"/>
      <c r="DK986"/>
      <c r="DL986"/>
      <c r="DM986"/>
      <c r="DN986"/>
      <c r="DP986" s="143"/>
      <c r="DQ986" s="143"/>
      <c r="DS986" s="143"/>
      <c r="DT986"/>
      <c r="DU986" s="143"/>
      <c r="DV986" s="143"/>
      <c r="DW986" s="143"/>
      <c r="DY986" s="143"/>
      <c r="EB986" s="143"/>
      <c r="ED986" s="143"/>
      <c r="EG986" s="143"/>
      <c r="EK986" t="str">
        <f>IF(AND(AND(AND(OR($DX986=1,$DW986=1),OR($EC986=1,$EA986=1)),SUM($DV986:$DZ986,$EF986)&gt;=3),SUM($EA986:$EE986)&gt;=2),"Whole sector","")</f>
        <v/>
      </c>
      <c r="EL986" t="str">
        <f>IF(AND(AND(OR($DX986=1,$DW986=1),AND($EC986=0,$EA986=0)),SUM($DV986:$DZ986,$EF986)&gt;=3),"Ecosystem approach","")</f>
        <v/>
      </c>
      <c r="EM986" s="2" t="str">
        <f t="shared" si="1223"/>
        <v/>
      </c>
      <c r="EN986" t="s">
        <v>4578</v>
      </c>
      <c r="EO986" t="s">
        <v>450</v>
      </c>
      <c r="EP986" t="b">
        <f>IF(ISNUMBER(BU986),IF(ABS(BU986-[1]QC_indicators!$B$2)&gt;3*[1]QC_indicators!$C$2,"C ratio",IF(ISNUMBER(BY986),IF(ABS(BY986-[1]QC_indicators!$B$1)&gt;3*[1]QC_indicators!$C$1,"DF","no"))),IF(ISNUMBER(BY986),IF(ABS(BY986-[1]QC_indicators!$B$1)&gt;3*[1]QC_indicators!$C$1,"DF","no")))</f>
        <v>0</v>
      </c>
    </row>
    <row r="987" spans="1:150" ht="15" hidden="1" customHeight="1">
      <c r="A987" s="1" t="s">
        <v>4579</v>
      </c>
      <c r="B987" t="s">
        <v>4580</v>
      </c>
      <c r="C987" t="s">
        <v>4581</v>
      </c>
      <c r="D987" t="s">
        <v>4582</v>
      </c>
      <c r="E987" t="s">
        <v>4583</v>
      </c>
      <c r="F987" t="s">
        <v>4584</v>
      </c>
      <c r="G987" t="s">
        <v>4585</v>
      </c>
      <c r="H987" t="s">
        <v>254</v>
      </c>
      <c r="I987">
        <v>2022</v>
      </c>
      <c r="J987">
        <v>1</v>
      </c>
      <c r="K987" t="s">
        <v>4586</v>
      </c>
      <c r="M987" t="str">
        <f t="shared" si="1249"/>
        <v>Lopez-Sosa_2022</v>
      </c>
      <c r="N987" t="s">
        <v>2582</v>
      </c>
      <c r="AX987" s="141">
        <f>COUNTIF(V987:AW987,"&lt;&gt;0")</f>
        <v>28</v>
      </c>
      <c r="AY987">
        <f>COUNTIF(V987:AL987,"&lt;&gt;0")</f>
        <v>17</v>
      </c>
      <c r="BE987"/>
      <c r="BF987" s="2"/>
      <c r="BY987" t="str">
        <f t="shared" si="1195"/>
        <v/>
      </c>
      <c r="CN987"/>
      <c r="CO987"/>
      <c r="CP987"/>
      <c r="CQ987"/>
      <c r="CR987"/>
      <c r="CS987"/>
      <c r="CT987"/>
      <c r="CU987"/>
      <c r="CV987" s="2"/>
      <c r="CX987"/>
      <c r="DC987"/>
      <c r="DI987"/>
      <c r="DJ987"/>
      <c r="DK987"/>
      <c r="DL987"/>
      <c r="DM987"/>
      <c r="DN987"/>
      <c r="DT987"/>
      <c r="DU987"/>
      <c r="EK987" t="str">
        <f>IF(AND(AND(AND(OR($DX987=1,$DW987=1),OR($EC987=1,$EA987=1)),SUM($DV987:$DZ987,$EF987)&gt;=3),SUM($EA987:$EE987)&gt;=2),"Whole sector","")</f>
        <v/>
      </c>
      <c r="EL987" t="str">
        <f>IF(AND(AND(OR($DX987=1,$DW987=1),AND($EC987=0,$EA987=0)),SUM($DV987:$DZ987,$EF987)&gt;=3),"Ecosystem approach","")</f>
        <v/>
      </c>
      <c r="EM987" s="2" t="str">
        <f t="shared" si="1223"/>
        <v/>
      </c>
      <c r="EP987" t="b">
        <f>IF(ISNUMBER(BU987),IF(ABS(BU987-[1]QC_indicators!$B$2)&gt;3*[1]QC_indicators!$C$2,"C ratio",IF(ISNUMBER(BY987),IF(ABS(BY987-[1]QC_indicators!$B$1)&gt;3*[1]QC_indicators!$C$1,"DF","no"))),IF(ISNUMBER(BY987),IF(ABS(BY987-[1]QC_indicators!$B$1)&gt;3*[1]QC_indicators!$C$1,"DF","no")))</f>
        <v>0</v>
      </c>
    </row>
    <row r="988" spans="1:150" ht="15" hidden="1" customHeight="1">
      <c r="A988" s="1" t="s">
        <v>4587</v>
      </c>
      <c r="B988" t="s">
        <v>4588</v>
      </c>
      <c r="C988" t="s">
        <v>4589</v>
      </c>
      <c r="D988" t="s">
        <v>4590</v>
      </c>
      <c r="E988" t="s">
        <v>4591</v>
      </c>
      <c r="F988" t="s">
        <v>4592</v>
      </c>
      <c r="G988" t="s">
        <v>4593</v>
      </c>
      <c r="H988" t="s">
        <v>254</v>
      </c>
      <c r="I988">
        <v>2018</v>
      </c>
      <c r="J988">
        <v>4</v>
      </c>
      <c r="K988" t="s">
        <v>4594</v>
      </c>
      <c r="M988" t="str">
        <f t="shared" si="1249"/>
        <v>Lorenz_2018</v>
      </c>
      <c r="N988" t="s">
        <v>2582</v>
      </c>
      <c r="O988" s="145" t="s">
        <v>225</v>
      </c>
      <c r="Q988" s="311" t="s">
        <v>256</v>
      </c>
      <c r="R988" s="312"/>
      <c r="U988" s="143"/>
      <c r="AX988" s="141"/>
      <c r="AY988" s="141"/>
      <c r="BE988"/>
      <c r="BF988" s="2"/>
      <c r="BG988" s="142"/>
      <c r="BJ988" s="143"/>
      <c r="BL988" s="143"/>
      <c r="BM988" s="163"/>
      <c r="BN988" s="158"/>
      <c r="BO988" s="143"/>
      <c r="BS988" s="143"/>
      <c r="BU988" s="144"/>
      <c r="BY988" t="str">
        <f t="shared" si="1195"/>
        <v/>
      </c>
      <c r="CN988"/>
      <c r="CO988"/>
      <c r="CP988"/>
      <c r="CQ988"/>
      <c r="CR988"/>
      <c r="CS988"/>
      <c r="CT988"/>
      <c r="CU988"/>
      <c r="CV988" s="2"/>
      <c r="CX988"/>
      <c r="DA988" s="143"/>
      <c r="DB988" s="143"/>
      <c r="DC988"/>
      <c r="DI988"/>
      <c r="DJ988"/>
      <c r="DK988"/>
      <c r="DL988"/>
      <c r="DM988"/>
      <c r="DN988"/>
      <c r="DP988" s="143"/>
      <c r="DQ988" s="143"/>
      <c r="DS988" s="143"/>
      <c r="DT988"/>
      <c r="DU988" s="143"/>
      <c r="DV988" s="143"/>
      <c r="DW988" s="143"/>
      <c r="EB988" s="143"/>
      <c r="ED988" s="143"/>
      <c r="EG988" s="143"/>
      <c r="EK988" t="str">
        <f>IF(AND(AND(AND(OR($DX988=1,$DW988=1),OR($EC988=1,$EA988=1)),SUM($DV988:$DZ988,$EF988)&gt;=3),SUM($EA988:$EE988)&gt;=2),"Whole sector","")</f>
        <v/>
      </c>
      <c r="EL988" t="str">
        <f>IF(AND(AND(OR($DX988=1,$DW988=1),AND($EC988=0,$EA988=0)),SUM($DV988:$DZ988,$EF988)&gt;=3),"Ecosystem approach","")</f>
        <v/>
      </c>
      <c r="EM988" s="2" t="str">
        <f t="shared" si="1223"/>
        <v/>
      </c>
      <c r="EN988" t="s">
        <v>4595</v>
      </c>
      <c r="EO988" t="s">
        <v>450</v>
      </c>
      <c r="EP988" t="b">
        <f>IF(ISNUMBER(BU988),IF(ABS(BU988-[1]QC_indicators!$B$2)&gt;3*[1]QC_indicators!$C$2,"C ratio",IF(ISNUMBER(BY988),IF(ABS(BY988-[1]QC_indicators!$B$1)&gt;3*[1]QC_indicators!$C$1,"DF","no"))),IF(ISNUMBER(BY988),IF(ABS(BY988-[1]QC_indicators!$B$1)&gt;3*[1]QC_indicators!$C$1,"DF","no")))</f>
        <v>0</v>
      </c>
    </row>
    <row r="989" spans="1:150" ht="15" hidden="1" customHeight="1">
      <c r="A989" s="1" t="s">
        <v>1936</v>
      </c>
      <c r="B989" t="s">
        <v>1937</v>
      </c>
      <c r="C989" t="s">
        <v>1938</v>
      </c>
      <c r="D989" t="s">
        <v>1939</v>
      </c>
      <c r="E989" t="s">
        <v>1940</v>
      </c>
      <c r="F989" t="s">
        <v>1941</v>
      </c>
      <c r="G989" t="s">
        <v>1942</v>
      </c>
      <c r="H989" t="s">
        <v>1627</v>
      </c>
      <c r="I989">
        <v>2005</v>
      </c>
      <c r="J989">
        <v>91</v>
      </c>
      <c r="K989" t="s">
        <v>1943</v>
      </c>
      <c r="M989" t="str">
        <f t="shared" si="1249"/>
        <v>Loustau_2005</v>
      </c>
      <c r="N989" s="329" t="s">
        <v>4382</v>
      </c>
      <c r="O989" s="145" t="s">
        <v>225</v>
      </c>
      <c r="Q989" t="s">
        <v>256</v>
      </c>
      <c r="R989" s="262" t="s">
        <v>223</v>
      </c>
      <c r="S989" s="1" t="s">
        <v>90</v>
      </c>
      <c r="T989" s="143" t="s">
        <v>1944</v>
      </c>
      <c r="U989" t="s">
        <v>1945</v>
      </c>
      <c r="V989">
        <v>0</v>
      </c>
      <c r="W989">
        <v>0</v>
      </c>
      <c r="X989">
        <v>1</v>
      </c>
      <c r="Y989">
        <v>0</v>
      </c>
      <c r="Z989">
        <v>0</v>
      </c>
      <c r="AA989">
        <v>0</v>
      </c>
      <c r="AB989">
        <v>0</v>
      </c>
      <c r="AC989">
        <v>0</v>
      </c>
      <c r="AD989">
        <v>0</v>
      </c>
      <c r="AE989">
        <v>0</v>
      </c>
      <c r="AF989">
        <v>0</v>
      </c>
      <c r="AG989">
        <v>0</v>
      </c>
      <c r="AH989">
        <v>0</v>
      </c>
      <c r="AI989">
        <v>0</v>
      </c>
      <c r="AJ989">
        <v>0</v>
      </c>
      <c r="AK989">
        <v>0</v>
      </c>
      <c r="AL989">
        <v>0</v>
      </c>
      <c r="AM989">
        <v>0</v>
      </c>
      <c r="AN989">
        <v>0</v>
      </c>
      <c r="AO989">
        <v>0</v>
      </c>
      <c r="AP989">
        <v>0</v>
      </c>
      <c r="AQ989">
        <v>0</v>
      </c>
      <c r="AR989">
        <v>0</v>
      </c>
      <c r="AS989">
        <v>0</v>
      </c>
      <c r="AT989">
        <v>0</v>
      </c>
      <c r="AU989">
        <v>0</v>
      </c>
      <c r="AV989">
        <v>0</v>
      </c>
      <c r="AW989">
        <v>0</v>
      </c>
      <c r="AX989" s="141">
        <f t="shared" ref="AX989:AX999" si="1283">COUNTIF(V989:AW989,"&lt;&gt;0")</f>
        <v>1</v>
      </c>
      <c r="AY989" s="141">
        <f t="shared" ref="AY989:AY999" si="1284">COUNTIF(V989:AL989,"&lt;&gt;0")</f>
        <v>1</v>
      </c>
      <c r="AZ989">
        <f t="shared" ref="AZ989:AZ999" si="1285">COUNTIF(V989:AC989,"&lt;&gt;0")</f>
        <v>1</v>
      </c>
      <c r="BA989">
        <f t="shared" ref="BA989:BA999" si="1286">COUNTIF(AD989:AI989,"&lt;&gt;0")</f>
        <v>0</v>
      </c>
      <c r="BB989">
        <f t="shared" ref="BB989:BB999" si="1287">COUNTIF(AJ989:AL989,"&lt;&gt;0")</f>
        <v>0</v>
      </c>
      <c r="BC989">
        <f t="shared" ref="BC989:BC999" si="1288">COUNTIF(AS989:AW989,"&lt;&gt;0")</f>
        <v>0</v>
      </c>
      <c r="BD989">
        <f t="shared" ref="BD989:BD999" si="1289">COUNTIF(AM989:AR989,"&lt;&gt;0")</f>
        <v>0</v>
      </c>
      <c r="BE989" t="str">
        <f t="array" ref="BE989">IF(AY989=1,INDEX($V$7:$AL$7,MATCH(TRUE,INDEX($V989:$AW989&lt;&gt;0,),0)),IF(AY989=0,INDEX($AM$7:$AW$7,MATCH(1,$AM989:$AW989,0)),IF(BF989="Multiple strategies","mixed drivers",IF(BF989="Supply chain","multiple supply","multiple silviculture"))))</f>
        <v>rotation length</v>
      </c>
      <c r="BF989" s="2" t="str" cm="1">
        <f t="array" ref="BF989">IF(COUNTIF(AZ989:BB989,"&lt;&gt;0")=1,INDEX($V$4:$AW$4,MATCH(TRUE,INDEX($V989:$AW989&lt;&gt;0,),0)),IF(COUNTIF(AZ989:BB989,"&lt;&gt;0")=0,INDEX($AM$4:$AW$4,MATCH(1,$AM989:$AW989,0)),"Multiple strategies"))</f>
        <v>Silviculture for removals</v>
      </c>
      <c r="BG989" s="142"/>
      <c r="BK989" s="143"/>
      <c r="BL989" s="143"/>
      <c r="BO989" s="159"/>
      <c r="BP989" t="s">
        <v>232</v>
      </c>
      <c r="BQ989" s="153" t="s">
        <v>3175</v>
      </c>
      <c r="BR989" t="s">
        <v>1946</v>
      </c>
      <c r="BS989">
        <v>552</v>
      </c>
      <c r="BT989" s="143">
        <v>473</v>
      </c>
      <c r="BU989" s="144">
        <f t="shared" ref="BU989:BU999" si="1290">IFERROR(BT989/BS989,"")</f>
        <v>0.85688405797101452</v>
      </c>
      <c r="BV989">
        <f t="shared" ref="BV989:BV999" si="1291">BT989-BS989</f>
        <v>-79</v>
      </c>
      <c r="BX989">
        <f t="shared" ref="BX989:BX994" si="1292">BV989/10^6*C_to_CO2</f>
        <v>-2.8992999999999998E-4</v>
      </c>
      <c r="BY989" t="str">
        <f t="shared" si="1195"/>
        <v/>
      </c>
      <c r="BZ989">
        <v>0</v>
      </c>
      <c r="CA989">
        <v>0</v>
      </c>
      <c r="CB989">
        <v>0</v>
      </c>
      <c r="CC989">
        <v>0</v>
      </c>
      <c r="CD989">
        <v>0</v>
      </c>
      <c r="CE989">
        <v>0</v>
      </c>
      <c r="CF989">
        <v>0</v>
      </c>
      <c r="CG989">
        <v>0</v>
      </c>
      <c r="CH989">
        <v>0</v>
      </c>
      <c r="CI989">
        <v>0</v>
      </c>
      <c r="CJ989">
        <v>0</v>
      </c>
      <c r="CK989">
        <v>0</v>
      </c>
      <c r="CL989">
        <v>0</v>
      </c>
      <c r="CM989">
        <v>0</v>
      </c>
      <c r="CN989" t="str">
        <f t="shared" ref="CN989:CN994" si="1293">IF($BL989&lt;$BK989,"refNeedCorrection","refOK")</f>
        <v>refOK</v>
      </c>
      <c r="CO989">
        <f t="shared" ref="CO989:CO994" si="1294">IF($CN989="refOK",$BK989,$BL989)</f>
        <v>0</v>
      </c>
      <c r="CP989">
        <f t="shared" ref="CP989:CP994" si="1295">IF($CN989="refOK",$BL989,$BK989)</f>
        <v>0</v>
      </c>
      <c r="CQ989">
        <f t="shared" ref="CQ989:CQ994" si="1296">IF($CN989="refOK",$BO989,-$BO989)</f>
        <v>0</v>
      </c>
      <c r="CR989">
        <f t="shared" ref="CR989:CR999" si="1297">IF($CN989="refOK",$BS989,$BT989)*IF($BP989="Emissions positive",-1,1)</f>
        <v>552</v>
      </c>
      <c r="CS989">
        <f t="shared" ref="CS989:CS999" si="1298">IF($CN989="refOK",$BT989,$BS989)*IF($BP989="Emissions positive",-1,1)</f>
        <v>473</v>
      </c>
      <c r="CT989">
        <f t="shared" ref="CT989:CT999" si="1299">IF($CN989="refNeedCorrection",-BX989,BX989)*IF($BP989="Emissions positive",-1,1)</f>
        <v>-2.8992999999999998E-4</v>
      </c>
      <c r="CU989" t="str">
        <f t="shared" ref="CU989:CU999" si="1300">IFERROR(CT989/CQ989,"")</f>
        <v/>
      </c>
      <c r="CV989" s="2">
        <f t="shared" ref="CV989:CV999" si="1301">IFERROR((CS989-CR989)/ABS(CR989),"")</f>
        <v>-0.1431159420289855</v>
      </c>
      <c r="CW989" s="1" t="s">
        <v>1202</v>
      </c>
      <c r="CX989" t="str">
        <f t="shared" ref="CX989:CX999" si="1302">IF(OR($CW989="prd",$CW989="std",$CW989="cit"),"loc",IF(OR($CW989="eur",$CW989="reg",$CW989="coy"),"reg",$CW989))</f>
        <v>reg</v>
      </c>
      <c r="CY989" t="s">
        <v>729</v>
      </c>
      <c r="CZ989">
        <v>1981</v>
      </c>
      <c r="DA989" s="143">
        <v>2080</v>
      </c>
      <c r="DB989" s="143">
        <f t="shared" ref="DB989:DB999" si="1303">DA989-CZ989</f>
        <v>99</v>
      </c>
      <c r="DC989" t="str">
        <f t="shared" ref="DC989:DC999" si="1304">IF(DB989=0,"0",IF(AND(DB989&gt;=1,DB989&lt;=30),"1-30",IF(AND(DB989&gt;30,DB989&lt;=70),"31-70",IF(AND(DB989&gt;70,DB989&lt;=100),"71-100",IF(DB989&gt;100,"+100")))))</f>
        <v>71-100</v>
      </c>
      <c r="DD989">
        <v>1</v>
      </c>
      <c r="DE989">
        <v>0</v>
      </c>
      <c r="DF989">
        <v>0</v>
      </c>
      <c r="DG989">
        <v>0</v>
      </c>
      <c r="DI989">
        <f t="shared" ref="DI989:DI999" si="1305">SUM(DD989:DG989)</f>
        <v>1</v>
      </c>
      <c r="DJ989" t="str">
        <f t="shared" ref="DJ989:DJ999" si="1306">IF(DI989=1,INDEX($DD$7:$DG$7,MATCH(1,$DD989:$DG989,0)),"mixedProduct")</f>
        <v>UpstreamInput</v>
      </c>
      <c r="DK989" t="str">
        <f t="shared" ref="DK989:DK999" si="1307">IF(DD989=1,DK$7,0)</f>
        <v>Upstream</v>
      </c>
      <c r="DL989">
        <f t="shared" ref="DL989:DL999" si="1308">IF(DE989=1,DL$7,0)</f>
        <v>0</v>
      </c>
      <c r="DM989">
        <f t="shared" ref="DM989:DM999" si="1309">IF(DF989=1,DM$7,0)</f>
        <v>0</v>
      </c>
      <c r="DN989">
        <f t="shared" ref="DN989:DN999" si="1310">IF(DG989=1,DN$7,0)</f>
        <v>0</v>
      </c>
      <c r="DO989">
        <v>0</v>
      </c>
      <c r="DP989" s="143">
        <v>0</v>
      </c>
      <c r="DQ989" s="143">
        <v>0</v>
      </c>
      <c r="DR989">
        <v>0</v>
      </c>
      <c r="DS989" s="143">
        <v>0</v>
      </c>
      <c r="DT989">
        <f t="shared" ref="DT989:DT999" si="1311">SUM(DO989:DP989)</f>
        <v>0</v>
      </c>
      <c r="DU989" s="143" t="str">
        <f t="shared" ref="DU989:DU999" si="1312">IF(DO989=1,"self-calculated DF",IF(DP989=1,"external DF used","explicit C balance"))</f>
        <v>explicit C balance</v>
      </c>
      <c r="DV989" s="143">
        <v>1</v>
      </c>
      <c r="DW989" s="143">
        <v>1</v>
      </c>
      <c r="DX989" s="143">
        <v>1</v>
      </c>
      <c r="DY989" s="143">
        <v>0</v>
      </c>
      <c r="DZ989">
        <v>0</v>
      </c>
      <c r="EA989" s="143">
        <v>0</v>
      </c>
      <c r="EB989" s="143">
        <v>0</v>
      </c>
      <c r="EC989" s="143">
        <v>0</v>
      </c>
      <c r="ED989" s="143">
        <v>0</v>
      </c>
      <c r="EE989">
        <v>0</v>
      </c>
      <c r="EF989">
        <v>0</v>
      </c>
      <c r="EG989" s="143">
        <v>0</v>
      </c>
      <c r="EH989">
        <v>0</v>
      </c>
      <c r="EI989" s="2">
        <v>0</v>
      </c>
      <c r="EK989" t="str">
        <f t="shared" ref="EK989:EK994" si="1313">IF(AND(AND(AND(OR($DX989=1,$DW989=1),OR($EC989=1,$EA989=1)),SUM($DV989:$DZ989,$EF989)&gt;=4),SUM($EA989:$EE989)&gt;=2),"Whole sector","")</f>
        <v/>
      </c>
      <c r="EL989" t="str">
        <f t="shared" ref="EL989:EL994" si="1314">IF(AND(AND(OR($DX989=1,$DW989=1),AND($EC989=0,$EA989=0)),SUM($DV989:$DZ989,$EF989)&gt;=4),"Ecosystem approach","")</f>
        <v/>
      </c>
      <c r="EM989" s="2" t="str">
        <f t="shared" si="1223"/>
        <v/>
      </c>
      <c r="EP989" t="b">
        <f>IF(ISNUMBER(BU989),IF(ABS(BU989-[3]QC_indicators!$B$2)&gt;3*[3]QC_indicators!$C$2,"C ratio",IF(ISNUMBER(BY989),IF(ABS(BY989-[3]QC_indicators!$B$1)&gt;3*[3]QC_indicators!$C$1,"DF","no"))),IF(ISNUMBER(BY989),IF(ABS(BY989-[3]QC_indicators!$B$1)&gt;3*[3]QC_indicators!$C$1,"DF","no")))</f>
        <v>0</v>
      </c>
      <c r="ET989" s="264" t="s">
        <v>3176</v>
      </c>
    </row>
    <row r="990" spans="1:150" ht="15" hidden="1" customHeight="1">
      <c r="A990" s="1" t="s">
        <v>1936</v>
      </c>
      <c r="B990" t="s">
        <v>1937</v>
      </c>
      <c r="C990" t="s">
        <v>1938</v>
      </c>
      <c r="D990" t="s">
        <v>1939</v>
      </c>
      <c r="E990" t="s">
        <v>1940</v>
      </c>
      <c r="F990" t="s">
        <v>1941</v>
      </c>
      <c r="G990" t="s">
        <v>1942</v>
      </c>
      <c r="H990" t="s">
        <v>1627</v>
      </c>
      <c r="I990">
        <v>2005</v>
      </c>
      <c r="J990">
        <v>91</v>
      </c>
      <c r="K990" t="s">
        <v>1943</v>
      </c>
      <c r="M990" t="str">
        <f t="shared" si="1249"/>
        <v>Loustau_2005</v>
      </c>
      <c r="N990" s="329" t="s">
        <v>4382</v>
      </c>
      <c r="O990" s="145" t="s">
        <v>225</v>
      </c>
      <c r="Q990" t="s">
        <v>256</v>
      </c>
      <c r="R990" s="262" t="s">
        <v>223</v>
      </c>
      <c r="S990" s="1" t="s">
        <v>90</v>
      </c>
      <c r="T990" s="143" t="s">
        <v>1947</v>
      </c>
      <c r="U990" t="s">
        <v>1948</v>
      </c>
      <c r="V990">
        <v>0</v>
      </c>
      <c r="W990">
        <v>0</v>
      </c>
      <c r="X990">
        <v>1</v>
      </c>
      <c r="Y990">
        <v>0</v>
      </c>
      <c r="Z990">
        <v>0</v>
      </c>
      <c r="AA990">
        <v>0</v>
      </c>
      <c r="AB990">
        <v>0</v>
      </c>
      <c r="AC990">
        <v>0</v>
      </c>
      <c r="AD990">
        <v>0</v>
      </c>
      <c r="AE990">
        <v>0</v>
      </c>
      <c r="AF990">
        <v>0</v>
      </c>
      <c r="AG990">
        <v>0</v>
      </c>
      <c r="AH990">
        <v>0</v>
      </c>
      <c r="AI990">
        <v>0</v>
      </c>
      <c r="AJ990">
        <v>0</v>
      </c>
      <c r="AK990">
        <v>0</v>
      </c>
      <c r="AL990">
        <v>0</v>
      </c>
      <c r="AM990">
        <v>0</v>
      </c>
      <c r="AN990">
        <v>0</v>
      </c>
      <c r="AO990">
        <v>0</v>
      </c>
      <c r="AP990">
        <v>0</v>
      </c>
      <c r="AQ990">
        <v>0</v>
      </c>
      <c r="AR990">
        <v>0</v>
      </c>
      <c r="AS990">
        <v>0</v>
      </c>
      <c r="AT990">
        <v>0</v>
      </c>
      <c r="AU990">
        <v>0</v>
      </c>
      <c r="AV990">
        <v>0</v>
      </c>
      <c r="AW990">
        <v>0</v>
      </c>
      <c r="AX990" s="141">
        <f t="shared" si="1283"/>
        <v>1</v>
      </c>
      <c r="AY990" s="141">
        <f t="shared" si="1284"/>
        <v>1</v>
      </c>
      <c r="AZ990">
        <f t="shared" si="1285"/>
        <v>1</v>
      </c>
      <c r="BA990">
        <f t="shared" si="1286"/>
        <v>0</v>
      </c>
      <c r="BB990">
        <f t="shared" si="1287"/>
        <v>0</v>
      </c>
      <c r="BC990">
        <f t="shared" si="1288"/>
        <v>0</v>
      </c>
      <c r="BD990">
        <f t="shared" si="1289"/>
        <v>0</v>
      </c>
      <c r="BE990" t="str">
        <f t="array" ref="BE990">IF(AY990=1,INDEX($V$7:$AL$7,MATCH(TRUE,INDEX($V990:$AW990&lt;&gt;0,),0)),IF(AY990=0,INDEX($AM$7:$AW$7,MATCH(1,$AM990:$AW990,0)),IF(BF990="Multiple strategies","mixed drivers",IF(BF990="Supply chain","multiple supply","multiple silviculture"))))</f>
        <v>rotation length</v>
      </c>
      <c r="BF990" s="2" t="str" cm="1">
        <f t="array" ref="BF990">IF(COUNTIF(AZ990:BB990,"&lt;&gt;0")=1,INDEX($V$4:$AW$4,MATCH(TRUE,INDEX($V990:$AW990&lt;&gt;0,),0)),IF(COUNTIF(AZ990:BB990,"&lt;&gt;0")=0,INDEX($AM$4:$AW$4,MATCH(1,$AM990:$AW990,0)),"Multiple strategies"))</f>
        <v>Silviculture for removals</v>
      </c>
      <c r="BG990" s="142"/>
      <c r="BK990" s="143"/>
      <c r="BO990" s="159"/>
      <c r="BP990" t="s">
        <v>232</v>
      </c>
      <c r="BQ990" s="153" t="s">
        <v>3175</v>
      </c>
      <c r="BR990" t="s">
        <v>1946</v>
      </c>
      <c r="BS990">
        <v>473</v>
      </c>
      <c r="BT990" s="143">
        <v>453</v>
      </c>
      <c r="BU990" s="144">
        <f t="shared" si="1290"/>
        <v>0.95771670190274838</v>
      </c>
      <c r="BV990">
        <f t="shared" si="1291"/>
        <v>-20</v>
      </c>
      <c r="BX990">
        <f t="shared" si="1292"/>
        <v>-7.3400000000000009E-5</v>
      </c>
      <c r="BY990" t="str">
        <f t="shared" si="1195"/>
        <v/>
      </c>
      <c r="BZ990">
        <v>0</v>
      </c>
      <c r="CA990">
        <v>0</v>
      </c>
      <c r="CB990">
        <v>0</v>
      </c>
      <c r="CC990">
        <v>0</v>
      </c>
      <c r="CD990">
        <v>0</v>
      </c>
      <c r="CE990">
        <v>0</v>
      </c>
      <c r="CF990">
        <v>0</v>
      </c>
      <c r="CG990">
        <v>0</v>
      </c>
      <c r="CH990">
        <v>0</v>
      </c>
      <c r="CI990">
        <v>0</v>
      </c>
      <c r="CJ990">
        <v>0</v>
      </c>
      <c r="CK990">
        <v>0</v>
      </c>
      <c r="CL990">
        <v>0</v>
      </c>
      <c r="CM990">
        <v>0</v>
      </c>
      <c r="CN990" t="str">
        <f t="shared" si="1293"/>
        <v>refOK</v>
      </c>
      <c r="CO990">
        <f t="shared" si="1294"/>
        <v>0</v>
      </c>
      <c r="CP990">
        <f t="shared" si="1295"/>
        <v>0</v>
      </c>
      <c r="CQ990">
        <f t="shared" si="1296"/>
        <v>0</v>
      </c>
      <c r="CR990">
        <f t="shared" si="1297"/>
        <v>473</v>
      </c>
      <c r="CS990">
        <f t="shared" si="1298"/>
        <v>453</v>
      </c>
      <c r="CT990">
        <f t="shared" si="1299"/>
        <v>-7.3400000000000009E-5</v>
      </c>
      <c r="CU990" t="str">
        <f t="shared" si="1300"/>
        <v/>
      </c>
      <c r="CV990" s="2">
        <f t="shared" si="1301"/>
        <v>-4.2283298097251586E-2</v>
      </c>
      <c r="CW990" s="1" t="s">
        <v>1202</v>
      </c>
      <c r="CX990" t="str">
        <f t="shared" si="1302"/>
        <v>reg</v>
      </c>
      <c r="CY990" t="s">
        <v>729</v>
      </c>
      <c r="CZ990">
        <v>1981</v>
      </c>
      <c r="DA990" s="143">
        <v>2080</v>
      </c>
      <c r="DB990" s="143">
        <f t="shared" si="1303"/>
        <v>99</v>
      </c>
      <c r="DC990" t="str">
        <f t="shared" si="1304"/>
        <v>71-100</v>
      </c>
      <c r="DD990">
        <v>1</v>
      </c>
      <c r="DE990">
        <v>0</v>
      </c>
      <c r="DF990">
        <v>0</v>
      </c>
      <c r="DG990">
        <v>0</v>
      </c>
      <c r="DI990">
        <f t="shared" si="1305"/>
        <v>1</v>
      </c>
      <c r="DJ990" t="str">
        <f t="shared" si="1306"/>
        <v>UpstreamInput</v>
      </c>
      <c r="DK990" t="str">
        <f t="shared" si="1307"/>
        <v>Upstream</v>
      </c>
      <c r="DL990">
        <f t="shared" si="1308"/>
        <v>0</v>
      </c>
      <c r="DM990">
        <f t="shared" si="1309"/>
        <v>0</v>
      </c>
      <c r="DN990">
        <f t="shared" si="1310"/>
        <v>0</v>
      </c>
      <c r="DO990">
        <v>0</v>
      </c>
      <c r="DP990" s="143">
        <v>0</v>
      </c>
      <c r="DQ990" s="143">
        <v>0</v>
      </c>
      <c r="DR990">
        <v>0</v>
      </c>
      <c r="DS990" s="143">
        <v>0</v>
      </c>
      <c r="DT990">
        <f t="shared" si="1311"/>
        <v>0</v>
      </c>
      <c r="DU990" s="143" t="str">
        <f t="shared" si="1312"/>
        <v>explicit C balance</v>
      </c>
      <c r="DV990" s="143">
        <v>1</v>
      </c>
      <c r="DW990" s="143">
        <v>1</v>
      </c>
      <c r="DX990" s="143">
        <v>1</v>
      </c>
      <c r="DY990" s="143">
        <v>0</v>
      </c>
      <c r="DZ990">
        <v>0</v>
      </c>
      <c r="EA990" s="143">
        <v>0</v>
      </c>
      <c r="EB990" s="143">
        <v>0</v>
      </c>
      <c r="EC990" s="143">
        <v>0</v>
      </c>
      <c r="ED990" s="143">
        <v>0</v>
      </c>
      <c r="EE990">
        <v>0</v>
      </c>
      <c r="EF990">
        <v>0</v>
      </c>
      <c r="EG990" s="143">
        <v>0</v>
      </c>
      <c r="EH990">
        <v>0</v>
      </c>
      <c r="EI990" s="2">
        <v>0</v>
      </c>
      <c r="EK990" t="str">
        <f t="shared" si="1313"/>
        <v/>
      </c>
      <c r="EL990" t="str">
        <f t="shared" si="1314"/>
        <v/>
      </c>
      <c r="EM990" s="2" t="str">
        <f t="shared" si="1223"/>
        <v/>
      </c>
      <c r="EP990" t="b">
        <f>IF(ISNUMBER(BU990),IF(ABS(BU990-[3]QC_indicators!$B$2)&gt;3*[3]QC_indicators!$C$2,"C ratio",IF(ISNUMBER(BY990),IF(ABS(BY990-[3]QC_indicators!$B$1)&gt;3*[3]QC_indicators!$C$1,"DF","no"))),IF(ISNUMBER(BY990),IF(ABS(BY990-[3]QC_indicators!$B$1)&gt;3*[3]QC_indicators!$C$1,"DF","no")))</f>
        <v>0</v>
      </c>
      <c r="ET990" s="264" t="s">
        <v>3176</v>
      </c>
    </row>
    <row r="991" spans="1:150" ht="15" hidden="1" customHeight="1">
      <c r="A991" s="1" t="s">
        <v>1936</v>
      </c>
      <c r="B991" t="s">
        <v>1937</v>
      </c>
      <c r="C991" t="s">
        <v>1938</v>
      </c>
      <c r="D991" t="s">
        <v>1939</v>
      </c>
      <c r="E991" t="s">
        <v>1940</v>
      </c>
      <c r="F991" t="s">
        <v>1941</v>
      </c>
      <c r="G991" t="s">
        <v>1942</v>
      </c>
      <c r="H991" t="s">
        <v>1627</v>
      </c>
      <c r="I991">
        <v>2005</v>
      </c>
      <c r="J991">
        <v>91</v>
      </c>
      <c r="K991" t="s">
        <v>1943</v>
      </c>
      <c r="M991" t="str">
        <f t="shared" si="1249"/>
        <v>Loustau_2005</v>
      </c>
      <c r="N991" s="329" t="s">
        <v>4382</v>
      </c>
      <c r="O991" s="145" t="s">
        <v>225</v>
      </c>
      <c r="Q991" t="s">
        <v>256</v>
      </c>
      <c r="R991" s="262" t="s">
        <v>223</v>
      </c>
      <c r="S991" s="1" t="s">
        <v>90</v>
      </c>
      <c r="T991" t="s">
        <v>1949</v>
      </c>
      <c r="U991" s="143" t="s">
        <v>1950</v>
      </c>
      <c r="V991">
        <v>0</v>
      </c>
      <c r="W991">
        <v>0</v>
      </c>
      <c r="X991">
        <v>1</v>
      </c>
      <c r="Y991">
        <v>0</v>
      </c>
      <c r="Z991">
        <v>0</v>
      </c>
      <c r="AA991">
        <v>0</v>
      </c>
      <c r="AB991">
        <v>0</v>
      </c>
      <c r="AC991">
        <v>0</v>
      </c>
      <c r="AD991">
        <v>0</v>
      </c>
      <c r="AE991">
        <v>0</v>
      </c>
      <c r="AF991">
        <v>0</v>
      </c>
      <c r="AG991">
        <v>0</v>
      </c>
      <c r="AH991">
        <v>0</v>
      </c>
      <c r="AI991">
        <v>0</v>
      </c>
      <c r="AJ991">
        <v>0</v>
      </c>
      <c r="AK991">
        <v>0</v>
      </c>
      <c r="AL991">
        <v>0</v>
      </c>
      <c r="AM991">
        <v>0</v>
      </c>
      <c r="AN991">
        <v>0</v>
      </c>
      <c r="AO991">
        <v>0</v>
      </c>
      <c r="AP991">
        <v>0</v>
      </c>
      <c r="AQ991">
        <v>0</v>
      </c>
      <c r="AR991">
        <v>0</v>
      </c>
      <c r="AS991">
        <v>0</v>
      </c>
      <c r="AT991">
        <v>0</v>
      </c>
      <c r="AU991">
        <v>0</v>
      </c>
      <c r="AV991">
        <v>0</v>
      </c>
      <c r="AW991">
        <v>0</v>
      </c>
      <c r="AX991" s="141">
        <f t="shared" si="1283"/>
        <v>1</v>
      </c>
      <c r="AY991" s="141">
        <f t="shared" si="1284"/>
        <v>1</v>
      </c>
      <c r="AZ991">
        <f t="shared" si="1285"/>
        <v>1</v>
      </c>
      <c r="BA991">
        <f t="shared" si="1286"/>
        <v>0</v>
      </c>
      <c r="BB991">
        <f t="shared" si="1287"/>
        <v>0</v>
      </c>
      <c r="BC991">
        <f t="shared" si="1288"/>
        <v>0</v>
      </c>
      <c r="BD991">
        <f t="shared" si="1289"/>
        <v>0</v>
      </c>
      <c r="BE991" t="str">
        <f t="array" ref="BE991">IF(AY991=1,INDEX($V$7:$AL$7,MATCH(TRUE,INDEX($V991:$AW991&lt;&gt;0,),0)),IF(AY991=0,INDEX($AM$7:$AW$7,MATCH(1,$AM991:$AW991,0)),IF(BF991="Multiple strategies","mixed drivers",IF(BF991="Supply chain","multiple supply","multiple silviculture"))))</f>
        <v>rotation length</v>
      </c>
      <c r="BF991" s="2" t="str" cm="1">
        <f t="array" ref="BF991">IF(COUNTIF(AZ991:BB991,"&lt;&gt;0")=1,INDEX($V$4:$AW$4,MATCH(TRUE,INDEX($V991:$AW991&lt;&gt;0,),0)),IF(COUNTIF(AZ991:BB991,"&lt;&gt;0")=0,INDEX($AM$4:$AW$4,MATCH(1,$AM991:$AW991,0)),"Multiple strategies"))</f>
        <v>Silviculture for removals</v>
      </c>
      <c r="BG991" s="142"/>
      <c r="BL991" s="143"/>
      <c r="BM991" s="163"/>
      <c r="BO991" s="159"/>
      <c r="BP991" t="s">
        <v>232</v>
      </c>
      <c r="BQ991" s="153" t="s">
        <v>3175</v>
      </c>
      <c r="BR991" t="s">
        <v>1946</v>
      </c>
      <c r="BS991" s="143">
        <v>355</v>
      </c>
      <c r="BT991">
        <v>377</v>
      </c>
      <c r="BU991" s="144">
        <f t="shared" si="1290"/>
        <v>1.0619718309859154</v>
      </c>
      <c r="BV991">
        <f t="shared" si="1291"/>
        <v>22</v>
      </c>
      <c r="BX991">
        <f t="shared" si="1292"/>
        <v>8.0740000000000003E-5</v>
      </c>
      <c r="BY991" t="str">
        <f t="shared" si="1195"/>
        <v/>
      </c>
      <c r="BZ991">
        <v>0</v>
      </c>
      <c r="CA991">
        <v>0</v>
      </c>
      <c r="CB991">
        <v>0</v>
      </c>
      <c r="CC991">
        <v>0</v>
      </c>
      <c r="CD991">
        <v>0</v>
      </c>
      <c r="CE991">
        <v>0</v>
      </c>
      <c r="CF991">
        <v>0</v>
      </c>
      <c r="CG991">
        <v>0</v>
      </c>
      <c r="CH991">
        <v>0</v>
      </c>
      <c r="CI991">
        <v>0</v>
      </c>
      <c r="CJ991">
        <v>0</v>
      </c>
      <c r="CK991">
        <v>0</v>
      </c>
      <c r="CL991">
        <v>0</v>
      </c>
      <c r="CM991">
        <v>0</v>
      </c>
      <c r="CN991" t="str">
        <f t="shared" si="1293"/>
        <v>refOK</v>
      </c>
      <c r="CO991">
        <f t="shared" si="1294"/>
        <v>0</v>
      </c>
      <c r="CP991">
        <f t="shared" si="1295"/>
        <v>0</v>
      </c>
      <c r="CQ991">
        <f t="shared" si="1296"/>
        <v>0</v>
      </c>
      <c r="CR991">
        <f t="shared" si="1297"/>
        <v>355</v>
      </c>
      <c r="CS991">
        <f t="shared" si="1298"/>
        <v>377</v>
      </c>
      <c r="CT991">
        <f t="shared" si="1299"/>
        <v>8.0740000000000003E-5</v>
      </c>
      <c r="CU991" t="str">
        <f t="shared" si="1300"/>
        <v/>
      </c>
      <c r="CV991" s="2">
        <f t="shared" si="1301"/>
        <v>6.1971830985915494E-2</v>
      </c>
      <c r="CW991" s="1" t="s">
        <v>1202</v>
      </c>
      <c r="CX991" t="str">
        <f t="shared" si="1302"/>
        <v>reg</v>
      </c>
      <c r="CY991" t="s">
        <v>729</v>
      </c>
      <c r="CZ991">
        <v>1981</v>
      </c>
      <c r="DA991" s="143">
        <v>2080</v>
      </c>
      <c r="DB991" s="143">
        <f t="shared" si="1303"/>
        <v>99</v>
      </c>
      <c r="DC991" t="str">
        <f t="shared" si="1304"/>
        <v>71-100</v>
      </c>
      <c r="DD991">
        <v>1</v>
      </c>
      <c r="DE991">
        <v>0</v>
      </c>
      <c r="DF991">
        <v>0</v>
      </c>
      <c r="DG991">
        <v>0</v>
      </c>
      <c r="DI991">
        <f t="shared" si="1305"/>
        <v>1</v>
      </c>
      <c r="DJ991" t="str">
        <f t="shared" si="1306"/>
        <v>UpstreamInput</v>
      </c>
      <c r="DK991" t="str">
        <f t="shared" si="1307"/>
        <v>Upstream</v>
      </c>
      <c r="DL991">
        <f t="shared" si="1308"/>
        <v>0</v>
      </c>
      <c r="DM991">
        <f t="shared" si="1309"/>
        <v>0</v>
      </c>
      <c r="DN991">
        <f t="shared" si="1310"/>
        <v>0</v>
      </c>
      <c r="DO991">
        <v>0</v>
      </c>
      <c r="DP991" s="143">
        <v>0</v>
      </c>
      <c r="DQ991" s="143">
        <v>0</v>
      </c>
      <c r="DR991">
        <v>0</v>
      </c>
      <c r="DS991" s="143">
        <v>0</v>
      </c>
      <c r="DT991">
        <f t="shared" si="1311"/>
        <v>0</v>
      </c>
      <c r="DU991" s="143" t="str">
        <f t="shared" si="1312"/>
        <v>explicit C balance</v>
      </c>
      <c r="DV991" s="143">
        <v>1</v>
      </c>
      <c r="DW991" s="143">
        <v>1</v>
      </c>
      <c r="DX991" s="143">
        <v>1</v>
      </c>
      <c r="DY991" s="143">
        <v>0</v>
      </c>
      <c r="DZ991">
        <v>0</v>
      </c>
      <c r="EA991" s="143">
        <v>0</v>
      </c>
      <c r="EB991" s="143">
        <v>0</v>
      </c>
      <c r="EC991" s="143">
        <v>0</v>
      </c>
      <c r="ED991" s="143">
        <v>0</v>
      </c>
      <c r="EE991">
        <v>0</v>
      </c>
      <c r="EF991">
        <v>0</v>
      </c>
      <c r="EG991" s="143">
        <v>0</v>
      </c>
      <c r="EH991">
        <v>0</v>
      </c>
      <c r="EI991" s="2">
        <v>0</v>
      </c>
      <c r="EK991" t="str">
        <f t="shared" si="1313"/>
        <v/>
      </c>
      <c r="EL991" t="str">
        <f t="shared" si="1314"/>
        <v/>
      </c>
      <c r="EM991" s="2" t="str">
        <f t="shared" si="1223"/>
        <v/>
      </c>
      <c r="EP991" t="b">
        <f>IF(ISNUMBER(BU991),IF(ABS(BU991-[3]QC_indicators!$B$2)&gt;3*[3]QC_indicators!$C$2,"C ratio",IF(ISNUMBER(BY991),IF(ABS(BY991-[3]QC_indicators!$B$1)&gt;3*[3]QC_indicators!$C$1,"DF","no"))),IF(ISNUMBER(BY991),IF(ABS(BY991-[3]QC_indicators!$B$1)&gt;3*[3]QC_indicators!$C$1,"DF","no")))</f>
        <v>0</v>
      </c>
      <c r="ET991" s="264" t="s">
        <v>3176</v>
      </c>
    </row>
    <row r="992" spans="1:150" ht="15" hidden="1" customHeight="1">
      <c r="A992" s="1" t="s">
        <v>1936</v>
      </c>
      <c r="B992" t="s">
        <v>1937</v>
      </c>
      <c r="C992" t="s">
        <v>1938</v>
      </c>
      <c r="D992" t="s">
        <v>1939</v>
      </c>
      <c r="E992" t="s">
        <v>1940</v>
      </c>
      <c r="F992" t="s">
        <v>1941</v>
      </c>
      <c r="G992" t="s">
        <v>1942</v>
      </c>
      <c r="H992" t="s">
        <v>1627</v>
      </c>
      <c r="I992">
        <v>2005</v>
      </c>
      <c r="J992">
        <v>91</v>
      </c>
      <c r="K992" t="s">
        <v>1943</v>
      </c>
      <c r="M992" t="str">
        <f t="shared" si="1249"/>
        <v>Loustau_2005</v>
      </c>
      <c r="N992" s="329" t="s">
        <v>4382</v>
      </c>
      <c r="O992" s="145" t="s">
        <v>225</v>
      </c>
      <c r="Q992" t="s">
        <v>256</v>
      </c>
      <c r="R992" s="262" t="s">
        <v>223</v>
      </c>
      <c r="S992" s="1" t="s">
        <v>90</v>
      </c>
      <c r="T992" t="s">
        <v>1951</v>
      </c>
      <c r="U992" s="143" t="s">
        <v>1952</v>
      </c>
      <c r="V992">
        <v>0</v>
      </c>
      <c r="W992">
        <v>0</v>
      </c>
      <c r="X992">
        <v>1</v>
      </c>
      <c r="Y992">
        <v>0</v>
      </c>
      <c r="Z992">
        <v>0</v>
      </c>
      <c r="AA992">
        <v>0</v>
      </c>
      <c r="AB992">
        <v>0</v>
      </c>
      <c r="AC992">
        <v>0</v>
      </c>
      <c r="AD992">
        <v>0</v>
      </c>
      <c r="AE992">
        <v>0</v>
      </c>
      <c r="AF992">
        <v>0</v>
      </c>
      <c r="AG992">
        <v>0</v>
      </c>
      <c r="AH992">
        <v>0</v>
      </c>
      <c r="AI992">
        <v>0</v>
      </c>
      <c r="AJ992">
        <v>0</v>
      </c>
      <c r="AK992">
        <v>0</v>
      </c>
      <c r="AL992">
        <v>0</v>
      </c>
      <c r="AM992">
        <v>0</v>
      </c>
      <c r="AN992">
        <v>0</v>
      </c>
      <c r="AO992">
        <v>0</v>
      </c>
      <c r="AP992">
        <v>0</v>
      </c>
      <c r="AQ992">
        <v>0</v>
      </c>
      <c r="AR992">
        <v>0</v>
      </c>
      <c r="AS992">
        <v>0</v>
      </c>
      <c r="AT992">
        <v>0</v>
      </c>
      <c r="AU992">
        <v>0</v>
      </c>
      <c r="AV992">
        <v>0</v>
      </c>
      <c r="AW992">
        <v>0</v>
      </c>
      <c r="AX992" s="141">
        <f t="shared" si="1283"/>
        <v>1</v>
      </c>
      <c r="AY992" s="141">
        <f t="shared" si="1284"/>
        <v>1</v>
      </c>
      <c r="AZ992">
        <f t="shared" si="1285"/>
        <v>1</v>
      </c>
      <c r="BA992">
        <f t="shared" si="1286"/>
        <v>0</v>
      </c>
      <c r="BB992">
        <f t="shared" si="1287"/>
        <v>0</v>
      </c>
      <c r="BC992">
        <f t="shared" si="1288"/>
        <v>0</v>
      </c>
      <c r="BD992">
        <f t="shared" si="1289"/>
        <v>0</v>
      </c>
      <c r="BE992" t="str">
        <f t="array" ref="BE992">IF(AY992=1,INDEX($V$7:$AL$7,MATCH(TRUE,INDEX($V992:$AW992&lt;&gt;0,),0)),IF(AY992=0,INDEX($AM$7:$AW$7,MATCH(1,$AM992:$AW992,0)),IF(BF992="Multiple strategies","mixed drivers",IF(BF992="Supply chain","multiple supply","multiple silviculture"))))</f>
        <v>rotation length</v>
      </c>
      <c r="BF992" s="2" t="str" cm="1">
        <f t="array" ref="BF992">IF(COUNTIF(AZ992:BB992,"&lt;&gt;0")=1,INDEX($V$4:$AW$4,MATCH(TRUE,INDEX($V992:$AW992&lt;&gt;0,),0)),IF(COUNTIF(AZ992:BB992,"&lt;&gt;0")=0,INDEX($AM$4:$AW$4,MATCH(1,$AM992:$AW992,0)),"Multiple strategies"))</f>
        <v>Silviculture for removals</v>
      </c>
      <c r="BG992" s="142"/>
      <c r="BL992" s="143"/>
      <c r="BM992" s="163"/>
      <c r="BO992" s="159"/>
      <c r="BP992" t="s">
        <v>232</v>
      </c>
      <c r="BQ992" s="153" t="s">
        <v>3175</v>
      </c>
      <c r="BR992" t="s">
        <v>1946</v>
      </c>
      <c r="BS992" s="143">
        <v>377</v>
      </c>
      <c r="BT992">
        <v>444</v>
      </c>
      <c r="BU992" s="144">
        <f t="shared" si="1290"/>
        <v>1.1777188328912467</v>
      </c>
      <c r="BV992">
        <f t="shared" si="1291"/>
        <v>67</v>
      </c>
      <c r="BX992">
        <f t="shared" si="1292"/>
        <v>2.4589000000000002E-4</v>
      </c>
      <c r="BY992" t="str">
        <f t="shared" si="1195"/>
        <v/>
      </c>
      <c r="BZ992">
        <v>0</v>
      </c>
      <c r="CA992">
        <v>0</v>
      </c>
      <c r="CB992">
        <v>0</v>
      </c>
      <c r="CC992">
        <v>0</v>
      </c>
      <c r="CD992">
        <v>0</v>
      </c>
      <c r="CE992">
        <v>0</v>
      </c>
      <c r="CF992">
        <v>0</v>
      </c>
      <c r="CG992">
        <v>0</v>
      </c>
      <c r="CH992">
        <v>0</v>
      </c>
      <c r="CI992">
        <v>0</v>
      </c>
      <c r="CJ992">
        <v>0</v>
      </c>
      <c r="CK992">
        <v>0</v>
      </c>
      <c r="CL992">
        <v>0</v>
      </c>
      <c r="CM992">
        <v>0</v>
      </c>
      <c r="CN992" t="str">
        <f t="shared" si="1293"/>
        <v>refOK</v>
      </c>
      <c r="CO992">
        <f t="shared" si="1294"/>
        <v>0</v>
      </c>
      <c r="CP992">
        <f t="shared" si="1295"/>
        <v>0</v>
      </c>
      <c r="CQ992">
        <f t="shared" si="1296"/>
        <v>0</v>
      </c>
      <c r="CR992">
        <f t="shared" si="1297"/>
        <v>377</v>
      </c>
      <c r="CS992">
        <f t="shared" si="1298"/>
        <v>444</v>
      </c>
      <c r="CT992">
        <f t="shared" si="1299"/>
        <v>2.4589000000000002E-4</v>
      </c>
      <c r="CU992" t="str">
        <f t="shared" si="1300"/>
        <v/>
      </c>
      <c r="CV992" s="2">
        <f t="shared" si="1301"/>
        <v>0.17771883289124668</v>
      </c>
      <c r="CW992" s="1" t="s">
        <v>1202</v>
      </c>
      <c r="CX992" t="str">
        <f t="shared" si="1302"/>
        <v>reg</v>
      </c>
      <c r="CY992" t="s">
        <v>729</v>
      </c>
      <c r="CZ992">
        <v>1981</v>
      </c>
      <c r="DA992" s="143">
        <v>2080</v>
      </c>
      <c r="DB992" s="143">
        <f t="shared" si="1303"/>
        <v>99</v>
      </c>
      <c r="DC992" t="str">
        <f t="shared" si="1304"/>
        <v>71-100</v>
      </c>
      <c r="DD992">
        <v>1</v>
      </c>
      <c r="DE992">
        <v>0</v>
      </c>
      <c r="DF992">
        <v>0</v>
      </c>
      <c r="DG992">
        <v>0</v>
      </c>
      <c r="DI992">
        <f t="shared" si="1305"/>
        <v>1</v>
      </c>
      <c r="DJ992" t="str">
        <f t="shared" si="1306"/>
        <v>UpstreamInput</v>
      </c>
      <c r="DK992" t="str">
        <f t="shared" si="1307"/>
        <v>Upstream</v>
      </c>
      <c r="DL992">
        <f t="shared" si="1308"/>
        <v>0</v>
      </c>
      <c r="DM992">
        <f t="shared" si="1309"/>
        <v>0</v>
      </c>
      <c r="DN992">
        <f t="shared" si="1310"/>
        <v>0</v>
      </c>
      <c r="DO992">
        <v>0</v>
      </c>
      <c r="DP992" s="143">
        <v>0</v>
      </c>
      <c r="DQ992" s="143">
        <v>0</v>
      </c>
      <c r="DR992">
        <v>0</v>
      </c>
      <c r="DS992" s="143">
        <v>0</v>
      </c>
      <c r="DT992">
        <f t="shared" si="1311"/>
        <v>0</v>
      </c>
      <c r="DU992" s="143" t="str">
        <f t="shared" si="1312"/>
        <v>explicit C balance</v>
      </c>
      <c r="DV992" s="143">
        <v>1</v>
      </c>
      <c r="DW992" s="143">
        <v>1</v>
      </c>
      <c r="DX992" s="143">
        <v>1</v>
      </c>
      <c r="DY992" s="143">
        <v>0</v>
      </c>
      <c r="DZ992">
        <v>0</v>
      </c>
      <c r="EA992" s="143">
        <v>0</v>
      </c>
      <c r="EB992" s="143">
        <v>0</v>
      </c>
      <c r="EC992" s="143">
        <v>0</v>
      </c>
      <c r="ED992" s="143">
        <v>0</v>
      </c>
      <c r="EE992">
        <v>0</v>
      </c>
      <c r="EF992">
        <v>0</v>
      </c>
      <c r="EG992" s="143">
        <v>0</v>
      </c>
      <c r="EH992">
        <v>0</v>
      </c>
      <c r="EI992" s="2">
        <v>0</v>
      </c>
      <c r="EK992" t="str">
        <f t="shared" si="1313"/>
        <v/>
      </c>
      <c r="EL992" t="str">
        <f t="shared" si="1314"/>
        <v/>
      </c>
      <c r="EM992" s="2" t="str">
        <f t="shared" si="1223"/>
        <v/>
      </c>
      <c r="EP992" t="b">
        <f>IF(ISNUMBER(BU992),IF(ABS(BU992-[3]QC_indicators!$B$2)&gt;3*[3]QC_indicators!$C$2,"C ratio",IF(ISNUMBER(BY992),IF(ABS(BY992-[3]QC_indicators!$B$1)&gt;3*[3]QC_indicators!$C$1,"DF","no"))),IF(ISNUMBER(BY992),IF(ABS(BY992-[3]QC_indicators!$B$1)&gt;3*[3]QC_indicators!$C$1,"DF","no")))</f>
        <v>0</v>
      </c>
      <c r="ET992" s="264" t="s">
        <v>3176</v>
      </c>
    </row>
    <row r="993" spans="1:151" ht="15" hidden="1" customHeight="1">
      <c r="A993" s="1" t="s">
        <v>1936</v>
      </c>
      <c r="B993" t="s">
        <v>1937</v>
      </c>
      <c r="C993" t="s">
        <v>1938</v>
      </c>
      <c r="D993" t="s">
        <v>1939</v>
      </c>
      <c r="E993" t="s">
        <v>1940</v>
      </c>
      <c r="F993" t="s">
        <v>1941</v>
      </c>
      <c r="G993" t="s">
        <v>1942</v>
      </c>
      <c r="H993" t="s">
        <v>1627</v>
      </c>
      <c r="I993">
        <v>2005</v>
      </c>
      <c r="J993">
        <v>91</v>
      </c>
      <c r="K993" t="s">
        <v>1943</v>
      </c>
      <c r="M993" t="str">
        <f t="shared" si="1249"/>
        <v>Loustau_2005</v>
      </c>
      <c r="N993" s="329" t="s">
        <v>4382</v>
      </c>
      <c r="O993" s="145" t="s">
        <v>225</v>
      </c>
      <c r="Q993" t="s">
        <v>256</v>
      </c>
      <c r="R993" s="262" t="s">
        <v>223</v>
      </c>
      <c r="S993" s="1" t="s">
        <v>90</v>
      </c>
      <c r="T993" s="143" t="s">
        <v>1953</v>
      </c>
      <c r="U993" t="s">
        <v>1945</v>
      </c>
      <c r="V993">
        <v>0</v>
      </c>
      <c r="W993">
        <v>0</v>
      </c>
      <c r="X993">
        <v>1</v>
      </c>
      <c r="Y993">
        <v>0</v>
      </c>
      <c r="Z993">
        <v>0</v>
      </c>
      <c r="AA993">
        <v>0</v>
      </c>
      <c r="AB993">
        <v>0</v>
      </c>
      <c r="AC993">
        <v>0</v>
      </c>
      <c r="AD993">
        <v>0</v>
      </c>
      <c r="AE993">
        <v>0</v>
      </c>
      <c r="AF993">
        <v>0</v>
      </c>
      <c r="AG993">
        <v>0</v>
      </c>
      <c r="AH993">
        <v>0</v>
      </c>
      <c r="AI993">
        <v>0</v>
      </c>
      <c r="AJ993">
        <v>0</v>
      </c>
      <c r="AK993">
        <v>0</v>
      </c>
      <c r="AL993">
        <v>0</v>
      </c>
      <c r="AM993">
        <v>0</v>
      </c>
      <c r="AN993">
        <v>0</v>
      </c>
      <c r="AO993">
        <v>0</v>
      </c>
      <c r="AP993">
        <v>0</v>
      </c>
      <c r="AQ993">
        <v>0</v>
      </c>
      <c r="AR993">
        <v>0</v>
      </c>
      <c r="AS993">
        <v>0</v>
      </c>
      <c r="AT993">
        <v>0</v>
      </c>
      <c r="AU993">
        <v>0</v>
      </c>
      <c r="AV993">
        <v>0</v>
      </c>
      <c r="AW993">
        <v>0</v>
      </c>
      <c r="AX993" s="141">
        <f t="shared" si="1283"/>
        <v>1</v>
      </c>
      <c r="AY993" s="141">
        <f t="shared" si="1284"/>
        <v>1</v>
      </c>
      <c r="AZ993">
        <f t="shared" si="1285"/>
        <v>1</v>
      </c>
      <c r="BA993">
        <f t="shared" si="1286"/>
        <v>0</v>
      </c>
      <c r="BB993">
        <f t="shared" si="1287"/>
        <v>0</v>
      </c>
      <c r="BC993">
        <f t="shared" si="1288"/>
        <v>0</v>
      </c>
      <c r="BD993">
        <f t="shared" si="1289"/>
        <v>0</v>
      </c>
      <c r="BE993" t="str">
        <f t="array" ref="BE993">IF(AY993=1,INDEX($V$7:$AL$7,MATCH(TRUE,INDEX($V993:$AW993&lt;&gt;0,),0)),IF(AY993=0,INDEX($AM$7:$AW$7,MATCH(1,$AM993:$AW993,0)),IF(BF993="Multiple strategies","mixed drivers",IF(BF993="Supply chain","multiple supply","multiple silviculture"))))</f>
        <v>rotation length</v>
      </c>
      <c r="BF993" s="2" t="str" cm="1">
        <f t="array" ref="BF993">IF(COUNTIF(AZ993:BB993,"&lt;&gt;0")=1,INDEX($V$4:$AW$4,MATCH(TRUE,INDEX($V993:$AW993&lt;&gt;0,),0)),IF(COUNTIF(AZ993:BB993,"&lt;&gt;0")=0,INDEX($AM$4:$AW$4,MATCH(1,$AM993:$AW993,0)),"Multiple strategies"))</f>
        <v>Silviculture for removals</v>
      </c>
      <c r="BG993" s="142"/>
      <c r="BK993" s="143"/>
      <c r="BL993" s="143"/>
      <c r="BO993" s="159"/>
      <c r="BP993" t="s">
        <v>232</v>
      </c>
      <c r="BQ993" s="153" t="s">
        <v>3175</v>
      </c>
      <c r="BR993" t="s">
        <v>1946</v>
      </c>
      <c r="BS993">
        <v>177</v>
      </c>
      <c r="BT993" s="143">
        <v>473</v>
      </c>
      <c r="BU993" s="144">
        <f t="shared" si="1290"/>
        <v>2.6723163841807911</v>
      </c>
      <c r="BV993">
        <f t="shared" si="1291"/>
        <v>296</v>
      </c>
      <c r="BX993">
        <f t="shared" si="1292"/>
        <v>1.08632E-3</v>
      </c>
      <c r="BY993" t="str">
        <f t="shared" si="1195"/>
        <v/>
      </c>
      <c r="BZ993">
        <v>0</v>
      </c>
      <c r="CA993">
        <v>0</v>
      </c>
      <c r="CB993">
        <v>0</v>
      </c>
      <c r="CC993">
        <v>0</v>
      </c>
      <c r="CD993">
        <v>0</v>
      </c>
      <c r="CE993">
        <v>0</v>
      </c>
      <c r="CF993">
        <v>0</v>
      </c>
      <c r="CG993">
        <v>0</v>
      </c>
      <c r="CH993">
        <v>0</v>
      </c>
      <c r="CI993">
        <v>0</v>
      </c>
      <c r="CJ993">
        <v>0</v>
      </c>
      <c r="CK993">
        <v>0</v>
      </c>
      <c r="CL993">
        <v>0</v>
      </c>
      <c r="CM993">
        <v>0</v>
      </c>
      <c r="CN993" t="str">
        <f t="shared" si="1293"/>
        <v>refOK</v>
      </c>
      <c r="CO993">
        <f t="shared" si="1294"/>
        <v>0</v>
      </c>
      <c r="CP993">
        <f t="shared" si="1295"/>
        <v>0</v>
      </c>
      <c r="CQ993">
        <f t="shared" si="1296"/>
        <v>0</v>
      </c>
      <c r="CR993">
        <f t="shared" si="1297"/>
        <v>177</v>
      </c>
      <c r="CS993">
        <f t="shared" si="1298"/>
        <v>473</v>
      </c>
      <c r="CT993">
        <f t="shared" si="1299"/>
        <v>1.08632E-3</v>
      </c>
      <c r="CU993" t="str">
        <f t="shared" si="1300"/>
        <v/>
      </c>
      <c r="CV993" s="2">
        <f t="shared" si="1301"/>
        <v>1.6723163841807909</v>
      </c>
      <c r="CW993" s="1" t="s">
        <v>1202</v>
      </c>
      <c r="CX993" t="str">
        <f t="shared" si="1302"/>
        <v>reg</v>
      </c>
      <c r="CY993" t="s">
        <v>729</v>
      </c>
      <c r="CZ993">
        <v>1981</v>
      </c>
      <c r="DA993" s="143">
        <v>2080</v>
      </c>
      <c r="DB993" s="143">
        <f t="shared" si="1303"/>
        <v>99</v>
      </c>
      <c r="DC993" t="str">
        <f t="shared" si="1304"/>
        <v>71-100</v>
      </c>
      <c r="DD993">
        <v>1</v>
      </c>
      <c r="DE993">
        <v>0</v>
      </c>
      <c r="DF993">
        <v>0</v>
      </c>
      <c r="DG993">
        <v>0</v>
      </c>
      <c r="DI993">
        <f t="shared" si="1305"/>
        <v>1</v>
      </c>
      <c r="DJ993" t="str">
        <f t="shared" si="1306"/>
        <v>UpstreamInput</v>
      </c>
      <c r="DK993" t="str">
        <f t="shared" si="1307"/>
        <v>Upstream</v>
      </c>
      <c r="DL993">
        <f t="shared" si="1308"/>
        <v>0</v>
      </c>
      <c r="DM993">
        <f t="shared" si="1309"/>
        <v>0</v>
      </c>
      <c r="DN993">
        <f t="shared" si="1310"/>
        <v>0</v>
      </c>
      <c r="DO993">
        <v>0</v>
      </c>
      <c r="DP993" s="143">
        <v>0</v>
      </c>
      <c r="DQ993" s="143">
        <v>0</v>
      </c>
      <c r="DR993">
        <v>0</v>
      </c>
      <c r="DS993" s="143">
        <v>0</v>
      </c>
      <c r="DT993">
        <f t="shared" si="1311"/>
        <v>0</v>
      </c>
      <c r="DU993" s="143" t="str">
        <f t="shared" si="1312"/>
        <v>explicit C balance</v>
      </c>
      <c r="DV993" s="143">
        <v>1</v>
      </c>
      <c r="DW993" s="143">
        <v>1</v>
      </c>
      <c r="DX993" s="143">
        <v>1</v>
      </c>
      <c r="DY993" s="143">
        <v>0</v>
      </c>
      <c r="DZ993">
        <v>0</v>
      </c>
      <c r="EA993" s="143">
        <v>0</v>
      </c>
      <c r="EB993" s="143">
        <v>0</v>
      </c>
      <c r="EC993" s="143">
        <v>0</v>
      </c>
      <c r="ED993" s="143">
        <v>0</v>
      </c>
      <c r="EE993">
        <v>0</v>
      </c>
      <c r="EF993">
        <v>0</v>
      </c>
      <c r="EG993" s="143">
        <v>0</v>
      </c>
      <c r="EH993">
        <v>0</v>
      </c>
      <c r="EI993" s="2">
        <v>0</v>
      </c>
      <c r="EK993" t="str">
        <f t="shared" si="1313"/>
        <v/>
      </c>
      <c r="EL993" t="str">
        <f t="shared" si="1314"/>
        <v/>
      </c>
      <c r="EM993" s="2" t="str">
        <f t="shared" si="1223"/>
        <v/>
      </c>
      <c r="EP993" t="b">
        <f>IF(ISNUMBER(BU993),IF(ABS(BU993-[3]QC_indicators!$B$2)&gt;3*[3]QC_indicators!$C$2,"C ratio",IF(ISNUMBER(BY993),IF(ABS(BY993-[3]QC_indicators!$B$1)&gt;3*[3]QC_indicators!$C$1,"DF","no"))),IF(ISNUMBER(BY993),IF(ABS(BY993-[3]QC_indicators!$B$1)&gt;3*[3]QC_indicators!$C$1,"DF","no")))</f>
        <v>0</v>
      </c>
      <c r="ET993" s="264" t="s">
        <v>3176</v>
      </c>
    </row>
    <row r="994" spans="1:151" ht="15" hidden="1" customHeight="1">
      <c r="A994" s="1" t="s">
        <v>1936</v>
      </c>
      <c r="B994" t="s">
        <v>1937</v>
      </c>
      <c r="C994" t="s">
        <v>1938</v>
      </c>
      <c r="D994" t="s">
        <v>1939</v>
      </c>
      <c r="E994" t="s">
        <v>1940</v>
      </c>
      <c r="F994" t="s">
        <v>1941</v>
      </c>
      <c r="G994" t="s">
        <v>1942</v>
      </c>
      <c r="H994" t="s">
        <v>1627</v>
      </c>
      <c r="I994">
        <v>2005</v>
      </c>
      <c r="J994">
        <v>91</v>
      </c>
      <c r="K994" t="s">
        <v>1943</v>
      </c>
      <c r="M994" t="str">
        <f t="shared" si="1249"/>
        <v>Loustau_2005</v>
      </c>
      <c r="N994" s="329" t="s">
        <v>4382</v>
      </c>
      <c r="O994" s="145" t="s">
        <v>225</v>
      </c>
      <c r="Q994" t="s">
        <v>256</v>
      </c>
      <c r="R994" s="262" t="s">
        <v>223</v>
      </c>
      <c r="S994" s="1" t="s">
        <v>90</v>
      </c>
      <c r="T994" s="143" t="s">
        <v>1954</v>
      </c>
      <c r="U994" t="s">
        <v>1955</v>
      </c>
      <c r="V994">
        <v>0</v>
      </c>
      <c r="W994">
        <v>0</v>
      </c>
      <c r="X994">
        <v>1</v>
      </c>
      <c r="Y994">
        <v>0</v>
      </c>
      <c r="Z994">
        <v>0</v>
      </c>
      <c r="AA994">
        <v>0</v>
      </c>
      <c r="AB994">
        <v>0</v>
      </c>
      <c r="AC994">
        <v>0</v>
      </c>
      <c r="AD994">
        <v>0</v>
      </c>
      <c r="AE994">
        <v>0</v>
      </c>
      <c r="AF994">
        <v>0</v>
      </c>
      <c r="AG994">
        <v>0</v>
      </c>
      <c r="AH994">
        <v>0</v>
      </c>
      <c r="AI994">
        <v>0</v>
      </c>
      <c r="AJ994">
        <v>0</v>
      </c>
      <c r="AK994">
        <v>0</v>
      </c>
      <c r="AL994">
        <v>0</v>
      </c>
      <c r="AM994">
        <v>0</v>
      </c>
      <c r="AN994">
        <v>0</v>
      </c>
      <c r="AO994">
        <v>0</v>
      </c>
      <c r="AP994">
        <v>0</v>
      </c>
      <c r="AQ994">
        <v>0</v>
      </c>
      <c r="AR994">
        <v>0</v>
      </c>
      <c r="AS994">
        <v>0</v>
      </c>
      <c r="AT994">
        <v>0</v>
      </c>
      <c r="AU994">
        <v>0</v>
      </c>
      <c r="AV994">
        <v>0</v>
      </c>
      <c r="AW994">
        <v>0</v>
      </c>
      <c r="AX994" s="141">
        <f t="shared" si="1283"/>
        <v>1</v>
      </c>
      <c r="AY994" s="141">
        <f t="shared" si="1284"/>
        <v>1</v>
      </c>
      <c r="AZ994">
        <f t="shared" si="1285"/>
        <v>1</v>
      </c>
      <c r="BA994">
        <f t="shared" si="1286"/>
        <v>0</v>
      </c>
      <c r="BB994">
        <f t="shared" si="1287"/>
        <v>0</v>
      </c>
      <c r="BC994">
        <f t="shared" si="1288"/>
        <v>0</v>
      </c>
      <c r="BD994">
        <f t="shared" si="1289"/>
        <v>0</v>
      </c>
      <c r="BE994" t="str">
        <f t="array" ref="BE994">IF(AY994=1,INDEX($V$7:$AL$7,MATCH(TRUE,INDEX($V994:$AW994&lt;&gt;0,),0)),IF(AY994=0,INDEX($AM$7:$AW$7,MATCH(1,$AM994:$AW994,0)),IF(BF994="Multiple strategies","mixed drivers",IF(BF994="Supply chain","multiple supply","multiple silviculture"))))</f>
        <v>rotation length</v>
      </c>
      <c r="BF994" s="2" t="str" cm="1">
        <f t="array" ref="BF994">IF(COUNTIF(AZ994:BB994,"&lt;&gt;0")=1,INDEX($V$4:$AW$4,MATCH(TRUE,INDEX($V994:$AW994&lt;&gt;0,),0)),IF(COUNTIF(AZ994:BB994,"&lt;&gt;0")=0,INDEX($AM$4:$AW$4,MATCH(1,$AM994:$AW994,0)),"Multiple strategies"))</f>
        <v>Silviculture for removals</v>
      </c>
      <c r="BG994" s="142"/>
      <c r="BK994" s="143"/>
      <c r="BO994" s="159"/>
      <c r="BP994" t="s">
        <v>232</v>
      </c>
      <c r="BQ994" s="153" t="s">
        <v>3175</v>
      </c>
      <c r="BR994" t="s">
        <v>1946</v>
      </c>
      <c r="BS994">
        <v>217</v>
      </c>
      <c r="BT994" s="143">
        <v>453</v>
      </c>
      <c r="BU994" s="144">
        <f t="shared" si="1290"/>
        <v>2.0875576036866361</v>
      </c>
      <c r="BV994">
        <f t="shared" si="1291"/>
        <v>236</v>
      </c>
      <c r="BX994">
        <f t="shared" si="1292"/>
        <v>8.6611999999999995E-4</v>
      </c>
      <c r="BY994" t="str">
        <f t="shared" si="1195"/>
        <v/>
      </c>
      <c r="BZ994">
        <v>0</v>
      </c>
      <c r="CA994">
        <v>0</v>
      </c>
      <c r="CB994">
        <v>0</v>
      </c>
      <c r="CC994">
        <v>0</v>
      </c>
      <c r="CD994">
        <v>0</v>
      </c>
      <c r="CE994">
        <v>0</v>
      </c>
      <c r="CF994">
        <v>0</v>
      </c>
      <c r="CG994">
        <v>0</v>
      </c>
      <c r="CH994">
        <v>0</v>
      </c>
      <c r="CI994">
        <v>0</v>
      </c>
      <c r="CJ994">
        <v>0</v>
      </c>
      <c r="CK994">
        <v>0</v>
      </c>
      <c r="CL994">
        <v>0</v>
      </c>
      <c r="CM994">
        <v>0</v>
      </c>
      <c r="CN994" t="str">
        <f t="shared" si="1293"/>
        <v>refOK</v>
      </c>
      <c r="CO994">
        <f t="shared" si="1294"/>
        <v>0</v>
      </c>
      <c r="CP994">
        <f t="shared" si="1295"/>
        <v>0</v>
      </c>
      <c r="CQ994">
        <f t="shared" si="1296"/>
        <v>0</v>
      </c>
      <c r="CR994">
        <f t="shared" si="1297"/>
        <v>217</v>
      </c>
      <c r="CS994">
        <f t="shared" si="1298"/>
        <v>453</v>
      </c>
      <c r="CT994">
        <f t="shared" si="1299"/>
        <v>8.6611999999999995E-4</v>
      </c>
      <c r="CU994" t="str">
        <f t="shared" si="1300"/>
        <v/>
      </c>
      <c r="CV994" s="2">
        <f t="shared" si="1301"/>
        <v>1.0875576036866359</v>
      </c>
      <c r="CW994" s="1" t="s">
        <v>1202</v>
      </c>
      <c r="CX994" t="str">
        <f t="shared" si="1302"/>
        <v>reg</v>
      </c>
      <c r="CY994" t="s">
        <v>729</v>
      </c>
      <c r="CZ994">
        <v>1981</v>
      </c>
      <c r="DA994" s="143">
        <v>2080</v>
      </c>
      <c r="DB994" s="143">
        <f t="shared" si="1303"/>
        <v>99</v>
      </c>
      <c r="DC994" t="str">
        <f t="shared" si="1304"/>
        <v>71-100</v>
      </c>
      <c r="DD994">
        <v>1</v>
      </c>
      <c r="DE994">
        <v>0</v>
      </c>
      <c r="DF994">
        <v>0</v>
      </c>
      <c r="DG994">
        <v>0</v>
      </c>
      <c r="DI994">
        <f t="shared" si="1305"/>
        <v>1</v>
      </c>
      <c r="DJ994" t="str">
        <f t="shared" si="1306"/>
        <v>UpstreamInput</v>
      </c>
      <c r="DK994" t="str">
        <f t="shared" si="1307"/>
        <v>Upstream</v>
      </c>
      <c r="DL994">
        <f t="shared" si="1308"/>
        <v>0</v>
      </c>
      <c r="DM994">
        <f t="shared" si="1309"/>
        <v>0</v>
      </c>
      <c r="DN994">
        <f t="shared" si="1310"/>
        <v>0</v>
      </c>
      <c r="DO994">
        <v>0</v>
      </c>
      <c r="DP994" s="143">
        <v>0</v>
      </c>
      <c r="DQ994" s="143">
        <v>0</v>
      </c>
      <c r="DR994">
        <v>0</v>
      </c>
      <c r="DS994" s="143">
        <v>0</v>
      </c>
      <c r="DT994">
        <f t="shared" si="1311"/>
        <v>0</v>
      </c>
      <c r="DU994" s="143" t="str">
        <f t="shared" si="1312"/>
        <v>explicit C balance</v>
      </c>
      <c r="DV994" s="143">
        <v>1</v>
      </c>
      <c r="DW994" s="143">
        <v>1</v>
      </c>
      <c r="DX994" s="143">
        <v>1</v>
      </c>
      <c r="DY994" s="143">
        <v>0</v>
      </c>
      <c r="DZ994">
        <v>0</v>
      </c>
      <c r="EA994" s="143">
        <v>0</v>
      </c>
      <c r="EB994" s="143">
        <v>0</v>
      </c>
      <c r="EC994" s="143">
        <v>0</v>
      </c>
      <c r="ED994" s="143">
        <v>0</v>
      </c>
      <c r="EE994">
        <v>0</v>
      </c>
      <c r="EF994">
        <v>0</v>
      </c>
      <c r="EG994" s="143">
        <v>0</v>
      </c>
      <c r="EH994">
        <v>0</v>
      </c>
      <c r="EI994" s="2">
        <v>0</v>
      </c>
      <c r="EK994" t="str">
        <f t="shared" si="1313"/>
        <v/>
      </c>
      <c r="EL994" t="str">
        <f t="shared" si="1314"/>
        <v/>
      </c>
      <c r="EM994" s="2" t="str">
        <f t="shared" si="1223"/>
        <v/>
      </c>
      <c r="EP994" t="b">
        <f>IF(ISNUMBER(BU994),IF(ABS(BU994-[3]QC_indicators!$B$2)&gt;3*[3]QC_indicators!$C$2,"C ratio",IF(ISNUMBER(BY994),IF(ABS(BY994-[3]QC_indicators!$B$1)&gt;3*[3]QC_indicators!$C$1,"DF","no"))),IF(ISNUMBER(BY994),IF(ABS(BY994-[3]QC_indicators!$B$1)&gt;3*[3]QC_indicators!$C$1,"DF","no")))</f>
        <v>0</v>
      </c>
      <c r="ET994" s="264" t="s">
        <v>3176</v>
      </c>
    </row>
    <row r="995" spans="1:151" ht="15" hidden="1" customHeight="1">
      <c r="A995" s="1" t="s">
        <v>656</v>
      </c>
      <c r="B995" t="s">
        <v>3829</v>
      </c>
      <c r="C995" t="s">
        <v>3830</v>
      </c>
      <c r="D995" t="s">
        <v>3831</v>
      </c>
      <c r="E995" t="s">
        <v>3832</v>
      </c>
      <c r="F995" t="s">
        <v>3833</v>
      </c>
      <c r="G995" t="s">
        <v>662</v>
      </c>
      <c r="H995" t="s">
        <v>254</v>
      </c>
      <c r="I995">
        <v>2016</v>
      </c>
      <c r="J995">
        <v>6</v>
      </c>
      <c r="K995" t="s">
        <v>3834</v>
      </c>
      <c r="M995" t="str">
        <f t="shared" si="1249"/>
        <v>Lun_2016</v>
      </c>
      <c r="N995" s="311" t="s">
        <v>4382</v>
      </c>
      <c r="O995" s="145" t="s">
        <v>225</v>
      </c>
      <c r="Q995" s="311" t="s">
        <v>256</v>
      </c>
      <c r="R995" s="312"/>
      <c r="S995" s="1" t="s">
        <v>3835</v>
      </c>
      <c r="T995" t="s">
        <v>3836</v>
      </c>
      <c r="U995" s="143" t="s">
        <v>3837</v>
      </c>
      <c r="V995">
        <v>0</v>
      </c>
      <c r="W995">
        <v>0</v>
      </c>
      <c r="X995">
        <v>0</v>
      </c>
      <c r="Y995">
        <v>0</v>
      </c>
      <c r="Z995">
        <v>0</v>
      </c>
      <c r="AA995">
        <v>0</v>
      </c>
      <c r="AB995">
        <v>0</v>
      </c>
      <c r="AC995">
        <v>0</v>
      </c>
      <c r="AD995">
        <v>0</v>
      </c>
      <c r="AE995">
        <v>0</v>
      </c>
      <c r="AF995">
        <v>1</v>
      </c>
      <c r="AG995">
        <v>0</v>
      </c>
      <c r="AH995">
        <v>0</v>
      </c>
      <c r="AI995">
        <v>0</v>
      </c>
      <c r="AJ995">
        <v>0</v>
      </c>
      <c r="AK995">
        <v>0</v>
      </c>
      <c r="AL995">
        <v>0</v>
      </c>
      <c r="AM995">
        <v>0</v>
      </c>
      <c r="AN995">
        <v>0</v>
      </c>
      <c r="AO995">
        <v>0</v>
      </c>
      <c r="AP995">
        <v>0</v>
      </c>
      <c r="AQ995">
        <v>0</v>
      </c>
      <c r="AR995">
        <v>0</v>
      </c>
      <c r="AS995">
        <v>0</v>
      </c>
      <c r="AT995">
        <v>0</v>
      </c>
      <c r="AU995">
        <v>0</v>
      </c>
      <c r="AV995">
        <v>0</v>
      </c>
      <c r="AW995">
        <v>0</v>
      </c>
      <c r="AX995" s="141">
        <f t="shared" si="1283"/>
        <v>1</v>
      </c>
      <c r="AY995" s="141">
        <f t="shared" si="1284"/>
        <v>1</v>
      </c>
      <c r="AZ995">
        <f t="shared" si="1285"/>
        <v>0</v>
      </c>
      <c r="BA995">
        <f t="shared" si="1286"/>
        <v>1</v>
      </c>
      <c r="BB995">
        <f t="shared" si="1287"/>
        <v>0</v>
      </c>
      <c r="BC995">
        <f t="shared" si="1288"/>
        <v>0</v>
      </c>
      <c r="BD995">
        <f t="shared" si="1289"/>
        <v>0</v>
      </c>
      <c r="BE995" t="str" cm="1">
        <f t="array" ref="BE995">IF(AY995=1,INDEX($V$7:$AL$7,MATCH(TRUE,INDEX($V995:$AW995&lt;&gt;0,),0)),IF(AY995=0,INDEX($AM$7:$AW$7,MATCH(1,$AM995:$AW995,0)),IF(BF995="Multiple strategies","mixed drivers",IF(BF995="Supply chain","multiple supply","multiple silviculture"))))</f>
        <v>supply chain organization</v>
      </c>
      <c r="BF995" s="2" t="str" cm="1">
        <f t="array" ref="BF995">IF(COUNTIF(AZ995:BB995,"&lt;&gt;0")=1,INDEX($V$4:$AW$4,MATCH(TRUE,INDEX($V995:$AW995&lt;&gt;0,),0)),IF(COUNTIF(AZ995:BB995,"&lt;&gt;0")=0,INDEX($AM$4:$AW$4,MATCH(1,$AM995:$AW995,0)),"Multiple strategies"))</f>
        <v>Supply chain</v>
      </c>
      <c r="BG995" s="142"/>
      <c r="BJ995" s="143"/>
      <c r="BL995" s="143"/>
      <c r="BM995" s="163"/>
      <c r="BN995" s="158"/>
      <c r="BO995" s="143"/>
      <c r="BP995" t="s">
        <v>232</v>
      </c>
      <c r="BR995" t="s">
        <v>3838</v>
      </c>
      <c r="BS995" s="143">
        <v>14.87</v>
      </c>
      <c r="BT995">
        <v>54.14</v>
      </c>
      <c r="BU995" s="144">
        <f t="shared" si="1290"/>
        <v>3.6408876933423002</v>
      </c>
      <c r="BV995">
        <f t="shared" si="1291"/>
        <v>39.270000000000003</v>
      </c>
      <c r="BX995">
        <f>BV995/10^3*C_to_CO2</f>
        <v>0.14412090000000002</v>
      </c>
      <c r="BY995" t="str">
        <f t="shared" si="1195"/>
        <v/>
      </c>
      <c r="BZ995">
        <v>0</v>
      </c>
      <c r="CA995">
        <v>0</v>
      </c>
      <c r="CB995">
        <v>0</v>
      </c>
      <c r="CC995">
        <v>0</v>
      </c>
      <c r="CD995">
        <v>0</v>
      </c>
      <c r="CE995">
        <v>0</v>
      </c>
      <c r="CF995">
        <v>0</v>
      </c>
      <c r="CG995">
        <v>0</v>
      </c>
      <c r="CH995">
        <v>0</v>
      </c>
      <c r="CI995">
        <v>0</v>
      </c>
      <c r="CJ995">
        <v>0</v>
      </c>
      <c r="CK995">
        <v>0</v>
      </c>
      <c r="CL995">
        <v>0</v>
      </c>
      <c r="CM995">
        <v>0</v>
      </c>
      <c r="CN995" t="str">
        <f>IF(BL995&lt;BK995,"refNeedCorrection","refOK")</f>
        <v>refOK</v>
      </c>
      <c r="CO995"/>
      <c r="CP995"/>
      <c r="CQ995"/>
      <c r="CR995">
        <f t="shared" si="1297"/>
        <v>14.87</v>
      </c>
      <c r="CS995">
        <f t="shared" si="1298"/>
        <v>54.14</v>
      </c>
      <c r="CT995">
        <f t="shared" si="1299"/>
        <v>0.14412090000000002</v>
      </c>
      <c r="CU995" t="str">
        <f t="shared" si="1300"/>
        <v/>
      </c>
      <c r="CV995" s="2">
        <f t="shared" si="1301"/>
        <v>2.6408876933423002</v>
      </c>
      <c r="CW995" s="1" t="s">
        <v>234</v>
      </c>
      <c r="CX995" s="311" t="str">
        <f t="shared" si="1302"/>
        <v>loc</v>
      </c>
      <c r="CY995" t="s">
        <v>690</v>
      </c>
      <c r="DA995" s="143"/>
      <c r="DB995" s="143">
        <f t="shared" si="1303"/>
        <v>0</v>
      </c>
      <c r="DC995" t="str">
        <f t="shared" si="1304"/>
        <v>0</v>
      </c>
      <c r="DD995">
        <v>0</v>
      </c>
      <c r="DE995">
        <v>1</v>
      </c>
      <c r="DF995">
        <v>0</v>
      </c>
      <c r="DG995">
        <v>1</v>
      </c>
      <c r="DI995">
        <f t="shared" si="1305"/>
        <v>2</v>
      </c>
      <c r="DJ995" t="str">
        <f t="shared" si="1306"/>
        <v>mixedProduct</v>
      </c>
      <c r="DK995">
        <f t="shared" si="1307"/>
        <v>0</v>
      </c>
      <c r="DL995" t="str">
        <f t="shared" si="1308"/>
        <v>Energy</v>
      </c>
      <c r="DM995">
        <f t="shared" si="1309"/>
        <v>0</v>
      </c>
      <c r="DN995" t="str">
        <f t="shared" si="1310"/>
        <v>Timber</v>
      </c>
      <c r="DO995">
        <v>0</v>
      </c>
      <c r="DP995" s="143">
        <v>0</v>
      </c>
      <c r="DQ995" s="143" t="s">
        <v>3839</v>
      </c>
      <c r="DR995">
        <v>0</v>
      </c>
      <c r="DS995" s="143">
        <v>0</v>
      </c>
      <c r="DT995">
        <f t="shared" si="1311"/>
        <v>0</v>
      </c>
      <c r="DU995" s="143" t="str">
        <f t="shared" si="1312"/>
        <v>explicit C balance</v>
      </c>
      <c r="DV995" s="143">
        <v>0</v>
      </c>
      <c r="DW995" s="143">
        <v>0</v>
      </c>
      <c r="DX995" s="143">
        <v>1</v>
      </c>
      <c r="DY995" s="143">
        <v>1</v>
      </c>
      <c r="DZ995">
        <v>1</v>
      </c>
      <c r="EA995" s="143">
        <v>1</v>
      </c>
      <c r="EB995" s="143">
        <v>1</v>
      </c>
      <c r="EC995" s="143">
        <v>1</v>
      </c>
      <c r="ED995" s="143">
        <v>1</v>
      </c>
      <c r="EE995">
        <v>0</v>
      </c>
      <c r="EF995">
        <v>0</v>
      </c>
      <c r="EG995" s="143">
        <v>0</v>
      </c>
      <c r="EH995">
        <v>0</v>
      </c>
      <c r="EI995" s="2">
        <v>0</v>
      </c>
      <c r="EK995" t="str">
        <f>IF(AND(AND(AND(OR($DX995=1,$DW995=1),OR($EC995=1,$EA995=1)),SUM($DV995:$DZ995,$EF995)&gt;=3),SUM($EA995:$EE995)&gt;=2),"Whole sector","")</f>
        <v>Whole sector</v>
      </c>
      <c r="EL995" t="str">
        <f>IF(AND(AND(OR($DX995=1,$DW995=1),AND($EC995=0,$EA995=0)),SUM($DV995:$DZ995,$EF995)&gt;=3),"Ecosystem approach","")</f>
        <v/>
      </c>
      <c r="EM995" s="2" t="str">
        <f t="shared" si="1223"/>
        <v/>
      </c>
      <c r="EP995" t="b">
        <f>IF(ISNUMBER(BU995),IF(ABS(BU995-[1]QC_indicators!$B$2)&gt;3*[1]QC_indicators!$C$2,"C ratio",IF(ISNUMBER(BY995),IF(ABS(BY995-[1]QC_indicators!$B$1)&gt;3*[1]QC_indicators!$C$1,"DF","no"))),IF(ISNUMBER(BY995),IF(ABS(BY995-[1]QC_indicators!$B$1)&gt;3*[1]QC_indicators!$C$1,"DF","no")))</f>
        <v>0</v>
      </c>
    </row>
    <row r="996" spans="1:151" ht="15" hidden="1" customHeight="1">
      <c r="A996" s="1" t="s">
        <v>656</v>
      </c>
      <c r="B996" t="s">
        <v>3829</v>
      </c>
      <c r="C996" t="s">
        <v>3830</v>
      </c>
      <c r="D996" t="s">
        <v>3831</v>
      </c>
      <c r="E996" t="s">
        <v>3832</v>
      </c>
      <c r="F996" t="s">
        <v>3833</v>
      </c>
      <c r="G996" t="s">
        <v>662</v>
      </c>
      <c r="H996" t="s">
        <v>254</v>
      </c>
      <c r="I996">
        <v>2016</v>
      </c>
      <c r="J996">
        <v>6</v>
      </c>
      <c r="K996" t="s">
        <v>3834</v>
      </c>
      <c r="M996" t="str">
        <f t="shared" si="1249"/>
        <v>Lun_2016</v>
      </c>
      <c r="N996" s="311" t="s">
        <v>4382</v>
      </c>
      <c r="O996" s="145" t="s">
        <v>225</v>
      </c>
      <c r="Q996" s="311" t="s">
        <v>256</v>
      </c>
      <c r="R996" s="312"/>
      <c r="S996" s="1" t="s">
        <v>3835</v>
      </c>
      <c r="T996" t="s">
        <v>3836</v>
      </c>
      <c r="U996" s="143" t="s">
        <v>924</v>
      </c>
      <c r="V996">
        <v>0</v>
      </c>
      <c r="W996">
        <v>0</v>
      </c>
      <c r="X996">
        <v>0</v>
      </c>
      <c r="Y996">
        <v>0</v>
      </c>
      <c r="Z996">
        <v>0</v>
      </c>
      <c r="AA996">
        <v>0</v>
      </c>
      <c r="AB996">
        <v>0</v>
      </c>
      <c r="AC996">
        <v>0</v>
      </c>
      <c r="AD996">
        <v>0</v>
      </c>
      <c r="AE996">
        <v>0</v>
      </c>
      <c r="AF996">
        <v>1</v>
      </c>
      <c r="AG996">
        <v>0</v>
      </c>
      <c r="AH996">
        <v>0</v>
      </c>
      <c r="AI996">
        <v>0</v>
      </c>
      <c r="AJ996">
        <v>0</v>
      </c>
      <c r="AK996">
        <v>0</v>
      </c>
      <c r="AL996">
        <v>0</v>
      </c>
      <c r="AM996">
        <v>0</v>
      </c>
      <c r="AN996">
        <v>0</v>
      </c>
      <c r="AO996">
        <v>0</v>
      </c>
      <c r="AP996">
        <v>0</v>
      </c>
      <c r="AQ996">
        <v>0</v>
      </c>
      <c r="AR996">
        <v>0</v>
      </c>
      <c r="AS996">
        <v>0</v>
      </c>
      <c r="AT996">
        <v>0</v>
      </c>
      <c r="AU996">
        <v>0</v>
      </c>
      <c r="AV996">
        <v>0</v>
      </c>
      <c r="AW996">
        <v>0</v>
      </c>
      <c r="AX996" s="141">
        <f t="shared" si="1283"/>
        <v>1</v>
      </c>
      <c r="AY996" s="141">
        <f t="shared" si="1284"/>
        <v>1</v>
      </c>
      <c r="AZ996">
        <f t="shared" si="1285"/>
        <v>0</v>
      </c>
      <c r="BA996">
        <f t="shared" si="1286"/>
        <v>1</v>
      </c>
      <c r="BB996">
        <f t="shared" si="1287"/>
        <v>0</v>
      </c>
      <c r="BC996">
        <f t="shared" si="1288"/>
        <v>0</v>
      </c>
      <c r="BD996">
        <f t="shared" si="1289"/>
        <v>0</v>
      </c>
      <c r="BE996" t="str" cm="1">
        <f t="array" ref="BE996">IF(AY996=1,INDEX($V$7:$AL$7,MATCH(TRUE,INDEX($V996:$AW996&lt;&gt;0,),0)),IF(AY996=0,INDEX($AM$7:$AW$7,MATCH(1,$AM996:$AW996,0)),IF(BF996="Multiple strategies","mixed drivers",IF(BF996="Supply chain","multiple supply","multiple silviculture"))))</f>
        <v>supply chain organization</v>
      </c>
      <c r="BF996" s="2" t="str" cm="1">
        <f t="array" ref="BF996">IF(COUNTIF(AZ996:BB996,"&lt;&gt;0")=1,INDEX($V$4:$AW$4,MATCH(TRUE,INDEX($V996:$AW996&lt;&gt;0,),0)),IF(COUNTIF(AZ996:BB996,"&lt;&gt;0")=0,INDEX($AM$4:$AW$4,MATCH(1,$AM996:$AW996,0)),"Multiple strategies"))</f>
        <v>Supply chain</v>
      </c>
      <c r="BG996" s="142"/>
      <c r="BJ996" s="143"/>
      <c r="BL996" s="143"/>
      <c r="BM996" s="163"/>
      <c r="BN996" s="158"/>
      <c r="BO996" s="143"/>
      <c r="BP996" t="s">
        <v>232</v>
      </c>
      <c r="BR996" t="s">
        <v>3838</v>
      </c>
      <c r="BS996" s="143">
        <v>14.87</v>
      </c>
      <c r="BT996">
        <v>147.22</v>
      </c>
      <c r="BU996" s="144">
        <f t="shared" si="1290"/>
        <v>9.9004707464694022</v>
      </c>
      <c r="BV996">
        <f t="shared" si="1291"/>
        <v>132.35</v>
      </c>
      <c r="BX996">
        <f>BV996/10^3*C_to_CO2</f>
        <v>0.48572449999999995</v>
      </c>
      <c r="BY996" t="str">
        <f t="shared" si="1195"/>
        <v/>
      </c>
      <c r="BZ996">
        <v>0</v>
      </c>
      <c r="CA996">
        <v>0</v>
      </c>
      <c r="CB996">
        <v>0</v>
      </c>
      <c r="CC996">
        <v>0</v>
      </c>
      <c r="CD996">
        <v>0</v>
      </c>
      <c r="CE996">
        <v>0</v>
      </c>
      <c r="CF996">
        <v>0</v>
      </c>
      <c r="CG996">
        <v>0</v>
      </c>
      <c r="CH996">
        <v>0</v>
      </c>
      <c r="CI996">
        <v>0</v>
      </c>
      <c r="CJ996">
        <v>0</v>
      </c>
      <c r="CK996">
        <v>0</v>
      </c>
      <c r="CL996">
        <v>0</v>
      </c>
      <c r="CM996">
        <v>0</v>
      </c>
      <c r="CN996" t="str">
        <f>IF(BL996&lt;BK996,"refNeedCorrection","refOK")</f>
        <v>refOK</v>
      </c>
      <c r="CO996"/>
      <c r="CP996"/>
      <c r="CQ996"/>
      <c r="CR996">
        <f t="shared" si="1297"/>
        <v>14.87</v>
      </c>
      <c r="CS996">
        <f t="shared" si="1298"/>
        <v>147.22</v>
      </c>
      <c r="CT996">
        <f t="shared" si="1299"/>
        <v>0.48572449999999995</v>
      </c>
      <c r="CU996" t="str">
        <f t="shared" si="1300"/>
        <v/>
      </c>
      <c r="CV996" s="2">
        <f t="shared" si="1301"/>
        <v>8.9004707464694022</v>
      </c>
      <c r="CW996" s="1" t="s">
        <v>234</v>
      </c>
      <c r="CX996" s="311" t="str">
        <f t="shared" si="1302"/>
        <v>loc</v>
      </c>
      <c r="CY996" t="s">
        <v>690</v>
      </c>
      <c r="DA996" s="143"/>
      <c r="DB996" s="143">
        <f t="shared" si="1303"/>
        <v>0</v>
      </c>
      <c r="DC996" t="str">
        <f t="shared" si="1304"/>
        <v>0</v>
      </c>
      <c r="DD996">
        <v>0</v>
      </c>
      <c r="DE996">
        <v>1</v>
      </c>
      <c r="DF996">
        <v>0</v>
      </c>
      <c r="DG996">
        <v>1</v>
      </c>
      <c r="DI996">
        <f t="shared" si="1305"/>
        <v>2</v>
      </c>
      <c r="DJ996" t="str">
        <f t="shared" si="1306"/>
        <v>mixedProduct</v>
      </c>
      <c r="DK996">
        <f t="shared" si="1307"/>
        <v>0</v>
      </c>
      <c r="DL996" t="str">
        <f t="shared" si="1308"/>
        <v>Energy</v>
      </c>
      <c r="DM996">
        <f t="shared" si="1309"/>
        <v>0</v>
      </c>
      <c r="DN996" t="str">
        <f t="shared" si="1310"/>
        <v>Timber</v>
      </c>
      <c r="DO996">
        <v>0</v>
      </c>
      <c r="DP996" s="143">
        <v>0</v>
      </c>
      <c r="DQ996" s="143" t="s">
        <v>3839</v>
      </c>
      <c r="DR996">
        <v>0</v>
      </c>
      <c r="DS996" s="143">
        <v>0</v>
      </c>
      <c r="DT996">
        <f t="shared" si="1311"/>
        <v>0</v>
      </c>
      <c r="DU996" s="143" t="str">
        <f t="shared" si="1312"/>
        <v>explicit C balance</v>
      </c>
      <c r="DV996" s="143">
        <v>0</v>
      </c>
      <c r="DW996" s="143">
        <v>0</v>
      </c>
      <c r="DX996" s="143">
        <v>1</v>
      </c>
      <c r="DY996" s="143">
        <v>1</v>
      </c>
      <c r="DZ996">
        <v>1</v>
      </c>
      <c r="EA996" s="143">
        <v>1</v>
      </c>
      <c r="EB996" s="143">
        <v>1</v>
      </c>
      <c r="EC996" s="143">
        <v>1</v>
      </c>
      <c r="ED996" s="143">
        <v>1</v>
      </c>
      <c r="EE996">
        <v>0</v>
      </c>
      <c r="EF996">
        <v>0</v>
      </c>
      <c r="EG996" s="143">
        <v>0</v>
      </c>
      <c r="EH996">
        <v>0</v>
      </c>
      <c r="EI996" s="2">
        <v>0</v>
      </c>
      <c r="EK996" t="str">
        <f>IF(AND(AND(AND(OR($DX996=1,$DW996=1),OR($EC996=1,$EA996=1)),SUM($DV996:$DZ996,$EF996)&gt;=3),SUM($EA996:$EE996)&gt;=2),"Whole sector","")</f>
        <v>Whole sector</v>
      </c>
      <c r="EL996" t="str">
        <f>IF(AND(AND(OR($DX996=1,$DW996=1),AND($EC996=0,$EA996=0)),SUM($DV996:$DZ996,$EF996)&gt;=3),"Ecosystem approach","")</f>
        <v/>
      </c>
      <c r="EM996" s="2" t="str">
        <f t="shared" si="1223"/>
        <v/>
      </c>
      <c r="EP996" t="b">
        <f>IF(ISNUMBER(BU996),IF(ABS(BU996-[1]QC_indicators!$B$2)&gt;3*[1]QC_indicators!$C$2,"C ratio",IF(ISNUMBER(BY996),IF(ABS(BY996-[1]QC_indicators!$B$1)&gt;3*[1]QC_indicators!$C$1,"DF","no"))),IF(ISNUMBER(BY996),IF(ABS(BY996-[1]QC_indicators!$B$1)&gt;3*[1]QC_indicators!$C$1,"DF","no")))</f>
        <v>0</v>
      </c>
    </row>
    <row r="997" spans="1:151" ht="15" hidden="1" customHeight="1">
      <c r="A997" s="1" t="s">
        <v>1956</v>
      </c>
      <c r="B997" t="s">
        <v>1957</v>
      </c>
      <c r="C997" t="s">
        <v>1958</v>
      </c>
      <c r="D997" t="s">
        <v>1959</v>
      </c>
      <c r="E997" t="s">
        <v>1960</v>
      </c>
      <c r="F997" t="s">
        <v>1961</v>
      </c>
      <c r="G997" t="s">
        <v>1962</v>
      </c>
      <c r="H997" t="s">
        <v>254</v>
      </c>
      <c r="I997">
        <v>2020</v>
      </c>
      <c r="J997">
        <v>5</v>
      </c>
      <c r="K997" t="s">
        <v>1963</v>
      </c>
      <c r="M997" t="str">
        <f t="shared" si="1249"/>
        <v>Lundholm_2020</v>
      </c>
      <c r="N997" t="s">
        <v>222</v>
      </c>
      <c r="O997" s="145" t="s">
        <v>225</v>
      </c>
      <c r="Q997" s="264" t="s">
        <v>256</v>
      </c>
      <c r="R997" s="269" t="s">
        <v>1153</v>
      </c>
      <c r="S997" s="1" t="s">
        <v>1964</v>
      </c>
      <c r="T997" t="s">
        <v>1110</v>
      </c>
      <c r="U997" s="143" t="s">
        <v>1965</v>
      </c>
      <c r="V997">
        <v>0</v>
      </c>
      <c r="W997">
        <v>0</v>
      </c>
      <c r="X997">
        <v>0</v>
      </c>
      <c r="Y997">
        <v>2</v>
      </c>
      <c r="Z997">
        <v>0</v>
      </c>
      <c r="AA997">
        <v>0</v>
      </c>
      <c r="AB997">
        <v>0</v>
      </c>
      <c r="AC997">
        <v>0</v>
      </c>
      <c r="AD997">
        <v>0</v>
      </c>
      <c r="AE997">
        <v>0</v>
      </c>
      <c r="AF997">
        <v>0</v>
      </c>
      <c r="AG997">
        <v>0</v>
      </c>
      <c r="AH997">
        <v>0</v>
      </c>
      <c r="AI997">
        <v>0</v>
      </c>
      <c r="AJ997">
        <v>0</v>
      </c>
      <c r="AK997">
        <v>0</v>
      </c>
      <c r="AL997">
        <v>0</v>
      </c>
      <c r="AM997">
        <v>0</v>
      </c>
      <c r="AN997">
        <v>1</v>
      </c>
      <c r="AO997">
        <v>0</v>
      </c>
      <c r="AP997">
        <v>0</v>
      </c>
      <c r="AQ997">
        <v>2</v>
      </c>
      <c r="AR997">
        <v>0</v>
      </c>
      <c r="AS997">
        <v>0</v>
      </c>
      <c r="AT997">
        <v>0</v>
      </c>
      <c r="AU997">
        <v>2</v>
      </c>
      <c r="AV997">
        <v>0</v>
      </c>
      <c r="AW997">
        <v>0</v>
      </c>
      <c r="AX997" s="141">
        <f t="shared" si="1283"/>
        <v>4</v>
      </c>
      <c r="AY997" s="141">
        <f t="shared" si="1284"/>
        <v>1</v>
      </c>
      <c r="AZ997">
        <f t="shared" si="1285"/>
        <v>1</v>
      </c>
      <c r="BA997">
        <f t="shared" si="1286"/>
        <v>0</v>
      </c>
      <c r="BB997">
        <f t="shared" si="1287"/>
        <v>0</v>
      </c>
      <c r="BC997">
        <f t="shared" si="1288"/>
        <v>1</v>
      </c>
      <c r="BD997">
        <f t="shared" si="1289"/>
        <v>2</v>
      </c>
      <c r="BE997" t="str" cm="1">
        <f t="array" ref="BE997">IF(AY997=1,INDEX($V$7:$AL$7,MATCH(TRUE,INDEX($V997:$AW997&lt;&gt;0,),0)),IF(AY997=0,INDEX($AM$7:$AW$7,MATCH(1,$AM997:$AW997,0)),IF(BF997="Multiple strategies","mixed drivers",IF(BF997="Supply chain","multiple supply","multiple silviculture"))))</f>
        <v xml:space="preserve">cutting intensity </v>
      </c>
      <c r="BF997" s="2" t="str" cm="1">
        <f t="array" ref="BF997">IF(COUNTIF(AZ997:BB997,"&lt;&gt;0")=1,INDEX($V$4:$AW$4,MATCH(TRUE,INDEX($V997:$AW997&lt;&gt;0,),0)),IF(COUNTIF(AZ997:BB997,"&lt;&gt;0")=0,INDEX($AM$4:$AW$4,MATCH(1,$AM997:$AW997,0)),"Multiple strategies"))</f>
        <v>Silviculture for removals</v>
      </c>
      <c r="BG997" s="142" t="s">
        <v>321</v>
      </c>
      <c r="BH997" t="s">
        <v>1433</v>
      </c>
      <c r="BJ997" s="143" t="s">
        <v>498</v>
      </c>
      <c r="BK997">
        <v>32797</v>
      </c>
      <c r="BL997" s="143">
        <v>42789</v>
      </c>
      <c r="BM997" s="163">
        <f>BL997/BK997</f>
        <v>1.3046620117693692</v>
      </c>
      <c r="BN997">
        <f>BL997-BK997</f>
        <v>9992</v>
      </c>
      <c r="BO997" s="159">
        <f>BN997</f>
        <v>9992</v>
      </c>
      <c r="BP997" t="s">
        <v>232</v>
      </c>
      <c r="BR997" t="s">
        <v>1966</v>
      </c>
      <c r="BS997" s="143">
        <v>21.5</v>
      </c>
      <c r="BT997">
        <v>9.9</v>
      </c>
      <c r="BU997" s="144">
        <f t="shared" si="1290"/>
        <v>0.46046511627906977</v>
      </c>
      <c r="BV997">
        <f t="shared" si="1291"/>
        <v>-11.6</v>
      </c>
      <c r="BY997">
        <f t="shared" si="1195"/>
        <v>0</v>
      </c>
      <c r="BZ997">
        <v>0</v>
      </c>
      <c r="CA997">
        <v>0</v>
      </c>
      <c r="CB997">
        <v>0</v>
      </c>
      <c r="CC997">
        <v>0</v>
      </c>
      <c r="CD997">
        <v>0</v>
      </c>
      <c r="CE997">
        <v>0</v>
      </c>
      <c r="CF997">
        <v>0</v>
      </c>
      <c r="CG997">
        <v>0</v>
      </c>
      <c r="CH997">
        <v>0</v>
      </c>
      <c r="CI997">
        <v>0</v>
      </c>
      <c r="CJ997">
        <v>1</v>
      </c>
      <c r="CK997">
        <v>0</v>
      </c>
      <c r="CL997">
        <v>1</v>
      </c>
      <c r="CM997">
        <v>1</v>
      </c>
      <c r="CN997" t="str">
        <f>IF($BL997&lt;$BK997,"refNeedCorrection","refOK")</f>
        <v>refOK</v>
      </c>
      <c r="CO997">
        <f>IF($CN997="refNeedCorrection",BL997,BK997)</f>
        <v>32797</v>
      </c>
      <c r="CP997">
        <f>IF($CN997="refNeedCorrection",BK997,BL997)</f>
        <v>42789</v>
      </c>
      <c r="CQ997">
        <f>IF($CN997="refOK",$BO997,-$BO997)</f>
        <v>9992</v>
      </c>
      <c r="CR997">
        <f t="shared" si="1297"/>
        <v>21.5</v>
      </c>
      <c r="CS997">
        <f t="shared" si="1298"/>
        <v>9.9</v>
      </c>
      <c r="CT997">
        <f t="shared" si="1299"/>
        <v>0</v>
      </c>
      <c r="CU997">
        <f t="shared" si="1300"/>
        <v>0</v>
      </c>
      <c r="CV997" s="2">
        <f t="shared" si="1301"/>
        <v>-0.53953488372093017</v>
      </c>
      <c r="CW997" s="1" t="s">
        <v>1198</v>
      </c>
      <c r="CX997" s="264" t="str">
        <f t="shared" si="1302"/>
        <v>reg</v>
      </c>
      <c r="CY997" t="s">
        <v>1967</v>
      </c>
      <c r="CZ997">
        <v>2021</v>
      </c>
      <c r="DA997" s="143">
        <v>2110</v>
      </c>
      <c r="DB997" s="143">
        <f t="shared" si="1303"/>
        <v>89</v>
      </c>
      <c r="DC997" t="str">
        <f t="shared" si="1304"/>
        <v>71-100</v>
      </c>
      <c r="DD997">
        <v>0</v>
      </c>
      <c r="DE997">
        <v>1</v>
      </c>
      <c r="DF997">
        <v>1</v>
      </c>
      <c r="DG997">
        <v>1</v>
      </c>
      <c r="DI997">
        <f t="shared" si="1305"/>
        <v>3</v>
      </c>
      <c r="DJ997" t="str">
        <f t="shared" si="1306"/>
        <v>mixedProduct</v>
      </c>
      <c r="DK997">
        <f t="shared" si="1307"/>
        <v>0</v>
      </c>
      <c r="DL997" t="str">
        <f t="shared" si="1308"/>
        <v>Energy</v>
      </c>
      <c r="DM997" t="str">
        <f t="shared" si="1309"/>
        <v>Pulp/Paper</v>
      </c>
      <c r="DN997" t="str">
        <f t="shared" si="1310"/>
        <v>Timber</v>
      </c>
      <c r="DO997">
        <v>0</v>
      </c>
      <c r="DP997" s="143">
        <v>1</v>
      </c>
      <c r="DQ997" t="s">
        <v>1968</v>
      </c>
      <c r="DR997" t="s">
        <v>1969</v>
      </c>
      <c r="DS997" s="143">
        <v>0</v>
      </c>
      <c r="DT997">
        <f t="shared" si="1311"/>
        <v>1</v>
      </c>
      <c r="DU997" s="143" t="str">
        <f t="shared" si="1312"/>
        <v>external DF used</v>
      </c>
      <c r="DV997" s="143">
        <v>1</v>
      </c>
      <c r="DW997" s="143">
        <v>1</v>
      </c>
      <c r="DX997" s="143">
        <v>1</v>
      </c>
      <c r="DY997" s="143">
        <v>1</v>
      </c>
      <c r="DZ997">
        <v>1</v>
      </c>
      <c r="EA997" s="143">
        <v>1</v>
      </c>
      <c r="EB997" s="143">
        <v>0</v>
      </c>
      <c r="EC997" s="143">
        <v>0</v>
      </c>
      <c r="ED997" s="143">
        <v>0</v>
      </c>
      <c r="EE997">
        <v>0</v>
      </c>
      <c r="EF997">
        <v>1</v>
      </c>
      <c r="EG997" s="143">
        <v>0</v>
      </c>
      <c r="EH997">
        <v>0</v>
      </c>
      <c r="EI997" s="2">
        <v>0</v>
      </c>
      <c r="EK997" t="str">
        <f>IF(AND(AND(AND(OR($DX997=1,$DW997=1),OR($EC997=1,$EA997=1)),SUM($DV997:$DZ997,$EF997)&gt;=4),SUM($EA997:$EE997)&gt;=2),"Whole sector","")</f>
        <v/>
      </c>
      <c r="EL997" t="str">
        <f>IF(AND(AND(OR($DX997=1,$DW997=1),AND($EC997=0,$EA997=0)),SUM($DV997:$DZ997,$EF997)&gt;=4),"Ecosystem approach","")</f>
        <v/>
      </c>
      <c r="EM997" s="2" t="str">
        <f t="shared" si="1223"/>
        <v/>
      </c>
      <c r="EP997" t="str">
        <f>IF(ISNUMBER(BU997),IF(ABS(BU997-[4]QC_indicators!$B$2)&gt;3*[4]QC_indicators!$C$2,"C ratio",IF(ISNUMBER(BY997),IF(ABS(BY997-[4]QC_indicators!$B$1)&gt;3*[4]QC_indicators!$C$1,"DF","no"))),IF(ISNUMBER(BY997),IF(ABS(BY997-[4]QC_indicators!$B$1)&gt;3*[4]QC_indicators!$C$1,"DF","no")))</f>
        <v>no</v>
      </c>
      <c r="ET997" s="264" t="s">
        <v>3406</v>
      </c>
    </row>
    <row r="998" spans="1:151" ht="15" hidden="1" customHeight="1">
      <c r="A998" s="1" t="s">
        <v>1956</v>
      </c>
      <c r="B998" t="s">
        <v>1957</v>
      </c>
      <c r="C998" t="s">
        <v>1958</v>
      </c>
      <c r="D998" t="s">
        <v>1959</v>
      </c>
      <c r="E998" t="s">
        <v>1960</v>
      </c>
      <c r="F998" t="s">
        <v>1961</v>
      </c>
      <c r="G998" t="s">
        <v>1962</v>
      </c>
      <c r="H998" t="s">
        <v>254</v>
      </c>
      <c r="I998">
        <v>2020</v>
      </c>
      <c r="J998">
        <v>5</v>
      </c>
      <c r="K998" t="s">
        <v>1963</v>
      </c>
      <c r="M998" t="str">
        <f t="shared" si="1249"/>
        <v>Lundholm_2020</v>
      </c>
      <c r="N998" t="s">
        <v>222</v>
      </c>
      <c r="O998" s="145" t="s">
        <v>225</v>
      </c>
      <c r="Q998" s="264" t="s">
        <v>256</v>
      </c>
      <c r="R998" s="269" t="s">
        <v>1153</v>
      </c>
      <c r="S998" s="1" t="s">
        <v>1964</v>
      </c>
      <c r="T998" t="s">
        <v>1110</v>
      </c>
      <c r="U998" s="143" t="s">
        <v>1965</v>
      </c>
      <c r="V998">
        <v>0</v>
      </c>
      <c r="W998">
        <v>0</v>
      </c>
      <c r="X998">
        <v>0</v>
      </c>
      <c r="Y998">
        <v>2</v>
      </c>
      <c r="Z998">
        <v>0</v>
      </c>
      <c r="AA998">
        <v>0</v>
      </c>
      <c r="AB998">
        <v>0</v>
      </c>
      <c r="AC998">
        <v>0</v>
      </c>
      <c r="AD998">
        <v>0</v>
      </c>
      <c r="AE998">
        <v>0</v>
      </c>
      <c r="AF998">
        <v>0</v>
      </c>
      <c r="AG998">
        <v>0</v>
      </c>
      <c r="AH998">
        <v>0</v>
      </c>
      <c r="AI998">
        <v>0</v>
      </c>
      <c r="AJ998">
        <v>0</v>
      </c>
      <c r="AK998">
        <v>0</v>
      </c>
      <c r="AL998">
        <v>0</v>
      </c>
      <c r="AM998">
        <v>0</v>
      </c>
      <c r="AN998">
        <v>1</v>
      </c>
      <c r="AO998">
        <v>0</v>
      </c>
      <c r="AP998">
        <v>0</v>
      </c>
      <c r="AQ998">
        <v>2</v>
      </c>
      <c r="AR998">
        <v>0</v>
      </c>
      <c r="AS998">
        <v>0</v>
      </c>
      <c r="AT998">
        <v>0</v>
      </c>
      <c r="AU998">
        <v>2</v>
      </c>
      <c r="AV998">
        <v>0</v>
      </c>
      <c r="AW998">
        <v>0</v>
      </c>
      <c r="AX998" s="141">
        <f t="shared" si="1283"/>
        <v>4</v>
      </c>
      <c r="AY998" s="141">
        <f t="shared" si="1284"/>
        <v>1</v>
      </c>
      <c r="AZ998">
        <f t="shared" si="1285"/>
        <v>1</v>
      </c>
      <c r="BA998">
        <f t="shared" si="1286"/>
        <v>0</v>
      </c>
      <c r="BB998">
        <f t="shared" si="1287"/>
        <v>0</v>
      </c>
      <c r="BC998">
        <f t="shared" si="1288"/>
        <v>1</v>
      </c>
      <c r="BD998">
        <f t="shared" si="1289"/>
        <v>2</v>
      </c>
      <c r="BE998" t="str" cm="1">
        <f t="array" ref="BE998">IF(AY998=1,INDEX($V$7:$AL$7,MATCH(TRUE,INDEX($V998:$AW998&lt;&gt;0,),0)),IF(AY998=0,INDEX($AM$7:$AW$7,MATCH(1,$AM998:$AW998,0)),IF(BF998="Multiple strategies","mixed drivers",IF(BF998="Supply chain","multiple supply","multiple silviculture"))))</f>
        <v xml:space="preserve">cutting intensity </v>
      </c>
      <c r="BF998" s="2" t="str" cm="1">
        <f t="array" ref="BF998">IF(COUNTIF(AZ998:BB998,"&lt;&gt;0")=1,INDEX($V$4:$AW$4,MATCH(TRUE,INDEX($V998:$AW998&lt;&gt;0,),0)),IF(COUNTIF(AZ998:BB998,"&lt;&gt;0")=0,INDEX($AM$4:$AW$4,MATCH(1,$AM998:$AW998,0)),"Multiple strategies"))</f>
        <v>Silviculture for removals</v>
      </c>
      <c r="BG998" s="142" t="s">
        <v>321</v>
      </c>
      <c r="BH998" t="s">
        <v>1433</v>
      </c>
      <c r="BJ998" s="143" t="s">
        <v>498</v>
      </c>
      <c r="BK998">
        <v>32797</v>
      </c>
      <c r="BL998" s="143">
        <v>45223</v>
      </c>
      <c r="BM998" s="163">
        <f>BL998/BK998</f>
        <v>1.3788761167179926</v>
      </c>
      <c r="BN998">
        <f>BL998-BK998</f>
        <v>12426</v>
      </c>
      <c r="BO998" s="159">
        <f>BN998</f>
        <v>12426</v>
      </c>
      <c r="BP998" t="s">
        <v>232</v>
      </c>
      <c r="BR998" t="s">
        <v>1966</v>
      </c>
      <c r="BS998" s="143">
        <v>21.5</v>
      </c>
      <c r="BT998">
        <v>7.6</v>
      </c>
      <c r="BU998" s="144">
        <f t="shared" si="1290"/>
        <v>0.35348837209302325</v>
      </c>
      <c r="BV998">
        <f t="shared" si="1291"/>
        <v>-13.9</v>
      </c>
      <c r="BY998">
        <f t="shared" si="1195"/>
        <v>0</v>
      </c>
      <c r="BZ998">
        <v>0</v>
      </c>
      <c r="CA998">
        <v>0</v>
      </c>
      <c r="CB998">
        <v>0</v>
      </c>
      <c r="CC998">
        <v>0</v>
      </c>
      <c r="CD998">
        <v>0</v>
      </c>
      <c r="CE998">
        <v>0</v>
      </c>
      <c r="CF998">
        <v>0</v>
      </c>
      <c r="CG998">
        <v>0</v>
      </c>
      <c r="CH998">
        <v>0</v>
      </c>
      <c r="CI998">
        <v>0</v>
      </c>
      <c r="CJ998">
        <v>1</v>
      </c>
      <c r="CK998">
        <v>0</v>
      </c>
      <c r="CL998">
        <v>1</v>
      </c>
      <c r="CM998">
        <v>1</v>
      </c>
      <c r="CN998" t="str">
        <f>IF($BL998&lt;$BK998,"refNeedCorrection","refOK")</f>
        <v>refOK</v>
      </c>
      <c r="CO998">
        <f>IF($CN998="refNeedCorrection",BL998,BK998)</f>
        <v>32797</v>
      </c>
      <c r="CP998">
        <f>IF($CN998="refNeedCorrection",BK998,BL998)</f>
        <v>45223</v>
      </c>
      <c r="CQ998">
        <f>IF($CN998="refOK",$BO998,-$BO998)</f>
        <v>12426</v>
      </c>
      <c r="CR998">
        <f t="shared" si="1297"/>
        <v>21.5</v>
      </c>
      <c r="CS998">
        <f t="shared" si="1298"/>
        <v>7.6</v>
      </c>
      <c r="CT998">
        <f t="shared" si="1299"/>
        <v>0</v>
      </c>
      <c r="CU998">
        <f t="shared" si="1300"/>
        <v>0</v>
      </c>
      <c r="CV998" s="2">
        <f t="shared" si="1301"/>
        <v>-0.6465116279069768</v>
      </c>
      <c r="CW998" s="1" t="s">
        <v>1198</v>
      </c>
      <c r="CX998" s="264" t="str">
        <f t="shared" si="1302"/>
        <v>reg</v>
      </c>
      <c r="CY998" t="s">
        <v>1967</v>
      </c>
      <c r="CZ998">
        <v>2021</v>
      </c>
      <c r="DA998" s="143">
        <v>2110</v>
      </c>
      <c r="DB998" s="143">
        <f t="shared" si="1303"/>
        <v>89</v>
      </c>
      <c r="DC998" t="str">
        <f t="shared" si="1304"/>
        <v>71-100</v>
      </c>
      <c r="DD998">
        <v>0</v>
      </c>
      <c r="DE998">
        <v>1</v>
      </c>
      <c r="DF998">
        <v>1</v>
      </c>
      <c r="DG998">
        <v>1</v>
      </c>
      <c r="DI998">
        <f t="shared" si="1305"/>
        <v>3</v>
      </c>
      <c r="DJ998" t="str">
        <f t="shared" si="1306"/>
        <v>mixedProduct</v>
      </c>
      <c r="DK998">
        <f t="shared" si="1307"/>
        <v>0</v>
      </c>
      <c r="DL998" t="str">
        <f t="shared" si="1308"/>
        <v>Energy</v>
      </c>
      <c r="DM998" t="str">
        <f t="shared" si="1309"/>
        <v>Pulp/Paper</v>
      </c>
      <c r="DN998" t="str">
        <f t="shared" si="1310"/>
        <v>Timber</v>
      </c>
      <c r="DO998">
        <v>0</v>
      </c>
      <c r="DP998" s="143">
        <v>1</v>
      </c>
      <c r="DQ998" t="s">
        <v>1968</v>
      </c>
      <c r="DR998" t="s">
        <v>1969</v>
      </c>
      <c r="DS998" s="143">
        <v>0</v>
      </c>
      <c r="DT998">
        <f t="shared" si="1311"/>
        <v>1</v>
      </c>
      <c r="DU998" s="143" t="str">
        <f t="shared" si="1312"/>
        <v>external DF used</v>
      </c>
      <c r="DV998" s="143">
        <v>1</v>
      </c>
      <c r="DW998" s="143">
        <v>1</v>
      </c>
      <c r="DX998" s="143">
        <v>1</v>
      </c>
      <c r="DY998" s="143">
        <v>1</v>
      </c>
      <c r="DZ998">
        <v>1</v>
      </c>
      <c r="EA998" s="143">
        <v>1</v>
      </c>
      <c r="EB998" s="143">
        <v>0</v>
      </c>
      <c r="EC998" s="143">
        <v>0</v>
      </c>
      <c r="ED998" s="143">
        <v>0</v>
      </c>
      <c r="EE998">
        <v>0</v>
      </c>
      <c r="EF998">
        <v>1</v>
      </c>
      <c r="EG998" s="143">
        <v>0</v>
      </c>
      <c r="EH998">
        <v>0</v>
      </c>
      <c r="EI998" s="2">
        <v>0</v>
      </c>
      <c r="EK998" t="str">
        <f>IF(AND(AND(AND(OR($DX998=1,$DW998=1),OR($EC998=1,$EA998=1)),SUM($DV998:$DZ998,$EF998)&gt;=4),SUM($EA998:$EE998)&gt;=2),"Whole sector","")</f>
        <v/>
      </c>
      <c r="EL998" t="str">
        <f>IF(AND(AND(OR($DX998=1,$DW998=1),AND($EC998=0,$EA998=0)),SUM($DV998:$DZ998,$EF998)&gt;=4),"Ecosystem approach","")</f>
        <v/>
      </c>
      <c r="EM998" s="2" t="str">
        <f t="shared" si="1223"/>
        <v/>
      </c>
      <c r="EP998" t="str">
        <f>IF(ISNUMBER(BU998),IF(ABS(BU998-[4]QC_indicators!$B$2)&gt;3*[4]QC_indicators!$C$2,"C ratio",IF(ISNUMBER(BY998),IF(ABS(BY998-[4]QC_indicators!$B$1)&gt;3*[4]QC_indicators!$C$1,"DF","no"))),IF(ISNUMBER(BY998),IF(ABS(BY998-[4]QC_indicators!$B$1)&gt;3*[4]QC_indicators!$C$1,"DF","no")))</f>
        <v>no</v>
      </c>
      <c r="ET998" s="264" t="s">
        <v>3406</v>
      </c>
    </row>
    <row r="999" spans="1:151" ht="15" hidden="1" customHeight="1">
      <c r="A999" s="1" t="s">
        <v>1956</v>
      </c>
      <c r="B999" t="s">
        <v>1957</v>
      </c>
      <c r="C999" t="s">
        <v>1958</v>
      </c>
      <c r="D999" t="s">
        <v>1959</v>
      </c>
      <c r="E999" t="s">
        <v>1960</v>
      </c>
      <c r="F999" t="s">
        <v>1961</v>
      </c>
      <c r="G999" t="s">
        <v>1962</v>
      </c>
      <c r="H999" t="s">
        <v>254</v>
      </c>
      <c r="I999">
        <v>2020</v>
      </c>
      <c r="J999">
        <v>5</v>
      </c>
      <c r="K999" t="s">
        <v>1963</v>
      </c>
      <c r="M999" t="str">
        <f t="shared" si="1249"/>
        <v>Lundholm_2020</v>
      </c>
      <c r="N999" t="s">
        <v>222</v>
      </c>
      <c r="O999" s="145" t="s">
        <v>225</v>
      </c>
      <c r="Q999" s="264" t="s">
        <v>256</v>
      </c>
      <c r="R999" s="269" t="s">
        <v>1153</v>
      </c>
      <c r="S999" s="1" t="s">
        <v>1964</v>
      </c>
      <c r="T999" t="s">
        <v>1110</v>
      </c>
      <c r="U999" s="143" t="s">
        <v>1970</v>
      </c>
      <c r="V999">
        <v>0</v>
      </c>
      <c r="W999">
        <v>0</v>
      </c>
      <c r="X999">
        <v>0</v>
      </c>
      <c r="Y999">
        <v>2</v>
      </c>
      <c r="Z999">
        <v>0</v>
      </c>
      <c r="AA999">
        <v>0</v>
      </c>
      <c r="AB999">
        <v>0</v>
      </c>
      <c r="AC999">
        <v>0</v>
      </c>
      <c r="AD999">
        <v>0</v>
      </c>
      <c r="AE999">
        <v>0</v>
      </c>
      <c r="AF999">
        <v>0</v>
      </c>
      <c r="AG999">
        <v>0</v>
      </c>
      <c r="AH999">
        <v>0</v>
      </c>
      <c r="AI999">
        <v>0</v>
      </c>
      <c r="AJ999">
        <v>0</v>
      </c>
      <c r="AK999">
        <v>0</v>
      </c>
      <c r="AL999">
        <v>0</v>
      </c>
      <c r="AM999">
        <v>0</v>
      </c>
      <c r="AN999">
        <v>1</v>
      </c>
      <c r="AO999">
        <v>0</v>
      </c>
      <c r="AP999">
        <v>0</v>
      </c>
      <c r="AQ999">
        <v>2</v>
      </c>
      <c r="AR999">
        <v>0</v>
      </c>
      <c r="AS999">
        <v>0</v>
      </c>
      <c r="AT999">
        <v>0</v>
      </c>
      <c r="AU999">
        <v>2</v>
      </c>
      <c r="AV999">
        <v>0</v>
      </c>
      <c r="AW999">
        <v>0</v>
      </c>
      <c r="AX999" s="141">
        <f t="shared" si="1283"/>
        <v>4</v>
      </c>
      <c r="AY999" s="141">
        <f t="shared" si="1284"/>
        <v>1</v>
      </c>
      <c r="AZ999">
        <f t="shared" si="1285"/>
        <v>1</v>
      </c>
      <c r="BA999">
        <f t="shared" si="1286"/>
        <v>0</v>
      </c>
      <c r="BB999">
        <f t="shared" si="1287"/>
        <v>0</v>
      </c>
      <c r="BC999">
        <f t="shared" si="1288"/>
        <v>1</v>
      </c>
      <c r="BD999">
        <f t="shared" si="1289"/>
        <v>2</v>
      </c>
      <c r="BE999" t="str" cm="1">
        <f t="array" ref="BE999">IF(AY999=1,INDEX($V$7:$AL$7,MATCH(TRUE,INDEX($V999:$AW999&lt;&gt;0,),0)),IF(AY999=0,INDEX($AM$7:$AW$7,MATCH(1,$AM999:$AW999,0)),IF(BF999="Multiple strategies","mixed drivers",IF(BF999="Supply chain","multiple supply","multiple silviculture"))))</f>
        <v xml:space="preserve">cutting intensity </v>
      </c>
      <c r="BF999" s="2" t="str" cm="1">
        <f t="array" ref="BF999">IF(COUNTIF(AZ999:BB999,"&lt;&gt;0")=1,INDEX($V$4:$AW$4,MATCH(TRUE,INDEX($V999:$AW999&lt;&gt;0,),0)),IF(COUNTIF(AZ999:BB999,"&lt;&gt;0")=0,INDEX($AM$4:$AW$4,MATCH(1,$AM999:$AW999,0)),"Multiple strategies"))</f>
        <v>Silviculture for removals</v>
      </c>
      <c r="BG999" s="142" t="s">
        <v>321</v>
      </c>
      <c r="BH999" t="s">
        <v>1433</v>
      </c>
      <c r="BJ999" s="143" t="s">
        <v>498</v>
      </c>
      <c r="BK999">
        <v>32797</v>
      </c>
      <c r="BL999" s="143">
        <v>52773</v>
      </c>
      <c r="BM999" s="163">
        <f>BL999/BK999</f>
        <v>1.6090800987895235</v>
      </c>
      <c r="BN999">
        <f>BL999-BK999</f>
        <v>19976</v>
      </c>
      <c r="BO999" s="159">
        <f>BN999</f>
        <v>19976</v>
      </c>
      <c r="BP999" t="s">
        <v>232</v>
      </c>
      <c r="BR999" t="s">
        <v>1966</v>
      </c>
      <c r="BS999" s="143">
        <v>21.5</v>
      </c>
      <c r="BT999">
        <v>-11.7</v>
      </c>
      <c r="BU999" s="144">
        <f t="shared" si="1290"/>
        <v>-0.54418604651162783</v>
      </c>
      <c r="BV999">
        <f t="shared" si="1291"/>
        <v>-33.200000000000003</v>
      </c>
      <c r="BY999">
        <f t="shared" si="1195"/>
        <v>0</v>
      </c>
      <c r="BZ999">
        <v>0</v>
      </c>
      <c r="CA999">
        <v>0</v>
      </c>
      <c r="CB999">
        <v>0</v>
      </c>
      <c r="CC999">
        <v>0</v>
      </c>
      <c r="CD999">
        <v>0</v>
      </c>
      <c r="CE999">
        <v>0</v>
      </c>
      <c r="CF999">
        <v>0</v>
      </c>
      <c r="CG999">
        <v>0</v>
      </c>
      <c r="CH999">
        <v>0</v>
      </c>
      <c r="CI999">
        <v>0</v>
      </c>
      <c r="CJ999">
        <v>1</v>
      </c>
      <c r="CK999">
        <v>0</v>
      </c>
      <c r="CL999">
        <v>1</v>
      </c>
      <c r="CM999">
        <v>1</v>
      </c>
      <c r="CN999" t="str">
        <f>IF($BL999&lt;$BK999,"refNeedCorrection","refOK")</f>
        <v>refOK</v>
      </c>
      <c r="CO999">
        <f>IF($CN999="refNeedCorrection",BL999,BK999)</f>
        <v>32797</v>
      </c>
      <c r="CP999">
        <f>IF($CN999="refNeedCorrection",BK999,BL999)</f>
        <v>52773</v>
      </c>
      <c r="CQ999">
        <f>IF($CN999="refOK",$BO999,-$BO999)</f>
        <v>19976</v>
      </c>
      <c r="CR999">
        <f t="shared" si="1297"/>
        <v>21.5</v>
      </c>
      <c r="CS999">
        <f t="shared" si="1298"/>
        <v>-11.7</v>
      </c>
      <c r="CT999">
        <f t="shared" si="1299"/>
        <v>0</v>
      </c>
      <c r="CU999">
        <f t="shared" si="1300"/>
        <v>0</v>
      </c>
      <c r="CV999" s="2">
        <f t="shared" si="1301"/>
        <v>-1.5441860465116279</v>
      </c>
      <c r="CW999" s="1" t="s">
        <v>1198</v>
      </c>
      <c r="CX999" s="264" t="str">
        <f t="shared" si="1302"/>
        <v>reg</v>
      </c>
      <c r="CY999" t="s">
        <v>1967</v>
      </c>
      <c r="CZ999">
        <v>2021</v>
      </c>
      <c r="DA999" s="143">
        <v>2110</v>
      </c>
      <c r="DB999" s="143">
        <f t="shared" si="1303"/>
        <v>89</v>
      </c>
      <c r="DC999" t="str">
        <f t="shared" si="1304"/>
        <v>71-100</v>
      </c>
      <c r="DD999">
        <v>0</v>
      </c>
      <c r="DE999">
        <v>1</v>
      </c>
      <c r="DF999">
        <v>1</v>
      </c>
      <c r="DG999">
        <v>1</v>
      </c>
      <c r="DI999">
        <f t="shared" si="1305"/>
        <v>3</v>
      </c>
      <c r="DJ999" t="str">
        <f t="shared" si="1306"/>
        <v>mixedProduct</v>
      </c>
      <c r="DK999">
        <f t="shared" si="1307"/>
        <v>0</v>
      </c>
      <c r="DL999" t="str">
        <f t="shared" si="1308"/>
        <v>Energy</v>
      </c>
      <c r="DM999" t="str">
        <f t="shared" si="1309"/>
        <v>Pulp/Paper</v>
      </c>
      <c r="DN999" t="str">
        <f t="shared" si="1310"/>
        <v>Timber</v>
      </c>
      <c r="DO999">
        <v>0</v>
      </c>
      <c r="DP999" s="143">
        <v>1</v>
      </c>
      <c r="DQ999" t="s">
        <v>1968</v>
      </c>
      <c r="DR999" t="s">
        <v>1969</v>
      </c>
      <c r="DS999" s="143">
        <v>0</v>
      </c>
      <c r="DT999">
        <f t="shared" si="1311"/>
        <v>1</v>
      </c>
      <c r="DU999" s="143" t="str">
        <f t="shared" si="1312"/>
        <v>external DF used</v>
      </c>
      <c r="DV999" s="143">
        <v>1</v>
      </c>
      <c r="DW999" s="143">
        <v>1</v>
      </c>
      <c r="DX999" s="143">
        <v>1</v>
      </c>
      <c r="DY999" s="143">
        <v>1</v>
      </c>
      <c r="DZ999">
        <v>1</v>
      </c>
      <c r="EA999" s="143">
        <v>1</v>
      </c>
      <c r="EB999" s="143">
        <v>0</v>
      </c>
      <c r="EC999" s="143">
        <v>0</v>
      </c>
      <c r="ED999" s="143">
        <v>0</v>
      </c>
      <c r="EE999">
        <v>0</v>
      </c>
      <c r="EF999">
        <v>1</v>
      </c>
      <c r="EG999" s="143">
        <v>0</v>
      </c>
      <c r="EH999">
        <v>0</v>
      </c>
      <c r="EI999" s="2">
        <v>0</v>
      </c>
      <c r="EK999" t="str">
        <f>IF(AND(AND(AND(OR($DX999=1,$DW999=1),OR($EC999=1,$EA999=1)),SUM($DV999:$DZ999,$EF999)&gt;=4),SUM($EA999:$EE999)&gt;=2),"Whole sector","")</f>
        <v/>
      </c>
      <c r="EL999" t="str">
        <f>IF(AND(AND(OR($DX999=1,$DW999=1),AND($EC999=0,$EA999=0)),SUM($DV999:$DZ999,$EF999)&gt;=4),"Ecosystem approach","")</f>
        <v/>
      </c>
      <c r="EM999" s="2" t="str">
        <f t="shared" si="1223"/>
        <v/>
      </c>
      <c r="EP999" t="str">
        <f>IF(ISNUMBER(BU999),IF(ABS(BU999-[4]QC_indicators!$B$2)&gt;3*[4]QC_indicators!$C$2,"C ratio",IF(ISNUMBER(BY999),IF(ABS(BY999-[4]QC_indicators!$B$1)&gt;3*[4]QC_indicators!$C$1,"DF","no"))),IF(ISNUMBER(BY999),IF(ABS(BY999-[4]QC_indicators!$B$1)&gt;3*[4]QC_indicators!$C$1,"DF","no")))</f>
        <v>no</v>
      </c>
      <c r="ET999" s="264" t="s">
        <v>3406</v>
      </c>
    </row>
    <row r="1000" spans="1:151" ht="15" hidden="1" customHeight="1">
      <c r="A1000" s="1" t="s">
        <v>5008</v>
      </c>
      <c r="B1000" t="s">
        <v>5009</v>
      </c>
      <c r="C1000" t="s">
        <v>5010</v>
      </c>
      <c r="D1000" t="s">
        <v>5011</v>
      </c>
      <c r="E1000" t="s">
        <v>5012</v>
      </c>
      <c r="F1000" t="s">
        <v>5013</v>
      </c>
      <c r="G1000" t="s">
        <v>5014</v>
      </c>
      <c r="H1000" t="s">
        <v>254</v>
      </c>
      <c r="I1000">
        <v>2021</v>
      </c>
      <c r="J1000">
        <v>0</v>
      </c>
      <c r="K1000" t="s">
        <v>5015</v>
      </c>
      <c r="M1000" t="str">
        <f t="shared" si="1249"/>
        <v>Lyubov_2021</v>
      </c>
      <c r="N1000" t="s">
        <v>2583</v>
      </c>
      <c r="O1000" s="145" t="s">
        <v>225</v>
      </c>
      <c r="Q1000" s="311" t="s">
        <v>256</v>
      </c>
      <c r="R1000" s="312"/>
      <c r="U1000" s="143"/>
      <c r="AX1000" s="141"/>
      <c r="AY1000" s="141"/>
      <c r="BE1000"/>
      <c r="BF1000" s="2"/>
      <c r="BG1000" s="142"/>
      <c r="BJ1000" s="143"/>
      <c r="BL1000" s="143"/>
      <c r="BM1000" s="163"/>
      <c r="BN1000" s="158"/>
      <c r="BO1000" s="143"/>
      <c r="BS1000" s="143"/>
      <c r="BU1000" s="144"/>
      <c r="BY1000" t="str">
        <f t="shared" si="1195"/>
        <v/>
      </c>
      <c r="CN1000"/>
      <c r="CO1000"/>
      <c r="CP1000"/>
      <c r="CQ1000"/>
      <c r="CR1000"/>
      <c r="CS1000"/>
      <c r="CT1000"/>
      <c r="CU1000"/>
      <c r="CV1000" s="2"/>
      <c r="CX1000"/>
      <c r="DA1000" s="143"/>
      <c r="DB1000" s="143"/>
      <c r="DC1000"/>
      <c r="DI1000"/>
      <c r="DJ1000"/>
      <c r="DK1000"/>
      <c r="DL1000"/>
      <c r="DM1000"/>
      <c r="DN1000"/>
      <c r="DP1000" s="143"/>
      <c r="DS1000" s="143"/>
      <c r="DT1000"/>
      <c r="DU1000" s="143"/>
      <c r="DV1000" s="143"/>
      <c r="DW1000" s="143"/>
      <c r="DX1000" s="143"/>
      <c r="DY1000" s="143"/>
      <c r="EB1000" s="143"/>
      <c r="EC1000" s="143"/>
      <c r="ED1000" s="143"/>
      <c r="EG1000" s="143"/>
      <c r="EK1000" t="str">
        <f>IF(AND(AND(AND(OR($DX1000=1,$DW1000=1),OR($EC1000=1,$EA1000=1)),SUM($DV1000:$DZ1000,$EF1000)&gt;=3),SUM($EA1000:$EE1000)&gt;=2),"Whole sector","")</f>
        <v/>
      </c>
      <c r="EL1000" t="str">
        <f>IF(AND(AND(OR($DX1000=1,$DW1000=1),AND($EC1000=0,$EA1000=0)),SUM($DV1000:$DZ1000,$EF1000)&gt;=3),"Ecosystem approach","")</f>
        <v/>
      </c>
      <c r="EM1000" s="2" t="str">
        <f t="shared" si="1223"/>
        <v/>
      </c>
      <c r="EN1000" t="s">
        <v>5016</v>
      </c>
      <c r="EO1000" t="s">
        <v>450</v>
      </c>
      <c r="EP1000" t="b">
        <f>IF(ISNUMBER(BU1000),IF(ABS(BU1000-[1]QC_indicators!$B$2)&gt;3*[1]QC_indicators!$C$2,"C ratio",IF(ISNUMBER(BY1000),IF(ABS(BY1000-[1]QC_indicators!$B$1)&gt;3*[1]QC_indicators!$C$1,"DF","no"))),IF(ISNUMBER(BY1000),IF(ABS(BY1000-[1]QC_indicators!$B$1)&gt;3*[1]QC_indicators!$C$1,"DF","no")))</f>
        <v>0</v>
      </c>
    </row>
    <row r="1001" spans="1:151" ht="15" hidden="1" customHeight="1">
      <c r="A1001" s="1" t="s">
        <v>3840</v>
      </c>
      <c r="B1001" t="s">
        <v>3841</v>
      </c>
      <c r="C1001" t="s">
        <v>3842</v>
      </c>
      <c r="D1001" t="s">
        <v>3843</v>
      </c>
      <c r="E1001" t="s">
        <v>3844</v>
      </c>
      <c r="F1001" t="s">
        <v>3845</v>
      </c>
      <c r="G1001" t="s">
        <v>3846</v>
      </c>
      <c r="H1001" t="s">
        <v>254</v>
      </c>
      <c r="I1001">
        <v>2019</v>
      </c>
      <c r="J1001">
        <v>10</v>
      </c>
      <c r="K1001" t="s">
        <v>3847</v>
      </c>
      <c r="M1001" t="str">
        <f t="shared" si="1249"/>
        <v>Mai-Moulin_2019</v>
      </c>
      <c r="N1001" s="311" t="s">
        <v>4382</v>
      </c>
      <c r="O1001" s="145" t="s">
        <v>225</v>
      </c>
      <c r="Q1001" s="311" t="s">
        <v>256</v>
      </c>
      <c r="R1001" s="312"/>
      <c r="S1001" s="1" t="s">
        <v>3848</v>
      </c>
      <c r="T1001" t="s">
        <v>3849</v>
      </c>
      <c r="U1001" t="s">
        <v>3850</v>
      </c>
      <c r="V1001">
        <v>0</v>
      </c>
      <c r="W1001">
        <v>0</v>
      </c>
      <c r="X1001">
        <v>0</v>
      </c>
      <c r="Y1001">
        <v>0</v>
      </c>
      <c r="Z1001">
        <v>0</v>
      </c>
      <c r="AA1001">
        <v>0</v>
      </c>
      <c r="AB1001">
        <v>0</v>
      </c>
      <c r="AC1001">
        <v>0</v>
      </c>
      <c r="AD1001">
        <v>0</v>
      </c>
      <c r="AE1001">
        <v>0</v>
      </c>
      <c r="AF1001">
        <v>0</v>
      </c>
      <c r="AG1001">
        <v>0</v>
      </c>
      <c r="AH1001">
        <v>0</v>
      </c>
      <c r="AI1001">
        <v>0</v>
      </c>
      <c r="AJ1001">
        <v>1</v>
      </c>
      <c r="AK1001">
        <v>0</v>
      </c>
      <c r="AL1001">
        <v>0</v>
      </c>
      <c r="AM1001">
        <v>0</v>
      </c>
      <c r="AN1001">
        <v>0</v>
      </c>
      <c r="AO1001">
        <v>0</v>
      </c>
      <c r="AP1001">
        <v>0</v>
      </c>
      <c r="AQ1001">
        <v>0</v>
      </c>
      <c r="AR1001">
        <v>0</v>
      </c>
      <c r="AS1001">
        <v>0</v>
      </c>
      <c r="AT1001">
        <v>0</v>
      </c>
      <c r="AU1001">
        <v>0</v>
      </c>
      <c r="AV1001">
        <v>0</v>
      </c>
      <c r="AW1001">
        <v>0</v>
      </c>
      <c r="AX1001" s="141">
        <f>COUNTIF(V1001:AW1001,"&lt;&gt;0")</f>
        <v>1</v>
      </c>
      <c r="AY1001" s="141">
        <f>COUNTIF(V1001:AL1001,"&lt;&gt;0")</f>
        <v>1</v>
      </c>
      <c r="AZ1001">
        <f>COUNTIF(V1001:AC1001,"&lt;&gt;0")</f>
        <v>0</v>
      </c>
      <c r="BA1001">
        <f>COUNTIF(AD1001:AI1001,"&lt;&gt;0")</f>
        <v>0</v>
      </c>
      <c r="BB1001">
        <f>COUNTIF(AJ1001:AL1001,"&lt;&gt;0")</f>
        <v>1</v>
      </c>
      <c r="BC1001">
        <f>COUNTIF(AS1001:AW1001,"&lt;&gt;0")</f>
        <v>0</v>
      </c>
      <c r="BD1001">
        <f>COUNTIF(AM1001:AR1001,"&lt;&gt;0")</f>
        <v>0</v>
      </c>
      <c r="BE1001" t="str" cm="1">
        <f t="array" ref="BE1001">IF(AY1001=1,INDEX($V$7:$AL$7,MATCH(TRUE,INDEX($V1001:$AW1001&lt;&gt;0,),0)),IF(AY1001=0,INDEX($AM$7:$AW$7,MATCH(1,$AM1001:$AW1001,0)),IF(BF1001="Multiple strategies","mixed drivers",IF(BF1001="Supply chain","multiple supply","multiple silviculture"))))</f>
        <v>efficiency improvement</v>
      </c>
      <c r="BF1001" s="2" t="str" cm="1">
        <f t="array" ref="BF1001">IF(COUNTIF(AZ1001:BB1001,"&lt;&gt;0")=1,INDEX($V$4:$AW$4,MATCH(TRUE,INDEX($V1001:$AW1001&lt;&gt;0,),0)),IF(COUNTIF(AZ1001:BB1001,"&lt;&gt;0")=0,INDEX($AM$4:$AW$4,MATCH(1,$AM1001:$AW1001,0)),"Multiple strategies"))</f>
        <v>Technology</v>
      </c>
      <c r="BG1001" s="142"/>
      <c r="BJ1001" s="143"/>
      <c r="BL1001" s="143"/>
      <c r="BM1001" s="163"/>
      <c r="BN1001" s="158"/>
      <c r="BO1001" s="143"/>
      <c r="BP1001" s="311" t="s">
        <v>232</v>
      </c>
      <c r="BQ1001" s="311"/>
      <c r="BR1001" t="s">
        <v>3851</v>
      </c>
      <c r="BS1001">
        <v>-6.73</v>
      </c>
      <c r="BT1001" s="143">
        <v>-9</v>
      </c>
      <c r="BU1001" s="144">
        <v>1.3372956909361069</v>
      </c>
      <c r="BV1001">
        <v>-2.2699999999999996</v>
      </c>
      <c r="BX1001" s="144">
        <f>BV1001*1000</f>
        <v>-2269.9999999999995</v>
      </c>
      <c r="BY1001" t="str">
        <f t="shared" si="1195"/>
        <v/>
      </c>
      <c r="BZ1001">
        <v>0</v>
      </c>
      <c r="CA1001">
        <v>0</v>
      </c>
      <c r="CB1001">
        <v>0</v>
      </c>
      <c r="CC1001">
        <v>0</v>
      </c>
      <c r="CD1001">
        <v>0</v>
      </c>
      <c r="CE1001">
        <v>0</v>
      </c>
      <c r="CF1001">
        <v>0</v>
      </c>
      <c r="CG1001">
        <v>0</v>
      </c>
      <c r="CH1001">
        <v>0</v>
      </c>
      <c r="CI1001">
        <v>0</v>
      </c>
      <c r="CJ1001">
        <v>0</v>
      </c>
      <c r="CK1001">
        <v>0</v>
      </c>
      <c r="CL1001">
        <v>0</v>
      </c>
      <c r="CM1001">
        <v>0</v>
      </c>
      <c r="CN1001" t="str">
        <f>IF(BL1001&lt;BK1001,"refNeedCorrection","refOK")</f>
        <v>refOK</v>
      </c>
      <c r="CO1001"/>
      <c r="CP1001"/>
      <c r="CQ1001"/>
      <c r="CR1001">
        <f>IF($CN1001="refOK",$BS1001,$BT1001)*IF($BP1001="Emissions positive",-1,1)</f>
        <v>-6.73</v>
      </c>
      <c r="CS1001">
        <f>IF($CN1001="refOK",$BT1001,$BS1001)*IF($BP1001="Emissions positive",-1,1)</f>
        <v>-9</v>
      </c>
      <c r="CT1001">
        <f>IF($CN1001="refNeedCorrection",-BX1001,BX1001)*IF($BP1001="Emissions positive",-1,1)</f>
        <v>-2269.9999999999995</v>
      </c>
      <c r="CU1001" t="str">
        <f>IFERROR(CT1001/CQ1001,"")</f>
        <v/>
      </c>
      <c r="CV1001" s="2">
        <f>IFERROR((CS1001-CR1001)/ABS(CR1001),"")</f>
        <v>-0.3372956909361069</v>
      </c>
      <c r="CW1001" s="1" t="s">
        <v>1202</v>
      </c>
      <c r="CX1001" s="311" t="str">
        <f>IF(OR($CW1001="prd",$CW1001="std",$CW1001="cit"),"loc",IF(OR($CW1001="eur",$CW1001="reg",$CW1001="coy"),"reg",$CW1001))</f>
        <v>reg</v>
      </c>
      <c r="CY1001" t="s">
        <v>3852</v>
      </c>
      <c r="CZ1001">
        <v>2020</v>
      </c>
      <c r="DA1001" s="143">
        <v>2030</v>
      </c>
      <c r="DB1001" s="143">
        <f>DA1001-CZ1001</f>
        <v>10</v>
      </c>
      <c r="DC1001" t="str">
        <f>IF(DB1001=0,"0",IF(AND(DB1001&gt;=1,DB1001&lt;=30),"1-30",IF(AND(DB1001&gt;30,DB1001&lt;=70),"31-70",IF(AND(DB1001&gt;70,DB1001&lt;=100),"71-100",IF(DB1001&gt;100,"+100")))))</f>
        <v>1-30</v>
      </c>
      <c r="DD1001">
        <v>0</v>
      </c>
      <c r="DE1001">
        <v>1</v>
      </c>
      <c r="DF1001">
        <v>0</v>
      </c>
      <c r="DG1001">
        <v>0</v>
      </c>
      <c r="DI1001">
        <f>SUM(DD1001:DG1001)</f>
        <v>1</v>
      </c>
      <c r="DJ1001" t="str">
        <f>IF(DI1001=1,INDEX($DD$7:$DG$7,MATCH(1,$DD1001:$DG1001,0)),"mixedProduct")</f>
        <v>EnergyInput</v>
      </c>
      <c r="DK1001">
        <f t="shared" ref="DK1001:DN1005" si="1315">IF(DD1001=1,DK$7,0)</f>
        <v>0</v>
      </c>
      <c r="DL1001" t="str">
        <f t="shared" si="1315"/>
        <v>Energy</v>
      </c>
      <c r="DM1001">
        <f t="shared" si="1315"/>
        <v>0</v>
      </c>
      <c r="DN1001">
        <f t="shared" si="1315"/>
        <v>0</v>
      </c>
      <c r="DO1001">
        <v>0</v>
      </c>
      <c r="DP1001" s="143">
        <v>0</v>
      </c>
      <c r="DQ1001" s="143">
        <v>0</v>
      </c>
      <c r="DR1001">
        <v>0</v>
      </c>
      <c r="DS1001" s="143">
        <v>0</v>
      </c>
      <c r="DT1001">
        <f>SUM(DO1001:DP1001)</f>
        <v>0</v>
      </c>
      <c r="DU1001" s="143" t="str">
        <f>IF(DO1001=1,"self-calculated DF",IF(DP1001=1,"external DF used","explicit C balance"))</f>
        <v>explicit C balance</v>
      </c>
      <c r="DV1001" s="143">
        <v>0</v>
      </c>
      <c r="DW1001" s="143">
        <v>0</v>
      </c>
      <c r="DX1001" s="143">
        <v>0</v>
      </c>
      <c r="DY1001" s="143">
        <v>0</v>
      </c>
      <c r="DZ1001">
        <v>0</v>
      </c>
      <c r="EA1001" s="143">
        <v>0</v>
      </c>
      <c r="EB1001" s="143">
        <v>0</v>
      </c>
      <c r="EC1001" s="143">
        <v>1</v>
      </c>
      <c r="ED1001" s="143">
        <v>0</v>
      </c>
      <c r="EE1001">
        <v>0</v>
      </c>
      <c r="EF1001">
        <v>0</v>
      </c>
      <c r="EG1001" s="143">
        <v>0</v>
      </c>
      <c r="EH1001">
        <v>0</v>
      </c>
      <c r="EI1001" s="2">
        <v>0</v>
      </c>
      <c r="EK1001" t="str">
        <f>IF(AND(AND(AND(OR($DX1001=1,$DW1001=1),OR($EC1001=1,$EA1001=1)),SUM($DV1001:$DZ1001,$EF1001)&gt;=3),SUM($EA1001:$EE1001)&gt;=2),"Whole sector","")</f>
        <v/>
      </c>
      <c r="EL1001" t="str">
        <f>IF(AND(AND(OR($DX1001=1,$DW1001=1),AND($EC1001=0,$EA1001=0)),SUM($DV1001:$DZ1001,$EF1001)&gt;=3),"Ecosystem approach","")</f>
        <v/>
      </c>
      <c r="EM1001" s="2" t="str">
        <f t="shared" si="1223"/>
        <v/>
      </c>
      <c r="EN1001" t="s">
        <v>3853</v>
      </c>
      <c r="EP1001" t="b">
        <f>IF(ISNUMBER(BU1001),IF(ABS(BU1001-[1]QC_indicators!$B$2)&gt;3*[1]QC_indicators!$C$2,"C ratio",IF(ISNUMBER(BY1001),IF(ABS(BY1001-[1]QC_indicators!$B$1)&gt;3*[1]QC_indicators!$C$1,"DF","no"))),IF(ISNUMBER(BY1001),IF(ABS(BY1001-[1]QC_indicators!$B$1)&gt;3*[1]QC_indicators!$C$1,"DF","no")))</f>
        <v>0</v>
      </c>
      <c r="ER1001" s="313" t="s">
        <v>349</v>
      </c>
    </row>
    <row r="1002" spans="1:151" ht="15" hidden="1" customHeight="1">
      <c r="A1002" s="1" t="s">
        <v>3840</v>
      </c>
      <c r="B1002" t="s">
        <v>3841</v>
      </c>
      <c r="C1002" t="s">
        <v>3842</v>
      </c>
      <c r="D1002" t="s">
        <v>3843</v>
      </c>
      <c r="E1002" t="s">
        <v>3844</v>
      </c>
      <c r="F1002" t="s">
        <v>3845</v>
      </c>
      <c r="G1002" t="s">
        <v>3846</v>
      </c>
      <c r="H1002" t="s">
        <v>254</v>
      </c>
      <c r="I1002">
        <v>2019</v>
      </c>
      <c r="J1002">
        <v>10</v>
      </c>
      <c r="K1002" t="s">
        <v>3847</v>
      </c>
      <c r="M1002" t="str">
        <f t="shared" si="1249"/>
        <v>Mai-Moulin_2019</v>
      </c>
      <c r="N1002" s="311" t="s">
        <v>4382</v>
      </c>
      <c r="O1002" s="145" t="s">
        <v>225</v>
      </c>
      <c r="Q1002" s="311" t="s">
        <v>256</v>
      </c>
      <c r="R1002" s="312"/>
      <c r="S1002" s="1" t="s">
        <v>3848</v>
      </c>
      <c r="T1002" t="s">
        <v>3849</v>
      </c>
      <c r="U1002" t="s">
        <v>3850</v>
      </c>
      <c r="V1002">
        <v>0</v>
      </c>
      <c r="W1002">
        <v>0</v>
      </c>
      <c r="X1002">
        <v>0</v>
      </c>
      <c r="Y1002">
        <v>0</v>
      </c>
      <c r="Z1002">
        <v>0</v>
      </c>
      <c r="AA1002">
        <v>0</v>
      </c>
      <c r="AB1002">
        <v>0</v>
      </c>
      <c r="AC1002">
        <v>0</v>
      </c>
      <c r="AD1002">
        <v>0</v>
      </c>
      <c r="AE1002">
        <v>0</v>
      </c>
      <c r="AF1002">
        <v>0</v>
      </c>
      <c r="AG1002">
        <v>0</v>
      </c>
      <c r="AH1002">
        <v>0</v>
      </c>
      <c r="AI1002">
        <v>0</v>
      </c>
      <c r="AJ1002">
        <v>1</v>
      </c>
      <c r="AK1002">
        <v>0</v>
      </c>
      <c r="AL1002">
        <v>0</v>
      </c>
      <c r="AM1002">
        <v>0</v>
      </c>
      <c r="AN1002">
        <v>0</v>
      </c>
      <c r="AO1002">
        <v>0</v>
      </c>
      <c r="AP1002">
        <v>0</v>
      </c>
      <c r="AQ1002">
        <v>0</v>
      </c>
      <c r="AR1002">
        <v>0</v>
      </c>
      <c r="AS1002">
        <v>0</v>
      </c>
      <c r="AT1002">
        <v>0</v>
      </c>
      <c r="AU1002">
        <v>0</v>
      </c>
      <c r="AV1002">
        <v>0</v>
      </c>
      <c r="AW1002">
        <v>0</v>
      </c>
      <c r="AX1002" s="141">
        <f>COUNTIF(V1002:AW1002,"&lt;&gt;0")</f>
        <v>1</v>
      </c>
      <c r="AY1002" s="141">
        <f>COUNTIF(V1002:AL1002,"&lt;&gt;0")</f>
        <v>1</v>
      </c>
      <c r="AZ1002">
        <f>COUNTIF(V1002:AC1002,"&lt;&gt;0")</f>
        <v>0</v>
      </c>
      <c r="BA1002">
        <f>COUNTIF(AD1002:AI1002,"&lt;&gt;0")</f>
        <v>0</v>
      </c>
      <c r="BB1002">
        <f>COUNTIF(AJ1002:AL1002,"&lt;&gt;0")</f>
        <v>1</v>
      </c>
      <c r="BC1002">
        <f>COUNTIF(AS1002:AW1002,"&lt;&gt;0")</f>
        <v>0</v>
      </c>
      <c r="BD1002">
        <f>COUNTIF(AM1002:AR1002,"&lt;&gt;0")</f>
        <v>0</v>
      </c>
      <c r="BE1002" t="str" cm="1">
        <f t="array" ref="BE1002">IF(AY1002=1,INDEX($V$7:$AL$7,MATCH(TRUE,INDEX($V1002:$AW1002&lt;&gt;0,),0)),IF(AY1002=0,INDEX($AM$7:$AW$7,MATCH(1,$AM1002:$AW1002,0)),IF(BF1002="Multiple strategies","mixed drivers",IF(BF1002="Supply chain","multiple supply","multiple silviculture"))))</f>
        <v>efficiency improvement</v>
      </c>
      <c r="BF1002" s="2" t="str" cm="1">
        <f t="array" ref="BF1002">IF(COUNTIF(AZ1002:BB1002,"&lt;&gt;0")=1,INDEX($V$4:$AW$4,MATCH(TRUE,INDEX($V1002:$AW1002&lt;&gt;0,),0)),IF(COUNTIF(AZ1002:BB1002,"&lt;&gt;0")=0,INDEX($AM$4:$AW$4,MATCH(1,$AM1002:$AW1002,0)),"Multiple strategies"))</f>
        <v>Technology</v>
      </c>
      <c r="BG1002" s="142"/>
      <c r="BJ1002" s="143"/>
      <c r="BL1002" s="143"/>
      <c r="BM1002" s="163"/>
      <c r="BN1002" s="158"/>
      <c r="BO1002" s="143"/>
      <c r="BP1002" s="311" t="s">
        <v>232</v>
      </c>
      <c r="BQ1002" s="311"/>
      <c r="BR1002" t="s">
        <v>3851</v>
      </c>
      <c r="BS1002">
        <v>-6.53</v>
      </c>
      <c r="BT1002" s="143">
        <v>-18.2</v>
      </c>
      <c r="BU1002" s="144">
        <v>2.7871362940275648</v>
      </c>
      <c r="BV1002">
        <v>-11.669999999999998</v>
      </c>
      <c r="BX1002" s="144">
        <f>BV1002*1000</f>
        <v>-11669.999999999998</v>
      </c>
      <c r="BY1002" t="str">
        <f t="shared" ref="BY1002:BY1065" si="1316">IFERROR(BX1002/BO1002,"")</f>
        <v/>
      </c>
      <c r="BZ1002">
        <v>0</v>
      </c>
      <c r="CA1002">
        <v>0</v>
      </c>
      <c r="CB1002">
        <v>0</v>
      </c>
      <c r="CC1002">
        <v>0</v>
      </c>
      <c r="CD1002">
        <v>0</v>
      </c>
      <c r="CE1002">
        <v>0</v>
      </c>
      <c r="CF1002">
        <v>0</v>
      </c>
      <c r="CG1002">
        <v>0</v>
      </c>
      <c r="CH1002">
        <v>0</v>
      </c>
      <c r="CI1002">
        <v>0</v>
      </c>
      <c r="CJ1002">
        <v>0</v>
      </c>
      <c r="CK1002">
        <v>0</v>
      </c>
      <c r="CL1002">
        <v>0</v>
      </c>
      <c r="CM1002">
        <v>0</v>
      </c>
      <c r="CN1002" t="str">
        <f>IF(BL1002&lt;BK1002,"refNeedCorrection","refOK")</f>
        <v>refOK</v>
      </c>
      <c r="CO1002"/>
      <c r="CP1002"/>
      <c r="CQ1002"/>
      <c r="CR1002">
        <f>IF($CN1002="refOK",$BS1002,$BT1002)*IF($BP1002="Emissions positive",-1,1)</f>
        <v>-6.53</v>
      </c>
      <c r="CS1002">
        <f>IF($CN1002="refOK",$BT1002,$BS1002)*IF($BP1002="Emissions positive",-1,1)</f>
        <v>-18.2</v>
      </c>
      <c r="CT1002">
        <f>IF($CN1002="refNeedCorrection",-BX1002,BX1002)*IF($BP1002="Emissions positive",-1,1)</f>
        <v>-11669.999999999998</v>
      </c>
      <c r="CU1002" t="str">
        <f>IFERROR(CT1002/CQ1002,"")</f>
        <v/>
      </c>
      <c r="CV1002" s="2">
        <f>IFERROR((CS1002-CR1002)/ABS(CR1002),"")</f>
        <v>-1.7871362940275648</v>
      </c>
      <c r="CW1002" s="1" t="s">
        <v>1202</v>
      </c>
      <c r="CX1002" s="311" t="str">
        <f>IF(OR($CW1002="prd",$CW1002="std",$CW1002="cit"),"loc",IF(OR($CW1002="eur",$CW1002="reg",$CW1002="coy"),"reg",$CW1002))</f>
        <v>reg</v>
      </c>
      <c r="CY1002" t="s">
        <v>520</v>
      </c>
      <c r="CZ1002">
        <v>2020</v>
      </c>
      <c r="DA1002" s="143">
        <v>2030</v>
      </c>
      <c r="DB1002" s="143">
        <f>DA1002-CZ1002</f>
        <v>10</v>
      </c>
      <c r="DC1002" t="str">
        <f>IF(DB1002=0,"0",IF(AND(DB1002&gt;=1,DB1002&lt;=30),"1-30",IF(AND(DB1002&gt;30,DB1002&lt;=70),"31-70",IF(AND(DB1002&gt;70,DB1002&lt;=100),"71-100",IF(DB1002&gt;100,"+100")))))</f>
        <v>1-30</v>
      </c>
      <c r="DD1002">
        <v>0</v>
      </c>
      <c r="DE1002">
        <v>1</v>
      </c>
      <c r="DF1002">
        <v>0</v>
      </c>
      <c r="DG1002">
        <v>0</v>
      </c>
      <c r="DI1002">
        <f>SUM(DD1002:DG1002)</f>
        <v>1</v>
      </c>
      <c r="DJ1002" t="str">
        <f>IF(DI1002=1,INDEX($DD$7:$DG$7,MATCH(1,$DD1002:$DG1002,0)),"mixedProduct")</f>
        <v>EnergyInput</v>
      </c>
      <c r="DK1002">
        <f t="shared" si="1315"/>
        <v>0</v>
      </c>
      <c r="DL1002" t="str">
        <f t="shared" si="1315"/>
        <v>Energy</v>
      </c>
      <c r="DM1002">
        <f t="shared" si="1315"/>
        <v>0</v>
      </c>
      <c r="DN1002">
        <f t="shared" si="1315"/>
        <v>0</v>
      </c>
      <c r="DO1002">
        <v>0</v>
      </c>
      <c r="DP1002" s="143">
        <v>0</v>
      </c>
      <c r="DQ1002" s="143">
        <v>0</v>
      </c>
      <c r="DR1002">
        <v>0</v>
      </c>
      <c r="DS1002" s="143">
        <v>0</v>
      </c>
      <c r="DT1002">
        <f>SUM(DO1002:DP1002)</f>
        <v>0</v>
      </c>
      <c r="DU1002" s="143" t="str">
        <f>IF(DO1002=1,"self-calculated DF",IF(DP1002=1,"external DF used","explicit C balance"))</f>
        <v>explicit C balance</v>
      </c>
      <c r="DV1002" s="143">
        <v>0</v>
      </c>
      <c r="DW1002" s="143">
        <v>0</v>
      </c>
      <c r="DX1002" s="143">
        <v>0</v>
      </c>
      <c r="DY1002" s="143">
        <v>0</v>
      </c>
      <c r="DZ1002">
        <v>0</v>
      </c>
      <c r="EA1002" s="143">
        <v>0</v>
      </c>
      <c r="EB1002" s="143">
        <v>0</v>
      </c>
      <c r="EC1002" s="143">
        <v>1</v>
      </c>
      <c r="ED1002" s="143">
        <v>0</v>
      </c>
      <c r="EE1002">
        <v>0</v>
      </c>
      <c r="EF1002">
        <v>0</v>
      </c>
      <c r="EG1002" s="143">
        <v>0</v>
      </c>
      <c r="EH1002">
        <v>0</v>
      </c>
      <c r="EI1002" s="2">
        <v>0</v>
      </c>
      <c r="EK1002" t="str">
        <f>IF(AND(AND(AND(OR($DX1002=1,$DW1002=1),OR($EC1002=1,$EA1002=1)),SUM($DV1002:$DZ1002,$EF1002)&gt;=3),SUM($EA1002:$EE1002)&gt;=2),"Whole sector","")</f>
        <v/>
      </c>
      <c r="EL1002" t="str">
        <f>IF(AND(AND(OR($DX1002=1,$DW1002=1),AND($EC1002=0,$EA1002=0)),SUM($DV1002:$DZ1002,$EF1002)&gt;=3),"Ecosystem approach","")</f>
        <v/>
      </c>
      <c r="EM1002" s="2" t="str">
        <f t="shared" si="1223"/>
        <v/>
      </c>
      <c r="EN1002" t="s">
        <v>3853</v>
      </c>
      <c r="EP1002" t="b">
        <f>IF(ISNUMBER(BU1002),IF(ABS(BU1002-[1]QC_indicators!$B$2)&gt;3*[1]QC_indicators!$C$2,"C ratio",IF(ISNUMBER(BY1002),IF(ABS(BY1002-[1]QC_indicators!$B$1)&gt;3*[1]QC_indicators!$C$1,"DF","no"))),IF(ISNUMBER(BY1002),IF(ABS(BY1002-[1]QC_indicators!$B$1)&gt;3*[1]QC_indicators!$C$1,"DF","no")))</f>
        <v>0</v>
      </c>
      <c r="ER1002" s="313" t="s">
        <v>349</v>
      </c>
    </row>
    <row r="1003" spans="1:151" ht="15" hidden="1" customHeight="1">
      <c r="A1003" s="1" t="s">
        <v>925</v>
      </c>
      <c r="B1003" t="s">
        <v>926</v>
      </c>
      <c r="C1003" t="s">
        <v>927</v>
      </c>
      <c r="D1003" t="s">
        <v>928</v>
      </c>
      <c r="E1003" t="s">
        <v>929</v>
      </c>
      <c r="F1003" t="s">
        <v>930</v>
      </c>
      <c r="G1003" t="s">
        <v>931</v>
      </c>
      <c r="H1003" t="s">
        <v>254</v>
      </c>
      <c r="I1003">
        <v>2015</v>
      </c>
      <c r="J1003">
        <v>19</v>
      </c>
      <c r="K1003" t="s">
        <v>932</v>
      </c>
      <c r="M1003" t="str">
        <f t="shared" si="1249"/>
        <v>Makipaa_2015</v>
      </c>
      <c r="N1003" t="s">
        <v>222</v>
      </c>
      <c r="O1003" s="145" t="s">
        <v>225</v>
      </c>
      <c r="Q1003" t="s">
        <v>256</v>
      </c>
      <c r="R1003" s="255" t="s">
        <v>223</v>
      </c>
      <c r="S1003" s="1" t="s">
        <v>939</v>
      </c>
      <c r="T1003" s="143" t="s">
        <v>940</v>
      </c>
      <c r="U1003" t="s">
        <v>941</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2</v>
      </c>
      <c r="AN1003">
        <v>1</v>
      </c>
      <c r="AO1003">
        <v>2</v>
      </c>
      <c r="AP1003">
        <v>2</v>
      </c>
      <c r="AQ1003">
        <v>0</v>
      </c>
      <c r="AR1003">
        <v>0</v>
      </c>
      <c r="AS1003">
        <v>0</v>
      </c>
      <c r="AT1003">
        <v>0</v>
      </c>
      <c r="AU1003">
        <v>0</v>
      </c>
      <c r="AV1003">
        <v>0</v>
      </c>
      <c r="AW1003">
        <v>0</v>
      </c>
      <c r="AX1003" s="141">
        <f>COUNTIF(V1003:AW1003,"&lt;&gt;0")</f>
        <v>4</v>
      </c>
      <c r="AY1003" s="141">
        <f>COUNTIF(V1003:AL1003,"&lt;&gt;0")</f>
        <v>0</v>
      </c>
      <c r="AZ1003">
        <f>COUNTIF(V1003:AC1003,"&lt;&gt;0")</f>
        <v>0</v>
      </c>
      <c r="BA1003">
        <f>COUNTIF(AD1003:AI1003,"&lt;&gt;0")</f>
        <v>0</v>
      </c>
      <c r="BB1003">
        <f>COUNTIF(AJ1003:AL1003,"&lt;&gt;0")</f>
        <v>0</v>
      </c>
      <c r="BC1003">
        <f>COUNTIF(AS1003:AW1003,"&lt;&gt;0")</f>
        <v>0</v>
      </c>
      <c r="BD1003">
        <f>COUNTIF(AM1003:AR1003,"&lt;&gt;0")</f>
        <v>4</v>
      </c>
      <c r="BE1003" t="str">
        <f t="array" ref="BE1003">IF(AY1003=1,INDEX($V$7:$AL$7,MATCH(TRUE,INDEX($V1003:$AW1003&lt;&gt;0,),0)),IF(AY1003=0,INDEX($AM$7:$AW$7,MATCH(1,$AM1003:$AW1003,0)),IF(BF1003="Multiple strategies","mixed drivers",IF(BF1003="Supply chain","multiple supply","multiple silviculture"))))</f>
        <v>Temperature</v>
      </c>
      <c r="BF1003" s="2" t="str" cm="1">
        <f t="array" ref="BF1003">IF(COUNTIF(AZ1003:BB1003,"&lt;&gt;0")=1,INDEX($V$4:$AW$4,MATCH(TRUE,INDEX($V1003:$AW1003&lt;&gt;0,),0)),IF(COUNTIF(AZ1003:BB1003,"&lt;&gt;0")=0,INDEX($AM$4:$AW$4,MATCH(1,$AM1003:$AW1003,0)),"Multiple strategies"))</f>
        <v>Environmental change</v>
      </c>
      <c r="BG1003" s="142" t="s">
        <v>321</v>
      </c>
      <c r="BH1003" t="s">
        <v>936</v>
      </c>
      <c r="BI1003" s="264" t="s">
        <v>424</v>
      </c>
      <c r="BJ1003" s="143" t="s">
        <v>498</v>
      </c>
      <c r="BK1003">
        <v>706</v>
      </c>
      <c r="BL1003" s="143">
        <v>743.1</v>
      </c>
      <c r="BM1003" s="163">
        <f>BL1003/BK1003</f>
        <v>1.0525495750708216</v>
      </c>
      <c r="BN1003">
        <f>BL1003-BK1003</f>
        <v>37.100000000000023</v>
      </c>
      <c r="BO1003" s="159">
        <f>BN1003</f>
        <v>37.100000000000023</v>
      </c>
      <c r="BP1003" t="s">
        <v>232</v>
      </c>
      <c r="BQ1003" s="153" t="s">
        <v>429</v>
      </c>
      <c r="BR1003" t="s">
        <v>937</v>
      </c>
      <c r="BS1003">
        <v>128.9</v>
      </c>
      <c r="BT1003" s="143">
        <v>118.2</v>
      </c>
      <c r="BU1003" s="144">
        <f>IFERROR(BT1003/BS1003,"")</f>
        <v>0.9169899146625291</v>
      </c>
      <c r="BV1003">
        <f>BT1003-BS1003</f>
        <v>-10.700000000000003</v>
      </c>
      <c r="BX1003">
        <f>BV1003*C_to_CO2</f>
        <v>-39.269000000000013</v>
      </c>
      <c r="BY1003">
        <f t="shared" si="1316"/>
        <v>-1.0584636118598381</v>
      </c>
      <c r="BZ1003">
        <v>0</v>
      </c>
      <c r="CA1003">
        <v>0</v>
      </c>
      <c r="CB1003">
        <v>0</v>
      </c>
      <c r="CC1003">
        <v>0</v>
      </c>
      <c r="CD1003">
        <v>0</v>
      </c>
      <c r="CE1003">
        <v>0</v>
      </c>
      <c r="CF1003">
        <v>0</v>
      </c>
      <c r="CG1003">
        <v>0</v>
      </c>
      <c r="CH1003">
        <v>0</v>
      </c>
      <c r="CI1003">
        <v>0</v>
      </c>
      <c r="CJ1003">
        <v>0</v>
      </c>
      <c r="CK1003">
        <v>0</v>
      </c>
      <c r="CL1003">
        <v>0</v>
      </c>
      <c r="CM1003">
        <v>0</v>
      </c>
      <c r="CN1003" t="str">
        <f>IF($BL1003&lt;$BK1003,"refNeedCorrection","refOK")</f>
        <v>refOK</v>
      </c>
      <c r="CO1003">
        <f>IF($CN1003="refNeedCorrection",BL1003,BK1003)</f>
        <v>706</v>
      </c>
      <c r="CP1003">
        <f>IF($CN1003="refNeedCorrection",BK1003,BL1003)</f>
        <v>743.1</v>
      </c>
      <c r="CQ1003">
        <f>IF($CN1003="refOK",$BO1003,-$BO1003)</f>
        <v>37.100000000000023</v>
      </c>
      <c r="CR1003">
        <f>IF($CN1003="refOK",$BS1003,$BT1003)*IF($BP1003="Emissions positive",-1,1)</f>
        <v>128.9</v>
      </c>
      <c r="CS1003">
        <f>IF($CN1003="refOK",$BT1003,$BS1003)*IF($BP1003="Emissions positive",-1,1)</f>
        <v>118.2</v>
      </c>
      <c r="CT1003">
        <f>IF($CN1003="refNeedCorrection",-BX1003,BX1003)*IF($BP1003="Emissions positive",-1,1)</f>
        <v>-39.269000000000013</v>
      </c>
      <c r="CU1003">
        <f>IFERROR(CT1003/CQ1003,"")</f>
        <v>-1.0584636118598381</v>
      </c>
      <c r="CV1003" s="2">
        <f>IFERROR((CS1003-CR1003)/ABS(CR1003),"")</f>
        <v>-8.3010085337470924E-2</v>
      </c>
      <c r="CW1003" s="1" t="s">
        <v>234</v>
      </c>
      <c r="CX1003" t="str">
        <f>IF(OR($CW1003="prd",$CW1003="std",$CW1003="cit"),"loc",IF(OR($CW1003="eur",$CW1003="reg",$CW1003="coy"),"reg",$CW1003))</f>
        <v>loc</v>
      </c>
      <c r="CY1003" t="s">
        <v>235</v>
      </c>
      <c r="DA1003" s="143"/>
      <c r="DB1003" s="143">
        <v>80</v>
      </c>
      <c r="DC1003" t="str">
        <f>IF(DB1003=0,"0",IF(AND(DB1003&gt;=1,DB1003&lt;=30),"1-30",IF(AND(DB1003&gt;30,DB1003&lt;=70),"31-70",IF(AND(DB1003&gt;70,DB1003&lt;=100),"71-100",IF(DB1003&gt;100,"+100")))))</f>
        <v>71-100</v>
      </c>
      <c r="DD1003">
        <v>1</v>
      </c>
      <c r="DE1003">
        <v>1</v>
      </c>
      <c r="DF1003">
        <v>0</v>
      </c>
      <c r="DG1003">
        <v>0</v>
      </c>
      <c r="DI1003">
        <f>SUM(DD1003:DG1003)</f>
        <v>2</v>
      </c>
      <c r="DJ1003" t="str">
        <f>IF(DI1003=1,INDEX($DD$7:$DG$7,MATCH(1,$DD1003:$DG1003,0)),"mixedProduct")</f>
        <v>mixedProduct</v>
      </c>
      <c r="DK1003" t="str">
        <f t="shared" si="1315"/>
        <v>Upstream</v>
      </c>
      <c r="DL1003" t="str">
        <f t="shared" si="1315"/>
        <v>Energy</v>
      </c>
      <c r="DM1003">
        <f t="shared" si="1315"/>
        <v>0</v>
      </c>
      <c r="DN1003">
        <f t="shared" si="1315"/>
        <v>0</v>
      </c>
      <c r="DO1003">
        <v>0</v>
      </c>
      <c r="DP1003" s="143">
        <v>1</v>
      </c>
      <c r="DQ1003" s="143" t="s">
        <v>938</v>
      </c>
      <c r="DR1003">
        <v>0</v>
      </c>
      <c r="DS1003" s="143">
        <v>0</v>
      </c>
      <c r="DT1003">
        <f>SUM(DO1003:DP1003)</f>
        <v>1</v>
      </c>
      <c r="DU1003" s="143" t="str">
        <f>IF(DO1003=1,"self-calculated DF",IF(DP1003=1,"external DF used","explicit C balance"))</f>
        <v>external DF used</v>
      </c>
      <c r="DV1003" s="143">
        <v>1</v>
      </c>
      <c r="DW1003" s="143">
        <v>1</v>
      </c>
      <c r="DX1003" s="143">
        <v>1</v>
      </c>
      <c r="DY1003" s="143">
        <v>0</v>
      </c>
      <c r="DZ1003">
        <v>1</v>
      </c>
      <c r="EA1003" s="143">
        <v>1</v>
      </c>
      <c r="EB1003" s="143">
        <v>0</v>
      </c>
      <c r="EC1003" s="143">
        <v>0</v>
      </c>
      <c r="ED1003" s="143">
        <v>0</v>
      </c>
      <c r="EE1003">
        <v>0</v>
      </c>
      <c r="EF1003">
        <v>1</v>
      </c>
      <c r="EG1003" s="143">
        <v>0</v>
      </c>
      <c r="EH1003">
        <v>0</v>
      </c>
      <c r="EI1003" s="2">
        <v>0</v>
      </c>
      <c r="EK1003" t="str">
        <f>IF(AND(AND(AND(OR($DX1003=1,$DW1003=1),OR($EC1003=1,$EA1003=1)),SUM($DV1003:$DZ1003,$EF1003)&gt;=4),SUM($EA1003:$EE1003)&gt;=2),"Whole sector","")</f>
        <v/>
      </c>
      <c r="EL1003" t="str">
        <f>IF(AND(AND(OR($DX1003=1,$DW1003=1),AND($EC1003=0,$EA1003=0)),SUM($DV1003:$DZ1003,$EF1003)&gt;=4),"Ecosystem approach","")</f>
        <v/>
      </c>
      <c r="EM1003" s="2" t="str">
        <f t="shared" si="1223"/>
        <v/>
      </c>
      <c r="EP1003" t="str">
        <f>IF(ISNUMBER(BU1003),IF(ABS(BU1003-[3]QC_indicators!$B$2)&gt;3*[3]QC_indicators!$C$2,"C ratio",IF(ISNUMBER(BY1003),IF(ABS(BY1003-[3]QC_indicators!$B$1)&gt;3*[3]QC_indicators!$C$1,"DF","no"))),IF(ISNUMBER(BY1003),IF(ABS(BY1003-[3]QC_indicators!$B$1)&gt;3*[3]QC_indicators!$C$1,"DF","no")))</f>
        <v>no</v>
      </c>
      <c r="ET1003" s="264" t="s">
        <v>3094</v>
      </c>
    </row>
    <row r="1004" spans="1:151" ht="15" hidden="1" customHeight="1">
      <c r="A1004" s="1" t="s">
        <v>925</v>
      </c>
      <c r="B1004" t="s">
        <v>926</v>
      </c>
      <c r="C1004" t="s">
        <v>927</v>
      </c>
      <c r="D1004" t="s">
        <v>928</v>
      </c>
      <c r="E1004" t="s">
        <v>929</v>
      </c>
      <c r="F1004" t="s">
        <v>930</v>
      </c>
      <c r="G1004" t="s">
        <v>931</v>
      </c>
      <c r="H1004" t="s">
        <v>254</v>
      </c>
      <c r="I1004">
        <v>2015</v>
      </c>
      <c r="J1004">
        <v>19</v>
      </c>
      <c r="K1004" t="s">
        <v>932</v>
      </c>
      <c r="M1004" t="str">
        <f t="shared" si="1249"/>
        <v>Makipaa_2015</v>
      </c>
      <c r="N1004" t="s">
        <v>222</v>
      </c>
      <c r="O1004" s="145" t="s">
        <v>225</v>
      </c>
      <c r="Q1004" t="s">
        <v>256</v>
      </c>
      <c r="R1004" s="255" t="s">
        <v>223</v>
      </c>
      <c r="S1004" s="1" t="s">
        <v>933</v>
      </c>
      <c r="T1004" t="s">
        <v>934</v>
      </c>
      <c r="U1004" s="143" t="s">
        <v>935</v>
      </c>
      <c r="V1004">
        <v>0</v>
      </c>
      <c r="W1004">
        <v>0</v>
      </c>
      <c r="X1004">
        <v>0</v>
      </c>
      <c r="Y1004">
        <v>1</v>
      </c>
      <c r="Z1004">
        <v>0</v>
      </c>
      <c r="AA1004">
        <v>0</v>
      </c>
      <c r="AB1004">
        <v>0</v>
      </c>
      <c r="AC1004">
        <v>0</v>
      </c>
      <c r="AD1004">
        <v>0</v>
      </c>
      <c r="AE1004">
        <v>0</v>
      </c>
      <c r="AF1004">
        <v>0</v>
      </c>
      <c r="AG1004">
        <v>0</v>
      </c>
      <c r="AH1004">
        <v>0</v>
      </c>
      <c r="AI1004">
        <v>0</v>
      </c>
      <c r="AJ1004">
        <v>0</v>
      </c>
      <c r="AK1004">
        <v>0</v>
      </c>
      <c r="AL1004">
        <v>0</v>
      </c>
      <c r="AM1004">
        <v>0</v>
      </c>
      <c r="AN1004">
        <v>0</v>
      </c>
      <c r="AO1004">
        <v>0</v>
      </c>
      <c r="AP1004">
        <v>0</v>
      </c>
      <c r="AQ1004">
        <v>0</v>
      </c>
      <c r="AR1004">
        <v>0</v>
      </c>
      <c r="AS1004">
        <v>0</v>
      </c>
      <c r="AT1004">
        <v>0</v>
      </c>
      <c r="AU1004">
        <v>0</v>
      </c>
      <c r="AV1004">
        <v>0</v>
      </c>
      <c r="AW1004">
        <v>0</v>
      </c>
      <c r="AX1004" s="141">
        <f>COUNTIF(V1004:AW1004,"&lt;&gt;0")</f>
        <v>1</v>
      </c>
      <c r="AY1004" s="141">
        <f>COUNTIF(V1004:AL1004,"&lt;&gt;0")</f>
        <v>1</v>
      </c>
      <c r="AZ1004">
        <f>COUNTIF(V1004:AC1004,"&lt;&gt;0")</f>
        <v>1</v>
      </c>
      <c r="BA1004">
        <f>COUNTIF(AD1004:AI1004,"&lt;&gt;0")</f>
        <v>0</v>
      </c>
      <c r="BB1004">
        <f>COUNTIF(AJ1004:AL1004,"&lt;&gt;0")</f>
        <v>0</v>
      </c>
      <c r="BC1004">
        <f>COUNTIF(AS1004:AW1004,"&lt;&gt;0")</f>
        <v>0</v>
      </c>
      <c r="BD1004">
        <f>COUNTIF(AM1004:AR1004,"&lt;&gt;0")</f>
        <v>0</v>
      </c>
      <c r="BE1004" t="str">
        <f t="array" ref="BE1004">IF(AY1004=1,INDEX($V$7:$AL$7,MATCH(TRUE,INDEX($V1004:$AW1004&lt;&gt;0,),0)),IF(AY1004=0,INDEX($AM$7:$AW$7,MATCH(1,$AM1004:$AW1004,0)),IF(BF1004="Multiple strategies","mixed drivers",IF(BF1004="Supply chain","multiple supply","multiple silviculture"))))</f>
        <v xml:space="preserve">cutting intensity </v>
      </c>
      <c r="BF1004" s="2" t="str" cm="1">
        <f t="array" ref="BF1004">IF(COUNTIF(AZ1004:BB1004,"&lt;&gt;0")=1,INDEX($V$4:$AW$4,MATCH(TRUE,INDEX($V1004:$AW1004&lt;&gt;0,),0)),IF(COUNTIF(AZ1004:BB1004,"&lt;&gt;0")=0,INDEX($AM$4:$AW$4,MATCH(1,$AM1004:$AW1004,0)),"Multiple strategies"))</f>
        <v>Silviculture for removals</v>
      </c>
      <c r="BG1004" s="142" t="s">
        <v>321</v>
      </c>
      <c r="BH1004" t="s">
        <v>936</v>
      </c>
      <c r="BI1004" s="264" t="s">
        <v>424</v>
      </c>
      <c r="BJ1004" s="143" t="s">
        <v>498</v>
      </c>
      <c r="BK1004">
        <v>625.20000000000005</v>
      </c>
      <c r="BL1004" s="143">
        <v>743.1</v>
      </c>
      <c r="BM1004" s="163">
        <f>BL1004/BK1004</f>
        <v>1.1885796545105565</v>
      </c>
      <c r="BN1004">
        <f>BL1004-BK1004</f>
        <v>117.89999999999998</v>
      </c>
      <c r="BO1004" s="159">
        <f>BN1004</f>
        <v>117.89999999999998</v>
      </c>
      <c r="BP1004" t="s">
        <v>232</v>
      </c>
      <c r="BQ1004" s="153" t="s">
        <v>429</v>
      </c>
      <c r="BR1004" t="s">
        <v>937</v>
      </c>
      <c r="BS1004" s="143">
        <v>139.5</v>
      </c>
      <c r="BT1004">
        <v>118.2</v>
      </c>
      <c r="BU1004" s="144">
        <f>IFERROR(BT1004/BS1004,"")</f>
        <v>0.84731182795698923</v>
      </c>
      <c r="BV1004">
        <f>BT1004-BS1004</f>
        <v>-21.299999999999997</v>
      </c>
      <c r="BX1004">
        <f>BV1004*C_to_CO2</f>
        <v>-78.170999999999992</v>
      </c>
      <c r="BY1004">
        <f t="shared" si="1316"/>
        <v>-0.66302798982188305</v>
      </c>
      <c r="BZ1004">
        <v>0</v>
      </c>
      <c r="CA1004">
        <v>0</v>
      </c>
      <c r="CB1004">
        <v>0</v>
      </c>
      <c r="CC1004">
        <v>0</v>
      </c>
      <c r="CD1004">
        <v>0</v>
      </c>
      <c r="CE1004">
        <v>0</v>
      </c>
      <c r="CF1004">
        <v>0</v>
      </c>
      <c r="CG1004">
        <v>0</v>
      </c>
      <c r="CH1004">
        <v>0</v>
      </c>
      <c r="CI1004">
        <v>0</v>
      </c>
      <c r="CJ1004">
        <v>0</v>
      </c>
      <c r="CK1004">
        <v>0</v>
      </c>
      <c r="CL1004">
        <v>0</v>
      </c>
      <c r="CM1004">
        <v>0</v>
      </c>
      <c r="CN1004" t="str">
        <f>IF($BL1004&lt;$BK1004,"refNeedCorrection","refOK")</f>
        <v>refOK</v>
      </c>
      <c r="CO1004">
        <f>IF($CN1004="refNeedCorrection",BL1004,BK1004)</f>
        <v>625.20000000000005</v>
      </c>
      <c r="CP1004">
        <f>IF($CN1004="refNeedCorrection",BK1004,BL1004)</f>
        <v>743.1</v>
      </c>
      <c r="CQ1004">
        <f>IF($CN1004="refOK",$BO1004,-$BO1004)</f>
        <v>117.89999999999998</v>
      </c>
      <c r="CR1004">
        <f>IF($CN1004="refOK",$BS1004,$BT1004)*IF($BP1004="Emissions positive",-1,1)</f>
        <v>139.5</v>
      </c>
      <c r="CS1004">
        <f>IF($CN1004="refOK",$BT1004,$BS1004)*IF($BP1004="Emissions positive",-1,1)</f>
        <v>118.2</v>
      </c>
      <c r="CT1004">
        <f>IF($CN1004="refNeedCorrection",-BX1004,BX1004)*IF($BP1004="Emissions positive",-1,1)</f>
        <v>-78.170999999999992</v>
      </c>
      <c r="CU1004">
        <f>IFERROR(CT1004/CQ1004,"")</f>
        <v>-0.66302798982188305</v>
      </c>
      <c r="CV1004" s="2">
        <f>IFERROR((CS1004-CR1004)/ABS(CR1004),"")</f>
        <v>-0.15268817204301074</v>
      </c>
      <c r="CW1004" s="1" t="s">
        <v>234</v>
      </c>
      <c r="CX1004" t="str">
        <f>IF(OR($CW1004="prd",$CW1004="std",$CW1004="cit"),"loc",IF(OR($CW1004="eur",$CW1004="reg",$CW1004="coy"),"reg",$CW1004))</f>
        <v>loc</v>
      </c>
      <c r="CY1004" t="s">
        <v>235</v>
      </c>
      <c r="DA1004" s="143"/>
      <c r="DB1004" s="143">
        <v>80</v>
      </c>
      <c r="DC1004" t="str">
        <f>IF(DB1004=0,"0",IF(AND(DB1004&gt;=1,DB1004&lt;=30),"1-30",IF(AND(DB1004&gt;30,DB1004&lt;=70),"31-70",IF(AND(DB1004&gt;70,DB1004&lt;=100),"71-100",IF(DB1004&gt;100,"+100")))))</f>
        <v>71-100</v>
      </c>
      <c r="DD1004">
        <v>1</v>
      </c>
      <c r="DE1004">
        <v>1</v>
      </c>
      <c r="DF1004">
        <v>0</v>
      </c>
      <c r="DG1004">
        <v>0</v>
      </c>
      <c r="DI1004">
        <f>SUM(DD1004:DG1004)</f>
        <v>2</v>
      </c>
      <c r="DJ1004" t="str">
        <f>IF(DI1004=1,INDEX($DD$7:$DG$7,MATCH(1,$DD1004:$DG1004,0)),"mixedProduct")</f>
        <v>mixedProduct</v>
      </c>
      <c r="DK1004" t="str">
        <f t="shared" si="1315"/>
        <v>Upstream</v>
      </c>
      <c r="DL1004" t="str">
        <f t="shared" si="1315"/>
        <v>Energy</v>
      </c>
      <c r="DM1004">
        <f t="shared" si="1315"/>
        <v>0</v>
      </c>
      <c r="DN1004">
        <f t="shared" si="1315"/>
        <v>0</v>
      </c>
      <c r="DO1004">
        <v>0</v>
      </c>
      <c r="DP1004" s="143">
        <v>1</v>
      </c>
      <c r="DQ1004" s="143" t="s">
        <v>938</v>
      </c>
      <c r="DR1004">
        <v>0</v>
      </c>
      <c r="DS1004" s="143">
        <v>0</v>
      </c>
      <c r="DT1004">
        <f>SUM(DO1004:DP1004)</f>
        <v>1</v>
      </c>
      <c r="DU1004" s="143" t="str">
        <f>IF(DO1004=1,"self-calculated DF",IF(DP1004=1,"external DF used","explicit C balance"))</f>
        <v>external DF used</v>
      </c>
      <c r="DV1004" s="143">
        <v>1</v>
      </c>
      <c r="DW1004" s="143">
        <v>1</v>
      </c>
      <c r="DX1004" s="143">
        <v>1</v>
      </c>
      <c r="DY1004" s="143">
        <v>0</v>
      </c>
      <c r="DZ1004">
        <v>1</v>
      </c>
      <c r="EA1004" s="143">
        <v>1</v>
      </c>
      <c r="EB1004" s="143">
        <v>0</v>
      </c>
      <c r="EC1004" s="143">
        <v>0</v>
      </c>
      <c r="ED1004" s="143">
        <v>0</v>
      </c>
      <c r="EE1004">
        <v>0</v>
      </c>
      <c r="EF1004">
        <v>1</v>
      </c>
      <c r="EG1004" s="143">
        <v>0</v>
      </c>
      <c r="EH1004">
        <v>0</v>
      </c>
      <c r="EI1004" s="2">
        <v>0</v>
      </c>
      <c r="EK1004" t="str">
        <f>IF(AND(AND(AND(OR($DX1004=1,$DW1004=1),OR($EC1004=1,$EA1004=1)),SUM($DV1004:$DZ1004,$EF1004)&gt;=4),SUM($EA1004:$EE1004)&gt;=2),"Whole sector","")</f>
        <v/>
      </c>
      <c r="EL1004" t="str">
        <f>IF(AND(AND(OR($DX1004=1,$DW1004=1),AND($EC1004=0,$EA1004=0)),SUM($DV1004:$DZ1004,$EF1004)&gt;=4),"Ecosystem approach","")</f>
        <v/>
      </c>
      <c r="EM1004" s="2" t="str">
        <f t="shared" ref="EM1004:EM1067" si="1317">IF(AND(AND(AND($DX1004=0,$DW1004=0),OR($EC1004=1,$EA1004=1)),SUM($EB1004:$EE1004)&gt;=2),"Technology approach","")</f>
        <v/>
      </c>
      <c r="EP1004" t="str">
        <f>IF(ISNUMBER(BU1004),IF(ABS(BU1004-[3]QC_indicators!$B$2)&gt;3*[3]QC_indicators!$C$2,"C ratio",IF(ISNUMBER(BY1004),IF(ABS(BY1004-[3]QC_indicators!$B$1)&gt;3*[3]QC_indicators!$C$1,"DF","no"))),IF(ISNUMBER(BY1004),IF(ABS(BY1004-[3]QC_indicators!$B$1)&gt;3*[3]QC_indicators!$C$1,"DF","no")))</f>
        <v>no</v>
      </c>
      <c r="ET1004" s="264" t="s">
        <v>3093</v>
      </c>
      <c r="EU1004" s="139"/>
    </row>
    <row r="1005" spans="1:151" ht="15" hidden="1" customHeight="1">
      <c r="A1005" s="1" t="s">
        <v>925</v>
      </c>
      <c r="B1005" t="s">
        <v>926</v>
      </c>
      <c r="C1005" t="s">
        <v>927</v>
      </c>
      <c r="D1005" t="s">
        <v>928</v>
      </c>
      <c r="E1005" t="s">
        <v>929</v>
      </c>
      <c r="F1005" t="s">
        <v>930</v>
      </c>
      <c r="G1005" t="s">
        <v>931</v>
      </c>
      <c r="H1005" t="s">
        <v>254</v>
      </c>
      <c r="I1005">
        <v>2015</v>
      </c>
      <c r="J1005">
        <v>19</v>
      </c>
      <c r="K1005" t="s">
        <v>932</v>
      </c>
      <c r="M1005" t="str">
        <f t="shared" si="1249"/>
        <v>Makipaa_2015</v>
      </c>
      <c r="N1005" t="s">
        <v>222</v>
      </c>
      <c r="O1005" s="145" t="s">
        <v>225</v>
      </c>
      <c r="Q1005" t="s">
        <v>256</v>
      </c>
      <c r="R1005" s="255" t="s">
        <v>223</v>
      </c>
      <c r="S1005" s="1" t="s">
        <v>939</v>
      </c>
      <c r="T1005" t="s">
        <v>942</v>
      </c>
      <c r="U1005" s="143" t="s">
        <v>943</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2</v>
      </c>
      <c r="AN1005">
        <v>1</v>
      </c>
      <c r="AO1005">
        <v>2</v>
      </c>
      <c r="AP1005">
        <v>2</v>
      </c>
      <c r="AQ1005">
        <v>0</v>
      </c>
      <c r="AR1005">
        <v>0</v>
      </c>
      <c r="AS1005">
        <v>0</v>
      </c>
      <c r="AT1005">
        <v>0</v>
      </c>
      <c r="AU1005">
        <v>0</v>
      </c>
      <c r="AV1005">
        <v>0</v>
      </c>
      <c r="AW1005">
        <v>0</v>
      </c>
      <c r="AX1005" s="141">
        <f>COUNTIF(V1005:AW1005,"&lt;&gt;0")</f>
        <v>4</v>
      </c>
      <c r="AY1005" s="141">
        <f>COUNTIF(V1005:AL1005,"&lt;&gt;0")</f>
        <v>0</v>
      </c>
      <c r="AZ1005">
        <f>COUNTIF(V1005:AC1005,"&lt;&gt;0")</f>
        <v>0</v>
      </c>
      <c r="BA1005">
        <f>COUNTIF(AD1005:AI1005,"&lt;&gt;0")</f>
        <v>0</v>
      </c>
      <c r="BB1005">
        <f>COUNTIF(AJ1005:AL1005,"&lt;&gt;0")</f>
        <v>0</v>
      </c>
      <c r="BC1005">
        <f>COUNTIF(AS1005:AW1005,"&lt;&gt;0")</f>
        <v>0</v>
      </c>
      <c r="BD1005">
        <f>COUNTIF(AM1005:AR1005,"&lt;&gt;0")</f>
        <v>4</v>
      </c>
      <c r="BE1005" t="str">
        <f t="array" ref="BE1005">IF(AY1005=1,INDEX($V$7:$AL$7,MATCH(TRUE,INDEX($V1005:$AW1005&lt;&gt;0,),0)),IF(AY1005=0,INDEX($AM$7:$AW$7,MATCH(1,$AM1005:$AW1005,0)),IF(BF1005="Multiple strategies","mixed drivers",IF(BF1005="Supply chain","multiple supply","multiple silviculture"))))</f>
        <v>Temperature</v>
      </c>
      <c r="BF1005" s="2" t="str" cm="1">
        <f t="array" ref="BF1005">IF(COUNTIF(AZ1005:BB1005,"&lt;&gt;0")=1,INDEX($V$4:$AW$4,MATCH(TRUE,INDEX($V1005:$AW1005&lt;&gt;0,),0)),IF(COUNTIF(AZ1005:BB1005,"&lt;&gt;0")=0,INDEX($AM$4:$AW$4,MATCH(1,$AM1005:$AW1005,0)),"Multiple strategies"))</f>
        <v>Environmental change</v>
      </c>
      <c r="BG1005" s="142" t="s">
        <v>321</v>
      </c>
      <c r="BH1005" t="s">
        <v>936</v>
      </c>
      <c r="BI1005" s="264" t="s">
        <v>424</v>
      </c>
      <c r="BJ1005" s="143" t="s">
        <v>498</v>
      </c>
      <c r="BK1005">
        <v>625.20000000000005</v>
      </c>
      <c r="BL1005" s="143">
        <v>636.6</v>
      </c>
      <c r="BM1005" s="163">
        <f>BL1005/BK1005</f>
        <v>1.0182341650671785</v>
      </c>
      <c r="BN1005">
        <f>BL1005-BK1005</f>
        <v>11.399999999999977</v>
      </c>
      <c r="BO1005" s="159">
        <f>BN1005</f>
        <v>11.399999999999977</v>
      </c>
      <c r="BP1005" t="s">
        <v>232</v>
      </c>
      <c r="BQ1005" s="153" t="s">
        <v>429</v>
      </c>
      <c r="BR1005" t="s">
        <v>937</v>
      </c>
      <c r="BS1005" s="143">
        <v>139.5</v>
      </c>
      <c r="BT1005">
        <v>141.19999999999999</v>
      </c>
      <c r="BU1005" s="144">
        <f>IFERROR(BT1005/BS1005,"")</f>
        <v>1.0121863799283153</v>
      </c>
      <c r="BV1005">
        <f>BT1005-BS1005</f>
        <v>1.6999999999999886</v>
      </c>
      <c r="BX1005">
        <f>BV1005*C_to_CO2</f>
        <v>6.2389999999999581</v>
      </c>
      <c r="BY1005">
        <f t="shared" si="1316"/>
        <v>0.54728070175438337</v>
      </c>
      <c r="BZ1005">
        <v>0</v>
      </c>
      <c r="CA1005">
        <v>0</v>
      </c>
      <c r="CB1005">
        <v>0</v>
      </c>
      <c r="CC1005">
        <v>0</v>
      </c>
      <c r="CD1005">
        <v>0</v>
      </c>
      <c r="CE1005">
        <v>0</v>
      </c>
      <c r="CF1005">
        <v>0</v>
      </c>
      <c r="CG1005">
        <v>0</v>
      </c>
      <c r="CH1005">
        <v>0</v>
      </c>
      <c r="CI1005">
        <v>0</v>
      </c>
      <c r="CJ1005">
        <v>0</v>
      </c>
      <c r="CK1005">
        <v>0</v>
      </c>
      <c r="CL1005">
        <v>0</v>
      </c>
      <c r="CM1005">
        <v>0</v>
      </c>
      <c r="CN1005" t="str">
        <f>IF($BL1005&lt;$BK1005,"refNeedCorrection","refOK")</f>
        <v>refOK</v>
      </c>
      <c r="CO1005">
        <f>IF($CN1005="refNeedCorrection",BL1005,BK1005)</f>
        <v>625.20000000000005</v>
      </c>
      <c r="CP1005">
        <f>IF($CN1005="refNeedCorrection",BK1005,BL1005)</f>
        <v>636.6</v>
      </c>
      <c r="CQ1005">
        <f>IF($CN1005="refOK",$BO1005,-$BO1005)</f>
        <v>11.399999999999977</v>
      </c>
      <c r="CR1005">
        <f>IF($CN1005="refOK",$BS1005,$BT1005)*IF($BP1005="Emissions positive",-1,1)</f>
        <v>139.5</v>
      </c>
      <c r="CS1005">
        <f>IF($CN1005="refOK",$BT1005,$BS1005)*IF($BP1005="Emissions positive",-1,1)</f>
        <v>141.19999999999999</v>
      </c>
      <c r="CT1005">
        <f>IF($CN1005="refNeedCorrection",-BX1005,BX1005)*IF($BP1005="Emissions positive",-1,1)</f>
        <v>6.2389999999999581</v>
      </c>
      <c r="CU1005">
        <f>IFERROR(CT1005/CQ1005,"")</f>
        <v>0.54728070175438337</v>
      </c>
      <c r="CV1005" s="2">
        <f>IFERROR((CS1005-CR1005)/ABS(CR1005),"")</f>
        <v>1.2186379928315332E-2</v>
      </c>
      <c r="CW1005" s="1" t="s">
        <v>234</v>
      </c>
      <c r="CX1005" t="str">
        <f>IF(OR($CW1005="prd",$CW1005="std",$CW1005="cit"),"loc",IF(OR($CW1005="eur",$CW1005="reg",$CW1005="coy"),"reg",$CW1005))</f>
        <v>loc</v>
      </c>
      <c r="CY1005" t="s">
        <v>235</v>
      </c>
      <c r="DA1005" s="143"/>
      <c r="DB1005" s="143">
        <v>80</v>
      </c>
      <c r="DC1005" t="str">
        <f>IF(DB1005=0,"0",IF(AND(DB1005&gt;=1,DB1005&lt;=30),"1-30",IF(AND(DB1005&gt;30,DB1005&lt;=70),"31-70",IF(AND(DB1005&gt;70,DB1005&lt;=100),"71-100",IF(DB1005&gt;100,"+100")))))</f>
        <v>71-100</v>
      </c>
      <c r="DD1005">
        <v>1</v>
      </c>
      <c r="DE1005">
        <v>1</v>
      </c>
      <c r="DF1005">
        <v>0</v>
      </c>
      <c r="DG1005">
        <v>0</v>
      </c>
      <c r="DI1005">
        <f>SUM(DD1005:DG1005)</f>
        <v>2</v>
      </c>
      <c r="DJ1005" t="str">
        <f>IF(DI1005=1,INDEX($DD$7:$DG$7,MATCH(1,$DD1005:$DG1005,0)),"mixedProduct")</f>
        <v>mixedProduct</v>
      </c>
      <c r="DK1005" t="str">
        <f t="shared" si="1315"/>
        <v>Upstream</v>
      </c>
      <c r="DL1005" t="str">
        <f t="shared" si="1315"/>
        <v>Energy</v>
      </c>
      <c r="DM1005">
        <f t="shared" si="1315"/>
        <v>0</v>
      </c>
      <c r="DN1005">
        <f t="shared" si="1315"/>
        <v>0</v>
      </c>
      <c r="DO1005">
        <v>0</v>
      </c>
      <c r="DP1005" s="143">
        <v>1</v>
      </c>
      <c r="DQ1005" s="143" t="s">
        <v>938</v>
      </c>
      <c r="DR1005">
        <v>0</v>
      </c>
      <c r="DS1005" s="143">
        <v>0</v>
      </c>
      <c r="DT1005">
        <f>SUM(DO1005:DP1005)</f>
        <v>1</v>
      </c>
      <c r="DU1005" s="143" t="str">
        <f>IF(DO1005=1,"self-calculated DF",IF(DP1005=1,"external DF used","explicit C balance"))</f>
        <v>external DF used</v>
      </c>
      <c r="DV1005" s="143">
        <v>1</v>
      </c>
      <c r="DW1005" s="143">
        <v>1</v>
      </c>
      <c r="DX1005" s="143">
        <v>1</v>
      </c>
      <c r="DY1005" s="143">
        <v>0</v>
      </c>
      <c r="DZ1005">
        <v>1</v>
      </c>
      <c r="EA1005" s="143">
        <v>1</v>
      </c>
      <c r="EB1005" s="143">
        <v>0</v>
      </c>
      <c r="EC1005" s="143">
        <v>0</v>
      </c>
      <c r="ED1005" s="143">
        <v>0</v>
      </c>
      <c r="EE1005">
        <v>0</v>
      </c>
      <c r="EF1005">
        <v>1</v>
      </c>
      <c r="EG1005" s="143">
        <v>0</v>
      </c>
      <c r="EH1005">
        <v>0</v>
      </c>
      <c r="EI1005" s="2">
        <v>0</v>
      </c>
      <c r="EK1005" t="str">
        <f>IF(AND(AND(AND(OR($DX1005=1,$DW1005=1),OR($EC1005=1,$EA1005=1)),SUM($DV1005:$DZ1005,$EF1005)&gt;=4),SUM($EA1005:$EE1005)&gt;=2),"Whole sector","")</f>
        <v/>
      </c>
      <c r="EL1005" t="str">
        <f>IF(AND(AND(OR($DX1005=1,$DW1005=1),AND($EC1005=0,$EA1005=0)),SUM($DV1005:$DZ1005,$EF1005)&gt;=4),"Ecosystem approach","")</f>
        <v/>
      </c>
      <c r="EM1005" s="2" t="str">
        <f t="shared" si="1317"/>
        <v/>
      </c>
      <c r="EP1005" t="str">
        <f>IF(ISNUMBER(BU1005),IF(ABS(BU1005-[3]QC_indicators!$B$2)&gt;3*[3]QC_indicators!$C$2,"C ratio",IF(ISNUMBER(BY1005),IF(ABS(BY1005-[3]QC_indicators!$B$1)&gt;3*[3]QC_indicators!$C$1,"DF","no"))),IF(ISNUMBER(BY1005),IF(ABS(BY1005-[3]QC_indicators!$B$1)&gt;3*[3]QC_indicators!$C$1,"DF","no")))</f>
        <v>no</v>
      </c>
      <c r="ET1005" s="264" t="s">
        <v>3094</v>
      </c>
    </row>
    <row r="1006" spans="1:151" ht="15" hidden="1" customHeight="1">
      <c r="A1006" s="1" t="s">
        <v>5139</v>
      </c>
      <c r="B1006" t="s">
        <v>5140</v>
      </c>
      <c r="C1006" t="s">
        <v>5141</v>
      </c>
      <c r="D1006" t="s">
        <v>5142</v>
      </c>
      <c r="E1006" t="s">
        <v>5143</v>
      </c>
      <c r="F1006" t="s">
        <v>5144</v>
      </c>
      <c r="G1006" t="s">
        <v>5145</v>
      </c>
      <c r="H1006" t="s">
        <v>254</v>
      </c>
      <c r="I1006">
        <v>2011</v>
      </c>
      <c r="J1006">
        <v>108</v>
      </c>
      <c r="K1006" s="295" t="s">
        <v>5146</v>
      </c>
      <c r="M1006" t="str">
        <f t="shared" si="1249"/>
        <v>Malmsheimer_2011</v>
      </c>
      <c r="N1006" t="s">
        <v>2585</v>
      </c>
      <c r="O1006" s="145" t="s">
        <v>225</v>
      </c>
      <c r="Q1006" s="311" t="s">
        <v>256</v>
      </c>
      <c r="R1006" s="312"/>
      <c r="U1006" s="143"/>
      <c r="AX1006" s="141"/>
      <c r="AY1006" s="141"/>
      <c r="BE1006"/>
      <c r="BF1006" s="2"/>
      <c r="BJ1006" s="143"/>
      <c r="BL1006" s="143"/>
      <c r="BM1006" s="163"/>
      <c r="BN1006" s="158"/>
      <c r="BO1006" s="143"/>
      <c r="BS1006" s="143"/>
      <c r="BU1006" s="144"/>
      <c r="BY1006" t="str">
        <f t="shared" si="1316"/>
        <v/>
      </c>
      <c r="CN1006"/>
      <c r="CO1006"/>
      <c r="CP1006"/>
      <c r="CQ1006"/>
      <c r="CR1006"/>
      <c r="CS1006"/>
      <c r="CT1006"/>
      <c r="CU1006"/>
      <c r="CV1006" s="2"/>
      <c r="CX1006"/>
      <c r="DA1006" s="143"/>
      <c r="DB1006" s="143"/>
      <c r="DC1006"/>
      <c r="DI1006"/>
      <c r="DJ1006"/>
      <c r="DK1006"/>
      <c r="DL1006"/>
      <c r="DM1006"/>
      <c r="DN1006"/>
      <c r="DP1006" s="143"/>
      <c r="DQ1006" s="143"/>
      <c r="DS1006" s="143"/>
      <c r="DT1006"/>
      <c r="DU1006" s="143"/>
      <c r="DV1006" s="143"/>
      <c r="DW1006" s="143"/>
      <c r="EB1006" s="143"/>
      <c r="ED1006" s="143"/>
      <c r="EG1006" s="143"/>
      <c r="EK1006" t="str">
        <f>IF(AND(AND(AND(OR($DX1006=1,$DW1006=1),OR($EC1006=1,$EA1006=1)),SUM($DV1006:$DZ1006,$EF1006)&gt;=3),SUM($EA1006:$EE1006)&gt;=2),"Whole sector","")</f>
        <v/>
      </c>
      <c r="EL1006" t="str">
        <f>IF(AND(AND(OR($DX1006=1,$DW1006=1),AND($EC1006=0,$EA1006=0)),SUM($DV1006:$DZ1006,$EF1006)&gt;=3),"Ecosystem approach","")</f>
        <v/>
      </c>
      <c r="EM1006" s="2" t="str">
        <f t="shared" si="1317"/>
        <v/>
      </c>
      <c r="EN1006" t="s">
        <v>5147</v>
      </c>
      <c r="EO1006" t="s">
        <v>5148</v>
      </c>
      <c r="EP1006" t="b">
        <f>IF(ISNUMBER(BU1006),IF(ABS(BU1006-[1]QC_indicators!$B$2)&gt;3*[1]QC_indicators!$C$2,"C ratio",IF(ISNUMBER(BY1006),IF(ABS(BY1006-[1]QC_indicators!$B$1)&gt;3*[1]QC_indicators!$C$1,"DF","no"))),IF(ISNUMBER(BY1006),IF(ABS(BY1006-[1]QC_indicators!$B$1)&gt;3*[1]QC_indicators!$C$1,"DF","no")))</f>
        <v>0</v>
      </c>
      <c r="EU1006" s="185"/>
    </row>
    <row r="1007" spans="1:151" ht="15" hidden="1" customHeight="1">
      <c r="A1007" s="1" t="s">
        <v>4596</v>
      </c>
      <c r="B1007" t="s">
        <v>4597</v>
      </c>
      <c r="C1007" t="s">
        <v>4598</v>
      </c>
      <c r="D1007" t="s">
        <v>4599</v>
      </c>
      <c r="E1007" t="s">
        <v>4600</v>
      </c>
      <c r="F1007" t="s">
        <v>4601</v>
      </c>
      <c r="G1007" t="s">
        <v>4602</v>
      </c>
      <c r="H1007" t="s">
        <v>254</v>
      </c>
      <c r="I1007">
        <v>2022</v>
      </c>
      <c r="J1007">
        <v>0</v>
      </c>
      <c r="K1007" t="s">
        <v>4603</v>
      </c>
      <c r="M1007" t="str">
        <f t="shared" si="1249"/>
        <v>Mandal_2022</v>
      </c>
      <c r="N1007" t="s">
        <v>2582</v>
      </c>
      <c r="AX1007" s="141">
        <f>COUNTIF(V1007:AW1007,"&lt;&gt;0")</f>
        <v>28</v>
      </c>
      <c r="AY1007">
        <f>COUNTIF(V1007:AL1007,"&lt;&gt;0")</f>
        <v>17</v>
      </c>
      <c r="BE1007"/>
      <c r="BF1007" s="2"/>
      <c r="BY1007" t="str">
        <f t="shared" si="1316"/>
        <v/>
      </c>
      <c r="CN1007"/>
      <c r="CO1007"/>
      <c r="CP1007"/>
      <c r="CQ1007"/>
      <c r="CR1007"/>
      <c r="CS1007"/>
      <c r="CT1007"/>
      <c r="CU1007"/>
      <c r="CV1007" s="2"/>
      <c r="CX1007"/>
      <c r="DC1007"/>
      <c r="DI1007"/>
      <c r="DJ1007"/>
      <c r="DK1007"/>
      <c r="DL1007"/>
      <c r="DM1007"/>
      <c r="DN1007"/>
      <c r="DT1007"/>
      <c r="DU1007"/>
      <c r="EK1007" t="str">
        <f>IF(AND(AND(AND(OR($DX1007=1,$DW1007=1),OR($EC1007=1,$EA1007=1)),SUM($DV1007:$DZ1007,$EF1007)&gt;=3),SUM($EA1007:$EE1007)&gt;=2),"Whole sector","")</f>
        <v/>
      </c>
      <c r="EL1007" t="str">
        <f>IF(AND(AND(OR($DX1007=1,$DW1007=1),AND($EC1007=0,$EA1007=0)),SUM($DV1007:$DZ1007,$EF1007)&gt;=3),"Ecosystem approach","")</f>
        <v/>
      </c>
      <c r="EM1007" s="2" t="str">
        <f t="shared" si="1317"/>
        <v/>
      </c>
      <c r="EP1007" t="b">
        <f>IF(ISNUMBER(BU1007),IF(ABS(BU1007-[1]QC_indicators!$B$2)&gt;3*[1]QC_indicators!$C$2,"C ratio",IF(ISNUMBER(BY1007),IF(ABS(BY1007-[1]QC_indicators!$B$1)&gt;3*[1]QC_indicators!$C$1,"DF","no"))),IF(ISNUMBER(BY1007),IF(ABS(BY1007-[1]QC_indicators!$B$1)&gt;3*[1]QC_indicators!$C$1,"DF","no")))</f>
        <v>0</v>
      </c>
    </row>
    <row r="1008" spans="1:151" ht="15" hidden="1" customHeight="1">
      <c r="A1008" s="1" t="s">
        <v>4604</v>
      </c>
      <c r="B1008" t="s">
        <v>4605</v>
      </c>
      <c r="C1008" t="s">
        <v>4606</v>
      </c>
      <c r="D1008" t="s">
        <v>4607</v>
      </c>
      <c r="E1008" t="s">
        <v>4608</v>
      </c>
      <c r="F1008" t="s">
        <v>4609</v>
      </c>
      <c r="G1008" t="s">
        <v>4610</v>
      </c>
      <c r="H1008" t="s">
        <v>254</v>
      </c>
      <c r="I1008">
        <v>2019</v>
      </c>
      <c r="J1008">
        <v>3</v>
      </c>
      <c r="K1008" t="s">
        <v>4611</v>
      </c>
      <c r="M1008" t="str">
        <f t="shared" si="1249"/>
        <v>Mathai_2019</v>
      </c>
      <c r="N1008" t="s">
        <v>2582</v>
      </c>
      <c r="O1008" s="145" t="s">
        <v>225</v>
      </c>
      <c r="Q1008" s="311" t="s">
        <v>256</v>
      </c>
      <c r="R1008" s="312"/>
      <c r="U1008" s="143"/>
      <c r="AX1008" s="141"/>
      <c r="AY1008" s="141"/>
      <c r="BE1008"/>
      <c r="BF1008" s="2"/>
      <c r="BG1008" s="142"/>
      <c r="BJ1008" s="143"/>
      <c r="BL1008" s="143"/>
      <c r="BM1008" s="163"/>
      <c r="BN1008" s="158"/>
      <c r="BO1008" s="143"/>
      <c r="BS1008" s="143"/>
      <c r="BU1008" s="144"/>
      <c r="BY1008" t="str">
        <f t="shared" si="1316"/>
        <v/>
      </c>
      <c r="CN1008"/>
      <c r="CO1008"/>
      <c r="CP1008"/>
      <c r="CQ1008"/>
      <c r="CR1008"/>
      <c r="CS1008"/>
      <c r="CT1008"/>
      <c r="CU1008"/>
      <c r="CV1008" s="2"/>
      <c r="CX1008"/>
      <c r="DA1008" s="143"/>
      <c r="DB1008" s="143"/>
      <c r="DC1008"/>
      <c r="DI1008"/>
      <c r="DJ1008"/>
      <c r="DK1008"/>
      <c r="DL1008"/>
      <c r="DM1008"/>
      <c r="DN1008"/>
      <c r="DP1008" s="143"/>
      <c r="DQ1008" s="143"/>
      <c r="DS1008" s="143"/>
      <c r="DT1008"/>
      <c r="DU1008" s="143"/>
      <c r="DV1008" s="143"/>
      <c r="DW1008" s="143"/>
      <c r="EB1008" s="143"/>
      <c r="ED1008" s="143"/>
      <c r="EG1008" s="143"/>
      <c r="EK1008" t="str">
        <f>IF(AND(AND(AND(OR($DX1008=1,$DW1008=1),OR($EC1008=1,$EA1008=1)),SUM($DV1008:$DZ1008,$EF1008)&gt;=3),SUM($EA1008:$EE1008)&gt;=2),"Whole sector","")</f>
        <v/>
      </c>
      <c r="EL1008" t="str">
        <f>IF(AND(AND(OR($DX1008=1,$DW1008=1),AND($EC1008=0,$EA1008=0)),SUM($DV1008:$DZ1008,$EF1008)&gt;=3),"Ecosystem approach","")</f>
        <v/>
      </c>
      <c r="EM1008" s="2" t="str">
        <f t="shared" si="1317"/>
        <v/>
      </c>
      <c r="EN1008" t="s">
        <v>4612</v>
      </c>
      <c r="EO1008" t="s">
        <v>450</v>
      </c>
      <c r="EP1008" t="b">
        <f>IF(ISNUMBER(BU1008),IF(ABS(BU1008-[1]QC_indicators!$B$2)&gt;3*[1]QC_indicators!$C$2,"C ratio",IF(ISNUMBER(BY1008),IF(ABS(BY1008-[1]QC_indicators!$B$1)&gt;3*[1]QC_indicators!$C$1,"DF","no"))),IF(ISNUMBER(BY1008),IF(ABS(BY1008-[1]QC_indicators!$B$1)&gt;3*[1]QC_indicators!$C$1,"DF","no")))</f>
        <v>0</v>
      </c>
    </row>
    <row r="1009" spans="1:150" ht="15" hidden="1" customHeight="1">
      <c r="A1009" s="1" t="s">
        <v>2553</v>
      </c>
      <c r="B1009" t="s">
        <v>2554</v>
      </c>
      <c r="C1009" t="s">
        <v>2555</v>
      </c>
      <c r="D1009" t="s">
        <v>2556</v>
      </c>
      <c r="E1009" t="s">
        <v>2557</v>
      </c>
      <c r="F1009" t="s">
        <v>2558</v>
      </c>
      <c r="G1009" t="s">
        <v>2559</v>
      </c>
      <c r="H1009" t="s">
        <v>254</v>
      </c>
      <c r="I1009">
        <v>2015</v>
      </c>
      <c r="J1009">
        <v>20</v>
      </c>
      <c r="K1009" t="s">
        <v>2560</v>
      </c>
      <c r="M1009" t="str">
        <f t="shared" si="1249"/>
        <v>Meiyappan_2015</v>
      </c>
      <c r="N1009" t="s">
        <v>222</v>
      </c>
      <c r="O1009" s="145" t="s">
        <v>225</v>
      </c>
      <c r="Q1009" s="264" t="s">
        <v>256</v>
      </c>
      <c r="R1009" s="269" t="s">
        <v>1153</v>
      </c>
      <c r="S1009" s="1" t="s">
        <v>2561</v>
      </c>
      <c r="T1009" t="s">
        <v>2562</v>
      </c>
      <c r="U1009" s="143" t="s">
        <v>2563</v>
      </c>
      <c r="V1009">
        <v>2</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1</v>
      </c>
      <c r="AO1009">
        <v>2</v>
      </c>
      <c r="AP1009">
        <v>2</v>
      </c>
      <c r="AQ1009">
        <v>0</v>
      </c>
      <c r="AR1009">
        <v>2</v>
      </c>
      <c r="AS1009">
        <v>0</v>
      </c>
      <c r="AT1009">
        <v>0</v>
      </c>
      <c r="AU1009">
        <v>0</v>
      </c>
      <c r="AV1009">
        <v>0</v>
      </c>
      <c r="AW1009">
        <v>0</v>
      </c>
      <c r="AX1009" s="141">
        <f>COUNTIF(V1009:AW1009,"&lt;&gt;0")</f>
        <v>5</v>
      </c>
      <c r="AY1009" s="141">
        <f>COUNTIF(V1009:AL1009,"&lt;&gt;0")</f>
        <v>1</v>
      </c>
      <c r="AZ1009">
        <f>COUNTIF(V1009:AC1009,"&lt;&gt;0")</f>
        <v>1</v>
      </c>
      <c r="BA1009">
        <f>COUNTIF(AD1009:AI1009,"&lt;&gt;0")</f>
        <v>0</v>
      </c>
      <c r="BB1009">
        <f>COUNTIF(AJ1009:AL1009,"&lt;&gt;0")</f>
        <v>0</v>
      </c>
      <c r="BC1009">
        <f>COUNTIF(AS1009:AW1009,"&lt;&gt;0")</f>
        <v>0</v>
      </c>
      <c r="BD1009">
        <f>COUNTIF(AM1009:AR1009,"&lt;&gt;0")</f>
        <v>4</v>
      </c>
      <c r="BE1009" t="str" cm="1">
        <f t="array" ref="BE1009">IF(AY1009=1,INDEX($V$7:$AL$7,MATCH(TRUE,INDEX($V1009:$AW1009&lt;&gt;0,),0)),IF(AY1009=0,INDEX($AM$7:$AW$7,MATCH(1,$AM1009:$AW1009,0)),IF(BF1009="Multiple strategies","mixed drivers",IF(BF1009="Supply chain","multiple supply","multiple silviculture"))))</f>
        <v>area subject to harvest</v>
      </c>
      <c r="BF1009" s="2" t="str" cm="1">
        <f t="array" ref="BF1009">IF(COUNTIF(AZ1009:BB1009,"&lt;&gt;0")=1,INDEX($V$4:$AW$4,MATCH(TRUE,INDEX($V1009:$AW1009&lt;&gt;0,),0)),IF(COUNTIF(AZ1009:BB1009,"&lt;&gt;0")=0,INDEX($AM$4:$AW$4,MATCH(1,$AM1009:$AW1009,0)),"Multiple strategies"))</f>
        <v>Silviculture for removals</v>
      </c>
      <c r="BG1009" s="142" t="s">
        <v>321</v>
      </c>
      <c r="BH1009" t="s">
        <v>2564</v>
      </c>
      <c r="BJ1009" s="143" t="s">
        <v>2565</v>
      </c>
      <c r="BK1009" s="143">
        <v>69</v>
      </c>
      <c r="BL1009" s="143">
        <v>143</v>
      </c>
      <c r="BM1009">
        <f>BL1009/BK1009</f>
        <v>2.0724637681159419</v>
      </c>
      <c r="BN1009">
        <f>BL1009-BK1009</f>
        <v>74</v>
      </c>
      <c r="BO1009" s="143">
        <f>BN1009*10^9*tC_to_m3</f>
        <v>321320017368.6496</v>
      </c>
      <c r="BP1009" s="264" t="s">
        <v>232</v>
      </c>
      <c r="BQ1009" s="264"/>
      <c r="BR1009" t="s">
        <v>2566</v>
      </c>
      <c r="BS1009" s="143">
        <v>-163</v>
      </c>
      <c r="BT1009">
        <v>-167</v>
      </c>
      <c r="BU1009" s="144">
        <v>1.0245398773006136</v>
      </c>
      <c r="BV1009">
        <v>-4</v>
      </c>
      <c r="BX1009">
        <f>BV1009*10^9*C_to_CO2</f>
        <v>-14680000000</v>
      </c>
      <c r="BY1009">
        <f t="shared" si="1316"/>
        <v>-4.5686540540540541E-2</v>
      </c>
      <c r="BZ1009">
        <v>0</v>
      </c>
      <c r="CA1009">
        <v>0</v>
      </c>
      <c r="CB1009">
        <v>0</v>
      </c>
      <c r="CC1009">
        <v>0</v>
      </c>
      <c r="CD1009">
        <v>0</v>
      </c>
      <c r="CE1009">
        <v>0</v>
      </c>
      <c r="CF1009">
        <v>0</v>
      </c>
      <c r="CG1009">
        <v>0</v>
      </c>
      <c r="CH1009">
        <v>0</v>
      </c>
      <c r="CI1009">
        <v>0</v>
      </c>
      <c r="CJ1009">
        <v>0</v>
      </c>
      <c r="CK1009">
        <v>0</v>
      </c>
      <c r="CL1009">
        <v>0</v>
      </c>
      <c r="CM1009">
        <v>0</v>
      </c>
      <c r="CN1009" t="str">
        <f>IF($BL1009&lt;$BK1009,"refNeedCorrection","refOK")</f>
        <v>refOK</v>
      </c>
      <c r="CO1009">
        <f>IF($CN1009="refOK",$BK1009,$BL1009)</f>
        <v>69</v>
      </c>
      <c r="CP1009">
        <f>IF($CN1009="refOK",$BL1009,$BK1009)</f>
        <v>143</v>
      </c>
      <c r="CQ1009">
        <f>IF($CN1009="refOK",$BO1009,-$BO1009)</f>
        <v>321320017368.6496</v>
      </c>
      <c r="CR1009">
        <f>IF($CN1009="refOK",$BS1009,$BT1009)*IF($BP1009="Emissions positive",-1,1)</f>
        <v>-163</v>
      </c>
      <c r="CS1009">
        <f>IF($CN1009="refOK",$BT1009,$BS1009)*IF($BP1009="Emissions positive",-1,1)</f>
        <v>-167</v>
      </c>
      <c r="CT1009">
        <f>IF($CN1009="refNeedCorrection",-BX1009,BX1009)*IF($BP1009="Emissions positive",-1,1)</f>
        <v>-14680000000</v>
      </c>
      <c r="CU1009">
        <f>IFERROR(CT1009/CQ1009,"")</f>
        <v>-4.5686540540540541E-2</v>
      </c>
      <c r="CV1009" s="2">
        <f>IFERROR((CS1009-CR1009)/ABS(CR1009),"")</f>
        <v>-2.4539877300613498E-2</v>
      </c>
      <c r="CW1009" s="1" t="s">
        <v>2538</v>
      </c>
      <c r="CX1009" s="264" t="str">
        <f>IF(OR($CW1009="prd",$CW1009="std",$CW1009="cit"),"loc",IF(OR($CW1009="eur",$CW1009="reg",$CW1009="coy"),"reg",$CW1009))</f>
        <v>w</v>
      </c>
      <c r="CY1009" s="264" t="s">
        <v>2539</v>
      </c>
      <c r="CZ1009">
        <v>1901</v>
      </c>
      <c r="DA1009" s="143">
        <v>2100</v>
      </c>
      <c r="DB1009" s="143">
        <v>200</v>
      </c>
      <c r="DC1009" t="str">
        <f>IF(DB1009=0,"0",IF(AND(DB1009&gt;=1,DB1009&lt;=30),"1-30",IF(AND(DB1009&gt;30,DB1009&lt;=70),"31-70",IF(AND(DB1009&gt;70,DB1009&lt;=100),"71-100",IF(DB1009&gt;100,"+100")))))</f>
        <v>+100</v>
      </c>
      <c r="DD1009">
        <v>1</v>
      </c>
      <c r="DE1009">
        <v>0</v>
      </c>
      <c r="DF1009">
        <v>0</v>
      </c>
      <c r="DG1009">
        <v>0</v>
      </c>
      <c r="DI1009">
        <f>SUM(DD1009:DG1009)</f>
        <v>1</v>
      </c>
      <c r="DJ1009" t="str">
        <f>IF(DI1009=1,INDEX($DD$7:$DG$7,MATCH(1,$DD1009:$DG1009,0)),"mixedProduct")</f>
        <v>UpstreamInput</v>
      </c>
      <c r="DK1009" t="str">
        <f t="shared" ref="DK1009:DN1013" si="1318">IF(DD1009=1,DK$7,0)</f>
        <v>Upstream</v>
      </c>
      <c r="DL1009">
        <f t="shared" si="1318"/>
        <v>0</v>
      </c>
      <c r="DM1009">
        <f t="shared" si="1318"/>
        <v>0</v>
      </c>
      <c r="DN1009">
        <f t="shared" si="1318"/>
        <v>0</v>
      </c>
      <c r="DO1009">
        <v>0</v>
      </c>
      <c r="DP1009" s="143">
        <v>0</v>
      </c>
      <c r="DQ1009" s="143">
        <v>0</v>
      </c>
      <c r="DR1009">
        <v>0</v>
      </c>
      <c r="DS1009" s="143">
        <v>0</v>
      </c>
      <c r="DT1009">
        <f>SUM(DO1009:DP1009)</f>
        <v>0</v>
      </c>
      <c r="DU1009" s="143" t="str">
        <f>IF(DO1009=1,"self-calculated DF",IF(DP1009=1,"external DF used","explicit C balance"))</f>
        <v>explicit C balance</v>
      </c>
      <c r="DV1009" s="143">
        <v>1</v>
      </c>
      <c r="DW1009" s="143">
        <v>1</v>
      </c>
      <c r="DX1009" s="143">
        <v>1</v>
      </c>
      <c r="DY1009" s="143">
        <v>1</v>
      </c>
      <c r="DZ1009">
        <v>1</v>
      </c>
      <c r="EA1009" s="143">
        <v>0</v>
      </c>
      <c r="EB1009" s="143">
        <v>0</v>
      </c>
      <c r="EC1009" s="143">
        <v>0</v>
      </c>
      <c r="ED1009" s="143">
        <v>0</v>
      </c>
      <c r="EE1009">
        <v>0</v>
      </c>
      <c r="EF1009">
        <v>0</v>
      </c>
      <c r="EG1009" s="143">
        <v>0</v>
      </c>
      <c r="EH1009">
        <v>0</v>
      </c>
      <c r="EI1009" s="2">
        <v>0</v>
      </c>
      <c r="EK1009" t="str">
        <f>IF(AND(AND(AND(OR($DX1009=1,$DW1009=1),OR($EC1009=1,$EA1009=1)),SUM($DV1009:$DZ1009,$EF1009)&gt;=4),SUM($EA1009:$EE1009)&gt;=2),"Whole sector","")</f>
        <v/>
      </c>
      <c r="EL1009" t="str">
        <f>IF(AND(AND(OR($DX1009=1,$DW1009=1),AND($EC1009=0,$EA1009=0)),SUM($DV1009:$DZ1009,$EF1009)&gt;=4),"Ecosystem approach","")</f>
        <v>Ecosystem approach</v>
      </c>
      <c r="EM1009" s="2" t="str">
        <f t="shared" si="1317"/>
        <v/>
      </c>
      <c r="EP1009" t="str">
        <f>IF(ISNUMBER(BU1009),IF(ABS(BU1009-[4]QC_indicators!$B$2)&gt;3*[4]QC_indicators!$C$2,"C ratio",IF(ISNUMBER(BY1009),IF(ABS(BY1009-[4]QC_indicators!$B$1)&gt;3*[4]QC_indicators!$C$1,"DF","no"))),IF(ISNUMBER(BY1009),IF(ABS(BY1009-[4]QC_indicators!$B$1)&gt;3*[4]QC_indicators!$C$1,"DF","no")))</f>
        <v>no</v>
      </c>
      <c r="ER1009" s="294" t="s">
        <v>349</v>
      </c>
      <c r="ET1009" s="264" t="s">
        <v>3406</v>
      </c>
    </row>
    <row r="1010" spans="1:150" ht="15" hidden="1" customHeight="1">
      <c r="A1010" s="1" t="s">
        <v>2553</v>
      </c>
      <c r="B1010" t="s">
        <v>2554</v>
      </c>
      <c r="C1010" t="s">
        <v>2555</v>
      </c>
      <c r="D1010" t="s">
        <v>2556</v>
      </c>
      <c r="E1010" t="s">
        <v>2557</v>
      </c>
      <c r="F1010" t="s">
        <v>2558</v>
      </c>
      <c r="G1010" t="s">
        <v>2559</v>
      </c>
      <c r="H1010" t="s">
        <v>254</v>
      </c>
      <c r="I1010">
        <v>2015</v>
      </c>
      <c r="J1010">
        <v>20</v>
      </c>
      <c r="K1010" t="s">
        <v>2560</v>
      </c>
      <c r="M1010" t="str">
        <f t="shared" si="1249"/>
        <v>Meiyappan_2015</v>
      </c>
      <c r="N1010" t="s">
        <v>222</v>
      </c>
      <c r="O1010" s="145" t="s">
        <v>225</v>
      </c>
      <c r="Q1010" s="264" t="s">
        <v>256</v>
      </c>
      <c r="R1010" s="269" t="s">
        <v>1153</v>
      </c>
      <c r="S1010" s="1" t="s">
        <v>2561</v>
      </c>
      <c r="T1010" t="s">
        <v>2562</v>
      </c>
      <c r="U1010" s="143" t="s">
        <v>2567</v>
      </c>
      <c r="V1010">
        <v>2</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1</v>
      </c>
      <c r="AO1010">
        <v>2</v>
      </c>
      <c r="AP1010">
        <v>2</v>
      </c>
      <c r="AQ1010">
        <v>0</v>
      </c>
      <c r="AR1010">
        <v>2</v>
      </c>
      <c r="AS1010">
        <v>0</v>
      </c>
      <c r="AT1010">
        <v>0</v>
      </c>
      <c r="AU1010">
        <v>0</v>
      </c>
      <c r="AV1010">
        <v>0</v>
      </c>
      <c r="AW1010">
        <v>0</v>
      </c>
      <c r="AX1010" s="141">
        <f>COUNTIF(V1010:AW1010,"&lt;&gt;0")</f>
        <v>5</v>
      </c>
      <c r="AY1010" s="141">
        <f>COUNTIF(V1010:AL1010,"&lt;&gt;0")</f>
        <v>1</v>
      </c>
      <c r="AZ1010">
        <f>COUNTIF(V1010:AC1010,"&lt;&gt;0")</f>
        <v>1</v>
      </c>
      <c r="BA1010">
        <f>COUNTIF(AD1010:AI1010,"&lt;&gt;0")</f>
        <v>0</v>
      </c>
      <c r="BB1010">
        <f>COUNTIF(AJ1010:AL1010,"&lt;&gt;0")</f>
        <v>0</v>
      </c>
      <c r="BC1010">
        <f>COUNTIF(AS1010:AW1010,"&lt;&gt;0")</f>
        <v>0</v>
      </c>
      <c r="BD1010">
        <f>COUNTIF(AM1010:AR1010,"&lt;&gt;0")</f>
        <v>4</v>
      </c>
      <c r="BE1010" t="str" cm="1">
        <f t="array" ref="BE1010">IF(AY1010=1,INDEX($V$7:$AL$7,MATCH(TRUE,INDEX($V1010:$AW1010&lt;&gt;0,),0)),IF(AY1010=0,INDEX($AM$7:$AW$7,MATCH(1,$AM1010:$AW1010,0)),IF(BF1010="Multiple strategies","mixed drivers",IF(BF1010="Supply chain","multiple supply","multiple silviculture"))))</f>
        <v>area subject to harvest</v>
      </c>
      <c r="BF1010" s="2" t="str" cm="1">
        <f t="array" ref="BF1010">IF(COUNTIF(AZ1010:BB1010,"&lt;&gt;0")=1,INDEX($V$4:$AW$4,MATCH(TRUE,INDEX($V1010:$AW1010&lt;&gt;0,),0)),IF(COUNTIF(AZ1010:BB1010,"&lt;&gt;0")=0,INDEX($AM$4:$AW$4,MATCH(1,$AM1010:$AW1010,0)),"Multiple strategies"))</f>
        <v>Silviculture for removals</v>
      </c>
      <c r="BG1010" s="142" t="s">
        <v>321</v>
      </c>
      <c r="BH1010" t="s">
        <v>2564</v>
      </c>
      <c r="BJ1010" s="143" t="s">
        <v>2565</v>
      </c>
      <c r="BK1010" s="143">
        <v>69</v>
      </c>
      <c r="BL1010" s="143">
        <v>113</v>
      </c>
      <c r="BM1010">
        <f>BL1010/BK1010</f>
        <v>1.6376811594202898</v>
      </c>
      <c r="BN1010">
        <f>BL1010-BK1010</f>
        <v>44</v>
      </c>
      <c r="BO1010" s="143">
        <f>BN1010*10^9*tC_to_m3</f>
        <v>191055145462.44031</v>
      </c>
      <c r="BP1010" s="264" t="s">
        <v>232</v>
      </c>
      <c r="BQ1010" s="264"/>
      <c r="BR1010" t="s">
        <v>2566</v>
      </c>
      <c r="BS1010" s="143">
        <v>-163</v>
      </c>
      <c r="BT1010">
        <v>-123</v>
      </c>
      <c r="BU1010" s="144">
        <v>0.754601226993865</v>
      </c>
      <c r="BV1010">
        <v>40</v>
      </c>
      <c r="BX1010">
        <f>BV1010*10^9*C_to_CO2</f>
        <v>146800000000</v>
      </c>
      <c r="BY1010">
        <f t="shared" si="1316"/>
        <v>0.76836454545454536</v>
      </c>
      <c r="BZ1010">
        <v>0</v>
      </c>
      <c r="CA1010">
        <v>0</v>
      </c>
      <c r="CB1010">
        <v>0</v>
      </c>
      <c r="CC1010">
        <v>0</v>
      </c>
      <c r="CD1010">
        <v>0</v>
      </c>
      <c r="CE1010">
        <v>0</v>
      </c>
      <c r="CF1010">
        <v>0</v>
      </c>
      <c r="CG1010">
        <v>0</v>
      </c>
      <c r="CH1010">
        <v>0</v>
      </c>
      <c r="CI1010">
        <v>0</v>
      </c>
      <c r="CJ1010">
        <v>0</v>
      </c>
      <c r="CK1010">
        <v>0</v>
      </c>
      <c r="CL1010">
        <v>0</v>
      </c>
      <c r="CM1010">
        <v>0</v>
      </c>
      <c r="CN1010" t="str">
        <f>IF($BL1010&lt;$BK1010,"refNeedCorrection","refOK")</f>
        <v>refOK</v>
      </c>
      <c r="CO1010">
        <f>IF($CN1010="refOK",$BK1010,$BL1010)</f>
        <v>69</v>
      </c>
      <c r="CP1010">
        <f>IF($CN1010="refOK",$BL1010,$BK1010)</f>
        <v>113</v>
      </c>
      <c r="CQ1010">
        <f>IF($CN1010="refOK",$BO1010,-$BO1010)</f>
        <v>191055145462.44031</v>
      </c>
      <c r="CR1010">
        <f>IF($CN1010="refOK",$BS1010,$BT1010)*IF($BP1010="Emissions positive",-1,1)</f>
        <v>-163</v>
      </c>
      <c r="CS1010">
        <f>IF($CN1010="refOK",$BT1010,$BS1010)*IF($BP1010="Emissions positive",-1,1)</f>
        <v>-123</v>
      </c>
      <c r="CT1010">
        <f>IF($CN1010="refNeedCorrection",-BX1010,BX1010)*IF($BP1010="Emissions positive",-1,1)</f>
        <v>146800000000</v>
      </c>
      <c r="CU1010">
        <f>IFERROR(CT1010/CQ1010,"")</f>
        <v>0.76836454545454536</v>
      </c>
      <c r="CV1010" s="2">
        <f>IFERROR((CS1010-CR1010)/ABS(CR1010),"")</f>
        <v>0.24539877300613497</v>
      </c>
      <c r="CW1010" s="1" t="s">
        <v>2538</v>
      </c>
      <c r="CX1010" s="264" t="str">
        <f>IF(OR($CW1010="prd",$CW1010="std",$CW1010="cit"),"loc",IF(OR($CW1010="eur",$CW1010="reg",$CW1010="coy"),"reg",$CW1010))</f>
        <v>w</v>
      </c>
      <c r="CY1010" s="264" t="s">
        <v>2539</v>
      </c>
      <c r="CZ1010">
        <v>1901</v>
      </c>
      <c r="DA1010" s="143">
        <v>2100</v>
      </c>
      <c r="DB1010" s="143">
        <v>200</v>
      </c>
      <c r="DC1010" t="str">
        <f>IF(DB1010=0,"0",IF(AND(DB1010&gt;=1,DB1010&lt;=30),"1-30",IF(AND(DB1010&gt;30,DB1010&lt;=70),"31-70",IF(AND(DB1010&gt;70,DB1010&lt;=100),"71-100",IF(DB1010&gt;100,"+100")))))</f>
        <v>+100</v>
      </c>
      <c r="DD1010">
        <v>1</v>
      </c>
      <c r="DE1010">
        <v>0</v>
      </c>
      <c r="DF1010">
        <v>0</v>
      </c>
      <c r="DG1010">
        <v>0</v>
      </c>
      <c r="DI1010">
        <f>SUM(DD1010:DG1010)</f>
        <v>1</v>
      </c>
      <c r="DJ1010" t="str">
        <f>IF(DI1010=1,INDEX($DD$7:$DG$7,MATCH(1,$DD1010:$DG1010,0)),"mixedProduct")</f>
        <v>UpstreamInput</v>
      </c>
      <c r="DK1010" t="str">
        <f t="shared" si="1318"/>
        <v>Upstream</v>
      </c>
      <c r="DL1010">
        <f t="shared" si="1318"/>
        <v>0</v>
      </c>
      <c r="DM1010">
        <f t="shared" si="1318"/>
        <v>0</v>
      </c>
      <c r="DN1010">
        <f t="shared" si="1318"/>
        <v>0</v>
      </c>
      <c r="DO1010">
        <v>0</v>
      </c>
      <c r="DP1010" s="143">
        <v>0</v>
      </c>
      <c r="DQ1010" s="143">
        <v>0</v>
      </c>
      <c r="DR1010">
        <v>0</v>
      </c>
      <c r="DS1010" s="143">
        <v>0</v>
      </c>
      <c r="DT1010">
        <f>SUM(DO1010:DP1010)</f>
        <v>0</v>
      </c>
      <c r="DU1010" s="143" t="str">
        <f>IF(DO1010=1,"self-calculated DF",IF(DP1010=1,"external DF used","explicit C balance"))</f>
        <v>explicit C balance</v>
      </c>
      <c r="DV1010" s="143">
        <v>1</v>
      </c>
      <c r="DW1010" s="143">
        <v>1</v>
      </c>
      <c r="DX1010" s="143">
        <v>1</v>
      </c>
      <c r="DY1010" s="143">
        <v>1</v>
      </c>
      <c r="DZ1010">
        <v>1</v>
      </c>
      <c r="EA1010" s="143">
        <v>0</v>
      </c>
      <c r="EB1010" s="143">
        <v>0</v>
      </c>
      <c r="EC1010" s="143">
        <v>0</v>
      </c>
      <c r="ED1010" s="143">
        <v>0</v>
      </c>
      <c r="EE1010">
        <v>0</v>
      </c>
      <c r="EF1010">
        <v>0</v>
      </c>
      <c r="EG1010" s="143">
        <v>0</v>
      </c>
      <c r="EH1010">
        <v>0</v>
      </c>
      <c r="EI1010" s="2">
        <v>0</v>
      </c>
      <c r="EK1010" t="str">
        <f>IF(AND(AND(AND(OR($DX1010=1,$DW1010=1),OR($EC1010=1,$EA1010=1)),SUM($DV1010:$DZ1010,$EF1010)&gt;=4),SUM($EA1010:$EE1010)&gt;=2),"Whole sector","")</f>
        <v/>
      </c>
      <c r="EL1010" t="str">
        <f>IF(AND(AND(OR($DX1010=1,$DW1010=1),AND($EC1010=0,$EA1010=0)),SUM($DV1010:$DZ1010,$EF1010)&gt;=4),"Ecosystem approach","")</f>
        <v>Ecosystem approach</v>
      </c>
      <c r="EM1010" s="2" t="str">
        <f t="shared" si="1317"/>
        <v/>
      </c>
      <c r="EP1010" t="str">
        <f>IF(ISNUMBER(BU1010),IF(ABS(BU1010-[4]QC_indicators!$B$2)&gt;3*[4]QC_indicators!$C$2,"C ratio",IF(ISNUMBER(BY1010),IF(ABS(BY1010-[4]QC_indicators!$B$1)&gt;3*[4]QC_indicators!$C$1,"DF","no"))),IF(ISNUMBER(BY1010),IF(ABS(BY1010-[4]QC_indicators!$B$1)&gt;3*[4]QC_indicators!$C$1,"DF","no")))</f>
        <v>no</v>
      </c>
      <c r="ER1010" s="294" t="s">
        <v>349</v>
      </c>
      <c r="ET1010" s="264" t="s">
        <v>3406</v>
      </c>
    </row>
    <row r="1011" spans="1:150" ht="15" hidden="1" customHeight="1">
      <c r="A1011" s="1" t="s">
        <v>2553</v>
      </c>
      <c r="B1011" t="s">
        <v>2554</v>
      </c>
      <c r="C1011" t="s">
        <v>2555</v>
      </c>
      <c r="D1011" t="s">
        <v>2556</v>
      </c>
      <c r="E1011" t="s">
        <v>2557</v>
      </c>
      <c r="F1011" t="s">
        <v>2558</v>
      </c>
      <c r="G1011" t="s">
        <v>2559</v>
      </c>
      <c r="H1011" t="s">
        <v>254</v>
      </c>
      <c r="I1011">
        <v>2015</v>
      </c>
      <c r="J1011">
        <v>20</v>
      </c>
      <c r="K1011" t="s">
        <v>2560</v>
      </c>
      <c r="M1011" t="str">
        <f t="shared" si="1249"/>
        <v>Meiyappan_2015</v>
      </c>
      <c r="N1011" t="s">
        <v>222</v>
      </c>
      <c r="O1011" s="145" t="s">
        <v>225</v>
      </c>
      <c r="Q1011" s="264" t="s">
        <v>256</v>
      </c>
      <c r="R1011" s="269" t="s">
        <v>1153</v>
      </c>
      <c r="S1011" s="1" t="s">
        <v>2561</v>
      </c>
      <c r="T1011" t="s">
        <v>2562</v>
      </c>
      <c r="U1011" s="143" t="s">
        <v>2568</v>
      </c>
      <c r="V1011">
        <v>2</v>
      </c>
      <c r="W1011">
        <v>0</v>
      </c>
      <c r="X1011">
        <v>0</v>
      </c>
      <c r="Y1011">
        <v>0</v>
      </c>
      <c r="Z1011">
        <v>0</v>
      </c>
      <c r="AA1011">
        <v>0</v>
      </c>
      <c r="AB1011">
        <v>0</v>
      </c>
      <c r="AC1011">
        <v>0</v>
      </c>
      <c r="AD1011">
        <v>0</v>
      </c>
      <c r="AE1011">
        <v>0</v>
      </c>
      <c r="AF1011">
        <v>0</v>
      </c>
      <c r="AG1011">
        <v>0</v>
      </c>
      <c r="AH1011">
        <v>0</v>
      </c>
      <c r="AI1011">
        <v>0</v>
      </c>
      <c r="AJ1011">
        <v>0</v>
      </c>
      <c r="AK1011">
        <v>0</v>
      </c>
      <c r="AL1011">
        <v>0</v>
      </c>
      <c r="AM1011">
        <v>0</v>
      </c>
      <c r="AN1011">
        <v>1</v>
      </c>
      <c r="AO1011">
        <v>2</v>
      </c>
      <c r="AP1011">
        <v>2</v>
      </c>
      <c r="AQ1011">
        <v>0</v>
      </c>
      <c r="AR1011">
        <v>2</v>
      </c>
      <c r="AS1011">
        <v>0</v>
      </c>
      <c r="AT1011">
        <v>0</v>
      </c>
      <c r="AU1011">
        <v>0</v>
      </c>
      <c r="AV1011">
        <v>0</v>
      </c>
      <c r="AW1011">
        <v>0</v>
      </c>
      <c r="AX1011" s="141">
        <f>COUNTIF(V1011:AW1011,"&lt;&gt;0")</f>
        <v>5</v>
      </c>
      <c r="AY1011" s="141">
        <f>COUNTIF(V1011:AL1011,"&lt;&gt;0")</f>
        <v>1</v>
      </c>
      <c r="AZ1011">
        <f>COUNTIF(V1011:AC1011,"&lt;&gt;0")</f>
        <v>1</v>
      </c>
      <c r="BA1011">
        <f>COUNTIF(AD1011:AI1011,"&lt;&gt;0")</f>
        <v>0</v>
      </c>
      <c r="BB1011">
        <f>COUNTIF(AJ1011:AL1011,"&lt;&gt;0")</f>
        <v>0</v>
      </c>
      <c r="BC1011">
        <f>COUNTIF(AS1011:AW1011,"&lt;&gt;0")</f>
        <v>0</v>
      </c>
      <c r="BD1011">
        <f>COUNTIF(AM1011:AR1011,"&lt;&gt;0")</f>
        <v>4</v>
      </c>
      <c r="BE1011" t="str" cm="1">
        <f t="array" ref="BE1011">IF(AY1011=1,INDEX($V$7:$AL$7,MATCH(TRUE,INDEX($V1011:$AW1011&lt;&gt;0,),0)),IF(AY1011=0,INDEX($AM$7:$AW$7,MATCH(1,$AM1011:$AW1011,0)),IF(BF1011="Multiple strategies","mixed drivers",IF(BF1011="Supply chain","multiple supply","multiple silviculture"))))</f>
        <v>area subject to harvest</v>
      </c>
      <c r="BF1011" s="2" t="str" cm="1">
        <f t="array" ref="BF1011">IF(COUNTIF(AZ1011:BB1011,"&lt;&gt;0")=1,INDEX($V$4:$AW$4,MATCH(TRUE,INDEX($V1011:$AW1011&lt;&gt;0,),0)),IF(COUNTIF(AZ1011:BB1011,"&lt;&gt;0")=0,INDEX($AM$4:$AW$4,MATCH(1,$AM1011:$AW1011,0)),"Multiple strategies"))</f>
        <v>Silviculture for removals</v>
      </c>
      <c r="BG1011" s="142" t="s">
        <v>321</v>
      </c>
      <c r="BH1011" t="s">
        <v>2564</v>
      </c>
      <c r="BJ1011" s="143" t="s">
        <v>2566</v>
      </c>
      <c r="BK1011" s="143">
        <v>69</v>
      </c>
      <c r="BL1011" s="143">
        <v>88</v>
      </c>
      <c r="BM1011">
        <f>BL1011/BK1011</f>
        <v>1.2753623188405796</v>
      </c>
      <c r="BN1011">
        <f>BL1011-BK1011</f>
        <v>19</v>
      </c>
      <c r="BO1011" s="143">
        <f>BN1011*10^9*tC_to_m3</f>
        <v>82501085540.599228</v>
      </c>
      <c r="BP1011" s="264" t="s">
        <v>232</v>
      </c>
      <c r="BQ1011" s="264"/>
      <c r="BR1011" t="s">
        <v>2566</v>
      </c>
      <c r="BS1011" s="143">
        <v>-163</v>
      </c>
      <c r="BT1011">
        <v>-137</v>
      </c>
      <c r="BU1011" s="144">
        <v>0.8404907975460123</v>
      </c>
      <c r="BV1011">
        <v>26</v>
      </c>
      <c r="BX1011">
        <f>BV1011*10^9*C_to_CO2</f>
        <v>95420000000</v>
      </c>
      <c r="BY1011">
        <f t="shared" si="1316"/>
        <v>1.1565908421052631</v>
      </c>
      <c r="BZ1011">
        <v>0</v>
      </c>
      <c r="CA1011">
        <v>0</v>
      </c>
      <c r="CB1011">
        <v>0</v>
      </c>
      <c r="CC1011">
        <v>0</v>
      </c>
      <c r="CD1011">
        <v>0</v>
      </c>
      <c r="CE1011">
        <v>0</v>
      </c>
      <c r="CF1011">
        <v>0</v>
      </c>
      <c r="CG1011">
        <v>0</v>
      </c>
      <c r="CH1011">
        <v>0</v>
      </c>
      <c r="CI1011">
        <v>0</v>
      </c>
      <c r="CJ1011">
        <v>0</v>
      </c>
      <c r="CK1011">
        <v>0</v>
      </c>
      <c r="CL1011">
        <v>0</v>
      </c>
      <c r="CM1011">
        <v>0</v>
      </c>
      <c r="CN1011" t="str">
        <f>IF($BL1011&lt;$BK1011,"refNeedCorrection","refOK")</f>
        <v>refOK</v>
      </c>
      <c r="CO1011">
        <f>IF($CN1011="refOK",$BK1011,$BL1011)</f>
        <v>69</v>
      </c>
      <c r="CP1011">
        <f>IF($CN1011="refOK",$BL1011,$BK1011)</f>
        <v>88</v>
      </c>
      <c r="CQ1011">
        <f>IF($CN1011="refOK",$BO1011,-$BO1011)</f>
        <v>82501085540.599228</v>
      </c>
      <c r="CR1011">
        <f>IF($CN1011="refOK",$BS1011,$BT1011)*IF($BP1011="Emissions positive",-1,1)</f>
        <v>-163</v>
      </c>
      <c r="CS1011">
        <f>IF($CN1011="refOK",$BT1011,$BS1011)*IF($BP1011="Emissions positive",-1,1)</f>
        <v>-137</v>
      </c>
      <c r="CT1011">
        <f>IF($CN1011="refNeedCorrection",-BX1011,BX1011)*IF($BP1011="Emissions positive",-1,1)</f>
        <v>95420000000</v>
      </c>
      <c r="CU1011">
        <f>IFERROR(CT1011/CQ1011,"")</f>
        <v>1.1565908421052631</v>
      </c>
      <c r="CV1011" s="2">
        <f>IFERROR((CS1011-CR1011)/ABS(CR1011),"")</f>
        <v>0.15950920245398773</v>
      </c>
      <c r="CW1011" s="1" t="s">
        <v>2538</v>
      </c>
      <c r="CX1011" s="264" t="str">
        <f>IF(OR($CW1011="prd",$CW1011="std",$CW1011="cit"),"loc",IF(OR($CW1011="eur",$CW1011="reg",$CW1011="coy"),"reg",$CW1011))</f>
        <v>w</v>
      </c>
      <c r="CY1011" s="264" t="s">
        <v>2539</v>
      </c>
      <c r="CZ1011">
        <v>1901</v>
      </c>
      <c r="DA1011" s="143">
        <v>2100</v>
      </c>
      <c r="DB1011" s="143">
        <v>200</v>
      </c>
      <c r="DC1011" t="str">
        <f>IF(DB1011=0,"0",IF(AND(DB1011&gt;=1,DB1011&lt;=30),"1-30",IF(AND(DB1011&gt;30,DB1011&lt;=70),"31-70",IF(AND(DB1011&gt;70,DB1011&lt;=100),"71-100",IF(DB1011&gt;100,"+100")))))</f>
        <v>+100</v>
      </c>
      <c r="DD1011">
        <v>1</v>
      </c>
      <c r="DE1011">
        <v>0</v>
      </c>
      <c r="DF1011">
        <v>0</v>
      </c>
      <c r="DG1011">
        <v>0</v>
      </c>
      <c r="DI1011">
        <f>SUM(DD1011:DG1011)</f>
        <v>1</v>
      </c>
      <c r="DJ1011" t="str">
        <f>IF(DI1011=1,INDEX($DD$7:$DG$7,MATCH(1,$DD1011:$DG1011,0)),"mixedProduct")</f>
        <v>UpstreamInput</v>
      </c>
      <c r="DK1011" t="str">
        <f t="shared" si="1318"/>
        <v>Upstream</v>
      </c>
      <c r="DL1011">
        <f t="shared" si="1318"/>
        <v>0</v>
      </c>
      <c r="DM1011">
        <f t="shared" si="1318"/>
        <v>0</v>
      </c>
      <c r="DN1011">
        <f t="shared" si="1318"/>
        <v>0</v>
      </c>
      <c r="DO1011">
        <v>0</v>
      </c>
      <c r="DP1011" s="143">
        <v>0</v>
      </c>
      <c r="DQ1011" s="143">
        <v>0</v>
      </c>
      <c r="DR1011">
        <v>0</v>
      </c>
      <c r="DS1011" s="143">
        <v>0</v>
      </c>
      <c r="DT1011">
        <f>SUM(DO1011:DP1011)</f>
        <v>0</v>
      </c>
      <c r="DU1011" s="143" t="str">
        <f>IF(DO1011=1,"self-calculated DF",IF(DP1011=1,"external DF used","explicit C balance"))</f>
        <v>explicit C balance</v>
      </c>
      <c r="DV1011" s="143">
        <v>1</v>
      </c>
      <c r="DW1011" s="143">
        <v>1</v>
      </c>
      <c r="DX1011" s="143">
        <v>1</v>
      </c>
      <c r="DY1011" s="143">
        <v>1</v>
      </c>
      <c r="DZ1011">
        <v>1</v>
      </c>
      <c r="EA1011" s="143">
        <v>0</v>
      </c>
      <c r="EB1011" s="143">
        <v>0</v>
      </c>
      <c r="EC1011" s="143">
        <v>0</v>
      </c>
      <c r="ED1011" s="143">
        <v>0</v>
      </c>
      <c r="EE1011">
        <v>0</v>
      </c>
      <c r="EF1011">
        <v>0</v>
      </c>
      <c r="EG1011" s="143">
        <v>0</v>
      </c>
      <c r="EH1011">
        <v>0</v>
      </c>
      <c r="EI1011" s="2">
        <v>0</v>
      </c>
      <c r="EK1011" t="str">
        <f>IF(AND(AND(AND(OR($DX1011=1,$DW1011=1),OR($EC1011=1,$EA1011=1)),SUM($DV1011:$DZ1011,$EF1011)&gt;=4),SUM($EA1011:$EE1011)&gt;=2),"Whole sector","")</f>
        <v/>
      </c>
      <c r="EL1011" t="str">
        <f>IF(AND(AND(OR($DX1011=1,$DW1011=1),AND($EC1011=0,$EA1011=0)),SUM($DV1011:$DZ1011,$EF1011)&gt;=4),"Ecosystem approach","")</f>
        <v>Ecosystem approach</v>
      </c>
      <c r="EM1011" s="2" t="str">
        <f t="shared" si="1317"/>
        <v/>
      </c>
      <c r="EP1011" t="str">
        <f>IF(ISNUMBER(BU1011),IF(ABS(BU1011-[4]QC_indicators!$B$2)&gt;3*[4]QC_indicators!$C$2,"C ratio",IF(ISNUMBER(BY1011),IF(ABS(BY1011-[4]QC_indicators!$B$1)&gt;3*[4]QC_indicators!$C$1,"DF","no"))),IF(ISNUMBER(BY1011),IF(ABS(BY1011-[4]QC_indicators!$B$1)&gt;3*[4]QC_indicators!$C$1,"DF","no")))</f>
        <v>no</v>
      </c>
      <c r="ER1011" s="294" t="s">
        <v>349</v>
      </c>
      <c r="ET1011" s="264" t="s">
        <v>3406</v>
      </c>
    </row>
    <row r="1012" spans="1:150" ht="15" hidden="1" customHeight="1">
      <c r="A1012" s="1" t="s">
        <v>2553</v>
      </c>
      <c r="B1012" t="s">
        <v>2554</v>
      </c>
      <c r="C1012" t="s">
        <v>2555</v>
      </c>
      <c r="D1012" t="s">
        <v>2556</v>
      </c>
      <c r="E1012" t="s">
        <v>2557</v>
      </c>
      <c r="F1012" t="s">
        <v>2558</v>
      </c>
      <c r="G1012" t="s">
        <v>2559</v>
      </c>
      <c r="H1012" t="s">
        <v>254</v>
      </c>
      <c r="I1012">
        <v>2015</v>
      </c>
      <c r="J1012">
        <v>20</v>
      </c>
      <c r="K1012" t="s">
        <v>2560</v>
      </c>
      <c r="M1012" t="str">
        <f t="shared" si="1249"/>
        <v>Meiyappan_2015</v>
      </c>
      <c r="N1012" t="s">
        <v>222</v>
      </c>
      <c r="O1012" s="145" t="s">
        <v>225</v>
      </c>
      <c r="Q1012" s="264" t="s">
        <v>256</v>
      </c>
      <c r="R1012" s="269" t="s">
        <v>1153</v>
      </c>
      <c r="S1012" s="1" t="s">
        <v>2561</v>
      </c>
      <c r="T1012" t="s">
        <v>2562</v>
      </c>
      <c r="U1012" s="143" t="s">
        <v>2569</v>
      </c>
      <c r="V1012">
        <v>2</v>
      </c>
      <c r="W1012">
        <v>0</v>
      </c>
      <c r="X1012">
        <v>0</v>
      </c>
      <c r="Y1012">
        <v>0</v>
      </c>
      <c r="Z1012">
        <v>0</v>
      </c>
      <c r="AA1012">
        <v>0</v>
      </c>
      <c r="AB1012">
        <v>0</v>
      </c>
      <c r="AC1012">
        <v>0</v>
      </c>
      <c r="AD1012">
        <v>0</v>
      </c>
      <c r="AE1012">
        <v>0</v>
      </c>
      <c r="AF1012">
        <v>0</v>
      </c>
      <c r="AG1012">
        <v>0</v>
      </c>
      <c r="AH1012">
        <v>0</v>
      </c>
      <c r="AI1012">
        <v>0</v>
      </c>
      <c r="AJ1012">
        <v>0</v>
      </c>
      <c r="AK1012">
        <v>0</v>
      </c>
      <c r="AL1012">
        <v>0</v>
      </c>
      <c r="AM1012">
        <v>0</v>
      </c>
      <c r="AN1012">
        <v>1</v>
      </c>
      <c r="AO1012">
        <v>2</v>
      </c>
      <c r="AP1012">
        <v>2</v>
      </c>
      <c r="AQ1012">
        <v>0</v>
      </c>
      <c r="AR1012">
        <v>2</v>
      </c>
      <c r="AS1012">
        <v>0</v>
      </c>
      <c r="AT1012">
        <v>0</v>
      </c>
      <c r="AU1012">
        <v>0</v>
      </c>
      <c r="AV1012">
        <v>0</v>
      </c>
      <c r="AW1012">
        <v>0</v>
      </c>
      <c r="AX1012" s="141">
        <f>COUNTIF(V1012:AW1012,"&lt;&gt;0")</f>
        <v>5</v>
      </c>
      <c r="AY1012" s="141">
        <f>COUNTIF(V1012:AL1012,"&lt;&gt;0")</f>
        <v>1</v>
      </c>
      <c r="AZ1012">
        <f>COUNTIF(V1012:AC1012,"&lt;&gt;0")</f>
        <v>1</v>
      </c>
      <c r="BA1012">
        <f>COUNTIF(AD1012:AI1012,"&lt;&gt;0")</f>
        <v>0</v>
      </c>
      <c r="BB1012">
        <f>COUNTIF(AJ1012:AL1012,"&lt;&gt;0")</f>
        <v>0</v>
      </c>
      <c r="BC1012">
        <f>COUNTIF(AS1012:AW1012,"&lt;&gt;0")</f>
        <v>0</v>
      </c>
      <c r="BD1012">
        <f>COUNTIF(AM1012:AR1012,"&lt;&gt;0")</f>
        <v>4</v>
      </c>
      <c r="BE1012" t="str" cm="1">
        <f t="array" ref="BE1012">IF(AY1012=1,INDEX($V$7:$AL$7,MATCH(TRUE,INDEX($V1012:$AW1012&lt;&gt;0,),0)),IF(AY1012=0,INDEX($AM$7:$AW$7,MATCH(1,$AM1012:$AW1012,0)),IF(BF1012="Multiple strategies","mixed drivers",IF(BF1012="Supply chain","multiple supply","multiple silviculture"))))</f>
        <v>area subject to harvest</v>
      </c>
      <c r="BF1012" s="2" t="str" cm="1">
        <f t="array" ref="BF1012">IF(COUNTIF(AZ1012:BB1012,"&lt;&gt;0")=1,INDEX($V$4:$AW$4,MATCH(TRUE,INDEX($V1012:$AW1012&lt;&gt;0,),0)),IF(COUNTIF(AZ1012:BB1012,"&lt;&gt;0")=0,INDEX($AM$4:$AW$4,MATCH(1,$AM1012:$AW1012,0)),"Multiple strategies"))</f>
        <v>Silviculture for removals</v>
      </c>
      <c r="BG1012" s="142" t="s">
        <v>321</v>
      </c>
      <c r="BH1012" t="s">
        <v>2564</v>
      </c>
      <c r="BJ1012" s="143" t="s">
        <v>2565</v>
      </c>
      <c r="BK1012" s="143">
        <v>69</v>
      </c>
      <c r="BL1012" s="143">
        <v>69</v>
      </c>
      <c r="BM1012">
        <f>BL1012/BK1012</f>
        <v>1</v>
      </c>
      <c r="BN1012">
        <f>BL1012-BK1012</f>
        <v>0</v>
      </c>
      <c r="BO1012" s="143">
        <f>BN1012*10^9*tC_to_m3</f>
        <v>0</v>
      </c>
      <c r="BP1012" s="264" t="s">
        <v>232</v>
      </c>
      <c r="BQ1012" s="264"/>
      <c r="BR1012" t="s">
        <v>2566</v>
      </c>
      <c r="BS1012" s="143">
        <v>-163</v>
      </c>
      <c r="BT1012">
        <v>-112</v>
      </c>
      <c r="BU1012" s="144">
        <v>0.68711656441717794</v>
      </c>
      <c r="BV1012">
        <v>51</v>
      </c>
      <c r="BX1012">
        <f>BV1012*10^9*C_to_CO2</f>
        <v>187170000000</v>
      </c>
      <c r="BY1012" t="str">
        <f t="shared" si="1316"/>
        <v/>
      </c>
      <c r="BZ1012">
        <v>0</v>
      </c>
      <c r="CA1012">
        <v>0</v>
      </c>
      <c r="CB1012">
        <v>0</v>
      </c>
      <c r="CC1012">
        <v>0</v>
      </c>
      <c r="CD1012">
        <v>0</v>
      </c>
      <c r="CE1012">
        <v>0</v>
      </c>
      <c r="CF1012">
        <v>0</v>
      </c>
      <c r="CG1012">
        <v>0</v>
      </c>
      <c r="CH1012">
        <v>0</v>
      </c>
      <c r="CI1012">
        <v>0</v>
      </c>
      <c r="CJ1012">
        <v>0</v>
      </c>
      <c r="CK1012">
        <v>0</v>
      </c>
      <c r="CL1012">
        <v>0</v>
      </c>
      <c r="CM1012">
        <v>0</v>
      </c>
      <c r="CN1012" t="str">
        <f>IF($BL1012&lt;$BK1012,"refNeedCorrection","refOK")</f>
        <v>refOK</v>
      </c>
      <c r="CO1012">
        <f>IF($CN1012="refOK",$BK1012,$BL1012)</f>
        <v>69</v>
      </c>
      <c r="CP1012">
        <f>IF($CN1012="refOK",$BL1012,$BK1012)</f>
        <v>69</v>
      </c>
      <c r="CQ1012">
        <f>IF($CN1012="refOK",$BO1012,-$BO1012)</f>
        <v>0</v>
      </c>
      <c r="CR1012">
        <f>IF($CN1012="refOK",$BS1012,$BT1012)*IF($BP1012="Emissions positive",-1,1)</f>
        <v>-163</v>
      </c>
      <c r="CS1012">
        <f>IF($CN1012="refOK",$BT1012,$BS1012)*IF($BP1012="Emissions positive",-1,1)</f>
        <v>-112</v>
      </c>
      <c r="CT1012">
        <f>IF($CN1012="refNeedCorrection",-BX1012,BX1012)*IF($BP1012="Emissions positive",-1,1)</f>
        <v>187170000000</v>
      </c>
      <c r="CU1012" t="str">
        <f>IFERROR(CT1012/CQ1012,"")</f>
        <v/>
      </c>
      <c r="CV1012" s="2">
        <f>IFERROR((CS1012-CR1012)/ABS(CR1012),"")</f>
        <v>0.31288343558282211</v>
      </c>
      <c r="CW1012" s="1" t="s">
        <v>2538</v>
      </c>
      <c r="CX1012" s="264" t="str">
        <f>IF(OR($CW1012="prd",$CW1012="std",$CW1012="cit"),"loc",IF(OR($CW1012="eur",$CW1012="reg",$CW1012="coy"),"reg",$CW1012))</f>
        <v>w</v>
      </c>
      <c r="CY1012" s="264" t="s">
        <v>2539</v>
      </c>
      <c r="CZ1012">
        <v>1901</v>
      </c>
      <c r="DA1012" s="143">
        <v>2100</v>
      </c>
      <c r="DB1012" s="143">
        <v>200</v>
      </c>
      <c r="DC1012" t="str">
        <f>IF(DB1012=0,"0",IF(AND(DB1012&gt;=1,DB1012&lt;=30),"1-30",IF(AND(DB1012&gt;30,DB1012&lt;=70),"31-70",IF(AND(DB1012&gt;70,DB1012&lt;=100),"71-100",IF(DB1012&gt;100,"+100")))))</f>
        <v>+100</v>
      </c>
      <c r="DD1012">
        <v>1</v>
      </c>
      <c r="DE1012">
        <v>0</v>
      </c>
      <c r="DF1012">
        <v>0</v>
      </c>
      <c r="DG1012">
        <v>0</v>
      </c>
      <c r="DI1012">
        <f>SUM(DD1012:DG1012)</f>
        <v>1</v>
      </c>
      <c r="DJ1012" t="str">
        <f>IF(DI1012=1,INDEX($DD$7:$DG$7,MATCH(1,$DD1012:$DG1012,0)),"mixedProduct")</f>
        <v>UpstreamInput</v>
      </c>
      <c r="DK1012" t="str">
        <f t="shared" si="1318"/>
        <v>Upstream</v>
      </c>
      <c r="DL1012">
        <f t="shared" si="1318"/>
        <v>0</v>
      </c>
      <c r="DM1012">
        <f t="shared" si="1318"/>
        <v>0</v>
      </c>
      <c r="DN1012">
        <f t="shared" si="1318"/>
        <v>0</v>
      </c>
      <c r="DO1012">
        <v>0</v>
      </c>
      <c r="DP1012" s="143">
        <v>0</v>
      </c>
      <c r="DQ1012" s="143">
        <v>0</v>
      </c>
      <c r="DR1012">
        <v>0</v>
      </c>
      <c r="DS1012" s="143">
        <v>0</v>
      </c>
      <c r="DT1012">
        <f>SUM(DO1012:DP1012)</f>
        <v>0</v>
      </c>
      <c r="DU1012" s="143" t="str">
        <f>IF(DO1012=1,"self-calculated DF",IF(DP1012=1,"external DF used","explicit C balance"))</f>
        <v>explicit C balance</v>
      </c>
      <c r="DV1012" s="143">
        <v>1</v>
      </c>
      <c r="DW1012" s="143">
        <v>1</v>
      </c>
      <c r="DX1012" s="143">
        <v>1</v>
      </c>
      <c r="DY1012" s="143">
        <v>1</v>
      </c>
      <c r="DZ1012">
        <v>1</v>
      </c>
      <c r="EA1012" s="143">
        <v>0</v>
      </c>
      <c r="EB1012" s="143">
        <v>0</v>
      </c>
      <c r="EC1012" s="143">
        <v>0</v>
      </c>
      <c r="ED1012" s="143">
        <v>0</v>
      </c>
      <c r="EE1012">
        <v>0</v>
      </c>
      <c r="EF1012">
        <v>0</v>
      </c>
      <c r="EG1012" s="143">
        <v>0</v>
      </c>
      <c r="EH1012">
        <v>0</v>
      </c>
      <c r="EI1012" s="2">
        <v>0</v>
      </c>
      <c r="EK1012" t="str">
        <f>IF(AND(AND(AND(OR($DX1012=1,$DW1012=1),OR($EC1012=1,$EA1012=1)),SUM($DV1012:$DZ1012,$EF1012)&gt;=4),SUM($EA1012:$EE1012)&gt;=2),"Whole sector","")</f>
        <v/>
      </c>
      <c r="EL1012" t="str">
        <f>IF(AND(AND(OR($DX1012=1,$DW1012=1),AND($EC1012=0,$EA1012=0)),SUM($DV1012:$DZ1012,$EF1012)&gt;=4),"Ecosystem approach","")</f>
        <v>Ecosystem approach</v>
      </c>
      <c r="EM1012" s="2" t="str">
        <f t="shared" si="1317"/>
        <v/>
      </c>
      <c r="EP1012" t="b">
        <f>IF(ISNUMBER(BU1012),IF(ABS(BU1012-[4]QC_indicators!$B$2)&gt;3*[4]QC_indicators!$C$2,"C ratio",IF(ISNUMBER(BY1012),IF(ABS(BY1012-[4]QC_indicators!$B$1)&gt;3*[4]QC_indicators!$C$1,"DF","no"))),IF(ISNUMBER(BY1012),IF(ABS(BY1012-[4]QC_indicators!$B$1)&gt;3*[4]QC_indicators!$C$1,"DF","no")))</f>
        <v>0</v>
      </c>
      <c r="ER1012" s="294" t="s">
        <v>349</v>
      </c>
      <c r="ET1012" s="264" t="s">
        <v>3406</v>
      </c>
    </row>
    <row r="1013" spans="1:150" ht="15" hidden="1" customHeight="1">
      <c r="A1013" s="1" t="s">
        <v>1377</v>
      </c>
      <c r="B1013" t="s">
        <v>2570</v>
      </c>
      <c r="C1013" t="s">
        <v>2571</v>
      </c>
      <c r="D1013" t="s">
        <v>2572</v>
      </c>
      <c r="E1013" t="s">
        <v>2573</v>
      </c>
      <c r="F1013" t="s">
        <v>2574</v>
      </c>
      <c r="G1013" t="s">
        <v>1383</v>
      </c>
      <c r="H1013" t="s">
        <v>254</v>
      </c>
      <c r="I1013">
        <v>2019</v>
      </c>
      <c r="J1013">
        <v>6</v>
      </c>
      <c r="K1013" t="s">
        <v>2575</v>
      </c>
      <c r="M1013" t="str">
        <f t="shared" si="1249"/>
        <v>Mendelsohn_2019</v>
      </c>
      <c r="N1013" t="s">
        <v>222</v>
      </c>
      <c r="O1013" s="145" t="s">
        <v>225</v>
      </c>
      <c r="Q1013" t="s">
        <v>256</v>
      </c>
      <c r="R1013" s="262" t="s">
        <v>223</v>
      </c>
      <c r="S1013" s="1" t="s">
        <v>2576</v>
      </c>
      <c r="T1013" t="s">
        <v>2577</v>
      </c>
      <c r="U1013" s="143" t="s">
        <v>2578</v>
      </c>
      <c r="V1013">
        <v>1</v>
      </c>
      <c r="W1013">
        <v>0</v>
      </c>
      <c r="X1013">
        <v>0</v>
      </c>
      <c r="Y1013">
        <v>0</v>
      </c>
      <c r="Z1013">
        <v>0</v>
      </c>
      <c r="AA1013">
        <v>0</v>
      </c>
      <c r="AB1013">
        <v>0</v>
      </c>
      <c r="AC1013">
        <v>0</v>
      </c>
      <c r="AD1013">
        <v>0</v>
      </c>
      <c r="AE1013">
        <v>0</v>
      </c>
      <c r="AF1013">
        <v>0</v>
      </c>
      <c r="AG1013">
        <v>0</v>
      </c>
      <c r="AH1013">
        <v>0</v>
      </c>
      <c r="AI1013">
        <v>0</v>
      </c>
      <c r="AJ1013">
        <v>0</v>
      </c>
      <c r="AK1013">
        <v>0</v>
      </c>
      <c r="AL1013">
        <v>0</v>
      </c>
      <c r="AM1013">
        <v>0</v>
      </c>
      <c r="AN1013">
        <v>0</v>
      </c>
      <c r="AO1013">
        <v>0</v>
      </c>
      <c r="AP1013">
        <v>1</v>
      </c>
      <c r="AQ1013">
        <v>1</v>
      </c>
      <c r="AR1013">
        <v>0</v>
      </c>
      <c r="AS1013">
        <v>0</v>
      </c>
      <c r="AT1013">
        <v>0</v>
      </c>
      <c r="AU1013">
        <v>1</v>
      </c>
      <c r="AV1013">
        <v>0</v>
      </c>
      <c r="AW1013">
        <v>0</v>
      </c>
      <c r="AX1013" s="141">
        <f>COUNTIF(V1013:AW1013,"&lt;&gt;0")</f>
        <v>4</v>
      </c>
      <c r="AY1013" s="141">
        <f>COUNTIF(V1013:AL1013,"&lt;&gt;0")</f>
        <v>1</v>
      </c>
      <c r="AZ1013">
        <f>COUNTIF(V1013:AC1013,"&lt;&gt;0")</f>
        <v>1</v>
      </c>
      <c r="BA1013">
        <f>COUNTIF(AD1013:AI1013,"&lt;&gt;0")</f>
        <v>0</v>
      </c>
      <c r="BB1013">
        <f>COUNTIF(AJ1013:AL1013,"&lt;&gt;0")</f>
        <v>0</v>
      </c>
      <c r="BC1013">
        <f>COUNTIF(AS1013:AW1013,"&lt;&gt;0")</f>
        <v>1</v>
      </c>
      <c r="BD1013">
        <f>COUNTIF(AM1013:AR1013,"&lt;&gt;0")</f>
        <v>2</v>
      </c>
      <c r="BE1013" t="str">
        <f t="array" ref="BE1013">IF(AY1013=1,INDEX($V$7:$AL$7,MATCH(TRUE,INDEX($V1013:$AW1013&lt;&gt;0,),0)),IF(AY1013=0,INDEX($AM$7:$AW$7,MATCH(1,$AM1013:$AW1013,0)),IF(BF1013="Multiple strategies","mixed drivers",IF(BF1013="Supply chain","multiple supply","multiple silviculture"))))</f>
        <v>area subject to harvest</v>
      </c>
      <c r="BF1013" s="2" t="str" cm="1">
        <f t="array" ref="BF1013">IF(COUNTIF(AZ1013:BB1013,"&lt;&gt;0")=1,INDEX($V$4:$AW$4,MATCH(TRUE,INDEX($V1013:$AW1013&lt;&gt;0,),0)),IF(COUNTIF(AZ1013:BB1013,"&lt;&gt;0")=0,INDEX($AM$4:$AW$4,MATCH(1,$AM1013:$AW1013,0)),"Multiple strategies"))</f>
        <v>Silviculture for removals</v>
      </c>
      <c r="BG1013" s="142" t="s">
        <v>321</v>
      </c>
      <c r="BH1013" t="s">
        <v>2579</v>
      </c>
      <c r="BI1013" s="264" t="s">
        <v>2610</v>
      </c>
      <c r="BJ1013" s="143" t="s">
        <v>2226</v>
      </c>
      <c r="BK1013">
        <v>0</v>
      </c>
      <c r="BL1013" s="143">
        <v>100444.50859993362</v>
      </c>
      <c r="BM1013" s="143"/>
      <c r="BN1013">
        <f>BL1013-BK1013</f>
        <v>100444.50859993362</v>
      </c>
      <c r="BO1013" s="143">
        <f>BN1013*10^6</f>
        <v>100444508599.93361</v>
      </c>
      <c r="BP1013" t="s">
        <v>232</v>
      </c>
      <c r="BQ1013" s="153" t="s">
        <v>424</v>
      </c>
      <c r="BR1013" t="s">
        <v>2580</v>
      </c>
      <c r="BS1013" s="143">
        <v>185.5</v>
      </c>
      <c r="BT1013">
        <v>93.8</v>
      </c>
      <c r="BU1013" s="144">
        <v>0.50566037735849056</v>
      </c>
      <c r="BV1013">
        <f>BT1013-BS1013</f>
        <v>-91.7</v>
      </c>
      <c r="BX1013">
        <f>BV1013*10^9</f>
        <v>-91700000000</v>
      </c>
      <c r="BY1013">
        <f t="shared" si="1316"/>
        <v>-0.91294189476537113</v>
      </c>
      <c r="BZ1013">
        <v>0</v>
      </c>
      <c r="CA1013">
        <v>0</v>
      </c>
      <c r="CB1013">
        <v>0</v>
      </c>
      <c r="CC1013">
        <v>0</v>
      </c>
      <c r="CD1013">
        <v>0</v>
      </c>
      <c r="CE1013">
        <v>0</v>
      </c>
      <c r="CF1013">
        <v>0</v>
      </c>
      <c r="CG1013">
        <v>0</v>
      </c>
      <c r="CH1013">
        <v>0</v>
      </c>
      <c r="CI1013">
        <v>0</v>
      </c>
      <c r="CJ1013">
        <v>0</v>
      </c>
      <c r="CK1013">
        <v>0</v>
      </c>
      <c r="CL1013">
        <v>0</v>
      </c>
      <c r="CM1013">
        <v>0</v>
      </c>
      <c r="CN1013" t="str">
        <f>IF($BL1013&lt;$BK1013,"refNeedCorrection","refOK")</f>
        <v>refOK</v>
      </c>
      <c r="CO1013">
        <f>IF($CN1013="refNeedCorrection",BL1013,BK1013)</f>
        <v>0</v>
      </c>
      <c r="CP1013">
        <f>IF($CN1013="refNeedCorrection",BK1013,BL1013)</f>
        <v>100444.50859993362</v>
      </c>
      <c r="CQ1013">
        <f>IF($CN1013="refOK",$BO1013,-$BO1013)</f>
        <v>100444508599.93361</v>
      </c>
      <c r="CR1013">
        <f>IF($CN1013="refOK",$BS1013,$BT1013)*IF($BP1013="Emissions positive",-1,1)</f>
        <v>185.5</v>
      </c>
      <c r="CS1013">
        <f>IF($CN1013="refOK",$BT1013,$BS1013)*IF($BP1013="Emissions positive",-1,1)</f>
        <v>93.8</v>
      </c>
      <c r="CT1013">
        <f>IF($CN1013="refNeedCorrection",-BX1013,BX1013)*IF($BP1013="Emissions positive",-1,1)</f>
        <v>-91700000000</v>
      </c>
      <c r="CU1013">
        <f>IFERROR(CT1013/CQ1013,"")</f>
        <v>-0.91294189476537113</v>
      </c>
      <c r="CV1013" s="2">
        <f>IFERROR((CS1013-CR1013)/ABS(CR1013),"")</f>
        <v>-0.49433962264150944</v>
      </c>
      <c r="CW1013" s="1" t="s">
        <v>2538</v>
      </c>
      <c r="CX1013" t="str">
        <f>IF(OR($CW1013="prd",$CW1013="std",$CW1013="cit"),"loc",IF(OR($CW1013="eur",$CW1013="reg",$CW1013="coy"),"reg",$CW1013))</f>
        <v>w</v>
      </c>
      <c r="CY1013" t="s">
        <v>2539</v>
      </c>
      <c r="CZ1013" s="143">
        <v>1901</v>
      </c>
      <c r="DA1013" s="143">
        <v>2010</v>
      </c>
      <c r="DB1013" s="143">
        <v>110</v>
      </c>
      <c r="DC1013" t="str">
        <f>IF(DB1013=0,"0",IF(AND(DB1013&gt;=1,DB1013&lt;=30),"1-30",IF(AND(DB1013&gt;30,DB1013&lt;=70),"31-70",IF(AND(DB1013&gt;70,DB1013&lt;=100),"71-100",IF(DB1013&gt;100,"+100")))))</f>
        <v>+100</v>
      </c>
      <c r="DD1013">
        <v>1</v>
      </c>
      <c r="DE1013">
        <v>0</v>
      </c>
      <c r="DF1013">
        <v>0</v>
      </c>
      <c r="DG1013">
        <v>0</v>
      </c>
      <c r="DI1013">
        <f>SUM(DD1013:DG1013)</f>
        <v>1</v>
      </c>
      <c r="DJ1013" t="str">
        <f>IF(DI1013=1,INDEX($DD$7:$DG$7,MATCH(1,$DD1013:$DG1013,0)),"mixedProduct")</f>
        <v>UpstreamInput</v>
      </c>
      <c r="DK1013" t="str">
        <f t="shared" si="1318"/>
        <v>Upstream</v>
      </c>
      <c r="DL1013">
        <f t="shared" si="1318"/>
        <v>0</v>
      </c>
      <c r="DM1013">
        <f t="shared" si="1318"/>
        <v>0</v>
      </c>
      <c r="DN1013">
        <f t="shared" si="1318"/>
        <v>0</v>
      </c>
      <c r="DO1013">
        <v>0</v>
      </c>
      <c r="DP1013" s="143">
        <v>0</v>
      </c>
      <c r="DQ1013" s="143">
        <v>0</v>
      </c>
      <c r="DR1013">
        <v>0</v>
      </c>
      <c r="DS1013" s="143">
        <v>0</v>
      </c>
      <c r="DT1013">
        <f>SUM(DO1013:DP1013)</f>
        <v>0</v>
      </c>
      <c r="DU1013" s="143" t="str">
        <f>IF(DO1013=1,"self-calculated DF",IF(DP1013=1,"external DF used","explicit C balance"))</f>
        <v>explicit C balance</v>
      </c>
      <c r="DV1013" s="143">
        <v>1</v>
      </c>
      <c r="DW1013" s="143">
        <v>1</v>
      </c>
      <c r="DX1013" s="143">
        <v>1</v>
      </c>
      <c r="DY1013" s="143">
        <v>1</v>
      </c>
      <c r="DZ1013">
        <v>1</v>
      </c>
      <c r="EA1013" s="143">
        <v>0</v>
      </c>
      <c r="EB1013" s="143">
        <v>0</v>
      </c>
      <c r="EC1013">
        <v>0</v>
      </c>
      <c r="ED1013" s="143">
        <v>0</v>
      </c>
      <c r="EE1013">
        <v>0</v>
      </c>
      <c r="EF1013">
        <v>0</v>
      </c>
      <c r="EG1013" s="143">
        <v>0</v>
      </c>
      <c r="EH1013">
        <v>0</v>
      </c>
      <c r="EI1013" s="2">
        <v>0</v>
      </c>
      <c r="EK1013" t="str">
        <f>IF(AND(AND(AND(OR($DX1013=1,$DW1013=1),OR($EC1013=1,$EA1013=1)),SUM($DV1013:$DZ1013,$EF1013)&gt;=4),SUM($EA1013:$EE1013)&gt;=2),"Whole sector","")</f>
        <v/>
      </c>
      <c r="EL1013" t="str">
        <f>IF(AND(AND(OR($DX1013=1,$DW1013=1),AND($EC1013=0,$EA1013=0)),SUM($DV1013:$DZ1013,$EF1013)&gt;=4),"Ecosystem approach","")</f>
        <v>Ecosystem approach</v>
      </c>
      <c r="EM1013" s="2" t="str">
        <f t="shared" si="1317"/>
        <v/>
      </c>
      <c r="EP1013" t="str">
        <f>IF(ISNUMBER(BU1013),IF(ABS(BU1013-[3]QC_indicators!$B$2)&gt;3*[3]QC_indicators!$C$2,"C ratio",IF(ISNUMBER(BY1013),IF(ABS(BY1013-[3]QC_indicators!$B$1)&gt;3*[3]QC_indicators!$C$1,"DF","no"))),IF(ISNUMBER(BY1013),IF(ABS(BY1013-[3]QC_indicators!$B$1)&gt;3*[3]QC_indicators!$C$1,"DF","no")))</f>
        <v>no</v>
      </c>
      <c r="ER1013" s="149" t="s">
        <v>349</v>
      </c>
      <c r="ET1013" s="264" t="s">
        <v>3177</v>
      </c>
    </row>
    <row r="1014" spans="1:150" ht="15" hidden="1" customHeight="1">
      <c r="A1014" s="1" t="s">
        <v>925</v>
      </c>
      <c r="B1014" t="s">
        <v>544</v>
      </c>
      <c r="C1014" t="s">
        <v>4728</v>
      </c>
      <c r="D1014" t="s">
        <v>4729</v>
      </c>
      <c r="E1014" t="s">
        <v>4730</v>
      </c>
      <c r="F1014" t="s">
        <v>4731</v>
      </c>
      <c r="G1014" t="s">
        <v>931</v>
      </c>
      <c r="H1014" t="s">
        <v>254</v>
      </c>
      <c r="I1014">
        <v>2010</v>
      </c>
      <c r="J1014">
        <v>14</v>
      </c>
      <c r="K1014" t="s">
        <v>4732</v>
      </c>
      <c r="M1014" t="str">
        <f t="shared" si="1249"/>
        <v>Minunno_2010</v>
      </c>
      <c r="N1014" s="311" t="s">
        <v>4382</v>
      </c>
      <c r="O1014" t="s">
        <v>223</v>
      </c>
      <c r="Q1014" s="311" t="s">
        <v>256</v>
      </c>
      <c r="R1014" s="312"/>
      <c r="AX1014" s="141"/>
      <c r="AY1014" s="141"/>
      <c r="BE1014"/>
      <c r="BF1014" s="2"/>
      <c r="BY1014" t="str">
        <f t="shared" si="1316"/>
        <v/>
      </c>
      <c r="CN1014"/>
      <c r="CO1014"/>
      <c r="CP1014"/>
      <c r="CQ1014"/>
      <c r="CR1014"/>
      <c r="CS1014"/>
      <c r="CT1014"/>
      <c r="CU1014"/>
      <c r="CV1014" s="2"/>
      <c r="CX1014"/>
      <c r="DC1014"/>
      <c r="DI1014"/>
      <c r="DJ1014"/>
      <c r="DK1014"/>
      <c r="DL1014"/>
      <c r="DM1014"/>
      <c r="DN1014"/>
      <c r="DT1014"/>
      <c r="DU1014" s="143"/>
      <c r="EK1014" t="str">
        <f>IF(AND(AND(AND(OR($DX1014=1,$DW1014=1),OR($EC1014=1,$EA1014=1)),SUM($DV1014:$DZ1014,$EF1014)&gt;=3),SUM($EA1014:$EE1014)&gt;=2),"Whole sector","")</f>
        <v/>
      </c>
      <c r="EL1014" t="str">
        <f>IF(AND(AND(OR($DX1014=1,$DW1014=1),AND($EC1014=0,$EA1014=0)),SUM($DV1014:$DZ1014,$EF1014)&gt;=3),"Ecosystem approach","")</f>
        <v/>
      </c>
      <c r="EM1014" s="2" t="str">
        <f t="shared" si="1317"/>
        <v/>
      </c>
      <c r="EP1014" t="b">
        <f>IF(ISNUMBER(BU1014),IF(ABS(BU1014-[1]QC_indicators!$B$2)&gt;3*[1]QC_indicators!$C$2,"C ratio",IF(ISNUMBER(BY1014),IF(ABS(BY1014-[1]QC_indicators!$B$1)&gt;3*[1]QC_indicators!$C$1,"DF","no"))),IF(ISNUMBER(BY1014),IF(ABS(BY1014-[1]QC_indicators!$B$1)&gt;3*[1]QC_indicators!$C$1,"DF","no")))</f>
        <v>0</v>
      </c>
    </row>
    <row r="1015" spans="1:150" ht="15" hidden="1" customHeight="1">
      <c r="A1015" s="1" t="s">
        <v>333</v>
      </c>
      <c r="B1015" t="s">
        <v>944</v>
      </c>
      <c r="C1015" t="s">
        <v>945</v>
      </c>
      <c r="D1015" t="s">
        <v>946</v>
      </c>
      <c r="E1015" t="s">
        <v>947</v>
      </c>
      <c r="F1015" t="s">
        <v>948</v>
      </c>
      <c r="G1015" t="s">
        <v>339</v>
      </c>
      <c r="H1015" t="s">
        <v>254</v>
      </c>
      <c r="I1015">
        <v>2021</v>
      </c>
      <c r="J1015">
        <v>0</v>
      </c>
      <c r="K1015" t="s">
        <v>949</v>
      </c>
      <c r="M1015" t="str">
        <f t="shared" si="1249"/>
        <v>Morris_2021</v>
      </c>
      <c r="N1015" t="s">
        <v>222</v>
      </c>
      <c r="O1015" t="s">
        <v>223</v>
      </c>
      <c r="Q1015" t="s">
        <v>256</v>
      </c>
      <c r="R1015" s="255" t="s">
        <v>225</v>
      </c>
      <c r="S1015" s="1" t="s">
        <v>955</v>
      </c>
      <c r="T1015" t="s">
        <v>795</v>
      </c>
      <c r="U1015" t="s">
        <v>956</v>
      </c>
      <c r="V1015">
        <v>0</v>
      </c>
      <c r="W1015">
        <v>0</v>
      </c>
      <c r="X1015">
        <v>0</v>
      </c>
      <c r="Y1015">
        <v>0</v>
      </c>
      <c r="Z1015">
        <v>0</v>
      </c>
      <c r="AA1015">
        <v>0</v>
      </c>
      <c r="AB1015">
        <v>0</v>
      </c>
      <c r="AC1015">
        <v>0</v>
      </c>
      <c r="AD1015">
        <v>0</v>
      </c>
      <c r="AE1015">
        <v>0</v>
      </c>
      <c r="AF1015">
        <v>0</v>
      </c>
      <c r="AG1015">
        <v>0</v>
      </c>
      <c r="AH1015">
        <v>0</v>
      </c>
      <c r="AI1015">
        <v>0</v>
      </c>
      <c r="AJ1015">
        <v>0</v>
      </c>
      <c r="AK1015">
        <v>1</v>
      </c>
      <c r="AL1015">
        <v>0</v>
      </c>
      <c r="AM1015">
        <v>0</v>
      </c>
      <c r="AN1015">
        <v>0</v>
      </c>
      <c r="AO1015">
        <v>0</v>
      </c>
      <c r="AP1015">
        <v>0</v>
      </c>
      <c r="AQ1015">
        <v>0</v>
      </c>
      <c r="AR1015">
        <v>0</v>
      </c>
      <c r="AS1015">
        <v>0</v>
      </c>
      <c r="AT1015">
        <v>0</v>
      </c>
      <c r="AU1015">
        <v>0</v>
      </c>
      <c r="AV1015">
        <v>0</v>
      </c>
      <c r="AW1015">
        <v>0</v>
      </c>
      <c r="AX1015" s="141">
        <f t="shared" ref="AX1015:AX1034" si="1319">COUNTIF(V1015:AW1015,"&lt;&gt;0")</f>
        <v>1</v>
      </c>
      <c r="AY1015" s="141">
        <f t="shared" ref="AY1015:AY1034" si="1320">COUNTIF(V1015:AL1015,"&lt;&gt;0")</f>
        <v>1</v>
      </c>
      <c r="AZ1015">
        <f t="shared" ref="AZ1015:AZ1034" si="1321">COUNTIF(V1015:AC1015,"&lt;&gt;0")</f>
        <v>0</v>
      </c>
      <c r="BA1015">
        <f t="shared" ref="BA1015:BA1034" si="1322">COUNTIF(AD1015:AI1015,"&lt;&gt;0")</f>
        <v>0</v>
      </c>
      <c r="BB1015">
        <f t="shared" ref="BB1015:BB1034" si="1323">COUNTIF(AJ1015:AL1015,"&lt;&gt;0")</f>
        <v>1</v>
      </c>
      <c r="BC1015">
        <f t="shared" ref="BC1015:BC1034" si="1324">COUNTIF(AS1015:AW1015,"&lt;&gt;0")</f>
        <v>0</v>
      </c>
      <c r="BD1015">
        <f t="shared" ref="BD1015:BD1034" si="1325">COUNTIF(AM1015:AR1015,"&lt;&gt;0")</f>
        <v>0</v>
      </c>
      <c r="BE1015" t="str">
        <f t="array" ref="BE1015">IF(AY1015=1,INDEX($V$7:$AL$7,MATCH(TRUE,INDEX($V1015:$AW1015&lt;&gt;0,),0)),IF(AY1015=0,INDEX($AM$7:$AW$7,MATCH(1,$AM1015:$AW1015,0)),IF(BF1015="Multiple strategies","mixed drivers",IF(BF1015="Supply chain","multiple supply","multiple silviculture"))))</f>
        <v>technologies/design switch</v>
      </c>
      <c r="BF1015" s="2" t="str" cm="1">
        <f t="array" ref="BF1015">IF(COUNTIF(AZ1015:BB1015,"&lt;&gt;0")=1,INDEX($V$4:$AW$4,MATCH(TRUE,INDEX($V1015:$AW1015&lt;&gt;0,),0)),IF(COUNTIF(AZ1015:BB1015,"&lt;&gt;0")=0,INDEX($AM$4:$AW$4,MATCH(1,$AM1015:$AW1015,0)),"Multiple strategies"))</f>
        <v>Technology</v>
      </c>
      <c r="BG1015" s="1" t="s">
        <v>229</v>
      </c>
      <c r="BH1015" t="s">
        <v>953</v>
      </c>
      <c r="BI1015" s="260" t="s">
        <v>3372</v>
      </c>
      <c r="BJ1015" t="s">
        <v>345</v>
      </c>
      <c r="BK1015">
        <v>0</v>
      </c>
      <c r="BL1015">
        <v>116.6</v>
      </c>
      <c r="BN1015">
        <f t="shared" ref="BN1015:BN1034" si="1326">BL1015-BK1015</f>
        <v>116.6</v>
      </c>
      <c r="BO1015">
        <f t="shared" ref="BO1015:BO1034" si="1327">BN1015*kg_to_m3</f>
        <v>0.23795918367346941</v>
      </c>
      <c r="BP1015" t="s">
        <v>232</v>
      </c>
      <c r="BQ1015" s="260" t="s">
        <v>3375</v>
      </c>
      <c r="BR1015" t="s">
        <v>954</v>
      </c>
      <c r="BS1015">
        <v>-141.19999999999999</v>
      </c>
      <c r="BT1015">
        <v>-175.4</v>
      </c>
      <c r="BU1015" s="144">
        <f t="shared" ref="BU1015:BU1034" si="1328">IFERROR(BT1015/BS1015,"")</f>
        <v>1.2422096317280455</v>
      </c>
      <c r="BV1015">
        <f t="shared" ref="BV1015:BV1034" si="1329">BT1015-BS1015</f>
        <v>-34.200000000000017</v>
      </c>
      <c r="BX1015">
        <f t="shared" ref="BX1015:BX1034" si="1330">BV1015/1000</f>
        <v>-3.4200000000000015E-2</v>
      </c>
      <c r="BY1015">
        <f t="shared" si="1316"/>
        <v>-0.14372212692967415</v>
      </c>
      <c r="BZ1015">
        <v>1</v>
      </c>
      <c r="CA1015">
        <v>0</v>
      </c>
      <c r="CB1015">
        <v>0</v>
      </c>
      <c r="CC1015">
        <v>0</v>
      </c>
      <c r="CD1015">
        <v>0</v>
      </c>
      <c r="CE1015">
        <v>1</v>
      </c>
      <c r="CF1015">
        <v>0</v>
      </c>
      <c r="CG1015">
        <v>1</v>
      </c>
      <c r="CH1015">
        <v>0</v>
      </c>
      <c r="CI1015">
        <v>0</v>
      </c>
      <c r="CJ1015">
        <v>0</v>
      </c>
      <c r="CK1015">
        <v>0</v>
      </c>
      <c r="CL1015">
        <v>0</v>
      </c>
      <c r="CM1015">
        <v>0</v>
      </c>
      <c r="CN1015" t="str">
        <f t="shared" ref="CN1015:CN1034" si="1331">IF($BL1015&lt;$BK1015,"refNeedCorrection","refOK")</f>
        <v>refOK</v>
      </c>
      <c r="CO1015">
        <f t="shared" ref="CO1015:CO1034" si="1332">IF($CN1015="refOK",$BK1015,$BL1015)</f>
        <v>0</v>
      </c>
      <c r="CP1015">
        <f t="shared" ref="CP1015:CP1034" si="1333">IF($CN1015="refOK",$BL1015,$BK1015)</f>
        <v>116.6</v>
      </c>
      <c r="CQ1015">
        <f t="shared" ref="CQ1015:CQ1034" si="1334">IF($CN1015="refOK",$BO1015,-$BO1015)</f>
        <v>0.23795918367346941</v>
      </c>
      <c r="CR1015">
        <f t="shared" ref="CR1015:CR1034" si="1335">IF($CN1015="refOK",$BS1015,$BT1015)*IF($BP1015="Emissions positive",-1,1)</f>
        <v>-141.19999999999999</v>
      </c>
      <c r="CS1015">
        <f t="shared" ref="CS1015:CS1034" si="1336">IF($CN1015="refOK",$BT1015,$BS1015)*IF($BP1015="Emissions positive",-1,1)</f>
        <v>-175.4</v>
      </c>
      <c r="CT1015">
        <f t="shared" ref="CT1015:CT1034" si="1337">IF($CN1015="refNeedCorrection",-BX1015,BX1015)*IF($BP1015="Emissions positive",-1,1)</f>
        <v>-3.4200000000000015E-2</v>
      </c>
      <c r="CU1015">
        <f t="shared" ref="CU1015:CU1034" si="1338">IFERROR(CT1015/CQ1015,"")</f>
        <v>-0.14372212692967415</v>
      </c>
      <c r="CV1015" s="2">
        <f t="shared" ref="CV1015:CV1034" si="1339">IFERROR((CS1015-CR1015)/ABS(CR1015),"")</f>
        <v>-0.24220963172804547</v>
      </c>
      <c r="CW1015" s="1" t="s">
        <v>263</v>
      </c>
      <c r="CX1015" t="str">
        <f t="shared" ref="CX1015:CX1034" si="1340">IF(OR($CW1015="prd",$CW1015="std",$CW1015="cit"),"loc",IF(OR($CW1015="eur",$CW1015="reg",$CW1015="coy"),"reg",$CW1015))</f>
        <v>loc</v>
      </c>
      <c r="CY1015" s="308" t="s">
        <v>3422</v>
      </c>
      <c r="DB1015">
        <v>0</v>
      </c>
      <c r="DC1015" t="str">
        <f t="shared" ref="DC1015:DC1034" si="1341">IF(DB1015=0,"0",IF(AND(DB1015&gt;=1,DB1015&lt;=30),"1-30",IF(AND(DB1015&gt;30,DB1015&lt;=70),"31-70",IF(AND(DB1015&gt;70,DB1015&lt;=100),"71-100",IF(DB1015&gt;100,"+100")))))</f>
        <v>0</v>
      </c>
      <c r="DD1015">
        <v>0</v>
      </c>
      <c r="DE1015">
        <v>0</v>
      </c>
      <c r="DF1015">
        <v>0</v>
      </c>
      <c r="DG1015">
        <v>1</v>
      </c>
      <c r="DI1015">
        <f t="shared" ref="DI1015:DI1034" si="1342">SUM(DD1015:DG1015)</f>
        <v>1</v>
      </c>
      <c r="DJ1015" t="str">
        <f t="shared" ref="DJ1015:DJ1034" si="1343">IF(DI1015=1,INDEX($DD$7:$DG$7,MATCH(1,$DD1015:$DG1015,0)),"mixedProduct")</f>
        <v>TimberInput</v>
      </c>
      <c r="DK1015">
        <f t="shared" ref="DK1015:DK1034" si="1344">IF(DD1015=1,DK$7,0)</f>
        <v>0</v>
      </c>
      <c r="DL1015">
        <f t="shared" ref="DL1015:DL1034" si="1345">IF(DE1015=1,DL$7,0)</f>
        <v>0</v>
      </c>
      <c r="DM1015">
        <f t="shared" ref="DM1015:DM1034" si="1346">IF(DF1015=1,DM$7,0)</f>
        <v>0</v>
      </c>
      <c r="DN1015" t="str">
        <f t="shared" ref="DN1015:DN1034" si="1347">IF(DG1015=1,DN$7,0)</f>
        <v>Timber</v>
      </c>
      <c r="DO1015">
        <v>0</v>
      </c>
      <c r="DP1015">
        <v>1</v>
      </c>
      <c r="DQ1015">
        <v>0</v>
      </c>
      <c r="DR1015">
        <v>0</v>
      </c>
      <c r="DS1015">
        <v>0</v>
      </c>
      <c r="DT1015">
        <f t="shared" ref="DT1015:DT1034" si="1348">SUM(DO1015:DP1015)</f>
        <v>1</v>
      </c>
      <c r="DU1015" s="143" t="str">
        <f t="shared" ref="DU1015:DU1034" si="1349">IF(DO1015=1,"self-calculated DF",IF(DP1015=1,"external DF used","explicit C balance"))</f>
        <v>external DF used</v>
      </c>
      <c r="DV1015">
        <v>0</v>
      </c>
      <c r="DW1015">
        <v>0</v>
      </c>
      <c r="DX1015">
        <v>0</v>
      </c>
      <c r="DY1015">
        <v>1</v>
      </c>
      <c r="DZ1015">
        <v>0</v>
      </c>
      <c r="EA1015" s="143">
        <v>1</v>
      </c>
      <c r="EB1015">
        <v>1</v>
      </c>
      <c r="EC1015">
        <v>1</v>
      </c>
      <c r="ED1015">
        <v>0</v>
      </c>
      <c r="EE1015">
        <v>1</v>
      </c>
      <c r="EF1015">
        <v>0</v>
      </c>
      <c r="EG1015">
        <v>0</v>
      </c>
      <c r="EH1015">
        <v>0</v>
      </c>
      <c r="EI1015" s="2">
        <v>0</v>
      </c>
      <c r="EK1015" t="str">
        <f t="shared" ref="EK1015:EK1034" si="1350">IF(AND(AND(AND(OR($DX1015=1,$DW1015=1),OR($EC1015=1,$EA1015=1)),SUM($DV1015:$DZ1015,$EF1015)&gt;=4),SUM($EA1015:$EE1015)&gt;=2),"Whole sector","")</f>
        <v/>
      </c>
      <c r="EL1015" t="str">
        <f t="shared" ref="EL1015:EL1034" si="1351">IF(AND(AND(OR($DX1015=1,$DW1015=1),AND($EC1015=0,$EA1015=0)),SUM($DV1015:$DZ1015,$EF1015)&gt;=4),"Ecosystem approach","")</f>
        <v/>
      </c>
      <c r="EM1015" s="2" t="str">
        <f t="shared" si="1317"/>
        <v>Technology approach</v>
      </c>
      <c r="EP1015" t="str">
        <f>IF(ISNUMBER(BU1015),IF(ABS(BU1015-[5]QC_indicators!$B$2)&gt;3*[5]QC_indicators!$C$2,"C ratio",IF(ISNUMBER(BY1015),IF(ABS(BY1015-[5]QC_indicators!$B$1)&gt;3*[5]QC_indicators!$C$1,"DF","no"))),IF(ISNUMBER(BY1015),IF(ABS(BY1015-[5]QC_indicators!$B$1)&gt;3*[5]QC_indicators!$C$1,"DF","no")))</f>
        <v>no</v>
      </c>
      <c r="ER1015" s="149" t="s">
        <v>349</v>
      </c>
      <c r="ET1015" s="264" t="s">
        <v>3272</v>
      </c>
    </row>
    <row r="1016" spans="1:150" ht="15" hidden="1" customHeight="1">
      <c r="A1016" s="1" t="s">
        <v>333</v>
      </c>
      <c r="B1016" t="s">
        <v>944</v>
      </c>
      <c r="C1016" t="s">
        <v>945</v>
      </c>
      <c r="D1016" t="s">
        <v>946</v>
      </c>
      <c r="E1016" t="s">
        <v>947</v>
      </c>
      <c r="F1016" t="s">
        <v>948</v>
      </c>
      <c r="G1016" t="s">
        <v>339</v>
      </c>
      <c r="H1016" t="s">
        <v>254</v>
      </c>
      <c r="I1016">
        <v>2021</v>
      </c>
      <c r="J1016">
        <v>0</v>
      </c>
      <c r="K1016" t="s">
        <v>949</v>
      </c>
      <c r="M1016" t="str">
        <f t="shared" si="1249"/>
        <v>Morris_2021</v>
      </c>
      <c r="N1016" t="s">
        <v>222</v>
      </c>
      <c r="O1016" t="s">
        <v>223</v>
      </c>
      <c r="Q1016" t="s">
        <v>256</v>
      </c>
      <c r="R1016" s="255" t="s">
        <v>225</v>
      </c>
      <c r="S1016" s="1" t="s">
        <v>955</v>
      </c>
      <c r="T1016" t="s">
        <v>795</v>
      </c>
      <c r="U1016" t="s">
        <v>956</v>
      </c>
      <c r="V1016">
        <v>0</v>
      </c>
      <c r="W1016">
        <v>0</v>
      </c>
      <c r="X1016">
        <v>0</v>
      </c>
      <c r="Y1016">
        <v>0</v>
      </c>
      <c r="Z1016">
        <v>0</v>
      </c>
      <c r="AA1016">
        <v>0</v>
      </c>
      <c r="AB1016">
        <v>0</v>
      </c>
      <c r="AC1016">
        <v>0</v>
      </c>
      <c r="AD1016">
        <v>0</v>
      </c>
      <c r="AE1016">
        <v>0</v>
      </c>
      <c r="AF1016">
        <v>0</v>
      </c>
      <c r="AG1016">
        <v>0</v>
      </c>
      <c r="AH1016">
        <v>0</v>
      </c>
      <c r="AI1016">
        <v>0</v>
      </c>
      <c r="AJ1016">
        <v>0</v>
      </c>
      <c r="AK1016">
        <v>1</v>
      </c>
      <c r="AL1016">
        <v>0</v>
      </c>
      <c r="AM1016">
        <v>0</v>
      </c>
      <c r="AN1016">
        <v>0</v>
      </c>
      <c r="AO1016">
        <v>0</v>
      </c>
      <c r="AP1016">
        <v>0</v>
      </c>
      <c r="AQ1016">
        <v>0</v>
      </c>
      <c r="AR1016">
        <v>0</v>
      </c>
      <c r="AS1016">
        <v>0</v>
      </c>
      <c r="AT1016">
        <v>0</v>
      </c>
      <c r="AU1016">
        <v>0</v>
      </c>
      <c r="AV1016">
        <v>0</v>
      </c>
      <c r="AW1016">
        <v>0</v>
      </c>
      <c r="AX1016" s="141">
        <f t="shared" si="1319"/>
        <v>1</v>
      </c>
      <c r="AY1016" s="141">
        <f t="shared" si="1320"/>
        <v>1</v>
      </c>
      <c r="AZ1016">
        <f t="shared" si="1321"/>
        <v>0</v>
      </c>
      <c r="BA1016">
        <f t="shared" si="1322"/>
        <v>0</v>
      </c>
      <c r="BB1016">
        <f t="shared" si="1323"/>
        <v>1</v>
      </c>
      <c r="BC1016">
        <f t="shared" si="1324"/>
        <v>0</v>
      </c>
      <c r="BD1016">
        <f t="shared" si="1325"/>
        <v>0</v>
      </c>
      <c r="BE1016" t="str">
        <f t="array" ref="BE1016">IF(AY1016=1,INDEX($V$7:$AL$7,MATCH(TRUE,INDEX($V1016:$AW1016&lt;&gt;0,),0)),IF(AY1016=0,INDEX($AM$7:$AW$7,MATCH(1,$AM1016:$AW1016,0)),IF(BF1016="Multiple strategies","mixed drivers",IF(BF1016="Supply chain","multiple supply","multiple silviculture"))))</f>
        <v>technologies/design switch</v>
      </c>
      <c r="BF1016" s="2" t="str" cm="1">
        <f t="array" ref="BF1016">IF(COUNTIF(AZ1016:BB1016,"&lt;&gt;0")=1,INDEX($V$4:$AW$4,MATCH(TRUE,INDEX($V1016:$AW1016&lt;&gt;0,),0)),IF(COUNTIF(AZ1016:BB1016,"&lt;&gt;0")=0,INDEX($AM$4:$AW$4,MATCH(1,$AM1016:$AW1016,0)),"Multiple strategies"))</f>
        <v>Technology</v>
      </c>
      <c r="BG1016" s="1" t="s">
        <v>229</v>
      </c>
      <c r="BH1016" t="s">
        <v>953</v>
      </c>
      <c r="BI1016" s="260" t="s">
        <v>3372</v>
      </c>
      <c r="BJ1016" t="s">
        <v>345</v>
      </c>
      <c r="BK1016">
        <v>0</v>
      </c>
      <c r="BL1016">
        <v>116.6</v>
      </c>
      <c r="BN1016">
        <f t="shared" si="1326"/>
        <v>116.6</v>
      </c>
      <c r="BO1016">
        <f t="shared" si="1327"/>
        <v>0.23795918367346941</v>
      </c>
      <c r="BP1016" t="s">
        <v>232</v>
      </c>
      <c r="BQ1016" s="260" t="s">
        <v>3376</v>
      </c>
      <c r="BR1016" t="s">
        <v>954</v>
      </c>
      <c r="BS1016">
        <v>-139.69999999999999</v>
      </c>
      <c r="BT1016">
        <v>-159.69999999999999</v>
      </c>
      <c r="BU1016" s="144">
        <f t="shared" si="1328"/>
        <v>1.1431639226914818</v>
      </c>
      <c r="BV1016">
        <f t="shared" si="1329"/>
        <v>-20</v>
      </c>
      <c r="BX1016">
        <f t="shared" si="1330"/>
        <v>-0.02</v>
      </c>
      <c r="BY1016">
        <f t="shared" si="1316"/>
        <v>-8.4048027444253853E-2</v>
      </c>
      <c r="BZ1016">
        <v>1</v>
      </c>
      <c r="CA1016">
        <v>0</v>
      </c>
      <c r="CB1016">
        <v>0</v>
      </c>
      <c r="CC1016">
        <v>0</v>
      </c>
      <c r="CD1016">
        <v>0</v>
      </c>
      <c r="CE1016">
        <v>1</v>
      </c>
      <c r="CF1016">
        <v>0</v>
      </c>
      <c r="CG1016">
        <v>1</v>
      </c>
      <c r="CH1016">
        <v>0</v>
      </c>
      <c r="CI1016">
        <v>0</v>
      </c>
      <c r="CJ1016">
        <v>0</v>
      </c>
      <c r="CK1016">
        <v>0</v>
      </c>
      <c r="CL1016">
        <v>0</v>
      </c>
      <c r="CM1016">
        <v>0</v>
      </c>
      <c r="CN1016" t="str">
        <f t="shared" si="1331"/>
        <v>refOK</v>
      </c>
      <c r="CO1016">
        <f t="shared" si="1332"/>
        <v>0</v>
      </c>
      <c r="CP1016">
        <f t="shared" si="1333"/>
        <v>116.6</v>
      </c>
      <c r="CQ1016">
        <f t="shared" si="1334"/>
        <v>0.23795918367346941</v>
      </c>
      <c r="CR1016">
        <f t="shared" si="1335"/>
        <v>-139.69999999999999</v>
      </c>
      <c r="CS1016">
        <f t="shared" si="1336"/>
        <v>-159.69999999999999</v>
      </c>
      <c r="CT1016">
        <f t="shared" si="1337"/>
        <v>-0.02</v>
      </c>
      <c r="CU1016">
        <f t="shared" si="1338"/>
        <v>-8.4048027444253853E-2</v>
      </c>
      <c r="CV1016" s="2">
        <f t="shared" si="1339"/>
        <v>-0.14316392269148176</v>
      </c>
      <c r="CW1016" s="1" t="s">
        <v>263</v>
      </c>
      <c r="CX1016" t="str">
        <f t="shared" si="1340"/>
        <v>loc</v>
      </c>
      <c r="CY1016" s="308" t="s">
        <v>3422</v>
      </c>
      <c r="DB1016">
        <v>0</v>
      </c>
      <c r="DC1016" t="str">
        <f t="shared" si="1341"/>
        <v>0</v>
      </c>
      <c r="DD1016">
        <v>0</v>
      </c>
      <c r="DE1016">
        <v>0</v>
      </c>
      <c r="DF1016">
        <v>0</v>
      </c>
      <c r="DG1016">
        <v>1</v>
      </c>
      <c r="DI1016">
        <f t="shared" si="1342"/>
        <v>1</v>
      </c>
      <c r="DJ1016" t="str">
        <f t="shared" si="1343"/>
        <v>TimberInput</v>
      </c>
      <c r="DK1016">
        <f t="shared" si="1344"/>
        <v>0</v>
      </c>
      <c r="DL1016">
        <f t="shared" si="1345"/>
        <v>0</v>
      </c>
      <c r="DM1016">
        <f t="shared" si="1346"/>
        <v>0</v>
      </c>
      <c r="DN1016" t="str">
        <f t="shared" si="1347"/>
        <v>Timber</v>
      </c>
      <c r="DO1016">
        <v>0</v>
      </c>
      <c r="DP1016">
        <v>0</v>
      </c>
      <c r="DQ1016">
        <v>0</v>
      </c>
      <c r="DR1016">
        <v>0</v>
      </c>
      <c r="DS1016">
        <v>0</v>
      </c>
      <c r="DT1016">
        <f t="shared" si="1348"/>
        <v>0</v>
      </c>
      <c r="DU1016" s="143" t="str">
        <f t="shared" si="1349"/>
        <v>explicit C balance</v>
      </c>
      <c r="DV1016">
        <v>0</v>
      </c>
      <c r="DW1016">
        <v>0</v>
      </c>
      <c r="DX1016">
        <v>0</v>
      </c>
      <c r="DY1016">
        <v>0</v>
      </c>
      <c r="DZ1016">
        <v>0</v>
      </c>
      <c r="EA1016" s="143">
        <v>0</v>
      </c>
      <c r="EB1016">
        <v>1</v>
      </c>
      <c r="EC1016">
        <v>1</v>
      </c>
      <c r="ED1016">
        <v>0</v>
      </c>
      <c r="EE1016">
        <v>1</v>
      </c>
      <c r="EF1016">
        <v>0</v>
      </c>
      <c r="EG1016">
        <v>0</v>
      </c>
      <c r="EH1016">
        <v>0</v>
      </c>
      <c r="EI1016" s="2">
        <v>0</v>
      </c>
      <c r="EK1016" t="str">
        <f t="shared" si="1350"/>
        <v/>
      </c>
      <c r="EL1016" t="str">
        <f t="shared" si="1351"/>
        <v/>
      </c>
      <c r="EM1016" s="2" t="str">
        <f t="shared" si="1317"/>
        <v>Technology approach</v>
      </c>
      <c r="EP1016" t="str">
        <f>IF(ISNUMBER(BU1016),IF(ABS(BU1016-[5]QC_indicators!$B$2)&gt;3*[5]QC_indicators!$C$2,"C ratio",IF(ISNUMBER(BY1016),IF(ABS(BY1016-[5]QC_indicators!$B$1)&gt;3*[5]QC_indicators!$C$1,"DF","no"))),IF(ISNUMBER(BY1016),IF(ABS(BY1016-[5]QC_indicators!$B$1)&gt;3*[5]QC_indicators!$C$1,"DF","no")))</f>
        <v>no</v>
      </c>
      <c r="ER1016" s="149" t="s">
        <v>349</v>
      </c>
      <c r="ET1016" s="264" t="s">
        <v>3272</v>
      </c>
    </row>
    <row r="1017" spans="1:150" ht="15" hidden="1" customHeight="1">
      <c r="A1017" s="1" t="s">
        <v>333</v>
      </c>
      <c r="B1017" t="s">
        <v>944</v>
      </c>
      <c r="C1017" t="s">
        <v>945</v>
      </c>
      <c r="D1017" t="s">
        <v>946</v>
      </c>
      <c r="E1017" t="s">
        <v>947</v>
      </c>
      <c r="F1017" t="s">
        <v>948</v>
      </c>
      <c r="G1017" t="s">
        <v>339</v>
      </c>
      <c r="H1017" t="s">
        <v>254</v>
      </c>
      <c r="I1017">
        <v>2021</v>
      </c>
      <c r="J1017">
        <v>0</v>
      </c>
      <c r="K1017" t="s">
        <v>949</v>
      </c>
      <c r="M1017" t="str">
        <f t="shared" si="1249"/>
        <v>Morris_2021</v>
      </c>
      <c r="N1017" t="s">
        <v>222</v>
      </c>
      <c r="O1017" t="s">
        <v>223</v>
      </c>
      <c r="Q1017" t="s">
        <v>256</v>
      </c>
      <c r="R1017" s="255" t="s">
        <v>225</v>
      </c>
      <c r="S1017" s="1" t="s">
        <v>955</v>
      </c>
      <c r="T1017" t="s">
        <v>795</v>
      </c>
      <c r="U1017" t="s">
        <v>956</v>
      </c>
      <c r="V1017">
        <v>0</v>
      </c>
      <c r="W1017">
        <v>0</v>
      </c>
      <c r="X1017">
        <v>0</v>
      </c>
      <c r="Y1017">
        <v>0</v>
      </c>
      <c r="Z1017">
        <v>0</v>
      </c>
      <c r="AA1017">
        <v>0</v>
      </c>
      <c r="AB1017">
        <v>0</v>
      </c>
      <c r="AC1017">
        <v>0</v>
      </c>
      <c r="AD1017">
        <v>0</v>
      </c>
      <c r="AE1017">
        <v>0</v>
      </c>
      <c r="AF1017">
        <v>0</v>
      </c>
      <c r="AG1017">
        <v>0</v>
      </c>
      <c r="AH1017">
        <v>0</v>
      </c>
      <c r="AI1017">
        <v>0</v>
      </c>
      <c r="AJ1017">
        <v>0</v>
      </c>
      <c r="AK1017">
        <v>1</v>
      </c>
      <c r="AL1017">
        <v>0</v>
      </c>
      <c r="AM1017">
        <v>0</v>
      </c>
      <c r="AN1017">
        <v>0</v>
      </c>
      <c r="AO1017">
        <v>0</v>
      </c>
      <c r="AP1017">
        <v>0</v>
      </c>
      <c r="AQ1017">
        <v>0</v>
      </c>
      <c r="AR1017">
        <v>0</v>
      </c>
      <c r="AS1017">
        <v>0</v>
      </c>
      <c r="AT1017">
        <v>0</v>
      </c>
      <c r="AU1017">
        <v>0</v>
      </c>
      <c r="AV1017">
        <v>0</v>
      </c>
      <c r="AW1017">
        <v>0</v>
      </c>
      <c r="AX1017" s="141">
        <f t="shared" si="1319"/>
        <v>1</v>
      </c>
      <c r="AY1017" s="141">
        <f t="shared" si="1320"/>
        <v>1</v>
      </c>
      <c r="AZ1017">
        <f t="shared" si="1321"/>
        <v>0</v>
      </c>
      <c r="BA1017">
        <f t="shared" si="1322"/>
        <v>0</v>
      </c>
      <c r="BB1017">
        <f t="shared" si="1323"/>
        <v>1</v>
      </c>
      <c r="BC1017">
        <f t="shared" si="1324"/>
        <v>0</v>
      </c>
      <c r="BD1017">
        <f t="shared" si="1325"/>
        <v>0</v>
      </c>
      <c r="BE1017" t="str">
        <f t="array" ref="BE1017">IF(AY1017=1,INDEX($V$7:$AL$7,MATCH(TRUE,INDEX($V1017:$AW1017&lt;&gt;0,),0)),IF(AY1017=0,INDEX($AM$7:$AW$7,MATCH(1,$AM1017:$AW1017,0)),IF(BF1017="Multiple strategies","mixed drivers",IF(BF1017="Supply chain","multiple supply","multiple silviculture"))))</f>
        <v>technologies/design switch</v>
      </c>
      <c r="BF1017" s="2" t="str" cm="1">
        <f t="array" ref="BF1017">IF(COUNTIF(AZ1017:BB1017,"&lt;&gt;0")=1,INDEX($V$4:$AW$4,MATCH(TRUE,INDEX($V1017:$AW1017&lt;&gt;0,),0)),IF(COUNTIF(AZ1017:BB1017,"&lt;&gt;0")=0,INDEX($AM$4:$AW$4,MATCH(1,$AM1017:$AW1017,0)),"Multiple strategies"))</f>
        <v>Technology</v>
      </c>
      <c r="BG1017" s="1" t="s">
        <v>229</v>
      </c>
      <c r="BH1017" t="s">
        <v>953</v>
      </c>
      <c r="BI1017" s="260" t="s">
        <v>3372</v>
      </c>
      <c r="BJ1017" t="s">
        <v>345</v>
      </c>
      <c r="BK1017">
        <v>0</v>
      </c>
      <c r="BL1017">
        <v>116.6</v>
      </c>
      <c r="BN1017">
        <f t="shared" si="1326"/>
        <v>116.6</v>
      </c>
      <c r="BO1017">
        <f t="shared" si="1327"/>
        <v>0.23795918367346941</v>
      </c>
      <c r="BP1017" t="s">
        <v>232</v>
      </c>
      <c r="BQ1017" s="260" t="s">
        <v>3377</v>
      </c>
      <c r="BR1017" t="s">
        <v>954</v>
      </c>
      <c r="BS1017">
        <v>-141.19999999999999</v>
      </c>
      <c r="BT1017">
        <v>-103.1</v>
      </c>
      <c r="BU1017" s="144">
        <f t="shared" si="1328"/>
        <v>0.73016997167138808</v>
      </c>
      <c r="BV1017">
        <f t="shared" si="1329"/>
        <v>38.099999999999994</v>
      </c>
      <c r="BX1017">
        <f t="shared" si="1330"/>
        <v>3.8099999999999995E-2</v>
      </c>
      <c r="BY1017">
        <f t="shared" si="1316"/>
        <v>0.16011149228130356</v>
      </c>
      <c r="BZ1017">
        <v>1</v>
      </c>
      <c r="CA1017">
        <v>0</v>
      </c>
      <c r="CB1017">
        <v>0</v>
      </c>
      <c r="CC1017">
        <v>0</v>
      </c>
      <c r="CD1017">
        <v>0</v>
      </c>
      <c r="CE1017">
        <v>1</v>
      </c>
      <c r="CF1017">
        <v>0</v>
      </c>
      <c r="CG1017">
        <v>1</v>
      </c>
      <c r="CH1017">
        <v>0</v>
      </c>
      <c r="CI1017">
        <v>0</v>
      </c>
      <c r="CJ1017">
        <v>0</v>
      </c>
      <c r="CK1017">
        <v>0</v>
      </c>
      <c r="CL1017">
        <v>0</v>
      </c>
      <c r="CM1017">
        <v>0</v>
      </c>
      <c r="CN1017" t="str">
        <f t="shared" si="1331"/>
        <v>refOK</v>
      </c>
      <c r="CO1017">
        <f t="shared" si="1332"/>
        <v>0</v>
      </c>
      <c r="CP1017">
        <f t="shared" si="1333"/>
        <v>116.6</v>
      </c>
      <c r="CQ1017">
        <f t="shared" si="1334"/>
        <v>0.23795918367346941</v>
      </c>
      <c r="CR1017">
        <f t="shared" si="1335"/>
        <v>-141.19999999999999</v>
      </c>
      <c r="CS1017">
        <f t="shared" si="1336"/>
        <v>-103.1</v>
      </c>
      <c r="CT1017">
        <f t="shared" si="1337"/>
        <v>3.8099999999999995E-2</v>
      </c>
      <c r="CU1017">
        <f t="shared" si="1338"/>
        <v>0.16011149228130356</v>
      </c>
      <c r="CV1017" s="2">
        <f t="shared" si="1339"/>
        <v>0.26983002832861186</v>
      </c>
      <c r="CW1017" s="1" t="s">
        <v>263</v>
      </c>
      <c r="CX1017" t="str">
        <f t="shared" si="1340"/>
        <v>loc</v>
      </c>
      <c r="CY1017" s="308" t="s">
        <v>3422</v>
      </c>
      <c r="DB1017">
        <v>0</v>
      </c>
      <c r="DC1017" t="str">
        <f t="shared" si="1341"/>
        <v>0</v>
      </c>
      <c r="DD1017">
        <v>0</v>
      </c>
      <c r="DE1017">
        <v>0</v>
      </c>
      <c r="DF1017">
        <v>0</v>
      </c>
      <c r="DG1017">
        <v>1</v>
      </c>
      <c r="DI1017">
        <f t="shared" si="1342"/>
        <v>1</v>
      </c>
      <c r="DJ1017" t="str">
        <f t="shared" si="1343"/>
        <v>TimberInput</v>
      </c>
      <c r="DK1017">
        <f t="shared" si="1344"/>
        <v>0</v>
      </c>
      <c r="DL1017">
        <f t="shared" si="1345"/>
        <v>0</v>
      </c>
      <c r="DM1017">
        <f t="shared" si="1346"/>
        <v>0</v>
      </c>
      <c r="DN1017" t="str">
        <f t="shared" si="1347"/>
        <v>Timber</v>
      </c>
      <c r="DO1017">
        <v>0</v>
      </c>
      <c r="DP1017">
        <v>1</v>
      </c>
      <c r="DQ1017">
        <v>0</v>
      </c>
      <c r="DR1017">
        <v>0</v>
      </c>
      <c r="DS1017">
        <v>0</v>
      </c>
      <c r="DT1017">
        <f t="shared" si="1348"/>
        <v>1</v>
      </c>
      <c r="DU1017" s="143" t="str">
        <f t="shared" si="1349"/>
        <v>external DF used</v>
      </c>
      <c r="DV1017">
        <v>0</v>
      </c>
      <c r="DW1017">
        <v>0</v>
      </c>
      <c r="DX1017">
        <v>0</v>
      </c>
      <c r="DY1017">
        <v>1</v>
      </c>
      <c r="DZ1017">
        <v>0</v>
      </c>
      <c r="EA1017" s="143">
        <v>1</v>
      </c>
      <c r="EB1017">
        <v>1</v>
      </c>
      <c r="EC1017">
        <v>1</v>
      </c>
      <c r="ED1017">
        <v>0</v>
      </c>
      <c r="EE1017">
        <v>1</v>
      </c>
      <c r="EF1017">
        <v>0</v>
      </c>
      <c r="EG1017">
        <v>0</v>
      </c>
      <c r="EH1017">
        <v>0</v>
      </c>
      <c r="EI1017" s="2">
        <v>0</v>
      </c>
      <c r="EK1017" t="str">
        <f t="shared" si="1350"/>
        <v/>
      </c>
      <c r="EL1017" t="str">
        <f t="shared" si="1351"/>
        <v/>
      </c>
      <c r="EM1017" s="2" t="str">
        <f t="shared" si="1317"/>
        <v>Technology approach</v>
      </c>
      <c r="EP1017" t="str">
        <f>IF(ISNUMBER(BU1017),IF(ABS(BU1017-[5]QC_indicators!$B$2)&gt;3*[5]QC_indicators!$C$2,"C ratio",IF(ISNUMBER(BY1017),IF(ABS(BY1017-[5]QC_indicators!$B$1)&gt;3*[5]QC_indicators!$C$1,"DF","no"))),IF(ISNUMBER(BY1017),IF(ABS(BY1017-[5]QC_indicators!$B$1)&gt;3*[5]QC_indicators!$C$1,"DF","no")))</f>
        <v>no</v>
      </c>
      <c r="ER1017" t="s">
        <v>957</v>
      </c>
      <c r="ET1017" s="264" t="s">
        <v>3272</v>
      </c>
    </row>
    <row r="1018" spans="1:150" ht="15" hidden="1" customHeight="1">
      <c r="A1018" s="1" t="s">
        <v>333</v>
      </c>
      <c r="B1018" t="s">
        <v>944</v>
      </c>
      <c r="C1018" t="s">
        <v>945</v>
      </c>
      <c r="D1018" t="s">
        <v>946</v>
      </c>
      <c r="E1018" t="s">
        <v>947</v>
      </c>
      <c r="F1018" t="s">
        <v>948</v>
      </c>
      <c r="G1018" t="s">
        <v>339</v>
      </c>
      <c r="H1018" t="s">
        <v>254</v>
      </c>
      <c r="I1018">
        <v>2021</v>
      </c>
      <c r="J1018">
        <v>0</v>
      </c>
      <c r="K1018" t="s">
        <v>949</v>
      </c>
      <c r="M1018" t="str">
        <f t="shared" si="1249"/>
        <v>Morris_2021</v>
      </c>
      <c r="N1018" t="s">
        <v>222</v>
      </c>
      <c r="O1018" t="s">
        <v>223</v>
      </c>
      <c r="Q1018" t="s">
        <v>256</v>
      </c>
      <c r="R1018" s="255" t="s">
        <v>225</v>
      </c>
      <c r="S1018" s="1" t="s">
        <v>955</v>
      </c>
      <c r="T1018" t="s">
        <v>795</v>
      </c>
      <c r="U1018" t="s">
        <v>956</v>
      </c>
      <c r="V1018">
        <v>0</v>
      </c>
      <c r="W1018">
        <v>0</v>
      </c>
      <c r="X1018">
        <v>0</v>
      </c>
      <c r="Y1018">
        <v>0</v>
      </c>
      <c r="Z1018">
        <v>0</v>
      </c>
      <c r="AA1018">
        <v>0</v>
      </c>
      <c r="AB1018">
        <v>0</v>
      </c>
      <c r="AC1018">
        <v>0</v>
      </c>
      <c r="AD1018">
        <v>0</v>
      </c>
      <c r="AE1018">
        <v>0</v>
      </c>
      <c r="AF1018">
        <v>0</v>
      </c>
      <c r="AG1018">
        <v>0</v>
      </c>
      <c r="AH1018">
        <v>0</v>
      </c>
      <c r="AI1018">
        <v>0</v>
      </c>
      <c r="AJ1018">
        <v>0</v>
      </c>
      <c r="AK1018">
        <v>1</v>
      </c>
      <c r="AL1018">
        <v>0</v>
      </c>
      <c r="AM1018">
        <v>0</v>
      </c>
      <c r="AN1018">
        <v>0</v>
      </c>
      <c r="AO1018">
        <v>0</v>
      </c>
      <c r="AP1018">
        <v>0</v>
      </c>
      <c r="AQ1018">
        <v>0</v>
      </c>
      <c r="AR1018">
        <v>0</v>
      </c>
      <c r="AS1018">
        <v>0</v>
      </c>
      <c r="AT1018">
        <v>0</v>
      </c>
      <c r="AU1018">
        <v>0</v>
      </c>
      <c r="AV1018">
        <v>0</v>
      </c>
      <c r="AW1018">
        <v>0</v>
      </c>
      <c r="AX1018" s="141">
        <f t="shared" si="1319"/>
        <v>1</v>
      </c>
      <c r="AY1018" s="141">
        <f t="shared" si="1320"/>
        <v>1</v>
      </c>
      <c r="AZ1018">
        <f t="shared" si="1321"/>
        <v>0</v>
      </c>
      <c r="BA1018">
        <f t="shared" si="1322"/>
        <v>0</v>
      </c>
      <c r="BB1018">
        <f t="shared" si="1323"/>
        <v>1</v>
      </c>
      <c r="BC1018">
        <f t="shared" si="1324"/>
        <v>0</v>
      </c>
      <c r="BD1018">
        <f t="shared" si="1325"/>
        <v>0</v>
      </c>
      <c r="BE1018" t="str">
        <f t="array" ref="BE1018">IF(AY1018=1,INDEX($V$7:$AL$7,MATCH(TRUE,INDEX($V1018:$AW1018&lt;&gt;0,),0)),IF(AY1018=0,INDEX($AM$7:$AW$7,MATCH(1,$AM1018:$AW1018,0)),IF(BF1018="Multiple strategies","mixed drivers",IF(BF1018="Supply chain","multiple supply","multiple silviculture"))))</f>
        <v>technologies/design switch</v>
      </c>
      <c r="BF1018" s="2" t="str" cm="1">
        <f t="array" ref="BF1018">IF(COUNTIF(AZ1018:BB1018,"&lt;&gt;0")=1,INDEX($V$4:$AW$4,MATCH(TRUE,INDEX($V1018:$AW1018&lt;&gt;0,),0)),IF(COUNTIF(AZ1018:BB1018,"&lt;&gt;0")=0,INDEX($AM$4:$AW$4,MATCH(1,$AM1018:$AW1018,0)),"Multiple strategies"))</f>
        <v>Technology</v>
      </c>
      <c r="BG1018" s="1" t="s">
        <v>229</v>
      </c>
      <c r="BH1018" t="s">
        <v>953</v>
      </c>
      <c r="BI1018" s="260" t="s">
        <v>3372</v>
      </c>
      <c r="BJ1018" t="s">
        <v>345</v>
      </c>
      <c r="BK1018">
        <v>0</v>
      </c>
      <c r="BL1018">
        <v>116.6</v>
      </c>
      <c r="BN1018">
        <f t="shared" si="1326"/>
        <v>116.6</v>
      </c>
      <c r="BO1018">
        <f t="shared" si="1327"/>
        <v>0.23795918367346941</v>
      </c>
      <c r="BP1018" t="s">
        <v>232</v>
      </c>
      <c r="BQ1018" s="260" t="s">
        <v>3375</v>
      </c>
      <c r="BR1018" t="s">
        <v>954</v>
      </c>
      <c r="BS1018">
        <v>-223.9</v>
      </c>
      <c r="BT1018">
        <v>-179.7</v>
      </c>
      <c r="BU1018" s="144">
        <f t="shared" si="1328"/>
        <v>0.8025904421616793</v>
      </c>
      <c r="BV1018">
        <f t="shared" si="1329"/>
        <v>44.200000000000017</v>
      </c>
      <c r="BX1018">
        <f t="shared" si="1330"/>
        <v>4.4200000000000017E-2</v>
      </c>
      <c r="BY1018">
        <f t="shared" si="1316"/>
        <v>0.18574614065180109</v>
      </c>
      <c r="BZ1018">
        <v>1</v>
      </c>
      <c r="CA1018">
        <v>0</v>
      </c>
      <c r="CB1018">
        <v>0</v>
      </c>
      <c r="CC1018">
        <v>0</v>
      </c>
      <c r="CD1018">
        <v>0</v>
      </c>
      <c r="CE1018">
        <v>1</v>
      </c>
      <c r="CF1018">
        <v>0</v>
      </c>
      <c r="CG1018">
        <v>1</v>
      </c>
      <c r="CH1018">
        <v>0</v>
      </c>
      <c r="CI1018">
        <v>0</v>
      </c>
      <c r="CJ1018">
        <v>0</v>
      </c>
      <c r="CK1018">
        <v>0</v>
      </c>
      <c r="CL1018">
        <v>0</v>
      </c>
      <c r="CM1018">
        <v>0</v>
      </c>
      <c r="CN1018" t="str">
        <f t="shared" si="1331"/>
        <v>refOK</v>
      </c>
      <c r="CO1018">
        <f t="shared" si="1332"/>
        <v>0</v>
      </c>
      <c r="CP1018">
        <f t="shared" si="1333"/>
        <v>116.6</v>
      </c>
      <c r="CQ1018">
        <f t="shared" si="1334"/>
        <v>0.23795918367346941</v>
      </c>
      <c r="CR1018">
        <f t="shared" si="1335"/>
        <v>-223.9</v>
      </c>
      <c r="CS1018">
        <f t="shared" si="1336"/>
        <v>-179.7</v>
      </c>
      <c r="CT1018">
        <f t="shared" si="1337"/>
        <v>4.4200000000000017E-2</v>
      </c>
      <c r="CU1018">
        <f t="shared" si="1338"/>
        <v>0.18574614065180109</v>
      </c>
      <c r="CV1018" s="2">
        <f t="shared" si="1339"/>
        <v>0.19740955783832076</v>
      </c>
      <c r="CW1018" s="1" t="s">
        <v>263</v>
      </c>
      <c r="CX1018" t="str">
        <f t="shared" si="1340"/>
        <v>loc</v>
      </c>
      <c r="CY1018" s="308" t="s">
        <v>3422</v>
      </c>
      <c r="DB1018">
        <v>0</v>
      </c>
      <c r="DC1018" t="str">
        <f t="shared" si="1341"/>
        <v>0</v>
      </c>
      <c r="DD1018">
        <v>0</v>
      </c>
      <c r="DE1018">
        <v>0</v>
      </c>
      <c r="DF1018">
        <v>0</v>
      </c>
      <c r="DG1018">
        <v>1</v>
      </c>
      <c r="DI1018">
        <f t="shared" si="1342"/>
        <v>1</v>
      </c>
      <c r="DJ1018" t="str">
        <f t="shared" si="1343"/>
        <v>TimberInput</v>
      </c>
      <c r="DK1018">
        <f t="shared" si="1344"/>
        <v>0</v>
      </c>
      <c r="DL1018">
        <f t="shared" si="1345"/>
        <v>0</v>
      </c>
      <c r="DM1018">
        <f t="shared" si="1346"/>
        <v>0</v>
      </c>
      <c r="DN1018" t="str">
        <f t="shared" si="1347"/>
        <v>Timber</v>
      </c>
      <c r="DO1018">
        <v>0</v>
      </c>
      <c r="DP1018">
        <v>0</v>
      </c>
      <c r="DQ1018">
        <v>0</v>
      </c>
      <c r="DR1018">
        <v>0</v>
      </c>
      <c r="DS1018">
        <v>0</v>
      </c>
      <c r="DT1018">
        <f t="shared" si="1348"/>
        <v>0</v>
      </c>
      <c r="DU1018" s="143" t="str">
        <f t="shared" si="1349"/>
        <v>explicit C balance</v>
      </c>
      <c r="DV1018">
        <v>0</v>
      </c>
      <c r="DW1018">
        <v>0</v>
      </c>
      <c r="DX1018">
        <v>0</v>
      </c>
      <c r="DY1018">
        <v>1</v>
      </c>
      <c r="DZ1018">
        <v>0</v>
      </c>
      <c r="EA1018" s="143">
        <v>1</v>
      </c>
      <c r="EB1018">
        <v>1</v>
      </c>
      <c r="EC1018">
        <v>1</v>
      </c>
      <c r="ED1018">
        <v>0</v>
      </c>
      <c r="EE1018">
        <v>1</v>
      </c>
      <c r="EF1018">
        <v>0</v>
      </c>
      <c r="EG1018">
        <v>0</v>
      </c>
      <c r="EH1018">
        <v>0</v>
      </c>
      <c r="EI1018" s="2">
        <v>0</v>
      </c>
      <c r="EK1018" t="str">
        <f t="shared" si="1350"/>
        <v/>
      </c>
      <c r="EL1018" t="str">
        <f t="shared" si="1351"/>
        <v/>
      </c>
      <c r="EM1018" s="2" t="str">
        <f t="shared" si="1317"/>
        <v>Technology approach</v>
      </c>
      <c r="EP1018" t="str">
        <f>IF(ISNUMBER(BU1018),IF(ABS(BU1018-[5]QC_indicators!$B$2)&gt;3*[5]QC_indicators!$C$2,"C ratio",IF(ISNUMBER(BY1018),IF(ABS(BY1018-[5]QC_indicators!$B$1)&gt;3*[5]QC_indicators!$C$1,"DF","no"))),IF(ISNUMBER(BY1018),IF(ABS(BY1018-[5]QC_indicators!$B$1)&gt;3*[5]QC_indicators!$C$1,"DF","no")))</f>
        <v>no</v>
      </c>
      <c r="ER1018" s="149" t="s">
        <v>349</v>
      </c>
      <c r="ET1018" s="264" t="s">
        <v>3272</v>
      </c>
    </row>
    <row r="1019" spans="1:150" ht="15" hidden="1" customHeight="1">
      <c r="A1019" s="1" t="s">
        <v>333</v>
      </c>
      <c r="B1019" t="s">
        <v>944</v>
      </c>
      <c r="C1019" t="s">
        <v>945</v>
      </c>
      <c r="D1019" t="s">
        <v>946</v>
      </c>
      <c r="E1019" t="s">
        <v>947</v>
      </c>
      <c r="F1019" t="s">
        <v>948</v>
      </c>
      <c r="G1019" t="s">
        <v>339</v>
      </c>
      <c r="H1019" t="s">
        <v>254</v>
      </c>
      <c r="I1019">
        <v>2021</v>
      </c>
      <c r="J1019">
        <v>0</v>
      </c>
      <c r="K1019" t="s">
        <v>949</v>
      </c>
      <c r="M1019" t="str">
        <f t="shared" si="1249"/>
        <v>Morris_2021</v>
      </c>
      <c r="N1019" t="s">
        <v>222</v>
      </c>
      <c r="O1019" t="s">
        <v>223</v>
      </c>
      <c r="Q1019" t="s">
        <v>256</v>
      </c>
      <c r="R1019" s="255" t="s">
        <v>225</v>
      </c>
      <c r="S1019" s="1" t="s">
        <v>955</v>
      </c>
      <c r="T1019" t="s">
        <v>795</v>
      </c>
      <c r="U1019" t="s">
        <v>956</v>
      </c>
      <c r="V1019">
        <v>0</v>
      </c>
      <c r="W1019">
        <v>0</v>
      </c>
      <c r="X1019">
        <v>0</v>
      </c>
      <c r="Y1019">
        <v>0</v>
      </c>
      <c r="Z1019">
        <v>0</v>
      </c>
      <c r="AA1019">
        <v>0</v>
      </c>
      <c r="AB1019">
        <v>0</v>
      </c>
      <c r="AC1019">
        <v>0</v>
      </c>
      <c r="AD1019">
        <v>0</v>
      </c>
      <c r="AE1019">
        <v>0</v>
      </c>
      <c r="AF1019">
        <v>0</v>
      </c>
      <c r="AG1019">
        <v>0</v>
      </c>
      <c r="AH1019">
        <v>0</v>
      </c>
      <c r="AI1019">
        <v>0</v>
      </c>
      <c r="AJ1019">
        <v>0</v>
      </c>
      <c r="AK1019">
        <v>1</v>
      </c>
      <c r="AL1019">
        <v>0</v>
      </c>
      <c r="AM1019">
        <v>0</v>
      </c>
      <c r="AN1019">
        <v>0</v>
      </c>
      <c r="AO1019">
        <v>0</v>
      </c>
      <c r="AP1019">
        <v>0</v>
      </c>
      <c r="AQ1019">
        <v>0</v>
      </c>
      <c r="AR1019">
        <v>0</v>
      </c>
      <c r="AS1019">
        <v>0</v>
      </c>
      <c r="AT1019">
        <v>0</v>
      </c>
      <c r="AU1019">
        <v>0</v>
      </c>
      <c r="AV1019">
        <v>0</v>
      </c>
      <c r="AW1019">
        <v>0</v>
      </c>
      <c r="AX1019" s="141">
        <f t="shared" si="1319"/>
        <v>1</v>
      </c>
      <c r="AY1019" s="141">
        <f t="shared" si="1320"/>
        <v>1</v>
      </c>
      <c r="AZ1019">
        <f t="shared" si="1321"/>
        <v>0</v>
      </c>
      <c r="BA1019">
        <f t="shared" si="1322"/>
        <v>0</v>
      </c>
      <c r="BB1019">
        <f t="shared" si="1323"/>
        <v>1</v>
      </c>
      <c r="BC1019">
        <f t="shared" si="1324"/>
        <v>0</v>
      </c>
      <c r="BD1019">
        <f t="shared" si="1325"/>
        <v>0</v>
      </c>
      <c r="BE1019" t="str">
        <f t="array" ref="BE1019">IF(AY1019=1,INDEX($V$7:$AL$7,MATCH(TRUE,INDEX($V1019:$AW1019&lt;&gt;0,),0)),IF(AY1019=0,INDEX($AM$7:$AW$7,MATCH(1,$AM1019:$AW1019,0)),IF(BF1019="Multiple strategies","mixed drivers",IF(BF1019="Supply chain","multiple supply","multiple silviculture"))))</f>
        <v>technologies/design switch</v>
      </c>
      <c r="BF1019" s="2" t="str" cm="1">
        <f t="array" ref="BF1019">IF(COUNTIF(AZ1019:BB1019,"&lt;&gt;0")=1,INDEX($V$4:$AW$4,MATCH(TRUE,INDEX($V1019:$AW1019&lt;&gt;0,),0)),IF(COUNTIF(AZ1019:BB1019,"&lt;&gt;0")=0,INDEX($AM$4:$AW$4,MATCH(1,$AM1019:$AW1019,0)),"Multiple strategies"))</f>
        <v>Technology</v>
      </c>
      <c r="BG1019" s="1" t="s">
        <v>229</v>
      </c>
      <c r="BH1019" t="s">
        <v>953</v>
      </c>
      <c r="BI1019" s="260" t="s">
        <v>3372</v>
      </c>
      <c r="BJ1019" t="s">
        <v>345</v>
      </c>
      <c r="BK1019">
        <v>0</v>
      </c>
      <c r="BL1019">
        <v>116.6</v>
      </c>
      <c r="BN1019">
        <f t="shared" si="1326"/>
        <v>116.6</v>
      </c>
      <c r="BO1019">
        <f t="shared" si="1327"/>
        <v>0.23795918367346941</v>
      </c>
      <c r="BP1019" t="s">
        <v>232</v>
      </c>
      <c r="BQ1019" s="260" t="s">
        <v>3376</v>
      </c>
      <c r="BR1019" t="s">
        <v>954</v>
      </c>
      <c r="BS1019">
        <v>-223.4</v>
      </c>
      <c r="BT1019">
        <v>-165.4</v>
      </c>
      <c r="BU1019" s="144">
        <f t="shared" si="1328"/>
        <v>0.74037600716204122</v>
      </c>
      <c r="BV1019">
        <f t="shared" si="1329"/>
        <v>58</v>
      </c>
      <c r="BX1019">
        <f t="shared" si="1330"/>
        <v>5.8000000000000003E-2</v>
      </c>
      <c r="BY1019">
        <f t="shared" si="1316"/>
        <v>0.24373927958833619</v>
      </c>
      <c r="BZ1019">
        <v>1</v>
      </c>
      <c r="CA1019">
        <v>0</v>
      </c>
      <c r="CB1019">
        <v>0</v>
      </c>
      <c r="CC1019">
        <v>0</v>
      </c>
      <c r="CD1019">
        <v>0</v>
      </c>
      <c r="CE1019">
        <v>1</v>
      </c>
      <c r="CF1019">
        <v>0</v>
      </c>
      <c r="CG1019">
        <v>1</v>
      </c>
      <c r="CH1019">
        <v>0</v>
      </c>
      <c r="CI1019">
        <v>0</v>
      </c>
      <c r="CJ1019">
        <v>0</v>
      </c>
      <c r="CK1019">
        <v>0</v>
      </c>
      <c r="CL1019">
        <v>0</v>
      </c>
      <c r="CM1019">
        <v>0</v>
      </c>
      <c r="CN1019" t="str">
        <f t="shared" si="1331"/>
        <v>refOK</v>
      </c>
      <c r="CO1019">
        <f t="shared" si="1332"/>
        <v>0</v>
      </c>
      <c r="CP1019">
        <f t="shared" si="1333"/>
        <v>116.6</v>
      </c>
      <c r="CQ1019">
        <f t="shared" si="1334"/>
        <v>0.23795918367346941</v>
      </c>
      <c r="CR1019">
        <f t="shared" si="1335"/>
        <v>-223.4</v>
      </c>
      <c r="CS1019">
        <f t="shared" si="1336"/>
        <v>-165.4</v>
      </c>
      <c r="CT1019">
        <f t="shared" si="1337"/>
        <v>5.8000000000000003E-2</v>
      </c>
      <c r="CU1019">
        <f t="shared" si="1338"/>
        <v>0.24373927958833619</v>
      </c>
      <c r="CV1019" s="2">
        <f t="shared" si="1339"/>
        <v>0.25962399283795884</v>
      </c>
      <c r="CW1019" s="1" t="s">
        <v>263</v>
      </c>
      <c r="CX1019" t="str">
        <f t="shared" si="1340"/>
        <v>loc</v>
      </c>
      <c r="CY1019" s="308" t="s">
        <v>3422</v>
      </c>
      <c r="DB1019">
        <v>0</v>
      </c>
      <c r="DC1019" t="str">
        <f t="shared" si="1341"/>
        <v>0</v>
      </c>
      <c r="DD1019">
        <v>0</v>
      </c>
      <c r="DE1019">
        <v>0</v>
      </c>
      <c r="DF1019">
        <v>0</v>
      </c>
      <c r="DG1019">
        <v>1</v>
      </c>
      <c r="DI1019">
        <f t="shared" si="1342"/>
        <v>1</v>
      </c>
      <c r="DJ1019" t="str">
        <f t="shared" si="1343"/>
        <v>TimberInput</v>
      </c>
      <c r="DK1019">
        <f t="shared" si="1344"/>
        <v>0</v>
      </c>
      <c r="DL1019">
        <f t="shared" si="1345"/>
        <v>0</v>
      </c>
      <c r="DM1019">
        <f t="shared" si="1346"/>
        <v>0</v>
      </c>
      <c r="DN1019" t="str">
        <f t="shared" si="1347"/>
        <v>Timber</v>
      </c>
      <c r="DO1019">
        <v>0</v>
      </c>
      <c r="DP1019">
        <v>1</v>
      </c>
      <c r="DQ1019">
        <v>0</v>
      </c>
      <c r="DR1019">
        <v>0</v>
      </c>
      <c r="DS1019">
        <v>0</v>
      </c>
      <c r="DT1019">
        <f t="shared" si="1348"/>
        <v>1</v>
      </c>
      <c r="DU1019" s="143" t="str">
        <f t="shared" si="1349"/>
        <v>external DF used</v>
      </c>
      <c r="DV1019">
        <v>0</v>
      </c>
      <c r="DW1019">
        <v>0</v>
      </c>
      <c r="DX1019">
        <v>0</v>
      </c>
      <c r="DY1019">
        <v>0</v>
      </c>
      <c r="DZ1019">
        <v>0</v>
      </c>
      <c r="EA1019" s="143">
        <v>1</v>
      </c>
      <c r="EB1019">
        <v>1</v>
      </c>
      <c r="EC1019">
        <v>1</v>
      </c>
      <c r="ED1019">
        <v>0</v>
      </c>
      <c r="EE1019">
        <v>1</v>
      </c>
      <c r="EF1019">
        <v>0</v>
      </c>
      <c r="EG1019">
        <v>0</v>
      </c>
      <c r="EH1019">
        <v>0</v>
      </c>
      <c r="EI1019" s="2">
        <v>0</v>
      </c>
      <c r="EK1019" t="str">
        <f t="shared" si="1350"/>
        <v/>
      </c>
      <c r="EL1019" t="str">
        <f t="shared" si="1351"/>
        <v/>
      </c>
      <c r="EM1019" s="2" t="str">
        <f t="shared" si="1317"/>
        <v>Technology approach</v>
      </c>
      <c r="EP1019" t="str">
        <f>IF(ISNUMBER(BU1019),IF(ABS(BU1019-[5]QC_indicators!$B$2)&gt;3*[5]QC_indicators!$C$2,"C ratio",IF(ISNUMBER(BY1019),IF(ABS(BY1019-[5]QC_indicators!$B$1)&gt;3*[5]QC_indicators!$C$1,"DF","no"))),IF(ISNUMBER(BY1019),IF(ABS(BY1019-[5]QC_indicators!$B$1)&gt;3*[5]QC_indicators!$C$1,"DF","no")))</f>
        <v>no</v>
      </c>
      <c r="ER1019" s="149" t="s">
        <v>349</v>
      </c>
      <c r="ET1019" s="264" t="s">
        <v>3272</v>
      </c>
    </row>
    <row r="1020" spans="1:150" ht="15" hidden="1" customHeight="1">
      <c r="A1020" s="1" t="s">
        <v>333</v>
      </c>
      <c r="B1020" t="s">
        <v>944</v>
      </c>
      <c r="C1020" t="s">
        <v>945</v>
      </c>
      <c r="D1020" t="s">
        <v>946</v>
      </c>
      <c r="E1020" t="s">
        <v>947</v>
      </c>
      <c r="F1020" t="s">
        <v>948</v>
      </c>
      <c r="G1020" t="s">
        <v>339</v>
      </c>
      <c r="H1020" t="s">
        <v>254</v>
      </c>
      <c r="I1020">
        <v>2021</v>
      </c>
      <c r="J1020">
        <v>0</v>
      </c>
      <c r="K1020" t="s">
        <v>949</v>
      </c>
      <c r="M1020" t="str">
        <f t="shared" si="1249"/>
        <v>Morris_2021</v>
      </c>
      <c r="N1020" t="s">
        <v>222</v>
      </c>
      <c r="O1020" t="s">
        <v>223</v>
      </c>
      <c r="Q1020" t="s">
        <v>256</v>
      </c>
      <c r="R1020" s="255" t="s">
        <v>225</v>
      </c>
      <c r="S1020" s="1" t="s">
        <v>955</v>
      </c>
      <c r="T1020" t="s">
        <v>795</v>
      </c>
      <c r="U1020" t="s">
        <v>956</v>
      </c>
      <c r="V1020">
        <v>0</v>
      </c>
      <c r="W1020">
        <v>0</v>
      </c>
      <c r="X1020">
        <v>0</v>
      </c>
      <c r="Y1020">
        <v>0</v>
      </c>
      <c r="Z1020">
        <v>0</v>
      </c>
      <c r="AA1020">
        <v>0</v>
      </c>
      <c r="AB1020">
        <v>0</v>
      </c>
      <c r="AC1020">
        <v>0</v>
      </c>
      <c r="AD1020">
        <v>0</v>
      </c>
      <c r="AE1020">
        <v>0</v>
      </c>
      <c r="AF1020">
        <v>0</v>
      </c>
      <c r="AG1020">
        <v>0</v>
      </c>
      <c r="AH1020">
        <v>0</v>
      </c>
      <c r="AI1020">
        <v>0</v>
      </c>
      <c r="AJ1020">
        <v>0</v>
      </c>
      <c r="AK1020">
        <v>1</v>
      </c>
      <c r="AL1020">
        <v>0</v>
      </c>
      <c r="AM1020">
        <v>0</v>
      </c>
      <c r="AN1020">
        <v>0</v>
      </c>
      <c r="AO1020">
        <v>0</v>
      </c>
      <c r="AP1020">
        <v>0</v>
      </c>
      <c r="AQ1020">
        <v>0</v>
      </c>
      <c r="AR1020">
        <v>0</v>
      </c>
      <c r="AS1020">
        <v>0</v>
      </c>
      <c r="AT1020">
        <v>0</v>
      </c>
      <c r="AU1020">
        <v>0</v>
      </c>
      <c r="AV1020">
        <v>0</v>
      </c>
      <c r="AW1020">
        <v>0</v>
      </c>
      <c r="AX1020" s="141">
        <f t="shared" si="1319"/>
        <v>1</v>
      </c>
      <c r="AY1020" s="141">
        <f t="shared" si="1320"/>
        <v>1</v>
      </c>
      <c r="AZ1020">
        <f t="shared" si="1321"/>
        <v>0</v>
      </c>
      <c r="BA1020">
        <f t="shared" si="1322"/>
        <v>0</v>
      </c>
      <c r="BB1020">
        <f t="shared" si="1323"/>
        <v>1</v>
      </c>
      <c r="BC1020">
        <f t="shared" si="1324"/>
        <v>0</v>
      </c>
      <c r="BD1020">
        <f t="shared" si="1325"/>
        <v>0</v>
      </c>
      <c r="BE1020" t="str">
        <f t="array" ref="BE1020">IF(AY1020=1,INDEX($V$7:$AL$7,MATCH(TRUE,INDEX($V1020:$AW1020&lt;&gt;0,),0)),IF(AY1020=0,INDEX($AM$7:$AW$7,MATCH(1,$AM1020:$AW1020,0)),IF(BF1020="Multiple strategies","mixed drivers",IF(BF1020="Supply chain","multiple supply","multiple silviculture"))))</f>
        <v>technologies/design switch</v>
      </c>
      <c r="BF1020" s="2" t="str" cm="1">
        <f t="array" ref="BF1020">IF(COUNTIF(AZ1020:BB1020,"&lt;&gt;0")=1,INDEX($V$4:$AW$4,MATCH(TRUE,INDEX($V1020:$AW1020&lt;&gt;0,),0)),IF(COUNTIF(AZ1020:BB1020,"&lt;&gt;0")=0,INDEX($AM$4:$AW$4,MATCH(1,$AM1020:$AW1020,0)),"Multiple strategies"))</f>
        <v>Technology</v>
      </c>
      <c r="BG1020" s="1" t="s">
        <v>229</v>
      </c>
      <c r="BH1020" t="s">
        <v>953</v>
      </c>
      <c r="BI1020" s="260" t="s">
        <v>3372</v>
      </c>
      <c r="BJ1020" t="s">
        <v>345</v>
      </c>
      <c r="BK1020">
        <v>0</v>
      </c>
      <c r="BL1020">
        <v>116.6</v>
      </c>
      <c r="BN1020">
        <f t="shared" si="1326"/>
        <v>116.6</v>
      </c>
      <c r="BO1020">
        <f t="shared" si="1327"/>
        <v>0.23795918367346941</v>
      </c>
      <c r="BP1020" t="s">
        <v>232</v>
      </c>
      <c r="BQ1020" s="260" t="s">
        <v>3376</v>
      </c>
      <c r="BR1020" t="s">
        <v>954</v>
      </c>
      <c r="BS1020">
        <v>-139.69999999999999</v>
      </c>
      <c r="BT1020">
        <v>-39.799999999999997</v>
      </c>
      <c r="BU1020" s="144">
        <f t="shared" si="1328"/>
        <v>0.28489620615604866</v>
      </c>
      <c r="BV1020">
        <f t="shared" si="1329"/>
        <v>99.899999999999991</v>
      </c>
      <c r="BX1020">
        <f t="shared" si="1330"/>
        <v>9.9899999999999989E-2</v>
      </c>
      <c r="BY1020">
        <f t="shared" si="1316"/>
        <v>0.41981989708404793</v>
      </c>
      <c r="BZ1020">
        <v>1</v>
      </c>
      <c r="CA1020">
        <v>0</v>
      </c>
      <c r="CB1020">
        <v>0</v>
      </c>
      <c r="CC1020">
        <v>0</v>
      </c>
      <c r="CD1020">
        <v>0</v>
      </c>
      <c r="CE1020">
        <v>1</v>
      </c>
      <c r="CF1020">
        <v>0</v>
      </c>
      <c r="CG1020">
        <v>1</v>
      </c>
      <c r="CH1020">
        <v>0</v>
      </c>
      <c r="CI1020">
        <v>0</v>
      </c>
      <c r="CJ1020">
        <v>0</v>
      </c>
      <c r="CK1020">
        <v>0</v>
      </c>
      <c r="CL1020">
        <v>0</v>
      </c>
      <c r="CM1020">
        <v>0</v>
      </c>
      <c r="CN1020" t="str">
        <f t="shared" si="1331"/>
        <v>refOK</v>
      </c>
      <c r="CO1020">
        <f t="shared" si="1332"/>
        <v>0</v>
      </c>
      <c r="CP1020">
        <f t="shared" si="1333"/>
        <v>116.6</v>
      </c>
      <c r="CQ1020">
        <f t="shared" si="1334"/>
        <v>0.23795918367346941</v>
      </c>
      <c r="CR1020">
        <f t="shared" si="1335"/>
        <v>-139.69999999999999</v>
      </c>
      <c r="CS1020">
        <f t="shared" si="1336"/>
        <v>-39.799999999999997</v>
      </c>
      <c r="CT1020">
        <f t="shared" si="1337"/>
        <v>9.9899999999999989E-2</v>
      </c>
      <c r="CU1020">
        <f t="shared" si="1338"/>
        <v>0.41981989708404793</v>
      </c>
      <c r="CV1020" s="2">
        <f t="shared" si="1339"/>
        <v>0.71510379384395129</v>
      </c>
      <c r="CW1020" s="1" t="s">
        <v>263</v>
      </c>
      <c r="CX1020" t="str">
        <f t="shared" si="1340"/>
        <v>loc</v>
      </c>
      <c r="CY1020" s="308" t="s">
        <v>3422</v>
      </c>
      <c r="DB1020">
        <v>0</v>
      </c>
      <c r="DC1020" t="str">
        <f t="shared" si="1341"/>
        <v>0</v>
      </c>
      <c r="DD1020">
        <v>0</v>
      </c>
      <c r="DE1020">
        <v>0</v>
      </c>
      <c r="DF1020">
        <v>0</v>
      </c>
      <c r="DG1020">
        <v>1</v>
      </c>
      <c r="DI1020">
        <f t="shared" si="1342"/>
        <v>1</v>
      </c>
      <c r="DJ1020" t="str">
        <f t="shared" si="1343"/>
        <v>TimberInput</v>
      </c>
      <c r="DK1020">
        <f t="shared" si="1344"/>
        <v>0</v>
      </c>
      <c r="DL1020">
        <f t="shared" si="1345"/>
        <v>0</v>
      </c>
      <c r="DM1020">
        <f t="shared" si="1346"/>
        <v>0</v>
      </c>
      <c r="DN1020" t="str">
        <f t="shared" si="1347"/>
        <v>Timber</v>
      </c>
      <c r="DO1020">
        <v>0</v>
      </c>
      <c r="DP1020">
        <v>0</v>
      </c>
      <c r="DQ1020">
        <v>0</v>
      </c>
      <c r="DR1020">
        <v>0</v>
      </c>
      <c r="DS1020">
        <v>0</v>
      </c>
      <c r="DT1020">
        <f t="shared" si="1348"/>
        <v>0</v>
      </c>
      <c r="DU1020" s="143" t="str">
        <f t="shared" si="1349"/>
        <v>explicit C balance</v>
      </c>
      <c r="DV1020">
        <v>0</v>
      </c>
      <c r="DW1020">
        <v>0</v>
      </c>
      <c r="DX1020">
        <v>0</v>
      </c>
      <c r="DY1020">
        <v>0</v>
      </c>
      <c r="DZ1020">
        <v>0</v>
      </c>
      <c r="EA1020" s="143">
        <v>0</v>
      </c>
      <c r="EB1020">
        <v>1</v>
      </c>
      <c r="EC1020">
        <v>1</v>
      </c>
      <c r="ED1020">
        <v>0</v>
      </c>
      <c r="EE1020">
        <v>1</v>
      </c>
      <c r="EF1020">
        <v>0</v>
      </c>
      <c r="EG1020">
        <v>0</v>
      </c>
      <c r="EH1020">
        <v>0</v>
      </c>
      <c r="EI1020" s="2">
        <v>0</v>
      </c>
      <c r="EK1020" t="str">
        <f t="shared" si="1350"/>
        <v/>
      </c>
      <c r="EL1020" t="str">
        <f t="shared" si="1351"/>
        <v/>
      </c>
      <c r="EM1020" s="2" t="str">
        <f t="shared" si="1317"/>
        <v>Technology approach</v>
      </c>
      <c r="EP1020" t="str">
        <f>IF(ISNUMBER(BU1020),IF(ABS(BU1020-[5]QC_indicators!$B$2)&gt;3*[5]QC_indicators!$C$2,"C ratio",IF(ISNUMBER(BY1020),IF(ABS(BY1020-[5]QC_indicators!$B$1)&gt;3*[5]QC_indicators!$C$1,"DF","no"))),IF(ISNUMBER(BY1020),IF(ABS(BY1020-[5]QC_indicators!$B$1)&gt;3*[5]QC_indicators!$C$1,"DF","no")))</f>
        <v>no</v>
      </c>
      <c r="ER1020" t="s">
        <v>957</v>
      </c>
      <c r="ET1020" s="264" t="s">
        <v>3272</v>
      </c>
    </row>
    <row r="1021" spans="1:150" ht="15" hidden="1" customHeight="1">
      <c r="A1021" s="1" t="s">
        <v>333</v>
      </c>
      <c r="B1021" t="s">
        <v>944</v>
      </c>
      <c r="C1021" t="s">
        <v>945</v>
      </c>
      <c r="D1021" t="s">
        <v>946</v>
      </c>
      <c r="E1021" t="s">
        <v>947</v>
      </c>
      <c r="F1021" t="s">
        <v>948</v>
      </c>
      <c r="G1021" t="s">
        <v>339</v>
      </c>
      <c r="H1021" t="s">
        <v>254</v>
      </c>
      <c r="I1021">
        <v>2021</v>
      </c>
      <c r="J1021">
        <v>0</v>
      </c>
      <c r="K1021" t="s">
        <v>949</v>
      </c>
      <c r="M1021" t="str">
        <f t="shared" si="1249"/>
        <v>Morris_2021</v>
      </c>
      <c r="N1021" t="s">
        <v>222</v>
      </c>
      <c r="O1021" t="s">
        <v>223</v>
      </c>
      <c r="Q1021" t="s">
        <v>256</v>
      </c>
      <c r="R1021" s="255" t="s">
        <v>225</v>
      </c>
      <c r="S1021" s="1" t="s">
        <v>955</v>
      </c>
      <c r="T1021" t="s">
        <v>795</v>
      </c>
      <c r="U1021" t="s">
        <v>956</v>
      </c>
      <c r="V1021">
        <v>0</v>
      </c>
      <c r="W1021">
        <v>0</v>
      </c>
      <c r="X1021">
        <v>0</v>
      </c>
      <c r="Y1021">
        <v>0</v>
      </c>
      <c r="Z1021">
        <v>0</v>
      </c>
      <c r="AA1021">
        <v>0</v>
      </c>
      <c r="AB1021">
        <v>0</v>
      </c>
      <c r="AC1021">
        <v>0</v>
      </c>
      <c r="AD1021">
        <v>0</v>
      </c>
      <c r="AE1021">
        <v>0</v>
      </c>
      <c r="AF1021">
        <v>0</v>
      </c>
      <c r="AG1021">
        <v>0</v>
      </c>
      <c r="AH1021">
        <v>0</v>
      </c>
      <c r="AI1021">
        <v>0</v>
      </c>
      <c r="AJ1021">
        <v>0</v>
      </c>
      <c r="AK1021">
        <v>1</v>
      </c>
      <c r="AL1021">
        <v>0</v>
      </c>
      <c r="AM1021">
        <v>0</v>
      </c>
      <c r="AN1021">
        <v>0</v>
      </c>
      <c r="AO1021">
        <v>0</v>
      </c>
      <c r="AP1021">
        <v>0</v>
      </c>
      <c r="AQ1021">
        <v>0</v>
      </c>
      <c r="AR1021">
        <v>0</v>
      </c>
      <c r="AS1021">
        <v>0</v>
      </c>
      <c r="AT1021">
        <v>0</v>
      </c>
      <c r="AU1021">
        <v>0</v>
      </c>
      <c r="AV1021">
        <v>0</v>
      </c>
      <c r="AW1021">
        <v>0</v>
      </c>
      <c r="AX1021" s="141">
        <f t="shared" si="1319"/>
        <v>1</v>
      </c>
      <c r="AY1021" s="141">
        <f t="shared" si="1320"/>
        <v>1</v>
      </c>
      <c r="AZ1021">
        <f t="shared" si="1321"/>
        <v>0</v>
      </c>
      <c r="BA1021">
        <f t="shared" si="1322"/>
        <v>0</v>
      </c>
      <c r="BB1021">
        <f t="shared" si="1323"/>
        <v>1</v>
      </c>
      <c r="BC1021">
        <f t="shared" si="1324"/>
        <v>0</v>
      </c>
      <c r="BD1021">
        <f t="shared" si="1325"/>
        <v>0</v>
      </c>
      <c r="BE1021" t="str">
        <f t="array" ref="BE1021">IF(AY1021=1,INDEX($V$7:$AL$7,MATCH(TRUE,INDEX($V1021:$AW1021&lt;&gt;0,),0)),IF(AY1021=0,INDEX($AM$7:$AW$7,MATCH(1,$AM1021:$AW1021,0)),IF(BF1021="Multiple strategies","mixed drivers",IF(BF1021="Supply chain","multiple supply","multiple silviculture"))))</f>
        <v>technologies/design switch</v>
      </c>
      <c r="BF1021" s="2" t="str" cm="1">
        <f t="array" ref="BF1021">IF(COUNTIF(AZ1021:BB1021,"&lt;&gt;0")=1,INDEX($V$4:$AW$4,MATCH(TRUE,INDEX($V1021:$AW1021&lt;&gt;0,),0)),IF(COUNTIF(AZ1021:BB1021,"&lt;&gt;0")=0,INDEX($AM$4:$AW$4,MATCH(1,$AM1021:$AW1021,0)),"Multiple strategies"))</f>
        <v>Technology</v>
      </c>
      <c r="BG1021" s="1" t="s">
        <v>229</v>
      </c>
      <c r="BH1021" t="s">
        <v>953</v>
      </c>
      <c r="BI1021" s="260" t="s">
        <v>3372</v>
      </c>
      <c r="BJ1021" t="s">
        <v>345</v>
      </c>
      <c r="BK1021">
        <v>0</v>
      </c>
      <c r="BL1021">
        <v>116.6</v>
      </c>
      <c r="BN1021">
        <f t="shared" si="1326"/>
        <v>116.6</v>
      </c>
      <c r="BO1021">
        <f t="shared" si="1327"/>
        <v>0.23795918367346941</v>
      </c>
      <c r="BP1021" t="s">
        <v>232</v>
      </c>
      <c r="BQ1021" s="260" t="s">
        <v>3377</v>
      </c>
      <c r="BR1021" t="s">
        <v>954</v>
      </c>
      <c r="BS1021">
        <v>-223.9</v>
      </c>
      <c r="BT1021">
        <v>-122.9</v>
      </c>
      <c r="BU1021" s="144">
        <f t="shared" si="1328"/>
        <v>0.54890576150066994</v>
      </c>
      <c r="BV1021">
        <f t="shared" si="1329"/>
        <v>101</v>
      </c>
      <c r="BX1021">
        <f t="shared" si="1330"/>
        <v>0.10100000000000001</v>
      </c>
      <c r="BY1021">
        <f t="shared" si="1316"/>
        <v>0.42444253859348197</v>
      </c>
      <c r="BZ1021">
        <v>1</v>
      </c>
      <c r="CA1021">
        <v>0</v>
      </c>
      <c r="CB1021">
        <v>0</v>
      </c>
      <c r="CC1021">
        <v>0</v>
      </c>
      <c r="CD1021">
        <v>0</v>
      </c>
      <c r="CE1021">
        <v>1</v>
      </c>
      <c r="CF1021">
        <v>0</v>
      </c>
      <c r="CG1021">
        <v>1</v>
      </c>
      <c r="CH1021">
        <v>0</v>
      </c>
      <c r="CI1021">
        <v>0</v>
      </c>
      <c r="CJ1021">
        <v>0</v>
      </c>
      <c r="CK1021">
        <v>0</v>
      </c>
      <c r="CL1021">
        <v>0</v>
      </c>
      <c r="CM1021">
        <v>0</v>
      </c>
      <c r="CN1021" t="str">
        <f t="shared" si="1331"/>
        <v>refOK</v>
      </c>
      <c r="CO1021">
        <f t="shared" si="1332"/>
        <v>0</v>
      </c>
      <c r="CP1021">
        <f t="shared" si="1333"/>
        <v>116.6</v>
      </c>
      <c r="CQ1021">
        <f t="shared" si="1334"/>
        <v>0.23795918367346941</v>
      </c>
      <c r="CR1021">
        <f t="shared" si="1335"/>
        <v>-223.9</v>
      </c>
      <c r="CS1021">
        <f t="shared" si="1336"/>
        <v>-122.9</v>
      </c>
      <c r="CT1021">
        <f t="shared" si="1337"/>
        <v>0.10100000000000001</v>
      </c>
      <c r="CU1021">
        <f t="shared" si="1338"/>
        <v>0.42444253859348197</v>
      </c>
      <c r="CV1021" s="2">
        <f t="shared" si="1339"/>
        <v>0.45109423849933006</v>
      </c>
      <c r="CW1021" s="1" t="s">
        <v>263</v>
      </c>
      <c r="CX1021" t="str">
        <f t="shared" si="1340"/>
        <v>loc</v>
      </c>
      <c r="CY1021" s="308" t="s">
        <v>3422</v>
      </c>
      <c r="DB1021">
        <v>0</v>
      </c>
      <c r="DC1021" t="str">
        <f t="shared" si="1341"/>
        <v>0</v>
      </c>
      <c r="DD1021">
        <v>0</v>
      </c>
      <c r="DE1021">
        <v>0</v>
      </c>
      <c r="DF1021">
        <v>0</v>
      </c>
      <c r="DG1021">
        <v>1</v>
      </c>
      <c r="DI1021">
        <f t="shared" si="1342"/>
        <v>1</v>
      </c>
      <c r="DJ1021" t="str">
        <f t="shared" si="1343"/>
        <v>TimberInput</v>
      </c>
      <c r="DK1021">
        <f t="shared" si="1344"/>
        <v>0</v>
      </c>
      <c r="DL1021">
        <f t="shared" si="1345"/>
        <v>0</v>
      </c>
      <c r="DM1021">
        <f t="shared" si="1346"/>
        <v>0</v>
      </c>
      <c r="DN1021" t="str">
        <f t="shared" si="1347"/>
        <v>Timber</v>
      </c>
      <c r="DO1021">
        <v>0</v>
      </c>
      <c r="DP1021">
        <v>0</v>
      </c>
      <c r="DQ1021">
        <v>0</v>
      </c>
      <c r="DR1021">
        <v>0</v>
      </c>
      <c r="DS1021">
        <v>0</v>
      </c>
      <c r="DT1021">
        <f t="shared" si="1348"/>
        <v>0</v>
      </c>
      <c r="DU1021" s="143" t="str">
        <f t="shared" si="1349"/>
        <v>explicit C balance</v>
      </c>
      <c r="DV1021">
        <v>0</v>
      </c>
      <c r="DW1021">
        <v>0</v>
      </c>
      <c r="DX1021">
        <v>0</v>
      </c>
      <c r="DY1021">
        <v>1</v>
      </c>
      <c r="DZ1021">
        <v>0</v>
      </c>
      <c r="EA1021" s="143">
        <v>1</v>
      </c>
      <c r="EB1021">
        <v>1</v>
      </c>
      <c r="EC1021">
        <v>1</v>
      </c>
      <c r="ED1021">
        <v>0</v>
      </c>
      <c r="EE1021">
        <v>1</v>
      </c>
      <c r="EF1021">
        <v>0</v>
      </c>
      <c r="EG1021">
        <v>0</v>
      </c>
      <c r="EH1021">
        <v>0</v>
      </c>
      <c r="EI1021" s="2">
        <v>0</v>
      </c>
      <c r="EK1021" t="str">
        <f t="shared" si="1350"/>
        <v/>
      </c>
      <c r="EL1021" t="str">
        <f t="shared" si="1351"/>
        <v/>
      </c>
      <c r="EM1021" s="2" t="str">
        <f t="shared" si="1317"/>
        <v>Technology approach</v>
      </c>
      <c r="EP1021" t="str">
        <f>IF(ISNUMBER(BU1021),IF(ABS(BU1021-[5]QC_indicators!$B$2)&gt;3*[5]QC_indicators!$C$2,"C ratio",IF(ISNUMBER(BY1021),IF(ABS(BY1021-[5]QC_indicators!$B$1)&gt;3*[5]QC_indicators!$C$1,"DF","no"))),IF(ISNUMBER(BY1021),IF(ABS(BY1021-[5]QC_indicators!$B$1)&gt;3*[5]QC_indicators!$C$1,"DF","no")))</f>
        <v>no</v>
      </c>
      <c r="ER1021" t="s">
        <v>958</v>
      </c>
      <c r="ET1021" s="264" t="s">
        <v>3272</v>
      </c>
    </row>
    <row r="1022" spans="1:150" ht="15" hidden="1" customHeight="1">
      <c r="A1022" s="1" t="s">
        <v>333</v>
      </c>
      <c r="B1022" t="s">
        <v>944</v>
      </c>
      <c r="C1022" t="s">
        <v>945</v>
      </c>
      <c r="D1022" t="s">
        <v>946</v>
      </c>
      <c r="E1022" t="s">
        <v>947</v>
      </c>
      <c r="F1022" t="s">
        <v>948</v>
      </c>
      <c r="G1022" t="s">
        <v>339</v>
      </c>
      <c r="H1022" t="s">
        <v>254</v>
      </c>
      <c r="I1022">
        <v>2021</v>
      </c>
      <c r="J1022">
        <v>0</v>
      </c>
      <c r="K1022" t="s">
        <v>949</v>
      </c>
      <c r="M1022" t="str">
        <f t="shared" si="1249"/>
        <v>Morris_2021</v>
      </c>
      <c r="N1022" t="s">
        <v>222</v>
      </c>
      <c r="O1022" t="s">
        <v>223</v>
      </c>
      <c r="Q1022" t="s">
        <v>256</v>
      </c>
      <c r="R1022" s="255" t="s">
        <v>225</v>
      </c>
      <c r="S1022" s="1" t="s">
        <v>955</v>
      </c>
      <c r="T1022" t="s">
        <v>795</v>
      </c>
      <c r="U1022" t="s">
        <v>956</v>
      </c>
      <c r="V1022">
        <v>0</v>
      </c>
      <c r="W1022">
        <v>0</v>
      </c>
      <c r="X1022">
        <v>0</v>
      </c>
      <c r="Y1022">
        <v>0</v>
      </c>
      <c r="Z1022">
        <v>0</v>
      </c>
      <c r="AA1022">
        <v>0</v>
      </c>
      <c r="AB1022">
        <v>0</v>
      </c>
      <c r="AC1022">
        <v>0</v>
      </c>
      <c r="AD1022">
        <v>0</v>
      </c>
      <c r="AE1022">
        <v>0</v>
      </c>
      <c r="AF1022">
        <v>0</v>
      </c>
      <c r="AG1022">
        <v>0</v>
      </c>
      <c r="AH1022">
        <v>0</v>
      </c>
      <c r="AI1022">
        <v>0</v>
      </c>
      <c r="AJ1022">
        <v>0</v>
      </c>
      <c r="AK1022">
        <v>1</v>
      </c>
      <c r="AL1022">
        <v>0</v>
      </c>
      <c r="AM1022">
        <v>0</v>
      </c>
      <c r="AN1022">
        <v>0</v>
      </c>
      <c r="AO1022">
        <v>0</v>
      </c>
      <c r="AP1022">
        <v>0</v>
      </c>
      <c r="AQ1022">
        <v>0</v>
      </c>
      <c r="AR1022">
        <v>0</v>
      </c>
      <c r="AS1022">
        <v>0</v>
      </c>
      <c r="AT1022">
        <v>0</v>
      </c>
      <c r="AU1022">
        <v>0</v>
      </c>
      <c r="AV1022">
        <v>0</v>
      </c>
      <c r="AW1022">
        <v>0</v>
      </c>
      <c r="AX1022" s="141">
        <f t="shared" si="1319"/>
        <v>1</v>
      </c>
      <c r="AY1022" s="141">
        <f t="shared" si="1320"/>
        <v>1</v>
      </c>
      <c r="AZ1022">
        <f t="shared" si="1321"/>
        <v>0</v>
      </c>
      <c r="BA1022">
        <f t="shared" si="1322"/>
        <v>0</v>
      </c>
      <c r="BB1022">
        <f t="shared" si="1323"/>
        <v>1</v>
      </c>
      <c r="BC1022">
        <f t="shared" si="1324"/>
        <v>0</v>
      </c>
      <c r="BD1022">
        <f t="shared" si="1325"/>
        <v>0</v>
      </c>
      <c r="BE1022" t="str">
        <f t="array" ref="BE1022">IF(AY1022=1,INDEX($V$7:$AL$7,MATCH(TRUE,INDEX($V1022:$AW1022&lt;&gt;0,),0)),IF(AY1022=0,INDEX($AM$7:$AW$7,MATCH(1,$AM1022:$AW1022,0)),IF(BF1022="Multiple strategies","mixed drivers",IF(BF1022="Supply chain","multiple supply","multiple silviculture"))))</f>
        <v>technologies/design switch</v>
      </c>
      <c r="BF1022" s="2" t="str" cm="1">
        <f t="array" ref="BF1022">IF(COUNTIF(AZ1022:BB1022,"&lt;&gt;0")=1,INDEX($V$4:$AW$4,MATCH(TRUE,INDEX($V1022:$AW1022&lt;&gt;0,),0)),IF(COUNTIF(AZ1022:BB1022,"&lt;&gt;0")=0,INDEX($AM$4:$AW$4,MATCH(1,$AM1022:$AW1022,0)),"Multiple strategies"))</f>
        <v>Technology</v>
      </c>
      <c r="BG1022" s="1" t="s">
        <v>229</v>
      </c>
      <c r="BH1022" t="s">
        <v>953</v>
      </c>
      <c r="BI1022" s="260" t="s">
        <v>3372</v>
      </c>
      <c r="BJ1022" t="s">
        <v>345</v>
      </c>
      <c r="BK1022">
        <v>0</v>
      </c>
      <c r="BL1022">
        <v>116.6</v>
      </c>
      <c r="BN1022">
        <f t="shared" si="1326"/>
        <v>116.6</v>
      </c>
      <c r="BO1022">
        <f t="shared" si="1327"/>
        <v>0.23795918367346941</v>
      </c>
      <c r="BP1022" t="s">
        <v>232</v>
      </c>
      <c r="BQ1022" s="260" t="s">
        <v>3378</v>
      </c>
      <c r="BR1022" t="s">
        <v>954</v>
      </c>
      <c r="BS1022">
        <v>-139.69999999999999</v>
      </c>
      <c r="BT1022">
        <v>-32.799999999999997</v>
      </c>
      <c r="BU1022" s="144">
        <f t="shared" si="1328"/>
        <v>0.23478883321403007</v>
      </c>
      <c r="BV1022">
        <f t="shared" si="1329"/>
        <v>106.89999999999999</v>
      </c>
      <c r="BX1022">
        <f t="shared" si="1330"/>
        <v>0.1069</v>
      </c>
      <c r="BY1022">
        <f t="shared" si="1316"/>
        <v>0.4492367066895368</v>
      </c>
      <c r="BZ1022">
        <v>1</v>
      </c>
      <c r="CA1022">
        <v>0</v>
      </c>
      <c r="CB1022">
        <v>0</v>
      </c>
      <c r="CC1022">
        <v>0</v>
      </c>
      <c r="CD1022">
        <v>0</v>
      </c>
      <c r="CE1022">
        <v>1</v>
      </c>
      <c r="CF1022">
        <v>0</v>
      </c>
      <c r="CG1022">
        <v>1</v>
      </c>
      <c r="CH1022">
        <v>0</v>
      </c>
      <c r="CI1022">
        <v>0</v>
      </c>
      <c r="CJ1022">
        <v>0</v>
      </c>
      <c r="CK1022">
        <v>0</v>
      </c>
      <c r="CL1022">
        <v>0</v>
      </c>
      <c r="CM1022">
        <v>0</v>
      </c>
      <c r="CN1022" t="str">
        <f t="shared" si="1331"/>
        <v>refOK</v>
      </c>
      <c r="CO1022">
        <f t="shared" si="1332"/>
        <v>0</v>
      </c>
      <c r="CP1022">
        <f t="shared" si="1333"/>
        <v>116.6</v>
      </c>
      <c r="CQ1022">
        <f t="shared" si="1334"/>
        <v>0.23795918367346941</v>
      </c>
      <c r="CR1022">
        <f t="shared" si="1335"/>
        <v>-139.69999999999999</v>
      </c>
      <c r="CS1022">
        <f t="shared" si="1336"/>
        <v>-32.799999999999997</v>
      </c>
      <c r="CT1022">
        <f t="shared" si="1337"/>
        <v>0.1069</v>
      </c>
      <c r="CU1022">
        <f t="shared" si="1338"/>
        <v>0.4492367066895368</v>
      </c>
      <c r="CV1022" s="2">
        <f t="shared" si="1339"/>
        <v>0.7652111667859699</v>
      </c>
      <c r="CW1022" s="1" t="s">
        <v>263</v>
      </c>
      <c r="CX1022" t="str">
        <f t="shared" si="1340"/>
        <v>loc</v>
      </c>
      <c r="CY1022" s="308" t="s">
        <v>3422</v>
      </c>
      <c r="DB1022">
        <v>0</v>
      </c>
      <c r="DC1022" t="str">
        <f t="shared" si="1341"/>
        <v>0</v>
      </c>
      <c r="DD1022">
        <v>0</v>
      </c>
      <c r="DE1022">
        <v>0</v>
      </c>
      <c r="DF1022">
        <v>0</v>
      </c>
      <c r="DG1022">
        <v>1</v>
      </c>
      <c r="DI1022">
        <f t="shared" si="1342"/>
        <v>1</v>
      </c>
      <c r="DJ1022" t="str">
        <f t="shared" si="1343"/>
        <v>TimberInput</v>
      </c>
      <c r="DK1022">
        <f t="shared" si="1344"/>
        <v>0</v>
      </c>
      <c r="DL1022">
        <f t="shared" si="1345"/>
        <v>0</v>
      </c>
      <c r="DM1022">
        <f t="shared" si="1346"/>
        <v>0</v>
      </c>
      <c r="DN1022" t="str">
        <f t="shared" si="1347"/>
        <v>Timber</v>
      </c>
      <c r="DO1022">
        <v>0</v>
      </c>
      <c r="DP1022">
        <v>0</v>
      </c>
      <c r="DQ1022">
        <v>0</v>
      </c>
      <c r="DR1022">
        <v>0</v>
      </c>
      <c r="DS1022">
        <v>0</v>
      </c>
      <c r="DT1022">
        <f t="shared" si="1348"/>
        <v>0</v>
      </c>
      <c r="DU1022" s="143" t="str">
        <f t="shared" si="1349"/>
        <v>explicit C balance</v>
      </c>
      <c r="DV1022">
        <v>0</v>
      </c>
      <c r="DW1022">
        <v>0</v>
      </c>
      <c r="DX1022">
        <v>0</v>
      </c>
      <c r="DY1022">
        <v>0</v>
      </c>
      <c r="DZ1022">
        <v>0</v>
      </c>
      <c r="EA1022" s="143">
        <v>0</v>
      </c>
      <c r="EB1022">
        <v>1</v>
      </c>
      <c r="EC1022">
        <v>1</v>
      </c>
      <c r="ED1022">
        <v>0</v>
      </c>
      <c r="EE1022">
        <v>1</v>
      </c>
      <c r="EF1022">
        <v>0</v>
      </c>
      <c r="EG1022">
        <v>0</v>
      </c>
      <c r="EH1022">
        <v>0</v>
      </c>
      <c r="EI1022" s="2">
        <v>0</v>
      </c>
      <c r="EK1022" t="str">
        <f t="shared" si="1350"/>
        <v/>
      </c>
      <c r="EL1022" t="str">
        <f t="shared" si="1351"/>
        <v/>
      </c>
      <c r="EM1022" s="2" t="str">
        <f t="shared" si="1317"/>
        <v>Technology approach</v>
      </c>
      <c r="EP1022" t="str">
        <f>IF(ISNUMBER(BU1022),IF(ABS(BU1022-[5]QC_indicators!$B$2)&gt;3*[5]QC_indicators!$C$2,"C ratio",IF(ISNUMBER(BY1022),IF(ABS(BY1022-[5]QC_indicators!$B$1)&gt;3*[5]QC_indicators!$C$1,"DF","no"))),IF(ISNUMBER(BY1022),IF(ABS(BY1022-[5]QC_indicators!$B$1)&gt;3*[5]QC_indicators!$C$1,"DF","no")))</f>
        <v>no</v>
      </c>
      <c r="ER1022" s="149" t="s">
        <v>349</v>
      </c>
      <c r="ET1022" s="264" t="s">
        <v>3272</v>
      </c>
    </row>
    <row r="1023" spans="1:150" ht="15" hidden="1" customHeight="1">
      <c r="A1023" s="1" t="s">
        <v>333</v>
      </c>
      <c r="B1023" t="s">
        <v>944</v>
      </c>
      <c r="C1023" t="s">
        <v>945</v>
      </c>
      <c r="D1023" t="s">
        <v>946</v>
      </c>
      <c r="E1023" t="s">
        <v>947</v>
      </c>
      <c r="F1023" t="s">
        <v>948</v>
      </c>
      <c r="G1023" t="s">
        <v>339</v>
      </c>
      <c r="H1023" t="s">
        <v>254</v>
      </c>
      <c r="I1023">
        <v>2021</v>
      </c>
      <c r="J1023">
        <v>0</v>
      </c>
      <c r="K1023" t="s">
        <v>949</v>
      </c>
      <c r="M1023" t="str">
        <f t="shared" si="1249"/>
        <v>Morris_2021</v>
      </c>
      <c r="N1023" t="s">
        <v>222</v>
      </c>
      <c r="O1023" t="s">
        <v>223</v>
      </c>
      <c r="Q1023" t="s">
        <v>256</v>
      </c>
      <c r="R1023" s="255" t="s">
        <v>225</v>
      </c>
      <c r="S1023" s="1" t="s">
        <v>955</v>
      </c>
      <c r="T1023" t="s">
        <v>795</v>
      </c>
      <c r="U1023" t="s">
        <v>956</v>
      </c>
      <c r="V1023">
        <v>0</v>
      </c>
      <c r="W1023">
        <v>0</v>
      </c>
      <c r="X1023">
        <v>0</v>
      </c>
      <c r="Y1023">
        <v>0</v>
      </c>
      <c r="Z1023">
        <v>0</v>
      </c>
      <c r="AA1023">
        <v>0</v>
      </c>
      <c r="AB1023">
        <v>0</v>
      </c>
      <c r="AC1023">
        <v>0</v>
      </c>
      <c r="AD1023">
        <v>0</v>
      </c>
      <c r="AE1023">
        <v>0</v>
      </c>
      <c r="AF1023">
        <v>0</v>
      </c>
      <c r="AG1023">
        <v>0</v>
      </c>
      <c r="AH1023">
        <v>0</v>
      </c>
      <c r="AI1023">
        <v>0</v>
      </c>
      <c r="AJ1023">
        <v>0</v>
      </c>
      <c r="AK1023">
        <v>1</v>
      </c>
      <c r="AL1023">
        <v>0</v>
      </c>
      <c r="AM1023">
        <v>0</v>
      </c>
      <c r="AN1023">
        <v>0</v>
      </c>
      <c r="AO1023">
        <v>0</v>
      </c>
      <c r="AP1023">
        <v>0</v>
      </c>
      <c r="AQ1023">
        <v>0</v>
      </c>
      <c r="AR1023">
        <v>0</v>
      </c>
      <c r="AS1023">
        <v>0</v>
      </c>
      <c r="AT1023">
        <v>0</v>
      </c>
      <c r="AU1023">
        <v>0</v>
      </c>
      <c r="AV1023">
        <v>0</v>
      </c>
      <c r="AW1023">
        <v>0</v>
      </c>
      <c r="AX1023" s="141">
        <f t="shared" si="1319"/>
        <v>1</v>
      </c>
      <c r="AY1023" s="141">
        <f t="shared" si="1320"/>
        <v>1</v>
      </c>
      <c r="AZ1023">
        <f t="shared" si="1321"/>
        <v>0</v>
      </c>
      <c r="BA1023">
        <f t="shared" si="1322"/>
        <v>0</v>
      </c>
      <c r="BB1023">
        <f t="shared" si="1323"/>
        <v>1</v>
      </c>
      <c r="BC1023">
        <f t="shared" si="1324"/>
        <v>0</v>
      </c>
      <c r="BD1023">
        <f t="shared" si="1325"/>
        <v>0</v>
      </c>
      <c r="BE1023" t="str">
        <f t="array" ref="BE1023">IF(AY1023=1,INDEX($V$7:$AL$7,MATCH(TRUE,INDEX($V1023:$AW1023&lt;&gt;0,),0)),IF(AY1023=0,INDEX($AM$7:$AW$7,MATCH(1,$AM1023:$AW1023,0)),IF(BF1023="Multiple strategies","mixed drivers",IF(BF1023="Supply chain","multiple supply","multiple silviculture"))))</f>
        <v>technologies/design switch</v>
      </c>
      <c r="BF1023" s="2" t="str" cm="1">
        <f t="array" ref="BF1023">IF(COUNTIF(AZ1023:BB1023,"&lt;&gt;0")=1,INDEX($V$4:$AW$4,MATCH(TRUE,INDEX($V1023:$AW1023&lt;&gt;0,),0)),IF(COUNTIF(AZ1023:BB1023,"&lt;&gt;0")=0,INDEX($AM$4:$AW$4,MATCH(1,$AM1023:$AW1023,0)),"Multiple strategies"))</f>
        <v>Technology</v>
      </c>
      <c r="BG1023" s="1" t="s">
        <v>229</v>
      </c>
      <c r="BH1023" t="s">
        <v>953</v>
      </c>
      <c r="BI1023" s="260" t="s">
        <v>3372</v>
      </c>
      <c r="BJ1023" t="s">
        <v>345</v>
      </c>
      <c r="BK1023">
        <v>0</v>
      </c>
      <c r="BL1023">
        <v>116.6</v>
      </c>
      <c r="BN1023">
        <f t="shared" si="1326"/>
        <v>116.6</v>
      </c>
      <c r="BO1023">
        <f t="shared" si="1327"/>
        <v>0.23795918367346941</v>
      </c>
      <c r="BP1023" t="s">
        <v>232</v>
      </c>
      <c r="BQ1023" s="260" t="s">
        <v>3378</v>
      </c>
      <c r="BR1023" t="s">
        <v>954</v>
      </c>
      <c r="BS1023">
        <v>-223.4</v>
      </c>
      <c r="BT1023" s="260">
        <v>-106.1</v>
      </c>
      <c r="BU1023" s="144">
        <f t="shared" si="1328"/>
        <v>0.4749328558639212</v>
      </c>
      <c r="BV1023">
        <f t="shared" si="1329"/>
        <v>117.30000000000001</v>
      </c>
      <c r="BX1023">
        <f t="shared" si="1330"/>
        <v>0.11730000000000002</v>
      </c>
      <c r="BY1023">
        <f t="shared" si="1316"/>
        <v>0.49294168096054891</v>
      </c>
      <c r="BZ1023">
        <v>1</v>
      </c>
      <c r="CA1023">
        <v>0</v>
      </c>
      <c r="CB1023">
        <v>0</v>
      </c>
      <c r="CC1023">
        <v>0</v>
      </c>
      <c r="CD1023">
        <v>0</v>
      </c>
      <c r="CE1023">
        <v>1</v>
      </c>
      <c r="CF1023">
        <v>0</v>
      </c>
      <c r="CG1023">
        <v>1</v>
      </c>
      <c r="CH1023">
        <v>0</v>
      </c>
      <c r="CI1023">
        <v>0</v>
      </c>
      <c r="CJ1023">
        <v>0</v>
      </c>
      <c r="CK1023">
        <v>0</v>
      </c>
      <c r="CL1023">
        <v>0</v>
      </c>
      <c r="CM1023">
        <v>0</v>
      </c>
      <c r="CN1023" t="str">
        <f t="shared" si="1331"/>
        <v>refOK</v>
      </c>
      <c r="CO1023">
        <f t="shared" si="1332"/>
        <v>0</v>
      </c>
      <c r="CP1023">
        <f t="shared" si="1333"/>
        <v>116.6</v>
      </c>
      <c r="CQ1023">
        <f t="shared" si="1334"/>
        <v>0.23795918367346941</v>
      </c>
      <c r="CR1023">
        <f t="shared" si="1335"/>
        <v>-223.4</v>
      </c>
      <c r="CS1023">
        <f t="shared" si="1336"/>
        <v>-106.1</v>
      </c>
      <c r="CT1023">
        <f t="shared" si="1337"/>
        <v>0.11730000000000002</v>
      </c>
      <c r="CU1023">
        <f t="shared" si="1338"/>
        <v>0.49294168096054891</v>
      </c>
      <c r="CV1023" s="2">
        <f t="shared" si="1339"/>
        <v>0.5250671441360788</v>
      </c>
      <c r="CW1023" s="1" t="s">
        <v>263</v>
      </c>
      <c r="CX1023" t="str">
        <f t="shared" si="1340"/>
        <v>loc</v>
      </c>
      <c r="CY1023" s="308" t="s">
        <v>3422</v>
      </c>
      <c r="DB1023">
        <v>0</v>
      </c>
      <c r="DC1023" t="str">
        <f t="shared" si="1341"/>
        <v>0</v>
      </c>
      <c r="DD1023">
        <v>0</v>
      </c>
      <c r="DE1023">
        <v>0</v>
      </c>
      <c r="DF1023">
        <v>0</v>
      </c>
      <c r="DG1023">
        <v>1</v>
      </c>
      <c r="DI1023">
        <f t="shared" si="1342"/>
        <v>1</v>
      </c>
      <c r="DJ1023" t="str">
        <f t="shared" si="1343"/>
        <v>TimberInput</v>
      </c>
      <c r="DK1023">
        <f t="shared" si="1344"/>
        <v>0</v>
      </c>
      <c r="DL1023">
        <f t="shared" si="1345"/>
        <v>0</v>
      </c>
      <c r="DM1023">
        <f t="shared" si="1346"/>
        <v>0</v>
      </c>
      <c r="DN1023" t="str">
        <f t="shared" si="1347"/>
        <v>Timber</v>
      </c>
      <c r="DO1023">
        <v>0</v>
      </c>
      <c r="DP1023">
        <v>1</v>
      </c>
      <c r="DQ1023">
        <v>0</v>
      </c>
      <c r="DR1023">
        <v>0</v>
      </c>
      <c r="DS1023">
        <v>0</v>
      </c>
      <c r="DT1023">
        <f t="shared" si="1348"/>
        <v>1</v>
      </c>
      <c r="DU1023" s="143" t="str">
        <f t="shared" si="1349"/>
        <v>external DF used</v>
      </c>
      <c r="DV1023">
        <v>0</v>
      </c>
      <c r="DW1023">
        <v>0</v>
      </c>
      <c r="DX1023">
        <v>0</v>
      </c>
      <c r="DY1023">
        <v>0</v>
      </c>
      <c r="DZ1023">
        <v>0</v>
      </c>
      <c r="EA1023" s="143">
        <v>1</v>
      </c>
      <c r="EB1023">
        <v>1</v>
      </c>
      <c r="EC1023">
        <v>1</v>
      </c>
      <c r="ED1023">
        <v>0</v>
      </c>
      <c r="EE1023">
        <v>1</v>
      </c>
      <c r="EF1023">
        <v>0</v>
      </c>
      <c r="EG1023">
        <v>0</v>
      </c>
      <c r="EH1023">
        <v>0</v>
      </c>
      <c r="EI1023" s="2">
        <v>0</v>
      </c>
      <c r="EK1023" t="str">
        <f t="shared" si="1350"/>
        <v/>
      </c>
      <c r="EL1023" t="str">
        <f t="shared" si="1351"/>
        <v/>
      </c>
      <c r="EM1023" s="2" t="str">
        <f t="shared" si="1317"/>
        <v>Technology approach</v>
      </c>
      <c r="EP1023" t="str">
        <f>IF(ISNUMBER(BU1023),IF(ABS(BU1023-[5]QC_indicators!$B$2)&gt;3*[5]QC_indicators!$C$2,"C ratio",IF(ISNUMBER(BY1023),IF(ABS(BY1023-[5]QC_indicators!$B$1)&gt;3*[5]QC_indicators!$C$1,"DF","no"))),IF(ISNUMBER(BY1023),IF(ABS(BY1023-[5]QC_indicators!$B$1)&gt;3*[5]QC_indicators!$C$1,"DF","no")))</f>
        <v>no</v>
      </c>
      <c r="ER1023" t="s">
        <v>958</v>
      </c>
      <c r="ET1023" s="264" t="s">
        <v>3272</v>
      </c>
    </row>
    <row r="1024" spans="1:150" ht="15" hidden="1" customHeight="1">
      <c r="A1024" s="1" t="s">
        <v>333</v>
      </c>
      <c r="B1024" t="s">
        <v>944</v>
      </c>
      <c r="C1024" t="s">
        <v>945</v>
      </c>
      <c r="D1024" t="s">
        <v>946</v>
      </c>
      <c r="E1024" t="s">
        <v>947</v>
      </c>
      <c r="F1024" t="s">
        <v>948</v>
      </c>
      <c r="G1024" t="s">
        <v>339</v>
      </c>
      <c r="H1024" t="s">
        <v>254</v>
      </c>
      <c r="I1024">
        <v>2021</v>
      </c>
      <c r="J1024">
        <v>0</v>
      </c>
      <c r="K1024" t="s">
        <v>949</v>
      </c>
      <c r="M1024" t="str">
        <f t="shared" si="1249"/>
        <v>Morris_2021</v>
      </c>
      <c r="N1024" t="s">
        <v>222</v>
      </c>
      <c r="O1024" t="s">
        <v>223</v>
      </c>
      <c r="Q1024" t="s">
        <v>256</v>
      </c>
      <c r="R1024" s="255" t="s">
        <v>225</v>
      </c>
      <c r="S1024" s="1" t="s">
        <v>955</v>
      </c>
      <c r="T1024" t="s">
        <v>795</v>
      </c>
      <c r="U1024" t="s">
        <v>956</v>
      </c>
      <c r="V1024">
        <v>0</v>
      </c>
      <c r="W1024">
        <v>0</v>
      </c>
      <c r="X1024">
        <v>0</v>
      </c>
      <c r="Y1024">
        <v>0</v>
      </c>
      <c r="Z1024">
        <v>0</v>
      </c>
      <c r="AA1024">
        <v>0</v>
      </c>
      <c r="AB1024">
        <v>0</v>
      </c>
      <c r="AC1024">
        <v>0</v>
      </c>
      <c r="AD1024">
        <v>0</v>
      </c>
      <c r="AE1024">
        <v>0</v>
      </c>
      <c r="AF1024">
        <v>0</v>
      </c>
      <c r="AG1024">
        <v>0</v>
      </c>
      <c r="AH1024">
        <v>0</v>
      </c>
      <c r="AI1024">
        <v>0</v>
      </c>
      <c r="AJ1024">
        <v>0</v>
      </c>
      <c r="AK1024">
        <v>1</v>
      </c>
      <c r="AL1024">
        <v>0</v>
      </c>
      <c r="AM1024">
        <v>0</v>
      </c>
      <c r="AN1024">
        <v>0</v>
      </c>
      <c r="AO1024">
        <v>0</v>
      </c>
      <c r="AP1024">
        <v>0</v>
      </c>
      <c r="AQ1024">
        <v>0</v>
      </c>
      <c r="AR1024">
        <v>0</v>
      </c>
      <c r="AS1024">
        <v>0</v>
      </c>
      <c r="AT1024">
        <v>0</v>
      </c>
      <c r="AU1024">
        <v>0</v>
      </c>
      <c r="AV1024">
        <v>0</v>
      </c>
      <c r="AW1024">
        <v>0</v>
      </c>
      <c r="AX1024" s="141">
        <f t="shared" si="1319"/>
        <v>1</v>
      </c>
      <c r="AY1024" s="141">
        <f t="shared" si="1320"/>
        <v>1</v>
      </c>
      <c r="AZ1024">
        <f t="shared" si="1321"/>
        <v>0</v>
      </c>
      <c r="BA1024">
        <f t="shared" si="1322"/>
        <v>0</v>
      </c>
      <c r="BB1024">
        <f t="shared" si="1323"/>
        <v>1</v>
      </c>
      <c r="BC1024">
        <f t="shared" si="1324"/>
        <v>0</v>
      </c>
      <c r="BD1024">
        <f t="shared" si="1325"/>
        <v>0</v>
      </c>
      <c r="BE1024" t="str">
        <f t="array" ref="BE1024">IF(AY1024=1,INDEX($V$7:$AL$7,MATCH(TRUE,INDEX($V1024:$AW1024&lt;&gt;0,),0)),IF(AY1024=0,INDEX($AM$7:$AW$7,MATCH(1,$AM1024:$AW1024,0)),IF(BF1024="Multiple strategies","mixed drivers",IF(BF1024="Supply chain","multiple supply","multiple silviculture"))))</f>
        <v>technologies/design switch</v>
      </c>
      <c r="BF1024" s="2" t="str" cm="1">
        <f t="array" ref="BF1024">IF(COUNTIF(AZ1024:BB1024,"&lt;&gt;0")=1,INDEX($V$4:$AW$4,MATCH(TRUE,INDEX($V1024:$AW1024&lt;&gt;0,),0)),IF(COUNTIF(AZ1024:BB1024,"&lt;&gt;0")=0,INDEX($AM$4:$AW$4,MATCH(1,$AM1024:$AW1024,0)),"Multiple strategies"))</f>
        <v>Technology</v>
      </c>
      <c r="BG1024" s="1" t="s">
        <v>229</v>
      </c>
      <c r="BH1024" t="s">
        <v>953</v>
      </c>
      <c r="BI1024" s="260" t="s">
        <v>3372</v>
      </c>
      <c r="BJ1024" t="s">
        <v>345</v>
      </c>
      <c r="BK1024">
        <v>0</v>
      </c>
      <c r="BL1024">
        <v>116.6</v>
      </c>
      <c r="BN1024">
        <f t="shared" si="1326"/>
        <v>116.6</v>
      </c>
      <c r="BO1024">
        <f t="shared" si="1327"/>
        <v>0.23795918367346941</v>
      </c>
      <c r="BP1024" t="s">
        <v>232</v>
      </c>
      <c r="BQ1024" s="260" t="s">
        <v>3379</v>
      </c>
      <c r="BR1024" t="s">
        <v>954</v>
      </c>
      <c r="BS1024">
        <v>-223.9</v>
      </c>
      <c r="BT1024">
        <v>-71.3</v>
      </c>
      <c r="BU1024" s="144">
        <f t="shared" si="1328"/>
        <v>0.31844573470299237</v>
      </c>
      <c r="BV1024">
        <f t="shared" si="1329"/>
        <v>152.60000000000002</v>
      </c>
      <c r="BX1024">
        <f t="shared" si="1330"/>
        <v>0.15260000000000001</v>
      </c>
      <c r="BY1024">
        <f t="shared" si="1316"/>
        <v>0.64128644939965695</v>
      </c>
      <c r="BZ1024">
        <v>1</v>
      </c>
      <c r="CA1024">
        <v>0</v>
      </c>
      <c r="CB1024">
        <v>0</v>
      </c>
      <c r="CC1024">
        <v>0</v>
      </c>
      <c r="CD1024">
        <v>0</v>
      </c>
      <c r="CE1024">
        <v>1</v>
      </c>
      <c r="CF1024">
        <v>0</v>
      </c>
      <c r="CG1024">
        <v>1</v>
      </c>
      <c r="CH1024">
        <v>0</v>
      </c>
      <c r="CI1024">
        <v>0</v>
      </c>
      <c r="CJ1024">
        <v>0</v>
      </c>
      <c r="CK1024">
        <v>0</v>
      </c>
      <c r="CL1024">
        <v>0</v>
      </c>
      <c r="CM1024">
        <v>0</v>
      </c>
      <c r="CN1024" t="str">
        <f t="shared" si="1331"/>
        <v>refOK</v>
      </c>
      <c r="CO1024">
        <f t="shared" si="1332"/>
        <v>0</v>
      </c>
      <c r="CP1024">
        <f t="shared" si="1333"/>
        <v>116.6</v>
      </c>
      <c r="CQ1024">
        <f t="shared" si="1334"/>
        <v>0.23795918367346941</v>
      </c>
      <c r="CR1024">
        <f t="shared" si="1335"/>
        <v>-223.9</v>
      </c>
      <c r="CS1024">
        <f t="shared" si="1336"/>
        <v>-71.3</v>
      </c>
      <c r="CT1024">
        <f t="shared" si="1337"/>
        <v>0.15260000000000001</v>
      </c>
      <c r="CU1024">
        <f t="shared" si="1338"/>
        <v>0.64128644939965695</v>
      </c>
      <c r="CV1024" s="2">
        <f t="shared" si="1339"/>
        <v>0.68155426529700769</v>
      </c>
      <c r="CW1024" s="1" t="s">
        <v>263</v>
      </c>
      <c r="CX1024" t="str">
        <f t="shared" si="1340"/>
        <v>loc</v>
      </c>
      <c r="CY1024" s="308" t="s">
        <v>3422</v>
      </c>
      <c r="DB1024">
        <v>0</v>
      </c>
      <c r="DC1024" t="str">
        <f t="shared" si="1341"/>
        <v>0</v>
      </c>
      <c r="DD1024">
        <v>0</v>
      </c>
      <c r="DE1024">
        <v>0</v>
      </c>
      <c r="DF1024">
        <v>0</v>
      </c>
      <c r="DG1024">
        <v>1</v>
      </c>
      <c r="DI1024">
        <f t="shared" si="1342"/>
        <v>1</v>
      </c>
      <c r="DJ1024" t="str">
        <f t="shared" si="1343"/>
        <v>TimberInput</v>
      </c>
      <c r="DK1024">
        <f t="shared" si="1344"/>
        <v>0</v>
      </c>
      <c r="DL1024">
        <f t="shared" si="1345"/>
        <v>0</v>
      </c>
      <c r="DM1024">
        <f t="shared" si="1346"/>
        <v>0</v>
      </c>
      <c r="DN1024" t="str">
        <f t="shared" si="1347"/>
        <v>Timber</v>
      </c>
      <c r="DO1024">
        <v>0</v>
      </c>
      <c r="DP1024">
        <v>0</v>
      </c>
      <c r="DQ1024">
        <v>0</v>
      </c>
      <c r="DR1024">
        <v>0</v>
      </c>
      <c r="DS1024">
        <v>0</v>
      </c>
      <c r="DT1024">
        <f t="shared" si="1348"/>
        <v>0</v>
      </c>
      <c r="DU1024" s="143" t="str">
        <f t="shared" si="1349"/>
        <v>explicit C balance</v>
      </c>
      <c r="DV1024">
        <v>0</v>
      </c>
      <c r="DW1024">
        <v>0</v>
      </c>
      <c r="DX1024">
        <v>0</v>
      </c>
      <c r="DY1024">
        <v>1</v>
      </c>
      <c r="DZ1024">
        <v>0</v>
      </c>
      <c r="EA1024" s="143">
        <v>1</v>
      </c>
      <c r="EB1024">
        <v>1</v>
      </c>
      <c r="EC1024">
        <v>1</v>
      </c>
      <c r="ED1024">
        <v>0</v>
      </c>
      <c r="EE1024">
        <v>1</v>
      </c>
      <c r="EF1024">
        <v>0</v>
      </c>
      <c r="EG1024">
        <v>0</v>
      </c>
      <c r="EH1024">
        <v>0</v>
      </c>
      <c r="EI1024" s="2">
        <v>0</v>
      </c>
      <c r="EK1024" t="str">
        <f t="shared" si="1350"/>
        <v/>
      </c>
      <c r="EL1024" t="str">
        <f t="shared" si="1351"/>
        <v/>
      </c>
      <c r="EM1024" s="2" t="str">
        <f t="shared" si="1317"/>
        <v>Technology approach</v>
      </c>
      <c r="EP1024" t="str">
        <f>IF(ISNUMBER(BU1024),IF(ABS(BU1024-[5]QC_indicators!$B$2)&gt;3*[5]QC_indicators!$C$2,"C ratio",IF(ISNUMBER(BY1024),IF(ABS(BY1024-[5]QC_indicators!$B$1)&gt;3*[5]QC_indicators!$C$1,"DF","no"))),IF(ISNUMBER(BY1024),IF(ABS(BY1024-[5]QC_indicators!$B$1)&gt;3*[5]QC_indicators!$C$1,"DF","no")))</f>
        <v>no</v>
      </c>
      <c r="ER1024" t="s">
        <v>958</v>
      </c>
      <c r="ET1024" s="264" t="s">
        <v>3272</v>
      </c>
    </row>
    <row r="1025" spans="1:151" ht="15" hidden="1" customHeight="1">
      <c r="A1025" s="1" t="s">
        <v>333</v>
      </c>
      <c r="B1025" t="s">
        <v>944</v>
      </c>
      <c r="C1025" t="s">
        <v>945</v>
      </c>
      <c r="D1025" t="s">
        <v>946</v>
      </c>
      <c r="E1025" t="s">
        <v>947</v>
      </c>
      <c r="F1025" t="s">
        <v>948</v>
      </c>
      <c r="G1025" t="s">
        <v>339</v>
      </c>
      <c r="H1025" t="s">
        <v>254</v>
      </c>
      <c r="I1025">
        <v>2021</v>
      </c>
      <c r="J1025">
        <v>0</v>
      </c>
      <c r="K1025" t="s">
        <v>949</v>
      </c>
      <c r="M1025" t="str">
        <f t="shared" ref="M1025:M1088" si="1352">LEFT($D1025,FIND(",",$D1025)-1)&amp;"_"&amp;I1025&amp;L1025</f>
        <v>Morris_2021</v>
      </c>
      <c r="N1025" t="s">
        <v>222</v>
      </c>
      <c r="O1025" t="s">
        <v>223</v>
      </c>
      <c r="Q1025" t="s">
        <v>256</v>
      </c>
      <c r="R1025" s="255" t="s">
        <v>225</v>
      </c>
      <c r="S1025" s="1" t="s">
        <v>955</v>
      </c>
      <c r="T1025" t="s">
        <v>795</v>
      </c>
      <c r="U1025" t="s">
        <v>956</v>
      </c>
      <c r="V1025">
        <v>0</v>
      </c>
      <c r="W1025">
        <v>0</v>
      </c>
      <c r="X1025">
        <v>0</v>
      </c>
      <c r="Y1025">
        <v>0</v>
      </c>
      <c r="Z1025">
        <v>0</v>
      </c>
      <c r="AA1025">
        <v>0</v>
      </c>
      <c r="AB1025">
        <v>0</v>
      </c>
      <c r="AC1025">
        <v>0</v>
      </c>
      <c r="AD1025">
        <v>0</v>
      </c>
      <c r="AE1025">
        <v>0</v>
      </c>
      <c r="AF1025">
        <v>0</v>
      </c>
      <c r="AG1025">
        <v>0</v>
      </c>
      <c r="AH1025">
        <v>0</v>
      </c>
      <c r="AI1025">
        <v>0</v>
      </c>
      <c r="AJ1025">
        <v>0</v>
      </c>
      <c r="AK1025">
        <v>1</v>
      </c>
      <c r="AL1025">
        <v>0</v>
      </c>
      <c r="AM1025">
        <v>0</v>
      </c>
      <c r="AN1025">
        <v>0</v>
      </c>
      <c r="AO1025">
        <v>0</v>
      </c>
      <c r="AP1025">
        <v>0</v>
      </c>
      <c r="AQ1025">
        <v>0</v>
      </c>
      <c r="AR1025">
        <v>0</v>
      </c>
      <c r="AS1025">
        <v>0</v>
      </c>
      <c r="AT1025">
        <v>0</v>
      </c>
      <c r="AU1025">
        <v>0</v>
      </c>
      <c r="AV1025">
        <v>0</v>
      </c>
      <c r="AW1025">
        <v>0</v>
      </c>
      <c r="AX1025" s="141">
        <f t="shared" si="1319"/>
        <v>1</v>
      </c>
      <c r="AY1025" s="141">
        <f t="shared" si="1320"/>
        <v>1</v>
      </c>
      <c r="AZ1025">
        <f t="shared" si="1321"/>
        <v>0</v>
      </c>
      <c r="BA1025">
        <f t="shared" si="1322"/>
        <v>0</v>
      </c>
      <c r="BB1025">
        <f t="shared" si="1323"/>
        <v>1</v>
      </c>
      <c r="BC1025">
        <f t="shared" si="1324"/>
        <v>0</v>
      </c>
      <c r="BD1025">
        <f t="shared" si="1325"/>
        <v>0</v>
      </c>
      <c r="BE1025" t="str">
        <f t="array" ref="BE1025">IF(AY1025=1,INDEX($V$7:$AL$7,MATCH(TRUE,INDEX($V1025:$AW1025&lt;&gt;0,),0)),IF(AY1025=0,INDEX($AM$7:$AW$7,MATCH(1,$AM1025:$AW1025,0)),IF(BF1025="Multiple strategies","mixed drivers",IF(BF1025="Supply chain","multiple supply","multiple silviculture"))))</f>
        <v>technologies/design switch</v>
      </c>
      <c r="BF1025" s="2" t="str" cm="1">
        <f t="array" ref="BF1025">IF(COUNTIF(AZ1025:BB1025,"&lt;&gt;0")=1,INDEX($V$4:$AW$4,MATCH(TRUE,INDEX($V1025:$AW1025&lt;&gt;0,),0)),IF(COUNTIF(AZ1025:BB1025,"&lt;&gt;0")=0,INDEX($AM$4:$AW$4,MATCH(1,$AM1025:$AW1025,0)),"Multiple strategies"))</f>
        <v>Technology</v>
      </c>
      <c r="BG1025" s="1" t="s">
        <v>229</v>
      </c>
      <c r="BH1025" t="s">
        <v>953</v>
      </c>
      <c r="BI1025" s="260" t="s">
        <v>3372</v>
      </c>
      <c r="BJ1025" t="s">
        <v>345</v>
      </c>
      <c r="BK1025">
        <v>0</v>
      </c>
      <c r="BL1025">
        <v>116.6</v>
      </c>
      <c r="BN1025">
        <f t="shared" si="1326"/>
        <v>116.6</v>
      </c>
      <c r="BO1025">
        <f t="shared" si="1327"/>
        <v>0.23795918367346941</v>
      </c>
      <c r="BP1025" t="s">
        <v>232</v>
      </c>
      <c r="BQ1025" s="260" t="s">
        <v>3379</v>
      </c>
      <c r="BR1025" t="s">
        <v>954</v>
      </c>
      <c r="BS1025">
        <v>-141.19999999999999</v>
      </c>
      <c r="BT1025">
        <v>13.8</v>
      </c>
      <c r="BU1025" s="144">
        <f t="shared" si="1328"/>
        <v>-9.7733711048158659E-2</v>
      </c>
      <c r="BV1025">
        <f t="shared" si="1329"/>
        <v>155</v>
      </c>
      <c r="BX1025">
        <f t="shared" si="1330"/>
        <v>0.155</v>
      </c>
      <c r="BY1025">
        <f t="shared" si="1316"/>
        <v>0.6513722126929673</v>
      </c>
      <c r="BZ1025">
        <v>1</v>
      </c>
      <c r="CA1025">
        <v>0</v>
      </c>
      <c r="CB1025">
        <v>0</v>
      </c>
      <c r="CC1025">
        <v>0</v>
      </c>
      <c r="CD1025">
        <v>0</v>
      </c>
      <c r="CE1025">
        <v>1</v>
      </c>
      <c r="CF1025">
        <v>0</v>
      </c>
      <c r="CG1025">
        <v>1</v>
      </c>
      <c r="CH1025">
        <v>0</v>
      </c>
      <c r="CI1025">
        <v>0</v>
      </c>
      <c r="CJ1025">
        <v>0</v>
      </c>
      <c r="CK1025">
        <v>0</v>
      </c>
      <c r="CL1025">
        <v>0</v>
      </c>
      <c r="CM1025">
        <v>0</v>
      </c>
      <c r="CN1025" t="str">
        <f t="shared" si="1331"/>
        <v>refOK</v>
      </c>
      <c r="CO1025">
        <f t="shared" si="1332"/>
        <v>0</v>
      </c>
      <c r="CP1025">
        <f t="shared" si="1333"/>
        <v>116.6</v>
      </c>
      <c r="CQ1025">
        <f t="shared" si="1334"/>
        <v>0.23795918367346941</v>
      </c>
      <c r="CR1025">
        <f t="shared" si="1335"/>
        <v>-141.19999999999999</v>
      </c>
      <c r="CS1025">
        <f t="shared" si="1336"/>
        <v>13.8</v>
      </c>
      <c r="CT1025">
        <f t="shared" si="1337"/>
        <v>0.155</v>
      </c>
      <c r="CU1025">
        <f t="shared" si="1338"/>
        <v>0.6513722126929673</v>
      </c>
      <c r="CV1025" s="2">
        <f t="shared" si="1339"/>
        <v>1.0977337110481586</v>
      </c>
      <c r="CW1025" s="1" t="s">
        <v>263</v>
      </c>
      <c r="CX1025" t="str">
        <f t="shared" si="1340"/>
        <v>loc</v>
      </c>
      <c r="CY1025" s="308" t="s">
        <v>3422</v>
      </c>
      <c r="DB1025">
        <v>0</v>
      </c>
      <c r="DC1025" t="str">
        <f t="shared" si="1341"/>
        <v>0</v>
      </c>
      <c r="DD1025">
        <v>0</v>
      </c>
      <c r="DE1025">
        <v>0</v>
      </c>
      <c r="DF1025">
        <v>0</v>
      </c>
      <c r="DG1025">
        <v>1</v>
      </c>
      <c r="DI1025">
        <f t="shared" si="1342"/>
        <v>1</v>
      </c>
      <c r="DJ1025" t="str">
        <f t="shared" si="1343"/>
        <v>TimberInput</v>
      </c>
      <c r="DK1025">
        <f t="shared" si="1344"/>
        <v>0</v>
      </c>
      <c r="DL1025">
        <f t="shared" si="1345"/>
        <v>0</v>
      </c>
      <c r="DM1025">
        <f t="shared" si="1346"/>
        <v>0</v>
      </c>
      <c r="DN1025" t="str">
        <f t="shared" si="1347"/>
        <v>Timber</v>
      </c>
      <c r="DO1025">
        <v>0</v>
      </c>
      <c r="DP1025">
        <v>1</v>
      </c>
      <c r="DQ1025">
        <v>0</v>
      </c>
      <c r="DR1025">
        <v>0</v>
      </c>
      <c r="DS1025">
        <v>0</v>
      </c>
      <c r="DT1025">
        <f t="shared" si="1348"/>
        <v>1</v>
      </c>
      <c r="DU1025" s="143" t="str">
        <f t="shared" si="1349"/>
        <v>external DF used</v>
      </c>
      <c r="DV1025">
        <v>0</v>
      </c>
      <c r="DW1025">
        <v>0</v>
      </c>
      <c r="DX1025">
        <v>0</v>
      </c>
      <c r="DY1025">
        <v>1</v>
      </c>
      <c r="DZ1025">
        <v>0</v>
      </c>
      <c r="EA1025" s="143">
        <v>1</v>
      </c>
      <c r="EB1025">
        <v>1</v>
      </c>
      <c r="EC1025">
        <v>1</v>
      </c>
      <c r="ED1025">
        <v>0</v>
      </c>
      <c r="EE1025">
        <v>1</v>
      </c>
      <c r="EF1025">
        <v>0</v>
      </c>
      <c r="EG1025">
        <v>0</v>
      </c>
      <c r="EH1025">
        <v>0</v>
      </c>
      <c r="EI1025" s="2">
        <v>0</v>
      </c>
      <c r="EK1025" t="str">
        <f t="shared" si="1350"/>
        <v/>
      </c>
      <c r="EL1025" t="str">
        <f t="shared" si="1351"/>
        <v/>
      </c>
      <c r="EM1025" s="2" t="str">
        <f t="shared" si="1317"/>
        <v>Technology approach</v>
      </c>
      <c r="EP1025" t="str">
        <f>IF(ISNUMBER(BU1025),IF(ABS(BU1025-[5]QC_indicators!$B$2)&gt;3*[5]QC_indicators!$C$2,"C ratio",IF(ISNUMBER(BY1025),IF(ABS(BY1025-[5]QC_indicators!$B$1)&gt;3*[5]QC_indicators!$C$1,"DF","no"))),IF(ISNUMBER(BY1025),IF(ABS(BY1025-[5]QC_indicators!$B$1)&gt;3*[5]QC_indicators!$C$1,"DF","no")))</f>
        <v>no</v>
      </c>
      <c r="ER1025" s="149" t="s">
        <v>349</v>
      </c>
      <c r="ET1025" s="264" t="s">
        <v>3272</v>
      </c>
    </row>
    <row r="1026" spans="1:151" ht="15" hidden="1" customHeight="1">
      <c r="A1026" s="1" t="s">
        <v>333</v>
      </c>
      <c r="B1026" t="s">
        <v>944</v>
      </c>
      <c r="C1026" t="s">
        <v>945</v>
      </c>
      <c r="D1026" t="s">
        <v>946</v>
      </c>
      <c r="E1026" t="s">
        <v>947</v>
      </c>
      <c r="F1026" t="s">
        <v>948</v>
      </c>
      <c r="G1026" t="s">
        <v>339</v>
      </c>
      <c r="H1026" t="s">
        <v>254</v>
      </c>
      <c r="I1026">
        <v>2021</v>
      </c>
      <c r="J1026">
        <v>0</v>
      </c>
      <c r="K1026" t="s">
        <v>949</v>
      </c>
      <c r="M1026" t="str">
        <f t="shared" si="1352"/>
        <v>Morris_2021</v>
      </c>
      <c r="N1026" t="s">
        <v>222</v>
      </c>
      <c r="O1026" t="s">
        <v>223</v>
      </c>
      <c r="Q1026" t="s">
        <v>256</v>
      </c>
      <c r="R1026" s="255" t="s">
        <v>225</v>
      </c>
      <c r="S1026" s="1" t="s">
        <v>955</v>
      </c>
      <c r="T1026" t="s">
        <v>795</v>
      </c>
      <c r="U1026" t="s">
        <v>956</v>
      </c>
      <c r="V1026">
        <v>0</v>
      </c>
      <c r="W1026">
        <v>0</v>
      </c>
      <c r="X1026">
        <v>0</v>
      </c>
      <c r="Y1026">
        <v>0</v>
      </c>
      <c r="Z1026">
        <v>0</v>
      </c>
      <c r="AA1026">
        <v>0</v>
      </c>
      <c r="AB1026">
        <v>0</v>
      </c>
      <c r="AC1026">
        <v>0</v>
      </c>
      <c r="AD1026">
        <v>0</v>
      </c>
      <c r="AE1026">
        <v>0</v>
      </c>
      <c r="AF1026">
        <v>0</v>
      </c>
      <c r="AG1026">
        <v>0</v>
      </c>
      <c r="AH1026">
        <v>0</v>
      </c>
      <c r="AI1026">
        <v>0</v>
      </c>
      <c r="AJ1026">
        <v>0</v>
      </c>
      <c r="AK1026">
        <v>1</v>
      </c>
      <c r="AL1026">
        <v>0</v>
      </c>
      <c r="AM1026">
        <v>0</v>
      </c>
      <c r="AN1026">
        <v>0</v>
      </c>
      <c r="AO1026">
        <v>0</v>
      </c>
      <c r="AP1026">
        <v>0</v>
      </c>
      <c r="AQ1026">
        <v>0</v>
      </c>
      <c r="AR1026">
        <v>0</v>
      </c>
      <c r="AS1026">
        <v>0</v>
      </c>
      <c r="AT1026">
        <v>0</v>
      </c>
      <c r="AU1026">
        <v>0</v>
      </c>
      <c r="AV1026">
        <v>0</v>
      </c>
      <c r="AW1026">
        <v>0</v>
      </c>
      <c r="AX1026" s="141">
        <f t="shared" si="1319"/>
        <v>1</v>
      </c>
      <c r="AY1026" s="141">
        <f t="shared" si="1320"/>
        <v>1</v>
      </c>
      <c r="AZ1026">
        <f t="shared" si="1321"/>
        <v>0</v>
      </c>
      <c r="BA1026">
        <f t="shared" si="1322"/>
        <v>0</v>
      </c>
      <c r="BB1026">
        <f t="shared" si="1323"/>
        <v>1</v>
      </c>
      <c r="BC1026">
        <f t="shared" si="1324"/>
        <v>0</v>
      </c>
      <c r="BD1026">
        <f t="shared" si="1325"/>
        <v>0</v>
      </c>
      <c r="BE1026" t="str">
        <f t="array" ref="BE1026">IF(AY1026=1,INDEX($V$7:$AL$7,MATCH(TRUE,INDEX($V1026:$AW1026&lt;&gt;0,),0)),IF(AY1026=0,INDEX($AM$7:$AW$7,MATCH(1,$AM1026:$AW1026,0)),IF(BF1026="Multiple strategies","mixed drivers",IF(BF1026="Supply chain","multiple supply","multiple silviculture"))))</f>
        <v>technologies/design switch</v>
      </c>
      <c r="BF1026" s="2" t="str" cm="1">
        <f t="array" ref="BF1026">IF(COUNTIF(AZ1026:BB1026,"&lt;&gt;0")=1,INDEX($V$4:$AW$4,MATCH(TRUE,INDEX($V1026:$AW1026&lt;&gt;0,),0)),IF(COUNTIF(AZ1026:BB1026,"&lt;&gt;0")=0,INDEX($AM$4:$AW$4,MATCH(1,$AM1026:$AW1026,0)),"Multiple strategies"))</f>
        <v>Technology</v>
      </c>
      <c r="BG1026" s="1" t="s">
        <v>229</v>
      </c>
      <c r="BH1026" t="s">
        <v>953</v>
      </c>
      <c r="BI1026" s="260" t="s">
        <v>3372</v>
      </c>
      <c r="BJ1026" t="s">
        <v>345</v>
      </c>
      <c r="BK1026">
        <v>0</v>
      </c>
      <c r="BL1026">
        <v>116.6</v>
      </c>
      <c r="BN1026">
        <f t="shared" si="1326"/>
        <v>116.6</v>
      </c>
      <c r="BO1026">
        <f t="shared" si="1327"/>
        <v>0.23795918367346941</v>
      </c>
      <c r="BP1026" t="s">
        <v>232</v>
      </c>
      <c r="BQ1026" s="260" t="s">
        <v>3378</v>
      </c>
      <c r="BR1026" t="s">
        <v>954</v>
      </c>
      <c r="BS1026">
        <v>-223.4</v>
      </c>
      <c r="BT1026">
        <v>-67.400000000000006</v>
      </c>
      <c r="BU1026" s="144">
        <f t="shared" si="1328"/>
        <v>0.30170098478066248</v>
      </c>
      <c r="BV1026">
        <f t="shared" si="1329"/>
        <v>156</v>
      </c>
      <c r="BX1026">
        <f t="shared" si="1330"/>
        <v>0.156</v>
      </c>
      <c r="BY1026">
        <f t="shared" si="1316"/>
        <v>0.65557461406518003</v>
      </c>
      <c r="BZ1026">
        <v>1</v>
      </c>
      <c r="CA1026">
        <v>0</v>
      </c>
      <c r="CB1026">
        <v>0</v>
      </c>
      <c r="CC1026">
        <v>0</v>
      </c>
      <c r="CD1026">
        <v>0</v>
      </c>
      <c r="CE1026">
        <v>1</v>
      </c>
      <c r="CF1026">
        <v>0</v>
      </c>
      <c r="CG1026">
        <v>1</v>
      </c>
      <c r="CH1026">
        <v>0</v>
      </c>
      <c r="CI1026">
        <v>0</v>
      </c>
      <c r="CJ1026">
        <v>0</v>
      </c>
      <c r="CK1026">
        <v>0</v>
      </c>
      <c r="CL1026">
        <v>0</v>
      </c>
      <c r="CM1026">
        <v>0</v>
      </c>
      <c r="CN1026" t="str">
        <f t="shared" si="1331"/>
        <v>refOK</v>
      </c>
      <c r="CO1026">
        <f t="shared" si="1332"/>
        <v>0</v>
      </c>
      <c r="CP1026">
        <f t="shared" si="1333"/>
        <v>116.6</v>
      </c>
      <c r="CQ1026">
        <f t="shared" si="1334"/>
        <v>0.23795918367346941</v>
      </c>
      <c r="CR1026">
        <f t="shared" si="1335"/>
        <v>-223.4</v>
      </c>
      <c r="CS1026">
        <f t="shared" si="1336"/>
        <v>-67.400000000000006</v>
      </c>
      <c r="CT1026">
        <f t="shared" si="1337"/>
        <v>0.156</v>
      </c>
      <c r="CU1026">
        <f t="shared" si="1338"/>
        <v>0.65557461406518003</v>
      </c>
      <c r="CV1026" s="2">
        <f t="shared" si="1339"/>
        <v>0.69829901521933746</v>
      </c>
      <c r="CW1026" s="1" t="s">
        <v>263</v>
      </c>
      <c r="CX1026" t="str">
        <f t="shared" si="1340"/>
        <v>loc</v>
      </c>
      <c r="CY1026" s="308" t="s">
        <v>3422</v>
      </c>
      <c r="DB1026">
        <v>0</v>
      </c>
      <c r="DC1026" t="str">
        <f t="shared" si="1341"/>
        <v>0</v>
      </c>
      <c r="DD1026">
        <v>0</v>
      </c>
      <c r="DE1026">
        <v>0</v>
      </c>
      <c r="DF1026">
        <v>0</v>
      </c>
      <c r="DG1026">
        <v>1</v>
      </c>
      <c r="DI1026">
        <f t="shared" si="1342"/>
        <v>1</v>
      </c>
      <c r="DJ1026" t="str">
        <f t="shared" si="1343"/>
        <v>TimberInput</v>
      </c>
      <c r="DK1026">
        <f t="shared" si="1344"/>
        <v>0</v>
      </c>
      <c r="DL1026">
        <f t="shared" si="1345"/>
        <v>0</v>
      </c>
      <c r="DM1026">
        <f t="shared" si="1346"/>
        <v>0</v>
      </c>
      <c r="DN1026" t="str">
        <f t="shared" si="1347"/>
        <v>Timber</v>
      </c>
      <c r="DO1026">
        <v>0</v>
      </c>
      <c r="DP1026">
        <v>1</v>
      </c>
      <c r="DQ1026">
        <v>0</v>
      </c>
      <c r="DR1026">
        <v>0</v>
      </c>
      <c r="DS1026">
        <v>0</v>
      </c>
      <c r="DT1026">
        <f t="shared" si="1348"/>
        <v>1</v>
      </c>
      <c r="DU1026" s="143" t="str">
        <f t="shared" si="1349"/>
        <v>external DF used</v>
      </c>
      <c r="DV1026">
        <v>0</v>
      </c>
      <c r="DW1026">
        <v>0</v>
      </c>
      <c r="DX1026">
        <v>0</v>
      </c>
      <c r="DY1026">
        <v>0</v>
      </c>
      <c r="DZ1026">
        <v>0</v>
      </c>
      <c r="EA1026" s="143">
        <v>1</v>
      </c>
      <c r="EB1026">
        <v>1</v>
      </c>
      <c r="EC1026">
        <v>1</v>
      </c>
      <c r="ED1026">
        <v>0</v>
      </c>
      <c r="EE1026">
        <v>1</v>
      </c>
      <c r="EF1026">
        <v>0</v>
      </c>
      <c r="EG1026">
        <v>0</v>
      </c>
      <c r="EH1026">
        <v>0</v>
      </c>
      <c r="EI1026" s="2">
        <v>0</v>
      </c>
      <c r="EK1026" t="str">
        <f t="shared" si="1350"/>
        <v/>
      </c>
      <c r="EL1026" t="str">
        <f t="shared" si="1351"/>
        <v/>
      </c>
      <c r="EM1026" s="2" t="str">
        <f t="shared" si="1317"/>
        <v>Technology approach</v>
      </c>
      <c r="EP1026" t="str">
        <f>IF(ISNUMBER(BU1026),IF(ABS(BU1026-[5]QC_indicators!$B$2)&gt;3*[5]QC_indicators!$C$2,"C ratio",IF(ISNUMBER(BY1026),IF(ABS(BY1026-[5]QC_indicators!$B$1)&gt;3*[5]QC_indicators!$C$1,"DF","no"))),IF(ISNUMBER(BY1026),IF(ABS(BY1026-[5]QC_indicators!$B$1)&gt;3*[5]QC_indicators!$C$1,"DF","no")))</f>
        <v>no</v>
      </c>
      <c r="ER1026" t="s">
        <v>958</v>
      </c>
      <c r="ET1026" s="264" t="s">
        <v>3272</v>
      </c>
    </row>
    <row r="1027" spans="1:151" ht="15" hidden="1" customHeight="1">
      <c r="A1027" s="1" t="s">
        <v>333</v>
      </c>
      <c r="B1027" t="s">
        <v>944</v>
      </c>
      <c r="C1027" t="s">
        <v>945</v>
      </c>
      <c r="D1027" t="s">
        <v>946</v>
      </c>
      <c r="E1027" t="s">
        <v>947</v>
      </c>
      <c r="F1027" t="s">
        <v>948</v>
      </c>
      <c r="G1027" t="s">
        <v>339</v>
      </c>
      <c r="H1027" t="s">
        <v>254</v>
      </c>
      <c r="I1027">
        <v>2021</v>
      </c>
      <c r="J1027">
        <v>0</v>
      </c>
      <c r="K1027" t="s">
        <v>949</v>
      </c>
      <c r="M1027" t="str">
        <f t="shared" si="1352"/>
        <v>Morris_2021</v>
      </c>
      <c r="N1027" t="s">
        <v>222</v>
      </c>
      <c r="O1027" t="s">
        <v>223</v>
      </c>
      <c r="Q1027" t="s">
        <v>256</v>
      </c>
      <c r="R1027" s="255" t="s">
        <v>225</v>
      </c>
      <c r="S1027" s="1" t="s">
        <v>950</v>
      </c>
      <c r="T1027" t="s">
        <v>951</v>
      </c>
      <c r="U1027" s="143" t="s">
        <v>952</v>
      </c>
      <c r="V1027">
        <v>0</v>
      </c>
      <c r="W1027">
        <v>0</v>
      </c>
      <c r="X1027">
        <v>0</v>
      </c>
      <c r="Y1027">
        <v>0</v>
      </c>
      <c r="Z1027">
        <v>0</v>
      </c>
      <c r="AA1027">
        <v>0</v>
      </c>
      <c r="AB1027">
        <v>0</v>
      </c>
      <c r="AC1027">
        <v>0</v>
      </c>
      <c r="AD1027">
        <v>0</v>
      </c>
      <c r="AE1027">
        <v>0</v>
      </c>
      <c r="AF1027">
        <v>0</v>
      </c>
      <c r="AG1027">
        <v>0</v>
      </c>
      <c r="AH1027">
        <v>1</v>
      </c>
      <c r="AI1027">
        <v>0</v>
      </c>
      <c r="AJ1027">
        <v>0</v>
      </c>
      <c r="AK1027">
        <v>0</v>
      </c>
      <c r="AL1027">
        <v>0</v>
      </c>
      <c r="AM1027">
        <v>0</v>
      </c>
      <c r="AN1027">
        <v>0</v>
      </c>
      <c r="AO1027">
        <v>0</v>
      </c>
      <c r="AP1027">
        <v>0</v>
      </c>
      <c r="AQ1027">
        <v>0</v>
      </c>
      <c r="AR1027">
        <v>0</v>
      </c>
      <c r="AS1027">
        <v>0</v>
      </c>
      <c r="AT1027">
        <v>0</v>
      </c>
      <c r="AU1027">
        <v>0</v>
      </c>
      <c r="AV1027">
        <v>0</v>
      </c>
      <c r="AW1027">
        <v>0</v>
      </c>
      <c r="AX1027" s="141">
        <f t="shared" si="1319"/>
        <v>1</v>
      </c>
      <c r="AY1027" s="141">
        <f t="shared" si="1320"/>
        <v>1</v>
      </c>
      <c r="AZ1027">
        <f t="shared" si="1321"/>
        <v>0</v>
      </c>
      <c r="BA1027">
        <f t="shared" si="1322"/>
        <v>1</v>
      </c>
      <c r="BB1027">
        <f t="shared" si="1323"/>
        <v>0</v>
      </c>
      <c r="BC1027">
        <f t="shared" si="1324"/>
        <v>0</v>
      </c>
      <c r="BD1027">
        <f t="shared" si="1325"/>
        <v>0</v>
      </c>
      <c r="BE1027" t="str">
        <f t="array" ref="BE1027">IF(AY1027=1,INDEX($V$7:$AL$7,MATCH(TRUE,INDEX($V1027:$AW1027&lt;&gt;0,),0)),IF(AY1027=0,INDEX($AM$7:$AW$7,MATCH(1,$AM1027:$AW1027,0)),IF(BF1027="Multiple strategies","mixed drivers",IF(BF1027="Supply chain","multiple supply","multiple silviculture"))))</f>
        <v xml:space="preserve">end of life disposal </v>
      </c>
      <c r="BF1027" s="2" t="str" cm="1">
        <f t="array" ref="BF1027">IF(COUNTIF(AZ1027:BB1027,"&lt;&gt;0")=1,INDEX($V$4:$AW$4,MATCH(TRUE,INDEX($V1027:$AW1027&lt;&gt;0,),0)),IF(COUNTIF(AZ1027:BB1027,"&lt;&gt;0")=0,INDEX($AM$4:$AW$4,MATCH(1,$AM1027:$AW1027,0)),"Multiple strategies"))</f>
        <v>Supply chain</v>
      </c>
      <c r="BG1027" s="1" t="s">
        <v>229</v>
      </c>
      <c r="BH1027" t="s">
        <v>953</v>
      </c>
      <c r="BI1027" s="260" t="s">
        <v>3372</v>
      </c>
      <c r="BJ1027" t="s">
        <v>345</v>
      </c>
      <c r="BK1027">
        <v>116.6</v>
      </c>
      <c r="BL1027">
        <v>116.6</v>
      </c>
      <c r="BM1027" s="143"/>
      <c r="BN1027">
        <f t="shared" si="1326"/>
        <v>0</v>
      </c>
      <c r="BO1027">
        <f t="shared" si="1327"/>
        <v>0</v>
      </c>
      <c r="BP1027" t="s">
        <v>232</v>
      </c>
      <c r="BQ1027" s="260" t="s">
        <v>3373</v>
      </c>
      <c r="BR1027" t="s">
        <v>954</v>
      </c>
      <c r="BS1027" s="143">
        <v>-175.4</v>
      </c>
      <c r="BT1027">
        <v>13.8</v>
      </c>
      <c r="BU1027" s="144">
        <f t="shared" si="1328"/>
        <v>-7.8677309007981755E-2</v>
      </c>
      <c r="BV1027">
        <f t="shared" si="1329"/>
        <v>189.20000000000002</v>
      </c>
      <c r="BX1027">
        <f t="shared" si="1330"/>
        <v>0.18920000000000001</v>
      </c>
      <c r="BY1027" t="str">
        <f t="shared" si="1316"/>
        <v/>
      </c>
      <c r="BZ1027">
        <v>1</v>
      </c>
      <c r="CA1027">
        <v>0</v>
      </c>
      <c r="CB1027">
        <v>0</v>
      </c>
      <c r="CC1027">
        <v>0</v>
      </c>
      <c r="CD1027">
        <v>0</v>
      </c>
      <c r="CE1027">
        <v>1</v>
      </c>
      <c r="CF1027">
        <v>0</v>
      </c>
      <c r="CG1027">
        <v>1</v>
      </c>
      <c r="CH1027">
        <v>0</v>
      </c>
      <c r="CI1027">
        <v>0</v>
      </c>
      <c r="CJ1027">
        <v>0</v>
      </c>
      <c r="CK1027">
        <v>0</v>
      </c>
      <c r="CL1027">
        <v>0</v>
      </c>
      <c r="CM1027">
        <v>0</v>
      </c>
      <c r="CN1027" t="str">
        <f t="shared" si="1331"/>
        <v>refOK</v>
      </c>
      <c r="CO1027">
        <f t="shared" si="1332"/>
        <v>116.6</v>
      </c>
      <c r="CP1027">
        <f t="shared" si="1333"/>
        <v>116.6</v>
      </c>
      <c r="CQ1027">
        <f t="shared" si="1334"/>
        <v>0</v>
      </c>
      <c r="CR1027">
        <f t="shared" si="1335"/>
        <v>-175.4</v>
      </c>
      <c r="CS1027">
        <f t="shared" si="1336"/>
        <v>13.8</v>
      </c>
      <c r="CT1027">
        <f t="shared" si="1337"/>
        <v>0.18920000000000001</v>
      </c>
      <c r="CU1027" t="str">
        <f t="shared" si="1338"/>
        <v/>
      </c>
      <c r="CV1027" s="2">
        <f t="shared" si="1339"/>
        <v>1.0786773090079818</v>
      </c>
      <c r="CW1027" s="1" t="s">
        <v>263</v>
      </c>
      <c r="CX1027" t="str">
        <f t="shared" si="1340"/>
        <v>loc</v>
      </c>
      <c r="CY1027" s="308" t="s">
        <v>3422</v>
      </c>
      <c r="DB1027">
        <v>0</v>
      </c>
      <c r="DC1027" t="str">
        <f t="shared" si="1341"/>
        <v>0</v>
      </c>
      <c r="DD1027">
        <v>0</v>
      </c>
      <c r="DE1027">
        <v>0</v>
      </c>
      <c r="DF1027">
        <v>0</v>
      </c>
      <c r="DG1027">
        <v>1</v>
      </c>
      <c r="DI1027">
        <f t="shared" si="1342"/>
        <v>1</v>
      </c>
      <c r="DJ1027" t="str">
        <f t="shared" si="1343"/>
        <v>TimberInput</v>
      </c>
      <c r="DK1027">
        <f t="shared" si="1344"/>
        <v>0</v>
      </c>
      <c r="DL1027">
        <f t="shared" si="1345"/>
        <v>0</v>
      </c>
      <c r="DM1027">
        <f t="shared" si="1346"/>
        <v>0</v>
      </c>
      <c r="DN1027" t="str">
        <f t="shared" si="1347"/>
        <v>Timber</v>
      </c>
      <c r="DO1027">
        <v>0</v>
      </c>
      <c r="DP1027">
        <v>1</v>
      </c>
      <c r="DQ1027">
        <v>0</v>
      </c>
      <c r="DR1027">
        <v>0</v>
      </c>
      <c r="DS1027">
        <v>0</v>
      </c>
      <c r="DT1027">
        <f t="shared" si="1348"/>
        <v>1</v>
      </c>
      <c r="DU1027" s="143" t="str">
        <f t="shared" si="1349"/>
        <v>external DF used</v>
      </c>
      <c r="DV1027">
        <v>0</v>
      </c>
      <c r="DW1027">
        <v>0</v>
      </c>
      <c r="DX1027">
        <v>0</v>
      </c>
      <c r="DY1027">
        <v>1</v>
      </c>
      <c r="DZ1027">
        <v>0</v>
      </c>
      <c r="EA1027" s="143">
        <v>1</v>
      </c>
      <c r="EB1027">
        <v>1</v>
      </c>
      <c r="EC1027">
        <v>1</v>
      </c>
      <c r="ED1027">
        <v>0</v>
      </c>
      <c r="EE1027">
        <v>1</v>
      </c>
      <c r="EF1027">
        <v>0</v>
      </c>
      <c r="EG1027">
        <v>0</v>
      </c>
      <c r="EH1027">
        <v>0</v>
      </c>
      <c r="EI1027" s="2">
        <v>0</v>
      </c>
      <c r="EK1027" t="str">
        <f t="shared" si="1350"/>
        <v/>
      </c>
      <c r="EL1027" t="str">
        <f t="shared" si="1351"/>
        <v/>
      </c>
      <c r="EM1027" s="2" t="str">
        <f t="shared" si="1317"/>
        <v>Technology approach</v>
      </c>
      <c r="EP1027" t="b">
        <f>IF(ISNUMBER(BU1027),IF(ABS(BU1027-[5]QC_indicators!$B$2)&gt;3*[5]QC_indicators!$C$2,"C ratio",IF(ISNUMBER(BY1027),IF(ABS(BY1027-[5]QC_indicators!$B$1)&gt;3*[5]QC_indicators!$C$1,"DF","no"))),IF(ISNUMBER(BY1027),IF(ABS(BY1027-[5]QC_indicators!$B$1)&gt;3*[5]QC_indicators!$C$1,"DF","no")))</f>
        <v>0</v>
      </c>
      <c r="ER1027" s="149" t="s">
        <v>349</v>
      </c>
      <c r="ET1027" s="264" t="s">
        <v>3272</v>
      </c>
    </row>
    <row r="1028" spans="1:151" ht="15" hidden="1" customHeight="1">
      <c r="A1028" s="1" t="s">
        <v>333</v>
      </c>
      <c r="B1028" t="s">
        <v>944</v>
      </c>
      <c r="C1028" t="s">
        <v>945</v>
      </c>
      <c r="D1028" t="s">
        <v>946</v>
      </c>
      <c r="E1028" t="s">
        <v>947</v>
      </c>
      <c r="F1028" t="s">
        <v>948</v>
      </c>
      <c r="G1028" t="s">
        <v>339</v>
      </c>
      <c r="H1028" t="s">
        <v>254</v>
      </c>
      <c r="I1028">
        <v>2021</v>
      </c>
      <c r="J1028">
        <v>0</v>
      </c>
      <c r="K1028" t="s">
        <v>949</v>
      </c>
      <c r="M1028" t="str">
        <f t="shared" si="1352"/>
        <v>Morris_2021</v>
      </c>
      <c r="N1028" t="s">
        <v>222</v>
      </c>
      <c r="O1028" t="s">
        <v>223</v>
      </c>
      <c r="Q1028" t="s">
        <v>256</v>
      </c>
      <c r="R1028" s="255" t="s">
        <v>225</v>
      </c>
      <c r="S1028" s="1" t="s">
        <v>950</v>
      </c>
      <c r="T1028" t="s">
        <v>951</v>
      </c>
      <c r="U1028" s="143" t="s">
        <v>952</v>
      </c>
      <c r="V1028">
        <v>0</v>
      </c>
      <c r="W1028">
        <v>0</v>
      </c>
      <c r="X1028">
        <v>0</v>
      </c>
      <c r="Y1028">
        <v>0</v>
      </c>
      <c r="Z1028">
        <v>0</v>
      </c>
      <c r="AA1028">
        <v>0</v>
      </c>
      <c r="AB1028">
        <v>0</v>
      </c>
      <c r="AC1028">
        <v>0</v>
      </c>
      <c r="AD1028">
        <v>0</v>
      </c>
      <c r="AE1028">
        <v>0</v>
      </c>
      <c r="AF1028">
        <v>0</v>
      </c>
      <c r="AG1028">
        <v>0</v>
      </c>
      <c r="AH1028">
        <v>1</v>
      </c>
      <c r="AI1028">
        <v>0</v>
      </c>
      <c r="AJ1028">
        <v>0</v>
      </c>
      <c r="AK1028">
        <v>0</v>
      </c>
      <c r="AL1028">
        <v>0</v>
      </c>
      <c r="AM1028">
        <v>0</v>
      </c>
      <c r="AN1028">
        <v>0</v>
      </c>
      <c r="AO1028">
        <v>0</v>
      </c>
      <c r="AP1028">
        <v>0</v>
      </c>
      <c r="AQ1028">
        <v>0</v>
      </c>
      <c r="AR1028">
        <v>0</v>
      </c>
      <c r="AS1028">
        <v>0</v>
      </c>
      <c r="AT1028">
        <v>0</v>
      </c>
      <c r="AU1028">
        <v>0</v>
      </c>
      <c r="AV1028">
        <v>0</v>
      </c>
      <c r="AW1028">
        <v>0</v>
      </c>
      <c r="AX1028" s="141">
        <f t="shared" si="1319"/>
        <v>1</v>
      </c>
      <c r="AY1028" s="141">
        <f t="shared" si="1320"/>
        <v>1</v>
      </c>
      <c r="AZ1028">
        <f t="shared" si="1321"/>
        <v>0</v>
      </c>
      <c r="BA1028">
        <f t="shared" si="1322"/>
        <v>1</v>
      </c>
      <c r="BB1028">
        <f t="shared" si="1323"/>
        <v>0</v>
      </c>
      <c r="BC1028">
        <f t="shared" si="1324"/>
        <v>0</v>
      </c>
      <c r="BD1028">
        <f t="shared" si="1325"/>
        <v>0</v>
      </c>
      <c r="BE1028" t="str">
        <f t="array" ref="BE1028">IF(AY1028=1,INDEX($V$7:$AL$7,MATCH(TRUE,INDEX($V1028:$AW1028&lt;&gt;0,),0)),IF(AY1028=0,INDEX($AM$7:$AW$7,MATCH(1,$AM1028:$AW1028,0)),IF(BF1028="Multiple strategies","mixed drivers",IF(BF1028="Supply chain","multiple supply","multiple silviculture"))))</f>
        <v xml:space="preserve">end of life disposal </v>
      </c>
      <c r="BF1028" s="2" t="str" cm="1">
        <f t="array" ref="BF1028">IF(COUNTIF(AZ1028:BB1028,"&lt;&gt;0")=1,INDEX($V$4:$AW$4,MATCH(TRUE,INDEX($V1028:$AW1028&lt;&gt;0,),0)),IF(COUNTIF(AZ1028:BB1028,"&lt;&gt;0")=0,INDEX($AM$4:$AW$4,MATCH(1,$AM1028:$AW1028,0)),"Multiple strategies"))</f>
        <v>Supply chain</v>
      </c>
      <c r="BG1028" s="1" t="s">
        <v>229</v>
      </c>
      <c r="BH1028" t="s">
        <v>953</v>
      </c>
      <c r="BI1028" s="260" t="s">
        <v>3372</v>
      </c>
      <c r="BJ1028" t="s">
        <v>345</v>
      </c>
      <c r="BK1028">
        <v>116.6</v>
      </c>
      <c r="BL1028">
        <v>116.6</v>
      </c>
      <c r="BM1028" s="143"/>
      <c r="BN1028">
        <f t="shared" si="1326"/>
        <v>0</v>
      </c>
      <c r="BO1028">
        <f t="shared" si="1327"/>
        <v>0</v>
      </c>
      <c r="BP1028" t="s">
        <v>232</v>
      </c>
      <c r="BQ1028" s="260" t="s">
        <v>3374</v>
      </c>
      <c r="BR1028" t="s">
        <v>954</v>
      </c>
      <c r="BS1028">
        <v>-159.69999999999999</v>
      </c>
      <c r="BT1028">
        <v>-32.799999999999997</v>
      </c>
      <c r="BU1028" s="144">
        <f t="shared" si="1328"/>
        <v>0.20538509705698182</v>
      </c>
      <c r="BV1028">
        <f t="shared" si="1329"/>
        <v>126.89999999999999</v>
      </c>
      <c r="BX1028">
        <f t="shared" si="1330"/>
        <v>0.12689999999999999</v>
      </c>
      <c r="BY1028" t="str">
        <f t="shared" si="1316"/>
        <v/>
      </c>
      <c r="BZ1028">
        <v>1</v>
      </c>
      <c r="CA1028">
        <v>0</v>
      </c>
      <c r="CB1028">
        <v>0</v>
      </c>
      <c r="CC1028">
        <v>0</v>
      </c>
      <c r="CD1028">
        <v>0</v>
      </c>
      <c r="CE1028">
        <v>1</v>
      </c>
      <c r="CF1028">
        <v>0</v>
      </c>
      <c r="CG1028">
        <v>1</v>
      </c>
      <c r="CH1028">
        <v>0</v>
      </c>
      <c r="CI1028">
        <v>0</v>
      </c>
      <c r="CJ1028">
        <v>0</v>
      </c>
      <c r="CK1028">
        <v>0</v>
      </c>
      <c r="CL1028">
        <v>0</v>
      </c>
      <c r="CM1028">
        <v>0</v>
      </c>
      <c r="CN1028" t="str">
        <f t="shared" si="1331"/>
        <v>refOK</v>
      </c>
      <c r="CO1028">
        <f t="shared" si="1332"/>
        <v>116.6</v>
      </c>
      <c r="CP1028">
        <f t="shared" si="1333"/>
        <v>116.6</v>
      </c>
      <c r="CQ1028">
        <f t="shared" si="1334"/>
        <v>0</v>
      </c>
      <c r="CR1028">
        <f t="shared" si="1335"/>
        <v>-159.69999999999999</v>
      </c>
      <c r="CS1028">
        <f t="shared" si="1336"/>
        <v>-32.799999999999997</v>
      </c>
      <c r="CT1028">
        <f t="shared" si="1337"/>
        <v>0.12689999999999999</v>
      </c>
      <c r="CU1028" t="str">
        <f t="shared" si="1338"/>
        <v/>
      </c>
      <c r="CV1028" s="2">
        <f t="shared" si="1339"/>
        <v>0.79461490294301818</v>
      </c>
      <c r="CW1028" s="1" t="s">
        <v>263</v>
      </c>
      <c r="CX1028" t="str">
        <f t="shared" si="1340"/>
        <v>loc</v>
      </c>
      <c r="CY1028" s="308" t="s">
        <v>3422</v>
      </c>
      <c r="DB1028">
        <v>0</v>
      </c>
      <c r="DC1028" t="str">
        <f t="shared" si="1341"/>
        <v>0</v>
      </c>
      <c r="DD1028">
        <v>0</v>
      </c>
      <c r="DE1028">
        <v>0</v>
      </c>
      <c r="DF1028">
        <v>0</v>
      </c>
      <c r="DG1028">
        <v>1</v>
      </c>
      <c r="DI1028">
        <f t="shared" si="1342"/>
        <v>1</v>
      </c>
      <c r="DJ1028" t="str">
        <f t="shared" si="1343"/>
        <v>TimberInput</v>
      </c>
      <c r="DK1028">
        <f t="shared" si="1344"/>
        <v>0</v>
      </c>
      <c r="DL1028">
        <f t="shared" si="1345"/>
        <v>0</v>
      </c>
      <c r="DM1028">
        <f t="shared" si="1346"/>
        <v>0</v>
      </c>
      <c r="DN1028" t="str">
        <f t="shared" si="1347"/>
        <v>Timber</v>
      </c>
      <c r="DO1028">
        <v>0</v>
      </c>
      <c r="DP1028">
        <v>0</v>
      </c>
      <c r="DQ1028">
        <v>0</v>
      </c>
      <c r="DR1028">
        <v>0</v>
      </c>
      <c r="DS1028">
        <v>0</v>
      </c>
      <c r="DT1028">
        <f t="shared" si="1348"/>
        <v>0</v>
      </c>
      <c r="DU1028" s="143" t="str">
        <f t="shared" si="1349"/>
        <v>explicit C balance</v>
      </c>
      <c r="DV1028">
        <v>0</v>
      </c>
      <c r="DW1028">
        <v>0</v>
      </c>
      <c r="DX1028">
        <v>0</v>
      </c>
      <c r="DY1028">
        <v>0</v>
      </c>
      <c r="DZ1028">
        <v>0</v>
      </c>
      <c r="EA1028" s="143">
        <v>0</v>
      </c>
      <c r="EB1028">
        <v>1</v>
      </c>
      <c r="EC1028">
        <v>1</v>
      </c>
      <c r="ED1028">
        <v>0</v>
      </c>
      <c r="EE1028">
        <v>1</v>
      </c>
      <c r="EF1028">
        <v>0</v>
      </c>
      <c r="EG1028">
        <v>0</v>
      </c>
      <c r="EH1028">
        <v>0</v>
      </c>
      <c r="EI1028" s="2">
        <v>0</v>
      </c>
      <c r="EK1028" t="str">
        <f t="shared" si="1350"/>
        <v/>
      </c>
      <c r="EL1028" t="str">
        <f t="shared" si="1351"/>
        <v/>
      </c>
      <c r="EM1028" s="2" t="str">
        <f t="shared" si="1317"/>
        <v>Technology approach</v>
      </c>
      <c r="EP1028" t="b">
        <f>IF(ISNUMBER(BU1028),IF(ABS(BU1028-[5]QC_indicators!$B$2)&gt;3*[5]QC_indicators!$C$2,"C ratio",IF(ISNUMBER(BY1028),IF(ABS(BY1028-[5]QC_indicators!$B$1)&gt;3*[5]QC_indicators!$C$1,"DF","no"))),IF(ISNUMBER(BY1028),IF(ABS(BY1028-[5]QC_indicators!$B$1)&gt;3*[5]QC_indicators!$C$1,"DF","no")))</f>
        <v>0</v>
      </c>
      <c r="ER1028" s="149" t="s">
        <v>349</v>
      </c>
      <c r="ET1028" s="264" t="s">
        <v>3272</v>
      </c>
    </row>
    <row r="1029" spans="1:151" ht="15" hidden="1" customHeight="1">
      <c r="A1029" s="1" t="s">
        <v>333</v>
      </c>
      <c r="B1029" t="s">
        <v>944</v>
      </c>
      <c r="C1029" t="s">
        <v>945</v>
      </c>
      <c r="D1029" t="s">
        <v>946</v>
      </c>
      <c r="E1029" t="s">
        <v>947</v>
      </c>
      <c r="F1029" t="s">
        <v>948</v>
      </c>
      <c r="G1029" t="s">
        <v>339</v>
      </c>
      <c r="H1029" t="s">
        <v>254</v>
      </c>
      <c r="I1029">
        <v>2021</v>
      </c>
      <c r="J1029">
        <v>0</v>
      </c>
      <c r="K1029" t="s">
        <v>949</v>
      </c>
      <c r="M1029" t="str">
        <f t="shared" si="1352"/>
        <v>Morris_2021</v>
      </c>
      <c r="N1029" t="s">
        <v>222</v>
      </c>
      <c r="O1029" t="s">
        <v>223</v>
      </c>
      <c r="Q1029" t="s">
        <v>256</v>
      </c>
      <c r="R1029" s="255" t="s">
        <v>225</v>
      </c>
      <c r="S1029" s="1" t="s">
        <v>950</v>
      </c>
      <c r="T1029" t="s">
        <v>951</v>
      </c>
      <c r="U1029" s="143" t="s">
        <v>952</v>
      </c>
      <c r="V1029">
        <v>0</v>
      </c>
      <c r="W1029">
        <v>0</v>
      </c>
      <c r="X1029">
        <v>0</v>
      </c>
      <c r="Y1029">
        <v>0</v>
      </c>
      <c r="Z1029">
        <v>0</v>
      </c>
      <c r="AA1029">
        <v>0</v>
      </c>
      <c r="AB1029">
        <v>0</v>
      </c>
      <c r="AC1029">
        <v>0</v>
      </c>
      <c r="AD1029">
        <v>0</v>
      </c>
      <c r="AE1029">
        <v>0</v>
      </c>
      <c r="AF1029">
        <v>0</v>
      </c>
      <c r="AG1029">
        <v>0</v>
      </c>
      <c r="AH1029">
        <v>1</v>
      </c>
      <c r="AI1029">
        <v>0</v>
      </c>
      <c r="AJ1029">
        <v>0</v>
      </c>
      <c r="AK1029">
        <v>0</v>
      </c>
      <c r="AL1029">
        <v>0</v>
      </c>
      <c r="AM1029">
        <v>0</v>
      </c>
      <c r="AN1029">
        <v>0</v>
      </c>
      <c r="AO1029">
        <v>0</v>
      </c>
      <c r="AP1029">
        <v>0</v>
      </c>
      <c r="AQ1029">
        <v>0</v>
      </c>
      <c r="AR1029">
        <v>0</v>
      </c>
      <c r="AS1029">
        <v>0</v>
      </c>
      <c r="AT1029">
        <v>0</v>
      </c>
      <c r="AU1029">
        <v>0</v>
      </c>
      <c r="AV1029">
        <v>0</v>
      </c>
      <c r="AW1029">
        <v>0</v>
      </c>
      <c r="AX1029" s="141">
        <f t="shared" si="1319"/>
        <v>1</v>
      </c>
      <c r="AY1029" s="141">
        <f t="shared" si="1320"/>
        <v>1</v>
      </c>
      <c r="AZ1029">
        <f t="shared" si="1321"/>
        <v>0</v>
      </c>
      <c r="BA1029">
        <f t="shared" si="1322"/>
        <v>1</v>
      </c>
      <c r="BB1029">
        <f t="shared" si="1323"/>
        <v>0</v>
      </c>
      <c r="BC1029">
        <f t="shared" si="1324"/>
        <v>0</v>
      </c>
      <c r="BD1029">
        <f t="shared" si="1325"/>
        <v>0</v>
      </c>
      <c r="BE1029" t="str">
        <f t="array" ref="BE1029">IF(AY1029=1,INDEX($V$7:$AL$7,MATCH(TRUE,INDEX($V1029:$AW1029&lt;&gt;0,),0)),IF(AY1029=0,INDEX($AM$7:$AW$7,MATCH(1,$AM1029:$AW1029,0)),IF(BF1029="Multiple strategies","mixed drivers",IF(BF1029="Supply chain","multiple supply","multiple silviculture"))))</f>
        <v xml:space="preserve">end of life disposal </v>
      </c>
      <c r="BF1029" s="2" t="str" cm="1">
        <f t="array" ref="BF1029">IF(COUNTIF(AZ1029:BB1029,"&lt;&gt;0")=1,INDEX($V$4:$AW$4,MATCH(TRUE,INDEX($V1029:$AW1029&lt;&gt;0,),0)),IF(COUNTIF(AZ1029:BB1029,"&lt;&gt;0")=0,INDEX($AM$4:$AW$4,MATCH(1,$AM1029:$AW1029,0)),"Multiple strategies"))</f>
        <v>Supply chain</v>
      </c>
      <c r="BG1029" s="1" t="s">
        <v>229</v>
      </c>
      <c r="BH1029" t="s">
        <v>953</v>
      </c>
      <c r="BI1029" s="260" t="s">
        <v>3372</v>
      </c>
      <c r="BJ1029" t="s">
        <v>345</v>
      </c>
      <c r="BK1029">
        <v>116.6</v>
      </c>
      <c r="BL1029">
        <v>116.6</v>
      </c>
      <c r="BM1029" s="143"/>
      <c r="BN1029">
        <f t="shared" si="1326"/>
        <v>0</v>
      </c>
      <c r="BO1029">
        <f t="shared" si="1327"/>
        <v>0</v>
      </c>
      <c r="BP1029" t="s">
        <v>232</v>
      </c>
      <c r="BQ1029" s="260" t="s">
        <v>3373</v>
      </c>
      <c r="BR1029" t="s">
        <v>954</v>
      </c>
      <c r="BS1029" s="143">
        <v>-179.7</v>
      </c>
      <c r="BT1029">
        <v>-71.3</v>
      </c>
      <c r="BU1029" s="144">
        <f t="shared" si="1328"/>
        <v>0.39677239844184753</v>
      </c>
      <c r="BV1029">
        <f t="shared" si="1329"/>
        <v>108.39999999999999</v>
      </c>
      <c r="BX1029">
        <f t="shared" si="1330"/>
        <v>0.1084</v>
      </c>
      <c r="BY1029" t="str">
        <f t="shared" si="1316"/>
        <v/>
      </c>
      <c r="BZ1029">
        <v>1</v>
      </c>
      <c r="CA1029">
        <v>0</v>
      </c>
      <c r="CB1029">
        <v>0</v>
      </c>
      <c r="CC1029">
        <v>0</v>
      </c>
      <c r="CD1029">
        <v>0</v>
      </c>
      <c r="CE1029">
        <v>1</v>
      </c>
      <c r="CF1029">
        <v>0</v>
      </c>
      <c r="CG1029">
        <v>1</v>
      </c>
      <c r="CH1029">
        <v>0</v>
      </c>
      <c r="CI1029">
        <v>0</v>
      </c>
      <c r="CJ1029">
        <v>0</v>
      </c>
      <c r="CK1029">
        <v>0</v>
      </c>
      <c r="CL1029">
        <v>0</v>
      </c>
      <c r="CM1029">
        <v>0</v>
      </c>
      <c r="CN1029" t="str">
        <f t="shared" si="1331"/>
        <v>refOK</v>
      </c>
      <c r="CO1029">
        <f t="shared" si="1332"/>
        <v>116.6</v>
      </c>
      <c r="CP1029">
        <f t="shared" si="1333"/>
        <v>116.6</v>
      </c>
      <c r="CQ1029">
        <f t="shared" si="1334"/>
        <v>0</v>
      </c>
      <c r="CR1029">
        <f t="shared" si="1335"/>
        <v>-179.7</v>
      </c>
      <c r="CS1029">
        <f t="shared" si="1336"/>
        <v>-71.3</v>
      </c>
      <c r="CT1029">
        <f t="shared" si="1337"/>
        <v>0.1084</v>
      </c>
      <c r="CU1029" t="str">
        <f t="shared" si="1338"/>
        <v/>
      </c>
      <c r="CV1029" s="2">
        <f t="shared" si="1339"/>
        <v>0.60322760155815247</v>
      </c>
      <c r="CW1029" s="1" t="s">
        <v>263</v>
      </c>
      <c r="CX1029" t="str">
        <f t="shared" si="1340"/>
        <v>loc</v>
      </c>
      <c r="CY1029" s="308" t="s">
        <v>3422</v>
      </c>
      <c r="DB1029">
        <v>0</v>
      </c>
      <c r="DC1029" t="str">
        <f t="shared" si="1341"/>
        <v>0</v>
      </c>
      <c r="DD1029">
        <v>0</v>
      </c>
      <c r="DE1029">
        <v>0</v>
      </c>
      <c r="DF1029">
        <v>0</v>
      </c>
      <c r="DG1029">
        <v>1</v>
      </c>
      <c r="DI1029">
        <f t="shared" si="1342"/>
        <v>1</v>
      </c>
      <c r="DJ1029" t="str">
        <f t="shared" si="1343"/>
        <v>TimberInput</v>
      </c>
      <c r="DK1029">
        <f t="shared" si="1344"/>
        <v>0</v>
      </c>
      <c r="DL1029">
        <f t="shared" si="1345"/>
        <v>0</v>
      </c>
      <c r="DM1029">
        <f t="shared" si="1346"/>
        <v>0</v>
      </c>
      <c r="DN1029" t="str">
        <f t="shared" si="1347"/>
        <v>Timber</v>
      </c>
      <c r="DO1029">
        <v>0</v>
      </c>
      <c r="DP1029">
        <v>0</v>
      </c>
      <c r="DQ1029">
        <v>0</v>
      </c>
      <c r="DR1029">
        <v>0</v>
      </c>
      <c r="DS1029">
        <v>0</v>
      </c>
      <c r="DT1029">
        <f t="shared" si="1348"/>
        <v>0</v>
      </c>
      <c r="DU1029" s="143" t="str">
        <f t="shared" si="1349"/>
        <v>explicit C balance</v>
      </c>
      <c r="DV1029">
        <v>0</v>
      </c>
      <c r="DW1029">
        <v>0</v>
      </c>
      <c r="DX1029">
        <v>0</v>
      </c>
      <c r="DY1029">
        <v>1</v>
      </c>
      <c r="DZ1029">
        <v>0</v>
      </c>
      <c r="EA1029" s="143">
        <v>1</v>
      </c>
      <c r="EB1029">
        <v>1</v>
      </c>
      <c r="EC1029">
        <v>1</v>
      </c>
      <c r="ED1029">
        <v>0</v>
      </c>
      <c r="EE1029">
        <v>1</v>
      </c>
      <c r="EF1029">
        <v>0</v>
      </c>
      <c r="EG1029">
        <v>0</v>
      </c>
      <c r="EH1029">
        <v>0</v>
      </c>
      <c r="EI1029" s="2">
        <v>0</v>
      </c>
      <c r="EK1029" t="str">
        <f t="shared" si="1350"/>
        <v/>
      </c>
      <c r="EL1029" t="str">
        <f t="shared" si="1351"/>
        <v/>
      </c>
      <c r="EM1029" s="2" t="str">
        <f t="shared" si="1317"/>
        <v>Technology approach</v>
      </c>
      <c r="EP1029" t="b">
        <f>IF(ISNUMBER(BU1029),IF(ABS(BU1029-[5]QC_indicators!$B$2)&gt;3*[5]QC_indicators!$C$2,"C ratio",IF(ISNUMBER(BY1029),IF(ABS(BY1029-[5]QC_indicators!$B$1)&gt;3*[5]QC_indicators!$C$1,"DF","no"))),IF(ISNUMBER(BY1029),IF(ABS(BY1029-[5]QC_indicators!$B$1)&gt;3*[5]QC_indicators!$C$1,"DF","no")))</f>
        <v>0</v>
      </c>
      <c r="ER1029" s="149" t="s">
        <v>349</v>
      </c>
      <c r="ET1029" s="264" t="s">
        <v>3272</v>
      </c>
    </row>
    <row r="1030" spans="1:151" ht="15" hidden="1" customHeight="1">
      <c r="A1030" s="1" t="s">
        <v>333</v>
      </c>
      <c r="B1030" t="s">
        <v>944</v>
      </c>
      <c r="C1030" t="s">
        <v>945</v>
      </c>
      <c r="D1030" t="s">
        <v>946</v>
      </c>
      <c r="E1030" t="s">
        <v>947</v>
      </c>
      <c r="F1030" t="s">
        <v>948</v>
      </c>
      <c r="G1030" t="s">
        <v>339</v>
      </c>
      <c r="H1030" t="s">
        <v>254</v>
      </c>
      <c r="I1030">
        <v>2021</v>
      </c>
      <c r="J1030">
        <v>0</v>
      </c>
      <c r="K1030" t="s">
        <v>949</v>
      </c>
      <c r="M1030" t="str">
        <f t="shared" si="1352"/>
        <v>Morris_2021</v>
      </c>
      <c r="N1030" t="s">
        <v>222</v>
      </c>
      <c r="O1030" t="s">
        <v>223</v>
      </c>
      <c r="Q1030" t="s">
        <v>256</v>
      </c>
      <c r="R1030" s="255" t="s">
        <v>225</v>
      </c>
      <c r="S1030" s="1" t="s">
        <v>950</v>
      </c>
      <c r="T1030" t="s">
        <v>951</v>
      </c>
      <c r="U1030" s="143" t="s">
        <v>952</v>
      </c>
      <c r="V1030">
        <v>0</v>
      </c>
      <c r="W1030">
        <v>0</v>
      </c>
      <c r="X1030">
        <v>0</v>
      </c>
      <c r="Y1030">
        <v>0</v>
      </c>
      <c r="Z1030">
        <v>0</v>
      </c>
      <c r="AA1030">
        <v>0</v>
      </c>
      <c r="AB1030">
        <v>0</v>
      </c>
      <c r="AC1030">
        <v>0</v>
      </c>
      <c r="AD1030">
        <v>0</v>
      </c>
      <c r="AE1030">
        <v>0</v>
      </c>
      <c r="AF1030">
        <v>0</v>
      </c>
      <c r="AG1030">
        <v>0</v>
      </c>
      <c r="AH1030">
        <v>1</v>
      </c>
      <c r="AI1030">
        <v>0</v>
      </c>
      <c r="AJ1030">
        <v>0</v>
      </c>
      <c r="AK1030">
        <v>0</v>
      </c>
      <c r="AL1030">
        <v>0</v>
      </c>
      <c r="AM1030">
        <v>0</v>
      </c>
      <c r="AN1030">
        <v>0</v>
      </c>
      <c r="AO1030">
        <v>0</v>
      </c>
      <c r="AP1030">
        <v>0</v>
      </c>
      <c r="AQ1030">
        <v>0</v>
      </c>
      <c r="AR1030">
        <v>0</v>
      </c>
      <c r="AS1030">
        <v>0</v>
      </c>
      <c r="AT1030">
        <v>0</v>
      </c>
      <c r="AU1030">
        <v>0</v>
      </c>
      <c r="AV1030">
        <v>0</v>
      </c>
      <c r="AW1030">
        <v>0</v>
      </c>
      <c r="AX1030" s="141">
        <f t="shared" si="1319"/>
        <v>1</v>
      </c>
      <c r="AY1030" s="141">
        <f t="shared" si="1320"/>
        <v>1</v>
      </c>
      <c r="AZ1030">
        <f t="shared" si="1321"/>
        <v>0</v>
      </c>
      <c r="BA1030">
        <f t="shared" si="1322"/>
        <v>1</v>
      </c>
      <c r="BB1030">
        <f t="shared" si="1323"/>
        <v>0</v>
      </c>
      <c r="BC1030">
        <f t="shared" si="1324"/>
        <v>0</v>
      </c>
      <c r="BD1030">
        <f t="shared" si="1325"/>
        <v>0</v>
      </c>
      <c r="BE1030" t="str">
        <f t="array" ref="BE1030">IF(AY1030=1,INDEX($V$7:$AL$7,MATCH(TRUE,INDEX($V1030:$AW1030&lt;&gt;0,),0)),IF(AY1030=0,INDEX($AM$7:$AW$7,MATCH(1,$AM1030:$AW1030,0)),IF(BF1030="Multiple strategies","mixed drivers",IF(BF1030="Supply chain","multiple supply","multiple silviculture"))))</f>
        <v xml:space="preserve">end of life disposal </v>
      </c>
      <c r="BF1030" s="2" t="str" cm="1">
        <f t="array" ref="BF1030">IF(COUNTIF(AZ1030:BB1030,"&lt;&gt;0")=1,INDEX($V$4:$AW$4,MATCH(TRUE,INDEX($V1030:$AW1030&lt;&gt;0,),0)),IF(COUNTIF(AZ1030:BB1030,"&lt;&gt;0")=0,INDEX($AM$4:$AW$4,MATCH(1,$AM1030:$AW1030,0)),"Multiple strategies"))</f>
        <v>Supply chain</v>
      </c>
      <c r="BG1030" s="1" t="s">
        <v>229</v>
      </c>
      <c r="BH1030" t="s">
        <v>953</v>
      </c>
      <c r="BI1030" s="260" t="s">
        <v>3372</v>
      </c>
      <c r="BJ1030" t="s">
        <v>345</v>
      </c>
      <c r="BK1030">
        <v>116.6</v>
      </c>
      <c r="BL1030">
        <v>116.6</v>
      </c>
      <c r="BM1030" s="143"/>
      <c r="BN1030">
        <f t="shared" si="1326"/>
        <v>0</v>
      </c>
      <c r="BO1030">
        <f t="shared" si="1327"/>
        <v>0</v>
      </c>
      <c r="BP1030" t="s">
        <v>232</v>
      </c>
      <c r="BQ1030" s="260" t="s">
        <v>3374</v>
      </c>
      <c r="BR1030" t="s">
        <v>954</v>
      </c>
      <c r="BS1030" s="143">
        <v>-165.4</v>
      </c>
      <c r="BT1030">
        <v>-67.400000000000006</v>
      </c>
      <c r="BU1030" s="144">
        <f t="shared" si="1328"/>
        <v>0.407496977025393</v>
      </c>
      <c r="BV1030">
        <f t="shared" si="1329"/>
        <v>98</v>
      </c>
      <c r="BX1030">
        <f t="shared" si="1330"/>
        <v>9.8000000000000004E-2</v>
      </c>
      <c r="BY1030" t="str">
        <f t="shared" si="1316"/>
        <v/>
      </c>
      <c r="BZ1030">
        <v>1</v>
      </c>
      <c r="CA1030">
        <v>0</v>
      </c>
      <c r="CB1030">
        <v>0</v>
      </c>
      <c r="CC1030">
        <v>0</v>
      </c>
      <c r="CD1030">
        <v>0</v>
      </c>
      <c r="CE1030">
        <v>1</v>
      </c>
      <c r="CF1030">
        <v>0</v>
      </c>
      <c r="CG1030">
        <v>1</v>
      </c>
      <c r="CH1030">
        <v>0</v>
      </c>
      <c r="CI1030">
        <v>0</v>
      </c>
      <c r="CJ1030">
        <v>0</v>
      </c>
      <c r="CK1030">
        <v>0</v>
      </c>
      <c r="CL1030">
        <v>0</v>
      </c>
      <c r="CM1030">
        <v>0</v>
      </c>
      <c r="CN1030" t="str">
        <f t="shared" si="1331"/>
        <v>refOK</v>
      </c>
      <c r="CO1030">
        <f t="shared" si="1332"/>
        <v>116.6</v>
      </c>
      <c r="CP1030">
        <f t="shared" si="1333"/>
        <v>116.6</v>
      </c>
      <c r="CQ1030">
        <f t="shared" si="1334"/>
        <v>0</v>
      </c>
      <c r="CR1030">
        <f t="shared" si="1335"/>
        <v>-165.4</v>
      </c>
      <c r="CS1030">
        <f t="shared" si="1336"/>
        <v>-67.400000000000006</v>
      </c>
      <c r="CT1030">
        <f t="shared" si="1337"/>
        <v>9.8000000000000004E-2</v>
      </c>
      <c r="CU1030" t="str">
        <f t="shared" si="1338"/>
        <v/>
      </c>
      <c r="CV1030" s="2">
        <f t="shared" si="1339"/>
        <v>0.592503022974607</v>
      </c>
      <c r="CW1030" s="1" t="s">
        <v>263</v>
      </c>
      <c r="CX1030" t="str">
        <f t="shared" si="1340"/>
        <v>loc</v>
      </c>
      <c r="CY1030" s="308" t="s">
        <v>3422</v>
      </c>
      <c r="DB1030">
        <v>0</v>
      </c>
      <c r="DC1030" t="str">
        <f t="shared" si="1341"/>
        <v>0</v>
      </c>
      <c r="DD1030">
        <v>0</v>
      </c>
      <c r="DE1030">
        <v>0</v>
      </c>
      <c r="DF1030">
        <v>0</v>
      </c>
      <c r="DG1030">
        <v>1</v>
      </c>
      <c r="DI1030">
        <f t="shared" si="1342"/>
        <v>1</v>
      </c>
      <c r="DJ1030" t="str">
        <f t="shared" si="1343"/>
        <v>TimberInput</v>
      </c>
      <c r="DK1030">
        <f t="shared" si="1344"/>
        <v>0</v>
      </c>
      <c r="DL1030">
        <f t="shared" si="1345"/>
        <v>0</v>
      </c>
      <c r="DM1030">
        <f t="shared" si="1346"/>
        <v>0</v>
      </c>
      <c r="DN1030" t="str">
        <f t="shared" si="1347"/>
        <v>Timber</v>
      </c>
      <c r="DO1030">
        <v>0</v>
      </c>
      <c r="DP1030">
        <v>1</v>
      </c>
      <c r="DQ1030">
        <v>0</v>
      </c>
      <c r="DR1030">
        <v>0</v>
      </c>
      <c r="DS1030">
        <v>0</v>
      </c>
      <c r="DT1030">
        <f t="shared" si="1348"/>
        <v>1</v>
      </c>
      <c r="DU1030" s="143" t="str">
        <f t="shared" si="1349"/>
        <v>external DF used</v>
      </c>
      <c r="DV1030">
        <v>0</v>
      </c>
      <c r="DW1030">
        <v>0</v>
      </c>
      <c r="DX1030">
        <v>0</v>
      </c>
      <c r="DY1030">
        <v>0</v>
      </c>
      <c r="DZ1030">
        <v>0</v>
      </c>
      <c r="EA1030" s="143">
        <v>1</v>
      </c>
      <c r="EB1030">
        <v>1</v>
      </c>
      <c r="EC1030">
        <v>1</v>
      </c>
      <c r="ED1030">
        <v>0</v>
      </c>
      <c r="EE1030">
        <v>1</v>
      </c>
      <c r="EF1030">
        <v>0</v>
      </c>
      <c r="EG1030">
        <v>0</v>
      </c>
      <c r="EH1030">
        <v>0</v>
      </c>
      <c r="EI1030" s="2">
        <v>0</v>
      </c>
      <c r="EK1030" t="str">
        <f t="shared" si="1350"/>
        <v/>
      </c>
      <c r="EL1030" t="str">
        <f t="shared" si="1351"/>
        <v/>
      </c>
      <c r="EM1030" s="2" t="str">
        <f t="shared" si="1317"/>
        <v>Technology approach</v>
      </c>
      <c r="EP1030" t="b">
        <f>IF(ISNUMBER(BU1030),IF(ABS(BU1030-[5]QC_indicators!$B$2)&gt;3*[5]QC_indicators!$C$2,"C ratio",IF(ISNUMBER(BY1030),IF(ABS(BY1030-[5]QC_indicators!$B$1)&gt;3*[5]QC_indicators!$C$1,"DF","no"))),IF(ISNUMBER(BY1030),IF(ABS(BY1030-[5]QC_indicators!$B$1)&gt;3*[5]QC_indicators!$C$1,"DF","no")))</f>
        <v>0</v>
      </c>
      <c r="ER1030" s="149" t="s">
        <v>349</v>
      </c>
      <c r="ET1030" s="264" t="s">
        <v>3272</v>
      </c>
    </row>
    <row r="1031" spans="1:151" ht="15" hidden="1" customHeight="1">
      <c r="A1031" s="1" t="s">
        <v>333</v>
      </c>
      <c r="B1031" t="s">
        <v>944</v>
      </c>
      <c r="C1031" t="s">
        <v>945</v>
      </c>
      <c r="D1031" t="s">
        <v>946</v>
      </c>
      <c r="E1031" t="s">
        <v>947</v>
      </c>
      <c r="F1031" t="s">
        <v>948</v>
      </c>
      <c r="G1031" t="s">
        <v>339</v>
      </c>
      <c r="H1031" t="s">
        <v>254</v>
      </c>
      <c r="I1031">
        <v>2021</v>
      </c>
      <c r="J1031">
        <v>0</v>
      </c>
      <c r="K1031" t="s">
        <v>949</v>
      </c>
      <c r="M1031" t="str">
        <f t="shared" si="1352"/>
        <v>Morris_2021</v>
      </c>
      <c r="N1031" t="s">
        <v>222</v>
      </c>
      <c r="O1031" t="s">
        <v>223</v>
      </c>
      <c r="Q1031" t="s">
        <v>256</v>
      </c>
      <c r="R1031" s="255" t="s">
        <v>225</v>
      </c>
      <c r="S1031" s="1" t="s">
        <v>950</v>
      </c>
      <c r="T1031" t="s">
        <v>951</v>
      </c>
      <c r="U1031" s="143" t="s">
        <v>99</v>
      </c>
      <c r="V1031">
        <v>0</v>
      </c>
      <c r="W1031">
        <v>0</v>
      </c>
      <c r="X1031">
        <v>0</v>
      </c>
      <c r="Y1031">
        <v>0</v>
      </c>
      <c r="Z1031">
        <v>0</v>
      </c>
      <c r="AA1031">
        <v>0</v>
      </c>
      <c r="AB1031">
        <v>0</v>
      </c>
      <c r="AC1031">
        <v>0</v>
      </c>
      <c r="AD1031">
        <v>0</v>
      </c>
      <c r="AE1031">
        <v>0</v>
      </c>
      <c r="AF1031">
        <v>0</v>
      </c>
      <c r="AG1031">
        <v>0</v>
      </c>
      <c r="AH1031">
        <v>1</v>
      </c>
      <c r="AI1031">
        <v>0</v>
      </c>
      <c r="AJ1031">
        <v>0</v>
      </c>
      <c r="AK1031">
        <v>0</v>
      </c>
      <c r="AL1031">
        <v>0</v>
      </c>
      <c r="AM1031">
        <v>0</v>
      </c>
      <c r="AN1031">
        <v>0</v>
      </c>
      <c r="AO1031">
        <v>0</v>
      </c>
      <c r="AP1031">
        <v>0</v>
      </c>
      <c r="AQ1031">
        <v>0</v>
      </c>
      <c r="AR1031">
        <v>0</v>
      </c>
      <c r="AS1031">
        <v>0</v>
      </c>
      <c r="AT1031">
        <v>0</v>
      </c>
      <c r="AU1031">
        <v>0</v>
      </c>
      <c r="AV1031">
        <v>0</v>
      </c>
      <c r="AW1031">
        <v>0</v>
      </c>
      <c r="AX1031" s="141">
        <f t="shared" si="1319"/>
        <v>1</v>
      </c>
      <c r="AY1031" s="141">
        <f t="shared" si="1320"/>
        <v>1</v>
      </c>
      <c r="AZ1031">
        <f t="shared" si="1321"/>
        <v>0</v>
      </c>
      <c r="BA1031">
        <f t="shared" si="1322"/>
        <v>1</v>
      </c>
      <c r="BB1031">
        <f t="shared" si="1323"/>
        <v>0</v>
      </c>
      <c r="BC1031">
        <f t="shared" si="1324"/>
        <v>0</v>
      </c>
      <c r="BD1031">
        <f t="shared" si="1325"/>
        <v>0</v>
      </c>
      <c r="BE1031" t="str">
        <f t="array" ref="BE1031">IF(AY1031=1,INDEX($V$7:$AL$7,MATCH(TRUE,INDEX($V1031:$AW1031&lt;&gt;0,),0)),IF(AY1031=0,INDEX($AM$7:$AW$7,MATCH(1,$AM1031:$AW1031,0)),IF(BF1031="Multiple strategies","mixed drivers",IF(BF1031="Supply chain","multiple supply","multiple silviculture"))))</f>
        <v xml:space="preserve">end of life disposal </v>
      </c>
      <c r="BF1031" s="2" t="str" cm="1">
        <f t="array" ref="BF1031">IF(COUNTIF(AZ1031:BB1031,"&lt;&gt;0")=1,INDEX($V$4:$AW$4,MATCH(TRUE,INDEX($V1031:$AW1031&lt;&gt;0,),0)),IF(COUNTIF(AZ1031:BB1031,"&lt;&gt;0")=0,INDEX($AM$4:$AW$4,MATCH(1,$AM1031:$AW1031,0)),"Multiple strategies"))</f>
        <v>Supply chain</v>
      </c>
      <c r="BG1031" s="1" t="s">
        <v>229</v>
      </c>
      <c r="BH1031" t="s">
        <v>953</v>
      </c>
      <c r="BI1031" s="260" t="s">
        <v>3372</v>
      </c>
      <c r="BJ1031" t="s">
        <v>345</v>
      </c>
      <c r="BK1031">
        <v>116.6</v>
      </c>
      <c r="BL1031">
        <v>116.6</v>
      </c>
      <c r="BM1031" s="143"/>
      <c r="BN1031">
        <f t="shared" si="1326"/>
        <v>0</v>
      </c>
      <c r="BO1031">
        <f t="shared" si="1327"/>
        <v>0</v>
      </c>
      <c r="BP1031" t="s">
        <v>232</v>
      </c>
      <c r="BQ1031" s="260" t="s">
        <v>3374</v>
      </c>
      <c r="BR1031" t="s">
        <v>954</v>
      </c>
      <c r="BS1031">
        <v>-159.69999999999999</v>
      </c>
      <c r="BT1031">
        <v>-39.799999999999997</v>
      </c>
      <c r="BU1031" s="144">
        <f t="shared" si="1328"/>
        <v>0.24921728240450847</v>
      </c>
      <c r="BV1031">
        <f t="shared" si="1329"/>
        <v>119.89999999999999</v>
      </c>
      <c r="BX1031">
        <f t="shared" si="1330"/>
        <v>0.11989999999999999</v>
      </c>
      <c r="BY1031" t="str">
        <f t="shared" si="1316"/>
        <v/>
      </c>
      <c r="BZ1031">
        <v>1</v>
      </c>
      <c r="CA1031">
        <v>0</v>
      </c>
      <c r="CB1031">
        <v>0</v>
      </c>
      <c r="CC1031">
        <v>0</v>
      </c>
      <c r="CD1031">
        <v>0</v>
      </c>
      <c r="CE1031">
        <v>1</v>
      </c>
      <c r="CF1031">
        <v>0</v>
      </c>
      <c r="CG1031">
        <v>1</v>
      </c>
      <c r="CH1031">
        <v>0</v>
      </c>
      <c r="CI1031">
        <v>0</v>
      </c>
      <c r="CJ1031">
        <v>0</v>
      </c>
      <c r="CK1031">
        <v>0</v>
      </c>
      <c r="CL1031">
        <v>0</v>
      </c>
      <c r="CM1031">
        <v>0</v>
      </c>
      <c r="CN1031" t="str">
        <f t="shared" si="1331"/>
        <v>refOK</v>
      </c>
      <c r="CO1031">
        <f t="shared" si="1332"/>
        <v>116.6</v>
      </c>
      <c r="CP1031">
        <f t="shared" si="1333"/>
        <v>116.6</v>
      </c>
      <c r="CQ1031">
        <f t="shared" si="1334"/>
        <v>0</v>
      </c>
      <c r="CR1031">
        <f t="shared" si="1335"/>
        <v>-159.69999999999999</v>
      </c>
      <c r="CS1031">
        <f t="shared" si="1336"/>
        <v>-39.799999999999997</v>
      </c>
      <c r="CT1031">
        <f t="shared" si="1337"/>
        <v>0.11989999999999999</v>
      </c>
      <c r="CU1031" t="str">
        <f t="shared" si="1338"/>
        <v/>
      </c>
      <c r="CV1031" s="2">
        <f t="shared" si="1339"/>
        <v>0.75078271759549153</v>
      </c>
      <c r="CW1031" s="1" t="s">
        <v>263</v>
      </c>
      <c r="CX1031" t="str">
        <f t="shared" si="1340"/>
        <v>loc</v>
      </c>
      <c r="CY1031" s="308" t="s">
        <v>3422</v>
      </c>
      <c r="DB1031">
        <v>0</v>
      </c>
      <c r="DC1031" t="str">
        <f t="shared" si="1341"/>
        <v>0</v>
      </c>
      <c r="DD1031">
        <v>0</v>
      </c>
      <c r="DE1031">
        <v>0</v>
      </c>
      <c r="DF1031">
        <v>0</v>
      </c>
      <c r="DG1031">
        <v>1</v>
      </c>
      <c r="DI1031">
        <f t="shared" si="1342"/>
        <v>1</v>
      </c>
      <c r="DJ1031" t="str">
        <f t="shared" si="1343"/>
        <v>TimberInput</v>
      </c>
      <c r="DK1031">
        <f t="shared" si="1344"/>
        <v>0</v>
      </c>
      <c r="DL1031">
        <f t="shared" si="1345"/>
        <v>0</v>
      </c>
      <c r="DM1031">
        <f t="shared" si="1346"/>
        <v>0</v>
      </c>
      <c r="DN1031" t="str">
        <f t="shared" si="1347"/>
        <v>Timber</v>
      </c>
      <c r="DO1031">
        <v>0</v>
      </c>
      <c r="DP1031">
        <v>0</v>
      </c>
      <c r="DQ1031">
        <v>0</v>
      </c>
      <c r="DR1031">
        <v>0</v>
      </c>
      <c r="DS1031">
        <v>0</v>
      </c>
      <c r="DT1031">
        <f t="shared" si="1348"/>
        <v>0</v>
      </c>
      <c r="DU1031" s="143" t="str">
        <f t="shared" si="1349"/>
        <v>explicit C balance</v>
      </c>
      <c r="DV1031">
        <v>0</v>
      </c>
      <c r="DW1031">
        <v>0</v>
      </c>
      <c r="DX1031">
        <v>0</v>
      </c>
      <c r="DY1031">
        <v>0</v>
      </c>
      <c r="DZ1031">
        <v>0</v>
      </c>
      <c r="EA1031" s="143">
        <v>0</v>
      </c>
      <c r="EB1031">
        <v>1</v>
      </c>
      <c r="EC1031">
        <v>1</v>
      </c>
      <c r="ED1031">
        <v>0</v>
      </c>
      <c r="EE1031">
        <v>1</v>
      </c>
      <c r="EF1031">
        <v>0</v>
      </c>
      <c r="EG1031">
        <v>0</v>
      </c>
      <c r="EH1031">
        <v>0</v>
      </c>
      <c r="EI1031" s="2">
        <v>0</v>
      </c>
      <c r="EK1031" t="str">
        <f t="shared" si="1350"/>
        <v/>
      </c>
      <c r="EL1031" t="str">
        <f t="shared" si="1351"/>
        <v/>
      </c>
      <c r="EM1031" s="2" t="str">
        <f t="shared" si="1317"/>
        <v>Technology approach</v>
      </c>
      <c r="EP1031" t="b">
        <f>IF(ISNUMBER(BU1031),IF(ABS(BU1031-[5]QC_indicators!$B$2)&gt;3*[5]QC_indicators!$C$2,"C ratio",IF(ISNUMBER(BY1031),IF(ABS(BY1031-[5]QC_indicators!$B$1)&gt;3*[5]QC_indicators!$C$1,"DF","no"))),IF(ISNUMBER(BY1031),IF(ABS(BY1031-[5]QC_indicators!$B$1)&gt;3*[5]QC_indicators!$C$1,"DF","no")))</f>
        <v>0</v>
      </c>
      <c r="ER1031" s="149" t="s">
        <v>349</v>
      </c>
      <c r="ET1031" s="264" t="s">
        <v>3272</v>
      </c>
    </row>
    <row r="1032" spans="1:151" ht="15" hidden="1" customHeight="1">
      <c r="A1032" s="1" t="s">
        <v>333</v>
      </c>
      <c r="B1032" t="s">
        <v>944</v>
      </c>
      <c r="C1032" t="s">
        <v>945</v>
      </c>
      <c r="D1032" t="s">
        <v>946</v>
      </c>
      <c r="E1032" t="s">
        <v>947</v>
      </c>
      <c r="F1032" t="s">
        <v>948</v>
      </c>
      <c r="G1032" t="s">
        <v>339</v>
      </c>
      <c r="H1032" t="s">
        <v>254</v>
      </c>
      <c r="I1032">
        <v>2021</v>
      </c>
      <c r="J1032">
        <v>0</v>
      </c>
      <c r="K1032" t="s">
        <v>949</v>
      </c>
      <c r="M1032" t="str">
        <f t="shared" si="1352"/>
        <v>Morris_2021</v>
      </c>
      <c r="N1032" t="s">
        <v>222</v>
      </c>
      <c r="O1032" t="s">
        <v>223</v>
      </c>
      <c r="Q1032" t="s">
        <v>256</v>
      </c>
      <c r="R1032" s="255" t="s">
        <v>225</v>
      </c>
      <c r="S1032" s="1" t="s">
        <v>950</v>
      </c>
      <c r="T1032" t="s">
        <v>951</v>
      </c>
      <c r="U1032" s="143" t="s">
        <v>99</v>
      </c>
      <c r="V1032">
        <v>0</v>
      </c>
      <c r="W1032">
        <v>0</v>
      </c>
      <c r="X1032">
        <v>0</v>
      </c>
      <c r="Y1032">
        <v>0</v>
      </c>
      <c r="Z1032">
        <v>0</v>
      </c>
      <c r="AA1032">
        <v>0</v>
      </c>
      <c r="AB1032">
        <v>0</v>
      </c>
      <c r="AC1032">
        <v>0</v>
      </c>
      <c r="AD1032">
        <v>0</v>
      </c>
      <c r="AE1032">
        <v>0</v>
      </c>
      <c r="AF1032">
        <v>0</v>
      </c>
      <c r="AG1032">
        <v>0</v>
      </c>
      <c r="AH1032">
        <v>1</v>
      </c>
      <c r="AI1032">
        <v>0</v>
      </c>
      <c r="AJ1032">
        <v>0</v>
      </c>
      <c r="AK1032">
        <v>0</v>
      </c>
      <c r="AL1032">
        <v>0</v>
      </c>
      <c r="AM1032">
        <v>0</v>
      </c>
      <c r="AN1032">
        <v>0</v>
      </c>
      <c r="AO1032">
        <v>0</v>
      </c>
      <c r="AP1032">
        <v>0</v>
      </c>
      <c r="AQ1032">
        <v>0</v>
      </c>
      <c r="AR1032">
        <v>0</v>
      </c>
      <c r="AS1032">
        <v>0</v>
      </c>
      <c r="AT1032">
        <v>0</v>
      </c>
      <c r="AU1032">
        <v>0</v>
      </c>
      <c r="AV1032">
        <v>0</v>
      </c>
      <c r="AW1032">
        <v>0</v>
      </c>
      <c r="AX1032" s="141">
        <f t="shared" si="1319"/>
        <v>1</v>
      </c>
      <c r="AY1032" s="141">
        <f t="shared" si="1320"/>
        <v>1</v>
      </c>
      <c r="AZ1032">
        <f t="shared" si="1321"/>
        <v>0</v>
      </c>
      <c r="BA1032">
        <f t="shared" si="1322"/>
        <v>1</v>
      </c>
      <c r="BB1032">
        <f t="shared" si="1323"/>
        <v>0</v>
      </c>
      <c r="BC1032">
        <f t="shared" si="1324"/>
        <v>0</v>
      </c>
      <c r="BD1032">
        <f t="shared" si="1325"/>
        <v>0</v>
      </c>
      <c r="BE1032" t="str">
        <f t="array" ref="BE1032">IF(AY1032=1,INDEX($V$7:$AL$7,MATCH(TRUE,INDEX($V1032:$AW1032&lt;&gt;0,),0)),IF(AY1032=0,INDEX($AM$7:$AW$7,MATCH(1,$AM1032:$AW1032,0)),IF(BF1032="Multiple strategies","mixed drivers",IF(BF1032="Supply chain","multiple supply","multiple silviculture"))))</f>
        <v xml:space="preserve">end of life disposal </v>
      </c>
      <c r="BF1032" s="2" t="str" cm="1">
        <f t="array" ref="BF1032">IF(COUNTIF(AZ1032:BB1032,"&lt;&gt;0")=1,INDEX($V$4:$AW$4,MATCH(TRUE,INDEX($V1032:$AW1032&lt;&gt;0,),0)),IF(COUNTIF(AZ1032:BB1032,"&lt;&gt;0")=0,INDEX($AM$4:$AW$4,MATCH(1,$AM1032:$AW1032,0)),"Multiple strategies"))</f>
        <v>Supply chain</v>
      </c>
      <c r="BG1032" s="1" t="s">
        <v>229</v>
      </c>
      <c r="BH1032" t="s">
        <v>953</v>
      </c>
      <c r="BI1032" s="260" t="s">
        <v>3372</v>
      </c>
      <c r="BJ1032" t="s">
        <v>345</v>
      </c>
      <c r="BK1032">
        <v>116.6</v>
      </c>
      <c r="BL1032">
        <v>116.6</v>
      </c>
      <c r="BM1032" s="143"/>
      <c r="BN1032">
        <f t="shared" si="1326"/>
        <v>0</v>
      </c>
      <c r="BO1032">
        <f t="shared" si="1327"/>
        <v>0</v>
      </c>
      <c r="BP1032" t="s">
        <v>232</v>
      </c>
      <c r="BQ1032" s="260" t="s">
        <v>3373</v>
      </c>
      <c r="BR1032" t="s">
        <v>954</v>
      </c>
      <c r="BS1032" s="143">
        <v>-175.4</v>
      </c>
      <c r="BT1032">
        <v>-103.2</v>
      </c>
      <c r="BU1032" s="144">
        <f t="shared" si="1328"/>
        <v>0.58836944127708091</v>
      </c>
      <c r="BV1032">
        <f t="shared" si="1329"/>
        <v>72.2</v>
      </c>
      <c r="BX1032">
        <f t="shared" si="1330"/>
        <v>7.22E-2</v>
      </c>
      <c r="BY1032" t="str">
        <f t="shared" si="1316"/>
        <v/>
      </c>
      <c r="BZ1032">
        <v>1</v>
      </c>
      <c r="CA1032">
        <v>0</v>
      </c>
      <c r="CB1032">
        <v>0</v>
      </c>
      <c r="CC1032">
        <v>0</v>
      </c>
      <c r="CD1032">
        <v>0</v>
      </c>
      <c r="CE1032">
        <v>1</v>
      </c>
      <c r="CF1032">
        <v>0</v>
      </c>
      <c r="CG1032">
        <v>1</v>
      </c>
      <c r="CH1032">
        <v>0</v>
      </c>
      <c r="CI1032">
        <v>0</v>
      </c>
      <c r="CJ1032">
        <v>0</v>
      </c>
      <c r="CK1032">
        <v>0</v>
      </c>
      <c r="CL1032">
        <v>0</v>
      </c>
      <c r="CM1032">
        <v>0</v>
      </c>
      <c r="CN1032" t="str">
        <f t="shared" si="1331"/>
        <v>refOK</v>
      </c>
      <c r="CO1032">
        <f t="shared" si="1332"/>
        <v>116.6</v>
      </c>
      <c r="CP1032">
        <f t="shared" si="1333"/>
        <v>116.6</v>
      </c>
      <c r="CQ1032">
        <f t="shared" si="1334"/>
        <v>0</v>
      </c>
      <c r="CR1032">
        <f t="shared" si="1335"/>
        <v>-175.4</v>
      </c>
      <c r="CS1032">
        <f t="shared" si="1336"/>
        <v>-103.2</v>
      </c>
      <c r="CT1032">
        <f t="shared" si="1337"/>
        <v>7.22E-2</v>
      </c>
      <c r="CU1032" t="str">
        <f t="shared" si="1338"/>
        <v/>
      </c>
      <c r="CV1032" s="2">
        <f t="shared" si="1339"/>
        <v>0.41163055872291904</v>
      </c>
      <c r="CW1032" s="1" t="s">
        <v>263</v>
      </c>
      <c r="CX1032" t="str">
        <f t="shared" si="1340"/>
        <v>loc</v>
      </c>
      <c r="CY1032" s="308" t="s">
        <v>3422</v>
      </c>
      <c r="DB1032">
        <v>0</v>
      </c>
      <c r="DC1032" t="str">
        <f t="shared" si="1341"/>
        <v>0</v>
      </c>
      <c r="DD1032">
        <v>0</v>
      </c>
      <c r="DE1032">
        <v>0</v>
      </c>
      <c r="DF1032">
        <v>0</v>
      </c>
      <c r="DG1032">
        <v>1</v>
      </c>
      <c r="DI1032">
        <f t="shared" si="1342"/>
        <v>1</v>
      </c>
      <c r="DJ1032" t="str">
        <f t="shared" si="1343"/>
        <v>TimberInput</v>
      </c>
      <c r="DK1032">
        <f t="shared" si="1344"/>
        <v>0</v>
      </c>
      <c r="DL1032">
        <f t="shared" si="1345"/>
        <v>0</v>
      </c>
      <c r="DM1032">
        <f t="shared" si="1346"/>
        <v>0</v>
      </c>
      <c r="DN1032" t="str">
        <f t="shared" si="1347"/>
        <v>Timber</v>
      </c>
      <c r="DO1032">
        <v>0</v>
      </c>
      <c r="DP1032">
        <v>1</v>
      </c>
      <c r="DQ1032">
        <v>0</v>
      </c>
      <c r="DR1032">
        <v>0</v>
      </c>
      <c r="DS1032">
        <v>0</v>
      </c>
      <c r="DT1032">
        <f t="shared" si="1348"/>
        <v>1</v>
      </c>
      <c r="DU1032" s="143" t="str">
        <f t="shared" si="1349"/>
        <v>external DF used</v>
      </c>
      <c r="DV1032">
        <v>0</v>
      </c>
      <c r="DW1032">
        <v>0</v>
      </c>
      <c r="DX1032">
        <v>0</v>
      </c>
      <c r="DY1032">
        <v>1</v>
      </c>
      <c r="DZ1032">
        <v>0</v>
      </c>
      <c r="EA1032" s="143">
        <v>1</v>
      </c>
      <c r="EB1032">
        <v>1</v>
      </c>
      <c r="EC1032">
        <v>1</v>
      </c>
      <c r="ED1032">
        <v>0</v>
      </c>
      <c r="EE1032">
        <v>1</v>
      </c>
      <c r="EF1032">
        <v>0</v>
      </c>
      <c r="EG1032">
        <v>0</v>
      </c>
      <c r="EH1032">
        <v>0</v>
      </c>
      <c r="EI1032" s="2">
        <v>0</v>
      </c>
      <c r="EK1032" t="str">
        <f t="shared" si="1350"/>
        <v/>
      </c>
      <c r="EL1032" t="str">
        <f t="shared" si="1351"/>
        <v/>
      </c>
      <c r="EM1032" s="2" t="str">
        <f t="shared" si="1317"/>
        <v>Technology approach</v>
      </c>
      <c r="EP1032" t="b">
        <f>IF(ISNUMBER(BU1032),IF(ABS(BU1032-[5]QC_indicators!$B$2)&gt;3*[5]QC_indicators!$C$2,"C ratio",IF(ISNUMBER(BY1032),IF(ABS(BY1032-[5]QC_indicators!$B$1)&gt;3*[5]QC_indicators!$C$1,"DF","no"))),IF(ISNUMBER(BY1032),IF(ABS(BY1032-[5]QC_indicators!$B$1)&gt;3*[5]QC_indicators!$C$1,"DF","no")))</f>
        <v>0</v>
      </c>
      <c r="ER1032" s="149" t="s">
        <v>349</v>
      </c>
      <c r="ET1032" s="264" t="s">
        <v>3272</v>
      </c>
    </row>
    <row r="1033" spans="1:151" ht="15" hidden="1" customHeight="1">
      <c r="A1033" s="1" t="s">
        <v>333</v>
      </c>
      <c r="B1033" t="s">
        <v>944</v>
      </c>
      <c r="C1033" t="s">
        <v>945</v>
      </c>
      <c r="D1033" t="s">
        <v>946</v>
      </c>
      <c r="E1033" t="s">
        <v>947</v>
      </c>
      <c r="F1033" t="s">
        <v>948</v>
      </c>
      <c r="G1033" t="s">
        <v>339</v>
      </c>
      <c r="H1033" t="s">
        <v>254</v>
      </c>
      <c r="I1033">
        <v>2021</v>
      </c>
      <c r="J1033">
        <v>0</v>
      </c>
      <c r="K1033" t="s">
        <v>949</v>
      </c>
      <c r="M1033" t="str">
        <f t="shared" si="1352"/>
        <v>Morris_2021</v>
      </c>
      <c r="N1033" t="s">
        <v>222</v>
      </c>
      <c r="O1033" t="s">
        <v>223</v>
      </c>
      <c r="Q1033" t="s">
        <v>256</v>
      </c>
      <c r="R1033" s="255" t="s">
        <v>225</v>
      </c>
      <c r="S1033" s="1" t="s">
        <v>950</v>
      </c>
      <c r="T1033" t="s">
        <v>951</v>
      </c>
      <c r="U1033" s="143" t="s">
        <v>99</v>
      </c>
      <c r="V1033">
        <v>0</v>
      </c>
      <c r="W1033">
        <v>0</v>
      </c>
      <c r="X1033">
        <v>0</v>
      </c>
      <c r="Y1033">
        <v>0</v>
      </c>
      <c r="Z1033">
        <v>0</v>
      </c>
      <c r="AA1033">
        <v>0</v>
      </c>
      <c r="AB1033">
        <v>0</v>
      </c>
      <c r="AC1033">
        <v>0</v>
      </c>
      <c r="AD1033">
        <v>0</v>
      </c>
      <c r="AE1033">
        <v>0</v>
      </c>
      <c r="AF1033">
        <v>0</v>
      </c>
      <c r="AG1033">
        <v>0</v>
      </c>
      <c r="AH1033">
        <v>1</v>
      </c>
      <c r="AI1033">
        <v>0</v>
      </c>
      <c r="AJ1033">
        <v>0</v>
      </c>
      <c r="AK1033">
        <v>0</v>
      </c>
      <c r="AL1033">
        <v>0</v>
      </c>
      <c r="AM1033">
        <v>0</v>
      </c>
      <c r="AN1033">
        <v>0</v>
      </c>
      <c r="AO1033">
        <v>0</v>
      </c>
      <c r="AP1033">
        <v>0</v>
      </c>
      <c r="AQ1033">
        <v>0</v>
      </c>
      <c r="AR1033">
        <v>0</v>
      </c>
      <c r="AS1033">
        <v>0</v>
      </c>
      <c r="AT1033">
        <v>0</v>
      </c>
      <c r="AU1033">
        <v>0</v>
      </c>
      <c r="AV1033">
        <v>0</v>
      </c>
      <c r="AW1033">
        <v>0</v>
      </c>
      <c r="AX1033" s="141">
        <f t="shared" si="1319"/>
        <v>1</v>
      </c>
      <c r="AY1033" s="141">
        <f t="shared" si="1320"/>
        <v>1</v>
      </c>
      <c r="AZ1033">
        <f t="shared" si="1321"/>
        <v>0</v>
      </c>
      <c r="BA1033">
        <f t="shared" si="1322"/>
        <v>1</v>
      </c>
      <c r="BB1033">
        <f t="shared" si="1323"/>
        <v>0</v>
      </c>
      <c r="BC1033">
        <f t="shared" si="1324"/>
        <v>0</v>
      </c>
      <c r="BD1033">
        <f t="shared" si="1325"/>
        <v>0</v>
      </c>
      <c r="BE1033" t="str">
        <f t="array" ref="BE1033">IF(AY1033=1,INDEX($V$7:$AL$7,MATCH(TRUE,INDEX($V1033:$AW1033&lt;&gt;0,),0)),IF(AY1033=0,INDEX($AM$7:$AW$7,MATCH(1,$AM1033:$AW1033,0)),IF(BF1033="Multiple strategies","mixed drivers",IF(BF1033="Supply chain","multiple supply","multiple silviculture"))))</f>
        <v xml:space="preserve">end of life disposal </v>
      </c>
      <c r="BF1033" s="2" t="str" cm="1">
        <f t="array" ref="BF1033">IF(COUNTIF(AZ1033:BB1033,"&lt;&gt;0")=1,INDEX($V$4:$AW$4,MATCH(TRUE,INDEX($V1033:$AW1033&lt;&gt;0,),0)),IF(COUNTIF(AZ1033:BB1033,"&lt;&gt;0")=0,INDEX($AM$4:$AW$4,MATCH(1,$AM1033:$AW1033,0)),"Multiple strategies"))</f>
        <v>Supply chain</v>
      </c>
      <c r="BG1033" s="1" t="s">
        <v>229</v>
      </c>
      <c r="BH1033" t="s">
        <v>953</v>
      </c>
      <c r="BI1033" s="260" t="s">
        <v>3372</v>
      </c>
      <c r="BJ1033" t="s">
        <v>345</v>
      </c>
      <c r="BK1033">
        <v>116.6</v>
      </c>
      <c r="BL1033">
        <v>116.6</v>
      </c>
      <c r="BM1033" s="143"/>
      <c r="BN1033">
        <f t="shared" si="1326"/>
        <v>0</v>
      </c>
      <c r="BO1033">
        <f t="shared" si="1327"/>
        <v>0</v>
      </c>
      <c r="BP1033" t="s">
        <v>232</v>
      </c>
      <c r="BQ1033" s="260" t="s">
        <v>3374</v>
      </c>
      <c r="BR1033" t="s">
        <v>954</v>
      </c>
      <c r="BS1033" s="143">
        <v>-165.4</v>
      </c>
      <c r="BT1033">
        <v>-105.88</v>
      </c>
      <c r="BU1033" s="144">
        <f t="shared" si="1328"/>
        <v>0.64014510278113657</v>
      </c>
      <c r="BV1033">
        <f t="shared" si="1329"/>
        <v>59.52000000000001</v>
      </c>
      <c r="BX1033">
        <f t="shared" si="1330"/>
        <v>5.952000000000001E-2</v>
      </c>
      <c r="BY1033" t="str">
        <f t="shared" si="1316"/>
        <v/>
      </c>
      <c r="BZ1033">
        <v>1</v>
      </c>
      <c r="CA1033">
        <v>0</v>
      </c>
      <c r="CB1033">
        <v>0</v>
      </c>
      <c r="CC1033">
        <v>0</v>
      </c>
      <c r="CD1033">
        <v>0</v>
      </c>
      <c r="CE1033">
        <v>1</v>
      </c>
      <c r="CF1033">
        <v>0</v>
      </c>
      <c r="CG1033">
        <v>1</v>
      </c>
      <c r="CH1033">
        <v>0</v>
      </c>
      <c r="CI1033">
        <v>0</v>
      </c>
      <c r="CJ1033">
        <v>0</v>
      </c>
      <c r="CK1033">
        <v>0</v>
      </c>
      <c r="CL1033">
        <v>0</v>
      </c>
      <c r="CM1033">
        <v>0</v>
      </c>
      <c r="CN1033" t="str">
        <f t="shared" si="1331"/>
        <v>refOK</v>
      </c>
      <c r="CO1033">
        <f t="shared" si="1332"/>
        <v>116.6</v>
      </c>
      <c r="CP1033">
        <f t="shared" si="1333"/>
        <v>116.6</v>
      </c>
      <c r="CQ1033">
        <f t="shared" si="1334"/>
        <v>0</v>
      </c>
      <c r="CR1033">
        <f t="shared" si="1335"/>
        <v>-165.4</v>
      </c>
      <c r="CS1033">
        <f t="shared" si="1336"/>
        <v>-105.88</v>
      </c>
      <c r="CT1033">
        <f t="shared" si="1337"/>
        <v>5.952000000000001E-2</v>
      </c>
      <c r="CU1033" t="str">
        <f t="shared" si="1338"/>
        <v/>
      </c>
      <c r="CV1033" s="2">
        <f t="shared" si="1339"/>
        <v>0.35985489721886343</v>
      </c>
      <c r="CW1033" s="1" t="s">
        <v>263</v>
      </c>
      <c r="CX1033" t="str">
        <f t="shared" si="1340"/>
        <v>loc</v>
      </c>
      <c r="CY1033" s="308" t="s">
        <v>3422</v>
      </c>
      <c r="DB1033">
        <v>0</v>
      </c>
      <c r="DC1033" t="str">
        <f t="shared" si="1341"/>
        <v>0</v>
      </c>
      <c r="DD1033">
        <v>0</v>
      </c>
      <c r="DE1033">
        <v>0</v>
      </c>
      <c r="DF1033">
        <v>0</v>
      </c>
      <c r="DG1033">
        <v>1</v>
      </c>
      <c r="DI1033">
        <f t="shared" si="1342"/>
        <v>1</v>
      </c>
      <c r="DJ1033" t="str">
        <f t="shared" si="1343"/>
        <v>TimberInput</v>
      </c>
      <c r="DK1033">
        <f t="shared" si="1344"/>
        <v>0</v>
      </c>
      <c r="DL1033">
        <f t="shared" si="1345"/>
        <v>0</v>
      </c>
      <c r="DM1033">
        <f t="shared" si="1346"/>
        <v>0</v>
      </c>
      <c r="DN1033" t="str">
        <f t="shared" si="1347"/>
        <v>Timber</v>
      </c>
      <c r="DO1033">
        <v>0</v>
      </c>
      <c r="DP1033">
        <v>1</v>
      </c>
      <c r="DQ1033">
        <v>0</v>
      </c>
      <c r="DR1033">
        <v>0</v>
      </c>
      <c r="DS1033">
        <v>0</v>
      </c>
      <c r="DT1033">
        <f t="shared" si="1348"/>
        <v>1</v>
      </c>
      <c r="DU1033" s="143" t="str">
        <f t="shared" si="1349"/>
        <v>external DF used</v>
      </c>
      <c r="DV1033">
        <v>0</v>
      </c>
      <c r="DW1033">
        <v>0</v>
      </c>
      <c r="DX1033">
        <v>0</v>
      </c>
      <c r="DY1033">
        <v>0</v>
      </c>
      <c r="DZ1033">
        <v>0</v>
      </c>
      <c r="EA1033" s="143">
        <v>1</v>
      </c>
      <c r="EB1033">
        <v>1</v>
      </c>
      <c r="EC1033">
        <v>1</v>
      </c>
      <c r="ED1033">
        <v>0</v>
      </c>
      <c r="EE1033">
        <v>1</v>
      </c>
      <c r="EF1033">
        <v>0</v>
      </c>
      <c r="EG1033">
        <v>0</v>
      </c>
      <c r="EH1033">
        <v>0</v>
      </c>
      <c r="EI1033" s="2">
        <v>0</v>
      </c>
      <c r="EK1033" t="str">
        <f t="shared" si="1350"/>
        <v/>
      </c>
      <c r="EL1033" t="str">
        <f t="shared" si="1351"/>
        <v/>
      </c>
      <c r="EM1033" s="2" t="str">
        <f t="shared" si="1317"/>
        <v>Technology approach</v>
      </c>
      <c r="EP1033" t="b">
        <f>IF(ISNUMBER(BU1033),IF(ABS(BU1033-[5]QC_indicators!$B$2)&gt;3*[5]QC_indicators!$C$2,"C ratio",IF(ISNUMBER(BY1033),IF(ABS(BY1033-[5]QC_indicators!$B$1)&gt;3*[5]QC_indicators!$C$1,"DF","no"))),IF(ISNUMBER(BY1033),IF(ABS(BY1033-[5]QC_indicators!$B$1)&gt;3*[5]QC_indicators!$C$1,"DF","no")))</f>
        <v>0</v>
      </c>
      <c r="ER1033" s="149" t="s">
        <v>349</v>
      </c>
      <c r="ET1033" s="264" t="s">
        <v>3272</v>
      </c>
    </row>
    <row r="1034" spans="1:151" ht="15" hidden="1" customHeight="1">
      <c r="A1034" s="1" t="s">
        <v>333</v>
      </c>
      <c r="B1034" t="s">
        <v>944</v>
      </c>
      <c r="C1034" t="s">
        <v>945</v>
      </c>
      <c r="D1034" t="s">
        <v>946</v>
      </c>
      <c r="E1034" t="s">
        <v>947</v>
      </c>
      <c r="F1034" t="s">
        <v>948</v>
      </c>
      <c r="G1034" t="s">
        <v>339</v>
      </c>
      <c r="H1034" t="s">
        <v>254</v>
      </c>
      <c r="I1034">
        <v>2021</v>
      </c>
      <c r="J1034">
        <v>0</v>
      </c>
      <c r="K1034" t="s">
        <v>949</v>
      </c>
      <c r="M1034" t="str">
        <f t="shared" si="1352"/>
        <v>Morris_2021</v>
      </c>
      <c r="N1034" t="s">
        <v>222</v>
      </c>
      <c r="O1034" t="s">
        <v>223</v>
      </c>
      <c r="Q1034" t="s">
        <v>256</v>
      </c>
      <c r="R1034" s="255" t="s">
        <v>225</v>
      </c>
      <c r="S1034" s="1" t="s">
        <v>950</v>
      </c>
      <c r="T1034" t="s">
        <v>951</v>
      </c>
      <c r="U1034" s="143" t="s">
        <v>99</v>
      </c>
      <c r="V1034">
        <v>0</v>
      </c>
      <c r="W1034">
        <v>0</v>
      </c>
      <c r="X1034">
        <v>0</v>
      </c>
      <c r="Y1034">
        <v>0</v>
      </c>
      <c r="Z1034">
        <v>0</v>
      </c>
      <c r="AA1034">
        <v>0</v>
      </c>
      <c r="AB1034">
        <v>0</v>
      </c>
      <c r="AC1034">
        <v>0</v>
      </c>
      <c r="AD1034">
        <v>0</v>
      </c>
      <c r="AE1034">
        <v>0</v>
      </c>
      <c r="AF1034">
        <v>0</v>
      </c>
      <c r="AG1034">
        <v>0</v>
      </c>
      <c r="AH1034">
        <v>1</v>
      </c>
      <c r="AI1034">
        <v>0</v>
      </c>
      <c r="AJ1034">
        <v>0</v>
      </c>
      <c r="AK1034">
        <v>0</v>
      </c>
      <c r="AL1034">
        <v>0</v>
      </c>
      <c r="AM1034">
        <v>0</v>
      </c>
      <c r="AN1034">
        <v>0</v>
      </c>
      <c r="AO1034">
        <v>0</v>
      </c>
      <c r="AP1034">
        <v>0</v>
      </c>
      <c r="AQ1034">
        <v>0</v>
      </c>
      <c r="AR1034">
        <v>0</v>
      </c>
      <c r="AS1034">
        <v>0</v>
      </c>
      <c r="AT1034">
        <v>0</v>
      </c>
      <c r="AU1034">
        <v>0</v>
      </c>
      <c r="AV1034">
        <v>0</v>
      </c>
      <c r="AW1034">
        <v>0</v>
      </c>
      <c r="AX1034" s="141">
        <f t="shared" si="1319"/>
        <v>1</v>
      </c>
      <c r="AY1034" s="141">
        <f t="shared" si="1320"/>
        <v>1</v>
      </c>
      <c r="AZ1034">
        <f t="shared" si="1321"/>
        <v>0</v>
      </c>
      <c r="BA1034">
        <f t="shared" si="1322"/>
        <v>1</v>
      </c>
      <c r="BB1034">
        <f t="shared" si="1323"/>
        <v>0</v>
      </c>
      <c r="BC1034">
        <f t="shared" si="1324"/>
        <v>0</v>
      </c>
      <c r="BD1034">
        <f t="shared" si="1325"/>
        <v>0</v>
      </c>
      <c r="BE1034" t="str">
        <f t="array" ref="BE1034">IF(AY1034=1,INDEX($V$7:$AL$7,MATCH(TRUE,INDEX($V1034:$AW1034&lt;&gt;0,),0)),IF(AY1034=0,INDEX($AM$7:$AW$7,MATCH(1,$AM1034:$AW1034,0)),IF(BF1034="Multiple strategies","mixed drivers",IF(BF1034="Supply chain","multiple supply","multiple silviculture"))))</f>
        <v xml:space="preserve">end of life disposal </v>
      </c>
      <c r="BF1034" s="2" t="str" cm="1">
        <f t="array" ref="BF1034">IF(COUNTIF(AZ1034:BB1034,"&lt;&gt;0")=1,INDEX($V$4:$AW$4,MATCH(TRUE,INDEX($V1034:$AW1034&lt;&gt;0,),0)),IF(COUNTIF(AZ1034:BB1034,"&lt;&gt;0")=0,INDEX($AM$4:$AW$4,MATCH(1,$AM1034:$AW1034,0)),"Multiple strategies"))</f>
        <v>Supply chain</v>
      </c>
      <c r="BG1034" s="1" t="s">
        <v>229</v>
      </c>
      <c r="BH1034" t="s">
        <v>953</v>
      </c>
      <c r="BI1034" s="260" t="s">
        <v>3372</v>
      </c>
      <c r="BJ1034" t="s">
        <v>345</v>
      </c>
      <c r="BK1034">
        <v>116.6</v>
      </c>
      <c r="BL1034">
        <v>116.6</v>
      </c>
      <c r="BM1034" s="143"/>
      <c r="BN1034">
        <f t="shared" si="1326"/>
        <v>0</v>
      </c>
      <c r="BO1034">
        <f t="shared" si="1327"/>
        <v>0</v>
      </c>
      <c r="BP1034" t="s">
        <v>232</v>
      </c>
      <c r="BQ1034" s="260" t="s">
        <v>3373</v>
      </c>
      <c r="BR1034" t="s">
        <v>954</v>
      </c>
      <c r="BS1034" s="143">
        <v>-179.7</v>
      </c>
      <c r="BT1034">
        <v>-122.9</v>
      </c>
      <c r="BU1034" s="144">
        <f t="shared" si="1328"/>
        <v>0.68391764051196446</v>
      </c>
      <c r="BV1034">
        <f t="shared" si="1329"/>
        <v>56.799999999999983</v>
      </c>
      <c r="BX1034">
        <f t="shared" si="1330"/>
        <v>5.6799999999999982E-2</v>
      </c>
      <c r="BY1034" t="str">
        <f t="shared" si="1316"/>
        <v/>
      </c>
      <c r="BZ1034">
        <v>1</v>
      </c>
      <c r="CA1034">
        <v>0</v>
      </c>
      <c r="CB1034">
        <v>0</v>
      </c>
      <c r="CC1034">
        <v>0</v>
      </c>
      <c r="CD1034">
        <v>0</v>
      </c>
      <c r="CE1034">
        <v>1</v>
      </c>
      <c r="CF1034">
        <v>0</v>
      </c>
      <c r="CG1034">
        <v>1</v>
      </c>
      <c r="CH1034">
        <v>0</v>
      </c>
      <c r="CI1034">
        <v>0</v>
      </c>
      <c r="CJ1034">
        <v>0</v>
      </c>
      <c r="CK1034">
        <v>0</v>
      </c>
      <c r="CL1034">
        <v>0</v>
      </c>
      <c r="CM1034">
        <v>0</v>
      </c>
      <c r="CN1034" t="str">
        <f t="shared" si="1331"/>
        <v>refOK</v>
      </c>
      <c r="CO1034">
        <f t="shared" si="1332"/>
        <v>116.6</v>
      </c>
      <c r="CP1034">
        <f t="shared" si="1333"/>
        <v>116.6</v>
      </c>
      <c r="CQ1034">
        <f t="shared" si="1334"/>
        <v>0</v>
      </c>
      <c r="CR1034">
        <f t="shared" si="1335"/>
        <v>-179.7</v>
      </c>
      <c r="CS1034">
        <f t="shared" si="1336"/>
        <v>-122.9</v>
      </c>
      <c r="CT1034">
        <f t="shared" si="1337"/>
        <v>5.6799999999999982E-2</v>
      </c>
      <c r="CU1034" t="str">
        <f t="shared" si="1338"/>
        <v/>
      </c>
      <c r="CV1034" s="2">
        <f t="shared" si="1339"/>
        <v>0.31608235948803554</v>
      </c>
      <c r="CW1034" s="1" t="s">
        <v>263</v>
      </c>
      <c r="CX1034" t="str">
        <f t="shared" si="1340"/>
        <v>loc</v>
      </c>
      <c r="CY1034" s="308" t="s">
        <v>3422</v>
      </c>
      <c r="DB1034">
        <v>0</v>
      </c>
      <c r="DC1034" t="str">
        <f t="shared" si="1341"/>
        <v>0</v>
      </c>
      <c r="DD1034">
        <v>0</v>
      </c>
      <c r="DE1034">
        <v>0</v>
      </c>
      <c r="DF1034">
        <v>0</v>
      </c>
      <c r="DG1034">
        <v>1</v>
      </c>
      <c r="DI1034">
        <f t="shared" si="1342"/>
        <v>1</v>
      </c>
      <c r="DJ1034" t="str">
        <f t="shared" si="1343"/>
        <v>TimberInput</v>
      </c>
      <c r="DK1034">
        <f t="shared" si="1344"/>
        <v>0</v>
      </c>
      <c r="DL1034">
        <f t="shared" si="1345"/>
        <v>0</v>
      </c>
      <c r="DM1034">
        <f t="shared" si="1346"/>
        <v>0</v>
      </c>
      <c r="DN1034" t="str">
        <f t="shared" si="1347"/>
        <v>Timber</v>
      </c>
      <c r="DO1034">
        <v>0</v>
      </c>
      <c r="DP1034">
        <v>0</v>
      </c>
      <c r="DQ1034">
        <v>0</v>
      </c>
      <c r="DR1034">
        <v>0</v>
      </c>
      <c r="DS1034">
        <v>0</v>
      </c>
      <c r="DT1034">
        <f t="shared" si="1348"/>
        <v>0</v>
      </c>
      <c r="DU1034" s="143" t="str">
        <f t="shared" si="1349"/>
        <v>explicit C balance</v>
      </c>
      <c r="DV1034">
        <v>0</v>
      </c>
      <c r="DW1034">
        <v>0</v>
      </c>
      <c r="DX1034">
        <v>0</v>
      </c>
      <c r="DY1034">
        <v>1</v>
      </c>
      <c r="DZ1034">
        <v>0</v>
      </c>
      <c r="EA1034" s="143">
        <v>1</v>
      </c>
      <c r="EB1034">
        <v>1</v>
      </c>
      <c r="EC1034">
        <v>1</v>
      </c>
      <c r="ED1034">
        <v>0</v>
      </c>
      <c r="EE1034">
        <v>1</v>
      </c>
      <c r="EF1034">
        <v>0</v>
      </c>
      <c r="EG1034">
        <v>0</v>
      </c>
      <c r="EH1034">
        <v>0</v>
      </c>
      <c r="EI1034" s="2">
        <v>0</v>
      </c>
      <c r="EK1034" t="str">
        <f t="shared" si="1350"/>
        <v/>
      </c>
      <c r="EL1034" t="str">
        <f t="shared" si="1351"/>
        <v/>
      </c>
      <c r="EM1034" s="2" t="str">
        <f t="shared" si="1317"/>
        <v>Technology approach</v>
      </c>
      <c r="EP1034" t="b">
        <f>IF(ISNUMBER(BU1034),IF(ABS(BU1034-[5]QC_indicators!$B$2)&gt;3*[5]QC_indicators!$C$2,"C ratio",IF(ISNUMBER(BY1034),IF(ABS(BY1034-[5]QC_indicators!$B$1)&gt;3*[5]QC_indicators!$C$1,"DF","no"))),IF(ISNUMBER(BY1034),IF(ABS(BY1034-[5]QC_indicators!$B$1)&gt;3*[5]QC_indicators!$C$1,"DF","no")))</f>
        <v>0</v>
      </c>
      <c r="ER1034" s="149" t="s">
        <v>349</v>
      </c>
      <c r="ET1034" s="264" t="s">
        <v>3272</v>
      </c>
    </row>
    <row r="1035" spans="1:151" ht="15" hidden="1" customHeight="1">
      <c r="A1035" s="1" t="s">
        <v>1422</v>
      </c>
      <c r="B1035" t="s">
        <v>4613</v>
      </c>
      <c r="C1035" t="s">
        <v>4614</v>
      </c>
      <c r="D1035" t="s">
        <v>4615</v>
      </c>
      <c r="E1035" t="s">
        <v>4616</v>
      </c>
      <c r="F1035" t="s">
        <v>4617</v>
      </c>
      <c r="G1035" t="s">
        <v>1428</v>
      </c>
      <c r="H1035" t="s">
        <v>254</v>
      </c>
      <c r="I1035">
        <v>2019</v>
      </c>
      <c r="J1035">
        <v>3</v>
      </c>
      <c r="K1035" t="s">
        <v>4618</v>
      </c>
      <c r="M1035" t="str">
        <f t="shared" si="1352"/>
        <v>Mozgeris_2019</v>
      </c>
      <c r="N1035" s="326" t="s">
        <v>2582</v>
      </c>
      <c r="O1035" s="157" t="s">
        <v>274</v>
      </c>
      <c r="P1035" t="s">
        <v>959</v>
      </c>
      <c r="Q1035" s="311" t="s">
        <v>389</v>
      </c>
      <c r="R1035" s="312"/>
      <c r="AX1035" s="141"/>
      <c r="AY1035" s="141"/>
      <c r="BE1035"/>
      <c r="BF1035" s="2"/>
      <c r="BU1035" s="144"/>
      <c r="BY1035" t="str">
        <f t="shared" si="1316"/>
        <v/>
      </c>
      <c r="CN1035"/>
      <c r="CO1035"/>
      <c r="CP1035"/>
      <c r="CQ1035"/>
      <c r="CR1035"/>
      <c r="CS1035"/>
      <c r="CT1035"/>
      <c r="CU1035"/>
      <c r="CV1035" s="2"/>
      <c r="CX1035"/>
      <c r="DC1035"/>
      <c r="DI1035"/>
      <c r="DJ1035"/>
      <c r="DK1035"/>
      <c r="DL1035"/>
      <c r="DM1035"/>
      <c r="DN1035"/>
      <c r="DT1035"/>
      <c r="DU1035" s="143"/>
      <c r="EK1035" t="str">
        <f>IF(AND(AND(AND(OR($DX1035=1,$DW1035=1),OR($EC1035=1,$EA1035=1)),SUM($DV1035:$DZ1035,$EF1035)&gt;=3),SUM($EA1035:$EE1035)&gt;=2),"Whole sector","")</f>
        <v/>
      </c>
      <c r="EL1035" t="str">
        <f>IF(AND(AND(OR($DX1035=1,$DW1035=1),AND($EC1035=0,$EA1035=0)),SUM($DV1035:$DZ1035,$EF1035)&gt;=3),"Ecosystem approach","")</f>
        <v/>
      </c>
      <c r="EM1035" s="2" t="str">
        <f t="shared" si="1317"/>
        <v/>
      </c>
      <c r="EN1035" s="311" t="s">
        <v>4619</v>
      </c>
      <c r="EP1035" t="b">
        <f>IF(ISNUMBER(BU1035),IF(ABS(BU1035-[1]QC_indicators!$B$2)&gt;3*[1]QC_indicators!$C$2,"C ratio",IF(ISNUMBER(BY1035),IF(ABS(BY1035-[1]QC_indicators!$B$1)&gt;3*[1]QC_indicators!$C$1,"DF","no"))),IF(ISNUMBER(BY1035),IF(ABS(BY1035-[1]QC_indicators!$B$1)&gt;3*[1]QC_indicators!$C$1,"DF","no")))</f>
        <v>0</v>
      </c>
    </row>
    <row r="1036" spans="1:151" ht="15" hidden="1" customHeight="1">
      <c r="A1036" s="1" t="s">
        <v>486</v>
      </c>
      <c r="B1036" t="s">
        <v>544</v>
      </c>
      <c r="C1036" t="s">
        <v>5149</v>
      </c>
      <c r="D1036" t="s">
        <v>5150</v>
      </c>
      <c r="E1036" t="s">
        <v>5151</v>
      </c>
      <c r="F1036" t="s">
        <v>5152</v>
      </c>
      <c r="G1036" t="s">
        <v>492</v>
      </c>
      <c r="H1036" t="s">
        <v>3790</v>
      </c>
      <c r="I1036">
        <v>2021</v>
      </c>
      <c r="J1036">
        <v>3</v>
      </c>
      <c r="K1036" t="s">
        <v>5153</v>
      </c>
      <c r="M1036" t="str">
        <f t="shared" si="1352"/>
        <v>Myllyviita_2021</v>
      </c>
      <c r="N1036" t="s">
        <v>2585</v>
      </c>
      <c r="O1036" s="157" t="s">
        <v>274</v>
      </c>
      <c r="P1036" t="s">
        <v>959</v>
      </c>
      <c r="Q1036" s="311" t="s">
        <v>389</v>
      </c>
      <c r="R1036" s="312"/>
      <c r="AX1036" s="141"/>
      <c r="AY1036" s="141"/>
      <c r="BE1036"/>
      <c r="BF1036" s="2"/>
      <c r="BU1036" s="144"/>
      <c r="BY1036" t="str">
        <f t="shared" si="1316"/>
        <v/>
      </c>
      <c r="CN1036"/>
      <c r="CO1036"/>
      <c r="CP1036"/>
      <c r="CQ1036"/>
      <c r="CR1036"/>
      <c r="CS1036"/>
      <c r="CT1036"/>
      <c r="CU1036"/>
      <c r="CV1036" s="2"/>
      <c r="CX1036"/>
      <c r="DC1036"/>
      <c r="DI1036"/>
      <c r="DJ1036"/>
      <c r="DK1036"/>
      <c r="DL1036"/>
      <c r="DM1036"/>
      <c r="DN1036"/>
      <c r="DT1036"/>
      <c r="DU1036" s="143"/>
      <c r="EK1036" t="str">
        <f>IF(AND(AND(AND(OR($DX1036=1,$DW1036=1),OR($EC1036=1,$EA1036=1)),SUM($DV1036:$DZ1036,$EF1036)&gt;=3),SUM($EA1036:$EE1036)&gt;=2),"Whole sector","")</f>
        <v/>
      </c>
      <c r="EL1036" t="str">
        <f>IF(AND(AND(OR($DX1036=1,$DW1036=1),AND($EC1036=0,$EA1036=0)),SUM($DV1036:$DZ1036,$EF1036)&gt;=3),"Ecosystem approach","")</f>
        <v/>
      </c>
      <c r="EM1036" s="2" t="str">
        <f t="shared" si="1317"/>
        <v/>
      </c>
      <c r="EP1036" t="b">
        <f>IF(ISNUMBER(BU1036),IF(ABS(BU1036-[1]QC_indicators!$B$2)&gt;3*[1]QC_indicators!$C$2,"C ratio",IF(ISNUMBER(BY1036),IF(ABS(BY1036-[1]QC_indicators!$B$1)&gt;3*[1]QC_indicators!$C$1,"DF","no"))),IF(ISNUMBER(BY1036),IF(ABS(BY1036-[1]QC_indicators!$B$1)&gt;3*[1]QC_indicators!$C$1,"DF","no")))</f>
        <v>0</v>
      </c>
      <c r="EU1036" s="185"/>
    </row>
    <row r="1037" spans="1:151" ht="15" hidden="1" customHeight="1">
      <c r="A1037" s="1" t="s">
        <v>1971</v>
      </c>
      <c r="B1037" t="s">
        <v>1972</v>
      </c>
      <c r="C1037" t="s">
        <v>1973</v>
      </c>
      <c r="D1037" t="s">
        <v>1974</v>
      </c>
      <c r="E1037" s="264" t="s">
        <v>1975</v>
      </c>
      <c r="F1037" t="s">
        <v>1976</v>
      </c>
      <c r="G1037" t="s">
        <v>1977</v>
      </c>
      <c r="H1037" t="s">
        <v>254</v>
      </c>
      <c r="I1037">
        <v>2018</v>
      </c>
      <c r="J1037">
        <v>21</v>
      </c>
      <c r="K1037" t="s">
        <v>1978</v>
      </c>
      <c r="M1037" t="str">
        <f t="shared" si="1352"/>
        <v>Nabuurs_2018</v>
      </c>
      <c r="N1037" t="s">
        <v>222</v>
      </c>
      <c r="O1037" s="157" t="s">
        <v>274</v>
      </c>
      <c r="P1037" t="s">
        <v>959</v>
      </c>
      <c r="Q1037" t="s">
        <v>389</v>
      </c>
      <c r="R1037" s="255" t="s">
        <v>225</v>
      </c>
      <c r="S1037" s="1" t="s">
        <v>1979</v>
      </c>
      <c r="T1037" s="152" t="s">
        <v>1980</v>
      </c>
      <c r="U1037" s="184" t="s">
        <v>1981</v>
      </c>
      <c r="V1037">
        <v>0</v>
      </c>
      <c r="W1037">
        <v>0</v>
      </c>
      <c r="X1037">
        <v>0</v>
      </c>
      <c r="Y1037">
        <v>1</v>
      </c>
      <c r="Z1037">
        <v>0</v>
      </c>
      <c r="AA1037">
        <v>0</v>
      </c>
      <c r="AB1037">
        <v>0</v>
      </c>
      <c r="AC1037">
        <v>0</v>
      </c>
      <c r="AD1037">
        <v>0</v>
      </c>
      <c r="AE1037">
        <v>0</v>
      </c>
      <c r="AF1037">
        <v>0</v>
      </c>
      <c r="AG1037">
        <v>0</v>
      </c>
      <c r="AH1037">
        <v>0</v>
      </c>
      <c r="AI1037">
        <v>0</v>
      </c>
      <c r="AJ1037">
        <v>0</v>
      </c>
      <c r="AK1037">
        <v>0</v>
      </c>
      <c r="AL1037">
        <v>0</v>
      </c>
      <c r="AM1037">
        <v>0</v>
      </c>
      <c r="AN1037">
        <v>0</v>
      </c>
      <c r="AO1037">
        <v>0</v>
      </c>
      <c r="AP1037">
        <v>0</v>
      </c>
      <c r="AQ1037">
        <v>0</v>
      </c>
      <c r="AR1037">
        <v>0</v>
      </c>
      <c r="AS1037">
        <v>0</v>
      </c>
      <c r="AT1037">
        <v>0</v>
      </c>
      <c r="AU1037">
        <v>0</v>
      </c>
      <c r="AV1037">
        <v>0</v>
      </c>
      <c r="AW1037">
        <v>0</v>
      </c>
      <c r="AX1037" s="141">
        <f t="shared" ref="AX1037:AX1059" si="1353">COUNTIF(V1037:AW1037,"&lt;&gt;0")</f>
        <v>1</v>
      </c>
      <c r="AY1037" s="141">
        <f t="shared" ref="AY1037:AY1059" si="1354">COUNTIF(V1037:AL1037,"&lt;&gt;0")</f>
        <v>1</v>
      </c>
      <c r="AZ1037">
        <f t="shared" ref="AZ1037:AZ1059" si="1355">COUNTIF(V1037:AC1037,"&lt;&gt;0")</f>
        <v>1</v>
      </c>
      <c r="BA1037">
        <f t="shared" ref="BA1037:BA1059" si="1356">COUNTIF(AD1037:AI1037,"&lt;&gt;0")</f>
        <v>0</v>
      </c>
      <c r="BB1037">
        <f t="shared" ref="BB1037:BB1059" si="1357">COUNTIF(AJ1037:AL1037,"&lt;&gt;0")</f>
        <v>0</v>
      </c>
      <c r="BC1037">
        <f t="shared" ref="BC1037:BC1059" si="1358">COUNTIF(AS1037:AW1037,"&lt;&gt;0")</f>
        <v>0</v>
      </c>
      <c r="BD1037">
        <f t="shared" ref="BD1037:BD1059" si="1359">COUNTIF(AM1037:AR1037,"&lt;&gt;0")</f>
        <v>0</v>
      </c>
      <c r="BE1037" t="str">
        <f t="array" ref="BE1037">IF(AY1037=1,INDEX($V$7:$AL$7,MATCH(TRUE,INDEX($V1037:$AW1037&lt;&gt;0,),0)),IF(AY1037=0,INDEX($AM$7:$AW$7,MATCH(1,$AM1037:$AW1037,0)),IF(BF1037="Multiple strategies","mixed drivers",IF(BF1037="Supply chain","multiple supply","multiple silviculture"))))</f>
        <v xml:space="preserve">cutting intensity </v>
      </c>
      <c r="BF1037" s="2" t="str" cm="1">
        <f t="array" ref="BF1037">IF(COUNTIF(AZ1037:BB1037,"&lt;&gt;0")=1,INDEX($V$4:$AW$4,MATCH(TRUE,INDEX($V1037:$AW1037&lt;&gt;0,),0)),IF(COUNTIF(AZ1037:BB1037,"&lt;&gt;0")=0,INDEX($AM$4:$AW$4,MATCH(1,$AM1037:$AW1037,0)),"Multiple strategies"))</f>
        <v>Silviculture for removals</v>
      </c>
      <c r="BG1037" s="1" t="s">
        <v>321</v>
      </c>
      <c r="BH1037" t="s">
        <v>1982</v>
      </c>
      <c r="BI1037" s="260" t="s">
        <v>3380</v>
      </c>
      <c r="BJ1037" t="s">
        <v>1983</v>
      </c>
      <c r="BK1037" s="152">
        <v>4190644782.1222701</v>
      </c>
      <c r="BL1037" s="152">
        <v>4538767649.01647</v>
      </c>
      <c r="BM1037">
        <v>1.0830714329163207</v>
      </c>
      <c r="BN1037">
        <f t="shared" ref="BN1037:BN1047" si="1360">BL1037-BK1037</f>
        <v>348122866.89419985</v>
      </c>
      <c r="BO1037">
        <f t="shared" ref="BO1037:BO1047" si="1361">BN1037</f>
        <v>348122866.89419985</v>
      </c>
      <c r="BP1037" t="s">
        <v>395</v>
      </c>
      <c r="BQ1037" s="260" t="s">
        <v>3381</v>
      </c>
      <c r="BR1037" t="s">
        <v>1984</v>
      </c>
      <c r="BS1037" s="289">
        <f>-373.8*1000000</f>
        <v>-373800000</v>
      </c>
      <c r="BT1037" s="289">
        <f>-335.71*1000000</f>
        <v>-335710000</v>
      </c>
      <c r="BU1037" s="144">
        <v>0.9672089812091007</v>
      </c>
      <c r="BV1037" s="152">
        <v>13455706.042723</v>
      </c>
      <c r="BX1037" s="152">
        <f t="shared" ref="BX1037:BX1043" si="1362">BV1037</f>
        <v>13455706.042723</v>
      </c>
      <c r="BY1037">
        <f t="shared" si="1316"/>
        <v>3.8652175201155076E-2</v>
      </c>
      <c r="BZ1037">
        <v>0</v>
      </c>
      <c r="CA1037">
        <v>0</v>
      </c>
      <c r="CB1037">
        <v>0</v>
      </c>
      <c r="CC1037">
        <v>0</v>
      </c>
      <c r="CD1037">
        <v>0</v>
      </c>
      <c r="CE1037">
        <v>0</v>
      </c>
      <c r="CF1037">
        <v>0</v>
      </c>
      <c r="CG1037">
        <v>0</v>
      </c>
      <c r="CH1037">
        <v>0</v>
      </c>
      <c r="CI1037">
        <v>0</v>
      </c>
      <c r="CJ1037">
        <v>0</v>
      </c>
      <c r="CK1037">
        <v>0</v>
      </c>
      <c r="CL1037">
        <v>0</v>
      </c>
      <c r="CM1037">
        <v>0</v>
      </c>
      <c r="CN1037" t="str">
        <f t="shared" ref="CN1037:CN1059" si="1363">IF($BL1037&lt;$BK1037,"refNeedCorrection","refOK")</f>
        <v>refOK</v>
      </c>
      <c r="CO1037">
        <f t="shared" ref="CO1037:CO1047" si="1364">IF($CN1037="refOK",$BK1037,$BL1037)</f>
        <v>4190644782.1222701</v>
      </c>
      <c r="CP1037">
        <f t="shared" ref="CP1037:CP1047" si="1365">IF($CN1037="refOK",$BL1037,$BK1037)</f>
        <v>4538767649.01647</v>
      </c>
      <c r="CQ1037">
        <f t="shared" ref="CQ1037:CQ1047" si="1366">IF($CN1037="refOK",$BO1037,-$BO1037)</f>
        <v>348122866.89419985</v>
      </c>
      <c r="CR1037">
        <f t="shared" ref="CR1037:CR1059" si="1367">IF($CN1037="refOK",$BS1037,$BT1037)*IF($BP1037="Emissions positive",-1,1)</f>
        <v>373800000</v>
      </c>
      <c r="CS1037">
        <f t="shared" ref="CS1037:CS1059" si="1368">IF($CN1037="refOK",$BT1037,$BS1037)*IF($BP1037="Emissions positive",-1,1)</f>
        <v>335710000</v>
      </c>
      <c r="CT1037">
        <f t="shared" ref="CT1037:CT1059" si="1369">IF($CN1037="refNeedCorrection",-BX1037,BX1037)*IF($BP1037="Emissions positive",-1,1)</f>
        <v>-13455706.042723</v>
      </c>
      <c r="CU1037">
        <f t="shared" ref="CU1037:CU1059" si="1370">IFERROR(CT1037/CQ1037,"")</f>
        <v>-3.8652175201155076E-2</v>
      </c>
      <c r="CV1037" s="2">
        <f t="shared" ref="CV1037:CV1059" si="1371">IFERROR((CS1037-CR1037)/ABS(CR1037),"")</f>
        <v>-0.10189941144997325</v>
      </c>
      <c r="CW1037" s="1" t="s">
        <v>1230</v>
      </c>
      <c r="CX1037" t="str">
        <f t="shared" ref="CX1037:CX1055" si="1372">IF(OR($CW1037="prd",$CW1037="std",$CW1037="cit"),"loc",IF(OR($CW1037="eur",$CW1037="reg",$CW1037="coy"),"reg",$CW1037))</f>
        <v>reg</v>
      </c>
      <c r="CY1037" t="s">
        <v>743</v>
      </c>
      <c r="CZ1037">
        <v>2015</v>
      </c>
      <c r="DA1037">
        <v>2025</v>
      </c>
      <c r="DB1037">
        <v>0</v>
      </c>
      <c r="DC1037" t="str">
        <f t="shared" ref="DC1037:DC1059" si="1373">IF(DB1037=0,"0",IF(AND(DB1037&gt;=1,DB1037&lt;=30),"1-30",IF(AND(DB1037&gt;30,DB1037&lt;=70),"31-70",IF(AND(DB1037&gt;70,DB1037&lt;=100),"71-100",IF(DB1037&gt;100,"+100")))))</f>
        <v>0</v>
      </c>
      <c r="DD1037">
        <v>1</v>
      </c>
      <c r="DE1037">
        <v>0</v>
      </c>
      <c r="DF1037">
        <v>0</v>
      </c>
      <c r="DG1037">
        <v>0</v>
      </c>
      <c r="DI1037">
        <v>1</v>
      </c>
      <c r="DJ1037" t="str">
        <f t="shared" ref="DJ1037:DJ1059" si="1374">IF(DI1037=1,INDEX($DD$7:$DG$7,MATCH(1,$DD1037:$DG1037,0)),"mixedProduct")</f>
        <v>UpstreamInput</v>
      </c>
      <c r="DK1037" t="str">
        <f t="shared" ref="DK1037:DK1059" si="1375">IF(DD1037=1,DK$7,0)</f>
        <v>Upstream</v>
      </c>
      <c r="DL1037">
        <f t="shared" ref="DL1037:DL1059" si="1376">IF(DE1037=1,DL$7,0)</f>
        <v>0</v>
      </c>
      <c r="DM1037">
        <f t="shared" ref="DM1037:DM1059" si="1377">IF(DF1037=1,DM$7,0)</f>
        <v>0</v>
      </c>
      <c r="DN1037">
        <f t="shared" ref="DN1037:DN1059" si="1378">IF(DG1037=1,DN$7,0)</f>
        <v>0</v>
      </c>
      <c r="DO1037">
        <v>0</v>
      </c>
      <c r="DP1037">
        <v>0</v>
      </c>
      <c r="DQ1037">
        <v>0</v>
      </c>
      <c r="DR1037">
        <v>0</v>
      </c>
      <c r="DS1037">
        <v>0</v>
      </c>
      <c r="DT1037">
        <f t="shared" ref="DT1037:DT1059" si="1379">SUM(DO1037:DP1037)</f>
        <v>0</v>
      </c>
      <c r="DU1037" s="143" t="s">
        <v>961</v>
      </c>
      <c r="DV1037">
        <v>0</v>
      </c>
      <c r="DW1037">
        <v>0</v>
      </c>
      <c r="DX1037">
        <v>0</v>
      </c>
      <c r="DY1037">
        <v>0</v>
      </c>
      <c r="DZ1037">
        <v>0</v>
      </c>
      <c r="EA1037" s="143">
        <v>0</v>
      </c>
      <c r="EB1037">
        <v>1</v>
      </c>
      <c r="EC1037">
        <v>0</v>
      </c>
      <c r="ED1037">
        <v>0</v>
      </c>
      <c r="EE1037">
        <v>0</v>
      </c>
      <c r="EF1037">
        <v>0</v>
      </c>
      <c r="EG1037">
        <v>0</v>
      </c>
      <c r="EH1037">
        <v>0</v>
      </c>
      <c r="EI1037" s="2">
        <v>0</v>
      </c>
      <c r="EK1037" t="str">
        <f t="shared" ref="EK1037:EK1047" si="1380">IF(AND(AND(AND(OR($DX1037=1,$DW1037=1),OR($EC1037=1,$EA1037=1)),SUM($DV1037:$DZ1037,$EF1037)&gt;=4),SUM($EA1037:$EE1037)&gt;=2),"Whole sector","")</f>
        <v/>
      </c>
      <c r="EL1037" t="str">
        <f t="shared" ref="EL1037:EL1047" si="1381">IF(AND(AND(OR($DX1037=1,$DW1037=1),AND($EC1037=0,$EA1037=0)),SUM($DV1037:$DZ1037,$EF1037)&gt;=4),"Ecosystem approach","")</f>
        <v/>
      </c>
      <c r="EM1037" s="2" t="str">
        <f t="shared" si="1317"/>
        <v/>
      </c>
      <c r="EP1037" t="str">
        <f>IF(ISNUMBER(BU1037),IF(ABS(BU1037-[5]QC_indicators!$B$2)&gt;3*[5]QC_indicators!$C$2,"C ratio",IF(ISNUMBER(BY1037),IF(ABS(BY1037-[5]QC_indicators!$B$1)&gt;3*[5]QC_indicators!$C$1,"DF","no"))),IF(ISNUMBER(BY1037),IF(ABS(BY1037-[5]QC_indicators!$B$1)&gt;3*[5]QC_indicators!$C$1,"DF","no")))</f>
        <v>no</v>
      </c>
      <c r="ET1037" s="264" t="s">
        <v>3272</v>
      </c>
    </row>
    <row r="1038" spans="1:151" ht="15" hidden="1" customHeight="1">
      <c r="A1038" s="1" t="s">
        <v>1971</v>
      </c>
      <c r="B1038" t="s">
        <v>1972</v>
      </c>
      <c r="C1038" t="s">
        <v>1973</v>
      </c>
      <c r="D1038" t="s">
        <v>1974</v>
      </c>
      <c r="E1038" t="s">
        <v>1975</v>
      </c>
      <c r="F1038" t="s">
        <v>1976</v>
      </c>
      <c r="G1038" t="s">
        <v>1977</v>
      </c>
      <c r="H1038" t="s">
        <v>254</v>
      </c>
      <c r="I1038">
        <v>2018</v>
      </c>
      <c r="J1038">
        <v>21</v>
      </c>
      <c r="K1038" t="s">
        <v>1978</v>
      </c>
      <c r="M1038" t="str">
        <f t="shared" si="1352"/>
        <v>Nabuurs_2018</v>
      </c>
      <c r="N1038" t="s">
        <v>222</v>
      </c>
      <c r="O1038" s="157" t="s">
        <v>274</v>
      </c>
      <c r="P1038" t="s">
        <v>959</v>
      </c>
      <c r="Q1038" t="s">
        <v>389</v>
      </c>
      <c r="R1038" s="255" t="s">
        <v>225</v>
      </c>
      <c r="S1038" s="1" t="s">
        <v>1979</v>
      </c>
      <c r="T1038" s="152" t="s">
        <v>1980</v>
      </c>
      <c r="U1038" s="184" t="s">
        <v>1981</v>
      </c>
      <c r="V1038">
        <v>0</v>
      </c>
      <c r="W1038">
        <v>0</v>
      </c>
      <c r="X1038">
        <v>0</v>
      </c>
      <c r="Y1038">
        <v>1</v>
      </c>
      <c r="Z1038">
        <v>0</v>
      </c>
      <c r="AA1038">
        <v>0</v>
      </c>
      <c r="AB1038">
        <v>0</v>
      </c>
      <c r="AC1038">
        <v>0</v>
      </c>
      <c r="AD1038">
        <v>0</v>
      </c>
      <c r="AE1038">
        <v>0</v>
      </c>
      <c r="AF1038">
        <v>0</v>
      </c>
      <c r="AG1038">
        <v>0</v>
      </c>
      <c r="AH1038">
        <v>0</v>
      </c>
      <c r="AI1038">
        <v>0</v>
      </c>
      <c r="AJ1038">
        <v>0</v>
      </c>
      <c r="AK1038">
        <v>0</v>
      </c>
      <c r="AL1038">
        <v>0</v>
      </c>
      <c r="AM1038">
        <v>0</v>
      </c>
      <c r="AN1038">
        <v>0</v>
      </c>
      <c r="AO1038">
        <v>0</v>
      </c>
      <c r="AP1038">
        <v>0</v>
      </c>
      <c r="AQ1038">
        <v>0</v>
      </c>
      <c r="AR1038">
        <v>0</v>
      </c>
      <c r="AS1038">
        <v>0</v>
      </c>
      <c r="AT1038">
        <v>0</v>
      </c>
      <c r="AU1038">
        <v>0</v>
      </c>
      <c r="AV1038">
        <v>0</v>
      </c>
      <c r="AW1038">
        <v>0</v>
      </c>
      <c r="AX1038" s="141">
        <f t="shared" si="1353"/>
        <v>1</v>
      </c>
      <c r="AY1038" s="141">
        <f t="shared" si="1354"/>
        <v>1</v>
      </c>
      <c r="AZ1038">
        <f t="shared" si="1355"/>
        <v>1</v>
      </c>
      <c r="BA1038">
        <f t="shared" si="1356"/>
        <v>0</v>
      </c>
      <c r="BB1038">
        <f t="shared" si="1357"/>
        <v>0</v>
      </c>
      <c r="BC1038">
        <f t="shared" si="1358"/>
        <v>0</v>
      </c>
      <c r="BD1038">
        <f t="shared" si="1359"/>
        <v>0</v>
      </c>
      <c r="BE1038" t="str">
        <f t="array" ref="BE1038">IF(AY1038=1,INDEX($V$7:$AL$7,MATCH(TRUE,INDEX($V1038:$AW1038&lt;&gt;0,),0)),IF(AY1038=0,INDEX($AM$7:$AW$7,MATCH(1,$AM1038:$AW1038,0)),IF(BF1038="Multiple strategies","mixed drivers",IF(BF1038="Supply chain","multiple supply","multiple silviculture"))))</f>
        <v xml:space="preserve">cutting intensity </v>
      </c>
      <c r="BF1038" s="2" t="str" cm="1">
        <f t="array" ref="BF1038">IF(COUNTIF(AZ1038:BB1038,"&lt;&gt;0")=1,INDEX($V$4:$AW$4,MATCH(TRUE,INDEX($V1038:$AW1038&lt;&gt;0,),0)),IF(COUNTIF(AZ1038:BB1038,"&lt;&gt;0")=0,INDEX($AM$4:$AW$4,MATCH(1,$AM1038:$AW1038,0)),"Multiple strategies"))</f>
        <v>Silviculture for removals</v>
      </c>
      <c r="BG1038" s="1" t="s">
        <v>321</v>
      </c>
      <c r="BH1038" t="s">
        <v>1982</v>
      </c>
      <c r="BI1038" s="260" t="s">
        <v>3382</v>
      </c>
      <c r="BJ1038" t="s">
        <v>1983</v>
      </c>
      <c r="BK1038" s="152">
        <v>4176029909.5067401</v>
      </c>
      <c r="BL1038" s="152">
        <v>5588977950.2357893</v>
      </c>
      <c r="BM1038">
        <v>1.3383472032880968</v>
      </c>
      <c r="BN1038">
        <f t="shared" si="1360"/>
        <v>1412948040.7290492</v>
      </c>
      <c r="BO1038">
        <f t="shared" si="1361"/>
        <v>1412948040.7290492</v>
      </c>
      <c r="BP1038" t="s">
        <v>395</v>
      </c>
      <c r="BQ1038" s="260" t="s">
        <v>3383</v>
      </c>
      <c r="BR1038" t="s">
        <v>1984</v>
      </c>
      <c r="BS1038" s="289">
        <f>-273.8*1000000</f>
        <v>-273800000</v>
      </c>
      <c r="BT1038" s="289">
        <f>-148.41*1000000</f>
        <v>-148410000</v>
      </c>
      <c r="BU1038" s="144">
        <v>0.50707458802531458</v>
      </c>
      <c r="BV1038" s="152">
        <v>178254847.64542899</v>
      </c>
      <c r="BX1038" s="152">
        <f t="shared" si="1362"/>
        <v>178254847.64542899</v>
      </c>
      <c r="BY1038">
        <f t="shared" si="1316"/>
        <v>0.12615810525732674</v>
      </c>
      <c r="BZ1038">
        <v>0</v>
      </c>
      <c r="CA1038">
        <v>0</v>
      </c>
      <c r="CB1038">
        <v>0</v>
      </c>
      <c r="CC1038">
        <v>0</v>
      </c>
      <c r="CD1038">
        <v>0</v>
      </c>
      <c r="CE1038">
        <v>0</v>
      </c>
      <c r="CF1038">
        <v>0</v>
      </c>
      <c r="CG1038">
        <v>0</v>
      </c>
      <c r="CH1038">
        <v>0</v>
      </c>
      <c r="CI1038">
        <v>0</v>
      </c>
      <c r="CJ1038">
        <v>0</v>
      </c>
      <c r="CK1038">
        <v>0</v>
      </c>
      <c r="CL1038">
        <v>0</v>
      </c>
      <c r="CM1038">
        <v>0</v>
      </c>
      <c r="CN1038" t="str">
        <f t="shared" si="1363"/>
        <v>refOK</v>
      </c>
      <c r="CO1038">
        <f t="shared" si="1364"/>
        <v>4176029909.5067401</v>
      </c>
      <c r="CP1038">
        <f t="shared" si="1365"/>
        <v>5588977950.2357893</v>
      </c>
      <c r="CQ1038">
        <f t="shared" si="1366"/>
        <v>1412948040.7290492</v>
      </c>
      <c r="CR1038">
        <f t="shared" si="1367"/>
        <v>273800000</v>
      </c>
      <c r="CS1038">
        <f t="shared" si="1368"/>
        <v>148410000</v>
      </c>
      <c r="CT1038">
        <f t="shared" si="1369"/>
        <v>-178254847.64542899</v>
      </c>
      <c r="CU1038">
        <f t="shared" si="1370"/>
        <v>-0.12615810525732674</v>
      </c>
      <c r="CV1038" s="2">
        <f t="shared" si="1371"/>
        <v>-0.45796201607012416</v>
      </c>
      <c r="CW1038" s="1" t="s">
        <v>1230</v>
      </c>
      <c r="CX1038" t="str">
        <f t="shared" si="1372"/>
        <v>reg</v>
      </c>
      <c r="CY1038" t="s">
        <v>743</v>
      </c>
      <c r="CZ1038">
        <v>2015</v>
      </c>
      <c r="DA1038">
        <v>2050</v>
      </c>
      <c r="DB1038">
        <v>0</v>
      </c>
      <c r="DC1038" t="str">
        <f t="shared" si="1373"/>
        <v>0</v>
      </c>
      <c r="DD1038">
        <v>1</v>
      </c>
      <c r="DE1038">
        <v>0</v>
      </c>
      <c r="DF1038">
        <v>0</v>
      </c>
      <c r="DG1038">
        <v>0</v>
      </c>
      <c r="DI1038">
        <v>1</v>
      </c>
      <c r="DJ1038" t="str">
        <f t="shared" si="1374"/>
        <v>UpstreamInput</v>
      </c>
      <c r="DK1038" t="str">
        <f t="shared" si="1375"/>
        <v>Upstream</v>
      </c>
      <c r="DL1038">
        <f t="shared" si="1376"/>
        <v>0</v>
      </c>
      <c r="DM1038">
        <f t="shared" si="1377"/>
        <v>0</v>
      </c>
      <c r="DN1038">
        <f t="shared" si="1378"/>
        <v>0</v>
      </c>
      <c r="DO1038">
        <v>0</v>
      </c>
      <c r="DP1038">
        <v>0</v>
      </c>
      <c r="DQ1038">
        <v>0</v>
      </c>
      <c r="DR1038">
        <v>0</v>
      </c>
      <c r="DS1038">
        <v>0</v>
      </c>
      <c r="DT1038">
        <f t="shared" si="1379"/>
        <v>0</v>
      </c>
      <c r="DU1038" s="143" t="s">
        <v>961</v>
      </c>
      <c r="DV1038">
        <v>0</v>
      </c>
      <c r="DW1038">
        <v>0</v>
      </c>
      <c r="DX1038">
        <v>0</v>
      </c>
      <c r="DY1038">
        <v>0</v>
      </c>
      <c r="DZ1038">
        <v>0</v>
      </c>
      <c r="EA1038" s="143">
        <v>0</v>
      </c>
      <c r="EB1038">
        <v>1</v>
      </c>
      <c r="EC1038">
        <v>0</v>
      </c>
      <c r="ED1038">
        <v>0</v>
      </c>
      <c r="EE1038">
        <v>0</v>
      </c>
      <c r="EF1038">
        <v>0</v>
      </c>
      <c r="EG1038">
        <v>0</v>
      </c>
      <c r="EH1038">
        <v>0</v>
      </c>
      <c r="EI1038" s="2">
        <v>0</v>
      </c>
      <c r="EK1038" t="str">
        <f t="shared" si="1380"/>
        <v/>
      </c>
      <c r="EL1038" t="str">
        <f t="shared" si="1381"/>
        <v/>
      </c>
      <c r="EM1038" s="2" t="str">
        <f t="shared" si="1317"/>
        <v/>
      </c>
      <c r="EP1038" t="str">
        <f>IF(ISNUMBER(BU1038),IF(ABS(BU1038-[5]QC_indicators!$B$2)&gt;3*[5]QC_indicators!$C$2,"C ratio",IF(ISNUMBER(BY1038),IF(ABS(BY1038-[5]QC_indicators!$B$1)&gt;3*[5]QC_indicators!$C$1,"DF","no"))),IF(ISNUMBER(BY1038),IF(ABS(BY1038-[5]QC_indicators!$B$1)&gt;3*[5]QC_indicators!$C$1,"DF","no")))</f>
        <v>no</v>
      </c>
      <c r="ET1038" s="264" t="s">
        <v>3272</v>
      </c>
    </row>
    <row r="1039" spans="1:151" ht="15" hidden="1" customHeight="1">
      <c r="A1039" s="1" t="s">
        <v>1971</v>
      </c>
      <c r="B1039" t="s">
        <v>1972</v>
      </c>
      <c r="C1039" t="s">
        <v>1973</v>
      </c>
      <c r="D1039" t="s">
        <v>1974</v>
      </c>
      <c r="E1039" t="s">
        <v>1975</v>
      </c>
      <c r="F1039" t="s">
        <v>1976</v>
      </c>
      <c r="G1039" t="s">
        <v>1977</v>
      </c>
      <c r="H1039" t="s">
        <v>254</v>
      </c>
      <c r="I1039">
        <v>2018</v>
      </c>
      <c r="J1039">
        <v>21</v>
      </c>
      <c r="K1039" t="s">
        <v>1978</v>
      </c>
      <c r="M1039" t="str">
        <f t="shared" si="1352"/>
        <v>Nabuurs_2018</v>
      </c>
      <c r="N1039" t="s">
        <v>222</v>
      </c>
      <c r="O1039" s="157" t="s">
        <v>274</v>
      </c>
      <c r="P1039" t="s">
        <v>959</v>
      </c>
      <c r="Q1039" t="s">
        <v>389</v>
      </c>
      <c r="R1039" s="255" t="s">
        <v>225</v>
      </c>
      <c r="S1039" s="1" t="s">
        <v>1979</v>
      </c>
      <c r="T1039" s="152" t="s">
        <v>1980</v>
      </c>
      <c r="U1039" t="s">
        <v>1985</v>
      </c>
      <c r="V1039">
        <v>0</v>
      </c>
      <c r="W1039">
        <v>0</v>
      </c>
      <c r="X1039">
        <v>0</v>
      </c>
      <c r="Y1039">
        <v>1</v>
      </c>
      <c r="Z1039">
        <v>0</v>
      </c>
      <c r="AA1039">
        <v>0</v>
      </c>
      <c r="AB1039">
        <v>0</v>
      </c>
      <c r="AC1039">
        <v>0</v>
      </c>
      <c r="AD1039">
        <v>0</v>
      </c>
      <c r="AE1039">
        <v>0</v>
      </c>
      <c r="AF1039">
        <v>0</v>
      </c>
      <c r="AG1039">
        <v>0</v>
      </c>
      <c r="AH1039">
        <v>0</v>
      </c>
      <c r="AI1039">
        <v>0</v>
      </c>
      <c r="AJ1039">
        <v>0</v>
      </c>
      <c r="AK1039">
        <v>0</v>
      </c>
      <c r="AL1039">
        <v>0</v>
      </c>
      <c r="AM1039">
        <v>0</v>
      </c>
      <c r="AN1039">
        <v>0</v>
      </c>
      <c r="AO1039">
        <v>0</v>
      </c>
      <c r="AP1039">
        <v>0</v>
      </c>
      <c r="AQ1039">
        <v>0</v>
      </c>
      <c r="AR1039">
        <v>0</v>
      </c>
      <c r="AS1039">
        <v>0</v>
      </c>
      <c r="AT1039">
        <v>0</v>
      </c>
      <c r="AU1039">
        <v>0</v>
      </c>
      <c r="AV1039">
        <v>0</v>
      </c>
      <c r="AW1039">
        <v>0</v>
      </c>
      <c r="AX1039" s="141">
        <f t="shared" si="1353"/>
        <v>1</v>
      </c>
      <c r="AY1039" s="141">
        <f t="shared" si="1354"/>
        <v>1</v>
      </c>
      <c r="AZ1039">
        <f t="shared" si="1355"/>
        <v>1</v>
      </c>
      <c r="BA1039">
        <f t="shared" si="1356"/>
        <v>0</v>
      </c>
      <c r="BB1039">
        <f t="shared" si="1357"/>
        <v>0</v>
      </c>
      <c r="BC1039">
        <f t="shared" si="1358"/>
        <v>0</v>
      </c>
      <c r="BD1039">
        <f t="shared" si="1359"/>
        <v>0</v>
      </c>
      <c r="BE1039" t="str">
        <f t="array" ref="BE1039">IF(AY1039=1,INDEX($V$7:$AL$7,MATCH(TRUE,INDEX($V1039:$AW1039&lt;&gt;0,),0)),IF(AY1039=0,INDEX($AM$7:$AW$7,MATCH(1,$AM1039:$AW1039,0)),IF(BF1039="Multiple strategies","mixed drivers",IF(BF1039="Supply chain","multiple supply","multiple silviculture"))))</f>
        <v xml:space="preserve">cutting intensity </v>
      </c>
      <c r="BF1039" s="2" t="str" cm="1">
        <f t="array" ref="BF1039">IF(COUNTIF(AZ1039:BB1039,"&lt;&gt;0")=1,INDEX($V$4:$AW$4,MATCH(TRUE,INDEX($V1039:$AW1039&lt;&gt;0,),0)),IF(COUNTIF(AZ1039:BB1039,"&lt;&gt;0")=0,INDEX($AM$4:$AW$4,MATCH(1,$AM1039:$AW1039,0)),"Multiple strategies"))</f>
        <v>Silviculture for removals</v>
      </c>
      <c r="BG1039" s="1" t="s">
        <v>321</v>
      </c>
      <c r="BH1039" t="s">
        <v>1982</v>
      </c>
      <c r="BI1039" s="260" t="s">
        <v>3384</v>
      </c>
      <c r="BJ1039" t="s">
        <v>1983</v>
      </c>
      <c r="BK1039" s="152">
        <v>4190644782.1222701</v>
      </c>
      <c r="BL1039" s="152">
        <v>4426139662.6683397</v>
      </c>
      <c r="BM1039">
        <v>1.0561953810904507</v>
      </c>
      <c r="BN1039">
        <f t="shared" si="1360"/>
        <v>235494880.54606962</v>
      </c>
      <c r="BO1039">
        <f t="shared" si="1361"/>
        <v>235494880.54606962</v>
      </c>
      <c r="BP1039" t="s">
        <v>395</v>
      </c>
      <c r="BQ1039" s="260" t="s">
        <v>3385</v>
      </c>
      <c r="BR1039" t="s">
        <v>1984</v>
      </c>
      <c r="BS1039" s="289">
        <f>-373.8*1000000</f>
        <v>-373800000</v>
      </c>
      <c r="BT1039" s="289">
        <f>-361.11*1000000</f>
        <v>-361110000</v>
      </c>
      <c r="BU1039" s="144">
        <v>0.90757039082667901</v>
      </c>
      <c r="BV1039" s="152">
        <v>37928240.61401701</v>
      </c>
      <c r="BX1039" s="152">
        <f t="shared" si="1362"/>
        <v>37928240.61401701</v>
      </c>
      <c r="BY1039">
        <f t="shared" si="1316"/>
        <v>0.16105760144793105</v>
      </c>
      <c r="BZ1039">
        <v>0</v>
      </c>
      <c r="CA1039">
        <v>0</v>
      </c>
      <c r="CB1039">
        <v>0</v>
      </c>
      <c r="CC1039">
        <v>0</v>
      </c>
      <c r="CD1039">
        <v>0</v>
      </c>
      <c r="CE1039">
        <v>0</v>
      </c>
      <c r="CF1039">
        <v>0</v>
      </c>
      <c r="CG1039">
        <v>0</v>
      </c>
      <c r="CH1039">
        <v>0</v>
      </c>
      <c r="CI1039">
        <v>0</v>
      </c>
      <c r="CJ1039">
        <v>0</v>
      </c>
      <c r="CK1039">
        <v>0</v>
      </c>
      <c r="CL1039">
        <v>0</v>
      </c>
      <c r="CM1039">
        <v>0</v>
      </c>
      <c r="CN1039" t="str">
        <f t="shared" si="1363"/>
        <v>refOK</v>
      </c>
      <c r="CO1039">
        <f t="shared" si="1364"/>
        <v>4190644782.1222701</v>
      </c>
      <c r="CP1039">
        <f t="shared" si="1365"/>
        <v>4426139662.6683397</v>
      </c>
      <c r="CQ1039">
        <f t="shared" si="1366"/>
        <v>235494880.54606962</v>
      </c>
      <c r="CR1039">
        <f t="shared" si="1367"/>
        <v>373800000</v>
      </c>
      <c r="CS1039">
        <f t="shared" si="1368"/>
        <v>361110000</v>
      </c>
      <c r="CT1039">
        <f t="shared" si="1369"/>
        <v>-37928240.61401701</v>
      </c>
      <c r="CU1039">
        <f t="shared" si="1370"/>
        <v>-0.16105760144793105</v>
      </c>
      <c r="CV1039" s="2">
        <f t="shared" si="1371"/>
        <v>-3.394863563402889E-2</v>
      </c>
      <c r="CW1039" s="1" t="s">
        <v>1230</v>
      </c>
      <c r="CX1039" t="str">
        <f t="shared" si="1372"/>
        <v>reg</v>
      </c>
      <c r="CY1039" t="s">
        <v>743</v>
      </c>
      <c r="CZ1039">
        <v>2015</v>
      </c>
      <c r="DA1039">
        <v>2025</v>
      </c>
      <c r="DB1039">
        <v>0</v>
      </c>
      <c r="DC1039" t="str">
        <f t="shared" si="1373"/>
        <v>0</v>
      </c>
      <c r="DD1039">
        <v>1</v>
      </c>
      <c r="DE1039">
        <v>0</v>
      </c>
      <c r="DF1039">
        <v>0</v>
      </c>
      <c r="DG1039">
        <v>0</v>
      </c>
      <c r="DI1039">
        <v>1</v>
      </c>
      <c r="DJ1039" t="str">
        <f t="shared" si="1374"/>
        <v>UpstreamInput</v>
      </c>
      <c r="DK1039" t="str">
        <f t="shared" si="1375"/>
        <v>Upstream</v>
      </c>
      <c r="DL1039">
        <f t="shared" si="1376"/>
        <v>0</v>
      </c>
      <c r="DM1039">
        <f t="shared" si="1377"/>
        <v>0</v>
      </c>
      <c r="DN1039">
        <f t="shared" si="1378"/>
        <v>0</v>
      </c>
      <c r="DO1039">
        <v>0</v>
      </c>
      <c r="DP1039">
        <v>0</v>
      </c>
      <c r="DQ1039">
        <v>0</v>
      </c>
      <c r="DR1039">
        <v>0</v>
      </c>
      <c r="DS1039">
        <v>0</v>
      </c>
      <c r="DT1039">
        <f t="shared" si="1379"/>
        <v>0</v>
      </c>
      <c r="DU1039" s="143" t="s">
        <v>961</v>
      </c>
      <c r="DV1039">
        <v>0</v>
      </c>
      <c r="DW1039">
        <v>0</v>
      </c>
      <c r="DX1039">
        <v>0</v>
      </c>
      <c r="DY1039">
        <v>0</v>
      </c>
      <c r="DZ1039">
        <v>0</v>
      </c>
      <c r="EA1039" s="143">
        <v>0</v>
      </c>
      <c r="EB1039">
        <v>1</v>
      </c>
      <c r="EC1039">
        <v>0</v>
      </c>
      <c r="ED1039">
        <v>0</v>
      </c>
      <c r="EE1039">
        <v>0</v>
      </c>
      <c r="EF1039">
        <v>0</v>
      </c>
      <c r="EG1039">
        <v>0</v>
      </c>
      <c r="EH1039">
        <v>0</v>
      </c>
      <c r="EI1039" s="2">
        <v>0</v>
      </c>
      <c r="EK1039" t="str">
        <f t="shared" si="1380"/>
        <v/>
      </c>
      <c r="EL1039" t="str">
        <f t="shared" si="1381"/>
        <v/>
      </c>
      <c r="EM1039" s="2" t="str">
        <f t="shared" si="1317"/>
        <v/>
      </c>
      <c r="EP1039" t="str">
        <f>IF(ISNUMBER(BU1039),IF(ABS(BU1039-[5]QC_indicators!$B$2)&gt;3*[5]QC_indicators!$C$2,"C ratio",IF(ISNUMBER(BY1039),IF(ABS(BY1039-[5]QC_indicators!$B$1)&gt;3*[5]QC_indicators!$C$1,"DF","no"))),IF(ISNUMBER(BY1039),IF(ABS(BY1039-[5]QC_indicators!$B$1)&gt;3*[5]QC_indicators!$C$1,"DF","no")))</f>
        <v>no</v>
      </c>
      <c r="ET1039" s="264" t="s">
        <v>3272</v>
      </c>
    </row>
    <row r="1040" spans="1:151" ht="15" hidden="1" customHeight="1">
      <c r="A1040" s="1" t="s">
        <v>1971</v>
      </c>
      <c r="B1040" t="s">
        <v>1972</v>
      </c>
      <c r="C1040" t="s">
        <v>1973</v>
      </c>
      <c r="D1040" t="s">
        <v>1974</v>
      </c>
      <c r="E1040" t="s">
        <v>1975</v>
      </c>
      <c r="F1040" t="s">
        <v>1976</v>
      </c>
      <c r="G1040" t="s">
        <v>1977</v>
      </c>
      <c r="H1040" t="s">
        <v>254</v>
      </c>
      <c r="I1040">
        <v>2018</v>
      </c>
      <c r="J1040">
        <v>21</v>
      </c>
      <c r="K1040" t="s">
        <v>1978</v>
      </c>
      <c r="M1040" t="str">
        <f t="shared" si="1352"/>
        <v>Nabuurs_2018</v>
      </c>
      <c r="N1040" t="s">
        <v>222</v>
      </c>
      <c r="O1040" s="157" t="s">
        <v>274</v>
      </c>
      <c r="P1040" t="s">
        <v>959</v>
      </c>
      <c r="Q1040" t="s">
        <v>389</v>
      </c>
      <c r="R1040" s="255" t="s">
        <v>225</v>
      </c>
      <c r="S1040" s="1" t="s">
        <v>1979</v>
      </c>
      <c r="T1040" s="152" t="s">
        <v>1980</v>
      </c>
      <c r="U1040" t="s">
        <v>1985</v>
      </c>
      <c r="V1040">
        <v>0</v>
      </c>
      <c r="W1040">
        <v>0</v>
      </c>
      <c r="X1040">
        <v>0</v>
      </c>
      <c r="Y1040">
        <v>1</v>
      </c>
      <c r="Z1040">
        <v>0</v>
      </c>
      <c r="AA1040">
        <v>0</v>
      </c>
      <c r="AB1040">
        <v>0</v>
      </c>
      <c r="AC1040">
        <v>0</v>
      </c>
      <c r="AD1040">
        <v>0</v>
      </c>
      <c r="AE1040">
        <v>0</v>
      </c>
      <c r="AF1040">
        <v>0</v>
      </c>
      <c r="AG1040">
        <v>0</v>
      </c>
      <c r="AH1040">
        <v>0</v>
      </c>
      <c r="AI1040">
        <v>0</v>
      </c>
      <c r="AJ1040">
        <v>0</v>
      </c>
      <c r="AK1040">
        <v>0</v>
      </c>
      <c r="AL1040">
        <v>0</v>
      </c>
      <c r="AM1040">
        <v>0</v>
      </c>
      <c r="AN1040">
        <v>0</v>
      </c>
      <c r="AO1040">
        <v>0</v>
      </c>
      <c r="AP1040">
        <v>0</v>
      </c>
      <c r="AQ1040">
        <v>0</v>
      </c>
      <c r="AR1040">
        <v>0</v>
      </c>
      <c r="AS1040">
        <v>0</v>
      </c>
      <c r="AT1040">
        <v>0</v>
      </c>
      <c r="AU1040">
        <v>0</v>
      </c>
      <c r="AV1040">
        <v>0</v>
      </c>
      <c r="AW1040">
        <v>0</v>
      </c>
      <c r="AX1040" s="141">
        <f t="shared" si="1353"/>
        <v>1</v>
      </c>
      <c r="AY1040" s="141">
        <f t="shared" si="1354"/>
        <v>1</v>
      </c>
      <c r="AZ1040">
        <f t="shared" si="1355"/>
        <v>1</v>
      </c>
      <c r="BA1040">
        <f t="shared" si="1356"/>
        <v>0</v>
      </c>
      <c r="BB1040">
        <f t="shared" si="1357"/>
        <v>0</v>
      </c>
      <c r="BC1040">
        <f t="shared" si="1358"/>
        <v>0</v>
      </c>
      <c r="BD1040">
        <f t="shared" si="1359"/>
        <v>0</v>
      </c>
      <c r="BE1040" t="str">
        <f t="array" ref="BE1040">IF(AY1040=1,INDEX($V$7:$AL$7,MATCH(TRUE,INDEX($V1040:$AW1040&lt;&gt;0,),0)),IF(AY1040=0,INDEX($AM$7:$AW$7,MATCH(1,$AM1040:$AW1040,0)),IF(BF1040="Multiple strategies","mixed drivers",IF(BF1040="Supply chain","multiple supply","multiple silviculture"))))</f>
        <v xml:space="preserve">cutting intensity </v>
      </c>
      <c r="BF1040" s="2" t="str" cm="1">
        <f t="array" ref="BF1040">IF(COUNTIF(AZ1040:BB1040,"&lt;&gt;0")=1,INDEX($V$4:$AW$4,MATCH(TRUE,INDEX($V1040:$AW1040&lt;&gt;0,),0)),IF(COUNTIF(AZ1040:BB1040,"&lt;&gt;0")=0,INDEX($AM$4:$AW$4,MATCH(1,$AM1040:$AW1040,0)),"Multiple strategies"))</f>
        <v>Silviculture for removals</v>
      </c>
      <c r="BG1040" s="1" t="s">
        <v>321</v>
      </c>
      <c r="BH1040" t="s">
        <v>1982</v>
      </c>
      <c r="BI1040" s="260" t="s">
        <v>3386</v>
      </c>
      <c r="BJ1040" t="s">
        <v>1983</v>
      </c>
      <c r="BK1040" s="152">
        <v>4176029909.5067401</v>
      </c>
      <c r="BL1040" s="152">
        <v>4913231274.6944609</v>
      </c>
      <c r="BM1040">
        <v>1.1765316296009951</v>
      </c>
      <c r="BN1040">
        <f t="shared" si="1360"/>
        <v>737201365.18772078</v>
      </c>
      <c r="BO1040">
        <f t="shared" si="1361"/>
        <v>737201365.18772078</v>
      </c>
      <c r="BP1040" t="s">
        <v>395</v>
      </c>
      <c r="BQ1040" s="260" t="s">
        <v>3387</v>
      </c>
      <c r="BR1040" t="s">
        <v>1984</v>
      </c>
      <c r="BS1040" s="289">
        <f>-273.8*1000000</f>
        <v>-273800000</v>
      </c>
      <c r="BT1040" s="289">
        <f>-93.69*1000000</f>
        <v>-93690000</v>
      </c>
      <c r="BU1040" s="144">
        <v>0.65184988385004727</v>
      </c>
      <c r="BV1040" s="152">
        <v>125900277.00830999</v>
      </c>
      <c r="BX1040" s="152">
        <f t="shared" si="1362"/>
        <v>125900277.00830999</v>
      </c>
      <c r="BY1040">
        <f t="shared" si="1316"/>
        <v>0.17078139427515951</v>
      </c>
      <c r="BZ1040">
        <v>0</v>
      </c>
      <c r="CA1040">
        <v>0</v>
      </c>
      <c r="CB1040">
        <v>0</v>
      </c>
      <c r="CC1040">
        <v>0</v>
      </c>
      <c r="CD1040">
        <v>0</v>
      </c>
      <c r="CE1040">
        <v>0</v>
      </c>
      <c r="CF1040">
        <v>0</v>
      </c>
      <c r="CG1040">
        <v>0</v>
      </c>
      <c r="CH1040">
        <v>0</v>
      </c>
      <c r="CI1040">
        <v>0</v>
      </c>
      <c r="CJ1040">
        <v>0</v>
      </c>
      <c r="CK1040">
        <v>0</v>
      </c>
      <c r="CL1040">
        <v>0</v>
      </c>
      <c r="CM1040">
        <v>0</v>
      </c>
      <c r="CN1040" t="str">
        <f t="shared" si="1363"/>
        <v>refOK</v>
      </c>
      <c r="CO1040">
        <f t="shared" si="1364"/>
        <v>4176029909.5067401</v>
      </c>
      <c r="CP1040">
        <f t="shared" si="1365"/>
        <v>4913231274.6944609</v>
      </c>
      <c r="CQ1040">
        <f t="shared" si="1366"/>
        <v>737201365.18772078</v>
      </c>
      <c r="CR1040">
        <f t="shared" si="1367"/>
        <v>273800000</v>
      </c>
      <c r="CS1040">
        <f t="shared" si="1368"/>
        <v>93690000</v>
      </c>
      <c r="CT1040">
        <f t="shared" si="1369"/>
        <v>-125900277.00830999</v>
      </c>
      <c r="CU1040">
        <f t="shared" si="1370"/>
        <v>-0.17078139427515951</v>
      </c>
      <c r="CV1040" s="2">
        <f t="shared" si="1371"/>
        <v>-0.65781592403214029</v>
      </c>
      <c r="CW1040" s="1" t="s">
        <v>1230</v>
      </c>
      <c r="CX1040" t="str">
        <f t="shared" si="1372"/>
        <v>reg</v>
      </c>
      <c r="CY1040" t="s">
        <v>743</v>
      </c>
      <c r="CZ1040">
        <v>2015</v>
      </c>
      <c r="DA1040">
        <v>2050</v>
      </c>
      <c r="DB1040">
        <v>0</v>
      </c>
      <c r="DC1040" t="str">
        <f t="shared" si="1373"/>
        <v>0</v>
      </c>
      <c r="DD1040">
        <v>1</v>
      </c>
      <c r="DE1040">
        <v>0</v>
      </c>
      <c r="DF1040">
        <v>0</v>
      </c>
      <c r="DG1040">
        <v>0</v>
      </c>
      <c r="DI1040">
        <v>1</v>
      </c>
      <c r="DJ1040" t="str">
        <f t="shared" si="1374"/>
        <v>UpstreamInput</v>
      </c>
      <c r="DK1040" t="str">
        <f t="shared" si="1375"/>
        <v>Upstream</v>
      </c>
      <c r="DL1040">
        <f t="shared" si="1376"/>
        <v>0</v>
      </c>
      <c r="DM1040">
        <f t="shared" si="1377"/>
        <v>0</v>
      </c>
      <c r="DN1040">
        <f t="shared" si="1378"/>
        <v>0</v>
      </c>
      <c r="DO1040">
        <v>0</v>
      </c>
      <c r="DP1040">
        <v>0</v>
      </c>
      <c r="DQ1040">
        <v>0</v>
      </c>
      <c r="DR1040">
        <v>0</v>
      </c>
      <c r="DS1040">
        <v>0</v>
      </c>
      <c r="DT1040">
        <f t="shared" si="1379"/>
        <v>0</v>
      </c>
      <c r="DU1040" s="143" t="s">
        <v>961</v>
      </c>
      <c r="DV1040">
        <v>0</v>
      </c>
      <c r="DW1040">
        <v>0</v>
      </c>
      <c r="DX1040">
        <v>0</v>
      </c>
      <c r="DY1040">
        <v>0</v>
      </c>
      <c r="DZ1040">
        <v>0</v>
      </c>
      <c r="EA1040" s="143">
        <v>0</v>
      </c>
      <c r="EB1040">
        <v>1</v>
      </c>
      <c r="EC1040">
        <v>0</v>
      </c>
      <c r="ED1040">
        <v>0</v>
      </c>
      <c r="EE1040">
        <v>0</v>
      </c>
      <c r="EF1040">
        <v>0</v>
      </c>
      <c r="EG1040">
        <v>0</v>
      </c>
      <c r="EH1040">
        <v>0</v>
      </c>
      <c r="EI1040" s="2">
        <v>0</v>
      </c>
      <c r="EK1040" t="str">
        <f t="shared" si="1380"/>
        <v/>
      </c>
      <c r="EL1040" t="str">
        <f t="shared" si="1381"/>
        <v/>
      </c>
      <c r="EM1040" s="2" t="str">
        <f t="shared" si="1317"/>
        <v/>
      </c>
      <c r="EP1040" t="str">
        <f>IF(ISNUMBER(BU1040),IF(ABS(BU1040-[5]QC_indicators!$B$2)&gt;3*[5]QC_indicators!$C$2,"C ratio",IF(ISNUMBER(BY1040),IF(ABS(BY1040-[5]QC_indicators!$B$1)&gt;3*[5]QC_indicators!$C$1,"DF","no"))),IF(ISNUMBER(BY1040),IF(ABS(BY1040-[5]QC_indicators!$B$1)&gt;3*[5]QC_indicators!$C$1,"DF","no")))</f>
        <v>no</v>
      </c>
      <c r="ET1040" s="264" t="s">
        <v>3272</v>
      </c>
    </row>
    <row r="1041" spans="1:150" ht="15" hidden="1" customHeight="1">
      <c r="A1041" s="1" t="s">
        <v>587</v>
      </c>
      <c r="B1041" t="s">
        <v>1986</v>
      </c>
      <c r="C1041" t="s">
        <v>1987</v>
      </c>
      <c r="D1041" t="s">
        <v>1988</v>
      </c>
      <c r="E1041" t="s">
        <v>1989</v>
      </c>
      <c r="F1041" t="s">
        <v>1990</v>
      </c>
      <c r="G1041" t="s">
        <v>593</v>
      </c>
      <c r="H1041" t="s">
        <v>254</v>
      </c>
      <c r="I1041">
        <v>2018</v>
      </c>
      <c r="J1041">
        <v>7</v>
      </c>
      <c r="K1041" t="s">
        <v>1991</v>
      </c>
      <c r="M1041" t="str">
        <f t="shared" si="1352"/>
        <v>Nakano_2018</v>
      </c>
      <c r="N1041" t="s">
        <v>222</v>
      </c>
      <c r="O1041" s="157" t="s">
        <v>274</v>
      </c>
      <c r="P1041" t="s">
        <v>959</v>
      </c>
      <c r="Q1041" t="s">
        <v>389</v>
      </c>
      <c r="R1041" s="262" t="s">
        <v>223</v>
      </c>
      <c r="S1041" s="1" t="s">
        <v>1992</v>
      </c>
      <c r="T1041" t="s">
        <v>1993</v>
      </c>
      <c r="U1041" t="s">
        <v>1994</v>
      </c>
      <c r="V1041">
        <v>0</v>
      </c>
      <c r="W1041">
        <v>0</v>
      </c>
      <c r="X1041">
        <v>0</v>
      </c>
      <c r="Y1041">
        <v>0</v>
      </c>
      <c r="Z1041">
        <v>1</v>
      </c>
      <c r="AA1041">
        <v>0</v>
      </c>
      <c r="AB1041">
        <v>0</v>
      </c>
      <c r="AC1041">
        <v>0</v>
      </c>
      <c r="AD1041">
        <v>0</v>
      </c>
      <c r="AE1041">
        <v>0</v>
      </c>
      <c r="AF1041">
        <v>0</v>
      </c>
      <c r="AG1041">
        <v>0</v>
      </c>
      <c r="AH1041">
        <v>0</v>
      </c>
      <c r="AI1041">
        <v>0</v>
      </c>
      <c r="AJ1041">
        <v>0</v>
      </c>
      <c r="AK1041">
        <v>0</v>
      </c>
      <c r="AL1041">
        <v>0</v>
      </c>
      <c r="AM1041">
        <v>0</v>
      </c>
      <c r="AN1041">
        <v>0</v>
      </c>
      <c r="AO1041">
        <v>0</v>
      </c>
      <c r="AP1041">
        <v>0</v>
      </c>
      <c r="AQ1041">
        <v>0</v>
      </c>
      <c r="AR1041">
        <v>0</v>
      </c>
      <c r="AS1041">
        <v>0</v>
      </c>
      <c r="AT1041">
        <v>0</v>
      </c>
      <c r="AU1041">
        <v>0</v>
      </c>
      <c r="AV1041">
        <v>0</v>
      </c>
      <c r="AW1041">
        <v>0</v>
      </c>
      <c r="AX1041" s="141">
        <f t="shared" si="1353"/>
        <v>1</v>
      </c>
      <c r="AY1041" s="141">
        <f t="shared" si="1354"/>
        <v>1</v>
      </c>
      <c r="AZ1041">
        <f t="shared" si="1355"/>
        <v>1</v>
      </c>
      <c r="BA1041">
        <f t="shared" si="1356"/>
        <v>0</v>
      </c>
      <c r="BB1041">
        <f t="shared" si="1357"/>
        <v>0</v>
      </c>
      <c r="BC1041">
        <f t="shared" si="1358"/>
        <v>0</v>
      </c>
      <c r="BD1041">
        <f t="shared" si="1359"/>
        <v>0</v>
      </c>
      <c r="BE1041" t="str">
        <f t="array" ref="BE1041">IF(AY1041=1,INDEX($V$7:$AL$7,MATCH(TRUE,INDEX($V1041:$AW1041&lt;&gt;0,),0)),IF(AY1041=0,INDEX($AM$7:$AW$7,MATCH(1,$AM1041:$AW1041,0)),IF(BF1041="Multiple strategies","mixed drivers",IF(BF1041="Supply chain","multiple supply","multiple silviculture"))))</f>
        <v>species</v>
      </c>
      <c r="BF1041" s="2" t="str" cm="1">
        <f t="array" ref="BF1041">IF(COUNTIF(AZ1041:BB1041,"&lt;&gt;0")=1,INDEX($V$4:$AW$4,MATCH(TRUE,INDEX($V1041:$AW1041&lt;&gt;0,),0)),IF(COUNTIF(AZ1041:BB1041,"&lt;&gt;0")=0,INDEX($AM$4:$AW$4,MATCH(1,$AM1041:$AW1041,0)),"Multiple strategies"))</f>
        <v>Silviculture for productivity</v>
      </c>
      <c r="BG1041" s="1" t="s">
        <v>321</v>
      </c>
      <c r="BH1041" t="s">
        <v>1995</v>
      </c>
      <c r="BI1041" s="264" t="s">
        <v>3178</v>
      </c>
      <c r="BJ1041" s="264" t="s">
        <v>3179</v>
      </c>
      <c r="BK1041">
        <v>958000</v>
      </c>
      <c r="BL1041">
        <v>11193000</v>
      </c>
      <c r="BM1041">
        <v>11.683716075156577</v>
      </c>
      <c r="BN1041">
        <f t="shared" si="1360"/>
        <v>10235000</v>
      </c>
      <c r="BO1041">
        <f t="shared" si="1361"/>
        <v>10235000</v>
      </c>
      <c r="BP1041" t="s">
        <v>395</v>
      </c>
      <c r="BQ1041" s="264" t="s">
        <v>3180</v>
      </c>
      <c r="BR1041" t="s">
        <v>1998</v>
      </c>
      <c r="BS1041">
        <v>24392.153846153786</v>
      </c>
      <c r="BT1041">
        <v>241940.99999999983</v>
      </c>
      <c r="BU1041" s="144">
        <v>9.9188042813262953</v>
      </c>
      <c r="BV1041">
        <f t="shared" ref="BV1041:BV1047" si="1382">BT1041-BS1041</f>
        <v>217548.84615384604</v>
      </c>
      <c r="BX1041" s="152">
        <f t="shared" si="1362"/>
        <v>217548.84615384604</v>
      </c>
      <c r="BY1041">
        <f t="shared" si="1316"/>
        <v>2.1255383112246805E-2</v>
      </c>
      <c r="BZ1041">
        <v>0</v>
      </c>
      <c r="CA1041">
        <v>0</v>
      </c>
      <c r="CB1041">
        <v>0</v>
      </c>
      <c r="CC1041">
        <v>0</v>
      </c>
      <c r="CD1041">
        <v>0</v>
      </c>
      <c r="CE1041">
        <v>0</v>
      </c>
      <c r="CF1041">
        <v>0</v>
      </c>
      <c r="CG1041">
        <v>0</v>
      </c>
      <c r="CH1041">
        <v>0</v>
      </c>
      <c r="CI1041">
        <v>0</v>
      </c>
      <c r="CJ1041">
        <v>0</v>
      </c>
      <c r="CK1041">
        <v>0</v>
      </c>
      <c r="CL1041">
        <v>0</v>
      </c>
      <c r="CM1041">
        <v>0</v>
      </c>
      <c r="CN1041" t="str">
        <f t="shared" si="1363"/>
        <v>refOK</v>
      </c>
      <c r="CO1041">
        <f t="shared" si="1364"/>
        <v>958000</v>
      </c>
      <c r="CP1041">
        <f t="shared" si="1365"/>
        <v>11193000</v>
      </c>
      <c r="CQ1041">
        <f t="shared" si="1366"/>
        <v>10235000</v>
      </c>
      <c r="CR1041">
        <f t="shared" si="1367"/>
        <v>-24392.153846153786</v>
      </c>
      <c r="CS1041">
        <f t="shared" si="1368"/>
        <v>-241940.99999999983</v>
      </c>
      <c r="CT1041">
        <f t="shared" si="1369"/>
        <v>-217548.84615384604</v>
      </c>
      <c r="CU1041">
        <f t="shared" si="1370"/>
        <v>-2.1255383112246805E-2</v>
      </c>
      <c r="CV1041" s="2">
        <f t="shared" si="1371"/>
        <v>-8.9188042813262953</v>
      </c>
      <c r="CW1041" s="1" t="s">
        <v>1202</v>
      </c>
      <c r="CX1041" t="str">
        <f t="shared" si="1372"/>
        <v>reg</v>
      </c>
      <c r="CY1041" t="s">
        <v>960</v>
      </c>
      <c r="CZ1041">
        <v>0</v>
      </c>
      <c r="DA1041">
        <v>0</v>
      </c>
      <c r="DB1041">
        <v>0</v>
      </c>
      <c r="DC1041" t="str">
        <f t="shared" si="1373"/>
        <v>0</v>
      </c>
      <c r="DD1041">
        <v>1</v>
      </c>
      <c r="DE1041">
        <v>0</v>
      </c>
      <c r="DF1041">
        <v>0</v>
      </c>
      <c r="DG1041">
        <v>0</v>
      </c>
      <c r="DI1041">
        <v>1</v>
      </c>
      <c r="DJ1041" t="str">
        <f t="shared" si="1374"/>
        <v>UpstreamInput</v>
      </c>
      <c r="DK1041" t="str">
        <f t="shared" si="1375"/>
        <v>Upstream</v>
      </c>
      <c r="DL1041">
        <f t="shared" si="1376"/>
        <v>0</v>
      </c>
      <c r="DM1041">
        <f t="shared" si="1377"/>
        <v>0</v>
      </c>
      <c r="DN1041">
        <f t="shared" si="1378"/>
        <v>0</v>
      </c>
      <c r="DO1041">
        <v>0</v>
      </c>
      <c r="DP1041">
        <v>0</v>
      </c>
      <c r="DQ1041">
        <v>0</v>
      </c>
      <c r="DR1041">
        <v>0</v>
      </c>
      <c r="DS1041">
        <v>0</v>
      </c>
      <c r="DT1041">
        <f t="shared" si="1379"/>
        <v>0</v>
      </c>
      <c r="DU1041" s="143" t="s">
        <v>961</v>
      </c>
      <c r="DV1041">
        <v>0</v>
      </c>
      <c r="DW1041">
        <v>0</v>
      </c>
      <c r="DX1041">
        <v>0</v>
      </c>
      <c r="DY1041">
        <v>0</v>
      </c>
      <c r="DZ1041">
        <v>0</v>
      </c>
      <c r="EA1041" s="143">
        <v>0</v>
      </c>
      <c r="EB1041">
        <v>1</v>
      </c>
      <c r="EC1041">
        <v>0</v>
      </c>
      <c r="ED1041">
        <v>0</v>
      </c>
      <c r="EE1041">
        <v>0</v>
      </c>
      <c r="EF1041">
        <v>0</v>
      </c>
      <c r="EG1041">
        <v>0</v>
      </c>
      <c r="EH1041">
        <v>0</v>
      </c>
      <c r="EI1041" s="2">
        <v>0</v>
      </c>
      <c r="EK1041" t="str">
        <f t="shared" si="1380"/>
        <v/>
      </c>
      <c r="EL1041" t="str">
        <f t="shared" si="1381"/>
        <v/>
      </c>
      <c r="EM1041" s="2" t="str">
        <f t="shared" si="1317"/>
        <v/>
      </c>
      <c r="EP1041" t="str">
        <f>IF(ISNUMBER(BU1041),IF(ABS(BU1041-[3]QC_indicators!$B$2)&gt;3*[3]QC_indicators!$C$2,"C ratio",IF(ISNUMBER(BY1041),IF(ABS(BY1041-[3]QC_indicators!$B$1)&gt;3*[3]QC_indicators!$C$1,"DF","no"))),IF(ISNUMBER(BY1041),IF(ABS(BY1041-[3]QC_indicators!$B$1)&gt;3*[3]QC_indicators!$C$1,"DF","no")))</f>
        <v>no</v>
      </c>
      <c r="ET1041" s="264" t="s">
        <v>3181</v>
      </c>
    </row>
    <row r="1042" spans="1:150" ht="15" hidden="1" customHeight="1">
      <c r="A1042" s="1" t="s">
        <v>587</v>
      </c>
      <c r="B1042" t="s">
        <v>1986</v>
      </c>
      <c r="C1042" t="s">
        <v>1987</v>
      </c>
      <c r="D1042" t="s">
        <v>1988</v>
      </c>
      <c r="E1042" t="s">
        <v>1989</v>
      </c>
      <c r="F1042" t="s">
        <v>1990</v>
      </c>
      <c r="G1042" t="s">
        <v>593</v>
      </c>
      <c r="H1042" t="s">
        <v>254</v>
      </c>
      <c r="I1042">
        <v>2018</v>
      </c>
      <c r="J1042">
        <v>7</v>
      </c>
      <c r="K1042" t="s">
        <v>1991</v>
      </c>
      <c r="M1042" t="str">
        <f t="shared" si="1352"/>
        <v>Nakano_2018</v>
      </c>
      <c r="N1042" t="s">
        <v>222</v>
      </c>
      <c r="O1042" s="157" t="s">
        <v>274</v>
      </c>
      <c r="P1042" t="s">
        <v>959</v>
      </c>
      <c r="Q1042" t="s">
        <v>389</v>
      </c>
      <c r="R1042" s="262" t="s">
        <v>223</v>
      </c>
      <c r="S1042" s="1" t="s">
        <v>1992</v>
      </c>
      <c r="T1042" t="s">
        <v>1993</v>
      </c>
      <c r="U1042" t="s">
        <v>1999</v>
      </c>
      <c r="V1042">
        <v>0</v>
      </c>
      <c r="W1042">
        <v>0</v>
      </c>
      <c r="X1042">
        <v>0</v>
      </c>
      <c r="Y1042">
        <v>0</v>
      </c>
      <c r="Z1042">
        <v>1</v>
      </c>
      <c r="AA1042">
        <v>0</v>
      </c>
      <c r="AB1042">
        <v>0</v>
      </c>
      <c r="AC1042">
        <v>0</v>
      </c>
      <c r="AD1042">
        <v>0</v>
      </c>
      <c r="AE1042">
        <v>0</v>
      </c>
      <c r="AF1042">
        <v>0</v>
      </c>
      <c r="AG1042">
        <v>0</v>
      </c>
      <c r="AH1042">
        <v>0</v>
      </c>
      <c r="AI1042">
        <v>0</v>
      </c>
      <c r="AJ1042">
        <v>0</v>
      </c>
      <c r="AK1042">
        <v>0</v>
      </c>
      <c r="AL1042">
        <v>0</v>
      </c>
      <c r="AM1042">
        <v>0</v>
      </c>
      <c r="AN1042">
        <v>0</v>
      </c>
      <c r="AO1042">
        <v>0</v>
      </c>
      <c r="AP1042">
        <v>0</v>
      </c>
      <c r="AQ1042">
        <v>0</v>
      </c>
      <c r="AR1042">
        <v>0</v>
      </c>
      <c r="AS1042">
        <v>0</v>
      </c>
      <c r="AT1042">
        <v>0</v>
      </c>
      <c r="AU1042">
        <v>0</v>
      </c>
      <c r="AV1042">
        <v>0</v>
      </c>
      <c r="AW1042">
        <v>0</v>
      </c>
      <c r="AX1042" s="141">
        <f t="shared" si="1353"/>
        <v>1</v>
      </c>
      <c r="AY1042" s="141">
        <f t="shared" si="1354"/>
        <v>1</v>
      </c>
      <c r="AZ1042">
        <f t="shared" si="1355"/>
        <v>1</v>
      </c>
      <c r="BA1042">
        <f t="shared" si="1356"/>
        <v>0</v>
      </c>
      <c r="BB1042">
        <f t="shared" si="1357"/>
        <v>0</v>
      </c>
      <c r="BC1042">
        <f t="shared" si="1358"/>
        <v>0</v>
      </c>
      <c r="BD1042">
        <f t="shared" si="1359"/>
        <v>0</v>
      </c>
      <c r="BE1042" t="str">
        <f t="array" ref="BE1042">IF(AY1042=1,INDEX($V$7:$AL$7,MATCH(TRUE,INDEX($V1042:$AW1042&lt;&gt;0,),0)),IF(AY1042=0,INDEX($AM$7:$AW$7,MATCH(1,$AM1042:$AW1042,0)),IF(BF1042="Multiple strategies","mixed drivers",IF(BF1042="Supply chain","multiple supply","multiple silviculture"))))</f>
        <v>species</v>
      </c>
      <c r="BF1042" s="2" t="str" cm="1">
        <f t="array" ref="BF1042">IF(COUNTIF(AZ1042:BB1042,"&lt;&gt;0")=1,INDEX($V$4:$AW$4,MATCH(TRUE,INDEX($V1042:$AW1042&lt;&gt;0,),0)),IF(COUNTIF(AZ1042:BB1042,"&lt;&gt;0")=0,INDEX($AM$4:$AW$4,MATCH(1,$AM1042:$AW1042,0)),"Multiple strategies"))</f>
        <v>Silviculture for productivity</v>
      </c>
      <c r="BG1042" s="1" t="s">
        <v>321</v>
      </c>
      <c r="BH1042" t="s">
        <v>1995</v>
      </c>
      <c r="BI1042" s="264" t="s">
        <v>3178</v>
      </c>
      <c r="BJ1042" s="264" t="s">
        <v>3179</v>
      </c>
      <c r="BK1042">
        <v>958000</v>
      </c>
      <c r="BL1042">
        <v>2369000</v>
      </c>
      <c r="BM1042">
        <v>2.4728601252609606</v>
      </c>
      <c r="BN1042">
        <f t="shared" si="1360"/>
        <v>1411000</v>
      </c>
      <c r="BO1042">
        <f t="shared" si="1361"/>
        <v>1411000</v>
      </c>
      <c r="BP1042" t="s">
        <v>395</v>
      </c>
      <c r="BQ1042" s="264" t="s">
        <v>3180</v>
      </c>
      <c r="BR1042" t="s">
        <v>1998</v>
      </c>
      <c r="BS1042">
        <v>24392.153846153786</v>
      </c>
      <c r="BT1042">
        <v>58860.538461538352</v>
      </c>
      <c r="BU1042" s="144">
        <v>2.4130931131700626</v>
      </c>
      <c r="BV1042">
        <f t="shared" si="1382"/>
        <v>34468.384615384566</v>
      </c>
      <c r="BX1042" s="152">
        <f t="shared" si="1362"/>
        <v>34468.384615384566</v>
      </c>
      <c r="BY1042">
        <f t="shared" si="1316"/>
        <v>2.4428337785531232E-2</v>
      </c>
      <c r="BZ1042">
        <v>0</v>
      </c>
      <c r="CA1042">
        <v>0</v>
      </c>
      <c r="CB1042">
        <v>0</v>
      </c>
      <c r="CC1042">
        <v>0</v>
      </c>
      <c r="CD1042">
        <v>0</v>
      </c>
      <c r="CE1042">
        <v>0</v>
      </c>
      <c r="CF1042">
        <v>0</v>
      </c>
      <c r="CG1042">
        <v>0</v>
      </c>
      <c r="CH1042">
        <v>0</v>
      </c>
      <c r="CI1042">
        <v>0</v>
      </c>
      <c r="CJ1042">
        <v>0</v>
      </c>
      <c r="CK1042">
        <v>0</v>
      </c>
      <c r="CL1042">
        <v>0</v>
      </c>
      <c r="CM1042">
        <v>0</v>
      </c>
      <c r="CN1042" t="str">
        <f t="shared" si="1363"/>
        <v>refOK</v>
      </c>
      <c r="CO1042">
        <f t="shared" si="1364"/>
        <v>958000</v>
      </c>
      <c r="CP1042">
        <f t="shared" si="1365"/>
        <v>2369000</v>
      </c>
      <c r="CQ1042">
        <f t="shared" si="1366"/>
        <v>1411000</v>
      </c>
      <c r="CR1042">
        <f t="shared" si="1367"/>
        <v>-24392.153846153786</v>
      </c>
      <c r="CS1042">
        <f t="shared" si="1368"/>
        <v>-58860.538461538352</v>
      </c>
      <c r="CT1042">
        <f t="shared" si="1369"/>
        <v>-34468.384615384566</v>
      </c>
      <c r="CU1042">
        <f t="shared" si="1370"/>
        <v>-2.4428337785531232E-2</v>
      </c>
      <c r="CV1042" s="2">
        <f t="shared" si="1371"/>
        <v>-1.4130931131700624</v>
      </c>
      <c r="CW1042" s="1" t="s">
        <v>1202</v>
      </c>
      <c r="CX1042" t="str">
        <f t="shared" si="1372"/>
        <v>reg</v>
      </c>
      <c r="CY1042" t="s">
        <v>960</v>
      </c>
      <c r="CZ1042">
        <v>0</v>
      </c>
      <c r="DA1042">
        <v>0</v>
      </c>
      <c r="DB1042">
        <v>0</v>
      </c>
      <c r="DC1042" t="str">
        <f t="shared" si="1373"/>
        <v>0</v>
      </c>
      <c r="DD1042">
        <v>1</v>
      </c>
      <c r="DE1042">
        <v>0</v>
      </c>
      <c r="DF1042">
        <v>0</v>
      </c>
      <c r="DG1042">
        <v>0</v>
      </c>
      <c r="DI1042">
        <v>1</v>
      </c>
      <c r="DJ1042" t="str">
        <f t="shared" si="1374"/>
        <v>UpstreamInput</v>
      </c>
      <c r="DK1042" t="str">
        <f t="shared" si="1375"/>
        <v>Upstream</v>
      </c>
      <c r="DL1042">
        <f t="shared" si="1376"/>
        <v>0</v>
      </c>
      <c r="DM1042">
        <f t="shared" si="1377"/>
        <v>0</v>
      </c>
      <c r="DN1042">
        <f t="shared" si="1378"/>
        <v>0</v>
      </c>
      <c r="DO1042">
        <v>0</v>
      </c>
      <c r="DP1042">
        <v>0</v>
      </c>
      <c r="DQ1042">
        <v>0</v>
      </c>
      <c r="DR1042">
        <v>0</v>
      </c>
      <c r="DS1042">
        <v>0</v>
      </c>
      <c r="DT1042">
        <f t="shared" si="1379"/>
        <v>0</v>
      </c>
      <c r="DU1042" s="143" t="s">
        <v>961</v>
      </c>
      <c r="DV1042">
        <v>0</v>
      </c>
      <c r="DW1042">
        <v>0</v>
      </c>
      <c r="DX1042">
        <v>0</v>
      </c>
      <c r="DY1042">
        <v>0</v>
      </c>
      <c r="DZ1042">
        <v>0</v>
      </c>
      <c r="EA1042" s="143">
        <v>0</v>
      </c>
      <c r="EB1042">
        <v>1</v>
      </c>
      <c r="EC1042">
        <v>0</v>
      </c>
      <c r="ED1042">
        <v>0</v>
      </c>
      <c r="EE1042">
        <v>0</v>
      </c>
      <c r="EF1042">
        <v>0</v>
      </c>
      <c r="EG1042">
        <v>0</v>
      </c>
      <c r="EH1042">
        <v>0</v>
      </c>
      <c r="EI1042" s="2">
        <v>0</v>
      </c>
      <c r="EK1042" t="str">
        <f t="shared" si="1380"/>
        <v/>
      </c>
      <c r="EL1042" t="str">
        <f t="shared" si="1381"/>
        <v/>
      </c>
      <c r="EM1042" s="2" t="str">
        <f t="shared" si="1317"/>
        <v/>
      </c>
      <c r="EP1042" t="str">
        <f>IF(ISNUMBER(BU1042),IF(ABS(BU1042-[3]QC_indicators!$B$2)&gt;3*[3]QC_indicators!$C$2,"C ratio",IF(ISNUMBER(BY1042),IF(ABS(BY1042-[3]QC_indicators!$B$1)&gt;3*[3]QC_indicators!$C$1,"DF","no"))),IF(ISNUMBER(BY1042),IF(ABS(BY1042-[3]QC_indicators!$B$1)&gt;3*[3]QC_indicators!$C$1,"DF","no")))</f>
        <v>no</v>
      </c>
      <c r="ET1042" s="264" t="s">
        <v>3181</v>
      </c>
    </row>
    <row r="1043" spans="1:150" ht="15" hidden="1" customHeight="1">
      <c r="A1043" s="1" t="s">
        <v>587</v>
      </c>
      <c r="B1043" t="s">
        <v>1986</v>
      </c>
      <c r="C1043" t="s">
        <v>1987</v>
      </c>
      <c r="D1043" t="s">
        <v>1988</v>
      </c>
      <c r="E1043" t="s">
        <v>1989</v>
      </c>
      <c r="F1043" t="s">
        <v>1990</v>
      </c>
      <c r="G1043" t="s">
        <v>593</v>
      </c>
      <c r="H1043" t="s">
        <v>254</v>
      </c>
      <c r="I1043">
        <v>2018</v>
      </c>
      <c r="J1043">
        <v>7</v>
      </c>
      <c r="K1043" t="s">
        <v>1991</v>
      </c>
      <c r="M1043" t="str">
        <f t="shared" si="1352"/>
        <v>Nakano_2018</v>
      </c>
      <c r="N1043" t="s">
        <v>222</v>
      </c>
      <c r="O1043" s="157" t="s">
        <v>274</v>
      </c>
      <c r="P1043" t="s">
        <v>959</v>
      </c>
      <c r="Q1043" t="s">
        <v>389</v>
      </c>
      <c r="R1043" s="262" t="s">
        <v>223</v>
      </c>
      <c r="S1043" s="1" t="s">
        <v>1992</v>
      </c>
      <c r="T1043" t="s">
        <v>1993</v>
      </c>
      <c r="U1043" t="s">
        <v>2000</v>
      </c>
      <c r="V1043">
        <v>0</v>
      </c>
      <c r="W1043">
        <v>0</v>
      </c>
      <c r="X1043">
        <v>0</v>
      </c>
      <c r="Y1043">
        <v>0</v>
      </c>
      <c r="Z1043">
        <v>1</v>
      </c>
      <c r="AA1043">
        <v>0</v>
      </c>
      <c r="AB1043">
        <v>0</v>
      </c>
      <c r="AC1043">
        <v>0</v>
      </c>
      <c r="AD1043">
        <v>0</v>
      </c>
      <c r="AE1043">
        <v>0</v>
      </c>
      <c r="AF1043">
        <v>0</v>
      </c>
      <c r="AG1043">
        <v>0</v>
      </c>
      <c r="AH1043">
        <v>0</v>
      </c>
      <c r="AI1043">
        <v>0</v>
      </c>
      <c r="AJ1043">
        <v>0</v>
      </c>
      <c r="AK1043">
        <v>0</v>
      </c>
      <c r="AL1043">
        <v>0</v>
      </c>
      <c r="AM1043">
        <v>0</v>
      </c>
      <c r="AN1043">
        <v>0</v>
      </c>
      <c r="AO1043">
        <v>0</v>
      </c>
      <c r="AP1043">
        <v>0</v>
      </c>
      <c r="AQ1043">
        <v>0</v>
      </c>
      <c r="AR1043">
        <v>0</v>
      </c>
      <c r="AS1043">
        <v>0</v>
      </c>
      <c r="AT1043">
        <v>0</v>
      </c>
      <c r="AU1043">
        <v>0</v>
      </c>
      <c r="AV1043">
        <v>0</v>
      </c>
      <c r="AW1043">
        <v>0</v>
      </c>
      <c r="AX1043" s="141">
        <f t="shared" si="1353"/>
        <v>1</v>
      </c>
      <c r="AY1043" s="141">
        <f t="shared" si="1354"/>
        <v>1</v>
      </c>
      <c r="AZ1043">
        <f t="shared" si="1355"/>
        <v>1</v>
      </c>
      <c r="BA1043">
        <f t="shared" si="1356"/>
        <v>0</v>
      </c>
      <c r="BB1043">
        <f t="shared" si="1357"/>
        <v>0</v>
      </c>
      <c r="BC1043">
        <f t="shared" si="1358"/>
        <v>0</v>
      </c>
      <c r="BD1043">
        <f t="shared" si="1359"/>
        <v>0</v>
      </c>
      <c r="BE1043" t="str">
        <f t="array" ref="BE1043">IF(AY1043=1,INDEX($V$7:$AL$7,MATCH(TRUE,INDEX($V1043:$AW1043&lt;&gt;0,),0)),IF(AY1043=0,INDEX($AM$7:$AW$7,MATCH(1,$AM1043:$AW1043,0)),IF(BF1043="Multiple strategies","mixed drivers",IF(BF1043="Supply chain","multiple supply","multiple silviculture"))))</f>
        <v>species</v>
      </c>
      <c r="BF1043" s="2" t="str" cm="1">
        <f t="array" ref="BF1043">IF(COUNTIF(AZ1043:BB1043,"&lt;&gt;0")=1,INDEX($V$4:$AW$4,MATCH(TRUE,INDEX($V1043:$AW1043&lt;&gt;0,),0)),IF(COUNTIF(AZ1043:BB1043,"&lt;&gt;0")=0,INDEX($AM$4:$AW$4,MATCH(1,$AM1043:$AW1043,0)),"Multiple strategies"))</f>
        <v>Silviculture for productivity</v>
      </c>
      <c r="BG1043" s="1" t="s">
        <v>321</v>
      </c>
      <c r="BH1043" t="s">
        <v>1995</v>
      </c>
      <c r="BI1043" s="264" t="s">
        <v>3178</v>
      </c>
      <c r="BJ1043" s="264" t="s">
        <v>3179</v>
      </c>
      <c r="BK1043">
        <v>958000</v>
      </c>
      <c r="BL1043">
        <v>2395000</v>
      </c>
      <c r="BM1043">
        <v>2.5</v>
      </c>
      <c r="BN1043">
        <f t="shared" si="1360"/>
        <v>1437000</v>
      </c>
      <c r="BO1043">
        <f t="shared" si="1361"/>
        <v>1437000</v>
      </c>
      <c r="BP1043" t="s">
        <v>395</v>
      </c>
      <c r="BQ1043" s="264" t="s">
        <v>3180</v>
      </c>
      <c r="BR1043" t="s">
        <v>1998</v>
      </c>
      <c r="BS1043">
        <v>24392.153846153786</v>
      </c>
      <c r="BT1043">
        <v>62085.769230769176</v>
      </c>
      <c r="BU1043" s="144">
        <v>2.5453172205438106</v>
      </c>
      <c r="BV1043">
        <f t="shared" si="1382"/>
        <v>37693.61538461539</v>
      </c>
      <c r="BX1043" s="152">
        <f t="shared" si="1362"/>
        <v>37693.61538461539</v>
      </c>
      <c r="BY1043">
        <f t="shared" si="1316"/>
        <v>2.6230769230769235E-2</v>
      </c>
      <c r="BZ1043">
        <v>0</v>
      </c>
      <c r="CA1043">
        <v>0</v>
      </c>
      <c r="CB1043">
        <v>0</v>
      </c>
      <c r="CC1043">
        <v>0</v>
      </c>
      <c r="CD1043">
        <v>0</v>
      </c>
      <c r="CE1043">
        <v>0</v>
      </c>
      <c r="CF1043">
        <v>0</v>
      </c>
      <c r="CG1043">
        <v>0</v>
      </c>
      <c r="CH1043">
        <v>0</v>
      </c>
      <c r="CI1043">
        <v>0</v>
      </c>
      <c r="CJ1043">
        <v>0</v>
      </c>
      <c r="CK1043">
        <v>0</v>
      </c>
      <c r="CL1043">
        <v>0</v>
      </c>
      <c r="CM1043">
        <v>0</v>
      </c>
      <c r="CN1043" t="str">
        <f t="shared" si="1363"/>
        <v>refOK</v>
      </c>
      <c r="CO1043">
        <f t="shared" si="1364"/>
        <v>958000</v>
      </c>
      <c r="CP1043">
        <f t="shared" si="1365"/>
        <v>2395000</v>
      </c>
      <c r="CQ1043">
        <f t="shared" si="1366"/>
        <v>1437000</v>
      </c>
      <c r="CR1043">
        <f t="shared" si="1367"/>
        <v>-24392.153846153786</v>
      </c>
      <c r="CS1043">
        <f t="shared" si="1368"/>
        <v>-62085.769230769176</v>
      </c>
      <c r="CT1043">
        <f t="shared" si="1369"/>
        <v>-37693.61538461539</v>
      </c>
      <c r="CU1043">
        <f t="shared" si="1370"/>
        <v>-2.6230769230769235E-2</v>
      </c>
      <c r="CV1043" s="2">
        <f t="shared" si="1371"/>
        <v>-1.5453172205438106</v>
      </c>
      <c r="CW1043" s="1" t="s">
        <v>1202</v>
      </c>
      <c r="CX1043" t="str">
        <f t="shared" si="1372"/>
        <v>reg</v>
      </c>
      <c r="CY1043" t="s">
        <v>960</v>
      </c>
      <c r="CZ1043">
        <v>0</v>
      </c>
      <c r="DA1043">
        <v>0</v>
      </c>
      <c r="DB1043">
        <v>0</v>
      </c>
      <c r="DC1043" t="str">
        <f t="shared" si="1373"/>
        <v>0</v>
      </c>
      <c r="DD1043">
        <v>1</v>
      </c>
      <c r="DE1043">
        <v>0</v>
      </c>
      <c r="DF1043">
        <v>0</v>
      </c>
      <c r="DG1043">
        <v>0</v>
      </c>
      <c r="DI1043">
        <v>1</v>
      </c>
      <c r="DJ1043" t="str">
        <f t="shared" si="1374"/>
        <v>UpstreamInput</v>
      </c>
      <c r="DK1043" t="str">
        <f t="shared" si="1375"/>
        <v>Upstream</v>
      </c>
      <c r="DL1043">
        <f t="shared" si="1376"/>
        <v>0</v>
      </c>
      <c r="DM1043">
        <f t="shared" si="1377"/>
        <v>0</v>
      </c>
      <c r="DN1043">
        <f t="shared" si="1378"/>
        <v>0</v>
      </c>
      <c r="DO1043">
        <v>0</v>
      </c>
      <c r="DP1043">
        <v>0</v>
      </c>
      <c r="DQ1043">
        <v>0</v>
      </c>
      <c r="DR1043">
        <v>0</v>
      </c>
      <c r="DS1043">
        <v>0</v>
      </c>
      <c r="DT1043">
        <f t="shared" si="1379"/>
        <v>0</v>
      </c>
      <c r="DU1043" s="143" t="s">
        <v>961</v>
      </c>
      <c r="DV1043">
        <v>0</v>
      </c>
      <c r="DW1043">
        <v>0</v>
      </c>
      <c r="DX1043">
        <v>0</v>
      </c>
      <c r="DY1043">
        <v>0</v>
      </c>
      <c r="DZ1043">
        <v>0</v>
      </c>
      <c r="EA1043" s="143">
        <v>0</v>
      </c>
      <c r="EB1043">
        <v>1</v>
      </c>
      <c r="EC1043">
        <v>0</v>
      </c>
      <c r="ED1043">
        <v>0</v>
      </c>
      <c r="EE1043">
        <v>0</v>
      </c>
      <c r="EF1043">
        <v>0</v>
      </c>
      <c r="EG1043">
        <v>0</v>
      </c>
      <c r="EH1043">
        <v>0</v>
      </c>
      <c r="EI1043" s="2">
        <v>0</v>
      </c>
      <c r="EK1043" t="str">
        <f t="shared" si="1380"/>
        <v/>
      </c>
      <c r="EL1043" t="str">
        <f t="shared" si="1381"/>
        <v/>
      </c>
      <c r="EM1043" s="2" t="str">
        <f t="shared" si="1317"/>
        <v/>
      </c>
      <c r="EP1043" t="str">
        <f>IF(ISNUMBER(BU1043),IF(ABS(BU1043-[3]QC_indicators!$B$2)&gt;3*[3]QC_indicators!$C$2,"C ratio",IF(ISNUMBER(BY1043),IF(ABS(BY1043-[3]QC_indicators!$B$1)&gt;3*[3]QC_indicators!$C$1,"DF","no"))),IF(ISNUMBER(BY1043),IF(ABS(BY1043-[3]QC_indicators!$B$1)&gt;3*[3]QC_indicators!$C$1,"DF","no")))</f>
        <v>no</v>
      </c>
      <c r="ET1043" s="264" t="s">
        <v>3181</v>
      </c>
    </row>
    <row r="1044" spans="1:150" ht="15" hidden="1" customHeight="1">
      <c r="A1044" s="1" t="s">
        <v>587</v>
      </c>
      <c r="B1044" t="s">
        <v>1986</v>
      </c>
      <c r="C1044" t="s">
        <v>1987</v>
      </c>
      <c r="D1044" t="s">
        <v>1988</v>
      </c>
      <c r="E1044" t="s">
        <v>1989</v>
      </c>
      <c r="F1044" t="s">
        <v>1990</v>
      </c>
      <c r="G1044" t="s">
        <v>593</v>
      </c>
      <c r="H1044" t="s">
        <v>254</v>
      </c>
      <c r="I1044">
        <v>2018</v>
      </c>
      <c r="J1044">
        <v>7</v>
      </c>
      <c r="K1044" t="s">
        <v>1991</v>
      </c>
      <c r="M1044" t="str">
        <f t="shared" si="1352"/>
        <v>Nakano_2018</v>
      </c>
      <c r="N1044" t="s">
        <v>222</v>
      </c>
      <c r="O1044" s="157" t="s">
        <v>274</v>
      </c>
      <c r="P1044" t="s">
        <v>959</v>
      </c>
      <c r="Q1044" t="s">
        <v>389</v>
      </c>
      <c r="R1044" s="262" t="s">
        <v>223</v>
      </c>
      <c r="S1044" s="1" t="s">
        <v>2001</v>
      </c>
      <c r="T1044" t="s">
        <v>2002</v>
      </c>
      <c r="U1044" t="s">
        <v>2003</v>
      </c>
      <c r="V1044">
        <v>0</v>
      </c>
      <c r="W1044">
        <v>0</v>
      </c>
      <c r="X1044">
        <v>0</v>
      </c>
      <c r="Y1044">
        <v>1</v>
      </c>
      <c r="Z1044">
        <v>0</v>
      </c>
      <c r="AA1044">
        <v>0</v>
      </c>
      <c r="AB1044">
        <v>0</v>
      </c>
      <c r="AC1044">
        <v>0</v>
      </c>
      <c r="AD1044">
        <v>0</v>
      </c>
      <c r="AE1044">
        <v>0</v>
      </c>
      <c r="AF1044">
        <v>0</v>
      </c>
      <c r="AG1044">
        <v>0</v>
      </c>
      <c r="AH1044">
        <v>0</v>
      </c>
      <c r="AI1044">
        <v>0</v>
      </c>
      <c r="AJ1044">
        <v>0</v>
      </c>
      <c r="AK1044">
        <v>0</v>
      </c>
      <c r="AL1044">
        <v>0</v>
      </c>
      <c r="AM1044">
        <v>0</v>
      </c>
      <c r="AN1044">
        <v>0</v>
      </c>
      <c r="AO1044">
        <v>0</v>
      </c>
      <c r="AP1044">
        <v>0</v>
      </c>
      <c r="AQ1044">
        <v>0</v>
      </c>
      <c r="AR1044">
        <v>0</v>
      </c>
      <c r="AS1044">
        <v>0</v>
      </c>
      <c r="AT1044">
        <v>0</v>
      </c>
      <c r="AU1044">
        <v>0</v>
      </c>
      <c r="AV1044">
        <v>0</v>
      </c>
      <c r="AW1044">
        <v>0</v>
      </c>
      <c r="AX1044" s="141">
        <f t="shared" si="1353"/>
        <v>1</v>
      </c>
      <c r="AY1044" s="141">
        <f t="shared" si="1354"/>
        <v>1</v>
      </c>
      <c r="AZ1044">
        <f t="shared" si="1355"/>
        <v>1</v>
      </c>
      <c r="BA1044">
        <f t="shared" si="1356"/>
        <v>0</v>
      </c>
      <c r="BB1044">
        <f t="shared" si="1357"/>
        <v>0</v>
      </c>
      <c r="BC1044">
        <f t="shared" si="1358"/>
        <v>0</v>
      </c>
      <c r="BD1044">
        <f t="shared" si="1359"/>
        <v>0</v>
      </c>
      <c r="BE1044" t="str">
        <f t="array" ref="BE1044">IF(AY1044=1,INDEX($V$7:$AL$7,MATCH(TRUE,INDEX($V1044:$AW1044&lt;&gt;0,),0)),IF(AY1044=0,INDEX($AM$7:$AW$7,MATCH(1,$AM1044:$AW1044,0)),IF(BF1044="Multiple strategies","mixed drivers",IF(BF1044="Supply chain","multiple supply","multiple silviculture"))))</f>
        <v xml:space="preserve">cutting intensity </v>
      </c>
      <c r="BF1044" s="2" t="str" cm="1">
        <f t="array" ref="BF1044">IF(COUNTIF(AZ1044:BB1044,"&lt;&gt;0")=1,INDEX($V$4:$AW$4,MATCH(TRUE,INDEX($V1044:$AW1044&lt;&gt;0,),0)),IF(COUNTIF(AZ1044:BB1044,"&lt;&gt;0")=0,INDEX($AM$4:$AW$4,MATCH(1,$AM1044:$AW1044,0)),"Multiple strategies"))</f>
        <v>Silviculture for removals</v>
      </c>
      <c r="BG1044" s="1" t="s">
        <v>321</v>
      </c>
      <c r="BH1044" t="s">
        <v>1995</v>
      </c>
      <c r="BI1044" t="s">
        <v>1996</v>
      </c>
      <c r="BJ1044" t="s">
        <v>1997</v>
      </c>
      <c r="BK1044">
        <v>1</v>
      </c>
      <c r="BL1044">
        <v>1</v>
      </c>
      <c r="BM1044">
        <v>1</v>
      </c>
      <c r="BN1044">
        <f t="shared" si="1360"/>
        <v>0</v>
      </c>
      <c r="BO1044">
        <f t="shared" si="1361"/>
        <v>0</v>
      </c>
      <c r="BP1044" t="s">
        <v>395</v>
      </c>
      <c r="BQ1044" s="264" t="s">
        <v>3182</v>
      </c>
      <c r="BR1044" t="s">
        <v>2004</v>
      </c>
      <c r="BS1044">
        <v>2.5973154362416099E-2</v>
      </c>
      <c r="BT1044">
        <v>2.5973154362416099E-2</v>
      </c>
      <c r="BU1044" s="144">
        <v>1</v>
      </c>
      <c r="BV1044">
        <f t="shared" si="1382"/>
        <v>0</v>
      </c>
      <c r="BX1044">
        <v>0</v>
      </c>
      <c r="BY1044" t="str">
        <f t="shared" si="1316"/>
        <v/>
      </c>
      <c r="BZ1044">
        <v>0</v>
      </c>
      <c r="CA1044">
        <v>0</v>
      </c>
      <c r="CB1044">
        <v>0</v>
      </c>
      <c r="CC1044">
        <v>0</v>
      </c>
      <c r="CD1044">
        <v>0</v>
      </c>
      <c r="CE1044">
        <v>0</v>
      </c>
      <c r="CF1044">
        <v>0</v>
      </c>
      <c r="CG1044">
        <v>0</v>
      </c>
      <c r="CH1044">
        <v>0</v>
      </c>
      <c r="CI1044">
        <v>0</v>
      </c>
      <c r="CJ1044">
        <v>0</v>
      </c>
      <c r="CK1044">
        <v>0</v>
      </c>
      <c r="CL1044">
        <v>0</v>
      </c>
      <c r="CM1044">
        <v>0</v>
      </c>
      <c r="CN1044" t="str">
        <f t="shared" si="1363"/>
        <v>refOK</v>
      </c>
      <c r="CO1044">
        <f t="shared" si="1364"/>
        <v>1</v>
      </c>
      <c r="CP1044">
        <f t="shared" si="1365"/>
        <v>1</v>
      </c>
      <c r="CQ1044">
        <f t="shared" si="1366"/>
        <v>0</v>
      </c>
      <c r="CR1044">
        <f t="shared" si="1367"/>
        <v>-2.5973154362416099E-2</v>
      </c>
      <c r="CS1044">
        <f t="shared" si="1368"/>
        <v>-2.5973154362416099E-2</v>
      </c>
      <c r="CT1044">
        <f t="shared" si="1369"/>
        <v>0</v>
      </c>
      <c r="CU1044" t="str">
        <f t="shared" si="1370"/>
        <v/>
      </c>
      <c r="CV1044" s="2">
        <f t="shared" si="1371"/>
        <v>0</v>
      </c>
      <c r="CW1044" s="1" t="s">
        <v>1202</v>
      </c>
      <c r="CX1044" t="str">
        <f t="shared" si="1372"/>
        <v>reg</v>
      </c>
      <c r="CY1044" t="s">
        <v>960</v>
      </c>
      <c r="CZ1044">
        <v>0</v>
      </c>
      <c r="DA1044">
        <v>0</v>
      </c>
      <c r="DB1044">
        <v>0</v>
      </c>
      <c r="DC1044" t="str">
        <f t="shared" si="1373"/>
        <v>0</v>
      </c>
      <c r="DD1044">
        <v>1</v>
      </c>
      <c r="DE1044">
        <v>0</v>
      </c>
      <c r="DF1044">
        <v>0</v>
      </c>
      <c r="DG1044">
        <v>0</v>
      </c>
      <c r="DI1044">
        <v>1</v>
      </c>
      <c r="DJ1044" t="str">
        <f t="shared" si="1374"/>
        <v>UpstreamInput</v>
      </c>
      <c r="DK1044" t="str">
        <f t="shared" si="1375"/>
        <v>Upstream</v>
      </c>
      <c r="DL1044">
        <f t="shared" si="1376"/>
        <v>0</v>
      </c>
      <c r="DM1044">
        <f t="shared" si="1377"/>
        <v>0</v>
      </c>
      <c r="DN1044">
        <f t="shared" si="1378"/>
        <v>0</v>
      </c>
      <c r="DO1044">
        <v>0</v>
      </c>
      <c r="DP1044">
        <v>0</v>
      </c>
      <c r="DQ1044">
        <v>0</v>
      </c>
      <c r="DR1044">
        <v>0</v>
      </c>
      <c r="DS1044">
        <v>0</v>
      </c>
      <c r="DT1044">
        <f t="shared" si="1379"/>
        <v>0</v>
      </c>
      <c r="DU1044" s="143" t="s">
        <v>961</v>
      </c>
      <c r="DV1044">
        <v>0</v>
      </c>
      <c r="DW1044">
        <v>0</v>
      </c>
      <c r="DX1044">
        <v>0</v>
      </c>
      <c r="DY1044">
        <v>0</v>
      </c>
      <c r="DZ1044">
        <v>0</v>
      </c>
      <c r="EA1044" s="143">
        <v>0</v>
      </c>
      <c r="EB1044">
        <v>1</v>
      </c>
      <c r="EC1044">
        <v>0</v>
      </c>
      <c r="ED1044">
        <v>0</v>
      </c>
      <c r="EE1044">
        <v>0</v>
      </c>
      <c r="EF1044">
        <v>0</v>
      </c>
      <c r="EG1044">
        <v>0</v>
      </c>
      <c r="EH1044">
        <v>0</v>
      </c>
      <c r="EI1044" s="2">
        <v>0</v>
      </c>
      <c r="EK1044" t="str">
        <f t="shared" si="1380"/>
        <v/>
      </c>
      <c r="EL1044" t="str">
        <f t="shared" si="1381"/>
        <v/>
      </c>
      <c r="EM1044" s="2" t="str">
        <f t="shared" si="1317"/>
        <v/>
      </c>
      <c r="EP1044" t="b">
        <f>IF(ISNUMBER(BU1044),IF(ABS(BU1044-[3]QC_indicators!$B$2)&gt;3*[3]QC_indicators!$C$2,"C ratio",IF(ISNUMBER(BY1044),IF(ABS(BY1044-[3]QC_indicators!$B$1)&gt;3*[3]QC_indicators!$C$1,"DF","no"))),IF(ISNUMBER(BY1044),IF(ABS(BY1044-[3]QC_indicators!$B$1)&gt;3*[3]QC_indicators!$C$1,"DF","no")))</f>
        <v>0</v>
      </c>
      <c r="ET1044" s="264" t="s">
        <v>3181</v>
      </c>
    </row>
    <row r="1045" spans="1:150" ht="15" hidden="1" customHeight="1">
      <c r="A1045" s="1" t="s">
        <v>587</v>
      </c>
      <c r="B1045" t="s">
        <v>1986</v>
      </c>
      <c r="C1045" t="s">
        <v>1987</v>
      </c>
      <c r="D1045" t="s">
        <v>1988</v>
      </c>
      <c r="E1045" t="s">
        <v>1989</v>
      </c>
      <c r="F1045" t="s">
        <v>1990</v>
      </c>
      <c r="G1045" t="s">
        <v>593</v>
      </c>
      <c r="H1045" t="s">
        <v>254</v>
      </c>
      <c r="I1045">
        <v>2018</v>
      </c>
      <c r="J1045">
        <v>7</v>
      </c>
      <c r="K1045" t="s">
        <v>1991</v>
      </c>
      <c r="M1045" t="str">
        <f t="shared" si="1352"/>
        <v>Nakano_2018</v>
      </c>
      <c r="N1045" t="s">
        <v>222</v>
      </c>
      <c r="O1045" s="157" t="s">
        <v>274</v>
      </c>
      <c r="P1045" t="s">
        <v>959</v>
      </c>
      <c r="Q1045" t="s">
        <v>389</v>
      </c>
      <c r="R1045" s="262" t="s">
        <v>223</v>
      </c>
      <c r="S1045" s="1" t="s">
        <v>2005</v>
      </c>
      <c r="T1045" t="s">
        <v>2006</v>
      </c>
      <c r="U1045" t="s">
        <v>2007</v>
      </c>
      <c r="V1045">
        <v>0</v>
      </c>
      <c r="W1045">
        <v>0</v>
      </c>
      <c r="X1045">
        <v>0</v>
      </c>
      <c r="Y1045">
        <v>1</v>
      </c>
      <c r="Z1045">
        <v>0</v>
      </c>
      <c r="AA1045">
        <v>0</v>
      </c>
      <c r="AB1045">
        <v>0</v>
      </c>
      <c r="AC1045">
        <v>0</v>
      </c>
      <c r="AD1045">
        <v>0</v>
      </c>
      <c r="AE1045">
        <v>0</v>
      </c>
      <c r="AF1045">
        <v>0</v>
      </c>
      <c r="AG1045">
        <v>0</v>
      </c>
      <c r="AH1045">
        <v>0</v>
      </c>
      <c r="AI1045">
        <v>0</v>
      </c>
      <c r="AJ1045">
        <v>0</v>
      </c>
      <c r="AK1045">
        <v>0</v>
      </c>
      <c r="AL1045">
        <v>0</v>
      </c>
      <c r="AM1045">
        <v>0</v>
      </c>
      <c r="AN1045">
        <v>0</v>
      </c>
      <c r="AO1045">
        <v>0</v>
      </c>
      <c r="AP1045">
        <v>0</v>
      </c>
      <c r="AQ1045">
        <v>0</v>
      </c>
      <c r="AR1045">
        <v>0</v>
      </c>
      <c r="AS1045">
        <v>0</v>
      </c>
      <c r="AT1045">
        <v>0</v>
      </c>
      <c r="AU1045">
        <v>0</v>
      </c>
      <c r="AV1045">
        <v>0</v>
      </c>
      <c r="AW1045">
        <v>0</v>
      </c>
      <c r="AX1045" s="141">
        <f t="shared" si="1353"/>
        <v>1</v>
      </c>
      <c r="AY1045" s="141">
        <f t="shared" si="1354"/>
        <v>1</v>
      </c>
      <c r="AZ1045">
        <f t="shared" si="1355"/>
        <v>1</v>
      </c>
      <c r="BA1045">
        <f t="shared" si="1356"/>
        <v>0</v>
      </c>
      <c r="BB1045">
        <f t="shared" si="1357"/>
        <v>0</v>
      </c>
      <c r="BC1045">
        <f t="shared" si="1358"/>
        <v>0</v>
      </c>
      <c r="BD1045">
        <f t="shared" si="1359"/>
        <v>0</v>
      </c>
      <c r="BE1045" t="str">
        <f t="array" ref="BE1045">IF(AY1045=1,INDEX($V$7:$AL$7,MATCH(TRUE,INDEX($V1045:$AW1045&lt;&gt;0,),0)),IF(AY1045=0,INDEX($AM$7:$AW$7,MATCH(1,$AM1045:$AW1045,0)),IF(BF1045="Multiple strategies","mixed drivers",IF(BF1045="Supply chain","multiple supply","multiple silviculture"))))</f>
        <v xml:space="preserve">cutting intensity </v>
      </c>
      <c r="BF1045" s="2" t="str" cm="1">
        <f t="array" ref="BF1045">IF(COUNTIF(AZ1045:BB1045,"&lt;&gt;0")=1,INDEX($V$4:$AW$4,MATCH(TRUE,INDEX($V1045:$AW1045&lt;&gt;0,),0)),IF(COUNTIF(AZ1045:BB1045,"&lt;&gt;0")=0,INDEX($AM$4:$AW$4,MATCH(1,$AM1045:$AW1045,0)),"Multiple strategies"))</f>
        <v>Silviculture for removals</v>
      </c>
      <c r="BG1045" s="1" t="s">
        <v>321</v>
      </c>
      <c r="BH1045" t="s">
        <v>1995</v>
      </c>
      <c r="BI1045" t="s">
        <v>1996</v>
      </c>
      <c r="BJ1045" t="s">
        <v>1997</v>
      </c>
      <c r="BK1045">
        <v>1</v>
      </c>
      <c r="BL1045">
        <v>1</v>
      </c>
      <c r="BM1045">
        <v>1</v>
      </c>
      <c r="BN1045">
        <f t="shared" si="1360"/>
        <v>0</v>
      </c>
      <c r="BO1045">
        <f t="shared" si="1361"/>
        <v>0</v>
      </c>
      <c r="BP1045" t="s">
        <v>395</v>
      </c>
      <c r="BQ1045" s="264" t="s">
        <v>3182</v>
      </c>
      <c r="BR1045" t="s">
        <v>2004</v>
      </c>
      <c r="BS1045">
        <v>2.1208053691275101E-2</v>
      </c>
      <c r="BT1045">
        <v>2.2080536912751601E-2</v>
      </c>
      <c r="BU1045" s="144">
        <v>1.0411392405063289</v>
      </c>
      <c r="BV1045">
        <f t="shared" si="1382"/>
        <v>8.7248322147650062E-4</v>
      </c>
      <c r="BX1045">
        <v>8.7248322147650062E-4</v>
      </c>
      <c r="BY1045" t="str">
        <f t="shared" si="1316"/>
        <v/>
      </c>
      <c r="BZ1045">
        <v>0</v>
      </c>
      <c r="CA1045">
        <v>0</v>
      </c>
      <c r="CB1045">
        <v>0</v>
      </c>
      <c r="CC1045">
        <v>0</v>
      </c>
      <c r="CD1045">
        <v>0</v>
      </c>
      <c r="CE1045">
        <v>0</v>
      </c>
      <c r="CF1045">
        <v>0</v>
      </c>
      <c r="CG1045">
        <v>0</v>
      </c>
      <c r="CH1045">
        <v>0</v>
      </c>
      <c r="CI1045">
        <v>0</v>
      </c>
      <c r="CJ1045">
        <v>0</v>
      </c>
      <c r="CK1045">
        <v>0</v>
      </c>
      <c r="CL1045">
        <v>0</v>
      </c>
      <c r="CM1045">
        <v>0</v>
      </c>
      <c r="CN1045" t="str">
        <f t="shared" si="1363"/>
        <v>refOK</v>
      </c>
      <c r="CO1045">
        <f t="shared" si="1364"/>
        <v>1</v>
      </c>
      <c r="CP1045">
        <f t="shared" si="1365"/>
        <v>1</v>
      </c>
      <c r="CQ1045">
        <f t="shared" si="1366"/>
        <v>0</v>
      </c>
      <c r="CR1045">
        <f t="shared" si="1367"/>
        <v>-2.1208053691275101E-2</v>
      </c>
      <c r="CS1045">
        <f t="shared" si="1368"/>
        <v>-2.2080536912751601E-2</v>
      </c>
      <c r="CT1045">
        <f t="shared" si="1369"/>
        <v>-8.7248322147650062E-4</v>
      </c>
      <c r="CU1045" t="str">
        <f t="shared" si="1370"/>
        <v/>
      </c>
      <c r="CV1045" s="2">
        <f t="shared" si="1371"/>
        <v>-4.1139240506328799E-2</v>
      </c>
      <c r="CW1045" s="1" t="s">
        <v>1202</v>
      </c>
      <c r="CX1045" t="str">
        <f t="shared" si="1372"/>
        <v>reg</v>
      </c>
      <c r="CY1045" t="s">
        <v>960</v>
      </c>
      <c r="CZ1045">
        <v>0</v>
      </c>
      <c r="DA1045">
        <v>0</v>
      </c>
      <c r="DB1045">
        <v>0</v>
      </c>
      <c r="DC1045" t="str">
        <f t="shared" si="1373"/>
        <v>0</v>
      </c>
      <c r="DD1045">
        <v>1</v>
      </c>
      <c r="DE1045">
        <v>0</v>
      </c>
      <c r="DF1045">
        <v>0</v>
      </c>
      <c r="DG1045">
        <v>0</v>
      </c>
      <c r="DI1045">
        <v>1</v>
      </c>
      <c r="DJ1045" t="str">
        <f t="shared" si="1374"/>
        <v>UpstreamInput</v>
      </c>
      <c r="DK1045" t="str">
        <f t="shared" si="1375"/>
        <v>Upstream</v>
      </c>
      <c r="DL1045">
        <f t="shared" si="1376"/>
        <v>0</v>
      </c>
      <c r="DM1045">
        <f t="shared" si="1377"/>
        <v>0</v>
      </c>
      <c r="DN1045">
        <f t="shared" si="1378"/>
        <v>0</v>
      </c>
      <c r="DO1045">
        <v>0</v>
      </c>
      <c r="DP1045">
        <v>0</v>
      </c>
      <c r="DQ1045">
        <v>0</v>
      </c>
      <c r="DR1045">
        <v>0</v>
      </c>
      <c r="DS1045">
        <v>0</v>
      </c>
      <c r="DT1045">
        <f t="shared" si="1379"/>
        <v>0</v>
      </c>
      <c r="DU1045" s="143" t="s">
        <v>961</v>
      </c>
      <c r="DV1045">
        <v>0</v>
      </c>
      <c r="DW1045">
        <v>0</v>
      </c>
      <c r="DX1045">
        <v>0</v>
      </c>
      <c r="DY1045">
        <v>0</v>
      </c>
      <c r="DZ1045">
        <v>0</v>
      </c>
      <c r="EA1045" s="143">
        <v>0</v>
      </c>
      <c r="EB1045">
        <v>1</v>
      </c>
      <c r="EC1045">
        <v>0</v>
      </c>
      <c r="ED1045">
        <v>0</v>
      </c>
      <c r="EE1045">
        <v>0</v>
      </c>
      <c r="EF1045">
        <v>0</v>
      </c>
      <c r="EG1045">
        <v>0</v>
      </c>
      <c r="EH1045">
        <v>0</v>
      </c>
      <c r="EI1045" s="2">
        <v>0</v>
      </c>
      <c r="EK1045" t="str">
        <f t="shared" si="1380"/>
        <v/>
      </c>
      <c r="EL1045" t="str">
        <f t="shared" si="1381"/>
        <v/>
      </c>
      <c r="EM1045" s="2" t="str">
        <f t="shared" si="1317"/>
        <v/>
      </c>
      <c r="EP1045" t="b">
        <f>IF(ISNUMBER(BU1045),IF(ABS(BU1045-[3]QC_indicators!$B$2)&gt;3*[3]QC_indicators!$C$2,"C ratio",IF(ISNUMBER(BY1045),IF(ABS(BY1045-[3]QC_indicators!$B$1)&gt;3*[3]QC_indicators!$C$1,"DF","no"))),IF(ISNUMBER(BY1045),IF(ABS(BY1045-[3]QC_indicators!$B$1)&gt;3*[3]QC_indicators!$C$1,"DF","no")))</f>
        <v>0</v>
      </c>
      <c r="ET1045" s="264" t="s">
        <v>3181</v>
      </c>
    </row>
    <row r="1046" spans="1:150" ht="15" hidden="1" customHeight="1">
      <c r="A1046" s="1" t="s">
        <v>587</v>
      </c>
      <c r="B1046" t="s">
        <v>1986</v>
      </c>
      <c r="C1046" t="s">
        <v>1987</v>
      </c>
      <c r="D1046" t="s">
        <v>1988</v>
      </c>
      <c r="E1046" t="s">
        <v>1989</v>
      </c>
      <c r="F1046" t="s">
        <v>1990</v>
      </c>
      <c r="G1046" t="s">
        <v>593</v>
      </c>
      <c r="H1046" t="s">
        <v>254</v>
      </c>
      <c r="I1046">
        <v>2018</v>
      </c>
      <c r="J1046">
        <v>7</v>
      </c>
      <c r="K1046" t="s">
        <v>1991</v>
      </c>
      <c r="M1046" t="str">
        <f t="shared" si="1352"/>
        <v>Nakano_2018</v>
      </c>
      <c r="N1046" t="s">
        <v>222</v>
      </c>
      <c r="O1046" s="157" t="s">
        <v>274</v>
      </c>
      <c r="P1046" t="s">
        <v>959</v>
      </c>
      <c r="Q1046" t="s">
        <v>389</v>
      </c>
      <c r="R1046" s="262" t="s">
        <v>223</v>
      </c>
      <c r="S1046" s="1" t="s">
        <v>2001</v>
      </c>
      <c r="T1046" t="s">
        <v>2008</v>
      </c>
      <c r="U1046" t="s">
        <v>2009</v>
      </c>
      <c r="V1046">
        <v>0</v>
      </c>
      <c r="W1046">
        <v>0</v>
      </c>
      <c r="X1046">
        <v>0</v>
      </c>
      <c r="Y1046">
        <v>1</v>
      </c>
      <c r="Z1046">
        <v>0</v>
      </c>
      <c r="AA1046">
        <v>0</v>
      </c>
      <c r="AB1046">
        <v>0</v>
      </c>
      <c r="AC1046">
        <v>0</v>
      </c>
      <c r="AD1046">
        <v>0</v>
      </c>
      <c r="AE1046">
        <v>0</v>
      </c>
      <c r="AF1046">
        <v>0</v>
      </c>
      <c r="AG1046">
        <v>0</v>
      </c>
      <c r="AH1046">
        <v>0</v>
      </c>
      <c r="AI1046">
        <v>0</v>
      </c>
      <c r="AJ1046">
        <v>0</v>
      </c>
      <c r="AK1046">
        <v>0</v>
      </c>
      <c r="AL1046">
        <v>0</v>
      </c>
      <c r="AM1046">
        <v>0</v>
      </c>
      <c r="AN1046">
        <v>0</v>
      </c>
      <c r="AO1046">
        <v>0</v>
      </c>
      <c r="AP1046">
        <v>0</v>
      </c>
      <c r="AQ1046">
        <v>0</v>
      </c>
      <c r="AR1046">
        <v>0</v>
      </c>
      <c r="AS1046">
        <v>0</v>
      </c>
      <c r="AT1046">
        <v>0</v>
      </c>
      <c r="AU1046">
        <v>0</v>
      </c>
      <c r="AV1046">
        <v>0</v>
      </c>
      <c r="AW1046">
        <v>0</v>
      </c>
      <c r="AX1046" s="141">
        <f t="shared" si="1353"/>
        <v>1</v>
      </c>
      <c r="AY1046" s="141">
        <f t="shared" si="1354"/>
        <v>1</v>
      </c>
      <c r="AZ1046">
        <f t="shared" si="1355"/>
        <v>1</v>
      </c>
      <c r="BA1046">
        <f t="shared" si="1356"/>
        <v>0</v>
      </c>
      <c r="BB1046">
        <f t="shared" si="1357"/>
        <v>0</v>
      </c>
      <c r="BC1046">
        <f t="shared" si="1358"/>
        <v>0</v>
      </c>
      <c r="BD1046">
        <f t="shared" si="1359"/>
        <v>0</v>
      </c>
      <c r="BE1046" t="str">
        <f t="array" ref="BE1046">IF(AY1046=1,INDEX($V$7:$AL$7,MATCH(TRUE,INDEX($V1046:$AW1046&lt;&gt;0,),0)),IF(AY1046=0,INDEX($AM$7:$AW$7,MATCH(1,$AM1046:$AW1046,0)),IF(BF1046="Multiple strategies","mixed drivers",IF(BF1046="Supply chain","multiple supply","multiple silviculture"))))</f>
        <v xml:space="preserve">cutting intensity </v>
      </c>
      <c r="BF1046" s="2" t="str" cm="1">
        <f t="array" ref="BF1046">IF(COUNTIF(AZ1046:BB1046,"&lt;&gt;0")=1,INDEX($V$4:$AW$4,MATCH(TRUE,INDEX($V1046:$AW1046&lt;&gt;0,),0)),IF(COUNTIF(AZ1046:BB1046,"&lt;&gt;0")=0,INDEX($AM$4:$AW$4,MATCH(1,$AM1046:$AW1046,0)),"Multiple strategies"))</f>
        <v>Silviculture for removals</v>
      </c>
      <c r="BG1046" s="1" t="s">
        <v>321</v>
      </c>
      <c r="BH1046" t="s">
        <v>1995</v>
      </c>
      <c r="BI1046" t="s">
        <v>1996</v>
      </c>
      <c r="BJ1046" t="s">
        <v>1997</v>
      </c>
      <c r="BK1046">
        <v>1</v>
      </c>
      <c r="BL1046">
        <v>1</v>
      </c>
      <c r="BM1046">
        <v>1</v>
      </c>
      <c r="BN1046">
        <f t="shared" si="1360"/>
        <v>0</v>
      </c>
      <c r="BO1046">
        <f t="shared" si="1361"/>
        <v>0</v>
      </c>
      <c r="BP1046" t="s">
        <v>395</v>
      </c>
      <c r="BQ1046" s="264" t="s">
        <v>3182</v>
      </c>
      <c r="BR1046" t="s">
        <v>2004</v>
      </c>
      <c r="BS1046">
        <v>2.43624161073825E-2</v>
      </c>
      <c r="BT1046">
        <v>2.5234899328859001E-2</v>
      </c>
      <c r="BU1046" s="144">
        <v>1.0358126721763081</v>
      </c>
      <c r="BV1046">
        <f t="shared" si="1382"/>
        <v>8.7248322147650062E-4</v>
      </c>
      <c r="BX1046">
        <v>8.7248322147650062E-4</v>
      </c>
      <c r="BY1046" t="str">
        <f t="shared" si="1316"/>
        <v/>
      </c>
      <c r="BZ1046">
        <v>0</v>
      </c>
      <c r="CA1046">
        <v>0</v>
      </c>
      <c r="CB1046">
        <v>0</v>
      </c>
      <c r="CC1046">
        <v>0</v>
      </c>
      <c r="CD1046">
        <v>0</v>
      </c>
      <c r="CE1046">
        <v>0</v>
      </c>
      <c r="CF1046">
        <v>0</v>
      </c>
      <c r="CG1046">
        <v>0</v>
      </c>
      <c r="CH1046">
        <v>0</v>
      </c>
      <c r="CI1046">
        <v>0</v>
      </c>
      <c r="CJ1046">
        <v>0</v>
      </c>
      <c r="CK1046">
        <v>0</v>
      </c>
      <c r="CL1046">
        <v>0</v>
      </c>
      <c r="CM1046">
        <v>0</v>
      </c>
      <c r="CN1046" t="str">
        <f t="shared" si="1363"/>
        <v>refOK</v>
      </c>
      <c r="CO1046">
        <f t="shared" si="1364"/>
        <v>1</v>
      </c>
      <c r="CP1046">
        <f t="shared" si="1365"/>
        <v>1</v>
      </c>
      <c r="CQ1046">
        <f t="shared" si="1366"/>
        <v>0</v>
      </c>
      <c r="CR1046">
        <f t="shared" si="1367"/>
        <v>-2.43624161073825E-2</v>
      </c>
      <c r="CS1046">
        <f t="shared" si="1368"/>
        <v>-2.5234899328859001E-2</v>
      </c>
      <c r="CT1046">
        <f t="shared" si="1369"/>
        <v>-8.7248322147650062E-4</v>
      </c>
      <c r="CU1046" t="str">
        <f t="shared" si="1370"/>
        <v/>
      </c>
      <c r="CV1046" s="2">
        <f t="shared" si="1371"/>
        <v>-3.5812672176308229E-2</v>
      </c>
      <c r="CW1046" s="1" t="s">
        <v>1202</v>
      </c>
      <c r="CX1046" t="str">
        <f t="shared" si="1372"/>
        <v>reg</v>
      </c>
      <c r="CY1046" t="s">
        <v>960</v>
      </c>
      <c r="CZ1046">
        <v>0</v>
      </c>
      <c r="DA1046">
        <v>0</v>
      </c>
      <c r="DB1046">
        <v>0</v>
      </c>
      <c r="DC1046" t="str">
        <f t="shared" si="1373"/>
        <v>0</v>
      </c>
      <c r="DD1046">
        <v>1</v>
      </c>
      <c r="DE1046">
        <v>0</v>
      </c>
      <c r="DF1046">
        <v>0</v>
      </c>
      <c r="DG1046">
        <v>0</v>
      </c>
      <c r="DI1046">
        <v>1</v>
      </c>
      <c r="DJ1046" t="str">
        <f t="shared" si="1374"/>
        <v>UpstreamInput</v>
      </c>
      <c r="DK1046" t="str">
        <f t="shared" si="1375"/>
        <v>Upstream</v>
      </c>
      <c r="DL1046">
        <f t="shared" si="1376"/>
        <v>0</v>
      </c>
      <c r="DM1046">
        <f t="shared" si="1377"/>
        <v>0</v>
      </c>
      <c r="DN1046">
        <f t="shared" si="1378"/>
        <v>0</v>
      </c>
      <c r="DO1046">
        <v>0</v>
      </c>
      <c r="DP1046">
        <v>0</v>
      </c>
      <c r="DQ1046">
        <v>0</v>
      </c>
      <c r="DR1046">
        <v>0</v>
      </c>
      <c r="DS1046">
        <v>0</v>
      </c>
      <c r="DT1046">
        <f t="shared" si="1379"/>
        <v>0</v>
      </c>
      <c r="DU1046" s="143" t="s">
        <v>961</v>
      </c>
      <c r="DV1046">
        <v>0</v>
      </c>
      <c r="DW1046">
        <v>0</v>
      </c>
      <c r="DX1046">
        <v>0</v>
      </c>
      <c r="DY1046">
        <v>0</v>
      </c>
      <c r="DZ1046">
        <v>0</v>
      </c>
      <c r="EA1046" s="143">
        <v>0</v>
      </c>
      <c r="EB1046">
        <v>1</v>
      </c>
      <c r="EC1046">
        <v>0</v>
      </c>
      <c r="ED1046">
        <v>0</v>
      </c>
      <c r="EE1046">
        <v>0</v>
      </c>
      <c r="EF1046">
        <v>0</v>
      </c>
      <c r="EG1046">
        <v>0</v>
      </c>
      <c r="EH1046">
        <v>0</v>
      </c>
      <c r="EI1046" s="2">
        <v>0</v>
      </c>
      <c r="EK1046" t="str">
        <f t="shared" si="1380"/>
        <v/>
      </c>
      <c r="EL1046" t="str">
        <f t="shared" si="1381"/>
        <v/>
      </c>
      <c r="EM1046" s="2" t="str">
        <f t="shared" si="1317"/>
        <v/>
      </c>
      <c r="EP1046" t="b">
        <f>IF(ISNUMBER(BU1046),IF(ABS(BU1046-[3]QC_indicators!$B$2)&gt;3*[3]QC_indicators!$C$2,"C ratio",IF(ISNUMBER(BY1046),IF(ABS(BY1046-[3]QC_indicators!$B$1)&gt;3*[3]QC_indicators!$C$1,"DF","no"))),IF(ISNUMBER(BY1046),IF(ABS(BY1046-[3]QC_indicators!$B$1)&gt;3*[3]QC_indicators!$C$1,"DF","no")))</f>
        <v>0</v>
      </c>
      <c r="ET1046" s="264" t="s">
        <v>3181</v>
      </c>
    </row>
    <row r="1047" spans="1:150" ht="15" hidden="1" customHeight="1">
      <c r="A1047" s="1" t="s">
        <v>587</v>
      </c>
      <c r="B1047" t="s">
        <v>1986</v>
      </c>
      <c r="C1047" t="s">
        <v>1987</v>
      </c>
      <c r="D1047" t="s">
        <v>1988</v>
      </c>
      <c r="E1047" t="s">
        <v>1989</v>
      </c>
      <c r="F1047" t="s">
        <v>1990</v>
      </c>
      <c r="G1047" t="s">
        <v>593</v>
      </c>
      <c r="H1047" t="s">
        <v>254</v>
      </c>
      <c r="I1047">
        <v>2018</v>
      </c>
      <c r="J1047">
        <v>7</v>
      </c>
      <c r="K1047" t="s">
        <v>1991</v>
      </c>
      <c r="M1047" t="str">
        <f t="shared" si="1352"/>
        <v>Nakano_2018</v>
      </c>
      <c r="N1047" t="s">
        <v>222</v>
      </c>
      <c r="O1047" s="157" t="s">
        <v>274</v>
      </c>
      <c r="P1047" t="s">
        <v>959</v>
      </c>
      <c r="Q1047" t="s">
        <v>389</v>
      </c>
      <c r="R1047" s="262" t="s">
        <v>223</v>
      </c>
      <c r="S1047" s="1" t="s">
        <v>2001</v>
      </c>
      <c r="T1047" t="s">
        <v>2010</v>
      </c>
      <c r="U1047" t="s">
        <v>2011</v>
      </c>
      <c r="V1047">
        <v>0</v>
      </c>
      <c r="W1047">
        <v>0</v>
      </c>
      <c r="X1047">
        <v>0</v>
      </c>
      <c r="Y1047">
        <v>1</v>
      </c>
      <c r="Z1047">
        <v>0</v>
      </c>
      <c r="AA1047">
        <v>0</v>
      </c>
      <c r="AB1047">
        <v>0</v>
      </c>
      <c r="AC1047">
        <v>0</v>
      </c>
      <c r="AD1047">
        <v>0</v>
      </c>
      <c r="AE1047">
        <v>0</v>
      </c>
      <c r="AF1047">
        <v>0</v>
      </c>
      <c r="AG1047">
        <v>0</v>
      </c>
      <c r="AH1047">
        <v>0</v>
      </c>
      <c r="AI1047">
        <v>0</v>
      </c>
      <c r="AJ1047">
        <v>0</v>
      </c>
      <c r="AK1047">
        <v>0</v>
      </c>
      <c r="AL1047">
        <v>0</v>
      </c>
      <c r="AM1047">
        <v>0</v>
      </c>
      <c r="AN1047">
        <v>0</v>
      </c>
      <c r="AO1047">
        <v>0</v>
      </c>
      <c r="AP1047">
        <v>0</v>
      </c>
      <c r="AQ1047">
        <v>0</v>
      </c>
      <c r="AR1047">
        <v>0</v>
      </c>
      <c r="AS1047">
        <v>0</v>
      </c>
      <c r="AT1047">
        <v>0</v>
      </c>
      <c r="AU1047">
        <v>0</v>
      </c>
      <c r="AV1047">
        <v>0</v>
      </c>
      <c r="AW1047">
        <v>0</v>
      </c>
      <c r="AX1047" s="141">
        <f t="shared" si="1353"/>
        <v>1</v>
      </c>
      <c r="AY1047" s="141">
        <f t="shared" si="1354"/>
        <v>1</v>
      </c>
      <c r="AZ1047">
        <f t="shared" si="1355"/>
        <v>1</v>
      </c>
      <c r="BA1047">
        <f t="shared" si="1356"/>
        <v>0</v>
      </c>
      <c r="BB1047">
        <f t="shared" si="1357"/>
        <v>0</v>
      </c>
      <c r="BC1047">
        <f t="shared" si="1358"/>
        <v>0</v>
      </c>
      <c r="BD1047">
        <f t="shared" si="1359"/>
        <v>0</v>
      </c>
      <c r="BE1047" t="str">
        <f t="array" ref="BE1047">IF(AY1047=1,INDEX($V$7:$AL$7,MATCH(TRUE,INDEX($V1047:$AW1047&lt;&gt;0,),0)),IF(AY1047=0,INDEX($AM$7:$AW$7,MATCH(1,$AM1047:$AW1047,0)),IF(BF1047="Multiple strategies","mixed drivers",IF(BF1047="Supply chain","multiple supply","multiple silviculture"))))</f>
        <v xml:space="preserve">cutting intensity </v>
      </c>
      <c r="BF1047" s="2" t="str" cm="1">
        <f t="array" ref="BF1047">IF(COUNTIF(AZ1047:BB1047,"&lt;&gt;0")=1,INDEX($V$4:$AW$4,MATCH(TRUE,INDEX($V1047:$AW1047&lt;&gt;0,),0)),IF(COUNTIF(AZ1047:BB1047,"&lt;&gt;0")=0,INDEX($AM$4:$AW$4,MATCH(1,$AM1047:$AW1047,0)),"Multiple strategies"))</f>
        <v>Silviculture for removals</v>
      </c>
      <c r="BG1047" s="1" t="s">
        <v>321</v>
      </c>
      <c r="BH1047" t="s">
        <v>1995</v>
      </c>
      <c r="BI1047" t="s">
        <v>1996</v>
      </c>
      <c r="BJ1047" t="s">
        <v>1997</v>
      </c>
      <c r="BK1047">
        <v>1</v>
      </c>
      <c r="BL1047">
        <v>1</v>
      </c>
      <c r="BM1047">
        <v>1</v>
      </c>
      <c r="BN1047">
        <f t="shared" si="1360"/>
        <v>0</v>
      </c>
      <c r="BO1047">
        <f t="shared" si="1361"/>
        <v>0</v>
      </c>
      <c r="BP1047" t="s">
        <v>395</v>
      </c>
      <c r="BQ1047" s="264" t="s">
        <v>3182</v>
      </c>
      <c r="BR1047" t="s">
        <v>2004</v>
      </c>
      <c r="BS1047">
        <v>2.5033557046979803E-2</v>
      </c>
      <c r="BT1047">
        <v>2.5771812080536902E-2</v>
      </c>
      <c r="BU1047" s="144">
        <v>1.0294906166219859</v>
      </c>
      <c r="BV1047">
        <f t="shared" si="1382"/>
        <v>7.3825503355709823E-4</v>
      </c>
      <c r="BX1047">
        <v>7.3825503355709823E-4</v>
      </c>
      <c r="BY1047" t="str">
        <f t="shared" si="1316"/>
        <v/>
      </c>
      <c r="BZ1047">
        <v>0</v>
      </c>
      <c r="CA1047">
        <v>0</v>
      </c>
      <c r="CB1047">
        <v>0</v>
      </c>
      <c r="CC1047">
        <v>0</v>
      </c>
      <c r="CD1047">
        <v>0</v>
      </c>
      <c r="CE1047">
        <v>0</v>
      </c>
      <c r="CF1047">
        <v>0</v>
      </c>
      <c r="CG1047">
        <v>0</v>
      </c>
      <c r="CH1047">
        <v>0</v>
      </c>
      <c r="CI1047">
        <v>0</v>
      </c>
      <c r="CJ1047">
        <v>0</v>
      </c>
      <c r="CK1047">
        <v>0</v>
      </c>
      <c r="CL1047">
        <v>0</v>
      </c>
      <c r="CM1047">
        <v>0</v>
      </c>
      <c r="CN1047" t="str">
        <f t="shared" si="1363"/>
        <v>refOK</v>
      </c>
      <c r="CO1047">
        <f t="shared" si="1364"/>
        <v>1</v>
      </c>
      <c r="CP1047">
        <f t="shared" si="1365"/>
        <v>1</v>
      </c>
      <c r="CQ1047">
        <f t="shared" si="1366"/>
        <v>0</v>
      </c>
      <c r="CR1047">
        <f t="shared" si="1367"/>
        <v>-2.5033557046979803E-2</v>
      </c>
      <c r="CS1047">
        <f t="shared" si="1368"/>
        <v>-2.5771812080536902E-2</v>
      </c>
      <c r="CT1047">
        <f t="shared" si="1369"/>
        <v>-7.3825503355709823E-4</v>
      </c>
      <c r="CU1047" t="str">
        <f t="shared" si="1370"/>
        <v/>
      </c>
      <c r="CV1047" s="2">
        <f t="shared" si="1371"/>
        <v>-2.9490616621986036E-2</v>
      </c>
      <c r="CW1047" s="1" t="s">
        <v>1202</v>
      </c>
      <c r="CX1047" t="str">
        <f t="shared" si="1372"/>
        <v>reg</v>
      </c>
      <c r="CY1047" t="s">
        <v>960</v>
      </c>
      <c r="CZ1047">
        <v>0</v>
      </c>
      <c r="DA1047">
        <v>0</v>
      </c>
      <c r="DB1047">
        <v>0</v>
      </c>
      <c r="DC1047" t="str">
        <f t="shared" si="1373"/>
        <v>0</v>
      </c>
      <c r="DD1047">
        <v>1</v>
      </c>
      <c r="DE1047">
        <v>0</v>
      </c>
      <c r="DF1047">
        <v>0</v>
      </c>
      <c r="DG1047">
        <v>0</v>
      </c>
      <c r="DI1047">
        <v>1</v>
      </c>
      <c r="DJ1047" t="str">
        <f t="shared" si="1374"/>
        <v>UpstreamInput</v>
      </c>
      <c r="DK1047" t="str">
        <f t="shared" si="1375"/>
        <v>Upstream</v>
      </c>
      <c r="DL1047">
        <f t="shared" si="1376"/>
        <v>0</v>
      </c>
      <c r="DM1047">
        <f t="shared" si="1377"/>
        <v>0</v>
      </c>
      <c r="DN1047">
        <f t="shared" si="1378"/>
        <v>0</v>
      </c>
      <c r="DO1047">
        <v>0</v>
      </c>
      <c r="DP1047">
        <v>0</v>
      </c>
      <c r="DQ1047">
        <v>0</v>
      </c>
      <c r="DR1047">
        <v>0</v>
      </c>
      <c r="DS1047">
        <v>0</v>
      </c>
      <c r="DT1047">
        <f t="shared" si="1379"/>
        <v>0</v>
      </c>
      <c r="DU1047" s="143" t="s">
        <v>961</v>
      </c>
      <c r="DV1047">
        <v>0</v>
      </c>
      <c r="DW1047">
        <v>0</v>
      </c>
      <c r="DX1047">
        <v>0</v>
      </c>
      <c r="DY1047">
        <v>0</v>
      </c>
      <c r="DZ1047">
        <v>0</v>
      </c>
      <c r="EA1047" s="143">
        <v>0</v>
      </c>
      <c r="EB1047">
        <v>1</v>
      </c>
      <c r="EC1047">
        <v>0</v>
      </c>
      <c r="ED1047">
        <v>0</v>
      </c>
      <c r="EE1047">
        <v>0</v>
      </c>
      <c r="EF1047">
        <v>0</v>
      </c>
      <c r="EG1047">
        <v>0</v>
      </c>
      <c r="EH1047">
        <v>0</v>
      </c>
      <c r="EI1047" s="2">
        <v>0</v>
      </c>
      <c r="EK1047" t="str">
        <f t="shared" si="1380"/>
        <v/>
      </c>
      <c r="EL1047" t="str">
        <f t="shared" si="1381"/>
        <v/>
      </c>
      <c r="EM1047" s="2" t="str">
        <f t="shared" si="1317"/>
        <v/>
      </c>
      <c r="EP1047" t="b">
        <f>IF(ISNUMBER(BU1047),IF(ABS(BU1047-[3]QC_indicators!$B$2)&gt;3*[3]QC_indicators!$C$2,"C ratio",IF(ISNUMBER(BY1047),IF(ABS(BY1047-[3]QC_indicators!$B$1)&gt;3*[3]QC_indicators!$C$1,"DF","no"))),IF(ISNUMBER(BY1047),IF(ABS(BY1047-[3]QC_indicators!$B$1)&gt;3*[3]QC_indicators!$C$1,"DF","no")))</f>
        <v>0</v>
      </c>
      <c r="ET1047" s="264" t="s">
        <v>3181</v>
      </c>
    </row>
    <row r="1048" spans="1:150" ht="15" hidden="1" customHeight="1">
      <c r="A1048" s="1" t="s">
        <v>656</v>
      </c>
      <c r="B1048" t="s">
        <v>3854</v>
      </c>
      <c r="C1048" t="s">
        <v>3855</v>
      </c>
      <c r="D1048" t="s">
        <v>3856</v>
      </c>
      <c r="E1048" t="s">
        <v>3857</v>
      </c>
      <c r="F1048" t="s">
        <v>3858</v>
      </c>
      <c r="G1048" t="s">
        <v>662</v>
      </c>
      <c r="H1048" t="s">
        <v>254</v>
      </c>
      <c r="I1048">
        <v>2020</v>
      </c>
      <c r="J1048">
        <v>4</v>
      </c>
      <c r="K1048" t="s">
        <v>3859</v>
      </c>
      <c r="M1048" t="str">
        <f t="shared" si="1352"/>
        <v>Nakano_2020</v>
      </c>
      <c r="N1048" s="311" t="s">
        <v>4382</v>
      </c>
      <c r="O1048" s="157" t="s">
        <v>274</v>
      </c>
      <c r="P1048" t="s">
        <v>959</v>
      </c>
      <c r="Q1048" s="311" t="s">
        <v>389</v>
      </c>
      <c r="R1048" s="312"/>
      <c r="S1048" s="318" t="s">
        <v>3860</v>
      </c>
      <c r="T1048" s="311" t="s">
        <v>3861</v>
      </c>
      <c r="U1048" t="s">
        <v>3862</v>
      </c>
      <c r="V1048">
        <v>0</v>
      </c>
      <c r="W1048">
        <v>0</v>
      </c>
      <c r="X1048">
        <v>0</v>
      </c>
      <c r="Y1048">
        <v>0</v>
      </c>
      <c r="Z1048">
        <v>0</v>
      </c>
      <c r="AA1048">
        <v>0</v>
      </c>
      <c r="AB1048">
        <v>0</v>
      </c>
      <c r="AC1048">
        <v>0</v>
      </c>
      <c r="AD1048">
        <v>0</v>
      </c>
      <c r="AE1048">
        <v>0</v>
      </c>
      <c r="AF1048">
        <v>1</v>
      </c>
      <c r="AG1048">
        <v>0</v>
      </c>
      <c r="AH1048">
        <v>0</v>
      </c>
      <c r="AI1048">
        <v>0</v>
      </c>
      <c r="AJ1048">
        <v>0</v>
      </c>
      <c r="AK1048">
        <v>0</v>
      </c>
      <c r="AL1048">
        <v>0</v>
      </c>
      <c r="AM1048">
        <v>0</v>
      </c>
      <c r="AN1048">
        <v>0</v>
      </c>
      <c r="AO1048">
        <v>0</v>
      </c>
      <c r="AP1048">
        <v>0</v>
      </c>
      <c r="AQ1048">
        <v>0</v>
      </c>
      <c r="AR1048">
        <v>0</v>
      </c>
      <c r="AS1048">
        <v>0</v>
      </c>
      <c r="AT1048">
        <v>0</v>
      </c>
      <c r="AU1048">
        <v>0</v>
      </c>
      <c r="AV1048">
        <v>0</v>
      </c>
      <c r="AW1048">
        <v>0</v>
      </c>
      <c r="AX1048" s="141">
        <f t="shared" si="1353"/>
        <v>1</v>
      </c>
      <c r="AY1048" s="141">
        <f t="shared" si="1354"/>
        <v>1</v>
      </c>
      <c r="AZ1048">
        <f t="shared" si="1355"/>
        <v>0</v>
      </c>
      <c r="BA1048">
        <f t="shared" si="1356"/>
        <v>1</v>
      </c>
      <c r="BB1048">
        <f t="shared" si="1357"/>
        <v>0</v>
      </c>
      <c r="BC1048">
        <f t="shared" si="1358"/>
        <v>0</v>
      </c>
      <c r="BD1048">
        <f t="shared" si="1359"/>
        <v>0</v>
      </c>
      <c r="BE1048" t="str" cm="1">
        <f t="array" ref="BE1048">IF(AY1048=1,INDEX($V$7:$AL$7,MATCH(TRUE,INDEX($V1048:$AW1048&lt;&gt;0,),0)),IF(AY1048=0,INDEX($AM$7:$AW$7,MATCH(1,$AM1048:$AW1048,0)),IF(BF1048="Multiple strategies","mixed drivers",IF(BF1048="Supply chain","multiple supply","multiple silviculture"))))</f>
        <v>supply chain organization</v>
      </c>
      <c r="BF1048" s="2" t="str" cm="1">
        <f t="array" ref="BF1048">IF(COUNTIF(AZ1048:BB1048,"&lt;&gt;0")=1,INDEX($V$4:$AW$4,MATCH(TRUE,INDEX($V1048:$AW1048&lt;&gt;0,),0)),IF(COUNTIF(AZ1048:BB1048,"&lt;&gt;0")=0,INDEX($AM$4:$AW$4,MATCH(1,$AM1048:$AW1048,0)),"Multiple strategies"))</f>
        <v>Supply chain</v>
      </c>
      <c r="BM1048" t="s">
        <v>544</v>
      </c>
      <c r="BP1048" t="s">
        <v>395</v>
      </c>
      <c r="BQ1048" t="s">
        <v>3863</v>
      </c>
      <c r="BR1048" s="311" t="s">
        <v>3864</v>
      </c>
      <c r="BS1048">
        <v>174</v>
      </c>
      <c r="BT1048">
        <v>165.29999999999998</v>
      </c>
      <c r="BU1048" s="144">
        <v>0.95</v>
      </c>
      <c r="BV1048">
        <v>-8.7000000000000171</v>
      </c>
      <c r="BX1048">
        <v>-8.7000000000000167E-3</v>
      </c>
      <c r="BY1048" t="str">
        <f t="shared" si="1316"/>
        <v/>
      </c>
      <c r="BZ1048">
        <v>0</v>
      </c>
      <c r="CA1048">
        <v>0</v>
      </c>
      <c r="CB1048">
        <v>0</v>
      </c>
      <c r="CC1048">
        <v>0</v>
      </c>
      <c r="CD1048">
        <v>0</v>
      </c>
      <c r="CE1048">
        <v>0</v>
      </c>
      <c r="CF1048">
        <v>0</v>
      </c>
      <c r="CG1048">
        <v>0</v>
      </c>
      <c r="CH1048">
        <v>0</v>
      </c>
      <c r="CI1048">
        <v>0</v>
      </c>
      <c r="CJ1048">
        <v>0</v>
      </c>
      <c r="CK1048">
        <v>0</v>
      </c>
      <c r="CL1048">
        <v>0</v>
      </c>
      <c r="CM1048">
        <v>0</v>
      </c>
      <c r="CN1048" t="str">
        <f t="shared" si="1363"/>
        <v>refOK</v>
      </c>
      <c r="CO1048"/>
      <c r="CP1048"/>
      <c r="CQ1048"/>
      <c r="CR1048">
        <f t="shared" si="1367"/>
        <v>-174</v>
      </c>
      <c r="CS1048">
        <f t="shared" si="1368"/>
        <v>-165.29999999999998</v>
      </c>
      <c r="CT1048">
        <f t="shared" si="1369"/>
        <v>8.7000000000000167E-3</v>
      </c>
      <c r="CU1048" t="str">
        <f t="shared" si="1370"/>
        <v/>
      </c>
      <c r="CV1048" s="2">
        <f t="shared" si="1371"/>
        <v>5.00000000000001E-2</v>
      </c>
      <c r="CW1048" s="1" t="s">
        <v>263</v>
      </c>
      <c r="CX1048" s="311" t="str">
        <f t="shared" si="1372"/>
        <v>loc</v>
      </c>
      <c r="CY1048" t="s">
        <v>960</v>
      </c>
      <c r="CZ1048">
        <v>0</v>
      </c>
      <c r="DA1048">
        <v>0</v>
      </c>
      <c r="DB1048">
        <v>0</v>
      </c>
      <c r="DC1048" t="str">
        <f t="shared" si="1373"/>
        <v>0</v>
      </c>
      <c r="DD1048">
        <v>0</v>
      </c>
      <c r="DE1048">
        <v>1</v>
      </c>
      <c r="DF1048">
        <v>0</v>
      </c>
      <c r="DG1048">
        <v>0</v>
      </c>
      <c r="DH1048">
        <v>0</v>
      </c>
      <c r="DI1048">
        <v>1</v>
      </c>
      <c r="DJ1048" t="str">
        <f t="shared" si="1374"/>
        <v>EnergyInput</v>
      </c>
      <c r="DK1048">
        <f t="shared" si="1375"/>
        <v>0</v>
      </c>
      <c r="DL1048" t="str">
        <f t="shared" si="1376"/>
        <v>Energy</v>
      </c>
      <c r="DM1048">
        <f t="shared" si="1377"/>
        <v>0</v>
      </c>
      <c r="DN1048">
        <f t="shared" si="1378"/>
        <v>0</v>
      </c>
      <c r="DO1048">
        <v>0</v>
      </c>
      <c r="DP1048">
        <v>0</v>
      </c>
      <c r="DQ1048">
        <v>0</v>
      </c>
      <c r="DR1048">
        <v>0</v>
      </c>
      <c r="DS1048">
        <v>0</v>
      </c>
      <c r="DT1048">
        <f t="shared" si="1379"/>
        <v>0</v>
      </c>
      <c r="DU1048" s="143" t="s">
        <v>961</v>
      </c>
      <c r="DV1048">
        <v>0</v>
      </c>
      <c r="DW1048">
        <v>0</v>
      </c>
      <c r="DX1048">
        <v>0</v>
      </c>
      <c r="DY1048">
        <v>1</v>
      </c>
      <c r="DZ1048">
        <v>0</v>
      </c>
      <c r="EA1048" s="143">
        <v>0</v>
      </c>
      <c r="EB1048">
        <v>0</v>
      </c>
      <c r="EC1048">
        <v>1</v>
      </c>
      <c r="ED1048">
        <v>0</v>
      </c>
      <c r="EE1048">
        <v>0</v>
      </c>
      <c r="EF1048">
        <v>0</v>
      </c>
      <c r="EG1048">
        <v>0</v>
      </c>
      <c r="EH1048">
        <v>0</v>
      </c>
      <c r="EI1048" s="2">
        <v>0</v>
      </c>
      <c r="EK1048" t="str">
        <f>IF(AND(AND(AND(OR($DX1048=1,$DW1048=1),OR($EC1048=1,$EA1048=1)),SUM($DV1048:$DZ1048,$EF1048)&gt;=3),SUM($EA1048:$EE1048)&gt;=2),"Whole sector","")</f>
        <v/>
      </c>
      <c r="EL1048" t="str">
        <f>IF(AND(AND(OR($DX1048=1,$DW1048=1),AND($EC1048=0,$EA1048=0)),SUM($DV1048:$DZ1048,$EF1048)&gt;=3),"Ecosystem approach","")</f>
        <v/>
      </c>
      <c r="EM1048" s="2" t="str">
        <f t="shared" si="1317"/>
        <v/>
      </c>
      <c r="EP1048" t="b">
        <f>IF(ISNUMBER(BU1048),IF(ABS(BU1048-[1]QC_indicators!$B$2)&gt;3*[1]QC_indicators!$C$2,"C ratio",IF(ISNUMBER(BY1048),IF(ABS(BY1048-[1]QC_indicators!$B$1)&gt;3*[1]QC_indicators!$C$1,"DF","no"))),IF(ISNUMBER(BY1048),IF(ABS(BY1048-[1]QC_indicators!$B$1)&gt;3*[1]QC_indicators!$C$1,"DF","no")))</f>
        <v>0</v>
      </c>
    </row>
    <row r="1049" spans="1:150" ht="15" hidden="1" customHeight="1">
      <c r="A1049" s="1" t="s">
        <v>265</v>
      </c>
      <c r="B1049" t="s">
        <v>2012</v>
      </c>
      <c r="C1049" t="s">
        <v>2013</v>
      </c>
      <c r="D1049" t="s">
        <v>2014</v>
      </c>
      <c r="E1049" t="s">
        <v>2015</v>
      </c>
      <c r="F1049" t="s">
        <v>2016</v>
      </c>
      <c r="G1049" t="s">
        <v>271</v>
      </c>
      <c r="H1049" t="s">
        <v>254</v>
      </c>
      <c r="I1049">
        <v>2022</v>
      </c>
      <c r="J1049">
        <v>0</v>
      </c>
      <c r="K1049" t="s">
        <v>2017</v>
      </c>
      <c r="M1049" t="str">
        <f t="shared" si="1352"/>
        <v>Nandimandalam_2022</v>
      </c>
      <c r="N1049" t="s">
        <v>222</v>
      </c>
      <c r="O1049" s="157" t="s">
        <v>274</v>
      </c>
      <c r="P1049" t="s">
        <v>959</v>
      </c>
      <c r="Q1049" t="s">
        <v>389</v>
      </c>
      <c r="R1049" s="262" t="s">
        <v>223</v>
      </c>
      <c r="S1049" s="1" t="s">
        <v>2018</v>
      </c>
      <c r="T1049" t="s">
        <v>2019</v>
      </c>
      <c r="U1049" t="s">
        <v>2020</v>
      </c>
      <c r="V1049">
        <v>0</v>
      </c>
      <c r="W1049">
        <v>0</v>
      </c>
      <c r="X1049">
        <v>0</v>
      </c>
      <c r="Y1049">
        <v>0</v>
      </c>
      <c r="Z1049">
        <v>0</v>
      </c>
      <c r="AA1049">
        <v>0</v>
      </c>
      <c r="AB1049">
        <v>0</v>
      </c>
      <c r="AC1049">
        <v>0</v>
      </c>
      <c r="AD1049">
        <v>1</v>
      </c>
      <c r="AE1049">
        <v>0</v>
      </c>
      <c r="AF1049">
        <v>0</v>
      </c>
      <c r="AG1049">
        <v>0</v>
      </c>
      <c r="AH1049">
        <v>0</v>
      </c>
      <c r="AI1049">
        <v>0</v>
      </c>
      <c r="AJ1049">
        <v>0</v>
      </c>
      <c r="AK1049">
        <v>0</v>
      </c>
      <c r="AL1049">
        <v>0</v>
      </c>
      <c r="AM1049">
        <v>0</v>
      </c>
      <c r="AN1049">
        <v>0</v>
      </c>
      <c r="AO1049">
        <v>0</v>
      </c>
      <c r="AP1049">
        <v>0</v>
      </c>
      <c r="AQ1049">
        <v>0</v>
      </c>
      <c r="AR1049">
        <v>0</v>
      </c>
      <c r="AS1049">
        <v>0</v>
      </c>
      <c r="AT1049">
        <v>0</v>
      </c>
      <c r="AU1049">
        <v>0</v>
      </c>
      <c r="AV1049">
        <v>0</v>
      </c>
      <c r="AW1049">
        <v>0</v>
      </c>
      <c r="AX1049" s="141">
        <f t="shared" si="1353"/>
        <v>1</v>
      </c>
      <c r="AY1049" s="141">
        <f t="shared" si="1354"/>
        <v>1</v>
      </c>
      <c r="AZ1049">
        <f t="shared" si="1355"/>
        <v>0</v>
      </c>
      <c r="BA1049">
        <f t="shared" si="1356"/>
        <v>1</v>
      </c>
      <c r="BB1049">
        <f t="shared" si="1357"/>
        <v>0</v>
      </c>
      <c r="BC1049">
        <f t="shared" si="1358"/>
        <v>0</v>
      </c>
      <c r="BD1049">
        <f t="shared" si="1359"/>
        <v>0</v>
      </c>
      <c r="BE1049" t="str">
        <f t="array" ref="BE1049">IF(AY1049=1,INDEX($V$7:$AL$7,MATCH(TRUE,INDEX($V1049:$AW1049&lt;&gt;0,),0)),IF(AY1049=0,INDEX($AM$7:$AW$7,MATCH(1,$AM1049:$AW1049,0)),IF(BF1049="Multiple strategies","mixed drivers",IF(BF1049="Supply chain","multiple supply","multiple silviculture"))))</f>
        <v>harvesting system</v>
      </c>
      <c r="BF1049" s="2" t="str" cm="1">
        <f t="array" ref="BF1049">IF(COUNTIF(AZ1049:BB1049,"&lt;&gt;0")=1,INDEX($V$4:$AW$4,MATCH(TRUE,INDEX($V1049:$AW1049&lt;&gt;0,),0)),IF(COUNTIF(AZ1049:BB1049,"&lt;&gt;0")=0,INDEX($AM$4:$AW$4,MATCH(1,$AM1049:$AW1049,0)),"Multiple strategies"))</f>
        <v>Supply chain</v>
      </c>
      <c r="BG1049" s="1" t="s">
        <v>321</v>
      </c>
      <c r="BH1049" t="s">
        <v>2021</v>
      </c>
      <c r="BI1049" s="264" t="s">
        <v>3183</v>
      </c>
      <c r="BJ1049" s="264" t="s">
        <v>3184</v>
      </c>
      <c r="BK1049">
        <v>352.14772479999999</v>
      </c>
      <c r="BL1049">
        <v>18066.118399999999</v>
      </c>
      <c r="BM1049">
        <v>51.302669668703764</v>
      </c>
      <c r="BN1049">
        <f t="shared" ref="BN1049:BN1059" si="1383">BL1049-BK1049</f>
        <v>17713.970675199998</v>
      </c>
      <c r="BO1049">
        <f t="shared" ref="BO1049:BO1059" si="1384">BN1049</f>
        <v>17713.970675199998</v>
      </c>
      <c r="BP1049" t="s">
        <v>395</v>
      </c>
      <c r="BQ1049" s="264" t="s">
        <v>3185</v>
      </c>
      <c r="BR1049" t="s">
        <v>2022</v>
      </c>
      <c r="BS1049" s="264">
        <f>0.0011646</f>
        <v>1.1646E-3</v>
      </c>
      <c r="BT1049" s="264">
        <f>0.0011452</f>
        <v>1.1452000000000001E-3</v>
      </c>
      <c r="BU1049" s="144">
        <v>0.98334191997252296</v>
      </c>
      <c r="BV1049">
        <f>BT1049-BS1049</f>
        <v>-1.9399999999999929E-5</v>
      </c>
      <c r="BX1049">
        <f>BV1049*(11.3+35.4+2.7+4.3)*12*10^6</f>
        <v>-12501.359999999955</v>
      </c>
      <c r="BY1049">
        <f t="shared" si="1316"/>
        <v>-0.70573448659380311</v>
      </c>
      <c r="BZ1049">
        <v>0</v>
      </c>
      <c r="CA1049">
        <v>0</v>
      </c>
      <c r="CB1049">
        <v>0</v>
      </c>
      <c r="CC1049">
        <v>0</v>
      </c>
      <c r="CD1049">
        <v>0</v>
      </c>
      <c r="CE1049">
        <v>0</v>
      </c>
      <c r="CF1049">
        <v>0</v>
      </c>
      <c r="CG1049">
        <v>0</v>
      </c>
      <c r="CH1049">
        <v>0</v>
      </c>
      <c r="CI1049">
        <v>0</v>
      </c>
      <c r="CJ1049">
        <v>0</v>
      </c>
      <c r="CK1049">
        <v>0</v>
      </c>
      <c r="CL1049">
        <v>0</v>
      </c>
      <c r="CM1049">
        <v>0</v>
      </c>
      <c r="CN1049" t="str">
        <f t="shared" si="1363"/>
        <v>refOK</v>
      </c>
      <c r="CO1049">
        <f t="shared" ref="CO1049:CO1059" si="1385">IF($CN1049="refOK",$BK1049,$BL1049)</f>
        <v>352.14772479999999</v>
      </c>
      <c r="CP1049">
        <f t="shared" ref="CP1049:CP1059" si="1386">IF($CN1049="refOK",$BL1049,$BK1049)</f>
        <v>18066.118399999999</v>
      </c>
      <c r="CQ1049">
        <f t="shared" ref="CQ1049:CQ1059" si="1387">IF($CN1049="refOK",$BO1049,-$BO1049)</f>
        <v>17713.970675199998</v>
      </c>
      <c r="CR1049">
        <f t="shared" si="1367"/>
        <v>-1.1646E-3</v>
      </c>
      <c r="CS1049">
        <f t="shared" si="1368"/>
        <v>-1.1452000000000001E-3</v>
      </c>
      <c r="CT1049">
        <f t="shared" si="1369"/>
        <v>12501.359999999955</v>
      </c>
      <c r="CU1049">
        <f t="shared" si="1370"/>
        <v>0.70573448659380311</v>
      </c>
      <c r="CV1049" s="2">
        <f t="shared" si="1371"/>
        <v>1.6658080027477186E-2</v>
      </c>
      <c r="CW1049" s="1" t="s">
        <v>1198</v>
      </c>
      <c r="CX1049" t="str">
        <f t="shared" si="1372"/>
        <v>reg</v>
      </c>
      <c r="CY1049" t="s">
        <v>428</v>
      </c>
      <c r="CZ1049">
        <v>2010</v>
      </c>
      <c r="DA1049">
        <v>2018</v>
      </c>
      <c r="DB1049">
        <v>1</v>
      </c>
      <c r="DC1049" t="str">
        <f t="shared" si="1373"/>
        <v>1-30</v>
      </c>
      <c r="DD1049">
        <v>0</v>
      </c>
      <c r="DE1049">
        <v>1</v>
      </c>
      <c r="DF1049">
        <v>0</v>
      </c>
      <c r="DG1049">
        <v>0</v>
      </c>
      <c r="DH1049">
        <v>0</v>
      </c>
      <c r="DI1049">
        <v>1</v>
      </c>
      <c r="DJ1049" t="str">
        <f t="shared" si="1374"/>
        <v>EnergyInput</v>
      </c>
      <c r="DK1049">
        <f t="shared" si="1375"/>
        <v>0</v>
      </c>
      <c r="DL1049" t="str">
        <f t="shared" si="1376"/>
        <v>Energy</v>
      </c>
      <c r="DM1049">
        <f t="shared" si="1377"/>
        <v>0</v>
      </c>
      <c r="DN1049">
        <f t="shared" si="1378"/>
        <v>0</v>
      </c>
      <c r="DO1049">
        <v>0</v>
      </c>
      <c r="DP1049">
        <v>0</v>
      </c>
      <c r="DQ1049">
        <v>0</v>
      </c>
      <c r="DR1049">
        <v>0</v>
      </c>
      <c r="DS1049">
        <v>0</v>
      </c>
      <c r="DT1049">
        <f t="shared" si="1379"/>
        <v>0</v>
      </c>
      <c r="DU1049" s="143" t="s">
        <v>961</v>
      </c>
      <c r="DV1049">
        <v>0</v>
      </c>
      <c r="DW1049">
        <v>1</v>
      </c>
      <c r="DX1049">
        <v>0</v>
      </c>
      <c r="DY1049">
        <v>0</v>
      </c>
      <c r="DZ1049">
        <v>0</v>
      </c>
      <c r="EA1049" s="143">
        <v>0</v>
      </c>
      <c r="EB1049">
        <v>1</v>
      </c>
      <c r="EC1049">
        <v>1</v>
      </c>
      <c r="ED1049">
        <v>0</v>
      </c>
      <c r="EE1049">
        <v>0</v>
      </c>
      <c r="EF1049">
        <v>0</v>
      </c>
      <c r="EG1049">
        <v>0</v>
      </c>
      <c r="EH1049">
        <v>0</v>
      </c>
      <c r="EI1049" s="2">
        <v>0</v>
      </c>
      <c r="EK1049" t="str">
        <f>IF(AND(AND(AND(OR($DX1049=1,$DW1049=1),OR($EC1049=1,$EA1049=1)),SUM($DV1049:$DZ1049,$EF1049)&gt;=4),SUM($EA1049:$EE1049)&gt;=2),"Whole sector","")</f>
        <v/>
      </c>
      <c r="EL1049" t="str">
        <f>IF(AND(AND(OR($DX1049=1,$DW1049=1),AND($EC1049=0,$EA1049=0)),SUM($DV1049:$DZ1049,$EF1049)&gt;=4),"Ecosystem approach","")</f>
        <v/>
      </c>
      <c r="EM1049" s="2" t="str">
        <f t="shared" si="1317"/>
        <v/>
      </c>
      <c r="EP1049" t="str">
        <f>IF(ISNUMBER(BU1049),IF(ABS(BU1049-[3]QC_indicators!$B$2)&gt;3*[3]QC_indicators!$C$2,"C ratio",IF(ISNUMBER(BY1049),IF(ABS(BY1049-[3]QC_indicators!$B$1)&gt;3*[3]QC_indicators!$C$1,"DF","no"))),IF(ISNUMBER(BY1049),IF(ABS(BY1049-[3]QC_indicators!$B$1)&gt;3*[3]QC_indicators!$C$1,"DF","no")))</f>
        <v>no</v>
      </c>
      <c r="ET1049" s="264" t="s">
        <v>3186</v>
      </c>
    </row>
    <row r="1050" spans="1:150" ht="15" hidden="1" customHeight="1">
      <c r="A1050" s="1" t="s">
        <v>265</v>
      </c>
      <c r="B1050" t="s">
        <v>2012</v>
      </c>
      <c r="C1050" t="s">
        <v>2013</v>
      </c>
      <c r="D1050" t="s">
        <v>2014</v>
      </c>
      <c r="E1050" t="s">
        <v>2015</v>
      </c>
      <c r="F1050" t="s">
        <v>2016</v>
      </c>
      <c r="G1050" t="s">
        <v>271</v>
      </c>
      <c r="H1050" t="s">
        <v>254</v>
      </c>
      <c r="I1050">
        <v>2022</v>
      </c>
      <c r="J1050">
        <v>0</v>
      </c>
      <c r="K1050" t="s">
        <v>2017</v>
      </c>
      <c r="M1050" t="str">
        <f t="shared" si="1352"/>
        <v>Nandimandalam_2022</v>
      </c>
      <c r="N1050" t="s">
        <v>222</v>
      </c>
      <c r="O1050" s="157" t="s">
        <v>274</v>
      </c>
      <c r="P1050" t="s">
        <v>959</v>
      </c>
      <c r="Q1050" t="s">
        <v>389</v>
      </c>
      <c r="R1050" s="262" t="s">
        <v>223</v>
      </c>
      <c r="S1050" s="1" t="s">
        <v>2018</v>
      </c>
      <c r="T1050" t="s">
        <v>2019</v>
      </c>
      <c r="U1050" t="s">
        <v>2023</v>
      </c>
      <c r="V1050">
        <v>0</v>
      </c>
      <c r="W1050">
        <v>0</v>
      </c>
      <c r="X1050">
        <v>0</v>
      </c>
      <c r="Y1050">
        <v>0</v>
      </c>
      <c r="Z1050">
        <v>0</v>
      </c>
      <c r="AA1050">
        <v>0</v>
      </c>
      <c r="AB1050">
        <v>0</v>
      </c>
      <c r="AC1050">
        <v>0</v>
      </c>
      <c r="AD1050">
        <v>1</v>
      </c>
      <c r="AE1050">
        <v>0</v>
      </c>
      <c r="AF1050">
        <v>0</v>
      </c>
      <c r="AG1050">
        <v>0</v>
      </c>
      <c r="AH1050">
        <v>0</v>
      </c>
      <c r="AI1050">
        <v>0</v>
      </c>
      <c r="AJ1050">
        <v>0</v>
      </c>
      <c r="AK1050">
        <v>0</v>
      </c>
      <c r="AL1050">
        <v>0</v>
      </c>
      <c r="AM1050">
        <v>0</v>
      </c>
      <c r="AN1050">
        <v>0</v>
      </c>
      <c r="AO1050">
        <v>0</v>
      </c>
      <c r="AP1050">
        <v>0</v>
      </c>
      <c r="AQ1050">
        <v>0</v>
      </c>
      <c r="AR1050">
        <v>0</v>
      </c>
      <c r="AS1050">
        <v>0</v>
      </c>
      <c r="AT1050">
        <v>0</v>
      </c>
      <c r="AU1050">
        <v>0</v>
      </c>
      <c r="AV1050">
        <v>0</v>
      </c>
      <c r="AW1050">
        <v>0</v>
      </c>
      <c r="AX1050" s="141">
        <f t="shared" si="1353"/>
        <v>1</v>
      </c>
      <c r="AY1050" s="141">
        <f t="shared" si="1354"/>
        <v>1</v>
      </c>
      <c r="AZ1050">
        <f t="shared" si="1355"/>
        <v>0</v>
      </c>
      <c r="BA1050">
        <f t="shared" si="1356"/>
        <v>1</v>
      </c>
      <c r="BB1050">
        <f t="shared" si="1357"/>
        <v>0</v>
      </c>
      <c r="BC1050">
        <f t="shared" si="1358"/>
        <v>0</v>
      </c>
      <c r="BD1050">
        <f t="shared" si="1359"/>
        <v>0</v>
      </c>
      <c r="BE1050" t="str">
        <f t="array" ref="BE1050">IF(AY1050=1,INDEX($V$7:$AL$7,MATCH(TRUE,INDEX($V1050:$AW1050&lt;&gt;0,),0)),IF(AY1050=0,INDEX($AM$7:$AW$7,MATCH(1,$AM1050:$AW1050,0)),IF(BF1050="Multiple strategies","mixed drivers",IF(BF1050="Supply chain","multiple supply","multiple silviculture"))))</f>
        <v>harvesting system</v>
      </c>
      <c r="BF1050" s="2" t="str" cm="1">
        <f t="array" ref="BF1050">IF(COUNTIF(AZ1050:BB1050,"&lt;&gt;0")=1,INDEX($V$4:$AW$4,MATCH(TRUE,INDEX($V1050:$AW1050&lt;&gt;0,),0)),IF(COUNTIF(AZ1050:BB1050,"&lt;&gt;0")=0,INDEX($AM$4:$AW$4,MATCH(1,$AM1050:$AW1050,0)),"Multiple strategies"))</f>
        <v>Supply chain</v>
      </c>
      <c r="BG1050" s="1" t="s">
        <v>321</v>
      </c>
      <c r="BH1050" t="s">
        <v>2021</v>
      </c>
      <c r="BI1050" s="264" t="s">
        <v>3183</v>
      </c>
      <c r="BJ1050" s="264" t="s">
        <v>3184</v>
      </c>
      <c r="BK1050">
        <v>352.14772479999999</v>
      </c>
      <c r="BL1050">
        <v>18066.118399999999</v>
      </c>
      <c r="BM1050">
        <v>51.302669668703764</v>
      </c>
      <c r="BN1050">
        <f t="shared" si="1383"/>
        <v>17713.970675199998</v>
      </c>
      <c r="BO1050">
        <f t="shared" si="1384"/>
        <v>17713.970675199998</v>
      </c>
      <c r="BP1050" t="s">
        <v>395</v>
      </c>
      <c r="BQ1050" s="264" t="s">
        <v>3185</v>
      </c>
      <c r="BR1050" t="s">
        <v>2022</v>
      </c>
      <c r="BS1050">
        <f>0.0011646</f>
        <v>1.1646E-3</v>
      </c>
      <c r="BT1050" s="264">
        <f>0.0011461</f>
        <v>1.1460999999999999E-3</v>
      </c>
      <c r="BU1050" s="144">
        <v>0.9841147174995708</v>
      </c>
      <c r="BV1050">
        <f>BT1050-BS1050</f>
        <v>-1.850000000000007E-5</v>
      </c>
      <c r="BX1050">
        <f>BV1050*(11.3+35.4+2.7+4.3)*12*10^6</f>
        <v>-11921.400000000045</v>
      </c>
      <c r="BY1050">
        <f t="shared" si="1316"/>
        <v>-0.67299422690646671</v>
      </c>
      <c r="BZ1050">
        <v>0</v>
      </c>
      <c r="CA1050">
        <v>0</v>
      </c>
      <c r="CB1050">
        <v>0</v>
      </c>
      <c r="CC1050">
        <v>0</v>
      </c>
      <c r="CD1050">
        <v>0</v>
      </c>
      <c r="CE1050">
        <v>0</v>
      </c>
      <c r="CF1050">
        <v>0</v>
      </c>
      <c r="CG1050">
        <v>0</v>
      </c>
      <c r="CH1050">
        <v>0</v>
      </c>
      <c r="CI1050">
        <v>0</v>
      </c>
      <c r="CJ1050">
        <v>0</v>
      </c>
      <c r="CK1050">
        <v>0</v>
      </c>
      <c r="CL1050">
        <v>0</v>
      </c>
      <c r="CM1050">
        <v>0</v>
      </c>
      <c r="CN1050" t="str">
        <f t="shared" si="1363"/>
        <v>refOK</v>
      </c>
      <c r="CO1050">
        <f t="shared" si="1385"/>
        <v>352.14772479999999</v>
      </c>
      <c r="CP1050">
        <f t="shared" si="1386"/>
        <v>18066.118399999999</v>
      </c>
      <c r="CQ1050">
        <f t="shared" si="1387"/>
        <v>17713.970675199998</v>
      </c>
      <c r="CR1050">
        <f t="shared" si="1367"/>
        <v>-1.1646E-3</v>
      </c>
      <c r="CS1050">
        <f t="shared" si="1368"/>
        <v>-1.1460999999999999E-3</v>
      </c>
      <c r="CT1050">
        <f t="shared" si="1369"/>
        <v>11921.400000000045</v>
      </c>
      <c r="CU1050">
        <f t="shared" si="1370"/>
        <v>0.67299422690646671</v>
      </c>
      <c r="CV1050" s="2">
        <f t="shared" si="1371"/>
        <v>1.5885282500429393E-2</v>
      </c>
      <c r="CW1050" s="1" t="s">
        <v>1198</v>
      </c>
      <c r="CX1050" t="str">
        <f t="shared" si="1372"/>
        <v>reg</v>
      </c>
      <c r="CY1050" t="s">
        <v>428</v>
      </c>
      <c r="CZ1050">
        <v>2010</v>
      </c>
      <c r="DA1050">
        <v>2018</v>
      </c>
      <c r="DB1050">
        <v>1</v>
      </c>
      <c r="DC1050" t="str">
        <f t="shared" si="1373"/>
        <v>1-30</v>
      </c>
      <c r="DD1050">
        <v>0</v>
      </c>
      <c r="DE1050">
        <v>1</v>
      </c>
      <c r="DF1050">
        <v>0</v>
      </c>
      <c r="DG1050">
        <v>0</v>
      </c>
      <c r="DH1050">
        <v>0</v>
      </c>
      <c r="DI1050">
        <v>1</v>
      </c>
      <c r="DJ1050" t="str">
        <f t="shared" si="1374"/>
        <v>EnergyInput</v>
      </c>
      <c r="DK1050">
        <f t="shared" si="1375"/>
        <v>0</v>
      </c>
      <c r="DL1050" t="str">
        <f t="shared" si="1376"/>
        <v>Energy</v>
      </c>
      <c r="DM1050">
        <f t="shared" si="1377"/>
        <v>0</v>
      </c>
      <c r="DN1050">
        <f t="shared" si="1378"/>
        <v>0</v>
      </c>
      <c r="DO1050">
        <v>0</v>
      </c>
      <c r="DP1050">
        <v>0</v>
      </c>
      <c r="DQ1050">
        <v>0</v>
      </c>
      <c r="DR1050">
        <v>0</v>
      </c>
      <c r="DS1050">
        <v>0</v>
      </c>
      <c r="DT1050">
        <f t="shared" si="1379"/>
        <v>0</v>
      </c>
      <c r="DU1050" s="143" t="s">
        <v>961</v>
      </c>
      <c r="DV1050">
        <v>0</v>
      </c>
      <c r="DW1050">
        <v>1</v>
      </c>
      <c r="DX1050">
        <v>0</v>
      </c>
      <c r="DY1050">
        <v>0</v>
      </c>
      <c r="DZ1050">
        <v>0</v>
      </c>
      <c r="EA1050" s="143">
        <v>0</v>
      </c>
      <c r="EB1050">
        <v>1</v>
      </c>
      <c r="EC1050">
        <v>1</v>
      </c>
      <c r="ED1050">
        <v>0</v>
      </c>
      <c r="EE1050">
        <v>0</v>
      </c>
      <c r="EF1050">
        <v>0</v>
      </c>
      <c r="EG1050">
        <v>0</v>
      </c>
      <c r="EH1050">
        <v>0</v>
      </c>
      <c r="EI1050" s="2">
        <v>0</v>
      </c>
      <c r="EK1050" t="str">
        <f>IF(AND(AND(AND(OR($DX1050=1,$DW1050=1),OR($EC1050=1,$EA1050=1)),SUM($DV1050:$DZ1050,$EF1050)&gt;=4),SUM($EA1050:$EE1050)&gt;=2),"Whole sector","")</f>
        <v/>
      </c>
      <c r="EL1050" t="str">
        <f>IF(AND(AND(OR($DX1050=1,$DW1050=1),AND($EC1050=0,$EA1050=0)),SUM($DV1050:$DZ1050,$EF1050)&gt;=4),"Ecosystem approach","")</f>
        <v/>
      </c>
      <c r="EM1050" s="2" t="str">
        <f t="shared" si="1317"/>
        <v/>
      </c>
      <c r="EP1050" t="str">
        <f>IF(ISNUMBER(BU1050),IF(ABS(BU1050-[3]QC_indicators!$B$2)&gt;3*[3]QC_indicators!$C$2,"C ratio",IF(ISNUMBER(BY1050),IF(ABS(BY1050-[3]QC_indicators!$B$1)&gt;3*[3]QC_indicators!$C$1,"DF","no"))),IF(ISNUMBER(BY1050),IF(ABS(BY1050-[3]QC_indicators!$B$1)&gt;3*[3]QC_indicators!$C$1,"DF","no")))</f>
        <v>no</v>
      </c>
      <c r="ET1050" s="264" t="s">
        <v>3186</v>
      </c>
    </row>
    <row r="1051" spans="1:150" ht="15" hidden="1" customHeight="1">
      <c r="A1051" s="1" t="s">
        <v>265</v>
      </c>
      <c r="B1051" t="s">
        <v>2012</v>
      </c>
      <c r="C1051" t="s">
        <v>2013</v>
      </c>
      <c r="D1051" t="s">
        <v>2014</v>
      </c>
      <c r="E1051" t="s">
        <v>2015</v>
      </c>
      <c r="F1051" t="s">
        <v>2016</v>
      </c>
      <c r="G1051" t="s">
        <v>271</v>
      </c>
      <c r="H1051" t="s">
        <v>254</v>
      </c>
      <c r="I1051">
        <v>2022</v>
      </c>
      <c r="J1051">
        <v>0</v>
      </c>
      <c r="K1051" t="s">
        <v>2017</v>
      </c>
      <c r="M1051" t="str">
        <f t="shared" si="1352"/>
        <v>Nandimandalam_2022</v>
      </c>
      <c r="N1051" t="s">
        <v>222</v>
      </c>
      <c r="O1051" s="157" t="s">
        <v>274</v>
      </c>
      <c r="P1051" t="s">
        <v>959</v>
      </c>
      <c r="Q1051" t="s">
        <v>389</v>
      </c>
      <c r="R1051" s="262" t="s">
        <v>223</v>
      </c>
      <c r="S1051" s="1" t="s">
        <v>2018</v>
      </c>
      <c r="T1051" t="s">
        <v>2024</v>
      </c>
      <c r="U1051" t="s">
        <v>2025</v>
      </c>
      <c r="V1051">
        <v>0</v>
      </c>
      <c r="W1051">
        <v>0</v>
      </c>
      <c r="X1051">
        <v>0</v>
      </c>
      <c r="Y1051">
        <v>0</v>
      </c>
      <c r="Z1051">
        <v>0</v>
      </c>
      <c r="AA1051">
        <v>0</v>
      </c>
      <c r="AB1051">
        <v>0</v>
      </c>
      <c r="AC1051">
        <v>0</v>
      </c>
      <c r="AD1051">
        <v>1</v>
      </c>
      <c r="AE1051">
        <v>0</v>
      </c>
      <c r="AF1051">
        <v>0</v>
      </c>
      <c r="AG1051">
        <v>0</v>
      </c>
      <c r="AH1051">
        <v>0</v>
      </c>
      <c r="AI1051">
        <v>0</v>
      </c>
      <c r="AJ1051">
        <v>0</v>
      </c>
      <c r="AK1051">
        <v>0</v>
      </c>
      <c r="AL1051">
        <v>0</v>
      </c>
      <c r="AM1051">
        <v>0</v>
      </c>
      <c r="AN1051">
        <v>0</v>
      </c>
      <c r="AO1051">
        <v>0</v>
      </c>
      <c r="AP1051">
        <v>0</v>
      </c>
      <c r="AQ1051">
        <v>0</v>
      </c>
      <c r="AR1051">
        <v>0</v>
      </c>
      <c r="AS1051">
        <v>0</v>
      </c>
      <c r="AT1051">
        <v>0</v>
      </c>
      <c r="AU1051">
        <v>0</v>
      </c>
      <c r="AV1051">
        <v>0</v>
      </c>
      <c r="AW1051">
        <v>0</v>
      </c>
      <c r="AX1051" s="141">
        <f t="shared" si="1353"/>
        <v>1</v>
      </c>
      <c r="AY1051" s="141">
        <f t="shared" si="1354"/>
        <v>1</v>
      </c>
      <c r="AZ1051">
        <f t="shared" si="1355"/>
        <v>0</v>
      </c>
      <c r="BA1051">
        <f t="shared" si="1356"/>
        <v>1</v>
      </c>
      <c r="BB1051">
        <f t="shared" si="1357"/>
        <v>0</v>
      </c>
      <c r="BC1051">
        <f t="shared" si="1358"/>
        <v>0</v>
      </c>
      <c r="BD1051">
        <f t="shared" si="1359"/>
        <v>0</v>
      </c>
      <c r="BE1051" t="str">
        <f t="array" ref="BE1051">IF(AY1051=1,INDEX($V$7:$AL$7,MATCH(TRUE,INDEX($V1051:$AW1051&lt;&gt;0,),0)),IF(AY1051=0,INDEX($AM$7:$AW$7,MATCH(1,$AM1051:$AW1051,0)),IF(BF1051="Multiple strategies","mixed drivers",IF(BF1051="Supply chain","multiple supply","multiple silviculture"))))</f>
        <v>harvesting system</v>
      </c>
      <c r="BF1051" s="2" t="str" cm="1">
        <f t="array" ref="BF1051">IF(COUNTIF(AZ1051:BB1051,"&lt;&gt;0")=1,INDEX($V$4:$AW$4,MATCH(TRUE,INDEX($V1051:$AW1051&lt;&gt;0,),0)),IF(COUNTIF(AZ1051:BB1051,"&lt;&gt;0")=0,INDEX($AM$4:$AW$4,MATCH(1,$AM1051:$AW1051,0)),"Multiple strategies"))</f>
        <v>Supply chain</v>
      </c>
      <c r="BG1051" s="1" t="s">
        <v>321</v>
      </c>
      <c r="BH1051" t="s">
        <v>2021</v>
      </c>
      <c r="BI1051" s="264" t="s">
        <v>3183</v>
      </c>
      <c r="BJ1051" s="264" t="s">
        <v>3184</v>
      </c>
      <c r="BK1051">
        <v>18066.118399999999</v>
      </c>
      <c r="BL1051">
        <v>18066.118399999999</v>
      </c>
      <c r="BM1051">
        <v>1</v>
      </c>
      <c r="BN1051">
        <f t="shared" si="1383"/>
        <v>0</v>
      </c>
      <c r="BO1051">
        <f t="shared" si="1384"/>
        <v>0</v>
      </c>
      <c r="BP1051" t="s">
        <v>395</v>
      </c>
      <c r="BQ1051" s="264" t="s">
        <v>3185</v>
      </c>
      <c r="BR1051" t="s">
        <v>2022</v>
      </c>
      <c r="BS1051">
        <f>0.0011452</f>
        <v>1.1452000000000001E-3</v>
      </c>
      <c r="BT1051" s="264">
        <f>0.0011461</f>
        <v>1.1460999999999999E-3</v>
      </c>
      <c r="BU1051" s="144">
        <v>1.0007858889276982</v>
      </c>
      <c r="BV1051">
        <f>BT1051-BS1051</f>
        <v>8.9999999999985925E-7</v>
      </c>
      <c r="BX1051">
        <f>BV1051*(11.3+35.4+2.7+4.3)*12*10^6</f>
        <v>579.95999999990943</v>
      </c>
      <c r="BY1051" t="str">
        <f t="shared" si="1316"/>
        <v/>
      </c>
      <c r="BZ1051">
        <v>0</v>
      </c>
      <c r="CA1051">
        <v>0</v>
      </c>
      <c r="CB1051">
        <v>0</v>
      </c>
      <c r="CC1051">
        <v>0</v>
      </c>
      <c r="CD1051">
        <v>0</v>
      </c>
      <c r="CE1051">
        <v>0</v>
      </c>
      <c r="CF1051">
        <v>0</v>
      </c>
      <c r="CG1051">
        <v>0</v>
      </c>
      <c r="CH1051">
        <v>0</v>
      </c>
      <c r="CI1051">
        <v>0</v>
      </c>
      <c r="CJ1051">
        <v>0</v>
      </c>
      <c r="CK1051">
        <v>0</v>
      </c>
      <c r="CL1051">
        <v>0</v>
      </c>
      <c r="CM1051">
        <v>0</v>
      </c>
      <c r="CN1051" t="str">
        <f t="shared" si="1363"/>
        <v>refOK</v>
      </c>
      <c r="CO1051">
        <f t="shared" si="1385"/>
        <v>18066.118399999999</v>
      </c>
      <c r="CP1051">
        <f t="shared" si="1386"/>
        <v>18066.118399999999</v>
      </c>
      <c r="CQ1051">
        <f t="shared" si="1387"/>
        <v>0</v>
      </c>
      <c r="CR1051">
        <f t="shared" si="1367"/>
        <v>-1.1452000000000001E-3</v>
      </c>
      <c r="CS1051">
        <f t="shared" si="1368"/>
        <v>-1.1460999999999999E-3</v>
      </c>
      <c r="CT1051">
        <f t="shared" si="1369"/>
        <v>-579.95999999990943</v>
      </c>
      <c r="CU1051" t="str">
        <f t="shared" si="1370"/>
        <v/>
      </c>
      <c r="CV1051" s="2">
        <f t="shared" si="1371"/>
        <v>-7.8588892769809564E-4</v>
      </c>
      <c r="CW1051" s="1" t="s">
        <v>1198</v>
      </c>
      <c r="CX1051" t="str">
        <f t="shared" si="1372"/>
        <v>reg</v>
      </c>
      <c r="CY1051" t="s">
        <v>428</v>
      </c>
      <c r="CZ1051">
        <v>2010</v>
      </c>
      <c r="DA1051">
        <v>2018</v>
      </c>
      <c r="DB1051">
        <v>1</v>
      </c>
      <c r="DC1051" t="str">
        <f t="shared" si="1373"/>
        <v>1-30</v>
      </c>
      <c r="DD1051">
        <v>0</v>
      </c>
      <c r="DE1051">
        <v>1</v>
      </c>
      <c r="DF1051">
        <v>0</v>
      </c>
      <c r="DG1051">
        <v>0</v>
      </c>
      <c r="DH1051">
        <v>0</v>
      </c>
      <c r="DI1051">
        <v>1</v>
      </c>
      <c r="DJ1051" t="str">
        <f t="shared" si="1374"/>
        <v>EnergyInput</v>
      </c>
      <c r="DK1051">
        <f t="shared" si="1375"/>
        <v>0</v>
      </c>
      <c r="DL1051" t="str">
        <f t="shared" si="1376"/>
        <v>Energy</v>
      </c>
      <c r="DM1051">
        <f t="shared" si="1377"/>
        <v>0</v>
      </c>
      <c r="DN1051">
        <f t="shared" si="1378"/>
        <v>0</v>
      </c>
      <c r="DO1051">
        <v>0</v>
      </c>
      <c r="DP1051">
        <v>0</v>
      </c>
      <c r="DQ1051">
        <v>0</v>
      </c>
      <c r="DR1051">
        <v>0</v>
      </c>
      <c r="DS1051">
        <v>0</v>
      </c>
      <c r="DT1051">
        <f t="shared" si="1379"/>
        <v>0</v>
      </c>
      <c r="DU1051" s="143" t="s">
        <v>961</v>
      </c>
      <c r="DV1051">
        <v>0</v>
      </c>
      <c r="DW1051">
        <v>1</v>
      </c>
      <c r="DX1051">
        <v>0</v>
      </c>
      <c r="DY1051">
        <v>0</v>
      </c>
      <c r="DZ1051">
        <v>0</v>
      </c>
      <c r="EA1051" s="143">
        <v>0</v>
      </c>
      <c r="EB1051">
        <v>1</v>
      </c>
      <c r="EC1051">
        <v>1</v>
      </c>
      <c r="ED1051">
        <v>0</v>
      </c>
      <c r="EE1051">
        <v>0</v>
      </c>
      <c r="EF1051">
        <v>0</v>
      </c>
      <c r="EG1051">
        <v>0</v>
      </c>
      <c r="EH1051">
        <v>0</v>
      </c>
      <c r="EI1051" s="2">
        <v>0</v>
      </c>
      <c r="EK1051" t="str">
        <f>IF(AND(AND(AND(OR($DX1051=1,$DW1051=1),OR($EC1051=1,$EA1051=1)),SUM($DV1051:$DZ1051,$EF1051)&gt;=4),SUM($EA1051:$EE1051)&gt;=2),"Whole sector","")</f>
        <v/>
      </c>
      <c r="EL1051" t="str">
        <f>IF(AND(AND(OR($DX1051=1,$DW1051=1),AND($EC1051=0,$EA1051=0)),SUM($DV1051:$DZ1051,$EF1051)&gt;=4),"Ecosystem approach","")</f>
        <v/>
      </c>
      <c r="EM1051" s="2" t="str">
        <f t="shared" si="1317"/>
        <v/>
      </c>
      <c r="EP1051" t="b">
        <f>IF(ISNUMBER(BU1051),IF(ABS(BU1051-[3]QC_indicators!$B$2)&gt;3*[3]QC_indicators!$C$2,"C ratio",IF(ISNUMBER(BY1051),IF(ABS(BY1051-[3]QC_indicators!$B$1)&gt;3*[3]QC_indicators!$C$1,"DF","no"))),IF(ISNUMBER(BY1051),IF(ABS(BY1051-[3]QC_indicators!$B$1)&gt;3*[3]QC_indicators!$C$1,"DF","no")))</f>
        <v>0</v>
      </c>
      <c r="ET1051" s="264" t="s">
        <v>3186</v>
      </c>
    </row>
    <row r="1052" spans="1:150" ht="15" hidden="1" customHeight="1">
      <c r="A1052" s="1" t="s">
        <v>3865</v>
      </c>
      <c r="B1052" t="s">
        <v>3866</v>
      </c>
      <c r="C1052" t="s">
        <v>3867</v>
      </c>
      <c r="D1052" t="s">
        <v>3868</v>
      </c>
      <c r="E1052" t="s">
        <v>3869</v>
      </c>
      <c r="F1052" t="s">
        <v>3870</v>
      </c>
      <c r="G1052" t="s">
        <v>3871</v>
      </c>
      <c r="H1052" t="s">
        <v>254</v>
      </c>
      <c r="I1052">
        <v>2011</v>
      </c>
      <c r="J1052">
        <v>23</v>
      </c>
      <c r="K1052" t="s">
        <v>3872</v>
      </c>
      <c r="M1052" t="str">
        <f t="shared" si="1352"/>
        <v>Newell_2011</v>
      </c>
      <c r="N1052" s="311" t="s">
        <v>4382</v>
      </c>
      <c r="O1052" s="157" t="s">
        <v>274</v>
      </c>
      <c r="P1052" t="s">
        <v>959</v>
      </c>
      <c r="Q1052" s="311" t="s">
        <v>389</v>
      </c>
      <c r="R1052" s="312"/>
      <c r="S1052" s="318" t="s">
        <v>3873</v>
      </c>
      <c r="T1052" s="311" t="s">
        <v>3874</v>
      </c>
      <c r="U1052" s="311" t="s">
        <v>3875</v>
      </c>
      <c r="V1052">
        <v>0</v>
      </c>
      <c r="W1052">
        <v>0</v>
      </c>
      <c r="X1052">
        <v>0</v>
      </c>
      <c r="Y1052">
        <v>0</v>
      </c>
      <c r="Z1052">
        <v>0</v>
      </c>
      <c r="AA1052">
        <v>0</v>
      </c>
      <c r="AB1052">
        <v>0</v>
      </c>
      <c r="AC1052">
        <v>1</v>
      </c>
      <c r="AD1052">
        <v>0</v>
      </c>
      <c r="AE1052">
        <v>0</v>
      </c>
      <c r="AF1052">
        <v>0</v>
      </c>
      <c r="AG1052">
        <v>0</v>
      </c>
      <c r="AH1052">
        <v>0</v>
      </c>
      <c r="AI1052">
        <v>0</v>
      </c>
      <c r="AJ1052">
        <v>0</v>
      </c>
      <c r="AK1052">
        <v>0</v>
      </c>
      <c r="AL1052">
        <v>0</v>
      </c>
      <c r="AM1052">
        <v>0</v>
      </c>
      <c r="AN1052">
        <v>0</v>
      </c>
      <c r="AO1052">
        <v>0</v>
      </c>
      <c r="AP1052">
        <v>0</v>
      </c>
      <c r="AQ1052">
        <v>0</v>
      </c>
      <c r="AR1052">
        <v>0</v>
      </c>
      <c r="AS1052">
        <v>0</v>
      </c>
      <c r="AT1052">
        <v>0</v>
      </c>
      <c r="AU1052">
        <v>0</v>
      </c>
      <c r="AV1052">
        <v>0</v>
      </c>
      <c r="AW1052">
        <v>0</v>
      </c>
      <c r="AX1052" s="141">
        <f t="shared" si="1353"/>
        <v>1</v>
      </c>
      <c r="AY1052" s="141">
        <f t="shared" si="1354"/>
        <v>1</v>
      </c>
      <c r="AZ1052">
        <f t="shared" si="1355"/>
        <v>1</v>
      </c>
      <c r="BA1052">
        <f t="shared" si="1356"/>
        <v>0</v>
      </c>
      <c r="BB1052">
        <f t="shared" si="1357"/>
        <v>0</v>
      </c>
      <c r="BC1052">
        <f t="shared" si="1358"/>
        <v>0</v>
      </c>
      <c r="BD1052">
        <f t="shared" si="1359"/>
        <v>0</v>
      </c>
      <c r="BE1052" t="str" cm="1">
        <f t="array" ref="BE1052">IF(AY1052=1,INDEX($V$7:$AL$7,MATCH(TRUE,INDEX($V1052:$AW1052&lt;&gt;0,),0)),IF(AY1052=0,INDEX($AM$7:$AW$7,MATCH(1,$AM1052:$AW1052,0)),IF(BF1052="Multiple strategies","mixed drivers",IF(BF1052="Supply chain","multiple supply","multiple silviculture"))))</f>
        <v>site fertility</v>
      </c>
      <c r="BF1052" s="2" t="str" cm="1">
        <f t="array" ref="BF1052">IF(COUNTIF(AZ1052:BB1052,"&lt;&gt;0")=1,INDEX($V$4:$AW$4,MATCH(TRUE,INDEX($V1052:$AW1052&lt;&gt;0,),0)),IF(COUNTIF(AZ1052:BB1052,"&lt;&gt;0")=0,INDEX($AM$4:$AW$4,MATCH(1,$AM1052:$AW1052,0)),"Multiple strategies"))</f>
        <v>Silviculture for productivity</v>
      </c>
      <c r="BG1052" s="1" t="s">
        <v>229</v>
      </c>
      <c r="BH1052" t="s">
        <v>3876</v>
      </c>
      <c r="BI1052" s="311" t="s">
        <v>3877</v>
      </c>
      <c r="BK1052">
        <v>1</v>
      </c>
      <c r="BL1052">
        <v>1</v>
      </c>
      <c r="BM1052">
        <v>1</v>
      </c>
      <c r="BN1052">
        <f t="shared" si="1383"/>
        <v>0</v>
      </c>
      <c r="BO1052">
        <f t="shared" si="1384"/>
        <v>0</v>
      </c>
      <c r="BP1052" t="s">
        <v>395</v>
      </c>
      <c r="BR1052" s="311" t="s">
        <v>3878</v>
      </c>
      <c r="BS1052">
        <v>2.6710000000000003</v>
      </c>
      <c r="BT1052">
        <v>3.5169999999999999</v>
      </c>
      <c r="BU1052">
        <v>1.316735305129165</v>
      </c>
      <c r="BV1052">
        <v>0.84599999999999964</v>
      </c>
      <c r="BX1052">
        <v>0.84599999999999964</v>
      </c>
      <c r="BY1052" t="str">
        <f t="shared" si="1316"/>
        <v/>
      </c>
      <c r="BZ1052">
        <v>0</v>
      </c>
      <c r="CA1052">
        <v>0</v>
      </c>
      <c r="CB1052">
        <v>0</v>
      </c>
      <c r="CC1052">
        <v>0</v>
      </c>
      <c r="CD1052">
        <v>0</v>
      </c>
      <c r="CE1052">
        <v>0</v>
      </c>
      <c r="CF1052">
        <v>0</v>
      </c>
      <c r="CG1052">
        <v>0</v>
      </c>
      <c r="CH1052">
        <v>0</v>
      </c>
      <c r="CI1052">
        <v>0</v>
      </c>
      <c r="CJ1052">
        <v>0</v>
      </c>
      <c r="CK1052">
        <v>0</v>
      </c>
      <c r="CL1052">
        <v>0</v>
      </c>
      <c r="CM1052">
        <v>0</v>
      </c>
      <c r="CN1052" t="str">
        <f t="shared" si="1363"/>
        <v>refOK</v>
      </c>
      <c r="CO1052">
        <f t="shared" si="1385"/>
        <v>1</v>
      </c>
      <c r="CP1052">
        <f t="shared" si="1386"/>
        <v>1</v>
      </c>
      <c r="CQ1052">
        <f t="shared" si="1387"/>
        <v>0</v>
      </c>
      <c r="CR1052">
        <f t="shared" si="1367"/>
        <v>-2.6710000000000003</v>
      </c>
      <c r="CS1052">
        <f t="shared" si="1368"/>
        <v>-3.5169999999999999</v>
      </c>
      <c r="CT1052">
        <f t="shared" si="1369"/>
        <v>-0.84599999999999964</v>
      </c>
      <c r="CU1052" t="str">
        <f t="shared" si="1370"/>
        <v/>
      </c>
      <c r="CV1052" s="2">
        <f t="shared" si="1371"/>
        <v>-0.31673530512916492</v>
      </c>
      <c r="CW1052" s="318" t="s">
        <v>1202</v>
      </c>
      <c r="CX1052" s="311" t="str">
        <f t="shared" si="1372"/>
        <v>reg</v>
      </c>
      <c r="CY1052" t="s">
        <v>428</v>
      </c>
      <c r="CZ1052">
        <v>2007</v>
      </c>
      <c r="DA1052">
        <v>0</v>
      </c>
      <c r="DB1052">
        <v>0</v>
      </c>
      <c r="DC1052" t="str">
        <f t="shared" si="1373"/>
        <v>0</v>
      </c>
      <c r="DD1052">
        <v>1</v>
      </c>
      <c r="DE1052">
        <v>0</v>
      </c>
      <c r="DF1052">
        <v>0</v>
      </c>
      <c r="DG1052">
        <v>0</v>
      </c>
      <c r="DH1052">
        <v>0</v>
      </c>
      <c r="DI1052">
        <v>1</v>
      </c>
      <c r="DJ1052" t="str">
        <f t="shared" si="1374"/>
        <v>UpstreamInput</v>
      </c>
      <c r="DK1052" t="str">
        <f t="shared" si="1375"/>
        <v>Upstream</v>
      </c>
      <c r="DL1052">
        <f t="shared" si="1376"/>
        <v>0</v>
      </c>
      <c r="DM1052">
        <f t="shared" si="1377"/>
        <v>0</v>
      </c>
      <c r="DN1052">
        <f t="shared" si="1378"/>
        <v>0</v>
      </c>
      <c r="DO1052">
        <v>0</v>
      </c>
      <c r="DP1052">
        <v>0</v>
      </c>
      <c r="DQ1052">
        <v>0</v>
      </c>
      <c r="DR1052">
        <v>0</v>
      </c>
      <c r="DS1052">
        <v>0</v>
      </c>
      <c r="DT1052">
        <f t="shared" si="1379"/>
        <v>0</v>
      </c>
      <c r="DU1052" s="143" t="s">
        <v>961</v>
      </c>
      <c r="DV1052">
        <v>0</v>
      </c>
      <c r="DW1052">
        <v>1</v>
      </c>
      <c r="DX1052">
        <v>1</v>
      </c>
      <c r="DY1052">
        <v>0</v>
      </c>
      <c r="DZ1052">
        <v>0</v>
      </c>
      <c r="EA1052" s="143">
        <v>0</v>
      </c>
      <c r="EB1052">
        <v>0</v>
      </c>
      <c r="EC1052">
        <v>0</v>
      </c>
      <c r="ED1052">
        <v>0</v>
      </c>
      <c r="EE1052">
        <v>0</v>
      </c>
      <c r="EF1052">
        <v>1</v>
      </c>
      <c r="EG1052">
        <v>0</v>
      </c>
      <c r="EH1052">
        <v>1</v>
      </c>
      <c r="EI1052" s="2">
        <v>0</v>
      </c>
      <c r="EK1052" t="str">
        <f t="shared" ref="EK1052:EK1061" si="1388">IF(AND(AND(AND(OR($DX1052=1,$DW1052=1),OR($EC1052=1,$EA1052=1)),SUM($DV1052:$DZ1052,$EF1052)&gt;=3),SUM($EA1052:$EE1052)&gt;=2),"Whole sector","")</f>
        <v/>
      </c>
      <c r="EL1052" t="str">
        <f t="shared" ref="EL1052:EL1061" si="1389">IF(AND(AND(OR($DX1052=1,$DW1052=1),AND($EC1052=0,$EA1052=0)),SUM($DV1052:$DZ1052,$EF1052)&gt;=3),"Ecosystem approach","")</f>
        <v>Ecosystem approach</v>
      </c>
      <c r="EM1052" s="2" t="str">
        <f t="shared" si="1317"/>
        <v/>
      </c>
      <c r="EP1052" t="b">
        <f>IF(ISNUMBER(BU1052),IF(ABS(BU1052-[1]QC_indicators!$B$2)&gt;3*[1]QC_indicators!$C$2,"C ratio",IF(ISNUMBER(BY1052),IF(ABS(BY1052-[1]QC_indicators!$B$1)&gt;3*[1]QC_indicators!$C$1,"DF","no"))),IF(ISNUMBER(BY1052),IF(ABS(BY1052-[1]QC_indicators!$B$1)&gt;3*[1]QC_indicators!$C$1,"DF","no")))</f>
        <v>0</v>
      </c>
    </row>
    <row r="1053" spans="1:150" ht="15" hidden="1" customHeight="1">
      <c r="A1053" s="1" t="s">
        <v>3865</v>
      </c>
      <c r="B1053" t="s">
        <v>3866</v>
      </c>
      <c r="C1053" t="s">
        <v>3867</v>
      </c>
      <c r="D1053" t="s">
        <v>3868</v>
      </c>
      <c r="E1053" t="s">
        <v>3869</v>
      </c>
      <c r="F1053" t="s">
        <v>3870</v>
      </c>
      <c r="G1053" t="s">
        <v>3871</v>
      </c>
      <c r="H1053" t="s">
        <v>254</v>
      </c>
      <c r="I1053">
        <v>2011</v>
      </c>
      <c r="J1053">
        <v>23</v>
      </c>
      <c r="K1053" t="s">
        <v>3872</v>
      </c>
      <c r="M1053" t="str">
        <f t="shared" si="1352"/>
        <v>Newell_2011</v>
      </c>
      <c r="N1053" s="311" t="s">
        <v>4382</v>
      </c>
      <c r="O1053" s="157" t="s">
        <v>274</v>
      </c>
      <c r="P1053" t="s">
        <v>959</v>
      </c>
      <c r="Q1053" s="311" t="s">
        <v>389</v>
      </c>
      <c r="R1053" s="312"/>
      <c r="S1053" s="318" t="s">
        <v>3879</v>
      </c>
      <c r="T1053" s="311" t="s">
        <v>3874</v>
      </c>
      <c r="U1053" s="311" t="s">
        <v>3875</v>
      </c>
      <c r="V1053">
        <v>0</v>
      </c>
      <c r="W1053">
        <v>0</v>
      </c>
      <c r="X1053">
        <v>0</v>
      </c>
      <c r="Y1053">
        <v>0</v>
      </c>
      <c r="Z1053">
        <v>0</v>
      </c>
      <c r="AA1053">
        <v>0</v>
      </c>
      <c r="AB1053">
        <v>0</v>
      </c>
      <c r="AC1053">
        <v>1</v>
      </c>
      <c r="AD1053">
        <v>0</v>
      </c>
      <c r="AE1053">
        <v>0</v>
      </c>
      <c r="AF1053">
        <v>0</v>
      </c>
      <c r="AG1053">
        <v>0</v>
      </c>
      <c r="AH1053">
        <v>0</v>
      </c>
      <c r="AI1053">
        <v>0</v>
      </c>
      <c r="AJ1053">
        <v>0</v>
      </c>
      <c r="AK1053">
        <v>0</v>
      </c>
      <c r="AL1053">
        <v>0</v>
      </c>
      <c r="AM1053">
        <v>0</v>
      </c>
      <c r="AN1053">
        <v>0</v>
      </c>
      <c r="AO1053">
        <v>0</v>
      </c>
      <c r="AP1053">
        <v>0</v>
      </c>
      <c r="AQ1053">
        <v>0</v>
      </c>
      <c r="AR1053">
        <v>0</v>
      </c>
      <c r="AS1053">
        <v>0</v>
      </c>
      <c r="AT1053">
        <v>0</v>
      </c>
      <c r="AU1053">
        <v>0</v>
      </c>
      <c r="AV1053">
        <v>0</v>
      </c>
      <c r="AW1053">
        <v>0</v>
      </c>
      <c r="AX1053" s="141">
        <f t="shared" si="1353"/>
        <v>1</v>
      </c>
      <c r="AY1053" s="141">
        <f t="shared" si="1354"/>
        <v>1</v>
      </c>
      <c r="AZ1053">
        <f t="shared" si="1355"/>
        <v>1</v>
      </c>
      <c r="BA1053">
        <f t="shared" si="1356"/>
        <v>0</v>
      </c>
      <c r="BB1053">
        <f t="shared" si="1357"/>
        <v>0</v>
      </c>
      <c r="BC1053">
        <f t="shared" si="1358"/>
        <v>0</v>
      </c>
      <c r="BD1053">
        <f t="shared" si="1359"/>
        <v>0</v>
      </c>
      <c r="BE1053" t="str" cm="1">
        <f t="array" ref="BE1053">IF(AY1053=1,INDEX($V$7:$AL$7,MATCH(TRUE,INDEX($V1053:$AW1053&lt;&gt;0,),0)),IF(AY1053=0,INDEX($AM$7:$AW$7,MATCH(1,$AM1053:$AW1053,0)),IF(BF1053="Multiple strategies","mixed drivers",IF(BF1053="Supply chain","multiple supply","multiple silviculture"))))</f>
        <v>site fertility</v>
      </c>
      <c r="BF1053" s="2" t="str" cm="1">
        <f t="array" ref="BF1053">IF(COUNTIF(AZ1053:BB1053,"&lt;&gt;0")=1,INDEX($V$4:$AW$4,MATCH(TRUE,INDEX($V1053:$AW1053&lt;&gt;0,),0)),IF(COUNTIF(AZ1053:BB1053,"&lt;&gt;0")=0,INDEX($AM$4:$AW$4,MATCH(1,$AM1053:$AW1053,0)),"Multiple strategies"))</f>
        <v>Silviculture for productivity</v>
      </c>
      <c r="BG1053" s="1" t="s">
        <v>229</v>
      </c>
      <c r="BH1053" t="s">
        <v>3876</v>
      </c>
      <c r="BI1053" s="311" t="s">
        <v>3877</v>
      </c>
      <c r="BK1053">
        <v>1</v>
      </c>
      <c r="BL1053">
        <v>1</v>
      </c>
      <c r="BM1053">
        <v>1</v>
      </c>
      <c r="BN1053">
        <f t="shared" si="1383"/>
        <v>0</v>
      </c>
      <c r="BO1053">
        <f t="shared" si="1384"/>
        <v>0</v>
      </c>
      <c r="BP1053" t="s">
        <v>395</v>
      </c>
      <c r="BR1053" s="311" t="s">
        <v>3878</v>
      </c>
      <c r="BS1053">
        <v>1.3860000000000001</v>
      </c>
      <c r="BT1053">
        <v>9.2100000000000009</v>
      </c>
      <c r="BU1053">
        <v>6.6450216450216448</v>
      </c>
      <c r="BV1053">
        <v>7.8240000000000007</v>
      </c>
      <c r="BX1053">
        <v>7.8240000000000007</v>
      </c>
      <c r="BY1053" t="str">
        <f t="shared" si="1316"/>
        <v/>
      </c>
      <c r="BZ1053">
        <v>0</v>
      </c>
      <c r="CA1053">
        <v>0</v>
      </c>
      <c r="CB1053">
        <v>0</v>
      </c>
      <c r="CC1053">
        <v>0</v>
      </c>
      <c r="CD1053">
        <v>0</v>
      </c>
      <c r="CE1053">
        <v>0</v>
      </c>
      <c r="CF1053">
        <v>0</v>
      </c>
      <c r="CG1053">
        <v>0</v>
      </c>
      <c r="CH1053">
        <v>0</v>
      </c>
      <c r="CI1053">
        <v>0</v>
      </c>
      <c r="CJ1053">
        <v>0</v>
      </c>
      <c r="CK1053">
        <v>0</v>
      </c>
      <c r="CL1053">
        <v>0</v>
      </c>
      <c r="CM1053">
        <v>0</v>
      </c>
      <c r="CN1053" t="str">
        <f t="shared" si="1363"/>
        <v>refOK</v>
      </c>
      <c r="CO1053">
        <f t="shared" si="1385"/>
        <v>1</v>
      </c>
      <c r="CP1053">
        <f t="shared" si="1386"/>
        <v>1</v>
      </c>
      <c r="CQ1053">
        <f t="shared" si="1387"/>
        <v>0</v>
      </c>
      <c r="CR1053">
        <f t="shared" si="1367"/>
        <v>-1.3860000000000001</v>
      </c>
      <c r="CS1053">
        <f t="shared" si="1368"/>
        <v>-9.2100000000000009</v>
      </c>
      <c r="CT1053">
        <f t="shared" si="1369"/>
        <v>-7.8240000000000007</v>
      </c>
      <c r="CU1053" t="str">
        <f t="shared" si="1370"/>
        <v/>
      </c>
      <c r="CV1053" s="2">
        <f t="shared" si="1371"/>
        <v>-5.6450216450216448</v>
      </c>
      <c r="CW1053" s="318" t="s">
        <v>1202</v>
      </c>
      <c r="CX1053" s="311" t="str">
        <f t="shared" si="1372"/>
        <v>reg</v>
      </c>
      <c r="CY1053" s="311" t="s">
        <v>690</v>
      </c>
      <c r="CZ1053">
        <v>2007</v>
      </c>
      <c r="DA1053">
        <v>0</v>
      </c>
      <c r="DB1053">
        <v>0</v>
      </c>
      <c r="DC1053" t="str">
        <f t="shared" si="1373"/>
        <v>0</v>
      </c>
      <c r="DD1053">
        <v>1</v>
      </c>
      <c r="DE1053">
        <v>0</v>
      </c>
      <c r="DF1053">
        <v>0</v>
      </c>
      <c r="DG1053">
        <v>0</v>
      </c>
      <c r="DH1053">
        <v>0</v>
      </c>
      <c r="DI1053">
        <v>1</v>
      </c>
      <c r="DJ1053" t="str">
        <f t="shared" si="1374"/>
        <v>UpstreamInput</v>
      </c>
      <c r="DK1053" t="str">
        <f t="shared" si="1375"/>
        <v>Upstream</v>
      </c>
      <c r="DL1053">
        <f t="shared" si="1376"/>
        <v>0</v>
      </c>
      <c r="DM1053">
        <f t="shared" si="1377"/>
        <v>0</v>
      </c>
      <c r="DN1053">
        <f t="shared" si="1378"/>
        <v>0</v>
      </c>
      <c r="DO1053">
        <v>0</v>
      </c>
      <c r="DP1053">
        <v>0</v>
      </c>
      <c r="DQ1053">
        <v>0</v>
      </c>
      <c r="DR1053">
        <v>0</v>
      </c>
      <c r="DS1053">
        <v>0</v>
      </c>
      <c r="DT1053">
        <f t="shared" si="1379"/>
        <v>0</v>
      </c>
      <c r="DU1053" s="143" t="s">
        <v>961</v>
      </c>
      <c r="DV1053">
        <v>0</v>
      </c>
      <c r="DW1053">
        <v>1</v>
      </c>
      <c r="DX1053">
        <v>1</v>
      </c>
      <c r="DY1053">
        <v>0</v>
      </c>
      <c r="DZ1053">
        <v>0</v>
      </c>
      <c r="EA1053" s="143">
        <v>0</v>
      </c>
      <c r="EB1053">
        <v>0</v>
      </c>
      <c r="EC1053">
        <v>0</v>
      </c>
      <c r="ED1053">
        <v>0</v>
      </c>
      <c r="EE1053">
        <v>0</v>
      </c>
      <c r="EF1053">
        <v>1</v>
      </c>
      <c r="EG1053">
        <v>0</v>
      </c>
      <c r="EH1053">
        <v>1</v>
      </c>
      <c r="EI1053" s="2">
        <v>0</v>
      </c>
      <c r="EK1053" t="str">
        <f t="shared" si="1388"/>
        <v/>
      </c>
      <c r="EL1053" t="str">
        <f t="shared" si="1389"/>
        <v>Ecosystem approach</v>
      </c>
      <c r="EM1053" s="2" t="str">
        <f t="shared" si="1317"/>
        <v/>
      </c>
      <c r="EP1053" t="b">
        <f>IF(ISNUMBER(BU1053),IF(ABS(BU1053-[1]QC_indicators!$B$2)&gt;3*[1]QC_indicators!$C$2,"C ratio",IF(ISNUMBER(BY1053),IF(ABS(BY1053-[1]QC_indicators!$B$1)&gt;3*[1]QC_indicators!$C$1,"DF","no"))),IF(ISNUMBER(BY1053),IF(ABS(BY1053-[1]QC_indicators!$B$1)&gt;3*[1]QC_indicators!$C$1,"DF","no")))</f>
        <v>0</v>
      </c>
    </row>
    <row r="1054" spans="1:150" ht="15" hidden="1" customHeight="1">
      <c r="A1054" s="1" t="s">
        <v>3865</v>
      </c>
      <c r="B1054" t="s">
        <v>3866</v>
      </c>
      <c r="C1054" t="s">
        <v>3867</v>
      </c>
      <c r="D1054" t="s">
        <v>3868</v>
      </c>
      <c r="E1054" t="s">
        <v>3869</v>
      </c>
      <c r="F1054" t="s">
        <v>3870</v>
      </c>
      <c r="G1054" t="s">
        <v>3871</v>
      </c>
      <c r="H1054" t="s">
        <v>254</v>
      </c>
      <c r="I1054">
        <v>2011</v>
      </c>
      <c r="J1054">
        <v>23</v>
      </c>
      <c r="K1054" t="s">
        <v>3872</v>
      </c>
      <c r="M1054" t="str">
        <f t="shared" si="1352"/>
        <v>Newell_2011</v>
      </c>
      <c r="N1054" s="311" t="s">
        <v>4382</v>
      </c>
      <c r="O1054" s="157" t="s">
        <v>274</v>
      </c>
      <c r="P1054" t="s">
        <v>959</v>
      </c>
      <c r="Q1054" s="311" t="s">
        <v>389</v>
      </c>
      <c r="R1054" s="312"/>
      <c r="S1054" s="318" t="s">
        <v>3873</v>
      </c>
      <c r="T1054" s="311" t="s">
        <v>3874</v>
      </c>
      <c r="U1054" s="311" t="s">
        <v>3875</v>
      </c>
      <c r="V1054">
        <v>0</v>
      </c>
      <c r="W1054">
        <v>0</v>
      </c>
      <c r="X1054">
        <v>0</v>
      </c>
      <c r="Y1054">
        <v>0</v>
      </c>
      <c r="Z1054">
        <v>0</v>
      </c>
      <c r="AA1054">
        <v>0</v>
      </c>
      <c r="AB1054">
        <v>0</v>
      </c>
      <c r="AC1054">
        <v>0</v>
      </c>
      <c r="AD1054">
        <v>0</v>
      </c>
      <c r="AE1054">
        <v>1</v>
      </c>
      <c r="AF1054">
        <v>1</v>
      </c>
      <c r="AG1054">
        <v>0</v>
      </c>
      <c r="AH1054">
        <v>0</v>
      </c>
      <c r="AI1054">
        <v>0</v>
      </c>
      <c r="AJ1054">
        <v>0</v>
      </c>
      <c r="AK1054">
        <v>0</v>
      </c>
      <c r="AL1054">
        <v>0</v>
      </c>
      <c r="AM1054">
        <v>0</v>
      </c>
      <c r="AN1054">
        <v>0</v>
      </c>
      <c r="AO1054">
        <v>0</v>
      </c>
      <c r="AP1054">
        <v>0</v>
      </c>
      <c r="AQ1054">
        <v>0</v>
      </c>
      <c r="AR1054">
        <v>0</v>
      </c>
      <c r="AS1054">
        <v>0</v>
      </c>
      <c r="AT1054">
        <v>0</v>
      </c>
      <c r="AU1054">
        <v>0</v>
      </c>
      <c r="AV1054">
        <v>0</v>
      </c>
      <c r="AW1054">
        <v>0</v>
      </c>
      <c r="AX1054" s="141">
        <f t="shared" si="1353"/>
        <v>2</v>
      </c>
      <c r="AY1054" s="141">
        <f t="shared" si="1354"/>
        <v>2</v>
      </c>
      <c r="AZ1054">
        <f t="shared" si="1355"/>
        <v>0</v>
      </c>
      <c r="BA1054">
        <f t="shared" si="1356"/>
        <v>2</v>
      </c>
      <c r="BB1054">
        <f t="shared" si="1357"/>
        <v>0</v>
      </c>
      <c r="BC1054">
        <f t="shared" si="1358"/>
        <v>0</v>
      </c>
      <c r="BD1054">
        <f t="shared" si="1359"/>
        <v>0</v>
      </c>
      <c r="BE1054" t="str" cm="1">
        <f t="array" ref="BE1054">IF(AY1054=1,INDEX($V$7:$AL$7,MATCH(TRUE,INDEX($V1054:$AW1054&lt;&gt;0,),0)),IF(AY1054=0,INDEX($AM$7:$AW$7,MATCH(1,$AM1054:$AW1054,0)),IF(BF1054="Multiple strategies","mixed drivers",IF(BF1054="Supply chain","multiple supply","multiple silviculture"))))</f>
        <v>multiple supply</v>
      </c>
      <c r="BF1054" s="2" t="str" cm="1">
        <f t="array" ref="BF1054">IF(COUNTIF(AZ1054:BB1054,"&lt;&gt;0")=1,INDEX($V$4:$AW$4,MATCH(TRUE,INDEX($V1054:$AW1054&lt;&gt;0,),0)),IF(COUNTIF(AZ1054:BB1054,"&lt;&gt;0")=0,INDEX($AM$4:$AW$4,MATCH(1,$AM1054:$AW1054,0)),"Multiple strategies"))</f>
        <v>Supply chain</v>
      </c>
      <c r="BG1054" s="1" t="s">
        <v>229</v>
      </c>
      <c r="BH1054" t="s">
        <v>3876</v>
      </c>
      <c r="BI1054" s="311" t="s">
        <v>3877</v>
      </c>
      <c r="BK1054">
        <v>1</v>
      </c>
      <c r="BL1054">
        <v>1</v>
      </c>
      <c r="BM1054">
        <v>1</v>
      </c>
      <c r="BN1054">
        <f t="shared" si="1383"/>
        <v>0</v>
      </c>
      <c r="BO1054">
        <f t="shared" si="1384"/>
        <v>0</v>
      </c>
      <c r="BP1054" t="s">
        <v>395</v>
      </c>
      <c r="BR1054" s="311" t="s">
        <v>3878</v>
      </c>
      <c r="BS1054">
        <v>4.1040000000000001</v>
      </c>
      <c r="BT1054">
        <v>4.95</v>
      </c>
      <c r="BU1054">
        <v>1.2061403508771931</v>
      </c>
      <c r="BV1054">
        <v>0.84600000000000009</v>
      </c>
      <c r="BX1054">
        <v>0.84600000000000009</v>
      </c>
      <c r="BY1054" t="str">
        <f t="shared" si="1316"/>
        <v/>
      </c>
      <c r="BZ1054">
        <v>0</v>
      </c>
      <c r="CA1054">
        <v>0</v>
      </c>
      <c r="CB1054">
        <v>0</v>
      </c>
      <c r="CC1054">
        <v>0</v>
      </c>
      <c r="CD1054">
        <v>0</v>
      </c>
      <c r="CE1054">
        <v>0</v>
      </c>
      <c r="CF1054">
        <v>0</v>
      </c>
      <c r="CG1054">
        <v>0</v>
      </c>
      <c r="CH1054">
        <v>0</v>
      </c>
      <c r="CI1054">
        <v>0</v>
      </c>
      <c r="CJ1054">
        <v>0</v>
      </c>
      <c r="CK1054">
        <v>0</v>
      </c>
      <c r="CL1054">
        <v>0</v>
      </c>
      <c r="CM1054">
        <v>0</v>
      </c>
      <c r="CN1054" t="str">
        <f t="shared" si="1363"/>
        <v>refOK</v>
      </c>
      <c r="CO1054">
        <f t="shared" si="1385"/>
        <v>1</v>
      </c>
      <c r="CP1054">
        <f t="shared" si="1386"/>
        <v>1</v>
      </c>
      <c r="CQ1054">
        <f t="shared" si="1387"/>
        <v>0</v>
      </c>
      <c r="CR1054">
        <f t="shared" si="1367"/>
        <v>-4.1040000000000001</v>
      </c>
      <c r="CS1054">
        <f t="shared" si="1368"/>
        <v>-4.95</v>
      </c>
      <c r="CT1054">
        <f t="shared" si="1369"/>
        <v>-0.84600000000000009</v>
      </c>
      <c r="CU1054" t="str">
        <f t="shared" si="1370"/>
        <v/>
      </c>
      <c r="CV1054" s="2">
        <f t="shared" si="1371"/>
        <v>-0.20614035087719298</v>
      </c>
      <c r="CW1054" s="318" t="s">
        <v>1202</v>
      </c>
      <c r="CX1054" s="311" t="str">
        <f t="shared" si="1372"/>
        <v>reg</v>
      </c>
      <c r="CY1054" t="s">
        <v>428</v>
      </c>
      <c r="CZ1054">
        <v>2007</v>
      </c>
      <c r="DA1054">
        <v>0</v>
      </c>
      <c r="DB1054">
        <v>0</v>
      </c>
      <c r="DC1054" t="str">
        <f t="shared" si="1373"/>
        <v>0</v>
      </c>
      <c r="DD1054">
        <v>0</v>
      </c>
      <c r="DE1054">
        <v>0</v>
      </c>
      <c r="DF1054">
        <v>1</v>
      </c>
      <c r="DG1054">
        <v>0</v>
      </c>
      <c r="DH1054">
        <v>0</v>
      </c>
      <c r="DI1054">
        <v>1</v>
      </c>
      <c r="DJ1054" t="str">
        <f t="shared" si="1374"/>
        <v>PulpPaperInput</v>
      </c>
      <c r="DK1054">
        <f t="shared" si="1375"/>
        <v>0</v>
      </c>
      <c r="DL1054">
        <f t="shared" si="1376"/>
        <v>0</v>
      </c>
      <c r="DM1054" t="str">
        <f t="shared" si="1377"/>
        <v>Pulp/Paper</v>
      </c>
      <c r="DN1054">
        <f t="shared" si="1378"/>
        <v>0</v>
      </c>
      <c r="DO1054">
        <v>0</v>
      </c>
      <c r="DP1054">
        <v>0</v>
      </c>
      <c r="DQ1054">
        <v>0</v>
      </c>
      <c r="DR1054">
        <v>0</v>
      </c>
      <c r="DS1054">
        <v>0</v>
      </c>
      <c r="DT1054">
        <f t="shared" si="1379"/>
        <v>0</v>
      </c>
      <c r="DU1054" s="143" t="s">
        <v>961</v>
      </c>
      <c r="DV1054">
        <v>0</v>
      </c>
      <c r="DW1054">
        <v>1</v>
      </c>
      <c r="DX1054">
        <v>1</v>
      </c>
      <c r="DY1054">
        <v>0</v>
      </c>
      <c r="DZ1054">
        <v>0</v>
      </c>
      <c r="EA1054" s="143">
        <v>0</v>
      </c>
      <c r="EB1054">
        <v>0</v>
      </c>
      <c r="EC1054">
        <v>1</v>
      </c>
      <c r="ED1054">
        <v>0</v>
      </c>
      <c r="EE1054">
        <v>0</v>
      </c>
      <c r="EF1054">
        <v>1</v>
      </c>
      <c r="EG1054">
        <v>0</v>
      </c>
      <c r="EH1054">
        <v>1</v>
      </c>
      <c r="EI1054" s="2">
        <v>0</v>
      </c>
      <c r="EK1054" t="str">
        <f t="shared" si="1388"/>
        <v/>
      </c>
      <c r="EL1054" t="str">
        <f t="shared" si="1389"/>
        <v/>
      </c>
      <c r="EM1054" s="2" t="str">
        <f t="shared" si="1317"/>
        <v/>
      </c>
      <c r="EP1054" t="b">
        <f>IF(ISNUMBER(BU1054),IF(ABS(BU1054-[1]QC_indicators!$B$2)&gt;3*[1]QC_indicators!$C$2,"C ratio",IF(ISNUMBER(BY1054),IF(ABS(BY1054-[1]QC_indicators!$B$1)&gt;3*[1]QC_indicators!$C$1,"DF","no"))),IF(ISNUMBER(BY1054),IF(ABS(BY1054-[1]QC_indicators!$B$1)&gt;3*[1]QC_indicators!$C$1,"DF","no")))</f>
        <v>0</v>
      </c>
    </row>
    <row r="1055" spans="1:150" ht="15" hidden="1" customHeight="1">
      <c r="A1055" s="1" t="s">
        <v>3865</v>
      </c>
      <c r="B1055" t="s">
        <v>3866</v>
      </c>
      <c r="C1055" t="s">
        <v>3867</v>
      </c>
      <c r="D1055" t="s">
        <v>3868</v>
      </c>
      <c r="E1055" t="s">
        <v>3869</v>
      </c>
      <c r="F1055" t="s">
        <v>3870</v>
      </c>
      <c r="G1055" t="s">
        <v>3871</v>
      </c>
      <c r="H1055" t="s">
        <v>254</v>
      </c>
      <c r="I1055">
        <v>2011</v>
      </c>
      <c r="J1055">
        <v>23</v>
      </c>
      <c r="K1055" t="s">
        <v>3872</v>
      </c>
      <c r="M1055" t="str">
        <f t="shared" si="1352"/>
        <v>Newell_2011</v>
      </c>
      <c r="N1055" s="311" t="s">
        <v>4382</v>
      </c>
      <c r="O1055" s="157" t="s">
        <v>274</v>
      </c>
      <c r="P1055" t="s">
        <v>959</v>
      </c>
      <c r="Q1055" s="311" t="s">
        <v>389</v>
      </c>
      <c r="R1055" s="312"/>
      <c r="S1055" s="318" t="s">
        <v>3879</v>
      </c>
      <c r="T1055" s="311" t="s">
        <v>3874</v>
      </c>
      <c r="U1055" s="311" t="s">
        <v>3875</v>
      </c>
      <c r="V1055">
        <v>0</v>
      </c>
      <c r="W1055">
        <v>0</v>
      </c>
      <c r="X1055">
        <v>0</v>
      </c>
      <c r="Y1055">
        <v>0</v>
      </c>
      <c r="Z1055">
        <v>0</v>
      </c>
      <c r="AA1055">
        <v>0</v>
      </c>
      <c r="AB1055">
        <v>0</v>
      </c>
      <c r="AC1055">
        <v>0</v>
      </c>
      <c r="AD1055">
        <v>0</v>
      </c>
      <c r="AE1055">
        <v>1</v>
      </c>
      <c r="AF1055">
        <v>1</v>
      </c>
      <c r="AG1055">
        <v>0</v>
      </c>
      <c r="AH1055">
        <v>0</v>
      </c>
      <c r="AI1055">
        <v>0</v>
      </c>
      <c r="AJ1055">
        <v>0</v>
      </c>
      <c r="AK1055">
        <v>0</v>
      </c>
      <c r="AL1055">
        <v>0</v>
      </c>
      <c r="AM1055">
        <v>0</v>
      </c>
      <c r="AN1055">
        <v>0</v>
      </c>
      <c r="AO1055">
        <v>0</v>
      </c>
      <c r="AP1055">
        <v>0</v>
      </c>
      <c r="AQ1055">
        <v>0</v>
      </c>
      <c r="AR1055">
        <v>0</v>
      </c>
      <c r="AS1055">
        <v>0</v>
      </c>
      <c r="AT1055">
        <v>0</v>
      </c>
      <c r="AU1055">
        <v>0</v>
      </c>
      <c r="AV1055">
        <v>0</v>
      </c>
      <c r="AW1055">
        <v>0</v>
      </c>
      <c r="AX1055" s="141">
        <f t="shared" si="1353"/>
        <v>2</v>
      </c>
      <c r="AY1055" s="141">
        <f t="shared" si="1354"/>
        <v>2</v>
      </c>
      <c r="AZ1055">
        <f t="shared" si="1355"/>
        <v>0</v>
      </c>
      <c r="BA1055">
        <f t="shared" si="1356"/>
        <v>2</v>
      </c>
      <c r="BB1055">
        <f t="shared" si="1357"/>
        <v>0</v>
      </c>
      <c r="BC1055">
        <f t="shared" si="1358"/>
        <v>0</v>
      </c>
      <c r="BD1055">
        <f t="shared" si="1359"/>
        <v>0</v>
      </c>
      <c r="BE1055" t="str" cm="1">
        <f t="array" ref="BE1055">IF(AY1055=1,INDEX($V$7:$AL$7,MATCH(TRUE,INDEX($V1055:$AW1055&lt;&gt;0,),0)),IF(AY1055=0,INDEX($AM$7:$AW$7,MATCH(1,$AM1055:$AW1055,0)),IF(BF1055="Multiple strategies","mixed drivers",IF(BF1055="Supply chain","multiple supply","multiple silviculture"))))</f>
        <v>multiple supply</v>
      </c>
      <c r="BF1055" s="2" t="str" cm="1">
        <f t="array" ref="BF1055">IF(COUNTIF(AZ1055:BB1055,"&lt;&gt;0")=1,INDEX($V$4:$AW$4,MATCH(TRUE,INDEX($V1055:$AW1055&lt;&gt;0,),0)),IF(COUNTIF(AZ1055:BB1055,"&lt;&gt;0")=0,INDEX($AM$4:$AW$4,MATCH(1,$AM1055:$AW1055,0)),"Multiple strategies"))</f>
        <v>Supply chain</v>
      </c>
      <c r="BG1055" s="1" t="s">
        <v>229</v>
      </c>
      <c r="BH1055" t="s">
        <v>3876</v>
      </c>
      <c r="BI1055" s="311" t="s">
        <v>3877</v>
      </c>
      <c r="BK1055">
        <v>1</v>
      </c>
      <c r="BL1055">
        <v>1</v>
      </c>
      <c r="BM1055">
        <v>1</v>
      </c>
      <c r="BN1055">
        <f t="shared" si="1383"/>
        <v>0</v>
      </c>
      <c r="BO1055">
        <f t="shared" si="1384"/>
        <v>0</v>
      </c>
      <c r="BP1055" t="s">
        <v>395</v>
      </c>
      <c r="BR1055" s="311" t="s">
        <v>3878</v>
      </c>
      <c r="BS1055">
        <v>4.0510000000000002</v>
      </c>
      <c r="BT1055">
        <v>11.875</v>
      </c>
      <c r="BU1055">
        <v>2.9313749691434214</v>
      </c>
      <c r="BV1055">
        <v>7.8239999999999998</v>
      </c>
      <c r="BX1055">
        <v>7.8239999999999998</v>
      </c>
      <c r="BY1055" t="str">
        <f t="shared" si="1316"/>
        <v/>
      </c>
      <c r="BZ1055">
        <v>0</v>
      </c>
      <c r="CA1055">
        <v>0</v>
      </c>
      <c r="CB1055">
        <v>0</v>
      </c>
      <c r="CC1055">
        <v>0</v>
      </c>
      <c r="CD1055">
        <v>0</v>
      </c>
      <c r="CE1055">
        <v>0</v>
      </c>
      <c r="CF1055">
        <v>0</v>
      </c>
      <c r="CG1055">
        <v>0</v>
      </c>
      <c r="CH1055">
        <v>0</v>
      </c>
      <c r="CI1055">
        <v>0</v>
      </c>
      <c r="CJ1055">
        <v>0</v>
      </c>
      <c r="CK1055">
        <v>0</v>
      </c>
      <c r="CL1055">
        <v>0</v>
      </c>
      <c r="CM1055">
        <v>0</v>
      </c>
      <c r="CN1055" t="str">
        <f t="shared" si="1363"/>
        <v>refOK</v>
      </c>
      <c r="CO1055">
        <f t="shared" si="1385"/>
        <v>1</v>
      </c>
      <c r="CP1055">
        <f t="shared" si="1386"/>
        <v>1</v>
      </c>
      <c r="CQ1055">
        <f t="shared" si="1387"/>
        <v>0</v>
      </c>
      <c r="CR1055">
        <f t="shared" si="1367"/>
        <v>-4.0510000000000002</v>
      </c>
      <c r="CS1055">
        <f t="shared" si="1368"/>
        <v>-11.875</v>
      </c>
      <c r="CT1055">
        <f t="shared" si="1369"/>
        <v>-7.8239999999999998</v>
      </c>
      <c r="CU1055" t="str">
        <f t="shared" si="1370"/>
        <v/>
      </c>
      <c r="CV1055" s="2">
        <f t="shared" si="1371"/>
        <v>-1.9313749691434212</v>
      </c>
      <c r="CW1055" s="318" t="s">
        <v>1202</v>
      </c>
      <c r="CX1055" s="311" t="str">
        <f t="shared" si="1372"/>
        <v>reg</v>
      </c>
      <c r="CY1055" s="311" t="s">
        <v>690</v>
      </c>
      <c r="CZ1055">
        <v>2007</v>
      </c>
      <c r="DA1055">
        <v>0</v>
      </c>
      <c r="DB1055">
        <v>0</v>
      </c>
      <c r="DC1055" t="str">
        <f t="shared" si="1373"/>
        <v>0</v>
      </c>
      <c r="DD1055">
        <v>0</v>
      </c>
      <c r="DE1055">
        <v>0</v>
      </c>
      <c r="DF1055">
        <v>1</v>
      </c>
      <c r="DG1055">
        <v>0</v>
      </c>
      <c r="DH1055">
        <v>0</v>
      </c>
      <c r="DI1055">
        <v>1</v>
      </c>
      <c r="DJ1055" t="str">
        <f t="shared" si="1374"/>
        <v>PulpPaperInput</v>
      </c>
      <c r="DK1055">
        <f t="shared" si="1375"/>
        <v>0</v>
      </c>
      <c r="DL1055">
        <f t="shared" si="1376"/>
        <v>0</v>
      </c>
      <c r="DM1055" t="str">
        <f t="shared" si="1377"/>
        <v>Pulp/Paper</v>
      </c>
      <c r="DN1055">
        <f t="shared" si="1378"/>
        <v>0</v>
      </c>
      <c r="DO1055">
        <v>0</v>
      </c>
      <c r="DP1055">
        <v>0</v>
      </c>
      <c r="DQ1055">
        <v>0</v>
      </c>
      <c r="DR1055">
        <v>0</v>
      </c>
      <c r="DS1055">
        <v>0</v>
      </c>
      <c r="DT1055">
        <f t="shared" si="1379"/>
        <v>0</v>
      </c>
      <c r="DU1055" s="143" t="s">
        <v>961</v>
      </c>
      <c r="DV1055">
        <v>0</v>
      </c>
      <c r="DW1055">
        <v>1</v>
      </c>
      <c r="DX1055">
        <v>1</v>
      </c>
      <c r="DY1055">
        <v>0</v>
      </c>
      <c r="DZ1055">
        <v>0</v>
      </c>
      <c r="EA1055" s="143">
        <v>0</v>
      </c>
      <c r="EB1055">
        <v>0</v>
      </c>
      <c r="EC1055">
        <v>1</v>
      </c>
      <c r="ED1055">
        <v>0</v>
      </c>
      <c r="EE1055">
        <v>0</v>
      </c>
      <c r="EF1055">
        <v>1</v>
      </c>
      <c r="EG1055">
        <v>0</v>
      </c>
      <c r="EH1055">
        <v>1</v>
      </c>
      <c r="EI1055" s="2">
        <v>0</v>
      </c>
      <c r="EK1055" t="str">
        <f t="shared" si="1388"/>
        <v/>
      </c>
      <c r="EL1055" t="str">
        <f t="shared" si="1389"/>
        <v/>
      </c>
      <c r="EM1055" s="2" t="str">
        <f t="shared" si="1317"/>
        <v/>
      </c>
      <c r="EP1055" t="b">
        <f>IF(ISNUMBER(BU1055),IF(ABS(BU1055-[1]QC_indicators!$B$2)&gt;3*[1]QC_indicators!$C$2,"C ratio",IF(ISNUMBER(BY1055),IF(ABS(BY1055-[1]QC_indicators!$B$1)&gt;3*[1]QC_indicators!$C$1,"DF","no"))),IF(ISNUMBER(BY1055),IF(ABS(BY1055-[1]QC_indicators!$B$1)&gt;3*[1]QC_indicators!$C$1,"DF","no")))</f>
        <v>0</v>
      </c>
    </row>
    <row r="1056" spans="1:150" ht="15" hidden="1" customHeight="1">
      <c r="A1056" s="1" t="s">
        <v>3865</v>
      </c>
      <c r="B1056" t="s">
        <v>3866</v>
      </c>
      <c r="C1056" t="s">
        <v>3867</v>
      </c>
      <c r="D1056" t="s">
        <v>3868</v>
      </c>
      <c r="E1056" t="s">
        <v>3869</v>
      </c>
      <c r="F1056" s="311" t="s">
        <v>3870</v>
      </c>
      <c r="G1056" t="s">
        <v>3871</v>
      </c>
      <c r="H1056" t="s">
        <v>254</v>
      </c>
      <c r="I1056">
        <v>2011</v>
      </c>
      <c r="J1056">
        <v>23</v>
      </c>
      <c r="K1056" t="s">
        <v>3872</v>
      </c>
      <c r="M1056" t="str">
        <f t="shared" si="1352"/>
        <v>Newell_2011</v>
      </c>
      <c r="N1056" s="311" t="s">
        <v>4382</v>
      </c>
      <c r="O1056" s="157" t="s">
        <v>274</v>
      </c>
      <c r="P1056" t="s">
        <v>959</v>
      </c>
      <c r="Q1056" s="311" t="s">
        <v>389</v>
      </c>
      <c r="R1056" s="312"/>
      <c r="S1056" s="318" t="s">
        <v>3880</v>
      </c>
      <c r="T1056" s="311" t="s">
        <v>3881</v>
      </c>
      <c r="U1056" s="311" t="s">
        <v>3882</v>
      </c>
      <c r="V1056">
        <v>1</v>
      </c>
      <c r="W1056">
        <v>0</v>
      </c>
      <c r="X1056">
        <v>0</v>
      </c>
      <c r="Y1056">
        <v>0</v>
      </c>
      <c r="Z1056">
        <v>0</v>
      </c>
      <c r="AA1056">
        <v>0</v>
      </c>
      <c r="AB1056">
        <v>0</v>
      </c>
      <c r="AC1056">
        <v>0</v>
      </c>
      <c r="AD1056">
        <v>0</v>
      </c>
      <c r="AE1056">
        <v>1</v>
      </c>
      <c r="AF1056">
        <v>0</v>
      </c>
      <c r="AG1056">
        <v>0</v>
      </c>
      <c r="AH1056">
        <v>0</v>
      </c>
      <c r="AI1056">
        <v>0</v>
      </c>
      <c r="AJ1056">
        <v>0</v>
      </c>
      <c r="AK1056">
        <v>0</v>
      </c>
      <c r="AL1056">
        <v>0</v>
      </c>
      <c r="AM1056">
        <v>0</v>
      </c>
      <c r="AN1056">
        <v>0</v>
      </c>
      <c r="AO1056">
        <v>0</v>
      </c>
      <c r="AP1056">
        <v>0</v>
      </c>
      <c r="AQ1056">
        <v>0</v>
      </c>
      <c r="AR1056">
        <v>0</v>
      </c>
      <c r="AS1056">
        <v>0</v>
      </c>
      <c r="AT1056">
        <v>0</v>
      </c>
      <c r="AU1056">
        <v>0</v>
      </c>
      <c r="AV1056">
        <v>0</v>
      </c>
      <c r="AW1056">
        <v>0</v>
      </c>
      <c r="AX1056" s="141">
        <f t="shared" si="1353"/>
        <v>2</v>
      </c>
      <c r="AY1056" s="141">
        <f t="shared" si="1354"/>
        <v>2</v>
      </c>
      <c r="AZ1056">
        <f t="shared" si="1355"/>
        <v>1</v>
      </c>
      <c r="BA1056">
        <f t="shared" si="1356"/>
        <v>1</v>
      </c>
      <c r="BB1056">
        <f t="shared" si="1357"/>
        <v>0</v>
      </c>
      <c r="BC1056">
        <f t="shared" si="1358"/>
        <v>0</v>
      </c>
      <c r="BD1056">
        <f t="shared" si="1359"/>
        <v>0</v>
      </c>
      <c r="BE1056" t="str" cm="1">
        <f t="array" ref="BE1056">IF(AY1056=1,INDEX($V$7:$AL$7,MATCH(TRUE,INDEX($V1056:$AW1056&lt;&gt;0,),0)),IF(AY1056=0,INDEX($AM$7:$AW$7,MATCH(1,$AM1056:$AW1056,0)),IF(BF1056="Multiple strategies","mixed drivers",IF(BF1056="Supply chain","multiple supply","multiple silviculture"))))</f>
        <v>mixed drivers</v>
      </c>
      <c r="BF1056" s="2" t="str" cm="1">
        <f t="array" ref="BF1056">IF(COUNTIF(AZ1056:BB1056,"&lt;&gt;0")=1,INDEX($V$4:$AW$4,MATCH(TRUE,INDEX($V1056:$AW1056&lt;&gt;0,),0)),IF(COUNTIF(AZ1056:BB1056,"&lt;&gt;0")=0,INDEX($AM$4:$AW$4,MATCH(1,$AM1056:$AW1056,0)),"Multiple strategies"))</f>
        <v>Multiple strategies</v>
      </c>
      <c r="BG1056" s="1" t="s">
        <v>229</v>
      </c>
      <c r="BH1056" t="s">
        <v>3876</v>
      </c>
      <c r="BI1056" t="s">
        <v>3877</v>
      </c>
      <c r="BK1056">
        <v>1</v>
      </c>
      <c r="BL1056">
        <v>1</v>
      </c>
      <c r="BM1056">
        <v>1</v>
      </c>
      <c r="BN1056">
        <f t="shared" si="1383"/>
        <v>0</v>
      </c>
      <c r="BO1056">
        <f t="shared" si="1384"/>
        <v>0</v>
      </c>
      <c r="BP1056" t="s">
        <v>395</v>
      </c>
      <c r="BR1056" s="311" t="s">
        <v>3878</v>
      </c>
      <c r="BS1056">
        <v>3.5169999999999999</v>
      </c>
      <c r="BT1056">
        <v>9.2100000000000009</v>
      </c>
      <c r="BU1056">
        <v>2.6187091270969578</v>
      </c>
      <c r="BV1056">
        <v>5.6930000000000014</v>
      </c>
      <c r="BX1056">
        <v>5.6930000000000014</v>
      </c>
      <c r="BY1056" t="str">
        <f t="shared" si="1316"/>
        <v/>
      </c>
      <c r="BZ1056">
        <v>0</v>
      </c>
      <c r="CA1056">
        <v>0</v>
      </c>
      <c r="CB1056">
        <v>0</v>
      </c>
      <c r="CC1056">
        <v>0</v>
      </c>
      <c r="CD1056">
        <v>0</v>
      </c>
      <c r="CE1056">
        <v>0</v>
      </c>
      <c r="CF1056">
        <v>0</v>
      </c>
      <c r="CG1056">
        <v>0</v>
      </c>
      <c r="CH1056">
        <v>0</v>
      </c>
      <c r="CI1056">
        <v>0</v>
      </c>
      <c r="CJ1056">
        <v>0</v>
      </c>
      <c r="CK1056">
        <v>0</v>
      </c>
      <c r="CL1056">
        <v>0</v>
      </c>
      <c r="CM1056">
        <v>0</v>
      </c>
      <c r="CN1056" t="str">
        <f t="shared" si="1363"/>
        <v>refOK</v>
      </c>
      <c r="CO1056">
        <f t="shared" si="1385"/>
        <v>1</v>
      </c>
      <c r="CP1056">
        <f t="shared" si="1386"/>
        <v>1</v>
      </c>
      <c r="CQ1056">
        <f t="shared" si="1387"/>
        <v>0</v>
      </c>
      <c r="CR1056">
        <f t="shared" si="1367"/>
        <v>-3.5169999999999999</v>
      </c>
      <c r="CS1056">
        <f t="shared" si="1368"/>
        <v>-9.2100000000000009</v>
      </c>
      <c r="CT1056">
        <f t="shared" si="1369"/>
        <v>-5.6930000000000014</v>
      </c>
      <c r="CU1056" t="str">
        <f t="shared" si="1370"/>
        <v/>
      </c>
      <c r="CV1056" s="2">
        <f t="shared" si="1371"/>
        <v>-1.618709127096958</v>
      </c>
      <c r="CW1056" s="318" t="s">
        <v>2538</v>
      </c>
      <c r="CX1056" s="311" t="s">
        <v>2538</v>
      </c>
      <c r="CY1056" s="311" t="s">
        <v>2539</v>
      </c>
      <c r="CZ1056">
        <v>2007</v>
      </c>
      <c r="DA1056">
        <v>0</v>
      </c>
      <c r="DB1056">
        <v>0</v>
      </c>
      <c r="DC1056" t="str">
        <f t="shared" si="1373"/>
        <v>0</v>
      </c>
      <c r="DD1056">
        <v>1</v>
      </c>
      <c r="DE1056">
        <v>0</v>
      </c>
      <c r="DF1056">
        <v>0</v>
      </c>
      <c r="DG1056">
        <v>0</v>
      </c>
      <c r="DH1056">
        <v>0</v>
      </c>
      <c r="DI1056">
        <v>1</v>
      </c>
      <c r="DJ1056" t="str">
        <f t="shared" si="1374"/>
        <v>UpstreamInput</v>
      </c>
      <c r="DK1056" t="str">
        <f t="shared" si="1375"/>
        <v>Upstream</v>
      </c>
      <c r="DL1056">
        <f t="shared" si="1376"/>
        <v>0</v>
      </c>
      <c r="DM1056">
        <f t="shared" si="1377"/>
        <v>0</v>
      </c>
      <c r="DN1056">
        <f t="shared" si="1378"/>
        <v>0</v>
      </c>
      <c r="DO1056">
        <v>0</v>
      </c>
      <c r="DP1056">
        <v>0</v>
      </c>
      <c r="DQ1056">
        <v>0</v>
      </c>
      <c r="DR1056">
        <v>0</v>
      </c>
      <c r="DS1056">
        <v>0</v>
      </c>
      <c r="DT1056">
        <f t="shared" si="1379"/>
        <v>0</v>
      </c>
      <c r="DU1056" s="143" t="s">
        <v>961</v>
      </c>
      <c r="DV1056">
        <v>0</v>
      </c>
      <c r="DW1056">
        <v>1</v>
      </c>
      <c r="DX1056">
        <v>1</v>
      </c>
      <c r="DY1056">
        <v>0</v>
      </c>
      <c r="DZ1056">
        <v>0</v>
      </c>
      <c r="EA1056" s="143">
        <v>0</v>
      </c>
      <c r="EB1056">
        <v>0</v>
      </c>
      <c r="EC1056">
        <v>0</v>
      </c>
      <c r="ED1056">
        <v>0</v>
      </c>
      <c r="EE1056">
        <v>0</v>
      </c>
      <c r="EF1056">
        <v>1</v>
      </c>
      <c r="EG1056">
        <v>0</v>
      </c>
      <c r="EH1056">
        <v>0</v>
      </c>
      <c r="EI1056" s="2">
        <v>0</v>
      </c>
      <c r="EK1056" t="str">
        <f t="shared" si="1388"/>
        <v/>
      </c>
      <c r="EL1056" t="str">
        <f t="shared" si="1389"/>
        <v>Ecosystem approach</v>
      </c>
      <c r="EM1056" s="2" t="str">
        <f t="shared" si="1317"/>
        <v/>
      </c>
      <c r="EP1056" t="b">
        <f>IF(ISNUMBER(BU1056),IF(ABS(BU1056-[1]QC_indicators!$B$2)&gt;3*[1]QC_indicators!$C$2,"C ratio",IF(ISNUMBER(BY1056),IF(ABS(BY1056-[1]QC_indicators!$B$1)&gt;3*[1]QC_indicators!$C$1,"DF","no"))),IF(ISNUMBER(BY1056),IF(ABS(BY1056-[1]QC_indicators!$B$1)&gt;3*[1]QC_indicators!$C$1,"DF","no")))</f>
        <v>0</v>
      </c>
    </row>
    <row r="1057" spans="1:151" ht="15" hidden="1" customHeight="1">
      <c r="A1057" s="1" t="s">
        <v>3865</v>
      </c>
      <c r="B1057" t="s">
        <v>3866</v>
      </c>
      <c r="C1057" t="s">
        <v>3867</v>
      </c>
      <c r="D1057" t="s">
        <v>3868</v>
      </c>
      <c r="E1057" t="s">
        <v>3869</v>
      </c>
      <c r="F1057" t="s">
        <v>3870</v>
      </c>
      <c r="G1057" t="s">
        <v>3871</v>
      </c>
      <c r="H1057" t="s">
        <v>254</v>
      </c>
      <c r="I1057">
        <v>2011</v>
      </c>
      <c r="J1057">
        <v>23</v>
      </c>
      <c r="K1057" t="s">
        <v>3872</v>
      </c>
      <c r="M1057" t="str">
        <f t="shared" si="1352"/>
        <v>Newell_2011</v>
      </c>
      <c r="N1057" s="311" t="s">
        <v>4382</v>
      </c>
      <c r="O1057" s="157" t="s">
        <v>274</v>
      </c>
      <c r="P1057" t="s">
        <v>959</v>
      </c>
      <c r="Q1057" s="311" t="s">
        <v>389</v>
      </c>
      <c r="R1057" s="312"/>
      <c r="S1057" s="318" t="s">
        <v>3880</v>
      </c>
      <c r="T1057" s="311" t="s">
        <v>3883</v>
      </c>
      <c r="U1057" s="311" t="s">
        <v>3884</v>
      </c>
      <c r="V1057">
        <v>1</v>
      </c>
      <c r="W1057">
        <v>0</v>
      </c>
      <c r="X1057">
        <v>0</v>
      </c>
      <c r="Y1057">
        <v>0</v>
      </c>
      <c r="Z1057">
        <v>0</v>
      </c>
      <c r="AA1057">
        <v>1</v>
      </c>
      <c r="AB1057">
        <v>0</v>
      </c>
      <c r="AC1057">
        <v>0</v>
      </c>
      <c r="AD1057">
        <v>0</v>
      </c>
      <c r="AE1057">
        <v>1</v>
      </c>
      <c r="AF1057">
        <v>0</v>
      </c>
      <c r="AG1057">
        <v>0</v>
      </c>
      <c r="AH1057">
        <v>0</v>
      </c>
      <c r="AI1057">
        <v>0</v>
      </c>
      <c r="AJ1057">
        <v>0</v>
      </c>
      <c r="AK1057">
        <v>0</v>
      </c>
      <c r="AL1057">
        <v>0</v>
      </c>
      <c r="AM1057">
        <v>0</v>
      </c>
      <c r="AN1057">
        <v>0</v>
      </c>
      <c r="AO1057">
        <v>0</v>
      </c>
      <c r="AP1057">
        <v>0</v>
      </c>
      <c r="AQ1057">
        <v>0</v>
      </c>
      <c r="AR1057">
        <v>0</v>
      </c>
      <c r="AS1057">
        <v>0</v>
      </c>
      <c r="AT1057">
        <v>0</v>
      </c>
      <c r="AU1057">
        <v>0</v>
      </c>
      <c r="AV1057">
        <v>0</v>
      </c>
      <c r="AW1057">
        <v>0</v>
      </c>
      <c r="AX1057" s="141">
        <f t="shared" si="1353"/>
        <v>3</v>
      </c>
      <c r="AY1057" s="141">
        <f t="shared" si="1354"/>
        <v>3</v>
      </c>
      <c r="AZ1057">
        <f t="shared" si="1355"/>
        <v>2</v>
      </c>
      <c r="BA1057">
        <f t="shared" si="1356"/>
        <v>1</v>
      </c>
      <c r="BB1057">
        <f t="shared" si="1357"/>
        <v>0</v>
      </c>
      <c r="BC1057">
        <f t="shared" si="1358"/>
        <v>0</v>
      </c>
      <c r="BD1057">
        <f t="shared" si="1359"/>
        <v>0</v>
      </c>
      <c r="BE1057" t="str" cm="1">
        <f t="array" ref="BE1057">IF(AY1057=1,INDEX($V$7:$AL$7,MATCH(TRUE,INDEX($V1057:$AW1057&lt;&gt;0,),0)),IF(AY1057=0,INDEX($AM$7:$AW$7,MATCH(1,$AM1057:$AW1057,0)),IF(BF1057="Multiple strategies","mixed drivers",IF(BF1057="Supply chain","multiple supply","multiple silviculture"))))</f>
        <v>mixed drivers</v>
      </c>
      <c r="BF1057" s="2" t="str" cm="1">
        <f t="array" ref="BF1057">IF(COUNTIF(AZ1057:BB1057,"&lt;&gt;0")=1,INDEX($V$4:$AW$4,MATCH(TRUE,INDEX($V1057:$AW1057&lt;&gt;0,),0)),IF(COUNTIF(AZ1057:BB1057,"&lt;&gt;0")=0,INDEX($AM$4:$AW$4,MATCH(1,$AM1057:$AW1057,0)),"Multiple strategies"))</f>
        <v>Multiple strategies</v>
      </c>
      <c r="BG1057" s="1" t="s">
        <v>229</v>
      </c>
      <c r="BH1057" t="s">
        <v>3876</v>
      </c>
      <c r="BI1057" t="s">
        <v>3877</v>
      </c>
      <c r="BK1057">
        <v>1</v>
      </c>
      <c r="BL1057">
        <v>1</v>
      </c>
      <c r="BM1057">
        <v>1</v>
      </c>
      <c r="BN1057">
        <f t="shared" si="1383"/>
        <v>0</v>
      </c>
      <c r="BO1057">
        <f t="shared" si="1384"/>
        <v>0</v>
      </c>
      <c r="BP1057" t="s">
        <v>395</v>
      </c>
      <c r="BR1057" s="311" t="s">
        <v>3878</v>
      </c>
      <c r="BS1057">
        <v>1.3860000000000001</v>
      </c>
      <c r="BT1057">
        <v>2.6710000000000003</v>
      </c>
      <c r="BU1057">
        <v>1.9271284271284272</v>
      </c>
      <c r="BV1057">
        <v>1.2850000000000001</v>
      </c>
      <c r="BX1057">
        <v>1.2850000000000001</v>
      </c>
      <c r="BY1057" t="str">
        <f t="shared" si="1316"/>
        <v/>
      </c>
      <c r="BZ1057">
        <v>0</v>
      </c>
      <c r="CA1057">
        <v>0</v>
      </c>
      <c r="CB1057">
        <v>0</v>
      </c>
      <c r="CC1057">
        <v>0</v>
      </c>
      <c r="CD1057">
        <v>0</v>
      </c>
      <c r="CE1057">
        <v>0</v>
      </c>
      <c r="CF1057">
        <v>0</v>
      </c>
      <c r="CG1057">
        <v>0</v>
      </c>
      <c r="CH1057">
        <v>0</v>
      </c>
      <c r="CI1057">
        <v>0</v>
      </c>
      <c r="CJ1057">
        <v>0</v>
      </c>
      <c r="CK1057">
        <v>0</v>
      </c>
      <c r="CL1057">
        <v>0</v>
      </c>
      <c r="CM1057">
        <v>0</v>
      </c>
      <c r="CN1057" t="str">
        <f t="shared" si="1363"/>
        <v>refOK</v>
      </c>
      <c r="CO1057">
        <f t="shared" si="1385"/>
        <v>1</v>
      </c>
      <c r="CP1057">
        <f t="shared" si="1386"/>
        <v>1</v>
      </c>
      <c r="CQ1057">
        <f t="shared" si="1387"/>
        <v>0</v>
      </c>
      <c r="CR1057">
        <f t="shared" si="1367"/>
        <v>-1.3860000000000001</v>
      </c>
      <c r="CS1057">
        <f t="shared" si="1368"/>
        <v>-2.6710000000000003</v>
      </c>
      <c r="CT1057">
        <f t="shared" si="1369"/>
        <v>-1.2850000000000001</v>
      </c>
      <c r="CU1057" t="str">
        <f t="shared" si="1370"/>
        <v/>
      </c>
      <c r="CV1057" s="2">
        <f t="shared" si="1371"/>
        <v>-0.92712842712842713</v>
      </c>
      <c r="CW1057" s="318" t="s">
        <v>2538</v>
      </c>
      <c r="CX1057" s="311" t="s">
        <v>2538</v>
      </c>
      <c r="CY1057" s="311" t="s">
        <v>2539</v>
      </c>
      <c r="CZ1057">
        <v>2007</v>
      </c>
      <c r="DA1057">
        <v>0</v>
      </c>
      <c r="DB1057">
        <v>0</v>
      </c>
      <c r="DC1057" t="str">
        <f t="shared" si="1373"/>
        <v>0</v>
      </c>
      <c r="DD1057">
        <v>1</v>
      </c>
      <c r="DE1057">
        <v>0</v>
      </c>
      <c r="DF1057">
        <v>0</v>
      </c>
      <c r="DG1057">
        <v>0</v>
      </c>
      <c r="DH1057">
        <v>0</v>
      </c>
      <c r="DI1057">
        <v>1</v>
      </c>
      <c r="DJ1057" t="str">
        <f t="shared" si="1374"/>
        <v>UpstreamInput</v>
      </c>
      <c r="DK1057" t="str">
        <f t="shared" si="1375"/>
        <v>Upstream</v>
      </c>
      <c r="DL1057">
        <f t="shared" si="1376"/>
        <v>0</v>
      </c>
      <c r="DM1057">
        <f t="shared" si="1377"/>
        <v>0</v>
      </c>
      <c r="DN1057">
        <f t="shared" si="1378"/>
        <v>0</v>
      </c>
      <c r="DO1057">
        <v>0</v>
      </c>
      <c r="DP1057">
        <v>0</v>
      </c>
      <c r="DQ1057">
        <v>0</v>
      </c>
      <c r="DR1057">
        <v>0</v>
      </c>
      <c r="DS1057">
        <v>0</v>
      </c>
      <c r="DT1057">
        <f t="shared" si="1379"/>
        <v>0</v>
      </c>
      <c r="DU1057" s="143" t="s">
        <v>961</v>
      </c>
      <c r="DV1057">
        <v>0</v>
      </c>
      <c r="DW1057">
        <v>1</v>
      </c>
      <c r="DX1057">
        <v>1</v>
      </c>
      <c r="DY1057">
        <v>0</v>
      </c>
      <c r="DZ1057">
        <v>0</v>
      </c>
      <c r="EA1057" s="143">
        <v>0</v>
      </c>
      <c r="EB1057">
        <v>0</v>
      </c>
      <c r="EC1057">
        <v>0</v>
      </c>
      <c r="ED1057">
        <v>0</v>
      </c>
      <c r="EE1057">
        <v>0</v>
      </c>
      <c r="EF1057">
        <v>1</v>
      </c>
      <c r="EG1057">
        <v>0</v>
      </c>
      <c r="EH1057">
        <v>0</v>
      </c>
      <c r="EI1057" s="2">
        <v>0</v>
      </c>
      <c r="EK1057" t="str">
        <f t="shared" si="1388"/>
        <v/>
      </c>
      <c r="EL1057" t="str">
        <f t="shared" si="1389"/>
        <v>Ecosystem approach</v>
      </c>
      <c r="EM1057" s="2" t="str">
        <f t="shared" si="1317"/>
        <v/>
      </c>
      <c r="EP1057" t="b">
        <f>IF(ISNUMBER(BU1057),IF(ABS(BU1057-[1]QC_indicators!$B$2)&gt;3*[1]QC_indicators!$C$2,"C ratio",IF(ISNUMBER(BY1057),IF(ABS(BY1057-[1]QC_indicators!$B$1)&gt;3*[1]QC_indicators!$C$1,"DF","no"))),IF(ISNUMBER(BY1057),IF(ABS(BY1057-[1]QC_indicators!$B$1)&gt;3*[1]QC_indicators!$C$1,"DF","no")))</f>
        <v>0</v>
      </c>
    </row>
    <row r="1058" spans="1:151" ht="15" hidden="1" customHeight="1">
      <c r="A1058" s="1" t="s">
        <v>3865</v>
      </c>
      <c r="B1058" t="s">
        <v>3866</v>
      </c>
      <c r="C1058" t="s">
        <v>3867</v>
      </c>
      <c r="D1058" t="s">
        <v>3868</v>
      </c>
      <c r="E1058" t="s">
        <v>3869</v>
      </c>
      <c r="F1058" t="s">
        <v>3870</v>
      </c>
      <c r="G1058" t="s">
        <v>3871</v>
      </c>
      <c r="H1058" t="s">
        <v>254</v>
      </c>
      <c r="I1058">
        <v>2011</v>
      </c>
      <c r="J1058">
        <v>23</v>
      </c>
      <c r="K1058" t="s">
        <v>3872</v>
      </c>
      <c r="M1058" t="str">
        <f t="shared" si="1352"/>
        <v>Newell_2011</v>
      </c>
      <c r="N1058" s="311" t="s">
        <v>4382</v>
      </c>
      <c r="O1058" s="157" t="s">
        <v>274</v>
      </c>
      <c r="P1058" t="s">
        <v>959</v>
      </c>
      <c r="Q1058" s="311" t="s">
        <v>389</v>
      </c>
      <c r="R1058" s="312"/>
      <c r="S1058" s="318" t="s">
        <v>3880</v>
      </c>
      <c r="T1058" s="311" t="s">
        <v>3881</v>
      </c>
      <c r="U1058" s="311" t="s">
        <v>3882</v>
      </c>
      <c r="V1058">
        <v>1</v>
      </c>
      <c r="W1058">
        <v>0</v>
      </c>
      <c r="X1058">
        <v>0</v>
      </c>
      <c r="Y1058">
        <v>0</v>
      </c>
      <c r="Z1058">
        <v>0</v>
      </c>
      <c r="AA1058">
        <v>0</v>
      </c>
      <c r="AB1058">
        <v>0</v>
      </c>
      <c r="AC1058">
        <v>0</v>
      </c>
      <c r="AD1058">
        <v>0</v>
      </c>
      <c r="AE1058">
        <v>1</v>
      </c>
      <c r="AF1058">
        <v>0</v>
      </c>
      <c r="AG1058">
        <v>0</v>
      </c>
      <c r="AH1058">
        <v>0</v>
      </c>
      <c r="AI1058">
        <v>0</v>
      </c>
      <c r="AJ1058">
        <v>0</v>
      </c>
      <c r="AK1058">
        <v>0</v>
      </c>
      <c r="AL1058">
        <v>0</v>
      </c>
      <c r="AM1058">
        <v>0</v>
      </c>
      <c r="AN1058">
        <v>0</v>
      </c>
      <c r="AO1058">
        <v>0</v>
      </c>
      <c r="AP1058">
        <v>0</v>
      </c>
      <c r="AQ1058">
        <v>0</v>
      </c>
      <c r="AR1058">
        <v>0</v>
      </c>
      <c r="AS1058">
        <v>0</v>
      </c>
      <c r="AT1058">
        <v>0</v>
      </c>
      <c r="AU1058">
        <v>0</v>
      </c>
      <c r="AV1058">
        <v>0</v>
      </c>
      <c r="AW1058">
        <v>0</v>
      </c>
      <c r="AX1058" s="141">
        <f t="shared" si="1353"/>
        <v>2</v>
      </c>
      <c r="AY1058" s="141">
        <f t="shared" si="1354"/>
        <v>2</v>
      </c>
      <c r="AZ1058">
        <f t="shared" si="1355"/>
        <v>1</v>
      </c>
      <c r="BA1058">
        <f t="shared" si="1356"/>
        <v>1</v>
      </c>
      <c r="BB1058">
        <f t="shared" si="1357"/>
        <v>0</v>
      </c>
      <c r="BC1058">
        <f t="shared" si="1358"/>
        <v>0</v>
      </c>
      <c r="BD1058">
        <f t="shared" si="1359"/>
        <v>0</v>
      </c>
      <c r="BE1058" t="str" cm="1">
        <f t="array" ref="BE1058">IF(AY1058=1,INDEX($V$7:$AL$7,MATCH(TRUE,INDEX($V1058:$AW1058&lt;&gt;0,),0)),IF(AY1058=0,INDEX($AM$7:$AW$7,MATCH(1,$AM1058:$AW1058,0)),IF(BF1058="Multiple strategies","mixed drivers",IF(BF1058="Supply chain","multiple supply","multiple silviculture"))))</f>
        <v>mixed drivers</v>
      </c>
      <c r="BF1058" s="2" t="str" cm="1">
        <f t="array" ref="BF1058">IF(COUNTIF(AZ1058:BB1058,"&lt;&gt;0")=1,INDEX($V$4:$AW$4,MATCH(TRUE,INDEX($V1058:$AW1058&lt;&gt;0,),0)),IF(COUNTIF(AZ1058:BB1058,"&lt;&gt;0")=0,INDEX($AM$4:$AW$4,MATCH(1,$AM1058:$AW1058,0)),"Multiple strategies"))</f>
        <v>Multiple strategies</v>
      </c>
      <c r="BG1058" s="1" t="s">
        <v>229</v>
      </c>
      <c r="BH1058" t="s">
        <v>3876</v>
      </c>
      <c r="BI1058" t="s">
        <v>3877</v>
      </c>
      <c r="BK1058">
        <v>1</v>
      </c>
      <c r="BL1058">
        <v>1</v>
      </c>
      <c r="BM1058">
        <v>1</v>
      </c>
      <c r="BN1058">
        <f t="shared" si="1383"/>
        <v>0</v>
      </c>
      <c r="BO1058">
        <f t="shared" si="1384"/>
        <v>0</v>
      </c>
      <c r="BP1058" t="s">
        <v>395</v>
      </c>
      <c r="BR1058" s="311" t="s">
        <v>3878</v>
      </c>
      <c r="BS1058">
        <v>4.95</v>
      </c>
      <c r="BT1058">
        <v>11.875</v>
      </c>
      <c r="BU1058">
        <v>2.3989898989898988</v>
      </c>
      <c r="BV1058">
        <v>6.9249999999999998</v>
      </c>
      <c r="BX1058">
        <v>6.9249999999999998</v>
      </c>
      <c r="BY1058" t="str">
        <f t="shared" si="1316"/>
        <v/>
      </c>
      <c r="BZ1058">
        <v>0</v>
      </c>
      <c r="CA1058">
        <v>0</v>
      </c>
      <c r="CB1058">
        <v>0</v>
      </c>
      <c r="CC1058">
        <v>0</v>
      </c>
      <c r="CD1058">
        <v>0</v>
      </c>
      <c r="CE1058">
        <v>0</v>
      </c>
      <c r="CF1058">
        <v>0</v>
      </c>
      <c r="CG1058">
        <v>0</v>
      </c>
      <c r="CH1058">
        <v>0</v>
      </c>
      <c r="CI1058">
        <v>0</v>
      </c>
      <c r="CJ1058">
        <v>0</v>
      </c>
      <c r="CK1058">
        <v>0</v>
      </c>
      <c r="CL1058">
        <v>0</v>
      </c>
      <c r="CM1058">
        <v>0</v>
      </c>
      <c r="CN1058" t="str">
        <f t="shared" si="1363"/>
        <v>refOK</v>
      </c>
      <c r="CO1058">
        <f t="shared" si="1385"/>
        <v>1</v>
      </c>
      <c r="CP1058">
        <f t="shared" si="1386"/>
        <v>1</v>
      </c>
      <c r="CQ1058">
        <f t="shared" si="1387"/>
        <v>0</v>
      </c>
      <c r="CR1058">
        <f t="shared" si="1367"/>
        <v>-4.95</v>
      </c>
      <c r="CS1058">
        <f t="shared" si="1368"/>
        <v>-11.875</v>
      </c>
      <c r="CT1058">
        <f t="shared" si="1369"/>
        <v>-6.9249999999999998</v>
      </c>
      <c r="CU1058" t="str">
        <f t="shared" si="1370"/>
        <v/>
      </c>
      <c r="CV1058" s="2">
        <f t="shared" si="1371"/>
        <v>-1.398989898989899</v>
      </c>
      <c r="CW1058" s="318" t="s">
        <v>2538</v>
      </c>
      <c r="CX1058" s="311" t="s">
        <v>2538</v>
      </c>
      <c r="CY1058" s="311" t="s">
        <v>2539</v>
      </c>
      <c r="CZ1058">
        <v>2007</v>
      </c>
      <c r="DA1058">
        <v>0</v>
      </c>
      <c r="DB1058">
        <v>0</v>
      </c>
      <c r="DC1058" t="str">
        <f t="shared" si="1373"/>
        <v>0</v>
      </c>
      <c r="DD1058">
        <v>0</v>
      </c>
      <c r="DE1058">
        <v>0</v>
      </c>
      <c r="DF1058">
        <v>1</v>
      </c>
      <c r="DG1058">
        <v>0</v>
      </c>
      <c r="DH1058">
        <v>0</v>
      </c>
      <c r="DI1058">
        <v>1</v>
      </c>
      <c r="DJ1058" t="str">
        <f t="shared" si="1374"/>
        <v>PulpPaperInput</v>
      </c>
      <c r="DK1058">
        <f t="shared" si="1375"/>
        <v>0</v>
      </c>
      <c r="DL1058">
        <f t="shared" si="1376"/>
        <v>0</v>
      </c>
      <c r="DM1058" t="str">
        <f t="shared" si="1377"/>
        <v>Pulp/Paper</v>
      </c>
      <c r="DN1058">
        <f t="shared" si="1378"/>
        <v>0</v>
      </c>
      <c r="DO1058">
        <v>0</v>
      </c>
      <c r="DP1058">
        <v>0</v>
      </c>
      <c r="DQ1058">
        <v>0</v>
      </c>
      <c r="DR1058">
        <v>0</v>
      </c>
      <c r="DS1058">
        <v>0</v>
      </c>
      <c r="DT1058">
        <f t="shared" si="1379"/>
        <v>0</v>
      </c>
      <c r="DU1058" s="143" t="s">
        <v>961</v>
      </c>
      <c r="DV1058">
        <v>0</v>
      </c>
      <c r="DW1058">
        <v>1</v>
      </c>
      <c r="DX1058">
        <v>1</v>
      </c>
      <c r="DY1058">
        <v>0</v>
      </c>
      <c r="DZ1058">
        <v>0</v>
      </c>
      <c r="EA1058" s="143">
        <v>0</v>
      </c>
      <c r="EB1058">
        <v>0</v>
      </c>
      <c r="EC1058">
        <v>1</v>
      </c>
      <c r="ED1058">
        <v>0</v>
      </c>
      <c r="EE1058">
        <v>0</v>
      </c>
      <c r="EF1058">
        <v>1</v>
      </c>
      <c r="EG1058">
        <v>0</v>
      </c>
      <c r="EH1058">
        <v>0</v>
      </c>
      <c r="EI1058" s="2">
        <v>0</v>
      </c>
      <c r="EK1058" t="str">
        <f t="shared" si="1388"/>
        <v/>
      </c>
      <c r="EL1058" t="str">
        <f t="shared" si="1389"/>
        <v/>
      </c>
      <c r="EM1058" s="2" t="str">
        <f t="shared" si="1317"/>
        <v/>
      </c>
      <c r="EP1058" t="b">
        <f>IF(ISNUMBER(BU1058),IF(ABS(BU1058-[1]QC_indicators!$B$2)&gt;3*[1]QC_indicators!$C$2,"C ratio",IF(ISNUMBER(BY1058),IF(ABS(BY1058-[1]QC_indicators!$B$1)&gt;3*[1]QC_indicators!$C$1,"DF","no"))),IF(ISNUMBER(BY1058),IF(ABS(BY1058-[1]QC_indicators!$B$1)&gt;3*[1]QC_indicators!$C$1,"DF","no")))</f>
        <v>0</v>
      </c>
    </row>
    <row r="1059" spans="1:151" ht="15" hidden="1" customHeight="1">
      <c r="A1059" s="1" t="s">
        <v>3865</v>
      </c>
      <c r="B1059" t="s">
        <v>3866</v>
      </c>
      <c r="C1059" t="s">
        <v>3867</v>
      </c>
      <c r="D1059" t="s">
        <v>3868</v>
      </c>
      <c r="E1059" t="s">
        <v>3869</v>
      </c>
      <c r="F1059" t="s">
        <v>3870</v>
      </c>
      <c r="G1059" t="s">
        <v>3871</v>
      </c>
      <c r="H1059" t="s">
        <v>254</v>
      </c>
      <c r="I1059">
        <v>2011</v>
      </c>
      <c r="J1059">
        <v>23</v>
      </c>
      <c r="K1059" t="s">
        <v>3872</v>
      </c>
      <c r="M1059" t="str">
        <f t="shared" si="1352"/>
        <v>Newell_2011</v>
      </c>
      <c r="N1059" s="311" t="s">
        <v>4382</v>
      </c>
      <c r="O1059" s="157" t="s">
        <v>274</v>
      </c>
      <c r="P1059" t="s">
        <v>959</v>
      </c>
      <c r="Q1059" s="311" t="s">
        <v>389</v>
      </c>
      <c r="R1059" s="312"/>
      <c r="S1059" s="318" t="s">
        <v>3880</v>
      </c>
      <c r="T1059" s="311" t="s">
        <v>3883</v>
      </c>
      <c r="U1059" s="311" t="s">
        <v>3884</v>
      </c>
      <c r="V1059">
        <v>1</v>
      </c>
      <c r="W1059">
        <v>0</v>
      </c>
      <c r="X1059">
        <v>0</v>
      </c>
      <c r="Y1059">
        <v>0</v>
      </c>
      <c r="Z1059">
        <v>0</v>
      </c>
      <c r="AA1059">
        <v>1</v>
      </c>
      <c r="AB1059">
        <v>0</v>
      </c>
      <c r="AC1059">
        <v>0</v>
      </c>
      <c r="AD1059">
        <v>0</v>
      </c>
      <c r="AE1059">
        <v>1</v>
      </c>
      <c r="AF1059">
        <v>0</v>
      </c>
      <c r="AG1059">
        <v>0</v>
      </c>
      <c r="AH1059">
        <v>0</v>
      </c>
      <c r="AI1059">
        <v>0</v>
      </c>
      <c r="AJ1059">
        <v>0</v>
      </c>
      <c r="AK1059">
        <v>0</v>
      </c>
      <c r="AL1059">
        <v>0</v>
      </c>
      <c r="AM1059">
        <v>0</v>
      </c>
      <c r="AN1059">
        <v>0</v>
      </c>
      <c r="AO1059">
        <v>0</v>
      </c>
      <c r="AP1059">
        <v>0</v>
      </c>
      <c r="AQ1059">
        <v>0</v>
      </c>
      <c r="AR1059">
        <v>0</v>
      </c>
      <c r="AS1059">
        <v>0</v>
      </c>
      <c r="AT1059">
        <v>0</v>
      </c>
      <c r="AU1059">
        <v>0</v>
      </c>
      <c r="AV1059">
        <v>0</v>
      </c>
      <c r="AW1059">
        <v>0</v>
      </c>
      <c r="AX1059" s="141">
        <f t="shared" si="1353"/>
        <v>3</v>
      </c>
      <c r="AY1059" s="141">
        <f t="shared" si="1354"/>
        <v>3</v>
      </c>
      <c r="AZ1059">
        <f t="shared" si="1355"/>
        <v>2</v>
      </c>
      <c r="BA1059">
        <f t="shared" si="1356"/>
        <v>1</v>
      </c>
      <c r="BB1059">
        <f t="shared" si="1357"/>
        <v>0</v>
      </c>
      <c r="BC1059">
        <f t="shared" si="1358"/>
        <v>0</v>
      </c>
      <c r="BD1059">
        <f t="shared" si="1359"/>
        <v>0</v>
      </c>
      <c r="BE1059" t="str" cm="1">
        <f t="array" ref="BE1059">IF(AY1059=1,INDEX($V$7:$AL$7,MATCH(TRUE,INDEX($V1059:$AW1059&lt;&gt;0,),0)),IF(AY1059=0,INDEX($AM$7:$AW$7,MATCH(1,$AM1059:$AW1059,0)),IF(BF1059="Multiple strategies","mixed drivers",IF(BF1059="Supply chain","multiple supply","multiple silviculture"))))</f>
        <v>mixed drivers</v>
      </c>
      <c r="BF1059" s="2" t="str" cm="1">
        <f t="array" ref="BF1059">IF(COUNTIF(AZ1059:BB1059,"&lt;&gt;0")=1,INDEX($V$4:$AW$4,MATCH(TRUE,INDEX($V1059:$AW1059&lt;&gt;0,),0)),IF(COUNTIF(AZ1059:BB1059,"&lt;&gt;0")=0,INDEX($AM$4:$AW$4,MATCH(1,$AM1059:$AW1059,0)),"Multiple strategies"))</f>
        <v>Multiple strategies</v>
      </c>
      <c r="BG1059" s="1" t="s">
        <v>229</v>
      </c>
      <c r="BH1059" t="s">
        <v>3876</v>
      </c>
      <c r="BI1059" t="s">
        <v>3877</v>
      </c>
      <c r="BK1059">
        <v>1</v>
      </c>
      <c r="BL1059">
        <v>1</v>
      </c>
      <c r="BM1059">
        <v>1</v>
      </c>
      <c r="BN1059">
        <f t="shared" si="1383"/>
        <v>0</v>
      </c>
      <c r="BO1059">
        <f t="shared" si="1384"/>
        <v>0</v>
      </c>
      <c r="BP1059" t="s">
        <v>395</v>
      </c>
      <c r="BR1059" s="311" t="s">
        <v>3878</v>
      </c>
      <c r="BS1059">
        <v>4.0510000000000002</v>
      </c>
      <c r="BT1059">
        <v>4.1040000000000001</v>
      </c>
      <c r="BU1059">
        <v>1.0130831893359664</v>
      </c>
      <c r="BV1059">
        <v>5.2999999999999936E-2</v>
      </c>
      <c r="BX1059">
        <v>5.2999999999999936E-2</v>
      </c>
      <c r="BY1059" t="str">
        <f t="shared" si="1316"/>
        <v/>
      </c>
      <c r="BZ1059">
        <v>0</v>
      </c>
      <c r="CA1059">
        <v>0</v>
      </c>
      <c r="CB1059">
        <v>0</v>
      </c>
      <c r="CC1059">
        <v>0</v>
      </c>
      <c r="CD1059">
        <v>0</v>
      </c>
      <c r="CE1059">
        <v>0</v>
      </c>
      <c r="CF1059">
        <v>0</v>
      </c>
      <c r="CG1059">
        <v>0</v>
      </c>
      <c r="CH1059">
        <v>0</v>
      </c>
      <c r="CI1059">
        <v>0</v>
      </c>
      <c r="CJ1059">
        <v>0</v>
      </c>
      <c r="CK1059">
        <v>0</v>
      </c>
      <c r="CL1059">
        <v>0</v>
      </c>
      <c r="CM1059">
        <v>0</v>
      </c>
      <c r="CN1059" t="str">
        <f t="shared" si="1363"/>
        <v>refOK</v>
      </c>
      <c r="CO1059">
        <f t="shared" si="1385"/>
        <v>1</v>
      </c>
      <c r="CP1059">
        <f t="shared" si="1386"/>
        <v>1</v>
      </c>
      <c r="CQ1059">
        <f t="shared" si="1387"/>
        <v>0</v>
      </c>
      <c r="CR1059">
        <f t="shared" si="1367"/>
        <v>-4.0510000000000002</v>
      </c>
      <c r="CS1059">
        <f t="shared" si="1368"/>
        <v>-4.1040000000000001</v>
      </c>
      <c r="CT1059">
        <f t="shared" si="1369"/>
        <v>-5.2999999999999936E-2</v>
      </c>
      <c r="CU1059" t="str">
        <f t="shared" si="1370"/>
        <v/>
      </c>
      <c r="CV1059" s="2">
        <f t="shared" si="1371"/>
        <v>-1.3083189335966411E-2</v>
      </c>
      <c r="CW1059" s="318" t="s">
        <v>2538</v>
      </c>
      <c r="CX1059" s="311" t="s">
        <v>2538</v>
      </c>
      <c r="CY1059" s="311" t="s">
        <v>2539</v>
      </c>
      <c r="CZ1059">
        <v>2007</v>
      </c>
      <c r="DA1059">
        <v>0</v>
      </c>
      <c r="DB1059">
        <v>0</v>
      </c>
      <c r="DC1059" t="str">
        <f t="shared" si="1373"/>
        <v>0</v>
      </c>
      <c r="DD1059">
        <v>0</v>
      </c>
      <c r="DE1059">
        <v>0</v>
      </c>
      <c r="DF1059">
        <v>1</v>
      </c>
      <c r="DG1059">
        <v>0</v>
      </c>
      <c r="DH1059">
        <v>0</v>
      </c>
      <c r="DI1059">
        <v>1</v>
      </c>
      <c r="DJ1059" t="str">
        <f t="shared" si="1374"/>
        <v>PulpPaperInput</v>
      </c>
      <c r="DK1059">
        <f t="shared" si="1375"/>
        <v>0</v>
      </c>
      <c r="DL1059">
        <f t="shared" si="1376"/>
        <v>0</v>
      </c>
      <c r="DM1059" t="str">
        <f t="shared" si="1377"/>
        <v>Pulp/Paper</v>
      </c>
      <c r="DN1059">
        <f t="shared" si="1378"/>
        <v>0</v>
      </c>
      <c r="DO1059">
        <v>0</v>
      </c>
      <c r="DP1059">
        <v>0</v>
      </c>
      <c r="DQ1059">
        <v>0</v>
      </c>
      <c r="DR1059">
        <v>0</v>
      </c>
      <c r="DS1059">
        <v>0</v>
      </c>
      <c r="DT1059">
        <f t="shared" si="1379"/>
        <v>0</v>
      </c>
      <c r="DU1059" s="143" t="s">
        <v>961</v>
      </c>
      <c r="DV1059">
        <v>0</v>
      </c>
      <c r="DW1059">
        <v>1</v>
      </c>
      <c r="DX1059">
        <v>1</v>
      </c>
      <c r="DY1059">
        <v>0</v>
      </c>
      <c r="DZ1059">
        <v>0</v>
      </c>
      <c r="EA1059" s="143">
        <v>0</v>
      </c>
      <c r="EB1059">
        <v>0</v>
      </c>
      <c r="EC1059">
        <v>1</v>
      </c>
      <c r="ED1059">
        <v>0</v>
      </c>
      <c r="EE1059">
        <v>0</v>
      </c>
      <c r="EF1059">
        <v>1</v>
      </c>
      <c r="EG1059">
        <v>0</v>
      </c>
      <c r="EH1059">
        <v>0</v>
      </c>
      <c r="EI1059" s="2">
        <v>0</v>
      </c>
      <c r="EK1059" t="str">
        <f t="shared" si="1388"/>
        <v/>
      </c>
      <c r="EL1059" t="str">
        <f t="shared" si="1389"/>
        <v/>
      </c>
      <c r="EM1059" s="2" t="str">
        <f t="shared" si="1317"/>
        <v/>
      </c>
      <c r="EP1059" t="b">
        <f>IF(ISNUMBER(BU1059),IF(ABS(BU1059-[1]QC_indicators!$B$2)&gt;3*[1]QC_indicators!$C$2,"C ratio",IF(ISNUMBER(BY1059),IF(ABS(BY1059-[1]QC_indicators!$B$1)&gt;3*[1]QC_indicators!$C$1,"DF","no"))),IF(ISNUMBER(BY1059),IF(ABS(BY1059-[1]QC_indicators!$B$1)&gt;3*[1]QC_indicators!$C$1,"DF","no")))</f>
        <v>0</v>
      </c>
    </row>
    <row r="1060" spans="1:151" ht="15" hidden="1" customHeight="1">
      <c r="A1060" s="1" t="s">
        <v>4443</v>
      </c>
      <c r="B1060" t="s">
        <v>4444</v>
      </c>
      <c r="C1060" t="s">
        <v>4445</v>
      </c>
      <c r="D1060" t="s">
        <v>3868</v>
      </c>
      <c r="E1060" t="s">
        <v>4446</v>
      </c>
      <c r="F1060" t="s">
        <v>4447</v>
      </c>
      <c r="G1060" t="s">
        <v>4448</v>
      </c>
      <c r="H1060" t="s">
        <v>254</v>
      </c>
      <c r="I1060">
        <v>2012</v>
      </c>
      <c r="J1060">
        <v>29</v>
      </c>
      <c r="K1060" t="s">
        <v>4449</v>
      </c>
      <c r="M1060" t="str">
        <f t="shared" si="1352"/>
        <v>Newell_2012</v>
      </c>
      <c r="N1060" s="311" t="s">
        <v>5202</v>
      </c>
      <c r="O1060" s="157" t="s">
        <v>274</v>
      </c>
      <c r="P1060" t="s">
        <v>959</v>
      </c>
      <c r="Q1060" s="311" t="s">
        <v>389</v>
      </c>
      <c r="R1060" s="312"/>
      <c r="AX1060" s="141"/>
      <c r="AY1060" s="141"/>
      <c r="BE1060"/>
      <c r="BF1060" s="2"/>
      <c r="BU1060" s="144"/>
      <c r="BY1060" t="str">
        <f t="shared" si="1316"/>
        <v/>
      </c>
      <c r="CN1060"/>
      <c r="CO1060"/>
      <c r="CP1060"/>
      <c r="CQ1060"/>
      <c r="CR1060"/>
      <c r="CS1060"/>
      <c r="CT1060"/>
      <c r="CU1060"/>
      <c r="CV1060" s="2"/>
      <c r="CX1060"/>
      <c r="DC1060"/>
      <c r="DI1060"/>
      <c r="DJ1060"/>
      <c r="DK1060"/>
      <c r="DL1060"/>
      <c r="DM1060"/>
      <c r="DN1060"/>
      <c r="DT1060"/>
      <c r="DU1060" s="143"/>
      <c r="EK1060" t="str">
        <f t="shared" si="1388"/>
        <v/>
      </c>
      <c r="EL1060" t="str">
        <f t="shared" si="1389"/>
        <v/>
      </c>
      <c r="EM1060" s="2" t="str">
        <f t="shared" si="1317"/>
        <v/>
      </c>
      <c r="EP1060" t="b">
        <f>IF(ISNUMBER(BU1060),IF(ABS(BU1060-[1]QC_indicators!$B$2)&gt;3*[1]QC_indicators!$C$2,"C ratio",IF(ISNUMBER(BY1060),IF(ABS(BY1060-[1]QC_indicators!$B$1)&gt;3*[1]QC_indicators!$C$1,"DF","no"))),IF(ISNUMBER(BY1060),IF(ABS(BY1060-[1]QC_indicators!$B$1)&gt;3*[1]QC_indicators!$C$1,"DF","no")))</f>
        <v>0</v>
      </c>
    </row>
    <row r="1061" spans="1:151" ht="15" hidden="1" customHeight="1">
      <c r="D1061" t="s">
        <v>5154</v>
      </c>
      <c r="E1061" t="s">
        <v>5155</v>
      </c>
      <c r="G1061" t="s">
        <v>1007</v>
      </c>
      <c r="I1061">
        <v>2001</v>
      </c>
      <c r="K1061" s="295" t="s">
        <v>5156</v>
      </c>
      <c r="M1061" t="str">
        <f t="shared" si="1352"/>
        <v>Niles_2001</v>
      </c>
      <c r="N1061" t="s">
        <v>2585</v>
      </c>
      <c r="O1061" s="157" t="s">
        <v>274</v>
      </c>
      <c r="P1061" t="s">
        <v>513</v>
      </c>
      <c r="Q1061" s="311" t="s">
        <v>389</v>
      </c>
      <c r="R1061" s="312"/>
      <c r="AX1061" s="141">
        <f t="shared" ref="AX1061:AX1090" si="1390">COUNTIF(V1061:AW1061,"&lt;&gt;0")</f>
        <v>28</v>
      </c>
      <c r="AY1061" s="141">
        <f t="shared" ref="AY1061:AY1090" si="1391">COUNTIF(V1061:AL1061,"&lt;&gt;0")</f>
        <v>17</v>
      </c>
      <c r="BE1061"/>
      <c r="BF1061" s="2"/>
      <c r="BM1061" t="str">
        <f t="shared" ref="BM1061:BM1066" si="1392">IFERROR(BL1061/BK1061,"")</f>
        <v/>
      </c>
      <c r="BU1061" s="144"/>
      <c r="BY1061" t="str">
        <f t="shared" si="1316"/>
        <v/>
      </c>
      <c r="CN1061"/>
      <c r="CO1061"/>
      <c r="CP1061"/>
      <c r="CQ1061"/>
      <c r="CR1061"/>
      <c r="CS1061"/>
      <c r="CT1061"/>
      <c r="CU1061"/>
      <c r="CV1061" s="2" t="str">
        <f t="shared" ref="CV1061:CV1090" si="1393">IFERROR((CS1061-CR1061)/ABS(CR1061),"")</f>
        <v/>
      </c>
      <c r="CX1061"/>
      <c r="DC1061"/>
      <c r="DI1061">
        <f>SUM(DD1061:DG1061)</f>
        <v>0</v>
      </c>
      <c r="DJ1061" t="str">
        <f t="shared" ref="DJ1061:DJ1090" si="1394">IF(DI1061=1,INDEX($DD$7:$DG$7,MATCH(1,$DD1061:$DG1061,0)),"mixedProduct")</f>
        <v>mixedProduct</v>
      </c>
      <c r="DK1061">
        <f t="shared" ref="DK1061:DK1090" si="1395">IF(DD1061=1,DK$7,0)</f>
        <v>0</v>
      </c>
      <c r="DL1061">
        <f t="shared" ref="DL1061:DL1090" si="1396">IF(DE1061=1,DL$7,0)</f>
        <v>0</v>
      </c>
      <c r="DM1061">
        <f t="shared" ref="DM1061:DM1090" si="1397">IF(DF1061=1,DM$7,0)</f>
        <v>0</v>
      </c>
      <c r="DN1061">
        <f t="shared" ref="DN1061:DN1090" si="1398">IF(DG1061=1,DN$7,0)</f>
        <v>0</v>
      </c>
      <c r="DT1061"/>
      <c r="DU1061" s="143" t="str">
        <f t="shared" ref="DU1061:DU1090" si="1399">IF(DO1061=1,"self-calculated DF",IF(DP1061=1,"external DF used","explicit C balance"))</f>
        <v>explicit C balance</v>
      </c>
      <c r="EK1061" t="str">
        <f t="shared" si="1388"/>
        <v/>
      </c>
      <c r="EL1061" t="str">
        <f t="shared" si="1389"/>
        <v/>
      </c>
      <c r="EM1061" s="2" t="str">
        <f t="shared" si="1317"/>
        <v/>
      </c>
      <c r="EP1061" t="b">
        <f>IF(ISNUMBER(BU1061),IF(ABS(BU1061-[1]QC_indicators!$B$2)&gt;3*[1]QC_indicators!$C$2,"C ratio",IF(ISNUMBER(BY1061),IF(ABS(BY1061-[1]QC_indicators!$B$1)&gt;3*[1]QC_indicators!$C$1,"DF","no"))),IF(ISNUMBER(BY1061),IF(ABS(BY1061-[1]QC_indicators!$B$1)&gt;3*[1]QC_indicators!$C$1,"DF","no")))</f>
        <v>0</v>
      </c>
      <c r="EU1061" s="185"/>
    </row>
    <row r="1062" spans="1:151" ht="15" hidden="1" customHeight="1">
      <c r="A1062" s="1" t="s">
        <v>505</v>
      </c>
      <c r="B1062" t="s">
        <v>2026</v>
      </c>
      <c r="C1062" t="s">
        <v>2027</v>
      </c>
      <c r="D1062" t="s">
        <v>2028</v>
      </c>
      <c r="E1062" s="264" t="s">
        <v>2029</v>
      </c>
      <c r="F1062" t="s">
        <v>2030</v>
      </c>
      <c r="G1062" t="s">
        <v>511</v>
      </c>
      <c r="H1062" t="s">
        <v>254</v>
      </c>
      <c r="I1062">
        <v>2017</v>
      </c>
      <c r="J1062">
        <v>17</v>
      </c>
      <c r="K1062" t="s">
        <v>2031</v>
      </c>
      <c r="M1062" t="str">
        <f t="shared" si="1352"/>
        <v>Numazawa_2017</v>
      </c>
      <c r="N1062" t="s">
        <v>222</v>
      </c>
      <c r="O1062" s="157" t="s">
        <v>274</v>
      </c>
      <c r="P1062" t="s">
        <v>513</v>
      </c>
      <c r="Q1062" s="264" t="s">
        <v>389</v>
      </c>
      <c r="R1062" s="269" t="s">
        <v>1153</v>
      </c>
      <c r="S1062" s="1" t="s">
        <v>1740</v>
      </c>
      <c r="T1062" t="s">
        <v>2032</v>
      </c>
      <c r="U1062" t="s">
        <v>2033</v>
      </c>
      <c r="V1062">
        <v>0</v>
      </c>
      <c r="W1062">
        <v>0</v>
      </c>
      <c r="X1062">
        <v>0</v>
      </c>
      <c r="Y1062">
        <v>1</v>
      </c>
      <c r="Z1062">
        <v>0</v>
      </c>
      <c r="AA1062">
        <v>0</v>
      </c>
      <c r="AB1062">
        <v>0</v>
      </c>
      <c r="AC1062">
        <v>0</v>
      </c>
      <c r="AD1062">
        <v>0</v>
      </c>
      <c r="AE1062">
        <v>0</v>
      </c>
      <c r="AF1062">
        <v>0</v>
      </c>
      <c r="AG1062">
        <v>0</v>
      </c>
      <c r="AH1062">
        <v>0</v>
      </c>
      <c r="AI1062">
        <v>0</v>
      </c>
      <c r="AJ1062">
        <v>0</v>
      </c>
      <c r="AK1062">
        <v>0</v>
      </c>
      <c r="AL1062">
        <v>0</v>
      </c>
      <c r="AM1062">
        <v>0</v>
      </c>
      <c r="AN1062">
        <v>0</v>
      </c>
      <c r="AO1062">
        <v>0</v>
      </c>
      <c r="AP1062">
        <v>0</v>
      </c>
      <c r="AQ1062">
        <v>0</v>
      </c>
      <c r="AR1062">
        <v>0</v>
      </c>
      <c r="AS1062">
        <v>0</v>
      </c>
      <c r="AT1062">
        <v>0</v>
      </c>
      <c r="AU1062">
        <v>0</v>
      </c>
      <c r="AV1062">
        <v>0</v>
      </c>
      <c r="AW1062">
        <v>0</v>
      </c>
      <c r="AX1062" s="141">
        <f t="shared" si="1390"/>
        <v>1</v>
      </c>
      <c r="AY1062" s="141">
        <f t="shared" si="1391"/>
        <v>1</v>
      </c>
      <c r="AZ1062">
        <f t="shared" ref="AZ1062:AZ1090" si="1400">COUNTIF(V1062:AC1062,"&lt;&gt;0")</f>
        <v>1</v>
      </c>
      <c r="BA1062">
        <f t="shared" ref="BA1062:BA1090" si="1401">COUNTIF(AD1062:AI1062,"&lt;&gt;0")</f>
        <v>0</v>
      </c>
      <c r="BB1062">
        <f t="shared" ref="BB1062:BB1090" si="1402">COUNTIF(AJ1062:AL1062,"&lt;&gt;0")</f>
        <v>0</v>
      </c>
      <c r="BC1062">
        <f t="shared" ref="BC1062:BC1090" si="1403">COUNTIF(AS1062:AW1062,"&lt;&gt;0")</f>
        <v>0</v>
      </c>
      <c r="BD1062">
        <f t="shared" ref="BD1062:BD1090" si="1404">COUNTIF(AM1062:AR1062,"&lt;&gt;0")</f>
        <v>0</v>
      </c>
      <c r="BE1062" t="str" cm="1">
        <f t="array" ref="BE1062">IF(AY1062=1,INDEX($V$7:$AL$7,MATCH(TRUE,INDEX($V1062:$AW1062&lt;&gt;0,),0)),IF(AY1062=0,INDEX($AM$7:$AW$7,MATCH(1,$AM1062:$AW1062,0)),IF(BF1062="Multiple strategies","mixed drivers",IF(BF1062="Supply chain","multiple supply","multiple silviculture"))))</f>
        <v xml:space="preserve">cutting intensity </v>
      </c>
      <c r="BF1062" s="2" t="str" cm="1">
        <f t="array" ref="BF1062">IF(COUNTIF(AZ1062:BB1062,"&lt;&gt;0")=1,INDEX($V$4:$AW$4,MATCH(TRUE,INDEX($V1062:$AW1062&lt;&gt;0,),0)),IF(COUNTIF(AZ1062:BB1062,"&lt;&gt;0")=0,INDEX($AM$4:$AW$4,MATCH(1,$AM1062:$AW1062,0)),"Multiple strategies"))</f>
        <v>Silviculture for removals</v>
      </c>
      <c r="BG1062" s="1" t="s">
        <v>321</v>
      </c>
      <c r="BJ1062" t="s">
        <v>784</v>
      </c>
      <c r="BK1062">
        <v>10.199999999999999</v>
      </c>
      <c r="BL1062">
        <v>19.5</v>
      </c>
      <c r="BM1062">
        <f t="shared" si="1392"/>
        <v>1.911764705882353</v>
      </c>
      <c r="BN1062">
        <f t="shared" ref="BN1062:BN1090" si="1405">BL1062-BK1062</f>
        <v>9.3000000000000007</v>
      </c>
      <c r="BO1062">
        <f>BN1062*t_to_m3</f>
        <v>18.979591836734695</v>
      </c>
      <c r="BP1062" s="264" t="s">
        <v>232</v>
      </c>
      <c r="BR1062" t="s">
        <v>2034</v>
      </c>
      <c r="BS1062">
        <v>80</v>
      </c>
      <c r="BT1062">
        <v>5</v>
      </c>
      <c r="BU1062" s="144">
        <f>BT1062/BS1062</f>
        <v>6.25E-2</v>
      </c>
      <c r="BV1062">
        <f>BT1062-BS1062</f>
        <v>-75</v>
      </c>
      <c r="BX1062">
        <f>BV1062</f>
        <v>-75</v>
      </c>
      <c r="BY1062">
        <f t="shared" si="1316"/>
        <v>-3.9516129032258061</v>
      </c>
      <c r="BZ1062">
        <v>0</v>
      </c>
      <c r="CA1062">
        <v>0</v>
      </c>
      <c r="CB1062">
        <v>0</v>
      </c>
      <c r="CC1062">
        <v>0</v>
      </c>
      <c r="CD1062">
        <v>0</v>
      </c>
      <c r="CE1062">
        <v>0</v>
      </c>
      <c r="CF1062">
        <v>0</v>
      </c>
      <c r="CG1062">
        <v>0</v>
      </c>
      <c r="CH1062">
        <v>0</v>
      </c>
      <c r="CI1062">
        <v>0</v>
      </c>
      <c r="CJ1062">
        <v>0</v>
      </c>
      <c r="CK1062">
        <v>0</v>
      </c>
      <c r="CL1062">
        <v>0</v>
      </c>
      <c r="CM1062">
        <v>0</v>
      </c>
      <c r="CN1062" t="str">
        <f t="shared" ref="CN1062:CN1082" si="1406">IF($BL1062&lt;$BK1062,"refNeedCorrection","refOK")</f>
        <v>refOK</v>
      </c>
      <c r="CO1062">
        <f t="shared" ref="CO1062:CO1082" si="1407">IF($CN1062="refOK",$BK1062,$BL1062)</f>
        <v>10.199999999999999</v>
      </c>
      <c r="CP1062">
        <f t="shared" ref="CP1062:CP1082" si="1408">IF($CN1062="refOK",$BL1062,$BK1062)</f>
        <v>19.5</v>
      </c>
      <c r="CQ1062">
        <f t="shared" ref="CQ1062:CQ1090" si="1409">IF($CN1062="refOK",$BO1062,-$BO1062)</f>
        <v>18.979591836734695</v>
      </c>
      <c r="CR1062">
        <f t="shared" ref="CR1062:CR1090" si="1410">IF($CN1062="refOK",$BS1062,$BT1062)*IF($BP1062="Emissions positive",-1,1)</f>
        <v>80</v>
      </c>
      <c r="CS1062">
        <f t="shared" ref="CS1062:CS1090" si="1411">IF($CN1062="refOK",$BT1062,$BS1062)*IF($BP1062="Emissions positive",-1,1)</f>
        <v>5</v>
      </c>
      <c r="CT1062">
        <f t="shared" ref="CT1062:CT1090" si="1412">IF($CN1062="refNeedCorrection",-BX1062,BX1062)*IF($BP1062="Emissions positive",-1,1)</f>
        <v>-75</v>
      </c>
      <c r="CU1062">
        <f t="shared" ref="CU1062:CU1090" si="1413">IFERROR(CT1062/CQ1062,"")</f>
        <v>-3.9516129032258061</v>
      </c>
      <c r="CV1062" s="2">
        <f t="shared" si="1393"/>
        <v>-0.9375</v>
      </c>
      <c r="CW1062" s="1" t="s">
        <v>2035</v>
      </c>
      <c r="CX1062" s="264" t="str">
        <f t="shared" ref="CX1062:CX1090" si="1414">IF(OR($CW1062="prd",$CW1062="std",$CW1062="cit"),"loc",IF(OR($CW1062="eur",$CW1062="reg",$CW1062="coy"),"reg",$CW1062))</f>
        <v>reg</v>
      </c>
      <c r="CY1062" t="s">
        <v>520</v>
      </c>
      <c r="DB1062">
        <v>120</v>
      </c>
      <c r="DC1062" t="str">
        <f t="shared" ref="DC1062:DC1090" si="1415">IF(DB1062=0,"0",IF(AND(DB1062&gt;=1,DB1062&lt;=30),"1-30",IF(AND(DB1062&gt;30,DB1062&lt;=70),"31-70",IF(AND(DB1062&gt;70,DB1062&lt;=100),"71-100",IF(DB1062&gt;100,"+100")))))</f>
        <v>+100</v>
      </c>
      <c r="DD1062">
        <v>1</v>
      </c>
      <c r="DE1062">
        <v>0</v>
      </c>
      <c r="DF1062">
        <v>0</v>
      </c>
      <c r="DG1062">
        <v>0</v>
      </c>
      <c r="DH1062">
        <v>0</v>
      </c>
      <c r="DI1062">
        <f>SUM(DD1062:DH1062)</f>
        <v>1</v>
      </c>
      <c r="DJ1062" t="str">
        <f t="shared" si="1394"/>
        <v>UpstreamInput</v>
      </c>
      <c r="DK1062" t="str">
        <f t="shared" si="1395"/>
        <v>Upstream</v>
      </c>
      <c r="DL1062">
        <f t="shared" si="1396"/>
        <v>0</v>
      </c>
      <c r="DM1062">
        <f t="shared" si="1397"/>
        <v>0</v>
      </c>
      <c r="DN1062">
        <f t="shared" si="1398"/>
        <v>0</v>
      </c>
      <c r="DO1062">
        <v>0</v>
      </c>
      <c r="DP1062">
        <v>0</v>
      </c>
      <c r="DQ1062">
        <v>0</v>
      </c>
      <c r="DR1062">
        <v>0</v>
      </c>
      <c r="DS1062">
        <v>0</v>
      </c>
      <c r="DT1062"/>
      <c r="DU1062" s="143" t="str">
        <f t="shared" si="1399"/>
        <v>explicit C balance</v>
      </c>
      <c r="DV1062">
        <v>0</v>
      </c>
      <c r="DW1062">
        <v>1</v>
      </c>
      <c r="DX1062">
        <v>1</v>
      </c>
      <c r="DY1062">
        <v>1</v>
      </c>
      <c r="DZ1062">
        <v>0</v>
      </c>
      <c r="EA1062" s="143">
        <v>0</v>
      </c>
      <c r="EB1062">
        <v>1</v>
      </c>
      <c r="EC1062">
        <v>0</v>
      </c>
      <c r="ED1062">
        <v>0</v>
      </c>
      <c r="EE1062">
        <v>0</v>
      </c>
      <c r="EF1062">
        <v>1</v>
      </c>
      <c r="EG1062">
        <v>0</v>
      </c>
      <c r="EH1062">
        <v>0</v>
      </c>
      <c r="EI1062" s="2">
        <v>0</v>
      </c>
      <c r="EK1062" t="str">
        <f t="shared" ref="EK1062:EK1090" si="1416">IF(AND(AND(AND(OR($DX1062=1,$DW1062=1),OR($EC1062=1,$EA1062=1)),SUM($DV1062:$DZ1062,$EF1062)&gt;=4),SUM($EA1062:$EE1062)&gt;=2),"Whole sector","")</f>
        <v/>
      </c>
      <c r="EL1062" t="str">
        <f t="shared" ref="EL1062:EL1090" si="1417">IF(AND(AND(OR($DX1062=1,$DW1062=1),AND($EC1062=0,$EA1062=0)),SUM($DV1062:$DZ1062,$EF1062)&gt;=4),"Ecosystem approach","")</f>
        <v>Ecosystem approach</v>
      </c>
      <c r="EM1062" s="2" t="str">
        <f t="shared" si="1317"/>
        <v/>
      </c>
      <c r="EP1062" t="str">
        <f>IF(ISNUMBER(BU1062),IF(ABS(BU1062-[4]QC_indicators!$B$2)&gt;3*[4]QC_indicators!$C$2,"C ratio",IF(ISNUMBER(BY1062),IF(ABS(BY1062-[4]QC_indicators!$B$1)&gt;3*[4]QC_indicators!$C$1,"DF","no"))),IF(ISNUMBER(BY1062),IF(ABS(BY1062-[4]QC_indicators!$B$1)&gt;3*[4]QC_indicators!$C$1,"DF","no")))</f>
        <v>no</v>
      </c>
      <c r="ET1062" s="264" t="s">
        <v>3406</v>
      </c>
    </row>
    <row r="1063" spans="1:151" ht="15" hidden="1" customHeight="1">
      <c r="A1063" s="1" t="s">
        <v>848</v>
      </c>
      <c r="B1063" t="s">
        <v>2036</v>
      </c>
      <c r="C1063" t="s">
        <v>2037</v>
      </c>
      <c r="D1063" t="s">
        <v>2038</v>
      </c>
      <c r="E1063" t="s">
        <v>2039</v>
      </c>
      <c r="F1063" t="s">
        <v>2040</v>
      </c>
      <c r="G1063" t="s">
        <v>854</v>
      </c>
      <c r="H1063" t="s">
        <v>254</v>
      </c>
      <c r="I1063">
        <v>2020</v>
      </c>
      <c r="J1063">
        <v>1</v>
      </c>
      <c r="K1063" t="s">
        <v>2041</v>
      </c>
      <c r="M1063" t="str">
        <f t="shared" si="1352"/>
        <v>Numazawa_2020</v>
      </c>
      <c r="N1063" t="s">
        <v>222</v>
      </c>
      <c r="O1063" s="157" t="s">
        <v>274</v>
      </c>
      <c r="P1063" t="s">
        <v>513</v>
      </c>
      <c r="Q1063" t="s">
        <v>389</v>
      </c>
      <c r="R1063" s="255" t="s">
        <v>223</v>
      </c>
      <c r="S1063" s="1" t="s">
        <v>2042</v>
      </c>
      <c r="T1063" t="s">
        <v>2043</v>
      </c>
      <c r="U1063" t="s">
        <v>2044</v>
      </c>
      <c r="V1063">
        <v>0</v>
      </c>
      <c r="W1063">
        <v>0</v>
      </c>
      <c r="X1063">
        <v>0</v>
      </c>
      <c r="Y1063">
        <v>1</v>
      </c>
      <c r="Z1063">
        <v>0</v>
      </c>
      <c r="AA1063">
        <v>0</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s="141">
        <f t="shared" si="1390"/>
        <v>1</v>
      </c>
      <c r="AY1063" s="141">
        <f t="shared" si="1391"/>
        <v>1</v>
      </c>
      <c r="AZ1063">
        <f t="shared" si="1400"/>
        <v>1</v>
      </c>
      <c r="BA1063">
        <f t="shared" si="1401"/>
        <v>0</v>
      </c>
      <c r="BB1063">
        <f t="shared" si="1402"/>
        <v>0</v>
      </c>
      <c r="BC1063">
        <f t="shared" si="1403"/>
        <v>0</v>
      </c>
      <c r="BD1063">
        <f t="shared" si="1404"/>
        <v>0</v>
      </c>
      <c r="BE1063" t="str">
        <f t="array" ref="BE1063">IF(AY1063=1,INDEX($V$7:$AL$7,MATCH(TRUE,INDEX($V1063:$AW1063&lt;&gt;0,),0)),IF(AY1063=0,INDEX($AM$7:$AW$7,MATCH(1,$AM1063:$AW1063,0)),IF(BF1063="Multiple strategies","mixed drivers",IF(BF1063="Supply chain","multiple supply","multiple silviculture"))))</f>
        <v xml:space="preserve">cutting intensity </v>
      </c>
      <c r="BF1063" s="2" t="str" cm="1">
        <f t="array" ref="BF1063">IF(COUNTIF(AZ1063:BB1063,"&lt;&gt;0")=1,INDEX($V$4:$AW$4,MATCH(TRUE,INDEX($V1063:$AW1063&lt;&gt;0,),0)),IF(COUNTIF(AZ1063:BB1063,"&lt;&gt;0")=0,INDEX($AM$4:$AW$4,MATCH(1,$AM1063:$AW1063,0)),"Multiple strategies"))</f>
        <v>Silviculture for removals</v>
      </c>
      <c r="BG1063" s="1" t="s">
        <v>321</v>
      </c>
      <c r="BH1063" s="265" t="s">
        <v>3095</v>
      </c>
      <c r="BI1063" s="264" t="s">
        <v>396</v>
      </c>
      <c r="BJ1063" t="s">
        <v>2045</v>
      </c>
      <c r="BK1063">
        <v>0</v>
      </c>
      <c r="BL1063">
        <v>27</v>
      </c>
      <c r="BM1063" t="str">
        <f t="shared" si="1392"/>
        <v/>
      </c>
      <c r="BN1063">
        <f t="shared" si="1405"/>
        <v>27</v>
      </c>
      <c r="BO1063">
        <f>BN1063*t_to_m3</f>
        <v>55.102040816326529</v>
      </c>
      <c r="BP1063" t="s">
        <v>232</v>
      </c>
      <c r="BQ1063" t="s">
        <v>396</v>
      </c>
      <c r="BR1063" t="s">
        <v>2046</v>
      </c>
      <c r="BS1063">
        <v>125</v>
      </c>
      <c r="BT1063">
        <v>111</v>
      </c>
      <c r="BU1063" s="144">
        <f>BT1063/BS1063</f>
        <v>0.88800000000000001</v>
      </c>
      <c r="BV1063">
        <f>BT1063-BS1063</f>
        <v>-14</v>
      </c>
      <c r="BX1063">
        <f>BV1063*C_to_CO2</f>
        <v>-51.379999999999995</v>
      </c>
      <c r="BY1063">
        <f t="shared" si="1316"/>
        <v>-0.93245185185185175</v>
      </c>
      <c r="BZ1063">
        <v>0</v>
      </c>
      <c r="CA1063">
        <v>0</v>
      </c>
      <c r="CB1063">
        <v>0</v>
      </c>
      <c r="CC1063">
        <v>0</v>
      </c>
      <c r="CD1063">
        <v>0</v>
      </c>
      <c r="CE1063">
        <v>0</v>
      </c>
      <c r="CF1063">
        <v>0</v>
      </c>
      <c r="CG1063">
        <v>0</v>
      </c>
      <c r="CH1063">
        <v>0</v>
      </c>
      <c r="CI1063">
        <v>0</v>
      </c>
      <c r="CJ1063">
        <v>0</v>
      </c>
      <c r="CK1063">
        <v>0</v>
      </c>
      <c r="CL1063">
        <v>0</v>
      </c>
      <c r="CM1063">
        <v>1</v>
      </c>
      <c r="CN1063" t="str">
        <f t="shared" si="1406"/>
        <v>refOK</v>
      </c>
      <c r="CO1063">
        <f t="shared" si="1407"/>
        <v>0</v>
      </c>
      <c r="CP1063">
        <f t="shared" si="1408"/>
        <v>27</v>
      </c>
      <c r="CQ1063">
        <f t="shared" si="1409"/>
        <v>55.102040816326529</v>
      </c>
      <c r="CR1063">
        <f t="shared" si="1410"/>
        <v>125</v>
      </c>
      <c r="CS1063">
        <f t="shared" si="1411"/>
        <v>111</v>
      </c>
      <c r="CT1063">
        <f t="shared" si="1412"/>
        <v>-51.379999999999995</v>
      </c>
      <c r="CU1063">
        <f t="shared" si="1413"/>
        <v>-0.93245185185185175</v>
      </c>
      <c r="CV1063" s="2">
        <f t="shared" si="1393"/>
        <v>-0.112</v>
      </c>
      <c r="CW1063" s="1" t="s">
        <v>2035</v>
      </c>
      <c r="CX1063" t="str">
        <f t="shared" si="1414"/>
        <v>reg</v>
      </c>
      <c r="CY1063" t="s">
        <v>520</v>
      </c>
      <c r="DB1063">
        <v>120</v>
      </c>
      <c r="DC1063" t="str">
        <f t="shared" si="1415"/>
        <v>+100</v>
      </c>
      <c r="DD1063">
        <v>1</v>
      </c>
      <c r="DE1063">
        <v>0</v>
      </c>
      <c r="DF1063">
        <v>0</v>
      </c>
      <c r="DG1063">
        <v>0</v>
      </c>
      <c r="DH1063">
        <v>0</v>
      </c>
      <c r="DI1063">
        <f>SUM(DD1063:DG1063)</f>
        <v>1</v>
      </c>
      <c r="DJ1063" t="str">
        <f t="shared" si="1394"/>
        <v>UpstreamInput</v>
      </c>
      <c r="DK1063" t="str">
        <f t="shared" si="1395"/>
        <v>Upstream</v>
      </c>
      <c r="DL1063">
        <f t="shared" si="1396"/>
        <v>0</v>
      </c>
      <c r="DM1063">
        <f t="shared" si="1397"/>
        <v>0</v>
      </c>
      <c r="DN1063">
        <f t="shared" si="1398"/>
        <v>0</v>
      </c>
      <c r="DT1063"/>
      <c r="DU1063" s="143" t="str">
        <f t="shared" si="1399"/>
        <v>explicit C balance</v>
      </c>
      <c r="DV1063">
        <v>1</v>
      </c>
      <c r="DW1063">
        <v>1</v>
      </c>
      <c r="DX1063">
        <v>1</v>
      </c>
      <c r="DY1063">
        <v>0</v>
      </c>
      <c r="DZ1063">
        <v>0</v>
      </c>
      <c r="EA1063" s="143">
        <v>0</v>
      </c>
      <c r="EB1063">
        <v>0</v>
      </c>
      <c r="EC1063">
        <v>0</v>
      </c>
      <c r="ED1063">
        <v>0</v>
      </c>
      <c r="EE1063">
        <v>0</v>
      </c>
      <c r="EF1063">
        <v>1</v>
      </c>
      <c r="EG1063">
        <v>0</v>
      </c>
      <c r="EH1063">
        <v>0</v>
      </c>
      <c r="EI1063" s="2">
        <v>0</v>
      </c>
      <c r="EK1063" t="str">
        <f t="shared" si="1416"/>
        <v/>
      </c>
      <c r="EL1063" t="str">
        <f t="shared" si="1417"/>
        <v>Ecosystem approach</v>
      </c>
      <c r="EM1063" s="2" t="str">
        <f t="shared" si="1317"/>
        <v/>
      </c>
      <c r="EP1063" t="str">
        <f>IF(ISNUMBER(BU1063),IF(ABS(BU1063-[3]QC_indicators!$B$2)&gt;3*[3]QC_indicators!$C$2,"C ratio",IF(ISNUMBER(BY1063),IF(ABS(BY1063-[3]QC_indicators!$B$1)&gt;3*[3]QC_indicators!$C$1,"DF","no"))),IF(ISNUMBER(BY1063),IF(ABS(BY1063-[3]QC_indicators!$B$1)&gt;3*[3]QC_indicators!$C$1,"DF","no")))</f>
        <v>no</v>
      </c>
      <c r="ET1063" s="264" t="s">
        <v>3096</v>
      </c>
    </row>
    <row r="1064" spans="1:151" ht="15" hidden="1" customHeight="1">
      <c r="A1064" s="1" t="s">
        <v>848</v>
      </c>
      <c r="B1064" t="s">
        <v>2036</v>
      </c>
      <c r="C1064" t="s">
        <v>2037</v>
      </c>
      <c r="D1064" t="s">
        <v>2038</v>
      </c>
      <c r="E1064" t="s">
        <v>2039</v>
      </c>
      <c r="F1064" t="s">
        <v>2040</v>
      </c>
      <c r="G1064" t="s">
        <v>854</v>
      </c>
      <c r="H1064" t="s">
        <v>254</v>
      </c>
      <c r="I1064">
        <v>2020</v>
      </c>
      <c r="J1064">
        <v>1</v>
      </c>
      <c r="K1064" t="s">
        <v>2041</v>
      </c>
      <c r="M1064" t="str">
        <f t="shared" si="1352"/>
        <v>Numazawa_2020</v>
      </c>
      <c r="N1064" t="s">
        <v>222</v>
      </c>
      <c r="O1064" s="157" t="s">
        <v>274</v>
      </c>
      <c r="P1064" t="s">
        <v>513</v>
      </c>
      <c r="Q1064" t="s">
        <v>389</v>
      </c>
      <c r="R1064" s="255" t="s">
        <v>223</v>
      </c>
      <c r="S1064" s="1" t="s">
        <v>1740</v>
      </c>
      <c r="T1064" t="s">
        <v>2043</v>
      </c>
      <c r="U1064" s="264" t="s">
        <v>2047</v>
      </c>
      <c r="V1064">
        <v>0</v>
      </c>
      <c r="W1064">
        <v>0</v>
      </c>
      <c r="X1064">
        <v>0</v>
      </c>
      <c r="Y1064">
        <v>1</v>
      </c>
      <c r="Z1064">
        <v>0</v>
      </c>
      <c r="AA1064">
        <v>0</v>
      </c>
      <c r="AB1064">
        <v>0</v>
      </c>
      <c r="AC1064">
        <v>0</v>
      </c>
      <c r="AD1064">
        <v>0</v>
      </c>
      <c r="AE1064">
        <v>0</v>
      </c>
      <c r="AF1064">
        <v>0</v>
      </c>
      <c r="AG1064">
        <v>0</v>
      </c>
      <c r="AH1064">
        <v>0</v>
      </c>
      <c r="AI1064">
        <v>0</v>
      </c>
      <c r="AJ1064">
        <v>0</v>
      </c>
      <c r="AK1064">
        <v>0</v>
      </c>
      <c r="AL1064">
        <v>0</v>
      </c>
      <c r="AM1064">
        <v>0</v>
      </c>
      <c r="AN1064">
        <v>0</v>
      </c>
      <c r="AO1064">
        <v>0</v>
      </c>
      <c r="AP1064">
        <v>0</v>
      </c>
      <c r="AQ1064">
        <v>0</v>
      </c>
      <c r="AR1064">
        <v>0</v>
      </c>
      <c r="AS1064">
        <v>0</v>
      </c>
      <c r="AT1064">
        <v>0</v>
      </c>
      <c r="AU1064">
        <v>0</v>
      </c>
      <c r="AV1064">
        <v>0</v>
      </c>
      <c r="AW1064">
        <v>0</v>
      </c>
      <c r="AX1064" s="141">
        <f t="shared" si="1390"/>
        <v>1</v>
      </c>
      <c r="AY1064" s="141">
        <f t="shared" si="1391"/>
        <v>1</v>
      </c>
      <c r="AZ1064">
        <f t="shared" si="1400"/>
        <v>1</v>
      </c>
      <c r="BA1064">
        <f t="shared" si="1401"/>
        <v>0</v>
      </c>
      <c r="BB1064">
        <f t="shared" si="1402"/>
        <v>0</v>
      </c>
      <c r="BC1064">
        <f t="shared" si="1403"/>
        <v>0</v>
      </c>
      <c r="BD1064">
        <f t="shared" si="1404"/>
        <v>0</v>
      </c>
      <c r="BE1064" t="str">
        <f t="array" ref="BE1064">IF(AY1064=1,INDEX($V$7:$AL$7,MATCH(TRUE,INDEX($V1064:$AW1064&lt;&gt;0,),0)),IF(AY1064=0,INDEX($AM$7:$AW$7,MATCH(1,$AM1064:$AW1064,0)),IF(BF1064="Multiple strategies","mixed drivers",IF(BF1064="Supply chain","multiple supply","multiple silviculture"))))</f>
        <v xml:space="preserve">cutting intensity </v>
      </c>
      <c r="BF1064" s="2" t="str" cm="1">
        <f t="array" ref="BF1064">IF(COUNTIF(AZ1064:BB1064,"&lt;&gt;0")=1,INDEX($V$4:$AW$4,MATCH(TRUE,INDEX($V1064:$AW1064&lt;&gt;0,),0)),IF(COUNTIF(AZ1064:BB1064,"&lt;&gt;0")=0,INDEX($AM$4:$AW$4,MATCH(1,$AM1064:$AW1064,0)),"Multiple strategies"))</f>
        <v>Silviculture for removals</v>
      </c>
      <c r="BG1064" s="1" t="s">
        <v>321</v>
      </c>
      <c r="BH1064" s="265" t="s">
        <v>3095</v>
      </c>
      <c r="BI1064" s="264" t="s">
        <v>1147</v>
      </c>
      <c r="BJ1064" t="s">
        <v>2045</v>
      </c>
      <c r="BK1064">
        <v>0</v>
      </c>
      <c r="BL1064">
        <v>9</v>
      </c>
      <c r="BM1064" t="str">
        <f t="shared" si="1392"/>
        <v/>
      </c>
      <c r="BN1064">
        <f t="shared" si="1405"/>
        <v>9</v>
      </c>
      <c r="BO1064">
        <f>BN1064*t_to_m3</f>
        <v>18.367346938775512</v>
      </c>
      <c r="BP1064" t="s">
        <v>232</v>
      </c>
      <c r="BQ1064" t="s">
        <v>396</v>
      </c>
      <c r="BR1064" t="s">
        <v>2046</v>
      </c>
      <c r="BS1064">
        <v>125</v>
      </c>
      <c r="BT1064">
        <v>122</v>
      </c>
      <c r="BU1064" s="144">
        <f>BT1064/BS1064</f>
        <v>0.97599999999999998</v>
      </c>
      <c r="BV1064">
        <f>BT1064-BS1064</f>
        <v>-3</v>
      </c>
      <c r="BX1064">
        <f>BV1064*C_to_CO2</f>
        <v>-11.01</v>
      </c>
      <c r="BY1064">
        <f t="shared" si="1316"/>
        <v>-0.59943333333333326</v>
      </c>
      <c r="BZ1064">
        <v>0</v>
      </c>
      <c r="CA1064">
        <v>0</v>
      </c>
      <c r="CB1064">
        <v>0</v>
      </c>
      <c r="CC1064">
        <v>0</v>
      </c>
      <c r="CD1064">
        <v>0</v>
      </c>
      <c r="CE1064">
        <v>0</v>
      </c>
      <c r="CF1064">
        <v>0</v>
      </c>
      <c r="CG1064">
        <v>0</v>
      </c>
      <c r="CH1064">
        <v>0</v>
      </c>
      <c r="CI1064">
        <v>0</v>
      </c>
      <c r="CJ1064">
        <v>0</v>
      </c>
      <c r="CK1064">
        <v>0</v>
      </c>
      <c r="CL1064">
        <v>0</v>
      </c>
      <c r="CM1064">
        <v>1</v>
      </c>
      <c r="CN1064" t="str">
        <f t="shared" si="1406"/>
        <v>refOK</v>
      </c>
      <c r="CO1064">
        <f t="shared" si="1407"/>
        <v>0</v>
      </c>
      <c r="CP1064">
        <f t="shared" si="1408"/>
        <v>9</v>
      </c>
      <c r="CQ1064">
        <f t="shared" si="1409"/>
        <v>18.367346938775512</v>
      </c>
      <c r="CR1064">
        <f t="shared" si="1410"/>
        <v>125</v>
      </c>
      <c r="CS1064">
        <f t="shared" si="1411"/>
        <v>122</v>
      </c>
      <c r="CT1064">
        <f t="shared" si="1412"/>
        <v>-11.01</v>
      </c>
      <c r="CU1064">
        <f t="shared" si="1413"/>
        <v>-0.59943333333333326</v>
      </c>
      <c r="CV1064" s="2">
        <f t="shared" si="1393"/>
        <v>-2.4E-2</v>
      </c>
      <c r="CW1064" s="1" t="s">
        <v>2035</v>
      </c>
      <c r="CX1064" t="str">
        <f t="shared" si="1414"/>
        <v>reg</v>
      </c>
      <c r="CY1064" t="s">
        <v>520</v>
      </c>
      <c r="DB1064">
        <v>120</v>
      </c>
      <c r="DC1064" t="str">
        <f t="shared" si="1415"/>
        <v>+100</v>
      </c>
      <c r="DD1064">
        <v>1</v>
      </c>
      <c r="DE1064">
        <v>0</v>
      </c>
      <c r="DF1064">
        <v>0</v>
      </c>
      <c r="DG1064">
        <v>0</v>
      </c>
      <c r="DH1064">
        <v>0</v>
      </c>
      <c r="DI1064">
        <f>SUM(DD1064:DH1064)</f>
        <v>1</v>
      </c>
      <c r="DJ1064" t="str">
        <f t="shared" si="1394"/>
        <v>UpstreamInput</v>
      </c>
      <c r="DK1064" t="str">
        <f t="shared" si="1395"/>
        <v>Upstream</v>
      </c>
      <c r="DL1064">
        <f t="shared" si="1396"/>
        <v>0</v>
      </c>
      <c r="DM1064">
        <f t="shared" si="1397"/>
        <v>0</v>
      </c>
      <c r="DN1064">
        <f t="shared" si="1398"/>
        <v>0</v>
      </c>
      <c r="DT1064"/>
      <c r="DU1064" s="143" t="str">
        <f t="shared" si="1399"/>
        <v>explicit C balance</v>
      </c>
      <c r="DV1064">
        <v>1</v>
      </c>
      <c r="DW1064">
        <v>1</v>
      </c>
      <c r="DX1064">
        <v>1</v>
      </c>
      <c r="DY1064">
        <v>0</v>
      </c>
      <c r="DZ1064">
        <v>0</v>
      </c>
      <c r="EA1064" s="143">
        <v>0</v>
      </c>
      <c r="EB1064">
        <v>0</v>
      </c>
      <c r="EC1064">
        <v>0</v>
      </c>
      <c r="ED1064">
        <v>0</v>
      </c>
      <c r="EE1064">
        <v>0</v>
      </c>
      <c r="EF1064">
        <v>1</v>
      </c>
      <c r="EG1064">
        <v>0</v>
      </c>
      <c r="EH1064">
        <v>0</v>
      </c>
      <c r="EI1064" s="2">
        <v>0</v>
      </c>
      <c r="EK1064" t="str">
        <f t="shared" si="1416"/>
        <v/>
      </c>
      <c r="EL1064" t="str">
        <f t="shared" si="1417"/>
        <v>Ecosystem approach</v>
      </c>
      <c r="EM1064" s="2" t="str">
        <f t="shared" si="1317"/>
        <v/>
      </c>
      <c r="EP1064" t="str">
        <f>IF(ISNUMBER(BU1064),IF(ABS(BU1064-[3]QC_indicators!$B$2)&gt;3*[3]QC_indicators!$C$2,"C ratio",IF(ISNUMBER(BY1064),IF(ABS(BY1064-[3]QC_indicators!$B$1)&gt;3*[3]QC_indicators!$C$1,"DF","no"))),IF(ISNUMBER(BY1064),IF(ABS(BY1064-[3]QC_indicators!$B$1)&gt;3*[3]QC_indicators!$C$1,"DF","no")))</f>
        <v>no</v>
      </c>
      <c r="ET1064" s="264" t="s">
        <v>3096</v>
      </c>
    </row>
    <row r="1065" spans="1:151" ht="15" hidden="1" customHeight="1">
      <c r="A1065" s="1" t="s">
        <v>848</v>
      </c>
      <c r="B1065" t="s">
        <v>2036</v>
      </c>
      <c r="C1065" t="s">
        <v>2037</v>
      </c>
      <c r="D1065" t="s">
        <v>2038</v>
      </c>
      <c r="E1065" t="s">
        <v>2039</v>
      </c>
      <c r="F1065" t="s">
        <v>2040</v>
      </c>
      <c r="G1065" t="s">
        <v>854</v>
      </c>
      <c r="H1065" t="s">
        <v>254</v>
      </c>
      <c r="I1065">
        <v>2020</v>
      </c>
      <c r="J1065">
        <v>1</v>
      </c>
      <c r="K1065" t="s">
        <v>2041</v>
      </c>
      <c r="M1065" t="str">
        <f t="shared" si="1352"/>
        <v>Numazawa_2020</v>
      </c>
      <c r="N1065" t="s">
        <v>222</v>
      </c>
      <c r="O1065" s="157" t="s">
        <v>274</v>
      </c>
      <c r="P1065" t="s">
        <v>513</v>
      </c>
      <c r="Q1065" t="s">
        <v>389</v>
      </c>
      <c r="R1065" s="255" t="s">
        <v>223</v>
      </c>
      <c r="S1065" s="1" t="s">
        <v>2048</v>
      </c>
      <c r="T1065" t="s">
        <v>2043</v>
      </c>
      <c r="U1065" t="s">
        <v>2049</v>
      </c>
      <c r="V1065">
        <v>0</v>
      </c>
      <c r="W1065">
        <v>0</v>
      </c>
      <c r="X1065">
        <v>0</v>
      </c>
      <c r="Y1065">
        <v>1</v>
      </c>
      <c r="Z1065">
        <v>0</v>
      </c>
      <c r="AA1065">
        <v>0</v>
      </c>
      <c r="AB1065">
        <v>0</v>
      </c>
      <c r="AC1065">
        <v>0</v>
      </c>
      <c r="AD1065">
        <v>0</v>
      </c>
      <c r="AE1065">
        <v>0</v>
      </c>
      <c r="AF1065">
        <v>0</v>
      </c>
      <c r="AG1065">
        <v>0</v>
      </c>
      <c r="AH1065">
        <v>0</v>
      </c>
      <c r="AI1065">
        <v>0</v>
      </c>
      <c r="AJ1065">
        <v>0</v>
      </c>
      <c r="AK1065">
        <v>0</v>
      </c>
      <c r="AL1065">
        <v>0</v>
      </c>
      <c r="AM1065">
        <v>0</v>
      </c>
      <c r="AN1065">
        <v>0</v>
      </c>
      <c r="AO1065">
        <v>0</v>
      </c>
      <c r="AP1065">
        <v>0</v>
      </c>
      <c r="AQ1065">
        <v>0</v>
      </c>
      <c r="AR1065">
        <v>0</v>
      </c>
      <c r="AS1065">
        <v>0</v>
      </c>
      <c r="AT1065">
        <v>0</v>
      </c>
      <c r="AU1065">
        <v>0</v>
      </c>
      <c r="AV1065">
        <v>0</v>
      </c>
      <c r="AW1065">
        <v>0</v>
      </c>
      <c r="AX1065" s="141">
        <f t="shared" si="1390"/>
        <v>1</v>
      </c>
      <c r="AY1065" s="141">
        <f t="shared" si="1391"/>
        <v>1</v>
      </c>
      <c r="AZ1065">
        <f t="shared" si="1400"/>
        <v>1</v>
      </c>
      <c r="BA1065">
        <f t="shared" si="1401"/>
        <v>0</v>
      </c>
      <c r="BB1065">
        <f t="shared" si="1402"/>
        <v>0</v>
      </c>
      <c r="BC1065">
        <f t="shared" si="1403"/>
        <v>0</v>
      </c>
      <c r="BD1065">
        <f t="shared" si="1404"/>
        <v>0</v>
      </c>
      <c r="BE1065" t="str">
        <f t="array" ref="BE1065">IF(AY1065=1,INDEX($V$7:$AL$7,MATCH(TRUE,INDEX($V1065:$AW1065&lt;&gt;0,),0)),IF(AY1065=0,INDEX($AM$7:$AW$7,MATCH(1,$AM1065:$AW1065,0)),IF(BF1065="Multiple strategies","mixed drivers",IF(BF1065="Supply chain","multiple supply","multiple silviculture"))))</f>
        <v xml:space="preserve">cutting intensity </v>
      </c>
      <c r="BF1065" s="2" t="str" cm="1">
        <f t="array" ref="BF1065">IF(COUNTIF(AZ1065:BB1065,"&lt;&gt;0")=1,INDEX($V$4:$AW$4,MATCH(TRUE,INDEX($V1065:$AW1065&lt;&gt;0,),0)),IF(COUNTIF(AZ1065:BB1065,"&lt;&gt;0")=0,INDEX($AM$4:$AW$4,MATCH(1,$AM1065:$AW1065,0)),"Multiple strategies"))</f>
        <v>Silviculture for removals</v>
      </c>
      <c r="BG1065" s="1" t="s">
        <v>321</v>
      </c>
      <c r="BH1065" s="265" t="s">
        <v>3095</v>
      </c>
      <c r="BI1065" s="264" t="s">
        <v>396</v>
      </c>
      <c r="BJ1065" t="s">
        <v>2045</v>
      </c>
      <c r="BK1065">
        <v>0</v>
      </c>
      <c r="BL1065">
        <v>84</v>
      </c>
      <c r="BM1065" t="str">
        <f t="shared" si="1392"/>
        <v/>
      </c>
      <c r="BN1065">
        <f t="shared" si="1405"/>
        <v>84</v>
      </c>
      <c r="BO1065">
        <f>BN1065*t_to_m3</f>
        <v>171.42857142857144</v>
      </c>
      <c r="BP1065" t="s">
        <v>232</v>
      </c>
      <c r="BQ1065" t="s">
        <v>396</v>
      </c>
      <c r="BR1065" t="s">
        <v>2046</v>
      </c>
      <c r="BS1065">
        <v>125</v>
      </c>
      <c r="BT1065">
        <v>112</v>
      </c>
      <c r="BU1065" s="144">
        <f>BT1065/BS1065</f>
        <v>0.89600000000000002</v>
      </c>
      <c r="BV1065">
        <f>BT1065-BS1065</f>
        <v>-13</v>
      </c>
      <c r="BX1065">
        <f>BV1065*C_to_CO2</f>
        <v>-47.71</v>
      </c>
      <c r="BY1065">
        <f t="shared" si="1316"/>
        <v>-0.27830833333333332</v>
      </c>
      <c r="BZ1065">
        <v>0</v>
      </c>
      <c r="CA1065">
        <v>0</v>
      </c>
      <c r="CB1065">
        <v>0</v>
      </c>
      <c r="CC1065">
        <v>0</v>
      </c>
      <c r="CD1065">
        <v>0</v>
      </c>
      <c r="CE1065">
        <v>0</v>
      </c>
      <c r="CF1065">
        <v>0</v>
      </c>
      <c r="CG1065">
        <v>0</v>
      </c>
      <c r="CH1065">
        <v>0</v>
      </c>
      <c r="CI1065">
        <v>0</v>
      </c>
      <c r="CJ1065">
        <v>0</v>
      </c>
      <c r="CK1065">
        <v>0</v>
      </c>
      <c r="CL1065">
        <v>0</v>
      </c>
      <c r="CM1065">
        <v>1</v>
      </c>
      <c r="CN1065" t="str">
        <f t="shared" si="1406"/>
        <v>refOK</v>
      </c>
      <c r="CO1065">
        <f t="shared" si="1407"/>
        <v>0</v>
      </c>
      <c r="CP1065">
        <f t="shared" si="1408"/>
        <v>84</v>
      </c>
      <c r="CQ1065">
        <f t="shared" si="1409"/>
        <v>171.42857142857144</v>
      </c>
      <c r="CR1065">
        <f t="shared" si="1410"/>
        <v>125</v>
      </c>
      <c r="CS1065">
        <f t="shared" si="1411"/>
        <v>112</v>
      </c>
      <c r="CT1065">
        <f t="shared" si="1412"/>
        <v>-47.71</v>
      </c>
      <c r="CU1065">
        <f t="shared" si="1413"/>
        <v>-0.27830833333333332</v>
      </c>
      <c r="CV1065" s="2">
        <f t="shared" si="1393"/>
        <v>-0.104</v>
      </c>
      <c r="CW1065" s="1" t="s">
        <v>2035</v>
      </c>
      <c r="CX1065" t="str">
        <f t="shared" si="1414"/>
        <v>reg</v>
      </c>
      <c r="CY1065" t="s">
        <v>520</v>
      </c>
      <c r="DB1065">
        <v>120</v>
      </c>
      <c r="DC1065" t="str">
        <f t="shared" si="1415"/>
        <v>+100</v>
      </c>
      <c r="DD1065">
        <v>1</v>
      </c>
      <c r="DE1065">
        <v>0</v>
      </c>
      <c r="DF1065">
        <v>0</v>
      </c>
      <c r="DG1065">
        <v>0</v>
      </c>
      <c r="DH1065">
        <v>0</v>
      </c>
      <c r="DI1065">
        <f t="shared" ref="DI1065:DI1079" si="1418">SUM(DD1065:DG1065)</f>
        <v>1</v>
      </c>
      <c r="DJ1065" t="str">
        <f t="shared" si="1394"/>
        <v>UpstreamInput</v>
      </c>
      <c r="DK1065" t="str">
        <f t="shared" si="1395"/>
        <v>Upstream</v>
      </c>
      <c r="DL1065">
        <f t="shared" si="1396"/>
        <v>0</v>
      </c>
      <c r="DM1065">
        <f t="shared" si="1397"/>
        <v>0</v>
      </c>
      <c r="DN1065">
        <f t="shared" si="1398"/>
        <v>0</v>
      </c>
      <c r="DT1065"/>
      <c r="DU1065" s="143" t="str">
        <f t="shared" si="1399"/>
        <v>explicit C balance</v>
      </c>
      <c r="DV1065">
        <v>1</v>
      </c>
      <c r="DW1065">
        <v>1</v>
      </c>
      <c r="DX1065">
        <v>1</v>
      </c>
      <c r="DY1065">
        <v>0</v>
      </c>
      <c r="DZ1065">
        <v>0</v>
      </c>
      <c r="EA1065" s="143">
        <v>0</v>
      </c>
      <c r="EB1065">
        <v>0</v>
      </c>
      <c r="EC1065">
        <v>0</v>
      </c>
      <c r="ED1065">
        <v>0</v>
      </c>
      <c r="EE1065">
        <v>0</v>
      </c>
      <c r="EF1065">
        <v>1</v>
      </c>
      <c r="EG1065">
        <v>0</v>
      </c>
      <c r="EH1065">
        <v>0</v>
      </c>
      <c r="EI1065" s="2">
        <v>0</v>
      </c>
      <c r="EK1065" t="str">
        <f t="shared" si="1416"/>
        <v/>
      </c>
      <c r="EL1065" t="str">
        <f t="shared" si="1417"/>
        <v>Ecosystem approach</v>
      </c>
      <c r="EM1065" s="2" t="str">
        <f t="shared" si="1317"/>
        <v/>
      </c>
      <c r="EP1065" t="str">
        <f>IF(ISNUMBER(BU1065),IF(ABS(BU1065-[3]QC_indicators!$B$2)&gt;3*[3]QC_indicators!$C$2,"C ratio",IF(ISNUMBER(BY1065),IF(ABS(BY1065-[3]QC_indicators!$B$1)&gt;3*[3]QC_indicators!$C$1,"DF","no"))),IF(ISNUMBER(BY1065),IF(ABS(BY1065-[3]QC_indicators!$B$1)&gt;3*[3]QC_indicators!$C$1,"DF","no")))</f>
        <v>no</v>
      </c>
      <c r="ET1065" s="264" t="s">
        <v>3096</v>
      </c>
    </row>
    <row r="1066" spans="1:151" ht="15" hidden="1" customHeight="1">
      <c r="A1066" s="1" t="s">
        <v>848</v>
      </c>
      <c r="B1066" t="s">
        <v>2036</v>
      </c>
      <c r="C1066" t="s">
        <v>2037</v>
      </c>
      <c r="D1066" t="s">
        <v>2038</v>
      </c>
      <c r="E1066" t="s">
        <v>2039</v>
      </c>
      <c r="F1066" t="s">
        <v>2040</v>
      </c>
      <c r="G1066" t="s">
        <v>854</v>
      </c>
      <c r="H1066" t="s">
        <v>254</v>
      </c>
      <c r="I1066">
        <v>2020</v>
      </c>
      <c r="J1066">
        <v>1</v>
      </c>
      <c r="K1066" t="s">
        <v>2041</v>
      </c>
      <c r="M1066" t="str">
        <f t="shared" si="1352"/>
        <v>Numazawa_2020</v>
      </c>
      <c r="N1066" t="s">
        <v>222</v>
      </c>
      <c r="O1066" s="157" t="s">
        <v>274</v>
      </c>
      <c r="P1066" t="s">
        <v>513</v>
      </c>
      <c r="Q1066" t="s">
        <v>389</v>
      </c>
      <c r="R1066" s="255" t="s">
        <v>223</v>
      </c>
      <c r="S1066" s="1" t="s">
        <v>2048</v>
      </c>
      <c r="T1066" t="s">
        <v>2043</v>
      </c>
      <c r="U1066" t="s">
        <v>2050</v>
      </c>
      <c r="V1066">
        <v>0</v>
      </c>
      <c r="W1066">
        <v>0</v>
      </c>
      <c r="X1066">
        <v>0</v>
      </c>
      <c r="Y1066">
        <v>1</v>
      </c>
      <c r="Z1066">
        <v>0</v>
      </c>
      <c r="AA1066">
        <v>0</v>
      </c>
      <c r="AB1066">
        <v>0</v>
      </c>
      <c r="AC1066">
        <v>0</v>
      </c>
      <c r="AD1066">
        <v>0</v>
      </c>
      <c r="AE1066">
        <v>0</v>
      </c>
      <c r="AF1066">
        <v>0</v>
      </c>
      <c r="AG1066">
        <v>0</v>
      </c>
      <c r="AH1066">
        <v>0</v>
      </c>
      <c r="AI1066">
        <v>0</v>
      </c>
      <c r="AJ1066">
        <v>0</v>
      </c>
      <c r="AK1066">
        <v>0</v>
      </c>
      <c r="AL1066">
        <v>0</v>
      </c>
      <c r="AM1066">
        <v>0</v>
      </c>
      <c r="AN1066">
        <v>0</v>
      </c>
      <c r="AO1066">
        <v>0</v>
      </c>
      <c r="AP1066">
        <v>0</v>
      </c>
      <c r="AQ1066">
        <v>0</v>
      </c>
      <c r="AR1066">
        <v>0</v>
      </c>
      <c r="AS1066">
        <v>0</v>
      </c>
      <c r="AT1066">
        <v>0</v>
      </c>
      <c r="AU1066">
        <v>0</v>
      </c>
      <c r="AV1066">
        <v>0</v>
      </c>
      <c r="AW1066">
        <v>0</v>
      </c>
      <c r="AX1066" s="141">
        <f t="shared" si="1390"/>
        <v>1</v>
      </c>
      <c r="AY1066" s="141">
        <f t="shared" si="1391"/>
        <v>1</v>
      </c>
      <c r="AZ1066">
        <f t="shared" si="1400"/>
        <v>1</v>
      </c>
      <c r="BA1066">
        <f t="shared" si="1401"/>
        <v>0</v>
      </c>
      <c r="BB1066">
        <f t="shared" si="1402"/>
        <v>0</v>
      </c>
      <c r="BC1066">
        <f t="shared" si="1403"/>
        <v>0</v>
      </c>
      <c r="BD1066">
        <f t="shared" si="1404"/>
        <v>0</v>
      </c>
      <c r="BE1066" t="str">
        <f t="array" ref="BE1066">IF(AY1066=1,INDEX($V$7:$AL$7,MATCH(TRUE,INDEX($V1066:$AW1066&lt;&gt;0,),0)),IF(AY1066=0,INDEX($AM$7:$AW$7,MATCH(1,$AM1066:$AW1066,0)),IF(BF1066="Multiple strategies","mixed drivers",IF(BF1066="Supply chain","multiple supply","multiple silviculture"))))</f>
        <v xml:space="preserve">cutting intensity </v>
      </c>
      <c r="BF1066" s="2" t="str" cm="1">
        <f t="array" ref="BF1066">IF(COUNTIF(AZ1066:BB1066,"&lt;&gt;0")=1,INDEX($V$4:$AW$4,MATCH(TRUE,INDEX($V1066:$AW1066&lt;&gt;0,),0)),IF(COUNTIF(AZ1066:BB1066,"&lt;&gt;0")=0,INDEX($AM$4:$AW$4,MATCH(1,$AM1066:$AW1066,0)),"Multiple strategies"))</f>
        <v>Silviculture for removals</v>
      </c>
      <c r="BG1066" s="1" t="s">
        <v>321</v>
      </c>
      <c r="BH1066" s="265" t="s">
        <v>3095</v>
      </c>
      <c r="BI1066" s="264" t="s">
        <v>396</v>
      </c>
      <c r="BJ1066" t="s">
        <v>2045</v>
      </c>
      <c r="BK1066">
        <v>0</v>
      </c>
      <c r="BL1066">
        <v>28</v>
      </c>
      <c r="BM1066" t="str">
        <f t="shared" si="1392"/>
        <v/>
      </c>
      <c r="BN1066">
        <f t="shared" si="1405"/>
        <v>28</v>
      </c>
      <c r="BO1066">
        <f>BN1066*t_to_m3</f>
        <v>57.142857142857146</v>
      </c>
      <c r="BP1066" t="s">
        <v>232</v>
      </c>
      <c r="BQ1066" t="s">
        <v>396</v>
      </c>
      <c r="BR1066" t="s">
        <v>2046</v>
      </c>
      <c r="BS1066">
        <v>125</v>
      </c>
      <c r="BT1066">
        <v>122</v>
      </c>
      <c r="BU1066" s="144">
        <f>BT1066/BS1066</f>
        <v>0.97599999999999998</v>
      </c>
      <c r="BV1066">
        <f>BT1066-BS1066</f>
        <v>-3</v>
      </c>
      <c r="BX1066">
        <f>BV1066*C_to_CO2</f>
        <v>-11.01</v>
      </c>
      <c r="BY1066">
        <f t="shared" ref="BY1066:BY1129" si="1419">IFERROR(BX1066/BO1066,"")</f>
        <v>-0.19267499999999999</v>
      </c>
      <c r="BZ1066">
        <v>0</v>
      </c>
      <c r="CA1066">
        <v>0</v>
      </c>
      <c r="CB1066">
        <v>0</v>
      </c>
      <c r="CC1066">
        <v>0</v>
      </c>
      <c r="CD1066">
        <v>0</v>
      </c>
      <c r="CE1066">
        <v>0</v>
      </c>
      <c r="CF1066">
        <v>0</v>
      </c>
      <c r="CG1066">
        <v>0</v>
      </c>
      <c r="CH1066">
        <v>0</v>
      </c>
      <c r="CI1066">
        <v>0</v>
      </c>
      <c r="CJ1066">
        <v>0</v>
      </c>
      <c r="CK1066">
        <v>0</v>
      </c>
      <c r="CL1066">
        <v>0</v>
      </c>
      <c r="CM1066">
        <v>1</v>
      </c>
      <c r="CN1066" t="str">
        <f t="shared" si="1406"/>
        <v>refOK</v>
      </c>
      <c r="CO1066">
        <f t="shared" si="1407"/>
        <v>0</v>
      </c>
      <c r="CP1066">
        <f t="shared" si="1408"/>
        <v>28</v>
      </c>
      <c r="CQ1066">
        <f t="shared" si="1409"/>
        <v>57.142857142857146</v>
      </c>
      <c r="CR1066">
        <f t="shared" si="1410"/>
        <v>125</v>
      </c>
      <c r="CS1066">
        <f t="shared" si="1411"/>
        <v>122</v>
      </c>
      <c r="CT1066">
        <f t="shared" si="1412"/>
        <v>-11.01</v>
      </c>
      <c r="CU1066">
        <f t="shared" si="1413"/>
        <v>-0.19267499999999999</v>
      </c>
      <c r="CV1066" s="2">
        <f t="shared" si="1393"/>
        <v>-2.4E-2</v>
      </c>
      <c r="CW1066" s="1" t="s">
        <v>2035</v>
      </c>
      <c r="CX1066" t="str">
        <f t="shared" si="1414"/>
        <v>reg</v>
      </c>
      <c r="CY1066" t="s">
        <v>520</v>
      </c>
      <c r="DB1066">
        <v>120</v>
      </c>
      <c r="DC1066" t="str">
        <f t="shared" si="1415"/>
        <v>+100</v>
      </c>
      <c r="DD1066">
        <v>1</v>
      </c>
      <c r="DE1066">
        <v>0</v>
      </c>
      <c r="DF1066">
        <v>0</v>
      </c>
      <c r="DG1066">
        <v>0</v>
      </c>
      <c r="DH1066">
        <v>0</v>
      </c>
      <c r="DI1066">
        <f t="shared" si="1418"/>
        <v>1</v>
      </c>
      <c r="DJ1066" t="str">
        <f t="shared" si="1394"/>
        <v>UpstreamInput</v>
      </c>
      <c r="DK1066" t="str">
        <f t="shared" si="1395"/>
        <v>Upstream</v>
      </c>
      <c r="DL1066">
        <f t="shared" si="1396"/>
        <v>0</v>
      </c>
      <c r="DM1066">
        <f t="shared" si="1397"/>
        <v>0</v>
      </c>
      <c r="DN1066">
        <f t="shared" si="1398"/>
        <v>0</v>
      </c>
      <c r="DT1066"/>
      <c r="DU1066" s="143" t="str">
        <f t="shared" si="1399"/>
        <v>explicit C balance</v>
      </c>
      <c r="DV1066">
        <v>1</v>
      </c>
      <c r="DW1066">
        <v>1</v>
      </c>
      <c r="DX1066">
        <v>1</v>
      </c>
      <c r="DY1066">
        <v>0</v>
      </c>
      <c r="DZ1066">
        <v>0</v>
      </c>
      <c r="EA1066" s="143">
        <v>0</v>
      </c>
      <c r="EB1066">
        <v>0</v>
      </c>
      <c r="EC1066">
        <v>0</v>
      </c>
      <c r="ED1066">
        <v>0</v>
      </c>
      <c r="EE1066">
        <v>0</v>
      </c>
      <c r="EF1066">
        <v>1</v>
      </c>
      <c r="EG1066">
        <v>0</v>
      </c>
      <c r="EH1066">
        <v>0</v>
      </c>
      <c r="EI1066" s="2">
        <v>0</v>
      </c>
      <c r="EK1066" t="str">
        <f t="shared" si="1416"/>
        <v/>
      </c>
      <c r="EL1066" t="str">
        <f t="shared" si="1417"/>
        <v>Ecosystem approach</v>
      </c>
      <c r="EM1066" s="2" t="str">
        <f t="shared" si="1317"/>
        <v/>
      </c>
      <c r="EP1066" t="str">
        <f>IF(ISNUMBER(BU1066),IF(ABS(BU1066-[3]QC_indicators!$B$2)&gt;3*[3]QC_indicators!$C$2,"C ratio",IF(ISNUMBER(BY1066),IF(ABS(BY1066-[3]QC_indicators!$B$1)&gt;3*[3]QC_indicators!$C$1,"DF","no"))),IF(ISNUMBER(BY1066),IF(ABS(BY1066-[3]QC_indicators!$B$1)&gt;3*[3]QC_indicators!$C$1,"DF","no")))</f>
        <v>no</v>
      </c>
      <c r="ET1066" s="264" t="s">
        <v>3096</v>
      </c>
    </row>
    <row r="1067" spans="1:151" ht="15" hidden="1" customHeight="1">
      <c r="D1067" t="s">
        <v>2051</v>
      </c>
      <c r="E1067" t="s">
        <v>2052</v>
      </c>
      <c r="G1067" t="s">
        <v>2053</v>
      </c>
      <c r="I1067">
        <v>2018</v>
      </c>
      <c r="K1067" s="150" t="s">
        <v>2054</v>
      </c>
      <c r="M1067" t="str">
        <f t="shared" si="1352"/>
        <v>Olguin_2018</v>
      </c>
      <c r="N1067" t="s">
        <v>222</v>
      </c>
      <c r="O1067" s="157" t="s">
        <v>274</v>
      </c>
      <c r="P1067" t="s">
        <v>513</v>
      </c>
      <c r="Q1067" t="s">
        <v>389</v>
      </c>
      <c r="R1067" s="262" t="s">
        <v>223</v>
      </c>
      <c r="S1067" s="263" t="s">
        <v>3193</v>
      </c>
      <c r="T1067" t="s">
        <v>2055</v>
      </c>
      <c r="U1067" t="s">
        <v>2056</v>
      </c>
      <c r="V1067">
        <v>0</v>
      </c>
      <c r="W1067">
        <v>0</v>
      </c>
      <c r="X1067">
        <v>0</v>
      </c>
      <c r="Y1067">
        <v>0</v>
      </c>
      <c r="Z1067">
        <v>0</v>
      </c>
      <c r="AA1067">
        <v>0</v>
      </c>
      <c r="AB1067">
        <v>0</v>
      </c>
      <c r="AC1067">
        <v>1</v>
      </c>
      <c r="AD1067">
        <v>0</v>
      </c>
      <c r="AE1067">
        <v>0</v>
      </c>
      <c r="AF1067">
        <v>1</v>
      </c>
      <c r="AG1067">
        <v>0</v>
      </c>
      <c r="AH1067">
        <v>0</v>
      </c>
      <c r="AI1067">
        <v>0</v>
      </c>
      <c r="AJ1067">
        <v>0</v>
      </c>
      <c r="AK1067">
        <v>0</v>
      </c>
      <c r="AL1067">
        <v>0</v>
      </c>
      <c r="AM1067">
        <v>0</v>
      </c>
      <c r="AN1067">
        <v>0</v>
      </c>
      <c r="AO1067">
        <v>0</v>
      </c>
      <c r="AP1067">
        <v>0</v>
      </c>
      <c r="AQ1067">
        <v>0</v>
      </c>
      <c r="AR1067">
        <v>0</v>
      </c>
      <c r="AS1067">
        <v>0</v>
      </c>
      <c r="AT1067">
        <v>0</v>
      </c>
      <c r="AU1067">
        <v>0</v>
      </c>
      <c r="AV1067">
        <v>0</v>
      </c>
      <c r="AW1067">
        <v>0</v>
      </c>
      <c r="AX1067" s="141">
        <f t="shared" si="1390"/>
        <v>2</v>
      </c>
      <c r="AY1067" s="141">
        <f t="shared" si="1391"/>
        <v>2</v>
      </c>
      <c r="AZ1067">
        <f t="shared" si="1400"/>
        <v>1</v>
      </c>
      <c r="BA1067">
        <f t="shared" si="1401"/>
        <v>1</v>
      </c>
      <c r="BB1067">
        <f t="shared" si="1402"/>
        <v>0</v>
      </c>
      <c r="BC1067">
        <f t="shared" si="1403"/>
        <v>0</v>
      </c>
      <c r="BD1067">
        <f t="shared" si="1404"/>
        <v>0</v>
      </c>
      <c r="BE1067" t="str">
        <f t="array" ref="BE1067">IF(AY1067=1,INDEX($V$7:$AL$7,MATCH(TRUE,INDEX($V1067:$AW1067&lt;&gt;0,),0)),IF(AY1067=0,INDEX($AM$7:$AW$7,MATCH(1,$AM1067:$AW1067,0)),IF(BF1067="Multiple strategies","mixed drivers",IF(BF1067="Supply chain","multiple supply","multiple silviculture"))))</f>
        <v>mixed drivers</v>
      </c>
      <c r="BF1067" s="2" t="str" cm="1">
        <f t="array" ref="BF1067">IF(COUNTIF(AZ1067:BB1067,"&lt;&gt;0")=1,INDEX($V$4:$AW$4,MATCH(TRUE,INDEX($V1067:$AW1067&lt;&gt;0,),0)),IF(COUNTIF(AZ1067:BB1067,"&lt;&gt;0")=0,INDEX($AM$4:$AW$4,MATCH(1,$AM1067:$AW1067,0)),"Multiple strategies"))</f>
        <v>Multiple strategies</v>
      </c>
      <c r="BG1067" s="1" t="s">
        <v>321</v>
      </c>
      <c r="BI1067" s="264" t="s">
        <v>1035</v>
      </c>
      <c r="BJ1067" s="264" t="s">
        <v>2057</v>
      </c>
      <c r="BK1067">
        <v>0</v>
      </c>
      <c r="BL1067">
        <v>218025</v>
      </c>
      <c r="BM1067" t="str">
        <f>IFERROR(#REF!/BK1067,"")</f>
        <v/>
      </c>
      <c r="BN1067">
        <f t="shared" si="1405"/>
        <v>218025</v>
      </c>
      <c r="BO1067">
        <f t="shared" ref="BO1067:BO1090" si="1420">BN1067*tC_to_m3</f>
        <v>946699.95657837612</v>
      </c>
      <c r="BP1067" t="s">
        <v>232</v>
      </c>
      <c r="BQ1067" t="s">
        <v>424</v>
      </c>
      <c r="BR1067" t="s">
        <v>2058</v>
      </c>
      <c r="BU1067" s="144"/>
      <c r="BV1067">
        <v>-0.31</v>
      </c>
      <c r="BX1067">
        <f>BV1067*10^6</f>
        <v>-310000</v>
      </c>
      <c r="BY1067">
        <f t="shared" si="1419"/>
        <v>-0.32745327370714367</v>
      </c>
      <c r="BZ1067">
        <v>0</v>
      </c>
      <c r="CA1067">
        <v>0</v>
      </c>
      <c r="CB1067">
        <v>0</v>
      </c>
      <c r="CC1067">
        <v>0</v>
      </c>
      <c r="CD1067">
        <v>0</v>
      </c>
      <c r="CE1067">
        <v>0</v>
      </c>
      <c r="CF1067">
        <v>0</v>
      </c>
      <c r="CG1067">
        <v>0</v>
      </c>
      <c r="CH1067">
        <v>0</v>
      </c>
      <c r="CI1067">
        <v>0</v>
      </c>
      <c r="CJ1067">
        <v>0</v>
      </c>
      <c r="CK1067">
        <v>0</v>
      </c>
      <c r="CL1067">
        <v>0</v>
      </c>
      <c r="CM1067">
        <v>0</v>
      </c>
      <c r="CN1067" t="str">
        <f t="shared" si="1406"/>
        <v>refOK</v>
      </c>
      <c r="CO1067">
        <f t="shared" si="1407"/>
        <v>0</v>
      </c>
      <c r="CP1067">
        <f t="shared" si="1408"/>
        <v>218025</v>
      </c>
      <c r="CQ1067">
        <f t="shared" si="1409"/>
        <v>946699.95657837612</v>
      </c>
      <c r="CR1067">
        <f t="shared" si="1410"/>
        <v>0</v>
      </c>
      <c r="CS1067">
        <f t="shared" si="1411"/>
        <v>0</v>
      </c>
      <c r="CT1067">
        <f t="shared" si="1412"/>
        <v>-310000</v>
      </c>
      <c r="CU1067">
        <f t="shared" si="1413"/>
        <v>-0.32745327370714367</v>
      </c>
      <c r="CV1067" s="2" t="str">
        <f t="shared" si="1393"/>
        <v/>
      </c>
      <c r="CW1067" s="1" t="s">
        <v>2035</v>
      </c>
      <c r="CX1067" t="str">
        <f t="shared" si="1414"/>
        <v>reg</v>
      </c>
      <c r="CY1067" t="s">
        <v>2059</v>
      </c>
      <c r="CZ1067">
        <v>2021</v>
      </c>
      <c r="DA1067">
        <v>2030</v>
      </c>
      <c r="DB1067">
        <f t="shared" ref="DB1067:DB1090" si="1421">DA1067-CZ1067</f>
        <v>9</v>
      </c>
      <c r="DC1067" t="str">
        <f t="shared" si="1415"/>
        <v>1-30</v>
      </c>
      <c r="DD1067">
        <v>0</v>
      </c>
      <c r="DE1067">
        <v>0</v>
      </c>
      <c r="DF1067">
        <v>0</v>
      </c>
      <c r="DG1067">
        <v>1</v>
      </c>
      <c r="DH1067">
        <v>0</v>
      </c>
      <c r="DI1067">
        <f t="shared" si="1418"/>
        <v>1</v>
      </c>
      <c r="DJ1067" t="str">
        <f t="shared" si="1394"/>
        <v>TimberInput</v>
      </c>
      <c r="DK1067">
        <f t="shared" si="1395"/>
        <v>0</v>
      </c>
      <c r="DL1067">
        <f t="shared" si="1396"/>
        <v>0</v>
      </c>
      <c r="DM1067">
        <f t="shared" si="1397"/>
        <v>0</v>
      </c>
      <c r="DN1067" t="str">
        <f t="shared" si="1398"/>
        <v>Timber</v>
      </c>
      <c r="DP1067">
        <v>1</v>
      </c>
      <c r="DS1067" s="184" t="s">
        <v>2060</v>
      </c>
      <c r="DT1067"/>
      <c r="DU1067" s="143" t="str">
        <f t="shared" si="1399"/>
        <v>external DF used</v>
      </c>
      <c r="DV1067">
        <v>1</v>
      </c>
      <c r="DW1067">
        <v>1</v>
      </c>
      <c r="DX1067">
        <v>1</v>
      </c>
      <c r="DY1067">
        <v>1</v>
      </c>
      <c r="DZ1067">
        <v>1</v>
      </c>
      <c r="EA1067">
        <v>1</v>
      </c>
      <c r="EB1067">
        <v>0</v>
      </c>
      <c r="EC1067">
        <v>0</v>
      </c>
      <c r="ED1067">
        <v>0</v>
      </c>
      <c r="EE1067">
        <v>0</v>
      </c>
      <c r="EF1067">
        <v>1</v>
      </c>
      <c r="EG1067">
        <v>0</v>
      </c>
      <c r="EH1067">
        <v>1</v>
      </c>
      <c r="EI1067" s="2">
        <v>0</v>
      </c>
      <c r="EK1067" t="str">
        <f t="shared" si="1416"/>
        <v/>
      </c>
      <c r="EL1067" t="str">
        <f t="shared" si="1417"/>
        <v/>
      </c>
      <c r="EM1067" s="2" t="str">
        <f t="shared" si="1317"/>
        <v/>
      </c>
      <c r="EP1067" t="str">
        <f>IF(ISNUMBER(BU1067),IF(ABS(BU1067-[3]QC_indicators!$B$2)&gt;3*[3]QC_indicators!$C$2,"C ratio",IF(ISNUMBER(BY1067),IF(ABS(BY1067-[3]QC_indicators!$B$1)&gt;3*[3]QC_indicators!$C$1,"DF","no"))),IF(ISNUMBER(BY1067),IF(ABS(BY1067-[3]QC_indicators!$B$1)&gt;3*[3]QC_indicators!$C$1,"DF","no")))</f>
        <v>no</v>
      </c>
      <c r="ET1067" s="264" t="s">
        <v>3272</v>
      </c>
    </row>
    <row r="1068" spans="1:151" ht="15" hidden="1" customHeight="1">
      <c r="D1068" t="s">
        <v>2051</v>
      </c>
      <c r="E1068" t="s">
        <v>2052</v>
      </c>
      <c r="G1068" t="s">
        <v>2053</v>
      </c>
      <c r="I1068">
        <v>2018</v>
      </c>
      <c r="K1068" s="150" t="s">
        <v>2054</v>
      </c>
      <c r="M1068" t="str">
        <f t="shared" si="1352"/>
        <v>Olguin_2018</v>
      </c>
      <c r="N1068" t="s">
        <v>222</v>
      </c>
      <c r="O1068" s="157" t="s">
        <v>274</v>
      </c>
      <c r="P1068" t="s">
        <v>513</v>
      </c>
      <c r="Q1068" t="s">
        <v>389</v>
      </c>
      <c r="R1068" s="262" t="s">
        <v>223</v>
      </c>
      <c r="S1068" s="263" t="s">
        <v>3204</v>
      </c>
      <c r="T1068" t="s">
        <v>2055</v>
      </c>
      <c r="U1068" t="s">
        <v>2064</v>
      </c>
      <c r="V1068">
        <v>0</v>
      </c>
      <c r="W1068">
        <v>0</v>
      </c>
      <c r="X1068">
        <v>0</v>
      </c>
      <c r="Y1068">
        <v>0</v>
      </c>
      <c r="Z1068">
        <v>0</v>
      </c>
      <c r="AA1068">
        <v>0</v>
      </c>
      <c r="AB1068">
        <v>0</v>
      </c>
      <c r="AC1068">
        <v>1</v>
      </c>
      <c r="AD1068">
        <v>0</v>
      </c>
      <c r="AE1068">
        <v>0</v>
      </c>
      <c r="AF1068">
        <v>0</v>
      </c>
      <c r="AG1068">
        <v>0</v>
      </c>
      <c r="AH1068">
        <v>0</v>
      </c>
      <c r="AI1068">
        <v>0</v>
      </c>
      <c r="AJ1068">
        <v>0</v>
      </c>
      <c r="AK1068">
        <v>0</v>
      </c>
      <c r="AL1068">
        <v>0</v>
      </c>
      <c r="AM1068">
        <v>0</v>
      </c>
      <c r="AN1068">
        <v>0</v>
      </c>
      <c r="AO1068">
        <v>0</v>
      </c>
      <c r="AP1068">
        <v>0</v>
      </c>
      <c r="AQ1068">
        <v>0</v>
      </c>
      <c r="AR1068">
        <v>0</v>
      </c>
      <c r="AS1068">
        <v>0</v>
      </c>
      <c r="AT1068">
        <v>0</v>
      </c>
      <c r="AU1068">
        <v>0</v>
      </c>
      <c r="AV1068">
        <v>0</v>
      </c>
      <c r="AW1068">
        <v>0</v>
      </c>
      <c r="AX1068" s="141">
        <f t="shared" si="1390"/>
        <v>1</v>
      </c>
      <c r="AY1068" s="141">
        <f t="shared" si="1391"/>
        <v>1</v>
      </c>
      <c r="AZ1068">
        <f t="shared" si="1400"/>
        <v>1</v>
      </c>
      <c r="BA1068">
        <f t="shared" si="1401"/>
        <v>0</v>
      </c>
      <c r="BB1068">
        <f t="shared" si="1402"/>
        <v>0</v>
      </c>
      <c r="BC1068">
        <f t="shared" si="1403"/>
        <v>0</v>
      </c>
      <c r="BD1068">
        <f t="shared" si="1404"/>
        <v>0</v>
      </c>
      <c r="BE1068" t="str">
        <f t="array" ref="BE1068">IF(AY1068=1,INDEX($V$7:$AL$7,MATCH(TRUE,INDEX($V1068:$AW1068&lt;&gt;0,),0)),IF(AY1068=0,INDEX($AM$7:$AW$7,MATCH(1,$AM1068:$AW1068,0)),IF(BF1068="Multiple strategies","mixed drivers",IF(BF1068="Supply chain","multiple supply","multiple silviculture"))))</f>
        <v>site fertility</v>
      </c>
      <c r="BF1068" s="2" t="str" cm="1">
        <f t="array" ref="BF1068">IF(COUNTIF(AZ1068:BB1068,"&lt;&gt;0")=1,INDEX($V$4:$AW$4,MATCH(TRUE,INDEX($V1068:$AW1068&lt;&gt;0,),0)),IF(COUNTIF(AZ1068:BB1068,"&lt;&gt;0")=0,INDEX($AM$4:$AW$4,MATCH(1,$AM1068:$AW1068,0)),"Multiple strategies"))</f>
        <v>Silviculture for productivity</v>
      </c>
      <c r="BG1068" s="1" t="s">
        <v>321</v>
      </c>
      <c r="BI1068" s="264" t="s">
        <v>1035</v>
      </c>
      <c r="BJ1068" t="s">
        <v>2057</v>
      </c>
      <c r="BK1068">
        <v>0</v>
      </c>
      <c r="BL1068">
        <v>6788</v>
      </c>
      <c r="BM1068" t="str">
        <f t="shared" ref="BM1068:BM1082" si="1422">IFERROR(BL1068/BK1068,"")</f>
        <v/>
      </c>
      <c r="BN1068">
        <f t="shared" si="1405"/>
        <v>6788</v>
      </c>
      <c r="BO1068">
        <f t="shared" si="1420"/>
        <v>29474.598349978292</v>
      </c>
      <c r="BP1068" t="s">
        <v>232</v>
      </c>
      <c r="BQ1068" t="s">
        <v>424</v>
      </c>
      <c r="BR1068" t="s">
        <v>2062</v>
      </c>
      <c r="BU1068" s="144"/>
      <c r="BV1068">
        <v>-0.23</v>
      </c>
      <c r="BX1068">
        <f t="shared" ref="BX1068:BX1088" si="1423">BV1068</f>
        <v>-0.23</v>
      </c>
      <c r="BY1068">
        <f t="shared" si="1419"/>
        <v>-7.8033294048320564E-6</v>
      </c>
      <c r="BZ1068">
        <v>0</v>
      </c>
      <c r="CA1068">
        <v>0</v>
      </c>
      <c r="CB1068">
        <v>0</v>
      </c>
      <c r="CC1068">
        <v>0</v>
      </c>
      <c r="CD1068">
        <v>0</v>
      </c>
      <c r="CE1068">
        <v>0</v>
      </c>
      <c r="CF1068">
        <v>0</v>
      </c>
      <c r="CG1068">
        <v>0</v>
      </c>
      <c r="CH1068">
        <v>0</v>
      </c>
      <c r="CI1068">
        <v>0</v>
      </c>
      <c r="CJ1068">
        <v>0</v>
      </c>
      <c r="CK1068">
        <v>0</v>
      </c>
      <c r="CL1068">
        <v>0</v>
      </c>
      <c r="CM1068">
        <v>0</v>
      </c>
      <c r="CN1068" t="str">
        <f t="shared" si="1406"/>
        <v>refOK</v>
      </c>
      <c r="CO1068">
        <f t="shared" si="1407"/>
        <v>0</v>
      </c>
      <c r="CP1068">
        <f t="shared" si="1408"/>
        <v>6788</v>
      </c>
      <c r="CQ1068">
        <f t="shared" si="1409"/>
        <v>29474.598349978292</v>
      </c>
      <c r="CR1068">
        <f t="shared" si="1410"/>
        <v>0</v>
      </c>
      <c r="CS1068">
        <f t="shared" si="1411"/>
        <v>0</v>
      </c>
      <c r="CT1068">
        <f t="shared" si="1412"/>
        <v>-0.23</v>
      </c>
      <c r="CU1068">
        <f t="shared" si="1413"/>
        <v>-7.8033294048320564E-6</v>
      </c>
      <c r="CV1068" s="2" t="str">
        <f t="shared" si="1393"/>
        <v/>
      </c>
      <c r="CW1068" s="1" t="s">
        <v>2035</v>
      </c>
      <c r="CX1068" t="str">
        <f t="shared" si="1414"/>
        <v>reg</v>
      </c>
      <c r="CY1068" t="s">
        <v>2059</v>
      </c>
      <c r="CZ1068">
        <v>2021</v>
      </c>
      <c r="DA1068">
        <v>2050</v>
      </c>
      <c r="DB1068">
        <f t="shared" si="1421"/>
        <v>29</v>
      </c>
      <c r="DC1068" t="str">
        <f t="shared" si="1415"/>
        <v>1-30</v>
      </c>
      <c r="DD1068">
        <v>0</v>
      </c>
      <c r="DE1068">
        <v>0</v>
      </c>
      <c r="DF1068">
        <v>0</v>
      </c>
      <c r="DG1068">
        <v>1</v>
      </c>
      <c r="DH1068">
        <v>0</v>
      </c>
      <c r="DI1068">
        <f t="shared" si="1418"/>
        <v>1</v>
      </c>
      <c r="DJ1068" t="str">
        <f t="shared" si="1394"/>
        <v>TimberInput</v>
      </c>
      <c r="DK1068">
        <f t="shared" si="1395"/>
        <v>0</v>
      </c>
      <c r="DL1068">
        <f t="shared" si="1396"/>
        <v>0</v>
      </c>
      <c r="DM1068">
        <f t="shared" si="1397"/>
        <v>0</v>
      </c>
      <c r="DN1068" t="str">
        <f t="shared" si="1398"/>
        <v>Timber</v>
      </c>
      <c r="DP1068">
        <v>1</v>
      </c>
      <c r="DS1068" s="184" t="s">
        <v>2065</v>
      </c>
      <c r="DT1068"/>
      <c r="DU1068" s="143" t="str">
        <f t="shared" si="1399"/>
        <v>external DF used</v>
      </c>
      <c r="DV1068">
        <v>1</v>
      </c>
      <c r="DW1068">
        <v>1</v>
      </c>
      <c r="DX1068">
        <v>1</v>
      </c>
      <c r="DY1068">
        <v>1</v>
      </c>
      <c r="DZ1068">
        <v>1</v>
      </c>
      <c r="EA1068">
        <v>1</v>
      </c>
      <c r="EB1068">
        <v>0</v>
      </c>
      <c r="EC1068">
        <v>0</v>
      </c>
      <c r="ED1068">
        <v>0</v>
      </c>
      <c r="EE1068">
        <v>0</v>
      </c>
      <c r="EF1068">
        <v>1</v>
      </c>
      <c r="EG1068">
        <v>0</v>
      </c>
      <c r="EH1068">
        <v>1</v>
      </c>
      <c r="EI1068" s="2">
        <v>0</v>
      </c>
      <c r="EK1068" t="str">
        <f t="shared" si="1416"/>
        <v/>
      </c>
      <c r="EL1068" t="str">
        <f t="shared" si="1417"/>
        <v/>
      </c>
      <c r="EM1068" s="2" t="str">
        <f t="shared" ref="EM1068:EM1131" si="1424">IF(AND(AND(AND($DX1068=0,$DW1068=0),OR($EC1068=1,$EA1068=1)),SUM($EB1068:$EE1068)&gt;=2),"Technology approach","")</f>
        <v/>
      </c>
      <c r="EP1068" t="str">
        <f>IF(ISNUMBER(BU1068),IF(ABS(BU1068-[3]QC_indicators!$B$2)&gt;3*[3]QC_indicators!$C$2,"C ratio",IF(ISNUMBER(BY1068),IF(ABS(BY1068-[3]QC_indicators!$B$1)&gt;3*[3]QC_indicators!$C$1,"DF","no"))),IF(ISNUMBER(BY1068),IF(ABS(BY1068-[3]QC_indicators!$B$1)&gt;3*[3]QC_indicators!$C$1,"DF","no")))</f>
        <v>no</v>
      </c>
      <c r="ET1068" s="264" t="s">
        <v>3272</v>
      </c>
    </row>
    <row r="1069" spans="1:151" ht="15" hidden="1" customHeight="1">
      <c r="D1069" t="s">
        <v>2051</v>
      </c>
      <c r="E1069" t="s">
        <v>2052</v>
      </c>
      <c r="G1069" t="s">
        <v>2053</v>
      </c>
      <c r="I1069">
        <v>2018</v>
      </c>
      <c r="K1069" s="150" t="s">
        <v>2054</v>
      </c>
      <c r="M1069" t="str">
        <f t="shared" si="1352"/>
        <v>Olguin_2018</v>
      </c>
      <c r="N1069" t="s">
        <v>222</v>
      </c>
      <c r="O1069" s="157" t="s">
        <v>274</v>
      </c>
      <c r="P1069" t="s">
        <v>513</v>
      </c>
      <c r="Q1069" t="s">
        <v>389</v>
      </c>
      <c r="R1069" s="262" t="s">
        <v>223</v>
      </c>
      <c r="S1069" s="263" t="s">
        <v>3208</v>
      </c>
      <c r="T1069" t="s">
        <v>2055</v>
      </c>
      <c r="U1069" t="s">
        <v>2061</v>
      </c>
      <c r="V1069">
        <v>0</v>
      </c>
      <c r="W1069">
        <v>0</v>
      </c>
      <c r="X1069">
        <v>0</v>
      </c>
      <c r="Y1069">
        <v>0</v>
      </c>
      <c r="Z1069">
        <v>0</v>
      </c>
      <c r="AA1069">
        <v>0</v>
      </c>
      <c r="AB1069">
        <v>0</v>
      </c>
      <c r="AC1069">
        <v>1</v>
      </c>
      <c r="AD1069">
        <v>0</v>
      </c>
      <c r="AE1069">
        <v>0</v>
      </c>
      <c r="AF1069">
        <v>1</v>
      </c>
      <c r="AG1069">
        <v>0</v>
      </c>
      <c r="AH1069">
        <v>0</v>
      </c>
      <c r="AI1069">
        <v>0</v>
      </c>
      <c r="AJ1069">
        <v>0</v>
      </c>
      <c r="AK1069">
        <v>0</v>
      </c>
      <c r="AL1069">
        <v>0</v>
      </c>
      <c r="AM1069">
        <v>0</v>
      </c>
      <c r="AN1069">
        <v>0</v>
      </c>
      <c r="AO1069">
        <v>0</v>
      </c>
      <c r="AP1069">
        <v>0</v>
      </c>
      <c r="AQ1069">
        <v>0</v>
      </c>
      <c r="AR1069">
        <v>0</v>
      </c>
      <c r="AS1069">
        <v>0</v>
      </c>
      <c r="AT1069">
        <v>0</v>
      </c>
      <c r="AU1069">
        <v>0</v>
      </c>
      <c r="AV1069">
        <v>0</v>
      </c>
      <c r="AW1069">
        <v>0</v>
      </c>
      <c r="AX1069" s="141">
        <f t="shared" si="1390"/>
        <v>2</v>
      </c>
      <c r="AY1069" s="141">
        <f t="shared" si="1391"/>
        <v>2</v>
      </c>
      <c r="AZ1069">
        <f t="shared" si="1400"/>
        <v>1</v>
      </c>
      <c r="BA1069">
        <f t="shared" si="1401"/>
        <v>1</v>
      </c>
      <c r="BB1069">
        <f t="shared" si="1402"/>
        <v>0</v>
      </c>
      <c r="BC1069">
        <f t="shared" si="1403"/>
        <v>0</v>
      </c>
      <c r="BD1069">
        <f t="shared" si="1404"/>
        <v>0</v>
      </c>
      <c r="BE1069" t="str">
        <f t="array" ref="BE1069">IF(AY1069=1,INDEX($V$7:$AL$7,MATCH(TRUE,INDEX($V1069:$AW1069&lt;&gt;0,),0)),IF(AY1069=0,INDEX($AM$7:$AW$7,MATCH(1,$AM1069:$AW1069,0)),IF(BF1069="Multiple strategies","mixed drivers",IF(BF1069="Supply chain","multiple supply","multiple silviculture"))))</f>
        <v>mixed drivers</v>
      </c>
      <c r="BF1069" s="2" t="str" cm="1">
        <f t="array" ref="BF1069">IF(COUNTIF(AZ1069:BB1069,"&lt;&gt;0")=1,INDEX($V$4:$AW$4,MATCH(TRUE,INDEX($V1069:$AW1069&lt;&gt;0,),0)),IF(COUNTIF(AZ1069:BB1069,"&lt;&gt;0")=0,INDEX($AM$4:$AW$4,MATCH(1,$AM1069:$AW1069,0)),"Multiple strategies"))</f>
        <v>Multiple strategies</v>
      </c>
      <c r="BG1069" s="1" t="s">
        <v>321</v>
      </c>
      <c r="BI1069" s="264" t="s">
        <v>1035</v>
      </c>
      <c r="BJ1069" t="s">
        <v>2057</v>
      </c>
      <c r="BK1069">
        <v>0</v>
      </c>
      <c r="BL1069">
        <v>6788</v>
      </c>
      <c r="BM1069" t="str">
        <f t="shared" si="1422"/>
        <v/>
      </c>
      <c r="BN1069">
        <f t="shared" si="1405"/>
        <v>6788</v>
      </c>
      <c r="BO1069">
        <f t="shared" si="1420"/>
        <v>29474.598349978292</v>
      </c>
      <c r="BP1069" t="s">
        <v>232</v>
      </c>
      <c r="BQ1069" t="s">
        <v>424</v>
      </c>
      <c r="BR1069" t="s">
        <v>2062</v>
      </c>
      <c r="BU1069" s="144"/>
      <c r="BV1069">
        <v>-0.22</v>
      </c>
      <c r="BX1069">
        <f t="shared" si="1423"/>
        <v>-0.22</v>
      </c>
      <c r="BY1069">
        <f t="shared" si="1419"/>
        <v>-7.4640542133176188E-6</v>
      </c>
      <c r="BZ1069">
        <v>0</v>
      </c>
      <c r="CA1069">
        <v>0</v>
      </c>
      <c r="CB1069">
        <v>0</v>
      </c>
      <c r="CC1069">
        <v>0</v>
      </c>
      <c r="CD1069">
        <v>0</v>
      </c>
      <c r="CE1069">
        <v>0</v>
      </c>
      <c r="CF1069">
        <v>0</v>
      </c>
      <c r="CG1069">
        <v>0</v>
      </c>
      <c r="CH1069">
        <v>0</v>
      </c>
      <c r="CI1069">
        <v>0</v>
      </c>
      <c r="CJ1069">
        <v>0</v>
      </c>
      <c r="CK1069">
        <v>0</v>
      </c>
      <c r="CL1069">
        <v>0</v>
      </c>
      <c r="CM1069">
        <v>0</v>
      </c>
      <c r="CN1069" t="str">
        <f t="shared" si="1406"/>
        <v>refOK</v>
      </c>
      <c r="CO1069">
        <f t="shared" si="1407"/>
        <v>0</v>
      </c>
      <c r="CP1069">
        <f t="shared" si="1408"/>
        <v>6788</v>
      </c>
      <c r="CQ1069">
        <f t="shared" si="1409"/>
        <v>29474.598349978292</v>
      </c>
      <c r="CR1069">
        <f t="shared" si="1410"/>
        <v>0</v>
      </c>
      <c r="CS1069">
        <f t="shared" si="1411"/>
        <v>0</v>
      </c>
      <c r="CT1069">
        <f t="shared" si="1412"/>
        <v>-0.22</v>
      </c>
      <c r="CU1069">
        <f t="shared" si="1413"/>
        <v>-7.4640542133176188E-6</v>
      </c>
      <c r="CV1069" s="2" t="str">
        <f t="shared" si="1393"/>
        <v/>
      </c>
      <c r="CW1069" s="1" t="s">
        <v>2035</v>
      </c>
      <c r="CX1069" t="str">
        <f t="shared" si="1414"/>
        <v>reg</v>
      </c>
      <c r="CY1069" t="s">
        <v>2059</v>
      </c>
      <c r="CZ1069">
        <v>2021</v>
      </c>
      <c r="DA1069">
        <v>2050</v>
      </c>
      <c r="DB1069">
        <f t="shared" si="1421"/>
        <v>29</v>
      </c>
      <c r="DC1069" t="str">
        <f t="shared" si="1415"/>
        <v>1-30</v>
      </c>
      <c r="DD1069">
        <v>0</v>
      </c>
      <c r="DE1069">
        <v>0</v>
      </c>
      <c r="DF1069">
        <v>0</v>
      </c>
      <c r="DG1069">
        <v>1</v>
      </c>
      <c r="DH1069">
        <v>0</v>
      </c>
      <c r="DI1069">
        <f t="shared" si="1418"/>
        <v>1</v>
      </c>
      <c r="DJ1069" t="str">
        <f t="shared" si="1394"/>
        <v>TimberInput</v>
      </c>
      <c r="DK1069">
        <f t="shared" si="1395"/>
        <v>0</v>
      </c>
      <c r="DL1069">
        <f t="shared" si="1396"/>
        <v>0</v>
      </c>
      <c r="DM1069">
        <f t="shared" si="1397"/>
        <v>0</v>
      </c>
      <c r="DN1069" t="str">
        <f t="shared" si="1398"/>
        <v>Timber</v>
      </c>
      <c r="DP1069">
        <v>1</v>
      </c>
      <c r="DS1069" s="184" t="s">
        <v>2060</v>
      </c>
      <c r="DT1069"/>
      <c r="DU1069" s="143" t="str">
        <f t="shared" si="1399"/>
        <v>external DF used</v>
      </c>
      <c r="DV1069">
        <v>1</v>
      </c>
      <c r="DW1069">
        <v>1</v>
      </c>
      <c r="DX1069">
        <v>1</v>
      </c>
      <c r="DY1069">
        <v>1</v>
      </c>
      <c r="DZ1069">
        <v>1</v>
      </c>
      <c r="EA1069">
        <v>1</v>
      </c>
      <c r="EB1069">
        <v>0</v>
      </c>
      <c r="EC1069">
        <v>0</v>
      </c>
      <c r="ED1069">
        <v>0</v>
      </c>
      <c r="EE1069">
        <v>0</v>
      </c>
      <c r="EF1069">
        <v>1</v>
      </c>
      <c r="EG1069">
        <v>0</v>
      </c>
      <c r="EH1069">
        <v>1</v>
      </c>
      <c r="EI1069" s="2">
        <v>0</v>
      </c>
      <c r="EK1069" t="str">
        <f t="shared" si="1416"/>
        <v/>
      </c>
      <c r="EL1069" t="str">
        <f t="shared" si="1417"/>
        <v/>
      </c>
      <c r="EM1069" s="2" t="str">
        <f t="shared" si="1424"/>
        <v/>
      </c>
      <c r="EP1069" t="str">
        <f>IF(ISNUMBER(BU1069),IF(ABS(BU1069-[3]QC_indicators!$B$2)&gt;3*[3]QC_indicators!$C$2,"C ratio",IF(ISNUMBER(BY1069),IF(ABS(BY1069-[3]QC_indicators!$B$1)&gt;3*[3]QC_indicators!$C$1,"DF","no"))),IF(ISNUMBER(BY1069),IF(ABS(BY1069-[3]QC_indicators!$B$1)&gt;3*[3]QC_indicators!$C$1,"DF","no")))</f>
        <v>no</v>
      </c>
      <c r="ET1069" s="264" t="s">
        <v>3272</v>
      </c>
    </row>
    <row r="1070" spans="1:151" ht="15" hidden="1" customHeight="1">
      <c r="D1070" t="s">
        <v>2051</v>
      </c>
      <c r="E1070" t="s">
        <v>2052</v>
      </c>
      <c r="G1070" t="s">
        <v>2053</v>
      </c>
      <c r="I1070">
        <v>2018</v>
      </c>
      <c r="K1070" s="150" t="s">
        <v>2054</v>
      </c>
      <c r="M1070" t="str">
        <f t="shared" si="1352"/>
        <v>Olguin_2018</v>
      </c>
      <c r="N1070" t="s">
        <v>222</v>
      </c>
      <c r="O1070" s="157" t="s">
        <v>274</v>
      </c>
      <c r="P1070" t="s">
        <v>513</v>
      </c>
      <c r="Q1070" t="s">
        <v>389</v>
      </c>
      <c r="R1070" s="262" t="s">
        <v>223</v>
      </c>
      <c r="S1070" s="263" t="s">
        <v>3206</v>
      </c>
      <c r="T1070" t="s">
        <v>2055</v>
      </c>
      <c r="U1070" t="s">
        <v>2063</v>
      </c>
      <c r="V1070">
        <v>0</v>
      </c>
      <c r="W1070">
        <v>0</v>
      </c>
      <c r="X1070">
        <v>0</v>
      </c>
      <c r="Y1070">
        <v>0</v>
      </c>
      <c r="Z1070">
        <v>0</v>
      </c>
      <c r="AA1070">
        <v>0</v>
      </c>
      <c r="AB1070">
        <v>0</v>
      </c>
      <c r="AC1070">
        <v>1</v>
      </c>
      <c r="AD1070">
        <v>0</v>
      </c>
      <c r="AE1070">
        <v>0</v>
      </c>
      <c r="AF1070">
        <v>0</v>
      </c>
      <c r="AG1070">
        <v>0</v>
      </c>
      <c r="AH1070">
        <v>0</v>
      </c>
      <c r="AI1070">
        <v>0</v>
      </c>
      <c r="AJ1070">
        <v>0</v>
      </c>
      <c r="AK1070">
        <v>0</v>
      </c>
      <c r="AL1070">
        <v>0</v>
      </c>
      <c r="AM1070">
        <v>0</v>
      </c>
      <c r="AN1070">
        <v>0</v>
      </c>
      <c r="AO1070">
        <v>0</v>
      </c>
      <c r="AP1070">
        <v>0</v>
      </c>
      <c r="AQ1070">
        <v>0</v>
      </c>
      <c r="AR1070">
        <v>0</v>
      </c>
      <c r="AS1070">
        <v>0</v>
      </c>
      <c r="AT1070">
        <v>0</v>
      </c>
      <c r="AU1070">
        <v>0</v>
      </c>
      <c r="AV1070">
        <v>0</v>
      </c>
      <c r="AW1070">
        <v>0</v>
      </c>
      <c r="AX1070" s="141">
        <f t="shared" si="1390"/>
        <v>1</v>
      </c>
      <c r="AY1070" s="141">
        <f t="shared" si="1391"/>
        <v>1</v>
      </c>
      <c r="AZ1070">
        <f t="shared" si="1400"/>
        <v>1</v>
      </c>
      <c r="BA1070">
        <f t="shared" si="1401"/>
        <v>0</v>
      </c>
      <c r="BB1070">
        <f t="shared" si="1402"/>
        <v>0</v>
      </c>
      <c r="BC1070">
        <f t="shared" si="1403"/>
        <v>0</v>
      </c>
      <c r="BD1070">
        <f t="shared" si="1404"/>
        <v>0</v>
      </c>
      <c r="BE1070" t="str">
        <f t="array" ref="BE1070">IF(AY1070=1,INDEX($V$7:$AL$7,MATCH(TRUE,INDEX($V1070:$AW1070&lt;&gt;0,),0)),IF(AY1070=0,INDEX($AM$7:$AW$7,MATCH(1,$AM1070:$AW1070,0)),IF(BF1070="Multiple strategies","mixed drivers",IF(BF1070="Supply chain","multiple supply","multiple silviculture"))))</f>
        <v>site fertility</v>
      </c>
      <c r="BF1070" s="2" t="str" cm="1">
        <f t="array" ref="BF1070">IF(COUNTIF(AZ1070:BB1070,"&lt;&gt;0")=1,INDEX($V$4:$AW$4,MATCH(TRUE,INDEX($V1070:$AW1070&lt;&gt;0,),0)),IF(COUNTIF(AZ1070:BB1070,"&lt;&gt;0")=0,INDEX($AM$4:$AW$4,MATCH(1,$AM1070:$AW1070,0)),"Multiple strategies"))</f>
        <v>Silviculture for productivity</v>
      </c>
      <c r="BG1070" s="1" t="s">
        <v>321</v>
      </c>
      <c r="BI1070" s="264" t="s">
        <v>1035</v>
      </c>
      <c r="BJ1070" t="s">
        <v>2057</v>
      </c>
      <c r="BK1070">
        <v>0</v>
      </c>
      <c r="BL1070">
        <v>6788</v>
      </c>
      <c r="BM1070" t="str">
        <f t="shared" si="1422"/>
        <v/>
      </c>
      <c r="BN1070">
        <f t="shared" si="1405"/>
        <v>6788</v>
      </c>
      <c r="BO1070">
        <f t="shared" si="1420"/>
        <v>29474.598349978292</v>
      </c>
      <c r="BP1070" t="s">
        <v>232</v>
      </c>
      <c r="BQ1070" t="s">
        <v>424</v>
      </c>
      <c r="BR1070" t="s">
        <v>2062</v>
      </c>
      <c r="BU1070" s="144"/>
      <c r="BV1070">
        <v>-0.21</v>
      </c>
      <c r="BX1070">
        <f t="shared" si="1423"/>
        <v>-0.21</v>
      </c>
      <c r="BY1070">
        <f t="shared" si="1419"/>
        <v>-7.1247790218031812E-6</v>
      </c>
      <c r="BZ1070">
        <v>0</v>
      </c>
      <c r="CA1070">
        <v>0</v>
      </c>
      <c r="CB1070">
        <v>0</v>
      </c>
      <c r="CC1070">
        <v>0</v>
      </c>
      <c r="CD1070">
        <v>0</v>
      </c>
      <c r="CE1070">
        <v>0</v>
      </c>
      <c r="CF1070">
        <v>0</v>
      </c>
      <c r="CG1070">
        <v>0</v>
      </c>
      <c r="CH1070">
        <v>0</v>
      </c>
      <c r="CI1070">
        <v>0</v>
      </c>
      <c r="CJ1070">
        <v>0</v>
      </c>
      <c r="CK1070">
        <v>0</v>
      </c>
      <c r="CL1070">
        <v>0</v>
      </c>
      <c r="CM1070">
        <v>0</v>
      </c>
      <c r="CN1070" t="str">
        <f t="shared" si="1406"/>
        <v>refOK</v>
      </c>
      <c r="CO1070">
        <f t="shared" si="1407"/>
        <v>0</v>
      </c>
      <c r="CP1070">
        <f t="shared" si="1408"/>
        <v>6788</v>
      </c>
      <c r="CQ1070">
        <f t="shared" si="1409"/>
        <v>29474.598349978292</v>
      </c>
      <c r="CR1070">
        <f t="shared" si="1410"/>
        <v>0</v>
      </c>
      <c r="CS1070">
        <f t="shared" si="1411"/>
        <v>0</v>
      </c>
      <c r="CT1070">
        <f t="shared" si="1412"/>
        <v>-0.21</v>
      </c>
      <c r="CU1070">
        <f t="shared" si="1413"/>
        <v>-7.1247790218031812E-6</v>
      </c>
      <c r="CV1070" s="2" t="str">
        <f t="shared" si="1393"/>
        <v/>
      </c>
      <c r="CW1070" s="1" t="s">
        <v>2035</v>
      </c>
      <c r="CX1070" t="str">
        <f t="shared" si="1414"/>
        <v>reg</v>
      </c>
      <c r="CY1070" t="s">
        <v>2059</v>
      </c>
      <c r="CZ1070">
        <v>2021</v>
      </c>
      <c r="DA1070">
        <v>2050</v>
      </c>
      <c r="DB1070">
        <f t="shared" si="1421"/>
        <v>29</v>
      </c>
      <c r="DC1070" t="str">
        <f t="shared" si="1415"/>
        <v>1-30</v>
      </c>
      <c r="DD1070">
        <v>0</v>
      </c>
      <c r="DE1070">
        <v>0</v>
      </c>
      <c r="DF1070">
        <v>0</v>
      </c>
      <c r="DG1070">
        <v>1</v>
      </c>
      <c r="DH1070">
        <v>0</v>
      </c>
      <c r="DI1070">
        <f t="shared" si="1418"/>
        <v>1</v>
      </c>
      <c r="DJ1070" t="str">
        <f t="shared" si="1394"/>
        <v>TimberInput</v>
      </c>
      <c r="DK1070">
        <f t="shared" si="1395"/>
        <v>0</v>
      </c>
      <c r="DL1070">
        <f t="shared" si="1396"/>
        <v>0</v>
      </c>
      <c r="DM1070">
        <f t="shared" si="1397"/>
        <v>0</v>
      </c>
      <c r="DN1070" t="str">
        <f t="shared" si="1398"/>
        <v>Timber</v>
      </c>
      <c r="DP1070">
        <v>1</v>
      </c>
      <c r="DS1070" s="184" t="s">
        <v>2060</v>
      </c>
      <c r="DT1070"/>
      <c r="DU1070" s="143" t="str">
        <f t="shared" si="1399"/>
        <v>external DF used</v>
      </c>
      <c r="DV1070">
        <v>1</v>
      </c>
      <c r="DW1070">
        <v>1</v>
      </c>
      <c r="DX1070">
        <v>1</v>
      </c>
      <c r="DY1070">
        <v>1</v>
      </c>
      <c r="DZ1070">
        <v>1</v>
      </c>
      <c r="EA1070">
        <v>1</v>
      </c>
      <c r="EB1070">
        <v>0</v>
      </c>
      <c r="EC1070">
        <v>0</v>
      </c>
      <c r="ED1070">
        <v>0</v>
      </c>
      <c r="EE1070">
        <v>0</v>
      </c>
      <c r="EF1070">
        <v>1</v>
      </c>
      <c r="EG1070">
        <v>0</v>
      </c>
      <c r="EH1070">
        <v>1</v>
      </c>
      <c r="EI1070" s="2">
        <v>0</v>
      </c>
      <c r="EK1070" t="str">
        <f t="shared" si="1416"/>
        <v/>
      </c>
      <c r="EL1070" t="str">
        <f t="shared" si="1417"/>
        <v/>
      </c>
      <c r="EM1070" s="2" t="str">
        <f t="shared" si="1424"/>
        <v/>
      </c>
      <c r="EP1070" t="str">
        <f>IF(ISNUMBER(BU1070),IF(ABS(BU1070-[3]QC_indicators!$B$2)&gt;3*[3]QC_indicators!$C$2,"C ratio",IF(ISNUMBER(BY1070),IF(ABS(BY1070-[3]QC_indicators!$B$1)&gt;3*[3]QC_indicators!$C$1,"DF","no"))),IF(ISNUMBER(BY1070),IF(ABS(BY1070-[3]QC_indicators!$B$1)&gt;3*[3]QC_indicators!$C$1,"DF","no")))</f>
        <v>no</v>
      </c>
      <c r="ET1070" s="264" t="s">
        <v>3272</v>
      </c>
    </row>
    <row r="1071" spans="1:151" ht="15" hidden="1" customHeight="1">
      <c r="D1071" t="s">
        <v>2051</v>
      </c>
      <c r="E1071" t="s">
        <v>2052</v>
      </c>
      <c r="G1071" t="s">
        <v>2053</v>
      </c>
      <c r="I1071">
        <v>2018</v>
      </c>
      <c r="K1071" s="150" t="s">
        <v>2054</v>
      </c>
      <c r="M1071" t="str">
        <f t="shared" si="1352"/>
        <v>Olguin_2018</v>
      </c>
      <c r="N1071" t="s">
        <v>222</v>
      </c>
      <c r="O1071" s="157" t="s">
        <v>274</v>
      </c>
      <c r="P1071" t="s">
        <v>513</v>
      </c>
      <c r="Q1071" t="s">
        <v>389</v>
      </c>
      <c r="R1071" s="262" t="s">
        <v>223</v>
      </c>
      <c r="S1071" s="263" t="s">
        <v>3197</v>
      </c>
      <c r="T1071" t="s">
        <v>2055</v>
      </c>
      <c r="U1071" t="s">
        <v>2064</v>
      </c>
      <c r="V1071">
        <v>0</v>
      </c>
      <c r="W1071">
        <v>0</v>
      </c>
      <c r="X1071">
        <v>0</v>
      </c>
      <c r="Y1071">
        <v>0</v>
      </c>
      <c r="Z1071">
        <v>0</v>
      </c>
      <c r="AA1071">
        <v>0</v>
      </c>
      <c r="AB1071">
        <v>0</v>
      </c>
      <c r="AC1071">
        <v>1</v>
      </c>
      <c r="AD1071">
        <v>0</v>
      </c>
      <c r="AE1071">
        <v>0</v>
      </c>
      <c r="AF1071">
        <v>0</v>
      </c>
      <c r="AG1071">
        <v>0</v>
      </c>
      <c r="AH1071">
        <v>0</v>
      </c>
      <c r="AI1071">
        <v>0</v>
      </c>
      <c r="AJ1071">
        <v>0</v>
      </c>
      <c r="AK1071">
        <v>0</v>
      </c>
      <c r="AL1071">
        <v>0</v>
      </c>
      <c r="AM1071">
        <v>0</v>
      </c>
      <c r="AN1071">
        <v>0</v>
      </c>
      <c r="AO1071">
        <v>0</v>
      </c>
      <c r="AP1071">
        <v>0</v>
      </c>
      <c r="AQ1071">
        <v>0</v>
      </c>
      <c r="AR1071">
        <v>0</v>
      </c>
      <c r="AS1071">
        <v>0</v>
      </c>
      <c r="AT1071">
        <v>0</v>
      </c>
      <c r="AU1071">
        <v>0</v>
      </c>
      <c r="AV1071">
        <v>0</v>
      </c>
      <c r="AW1071">
        <v>0</v>
      </c>
      <c r="AX1071" s="141">
        <f t="shared" si="1390"/>
        <v>1</v>
      </c>
      <c r="AY1071" s="141">
        <f t="shared" si="1391"/>
        <v>1</v>
      </c>
      <c r="AZ1071">
        <f t="shared" si="1400"/>
        <v>1</v>
      </c>
      <c r="BA1071">
        <f t="shared" si="1401"/>
        <v>0</v>
      </c>
      <c r="BB1071">
        <f t="shared" si="1402"/>
        <v>0</v>
      </c>
      <c r="BC1071">
        <f t="shared" si="1403"/>
        <v>0</v>
      </c>
      <c r="BD1071">
        <f t="shared" si="1404"/>
        <v>0</v>
      </c>
      <c r="BE1071" t="str">
        <f t="array" ref="BE1071">IF(AY1071=1,INDEX($V$7:$AL$7,MATCH(TRUE,INDEX($V1071:$AW1071&lt;&gt;0,),0)),IF(AY1071=0,INDEX($AM$7:$AW$7,MATCH(1,$AM1071:$AW1071,0)),IF(BF1071="Multiple strategies","mixed drivers",IF(BF1071="Supply chain","multiple supply","multiple silviculture"))))</f>
        <v>site fertility</v>
      </c>
      <c r="BF1071" s="2" t="str" cm="1">
        <f t="array" ref="BF1071">IF(COUNTIF(AZ1071:BB1071,"&lt;&gt;0")=1,INDEX($V$4:$AW$4,MATCH(TRUE,INDEX($V1071:$AW1071&lt;&gt;0,),0)),IF(COUNTIF(AZ1071:BB1071,"&lt;&gt;0")=0,INDEX($AM$4:$AW$4,MATCH(1,$AM1071:$AW1071,0)),"Multiple strategies"))</f>
        <v>Silviculture for productivity</v>
      </c>
      <c r="BG1071" s="1" t="s">
        <v>321</v>
      </c>
      <c r="BI1071" s="264" t="s">
        <v>1035</v>
      </c>
      <c r="BJ1071" t="s">
        <v>2057</v>
      </c>
      <c r="BK1071">
        <v>0</v>
      </c>
      <c r="BL1071">
        <v>6788</v>
      </c>
      <c r="BM1071" t="str">
        <f t="shared" si="1422"/>
        <v/>
      </c>
      <c r="BN1071">
        <f t="shared" si="1405"/>
        <v>6788</v>
      </c>
      <c r="BO1071">
        <f t="shared" si="1420"/>
        <v>29474.598349978292</v>
      </c>
      <c r="BP1071" t="s">
        <v>232</v>
      </c>
      <c r="BQ1071" t="s">
        <v>424</v>
      </c>
      <c r="BR1071" t="s">
        <v>2062</v>
      </c>
      <c r="BU1071" s="144"/>
      <c r="BV1071">
        <v>-0.19</v>
      </c>
      <c r="BX1071">
        <f t="shared" si="1423"/>
        <v>-0.19</v>
      </c>
      <c r="BY1071">
        <f t="shared" si="1419"/>
        <v>-6.4462286387743068E-6</v>
      </c>
      <c r="BZ1071">
        <v>0</v>
      </c>
      <c r="CA1071">
        <v>0</v>
      </c>
      <c r="CB1071">
        <v>0</v>
      </c>
      <c r="CC1071">
        <v>0</v>
      </c>
      <c r="CD1071">
        <v>0</v>
      </c>
      <c r="CE1071">
        <v>0</v>
      </c>
      <c r="CF1071">
        <v>0</v>
      </c>
      <c r="CG1071">
        <v>0</v>
      </c>
      <c r="CH1071">
        <v>0</v>
      </c>
      <c r="CI1071">
        <v>0</v>
      </c>
      <c r="CJ1071">
        <v>0</v>
      </c>
      <c r="CK1071">
        <v>0</v>
      </c>
      <c r="CL1071">
        <v>0</v>
      </c>
      <c r="CM1071">
        <v>0</v>
      </c>
      <c r="CN1071" t="str">
        <f t="shared" si="1406"/>
        <v>refOK</v>
      </c>
      <c r="CO1071">
        <f t="shared" si="1407"/>
        <v>0</v>
      </c>
      <c r="CP1071">
        <f t="shared" si="1408"/>
        <v>6788</v>
      </c>
      <c r="CQ1071">
        <f t="shared" si="1409"/>
        <v>29474.598349978292</v>
      </c>
      <c r="CR1071">
        <f t="shared" si="1410"/>
        <v>0</v>
      </c>
      <c r="CS1071">
        <f t="shared" si="1411"/>
        <v>0</v>
      </c>
      <c r="CT1071">
        <f t="shared" si="1412"/>
        <v>-0.19</v>
      </c>
      <c r="CU1071">
        <f t="shared" si="1413"/>
        <v>-6.4462286387743068E-6</v>
      </c>
      <c r="CV1071" s="2" t="str">
        <f t="shared" si="1393"/>
        <v/>
      </c>
      <c r="CW1071" s="1" t="s">
        <v>2035</v>
      </c>
      <c r="CX1071" t="str">
        <f t="shared" si="1414"/>
        <v>reg</v>
      </c>
      <c r="CY1071" t="s">
        <v>2059</v>
      </c>
      <c r="CZ1071">
        <v>2021</v>
      </c>
      <c r="DA1071">
        <v>2040</v>
      </c>
      <c r="DB1071">
        <f t="shared" si="1421"/>
        <v>19</v>
      </c>
      <c r="DC1071" t="str">
        <f t="shared" si="1415"/>
        <v>1-30</v>
      </c>
      <c r="DD1071">
        <v>0</v>
      </c>
      <c r="DE1071">
        <v>0</v>
      </c>
      <c r="DF1071">
        <v>0</v>
      </c>
      <c r="DG1071">
        <v>1</v>
      </c>
      <c r="DH1071">
        <v>0</v>
      </c>
      <c r="DI1071">
        <f t="shared" si="1418"/>
        <v>1</v>
      </c>
      <c r="DJ1071" t="str">
        <f t="shared" si="1394"/>
        <v>TimberInput</v>
      </c>
      <c r="DK1071">
        <f t="shared" si="1395"/>
        <v>0</v>
      </c>
      <c r="DL1071">
        <f t="shared" si="1396"/>
        <v>0</v>
      </c>
      <c r="DM1071">
        <f t="shared" si="1397"/>
        <v>0</v>
      </c>
      <c r="DN1071" t="str">
        <f t="shared" si="1398"/>
        <v>Timber</v>
      </c>
      <c r="DP1071">
        <v>1</v>
      </c>
      <c r="DS1071" s="184" t="s">
        <v>2060</v>
      </c>
      <c r="DT1071"/>
      <c r="DU1071" s="143" t="str">
        <f t="shared" si="1399"/>
        <v>external DF used</v>
      </c>
      <c r="DV1071">
        <v>1</v>
      </c>
      <c r="DW1071">
        <v>1</v>
      </c>
      <c r="DX1071">
        <v>1</v>
      </c>
      <c r="DY1071">
        <v>1</v>
      </c>
      <c r="DZ1071">
        <v>1</v>
      </c>
      <c r="EA1071">
        <v>1</v>
      </c>
      <c r="EB1071">
        <v>0</v>
      </c>
      <c r="EC1071">
        <v>0</v>
      </c>
      <c r="ED1071">
        <v>0</v>
      </c>
      <c r="EE1071">
        <v>0</v>
      </c>
      <c r="EF1071">
        <v>1</v>
      </c>
      <c r="EG1071">
        <v>0</v>
      </c>
      <c r="EH1071">
        <v>1</v>
      </c>
      <c r="EI1071" s="2">
        <v>0</v>
      </c>
      <c r="EK1071" t="str">
        <f t="shared" si="1416"/>
        <v/>
      </c>
      <c r="EL1071" t="str">
        <f t="shared" si="1417"/>
        <v/>
      </c>
      <c r="EM1071" s="2" t="str">
        <f t="shared" si="1424"/>
        <v/>
      </c>
      <c r="EP1071" t="str">
        <f>IF(ISNUMBER(BU1071),IF(ABS(BU1071-[3]QC_indicators!$B$2)&gt;3*[3]QC_indicators!$C$2,"C ratio",IF(ISNUMBER(BY1071),IF(ABS(BY1071-[3]QC_indicators!$B$1)&gt;3*[3]QC_indicators!$C$1,"DF","no"))),IF(ISNUMBER(BY1071),IF(ABS(BY1071-[3]QC_indicators!$B$1)&gt;3*[3]QC_indicators!$C$1,"DF","no")))</f>
        <v>no</v>
      </c>
      <c r="ET1071" s="264" t="s">
        <v>3272</v>
      </c>
    </row>
    <row r="1072" spans="1:151" ht="15" hidden="1" customHeight="1">
      <c r="D1072" t="s">
        <v>2051</v>
      </c>
      <c r="E1072" t="s">
        <v>2052</v>
      </c>
      <c r="G1072" t="s">
        <v>2053</v>
      </c>
      <c r="I1072">
        <v>2018</v>
      </c>
      <c r="K1072" s="150" t="s">
        <v>2054</v>
      </c>
      <c r="M1072" t="str">
        <f t="shared" si="1352"/>
        <v>Olguin_2018</v>
      </c>
      <c r="N1072" t="s">
        <v>222</v>
      </c>
      <c r="O1072" s="157" t="s">
        <v>274</v>
      </c>
      <c r="P1072" t="s">
        <v>513</v>
      </c>
      <c r="Q1072" t="s">
        <v>389</v>
      </c>
      <c r="R1072" s="262" t="s">
        <v>223</v>
      </c>
      <c r="S1072" s="263" t="s">
        <v>3200</v>
      </c>
      <c r="T1072" t="s">
        <v>2055</v>
      </c>
      <c r="U1072" t="s">
        <v>2061</v>
      </c>
      <c r="V1072">
        <v>0</v>
      </c>
      <c r="W1072">
        <v>0</v>
      </c>
      <c r="X1072">
        <v>0</v>
      </c>
      <c r="Y1072">
        <v>0</v>
      </c>
      <c r="Z1072">
        <v>0</v>
      </c>
      <c r="AA1072">
        <v>0</v>
      </c>
      <c r="AB1072">
        <v>0</v>
      </c>
      <c r="AC1072">
        <v>1</v>
      </c>
      <c r="AD1072">
        <v>0</v>
      </c>
      <c r="AE1072">
        <v>0</v>
      </c>
      <c r="AF1072">
        <v>1</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s="141">
        <f t="shared" si="1390"/>
        <v>2</v>
      </c>
      <c r="AY1072" s="141">
        <f t="shared" si="1391"/>
        <v>2</v>
      </c>
      <c r="AZ1072">
        <f t="shared" si="1400"/>
        <v>1</v>
      </c>
      <c r="BA1072">
        <f t="shared" si="1401"/>
        <v>1</v>
      </c>
      <c r="BB1072">
        <f t="shared" si="1402"/>
        <v>0</v>
      </c>
      <c r="BC1072">
        <f t="shared" si="1403"/>
        <v>0</v>
      </c>
      <c r="BD1072">
        <f t="shared" si="1404"/>
        <v>0</v>
      </c>
      <c r="BE1072" t="str">
        <f t="array" ref="BE1072">IF(AY1072=1,INDEX($V$7:$AL$7,MATCH(TRUE,INDEX($V1072:$AW1072&lt;&gt;0,),0)),IF(AY1072=0,INDEX($AM$7:$AW$7,MATCH(1,$AM1072:$AW1072,0)),IF(BF1072="Multiple strategies","mixed drivers",IF(BF1072="Supply chain","multiple supply","multiple silviculture"))))</f>
        <v>mixed drivers</v>
      </c>
      <c r="BF1072" s="2" t="str" cm="1">
        <f t="array" ref="BF1072">IF(COUNTIF(AZ1072:BB1072,"&lt;&gt;0")=1,INDEX($V$4:$AW$4,MATCH(TRUE,INDEX($V1072:$AW1072&lt;&gt;0,),0)),IF(COUNTIF(AZ1072:BB1072,"&lt;&gt;0")=0,INDEX($AM$4:$AW$4,MATCH(1,$AM1072:$AW1072,0)),"Multiple strategies"))</f>
        <v>Multiple strategies</v>
      </c>
      <c r="BG1072" s="1" t="s">
        <v>321</v>
      </c>
      <c r="BI1072" s="264" t="s">
        <v>1035</v>
      </c>
      <c r="BJ1072" t="s">
        <v>2057</v>
      </c>
      <c r="BK1072">
        <v>0</v>
      </c>
      <c r="BL1072">
        <v>6788</v>
      </c>
      <c r="BM1072" t="str">
        <f t="shared" si="1422"/>
        <v/>
      </c>
      <c r="BN1072">
        <f t="shared" si="1405"/>
        <v>6788</v>
      </c>
      <c r="BO1072">
        <f t="shared" si="1420"/>
        <v>29474.598349978292</v>
      </c>
      <c r="BP1072" t="s">
        <v>232</v>
      </c>
      <c r="BQ1072" t="s">
        <v>424</v>
      </c>
      <c r="BR1072" t="s">
        <v>2062</v>
      </c>
      <c r="BU1072" s="144"/>
      <c r="BV1072">
        <v>-0.18</v>
      </c>
      <c r="BX1072">
        <f t="shared" si="1423"/>
        <v>-0.18</v>
      </c>
      <c r="BY1072">
        <f t="shared" si="1419"/>
        <v>-6.1069534472598692E-6</v>
      </c>
      <c r="BZ1072">
        <v>0</v>
      </c>
      <c r="CA1072">
        <v>0</v>
      </c>
      <c r="CB1072">
        <v>0</v>
      </c>
      <c r="CC1072">
        <v>0</v>
      </c>
      <c r="CD1072">
        <v>0</v>
      </c>
      <c r="CE1072">
        <v>0</v>
      </c>
      <c r="CF1072">
        <v>0</v>
      </c>
      <c r="CG1072">
        <v>0</v>
      </c>
      <c r="CH1072">
        <v>0</v>
      </c>
      <c r="CI1072">
        <v>0</v>
      </c>
      <c r="CJ1072">
        <v>0</v>
      </c>
      <c r="CK1072">
        <v>0</v>
      </c>
      <c r="CL1072">
        <v>0</v>
      </c>
      <c r="CM1072">
        <v>0</v>
      </c>
      <c r="CN1072" t="str">
        <f t="shared" si="1406"/>
        <v>refOK</v>
      </c>
      <c r="CO1072">
        <f t="shared" si="1407"/>
        <v>0</v>
      </c>
      <c r="CP1072">
        <f t="shared" si="1408"/>
        <v>6788</v>
      </c>
      <c r="CQ1072">
        <f t="shared" si="1409"/>
        <v>29474.598349978292</v>
      </c>
      <c r="CR1072">
        <f t="shared" si="1410"/>
        <v>0</v>
      </c>
      <c r="CS1072">
        <f t="shared" si="1411"/>
        <v>0</v>
      </c>
      <c r="CT1072">
        <f t="shared" si="1412"/>
        <v>-0.18</v>
      </c>
      <c r="CU1072">
        <f t="shared" si="1413"/>
        <v>-6.1069534472598692E-6</v>
      </c>
      <c r="CV1072" s="2" t="str">
        <f t="shared" si="1393"/>
        <v/>
      </c>
      <c r="CW1072" s="1" t="s">
        <v>2035</v>
      </c>
      <c r="CX1072" t="str">
        <f t="shared" si="1414"/>
        <v>reg</v>
      </c>
      <c r="CY1072" t="s">
        <v>2059</v>
      </c>
      <c r="CZ1072">
        <v>2021</v>
      </c>
      <c r="DA1072">
        <v>2040</v>
      </c>
      <c r="DB1072">
        <f t="shared" si="1421"/>
        <v>19</v>
      </c>
      <c r="DC1072" t="str">
        <f t="shared" si="1415"/>
        <v>1-30</v>
      </c>
      <c r="DD1072">
        <v>0</v>
      </c>
      <c r="DE1072">
        <v>0</v>
      </c>
      <c r="DF1072">
        <v>0</v>
      </c>
      <c r="DG1072">
        <v>1</v>
      </c>
      <c r="DH1072">
        <v>0</v>
      </c>
      <c r="DI1072">
        <f t="shared" si="1418"/>
        <v>1</v>
      </c>
      <c r="DJ1072" t="str">
        <f t="shared" si="1394"/>
        <v>TimberInput</v>
      </c>
      <c r="DK1072">
        <f t="shared" si="1395"/>
        <v>0</v>
      </c>
      <c r="DL1072">
        <f t="shared" si="1396"/>
        <v>0</v>
      </c>
      <c r="DM1072">
        <f t="shared" si="1397"/>
        <v>0</v>
      </c>
      <c r="DN1072" t="str">
        <f t="shared" si="1398"/>
        <v>Timber</v>
      </c>
      <c r="DP1072">
        <v>1</v>
      </c>
      <c r="DS1072" s="184" t="s">
        <v>2060</v>
      </c>
      <c r="DT1072"/>
      <c r="DU1072" s="143" t="str">
        <f t="shared" si="1399"/>
        <v>external DF used</v>
      </c>
      <c r="DV1072">
        <v>1</v>
      </c>
      <c r="DW1072">
        <v>1</v>
      </c>
      <c r="DX1072">
        <v>1</v>
      </c>
      <c r="DY1072">
        <v>1</v>
      </c>
      <c r="DZ1072">
        <v>1</v>
      </c>
      <c r="EA1072">
        <v>1</v>
      </c>
      <c r="EB1072">
        <v>0</v>
      </c>
      <c r="EC1072">
        <v>0</v>
      </c>
      <c r="ED1072">
        <v>0</v>
      </c>
      <c r="EE1072">
        <v>0</v>
      </c>
      <c r="EF1072">
        <v>1</v>
      </c>
      <c r="EG1072">
        <v>0</v>
      </c>
      <c r="EH1072">
        <v>1</v>
      </c>
      <c r="EI1072" s="2">
        <v>0</v>
      </c>
      <c r="EK1072" t="str">
        <f t="shared" si="1416"/>
        <v/>
      </c>
      <c r="EL1072" t="str">
        <f t="shared" si="1417"/>
        <v/>
      </c>
      <c r="EM1072" s="2" t="str">
        <f t="shared" si="1424"/>
        <v/>
      </c>
      <c r="EP1072" t="str">
        <f>IF(ISNUMBER(BU1072),IF(ABS(BU1072-[3]QC_indicators!$B$2)&gt;3*[3]QC_indicators!$C$2,"C ratio",IF(ISNUMBER(BY1072),IF(ABS(BY1072-[3]QC_indicators!$B$1)&gt;3*[3]QC_indicators!$C$1,"DF","no"))),IF(ISNUMBER(BY1072),IF(ABS(BY1072-[3]QC_indicators!$B$1)&gt;3*[3]QC_indicators!$C$1,"DF","no")))</f>
        <v>no</v>
      </c>
      <c r="ET1072" s="264" t="s">
        <v>3272</v>
      </c>
    </row>
    <row r="1073" spans="4:150" ht="15" hidden="1" customHeight="1">
      <c r="D1073" t="s">
        <v>2051</v>
      </c>
      <c r="E1073" t="s">
        <v>2052</v>
      </c>
      <c r="G1073" t="s">
        <v>2053</v>
      </c>
      <c r="I1073">
        <v>2018</v>
      </c>
      <c r="K1073" s="150" t="s">
        <v>2054</v>
      </c>
      <c r="M1073" t="str">
        <f t="shared" si="1352"/>
        <v>Olguin_2018</v>
      </c>
      <c r="N1073" t="s">
        <v>222</v>
      </c>
      <c r="O1073" s="157" t="s">
        <v>274</v>
      </c>
      <c r="P1073" t="s">
        <v>513</v>
      </c>
      <c r="Q1073" t="s">
        <v>389</v>
      </c>
      <c r="R1073" s="262" t="s">
        <v>223</v>
      </c>
      <c r="S1073" s="263" t="s">
        <v>3210</v>
      </c>
      <c r="T1073" t="s">
        <v>2055</v>
      </c>
      <c r="U1073" t="s">
        <v>2056</v>
      </c>
      <c r="V1073">
        <v>0</v>
      </c>
      <c r="W1073">
        <v>0</v>
      </c>
      <c r="X1073">
        <v>0</v>
      </c>
      <c r="Y1073">
        <v>0</v>
      </c>
      <c r="Z1073">
        <v>0</v>
      </c>
      <c r="AA1073">
        <v>0</v>
      </c>
      <c r="AB1073">
        <v>0</v>
      </c>
      <c r="AC1073">
        <v>1</v>
      </c>
      <c r="AD1073">
        <v>0</v>
      </c>
      <c r="AE1073">
        <v>0</v>
      </c>
      <c r="AF1073">
        <v>1</v>
      </c>
      <c r="AG1073">
        <v>0</v>
      </c>
      <c r="AH1073">
        <v>0</v>
      </c>
      <c r="AI1073">
        <v>0</v>
      </c>
      <c r="AJ1073">
        <v>0</v>
      </c>
      <c r="AK1073">
        <v>0</v>
      </c>
      <c r="AL1073">
        <v>0</v>
      </c>
      <c r="AM1073">
        <v>0</v>
      </c>
      <c r="AN1073">
        <v>0</v>
      </c>
      <c r="AO1073">
        <v>0</v>
      </c>
      <c r="AP1073">
        <v>0</v>
      </c>
      <c r="AQ1073">
        <v>0</v>
      </c>
      <c r="AR1073">
        <v>0</v>
      </c>
      <c r="AS1073">
        <v>0</v>
      </c>
      <c r="AT1073">
        <v>0</v>
      </c>
      <c r="AU1073">
        <v>0</v>
      </c>
      <c r="AV1073">
        <v>0</v>
      </c>
      <c r="AW1073">
        <v>0</v>
      </c>
      <c r="AX1073" s="141">
        <f t="shared" si="1390"/>
        <v>2</v>
      </c>
      <c r="AY1073" s="141">
        <f t="shared" si="1391"/>
        <v>2</v>
      </c>
      <c r="AZ1073">
        <f t="shared" si="1400"/>
        <v>1</v>
      </c>
      <c r="BA1073">
        <f t="shared" si="1401"/>
        <v>1</v>
      </c>
      <c r="BB1073">
        <f t="shared" si="1402"/>
        <v>0</v>
      </c>
      <c r="BC1073">
        <f t="shared" si="1403"/>
        <v>0</v>
      </c>
      <c r="BD1073">
        <f t="shared" si="1404"/>
        <v>0</v>
      </c>
      <c r="BE1073" t="str">
        <f t="array" ref="BE1073">IF(AY1073=1,INDEX($V$7:$AL$7,MATCH(TRUE,INDEX($V1073:$AW1073&lt;&gt;0,),0)),IF(AY1073=0,INDEX($AM$7:$AW$7,MATCH(1,$AM1073:$AW1073,0)),IF(BF1073="Multiple strategies","mixed drivers",IF(BF1073="Supply chain","multiple supply","multiple silviculture"))))</f>
        <v>mixed drivers</v>
      </c>
      <c r="BF1073" s="2" t="str" cm="1">
        <f t="array" ref="BF1073">IF(COUNTIF(AZ1073:BB1073,"&lt;&gt;0")=1,INDEX($V$4:$AW$4,MATCH(TRUE,INDEX($V1073:$AW1073&lt;&gt;0,),0)),IF(COUNTIF(AZ1073:BB1073,"&lt;&gt;0")=0,INDEX($AM$4:$AW$4,MATCH(1,$AM1073:$AW1073,0)),"Multiple strategies"))</f>
        <v>Multiple strategies</v>
      </c>
      <c r="BG1073" s="1" t="s">
        <v>321</v>
      </c>
      <c r="BI1073" s="264" t="s">
        <v>1035</v>
      </c>
      <c r="BJ1073" t="s">
        <v>2057</v>
      </c>
      <c r="BK1073">
        <v>0</v>
      </c>
      <c r="BL1073">
        <v>6788</v>
      </c>
      <c r="BM1073" t="str">
        <f t="shared" si="1422"/>
        <v/>
      </c>
      <c r="BN1073">
        <f t="shared" si="1405"/>
        <v>6788</v>
      </c>
      <c r="BO1073">
        <f t="shared" si="1420"/>
        <v>29474.598349978292</v>
      </c>
      <c r="BP1073" t="s">
        <v>232</v>
      </c>
      <c r="BQ1073" t="s">
        <v>424</v>
      </c>
      <c r="BR1073" t="s">
        <v>2062</v>
      </c>
      <c r="BU1073" s="144"/>
      <c r="BV1073">
        <v>-0.18</v>
      </c>
      <c r="BX1073">
        <f t="shared" si="1423"/>
        <v>-0.18</v>
      </c>
      <c r="BY1073">
        <f t="shared" si="1419"/>
        <v>-6.1069534472598692E-6</v>
      </c>
      <c r="BZ1073">
        <v>0</v>
      </c>
      <c r="CA1073">
        <v>0</v>
      </c>
      <c r="CB1073">
        <v>0</v>
      </c>
      <c r="CC1073">
        <v>0</v>
      </c>
      <c r="CD1073">
        <v>0</v>
      </c>
      <c r="CE1073">
        <v>0</v>
      </c>
      <c r="CF1073">
        <v>0</v>
      </c>
      <c r="CG1073">
        <v>0</v>
      </c>
      <c r="CH1073">
        <v>0</v>
      </c>
      <c r="CI1073">
        <v>0</v>
      </c>
      <c r="CJ1073">
        <v>0</v>
      </c>
      <c r="CK1073">
        <v>0</v>
      </c>
      <c r="CL1073">
        <v>0</v>
      </c>
      <c r="CM1073">
        <v>0</v>
      </c>
      <c r="CN1073" t="str">
        <f t="shared" si="1406"/>
        <v>refOK</v>
      </c>
      <c r="CO1073">
        <f t="shared" si="1407"/>
        <v>0</v>
      </c>
      <c r="CP1073">
        <f t="shared" si="1408"/>
        <v>6788</v>
      </c>
      <c r="CQ1073">
        <f t="shared" si="1409"/>
        <v>29474.598349978292</v>
      </c>
      <c r="CR1073">
        <f t="shared" si="1410"/>
        <v>0</v>
      </c>
      <c r="CS1073">
        <f t="shared" si="1411"/>
        <v>0</v>
      </c>
      <c r="CT1073">
        <f t="shared" si="1412"/>
        <v>-0.18</v>
      </c>
      <c r="CU1073">
        <f t="shared" si="1413"/>
        <v>-6.1069534472598692E-6</v>
      </c>
      <c r="CV1073" s="2" t="str">
        <f t="shared" si="1393"/>
        <v/>
      </c>
      <c r="CW1073" s="1" t="s">
        <v>2035</v>
      </c>
      <c r="CX1073" t="str">
        <f t="shared" si="1414"/>
        <v>reg</v>
      </c>
      <c r="CY1073" t="s">
        <v>2059</v>
      </c>
      <c r="CZ1073">
        <v>2021</v>
      </c>
      <c r="DA1073">
        <v>2050</v>
      </c>
      <c r="DB1073">
        <f t="shared" si="1421"/>
        <v>29</v>
      </c>
      <c r="DC1073" t="str">
        <f t="shared" si="1415"/>
        <v>1-30</v>
      </c>
      <c r="DD1073">
        <v>0</v>
      </c>
      <c r="DE1073">
        <v>0</v>
      </c>
      <c r="DF1073">
        <v>0</v>
      </c>
      <c r="DG1073">
        <v>1</v>
      </c>
      <c r="DH1073">
        <v>0</v>
      </c>
      <c r="DI1073">
        <f t="shared" si="1418"/>
        <v>1</v>
      </c>
      <c r="DJ1073" t="str">
        <f t="shared" si="1394"/>
        <v>TimberInput</v>
      </c>
      <c r="DK1073">
        <f t="shared" si="1395"/>
        <v>0</v>
      </c>
      <c r="DL1073">
        <f t="shared" si="1396"/>
        <v>0</v>
      </c>
      <c r="DM1073">
        <f t="shared" si="1397"/>
        <v>0</v>
      </c>
      <c r="DN1073" t="str">
        <f t="shared" si="1398"/>
        <v>Timber</v>
      </c>
      <c r="DP1073">
        <v>1</v>
      </c>
      <c r="DS1073" s="184" t="s">
        <v>2060</v>
      </c>
      <c r="DT1073"/>
      <c r="DU1073" s="143" t="str">
        <f t="shared" si="1399"/>
        <v>external DF used</v>
      </c>
      <c r="DV1073">
        <v>1</v>
      </c>
      <c r="DW1073">
        <v>1</v>
      </c>
      <c r="DX1073">
        <v>1</v>
      </c>
      <c r="DY1073">
        <v>1</v>
      </c>
      <c r="DZ1073">
        <v>1</v>
      </c>
      <c r="EA1073">
        <v>1</v>
      </c>
      <c r="EB1073">
        <v>0</v>
      </c>
      <c r="EC1073">
        <v>0</v>
      </c>
      <c r="ED1073">
        <v>0</v>
      </c>
      <c r="EE1073">
        <v>0</v>
      </c>
      <c r="EF1073">
        <v>1</v>
      </c>
      <c r="EG1073">
        <v>0</v>
      </c>
      <c r="EH1073">
        <v>1</v>
      </c>
      <c r="EI1073" s="2">
        <v>0</v>
      </c>
      <c r="EK1073" t="str">
        <f t="shared" si="1416"/>
        <v/>
      </c>
      <c r="EL1073" t="str">
        <f t="shared" si="1417"/>
        <v/>
      </c>
      <c r="EM1073" s="2" t="str">
        <f t="shared" si="1424"/>
        <v/>
      </c>
      <c r="EP1073" t="str">
        <f>IF(ISNUMBER(BU1073),IF(ABS(BU1073-[3]QC_indicators!$B$2)&gt;3*[3]QC_indicators!$C$2,"C ratio",IF(ISNUMBER(BY1073),IF(ABS(BY1073-[3]QC_indicators!$B$1)&gt;3*[3]QC_indicators!$C$1,"DF","no"))),IF(ISNUMBER(BY1073),IF(ABS(BY1073-[3]QC_indicators!$B$1)&gt;3*[3]QC_indicators!$C$1,"DF","no")))</f>
        <v>no</v>
      </c>
      <c r="ET1073" s="264" t="s">
        <v>3272</v>
      </c>
    </row>
    <row r="1074" spans="4:150" ht="15" hidden="1" customHeight="1">
      <c r="D1074" t="s">
        <v>2051</v>
      </c>
      <c r="E1074" t="s">
        <v>2052</v>
      </c>
      <c r="G1074" t="s">
        <v>2053</v>
      </c>
      <c r="I1074">
        <v>2018</v>
      </c>
      <c r="K1074" s="150" t="s">
        <v>2054</v>
      </c>
      <c r="M1074" t="str">
        <f t="shared" si="1352"/>
        <v>Olguin_2018</v>
      </c>
      <c r="N1074" t="s">
        <v>222</v>
      </c>
      <c r="O1074" s="157" t="s">
        <v>274</v>
      </c>
      <c r="P1074" t="s">
        <v>513</v>
      </c>
      <c r="Q1074" t="s">
        <v>389</v>
      </c>
      <c r="R1074" s="262" t="s">
        <v>223</v>
      </c>
      <c r="S1074" s="263" t="s">
        <v>3198</v>
      </c>
      <c r="T1074" t="s">
        <v>2055</v>
      </c>
      <c r="U1074" t="s">
        <v>2063</v>
      </c>
      <c r="V1074">
        <v>0</v>
      </c>
      <c r="W1074">
        <v>0</v>
      </c>
      <c r="X1074">
        <v>0</v>
      </c>
      <c r="Y1074">
        <v>0</v>
      </c>
      <c r="Z1074">
        <v>0</v>
      </c>
      <c r="AA1074">
        <v>0</v>
      </c>
      <c r="AB1074">
        <v>0</v>
      </c>
      <c r="AC1074">
        <v>1</v>
      </c>
      <c r="AD1074">
        <v>0</v>
      </c>
      <c r="AE1074">
        <v>0</v>
      </c>
      <c r="AF1074">
        <v>0</v>
      </c>
      <c r="AG1074">
        <v>0</v>
      </c>
      <c r="AH1074">
        <v>0</v>
      </c>
      <c r="AI1074">
        <v>0</v>
      </c>
      <c r="AJ1074">
        <v>0</v>
      </c>
      <c r="AK1074">
        <v>0</v>
      </c>
      <c r="AL1074">
        <v>0</v>
      </c>
      <c r="AM1074">
        <v>0</v>
      </c>
      <c r="AN1074">
        <v>0</v>
      </c>
      <c r="AO1074">
        <v>0</v>
      </c>
      <c r="AP1074">
        <v>0</v>
      </c>
      <c r="AQ1074">
        <v>0</v>
      </c>
      <c r="AR1074">
        <v>0</v>
      </c>
      <c r="AS1074">
        <v>0</v>
      </c>
      <c r="AT1074">
        <v>0</v>
      </c>
      <c r="AU1074">
        <v>0</v>
      </c>
      <c r="AV1074">
        <v>0</v>
      </c>
      <c r="AW1074">
        <v>0</v>
      </c>
      <c r="AX1074" s="141">
        <f t="shared" si="1390"/>
        <v>1</v>
      </c>
      <c r="AY1074" s="141">
        <f t="shared" si="1391"/>
        <v>1</v>
      </c>
      <c r="AZ1074">
        <f t="shared" si="1400"/>
        <v>1</v>
      </c>
      <c r="BA1074">
        <f t="shared" si="1401"/>
        <v>0</v>
      </c>
      <c r="BB1074">
        <f t="shared" si="1402"/>
        <v>0</v>
      </c>
      <c r="BC1074">
        <f t="shared" si="1403"/>
        <v>0</v>
      </c>
      <c r="BD1074">
        <f t="shared" si="1404"/>
        <v>0</v>
      </c>
      <c r="BE1074" t="str">
        <f t="array" ref="BE1074">IF(AY1074=1,INDEX($V$7:$AL$7,MATCH(TRUE,INDEX($V1074:$AW1074&lt;&gt;0,),0)),IF(AY1074=0,INDEX($AM$7:$AW$7,MATCH(1,$AM1074:$AW1074,0)),IF(BF1074="Multiple strategies","mixed drivers",IF(BF1074="Supply chain","multiple supply","multiple silviculture"))))</f>
        <v>site fertility</v>
      </c>
      <c r="BF1074" s="2" t="str" cm="1">
        <f t="array" ref="BF1074">IF(COUNTIF(AZ1074:BB1074,"&lt;&gt;0")=1,INDEX($V$4:$AW$4,MATCH(TRUE,INDEX($V1074:$AW1074&lt;&gt;0,),0)),IF(COUNTIF(AZ1074:BB1074,"&lt;&gt;0")=0,INDEX($AM$4:$AW$4,MATCH(1,$AM1074:$AW1074,0)),"Multiple strategies"))</f>
        <v>Silviculture for productivity</v>
      </c>
      <c r="BG1074" s="1" t="s">
        <v>321</v>
      </c>
      <c r="BI1074" s="264" t="s">
        <v>1035</v>
      </c>
      <c r="BJ1074" t="s">
        <v>2057</v>
      </c>
      <c r="BK1074">
        <v>0</v>
      </c>
      <c r="BL1074">
        <v>6788</v>
      </c>
      <c r="BM1074" t="str">
        <f t="shared" si="1422"/>
        <v/>
      </c>
      <c r="BN1074">
        <f t="shared" si="1405"/>
        <v>6788</v>
      </c>
      <c r="BO1074">
        <f t="shared" si="1420"/>
        <v>29474.598349978292</v>
      </c>
      <c r="BP1074" t="s">
        <v>232</v>
      </c>
      <c r="BQ1074" t="s">
        <v>424</v>
      </c>
      <c r="BR1074" t="s">
        <v>2062</v>
      </c>
      <c r="BU1074" s="144"/>
      <c r="BV1074">
        <v>-0.17</v>
      </c>
      <c r="BX1074">
        <f t="shared" si="1423"/>
        <v>-0.17</v>
      </c>
      <c r="BY1074">
        <f t="shared" si="1419"/>
        <v>-5.7676782557454333E-6</v>
      </c>
      <c r="BZ1074">
        <v>0</v>
      </c>
      <c r="CA1074">
        <v>0</v>
      </c>
      <c r="CB1074">
        <v>0</v>
      </c>
      <c r="CC1074">
        <v>0</v>
      </c>
      <c r="CD1074">
        <v>0</v>
      </c>
      <c r="CE1074">
        <v>0</v>
      </c>
      <c r="CF1074">
        <v>0</v>
      </c>
      <c r="CG1074">
        <v>0</v>
      </c>
      <c r="CH1074">
        <v>0</v>
      </c>
      <c r="CI1074">
        <v>0</v>
      </c>
      <c r="CJ1074">
        <v>0</v>
      </c>
      <c r="CK1074">
        <v>0</v>
      </c>
      <c r="CL1074">
        <v>0</v>
      </c>
      <c r="CM1074">
        <v>0</v>
      </c>
      <c r="CN1074" t="str">
        <f t="shared" si="1406"/>
        <v>refOK</v>
      </c>
      <c r="CO1074">
        <f t="shared" si="1407"/>
        <v>0</v>
      </c>
      <c r="CP1074">
        <f t="shared" si="1408"/>
        <v>6788</v>
      </c>
      <c r="CQ1074">
        <f t="shared" si="1409"/>
        <v>29474.598349978292</v>
      </c>
      <c r="CR1074">
        <f t="shared" si="1410"/>
        <v>0</v>
      </c>
      <c r="CS1074">
        <f t="shared" si="1411"/>
        <v>0</v>
      </c>
      <c r="CT1074">
        <f t="shared" si="1412"/>
        <v>-0.17</v>
      </c>
      <c r="CU1074">
        <f t="shared" si="1413"/>
        <v>-5.7676782557454333E-6</v>
      </c>
      <c r="CV1074" s="2" t="str">
        <f t="shared" si="1393"/>
        <v/>
      </c>
      <c r="CW1074" s="1" t="s">
        <v>2035</v>
      </c>
      <c r="CX1074" t="str">
        <f t="shared" si="1414"/>
        <v>reg</v>
      </c>
      <c r="CY1074" t="s">
        <v>2059</v>
      </c>
      <c r="CZ1074">
        <v>2021</v>
      </c>
      <c r="DA1074">
        <v>2040</v>
      </c>
      <c r="DB1074">
        <f t="shared" si="1421"/>
        <v>19</v>
      </c>
      <c r="DC1074" t="str">
        <f t="shared" si="1415"/>
        <v>1-30</v>
      </c>
      <c r="DD1074">
        <v>0</v>
      </c>
      <c r="DE1074">
        <v>0</v>
      </c>
      <c r="DF1074">
        <v>0</v>
      </c>
      <c r="DG1074">
        <v>1</v>
      </c>
      <c r="DH1074">
        <v>0</v>
      </c>
      <c r="DI1074">
        <f t="shared" si="1418"/>
        <v>1</v>
      </c>
      <c r="DJ1074" t="str">
        <f t="shared" si="1394"/>
        <v>TimberInput</v>
      </c>
      <c r="DK1074">
        <f t="shared" si="1395"/>
        <v>0</v>
      </c>
      <c r="DL1074">
        <f t="shared" si="1396"/>
        <v>0</v>
      </c>
      <c r="DM1074">
        <f t="shared" si="1397"/>
        <v>0</v>
      </c>
      <c r="DN1074" t="str">
        <f t="shared" si="1398"/>
        <v>Timber</v>
      </c>
      <c r="DP1074">
        <v>1</v>
      </c>
      <c r="DS1074" s="184" t="s">
        <v>2060</v>
      </c>
      <c r="DT1074"/>
      <c r="DU1074" s="143" t="str">
        <f t="shared" si="1399"/>
        <v>external DF used</v>
      </c>
      <c r="DV1074">
        <v>1</v>
      </c>
      <c r="DW1074">
        <v>1</v>
      </c>
      <c r="DX1074">
        <v>1</v>
      </c>
      <c r="DY1074">
        <v>1</v>
      </c>
      <c r="DZ1074">
        <v>1</v>
      </c>
      <c r="EA1074">
        <v>1</v>
      </c>
      <c r="EB1074">
        <v>0</v>
      </c>
      <c r="EC1074">
        <v>0</v>
      </c>
      <c r="ED1074">
        <v>0</v>
      </c>
      <c r="EE1074">
        <v>0</v>
      </c>
      <c r="EF1074">
        <v>1</v>
      </c>
      <c r="EG1074">
        <v>0</v>
      </c>
      <c r="EH1074">
        <v>1</v>
      </c>
      <c r="EI1074" s="2">
        <v>0</v>
      </c>
      <c r="EK1074" t="str">
        <f t="shared" si="1416"/>
        <v/>
      </c>
      <c r="EL1074" t="str">
        <f t="shared" si="1417"/>
        <v/>
      </c>
      <c r="EM1074" s="2" t="str">
        <f t="shared" si="1424"/>
        <v/>
      </c>
      <c r="EP1074" t="str">
        <f>IF(ISNUMBER(BU1074),IF(ABS(BU1074-[3]QC_indicators!$B$2)&gt;3*[3]QC_indicators!$C$2,"C ratio",IF(ISNUMBER(BY1074),IF(ABS(BY1074-[3]QC_indicators!$B$1)&gt;3*[3]QC_indicators!$C$1,"DF","no"))),IF(ISNUMBER(BY1074),IF(ABS(BY1074-[3]QC_indicators!$B$1)&gt;3*[3]QC_indicators!$C$1,"DF","no")))</f>
        <v>no</v>
      </c>
      <c r="ET1074" s="264" t="s">
        <v>3272</v>
      </c>
    </row>
    <row r="1075" spans="4:150" ht="15" hidden="1" customHeight="1">
      <c r="D1075" t="s">
        <v>2051</v>
      </c>
      <c r="E1075" t="s">
        <v>2052</v>
      </c>
      <c r="G1075" t="s">
        <v>2053</v>
      </c>
      <c r="I1075">
        <v>2018</v>
      </c>
      <c r="K1075" s="150" t="s">
        <v>2054</v>
      </c>
      <c r="M1075" t="str">
        <f t="shared" si="1352"/>
        <v>Olguin_2018</v>
      </c>
      <c r="N1075" t="s">
        <v>222</v>
      </c>
      <c r="O1075" s="157" t="s">
        <v>274</v>
      </c>
      <c r="P1075" t="s">
        <v>513</v>
      </c>
      <c r="Q1075" t="s">
        <v>389</v>
      </c>
      <c r="R1075" s="262" t="s">
        <v>223</v>
      </c>
      <c r="S1075" s="263" t="s">
        <v>3196</v>
      </c>
      <c r="T1075" t="s">
        <v>2055</v>
      </c>
      <c r="U1075" t="s">
        <v>2064</v>
      </c>
      <c r="V1075">
        <v>0</v>
      </c>
      <c r="W1075">
        <v>0</v>
      </c>
      <c r="X1075">
        <v>0</v>
      </c>
      <c r="Y1075">
        <v>0</v>
      </c>
      <c r="Z1075">
        <v>0</v>
      </c>
      <c r="AA1075">
        <v>0</v>
      </c>
      <c r="AB1075">
        <v>0</v>
      </c>
      <c r="AC1075">
        <v>1</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s="141">
        <f t="shared" si="1390"/>
        <v>1</v>
      </c>
      <c r="AY1075" s="141">
        <f t="shared" si="1391"/>
        <v>1</v>
      </c>
      <c r="AZ1075">
        <f t="shared" si="1400"/>
        <v>1</v>
      </c>
      <c r="BA1075">
        <f t="shared" si="1401"/>
        <v>0</v>
      </c>
      <c r="BB1075">
        <f t="shared" si="1402"/>
        <v>0</v>
      </c>
      <c r="BC1075">
        <f t="shared" si="1403"/>
        <v>0</v>
      </c>
      <c r="BD1075">
        <f t="shared" si="1404"/>
        <v>0</v>
      </c>
      <c r="BE1075" t="str">
        <f t="array" ref="BE1075">IF(AY1075=1,INDEX($V$7:$AL$7,MATCH(TRUE,INDEX($V1075:$AW1075&lt;&gt;0,),0)),IF(AY1075=0,INDEX($AM$7:$AW$7,MATCH(1,$AM1075:$AW1075,0)),IF(BF1075="Multiple strategies","mixed drivers",IF(BF1075="Supply chain","multiple supply","multiple silviculture"))))</f>
        <v>site fertility</v>
      </c>
      <c r="BF1075" s="2" t="str" cm="1">
        <f t="array" ref="BF1075">IF(COUNTIF(AZ1075:BB1075,"&lt;&gt;0")=1,INDEX($V$4:$AW$4,MATCH(TRUE,INDEX($V1075:$AW1075&lt;&gt;0,),0)),IF(COUNTIF(AZ1075:BB1075,"&lt;&gt;0")=0,INDEX($AM$4:$AW$4,MATCH(1,$AM1075:$AW1075,0)),"Multiple strategies"))</f>
        <v>Silviculture for productivity</v>
      </c>
      <c r="BG1075" s="1" t="s">
        <v>321</v>
      </c>
      <c r="BI1075" s="264" t="s">
        <v>1035</v>
      </c>
      <c r="BJ1075" t="s">
        <v>2057</v>
      </c>
      <c r="BK1075">
        <v>0</v>
      </c>
      <c r="BL1075">
        <v>218025</v>
      </c>
      <c r="BM1075" t="str">
        <f t="shared" si="1422"/>
        <v/>
      </c>
      <c r="BN1075">
        <f t="shared" si="1405"/>
        <v>218025</v>
      </c>
      <c r="BO1075">
        <f t="shared" si="1420"/>
        <v>946699.95657837612</v>
      </c>
      <c r="BP1075" t="s">
        <v>232</v>
      </c>
      <c r="BQ1075" t="s">
        <v>424</v>
      </c>
      <c r="BR1075" t="s">
        <v>2062</v>
      </c>
      <c r="BU1075" s="144"/>
      <c r="BV1075">
        <v>-1.62</v>
      </c>
      <c r="BX1075">
        <f t="shared" si="1423"/>
        <v>-1.62</v>
      </c>
      <c r="BY1075">
        <f t="shared" si="1419"/>
        <v>-1.7112074303405573E-6</v>
      </c>
      <c r="BZ1075">
        <v>0</v>
      </c>
      <c r="CA1075">
        <v>0</v>
      </c>
      <c r="CB1075">
        <v>0</v>
      </c>
      <c r="CC1075">
        <v>0</v>
      </c>
      <c r="CD1075">
        <v>0</v>
      </c>
      <c r="CE1075">
        <v>0</v>
      </c>
      <c r="CF1075">
        <v>0</v>
      </c>
      <c r="CG1075">
        <v>0</v>
      </c>
      <c r="CH1075">
        <v>0</v>
      </c>
      <c r="CI1075">
        <v>0</v>
      </c>
      <c r="CJ1075">
        <v>0</v>
      </c>
      <c r="CK1075">
        <v>0</v>
      </c>
      <c r="CL1075">
        <v>0</v>
      </c>
      <c r="CM1075">
        <v>0</v>
      </c>
      <c r="CN1075" t="str">
        <f t="shared" si="1406"/>
        <v>refOK</v>
      </c>
      <c r="CO1075">
        <f t="shared" si="1407"/>
        <v>0</v>
      </c>
      <c r="CP1075">
        <f t="shared" si="1408"/>
        <v>218025</v>
      </c>
      <c r="CQ1075">
        <f t="shared" si="1409"/>
        <v>946699.95657837612</v>
      </c>
      <c r="CR1075">
        <f t="shared" si="1410"/>
        <v>0</v>
      </c>
      <c r="CS1075">
        <f t="shared" si="1411"/>
        <v>0</v>
      </c>
      <c r="CT1075">
        <f t="shared" si="1412"/>
        <v>-1.62</v>
      </c>
      <c r="CU1075">
        <f t="shared" si="1413"/>
        <v>-1.7112074303405573E-6</v>
      </c>
      <c r="CV1075" s="2" t="str">
        <f t="shared" si="1393"/>
        <v/>
      </c>
      <c r="CW1075" s="1" t="s">
        <v>2035</v>
      </c>
      <c r="CX1075" t="str">
        <f t="shared" si="1414"/>
        <v>reg</v>
      </c>
      <c r="CY1075" t="s">
        <v>2059</v>
      </c>
      <c r="CZ1075">
        <v>2021</v>
      </c>
      <c r="DA1075">
        <v>2040</v>
      </c>
      <c r="DB1075">
        <f t="shared" si="1421"/>
        <v>19</v>
      </c>
      <c r="DC1075" t="str">
        <f t="shared" si="1415"/>
        <v>1-30</v>
      </c>
      <c r="DD1075">
        <v>0</v>
      </c>
      <c r="DE1075">
        <v>0</v>
      </c>
      <c r="DF1075">
        <v>0</v>
      </c>
      <c r="DG1075">
        <v>1</v>
      </c>
      <c r="DH1075">
        <v>0</v>
      </c>
      <c r="DI1075">
        <f t="shared" si="1418"/>
        <v>1</v>
      </c>
      <c r="DJ1075" t="str">
        <f t="shared" si="1394"/>
        <v>TimberInput</v>
      </c>
      <c r="DK1075">
        <f t="shared" si="1395"/>
        <v>0</v>
      </c>
      <c r="DL1075">
        <f t="shared" si="1396"/>
        <v>0</v>
      </c>
      <c r="DM1075">
        <f t="shared" si="1397"/>
        <v>0</v>
      </c>
      <c r="DN1075" t="str">
        <f t="shared" si="1398"/>
        <v>Timber</v>
      </c>
      <c r="DP1075">
        <v>1</v>
      </c>
      <c r="DS1075" s="184" t="s">
        <v>2060</v>
      </c>
      <c r="DT1075"/>
      <c r="DU1075" s="143" t="str">
        <f t="shared" si="1399"/>
        <v>external DF used</v>
      </c>
      <c r="DV1075">
        <v>1</v>
      </c>
      <c r="DW1075">
        <v>1</v>
      </c>
      <c r="DX1075">
        <v>1</v>
      </c>
      <c r="DY1075">
        <v>1</v>
      </c>
      <c r="DZ1075">
        <v>1</v>
      </c>
      <c r="EA1075">
        <v>1</v>
      </c>
      <c r="EB1075">
        <v>0</v>
      </c>
      <c r="EC1075">
        <v>0</v>
      </c>
      <c r="ED1075">
        <v>0</v>
      </c>
      <c r="EE1075">
        <v>0</v>
      </c>
      <c r="EF1075">
        <v>1</v>
      </c>
      <c r="EG1075">
        <v>0</v>
      </c>
      <c r="EH1075">
        <v>1</v>
      </c>
      <c r="EI1075" s="2">
        <v>0</v>
      </c>
      <c r="EK1075" t="str">
        <f t="shared" si="1416"/>
        <v/>
      </c>
      <c r="EL1075" t="str">
        <f t="shared" si="1417"/>
        <v/>
      </c>
      <c r="EM1075" s="2" t="str">
        <f t="shared" si="1424"/>
        <v/>
      </c>
      <c r="EP1075" t="str">
        <f>IF(ISNUMBER(BU1075),IF(ABS(BU1075-[3]QC_indicators!$B$2)&gt;3*[3]QC_indicators!$C$2,"C ratio",IF(ISNUMBER(BY1075),IF(ABS(BY1075-[3]QC_indicators!$B$1)&gt;3*[3]QC_indicators!$C$1,"DF","no"))),IF(ISNUMBER(BY1075),IF(ABS(BY1075-[3]QC_indicators!$B$1)&gt;3*[3]QC_indicators!$C$1,"DF","no")))</f>
        <v>no</v>
      </c>
      <c r="ET1075" s="264" t="s">
        <v>3272</v>
      </c>
    </row>
    <row r="1076" spans="4:150" ht="15" hidden="1" customHeight="1">
      <c r="D1076" t="s">
        <v>2051</v>
      </c>
      <c r="E1076" t="s">
        <v>2052</v>
      </c>
      <c r="G1076" t="s">
        <v>2053</v>
      </c>
      <c r="I1076">
        <v>2018</v>
      </c>
      <c r="K1076" s="150" t="s">
        <v>2054</v>
      </c>
      <c r="M1076" t="str">
        <f t="shared" si="1352"/>
        <v>Olguin_2018</v>
      </c>
      <c r="N1076" t="s">
        <v>222</v>
      </c>
      <c r="O1076" s="157" t="s">
        <v>274</v>
      </c>
      <c r="P1076" t="s">
        <v>513</v>
      </c>
      <c r="Q1076" t="s">
        <v>389</v>
      </c>
      <c r="R1076" s="262" t="s">
        <v>223</v>
      </c>
      <c r="S1076" s="263" t="s">
        <v>3203</v>
      </c>
      <c r="T1076" t="s">
        <v>2055</v>
      </c>
      <c r="U1076" t="s">
        <v>2064</v>
      </c>
      <c r="V1076">
        <v>0</v>
      </c>
      <c r="W1076">
        <v>0</v>
      </c>
      <c r="X1076">
        <v>0</v>
      </c>
      <c r="Y1076">
        <v>0</v>
      </c>
      <c r="Z1076">
        <v>0</v>
      </c>
      <c r="AA1076">
        <v>0</v>
      </c>
      <c r="AB1076">
        <v>0</v>
      </c>
      <c r="AC1076">
        <v>1</v>
      </c>
      <c r="AD1076">
        <v>0</v>
      </c>
      <c r="AE1076">
        <v>0</v>
      </c>
      <c r="AF1076">
        <v>0</v>
      </c>
      <c r="AG1076">
        <v>0</v>
      </c>
      <c r="AH1076">
        <v>0</v>
      </c>
      <c r="AI1076">
        <v>0</v>
      </c>
      <c r="AJ1076">
        <v>0</v>
      </c>
      <c r="AK1076">
        <v>0</v>
      </c>
      <c r="AL1076">
        <v>0</v>
      </c>
      <c r="AM1076">
        <v>0</v>
      </c>
      <c r="AN1076">
        <v>0</v>
      </c>
      <c r="AO1076">
        <v>0</v>
      </c>
      <c r="AP1076">
        <v>0</v>
      </c>
      <c r="AQ1076">
        <v>0</v>
      </c>
      <c r="AR1076">
        <v>0</v>
      </c>
      <c r="AS1076">
        <v>0</v>
      </c>
      <c r="AT1076">
        <v>0</v>
      </c>
      <c r="AU1076">
        <v>0</v>
      </c>
      <c r="AV1076">
        <v>0</v>
      </c>
      <c r="AW1076">
        <v>0</v>
      </c>
      <c r="AX1076" s="141">
        <f t="shared" si="1390"/>
        <v>1</v>
      </c>
      <c r="AY1076" s="141">
        <f t="shared" si="1391"/>
        <v>1</v>
      </c>
      <c r="AZ1076">
        <f t="shared" si="1400"/>
        <v>1</v>
      </c>
      <c r="BA1076">
        <f t="shared" si="1401"/>
        <v>0</v>
      </c>
      <c r="BB1076">
        <f t="shared" si="1402"/>
        <v>0</v>
      </c>
      <c r="BC1076">
        <f t="shared" si="1403"/>
        <v>0</v>
      </c>
      <c r="BD1076">
        <f t="shared" si="1404"/>
        <v>0</v>
      </c>
      <c r="BE1076" t="str">
        <f t="array" ref="BE1076">IF(AY1076=1,INDEX($V$7:$AL$7,MATCH(TRUE,INDEX($V1076:$AW1076&lt;&gt;0,),0)),IF(AY1076=0,INDEX($AM$7:$AW$7,MATCH(1,$AM1076:$AW1076,0)),IF(BF1076="Multiple strategies","mixed drivers",IF(BF1076="Supply chain","multiple supply","multiple silviculture"))))</f>
        <v>site fertility</v>
      </c>
      <c r="BF1076" s="2" t="str" cm="1">
        <f t="array" ref="BF1076">IF(COUNTIF(AZ1076:BB1076,"&lt;&gt;0")=1,INDEX($V$4:$AW$4,MATCH(TRUE,INDEX($V1076:$AW1076&lt;&gt;0,),0)),IF(COUNTIF(AZ1076:BB1076,"&lt;&gt;0")=0,INDEX($AM$4:$AW$4,MATCH(1,$AM1076:$AW1076,0)),"Multiple strategies"))</f>
        <v>Silviculture for productivity</v>
      </c>
      <c r="BG1076" s="1" t="s">
        <v>321</v>
      </c>
      <c r="BI1076" s="264" t="s">
        <v>1035</v>
      </c>
      <c r="BJ1076" t="s">
        <v>2057</v>
      </c>
      <c r="BK1076">
        <v>0</v>
      </c>
      <c r="BL1076">
        <v>218025</v>
      </c>
      <c r="BM1076" t="str">
        <f t="shared" si="1422"/>
        <v/>
      </c>
      <c r="BN1076">
        <f t="shared" si="1405"/>
        <v>218025</v>
      </c>
      <c r="BO1076">
        <f t="shared" si="1420"/>
        <v>946699.95657837612</v>
      </c>
      <c r="BP1076" t="s">
        <v>232</v>
      </c>
      <c r="BQ1076" t="s">
        <v>424</v>
      </c>
      <c r="BR1076" t="s">
        <v>2062</v>
      </c>
      <c r="BU1076" s="144"/>
      <c r="BV1076">
        <v>-1.49</v>
      </c>
      <c r="BX1076">
        <f t="shared" si="1423"/>
        <v>-1.49</v>
      </c>
      <c r="BY1076">
        <f t="shared" si="1419"/>
        <v>-1.573888315560142E-6</v>
      </c>
      <c r="BZ1076">
        <v>0</v>
      </c>
      <c r="CA1076">
        <v>0</v>
      </c>
      <c r="CB1076">
        <v>0</v>
      </c>
      <c r="CC1076">
        <v>0</v>
      </c>
      <c r="CD1076">
        <v>0</v>
      </c>
      <c r="CE1076">
        <v>0</v>
      </c>
      <c r="CF1076">
        <v>0</v>
      </c>
      <c r="CG1076">
        <v>0</v>
      </c>
      <c r="CH1076">
        <v>0</v>
      </c>
      <c r="CI1076">
        <v>0</v>
      </c>
      <c r="CJ1076">
        <v>0</v>
      </c>
      <c r="CK1076">
        <v>0</v>
      </c>
      <c r="CL1076">
        <v>0</v>
      </c>
      <c r="CM1076">
        <v>0</v>
      </c>
      <c r="CN1076" t="str">
        <f t="shared" si="1406"/>
        <v>refOK</v>
      </c>
      <c r="CO1076">
        <f t="shared" si="1407"/>
        <v>0</v>
      </c>
      <c r="CP1076">
        <f t="shared" si="1408"/>
        <v>218025</v>
      </c>
      <c r="CQ1076">
        <f t="shared" si="1409"/>
        <v>946699.95657837612</v>
      </c>
      <c r="CR1076">
        <f t="shared" si="1410"/>
        <v>0</v>
      </c>
      <c r="CS1076">
        <f t="shared" si="1411"/>
        <v>0</v>
      </c>
      <c r="CT1076">
        <f t="shared" si="1412"/>
        <v>-1.49</v>
      </c>
      <c r="CU1076">
        <f t="shared" si="1413"/>
        <v>-1.573888315560142E-6</v>
      </c>
      <c r="CV1076" s="2" t="str">
        <f t="shared" si="1393"/>
        <v/>
      </c>
      <c r="CW1076" s="1" t="s">
        <v>2035</v>
      </c>
      <c r="CX1076" t="str">
        <f t="shared" si="1414"/>
        <v>reg</v>
      </c>
      <c r="CY1076" t="s">
        <v>2059</v>
      </c>
      <c r="CZ1076">
        <v>2021</v>
      </c>
      <c r="DA1076">
        <v>2050</v>
      </c>
      <c r="DB1076">
        <f t="shared" si="1421"/>
        <v>29</v>
      </c>
      <c r="DC1076" t="str">
        <f t="shared" si="1415"/>
        <v>1-30</v>
      </c>
      <c r="DD1076">
        <v>0</v>
      </c>
      <c r="DE1076">
        <v>0</v>
      </c>
      <c r="DF1076">
        <v>0</v>
      </c>
      <c r="DG1076">
        <v>1</v>
      </c>
      <c r="DH1076">
        <v>0</v>
      </c>
      <c r="DI1076">
        <f t="shared" si="1418"/>
        <v>1</v>
      </c>
      <c r="DJ1076" t="str">
        <f t="shared" si="1394"/>
        <v>TimberInput</v>
      </c>
      <c r="DK1076">
        <f t="shared" si="1395"/>
        <v>0</v>
      </c>
      <c r="DL1076">
        <f t="shared" si="1396"/>
        <v>0</v>
      </c>
      <c r="DM1076">
        <f t="shared" si="1397"/>
        <v>0</v>
      </c>
      <c r="DN1076" t="str">
        <f t="shared" si="1398"/>
        <v>Timber</v>
      </c>
      <c r="DP1076">
        <v>1</v>
      </c>
      <c r="DS1076" s="184" t="s">
        <v>2060</v>
      </c>
      <c r="DT1076"/>
      <c r="DU1076" s="143" t="str">
        <f t="shared" si="1399"/>
        <v>external DF used</v>
      </c>
      <c r="DV1076">
        <v>1</v>
      </c>
      <c r="DW1076">
        <v>1</v>
      </c>
      <c r="DX1076">
        <v>1</v>
      </c>
      <c r="DY1076">
        <v>1</v>
      </c>
      <c r="DZ1076">
        <v>1</v>
      </c>
      <c r="EA1076">
        <v>1</v>
      </c>
      <c r="EB1076">
        <v>0</v>
      </c>
      <c r="EC1076">
        <v>0</v>
      </c>
      <c r="ED1076">
        <v>0</v>
      </c>
      <c r="EE1076">
        <v>0</v>
      </c>
      <c r="EF1076">
        <v>1</v>
      </c>
      <c r="EG1076">
        <v>0</v>
      </c>
      <c r="EH1076">
        <v>1</v>
      </c>
      <c r="EI1076" s="2">
        <v>0</v>
      </c>
      <c r="EK1076" t="str">
        <f t="shared" si="1416"/>
        <v/>
      </c>
      <c r="EL1076" t="str">
        <f t="shared" si="1417"/>
        <v/>
      </c>
      <c r="EM1076" s="2" t="str">
        <f t="shared" si="1424"/>
        <v/>
      </c>
      <c r="EP1076" t="str">
        <f>IF(ISNUMBER(BU1076),IF(ABS(BU1076-[3]QC_indicators!$B$2)&gt;3*[3]QC_indicators!$C$2,"C ratio",IF(ISNUMBER(BY1076),IF(ABS(BY1076-[3]QC_indicators!$B$1)&gt;3*[3]QC_indicators!$C$1,"DF","no"))),IF(ISNUMBER(BY1076),IF(ABS(BY1076-[3]QC_indicators!$B$1)&gt;3*[3]QC_indicators!$C$1,"DF","no")))</f>
        <v>no</v>
      </c>
      <c r="ET1076" s="264" t="s">
        <v>3272</v>
      </c>
    </row>
    <row r="1077" spans="4:150" ht="15" hidden="1" customHeight="1">
      <c r="D1077" t="s">
        <v>2051</v>
      </c>
      <c r="E1077" t="s">
        <v>2052</v>
      </c>
      <c r="G1077" t="s">
        <v>2053</v>
      </c>
      <c r="I1077">
        <v>2018</v>
      </c>
      <c r="K1077" s="150" t="s">
        <v>2054</v>
      </c>
      <c r="M1077" t="str">
        <f t="shared" si="1352"/>
        <v>Olguin_2018</v>
      </c>
      <c r="N1077" t="s">
        <v>222</v>
      </c>
      <c r="O1077" s="157" t="s">
        <v>274</v>
      </c>
      <c r="P1077" t="s">
        <v>513</v>
      </c>
      <c r="Q1077" t="s">
        <v>389</v>
      </c>
      <c r="R1077" s="262" t="s">
        <v>223</v>
      </c>
      <c r="S1077" s="263" t="s">
        <v>3202</v>
      </c>
      <c r="T1077" t="s">
        <v>2055</v>
      </c>
      <c r="U1077" t="s">
        <v>2061</v>
      </c>
      <c r="V1077">
        <v>0</v>
      </c>
      <c r="W1077">
        <v>0</v>
      </c>
      <c r="X1077">
        <v>0</v>
      </c>
      <c r="Y1077">
        <v>0</v>
      </c>
      <c r="Z1077">
        <v>0</v>
      </c>
      <c r="AA1077">
        <v>0</v>
      </c>
      <c r="AB1077">
        <v>0</v>
      </c>
      <c r="AC1077">
        <v>1</v>
      </c>
      <c r="AD1077">
        <v>0</v>
      </c>
      <c r="AE1077">
        <v>0</v>
      </c>
      <c r="AF1077">
        <v>1</v>
      </c>
      <c r="AG1077">
        <v>0</v>
      </c>
      <c r="AH1077">
        <v>0</v>
      </c>
      <c r="AI1077">
        <v>0</v>
      </c>
      <c r="AJ1077">
        <v>0</v>
      </c>
      <c r="AK1077">
        <v>0</v>
      </c>
      <c r="AL1077">
        <v>0</v>
      </c>
      <c r="AM1077">
        <v>0</v>
      </c>
      <c r="AN1077">
        <v>0</v>
      </c>
      <c r="AO1077">
        <v>0</v>
      </c>
      <c r="AP1077">
        <v>0</v>
      </c>
      <c r="AQ1077">
        <v>0</v>
      </c>
      <c r="AR1077">
        <v>0</v>
      </c>
      <c r="AS1077">
        <v>0</v>
      </c>
      <c r="AT1077">
        <v>0</v>
      </c>
      <c r="AU1077">
        <v>0</v>
      </c>
      <c r="AV1077">
        <v>0</v>
      </c>
      <c r="AW1077">
        <v>0</v>
      </c>
      <c r="AX1077" s="141">
        <f t="shared" si="1390"/>
        <v>2</v>
      </c>
      <c r="AY1077" s="141">
        <f t="shared" si="1391"/>
        <v>2</v>
      </c>
      <c r="AZ1077">
        <f t="shared" si="1400"/>
        <v>1</v>
      </c>
      <c r="BA1077">
        <f t="shared" si="1401"/>
        <v>1</v>
      </c>
      <c r="BB1077">
        <f t="shared" si="1402"/>
        <v>0</v>
      </c>
      <c r="BC1077">
        <f t="shared" si="1403"/>
        <v>0</v>
      </c>
      <c r="BD1077">
        <f t="shared" si="1404"/>
        <v>0</v>
      </c>
      <c r="BE1077" t="str">
        <f t="array" ref="BE1077">IF(AY1077=1,INDEX($V$7:$AL$7,MATCH(TRUE,INDEX($V1077:$AW1077&lt;&gt;0,),0)),IF(AY1077=0,INDEX($AM$7:$AW$7,MATCH(1,$AM1077:$AW1077,0)),IF(BF1077="Multiple strategies","mixed drivers",IF(BF1077="Supply chain","multiple supply","multiple silviculture"))))</f>
        <v>mixed drivers</v>
      </c>
      <c r="BF1077" s="2" t="str" cm="1">
        <f t="array" ref="BF1077">IF(COUNTIF(AZ1077:BB1077,"&lt;&gt;0")=1,INDEX($V$4:$AW$4,MATCH(TRUE,INDEX($V1077:$AW1077&lt;&gt;0,),0)),IF(COUNTIF(AZ1077:BB1077,"&lt;&gt;0")=0,INDEX($AM$4:$AW$4,MATCH(1,$AM1077:$AW1077,0)),"Multiple strategies"))</f>
        <v>Multiple strategies</v>
      </c>
      <c r="BG1077" s="1" t="s">
        <v>321</v>
      </c>
      <c r="BI1077" s="264" t="s">
        <v>1035</v>
      </c>
      <c r="BJ1077" t="s">
        <v>2057</v>
      </c>
      <c r="BK1077">
        <v>0</v>
      </c>
      <c r="BL1077">
        <v>218025</v>
      </c>
      <c r="BM1077" t="str">
        <f t="shared" si="1422"/>
        <v/>
      </c>
      <c r="BN1077">
        <f t="shared" si="1405"/>
        <v>218025</v>
      </c>
      <c r="BO1077">
        <f t="shared" si="1420"/>
        <v>946699.95657837612</v>
      </c>
      <c r="BP1077" t="s">
        <v>232</v>
      </c>
      <c r="BQ1077" t="s">
        <v>424</v>
      </c>
      <c r="BR1077" t="s">
        <v>2062</v>
      </c>
      <c r="BU1077" s="144"/>
      <c r="BV1077">
        <v>-1.31</v>
      </c>
      <c r="BX1077">
        <f t="shared" si="1423"/>
        <v>-1.31</v>
      </c>
      <c r="BY1077">
        <f t="shared" si="1419"/>
        <v>-1.3837541566334135E-6</v>
      </c>
      <c r="BZ1077">
        <v>0</v>
      </c>
      <c r="CA1077">
        <v>0</v>
      </c>
      <c r="CB1077">
        <v>0</v>
      </c>
      <c r="CC1077">
        <v>0</v>
      </c>
      <c r="CD1077">
        <v>0</v>
      </c>
      <c r="CE1077">
        <v>0</v>
      </c>
      <c r="CF1077">
        <v>0</v>
      </c>
      <c r="CG1077">
        <v>0</v>
      </c>
      <c r="CH1077">
        <v>0</v>
      </c>
      <c r="CI1077">
        <v>0</v>
      </c>
      <c r="CJ1077">
        <v>0</v>
      </c>
      <c r="CK1077">
        <v>0</v>
      </c>
      <c r="CL1077">
        <v>0</v>
      </c>
      <c r="CM1077">
        <v>0</v>
      </c>
      <c r="CN1077" t="str">
        <f t="shared" si="1406"/>
        <v>refOK</v>
      </c>
      <c r="CO1077">
        <f t="shared" si="1407"/>
        <v>0</v>
      </c>
      <c r="CP1077">
        <f t="shared" si="1408"/>
        <v>218025</v>
      </c>
      <c r="CQ1077">
        <f t="shared" si="1409"/>
        <v>946699.95657837612</v>
      </c>
      <c r="CR1077">
        <f t="shared" si="1410"/>
        <v>0</v>
      </c>
      <c r="CS1077">
        <f t="shared" si="1411"/>
        <v>0</v>
      </c>
      <c r="CT1077">
        <f t="shared" si="1412"/>
        <v>-1.31</v>
      </c>
      <c r="CU1077">
        <f t="shared" si="1413"/>
        <v>-1.3837541566334135E-6</v>
      </c>
      <c r="CV1077" s="2" t="str">
        <f t="shared" si="1393"/>
        <v/>
      </c>
      <c r="CW1077" s="1" t="s">
        <v>2035</v>
      </c>
      <c r="CX1077" t="str">
        <f t="shared" si="1414"/>
        <v>reg</v>
      </c>
      <c r="CY1077" t="s">
        <v>2059</v>
      </c>
      <c r="CZ1077">
        <v>2021</v>
      </c>
      <c r="DA1077">
        <v>2040</v>
      </c>
      <c r="DB1077">
        <f t="shared" si="1421"/>
        <v>19</v>
      </c>
      <c r="DC1077" t="str">
        <f t="shared" si="1415"/>
        <v>1-30</v>
      </c>
      <c r="DD1077">
        <v>0</v>
      </c>
      <c r="DE1077">
        <v>0</v>
      </c>
      <c r="DF1077">
        <v>0</v>
      </c>
      <c r="DG1077">
        <v>1</v>
      </c>
      <c r="DH1077">
        <v>0</v>
      </c>
      <c r="DI1077">
        <f t="shared" si="1418"/>
        <v>1</v>
      </c>
      <c r="DJ1077" t="str">
        <f t="shared" si="1394"/>
        <v>TimberInput</v>
      </c>
      <c r="DK1077">
        <f t="shared" si="1395"/>
        <v>0</v>
      </c>
      <c r="DL1077">
        <f t="shared" si="1396"/>
        <v>0</v>
      </c>
      <c r="DM1077">
        <f t="shared" si="1397"/>
        <v>0</v>
      </c>
      <c r="DN1077" t="str">
        <f t="shared" si="1398"/>
        <v>Timber</v>
      </c>
      <c r="DP1077">
        <v>1</v>
      </c>
      <c r="DS1077" s="184" t="s">
        <v>2060</v>
      </c>
      <c r="DT1077"/>
      <c r="DU1077" s="143" t="str">
        <f t="shared" si="1399"/>
        <v>external DF used</v>
      </c>
      <c r="DV1077">
        <v>1</v>
      </c>
      <c r="DW1077">
        <v>1</v>
      </c>
      <c r="DX1077">
        <v>1</v>
      </c>
      <c r="DY1077">
        <v>1</v>
      </c>
      <c r="DZ1077">
        <v>1</v>
      </c>
      <c r="EA1077">
        <v>1</v>
      </c>
      <c r="EB1077">
        <v>0</v>
      </c>
      <c r="EC1077">
        <v>0</v>
      </c>
      <c r="ED1077">
        <v>0</v>
      </c>
      <c r="EE1077">
        <v>0</v>
      </c>
      <c r="EF1077">
        <v>1</v>
      </c>
      <c r="EG1077">
        <v>0</v>
      </c>
      <c r="EH1077">
        <v>1</v>
      </c>
      <c r="EI1077" s="2">
        <v>0</v>
      </c>
      <c r="EK1077" t="str">
        <f t="shared" si="1416"/>
        <v/>
      </c>
      <c r="EL1077" t="str">
        <f t="shared" si="1417"/>
        <v/>
      </c>
      <c r="EM1077" s="2" t="str">
        <f t="shared" si="1424"/>
        <v/>
      </c>
      <c r="EP1077" t="str">
        <f>IF(ISNUMBER(BU1077),IF(ABS(BU1077-[3]QC_indicators!$B$2)&gt;3*[3]QC_indicators!$C$2,"C ratio",IF(ISNUMBER(BY1077),IF(ABS(BY1077-[3]QC_indicators!$B$1)&gt;3*[3]QC_indicators!$C$1,"DF","no"))),IF(ISNUMBER(BY1077),IF(ABS(BY1077-[3]QC_indicators!$B$1)&gt;3*[3]QC_indicators!$C$1,"DF","no")))</f>
        <v>no</v>
      </c>
      <c r="ET1077" s="264" t="s">
        <v>3272</v>
      </c>
    </row>
    <row r="1078" spans="4:150" ht="15" hidden="1" customHeight="1">
      <c r="D1078" t="s">
        <v>2051</v>
      </c>
      <c r="E1078" t="s">
        <v>2052</v>
      </c>
      <c r="G1078" t="s">
        <v>2053</v>
      </c>
      <c r="I1078">
        <v>2018</v>
      </c>
      <c r="K1078" s="150" t="s">
        <v>2054</v>
      </c>
      <c r="M1078" t="str">
        <f t="shared" si="1352"/>
        <v>Olguin_2018</v>
      </c>
      <c r="N1078" t="s">
        <v>222</v>
      </c>
      <c r="O1078" s="157" t="s">
        <v>274</v>
      </c>
      <c r="P1078" t="s">
        <v>513</v>
      </c>
      <c r="Q1078" t="s">
        <v>389</v>
      </c>
      <c r="R1078" s="262" t="s">
        <v>223</v>
      </c>
      <c r="S1078" s="263" t="s">
        <v>3207</v>
      </c>
      <c r="T1078" t="s">
        <v>2055</v>
      </c>
      <c r="U1078" t="s">
        <v>2061</v>
      </c>
      <c r="V1078">
        <v>0</v>
      </c>
      <c r="W1078">
        <v>0</v>
      </c>
      <c r="X1078">
        <v>0</v>
      </c>
      <c r="Y1078">
        <v>0</v>
      </c>
      <c r="Z1078">
        <v>0</v>
      </c>
      <c r="AA1078">
        <v>0</v>
      </c>
      <c r="AB1078">
        <v>0</v>
      </c>
      <c r="AC1078">
        <v>1</v>
      </c>
      <c r="AD1078">
        <v>0</v>
      </c>
      <c r="AE1078">
        <v>0</v>
      </c>
      <c r="AF1078">
        <v>1</v>
      </c>
      <c r="AG1078">
        <v>0</v>
      </c>
      <c r="AH1078">
        <v>0</v>
      </c>
      <c r="AI1078">
        <v>0</v>
      </c>
      <c r="AJ1078">
        <v>0</v>
      </c>
      <c r="AK1078">
        <v>0</v>
      </c>
      <c r="AL1078">
        <v>0</v>
      </c>
      <c r="AM1078">
        <v>0</v>
      </c>
      <c r="AN1078">
        <v>0</v>
      </c>
      <c r="AO1078">
        <v>0</v>
      </c>
      <c r="AP1078">
        <v>0</v>
      </c>
      <c r="AQ1078">
        <v>0</v>
      </c>
      <c r="AR1078">
        <v>0</v>
      </c>
      <c r="AS1078">
        <v>0</v>
      </c>
      <c r="AT1078">
        <v>0</v>
      </c>
      <c r="AU1078">
        <v>0</v>
      </c>
      <c r="AV1078">
        <v>0</v>
      </c>
      <c r="AW1078">
        <v>0</v>
      </c>
      <c r="AX1078" s="141">
        <f t="shared" si="1390"/>
        <v>2</v>
      </c>
      <c r="AY1078" s="141">
        <f t="shared" si="1391"/>
        <v>2</v>
      </c>
      <c r="AZ1078">
        <f t="shared" si="1400"/>
        <v>1</v>
      </c>
      <c r="BA1078">
        <f t="shared" si="1401"/>
        <v>1</v>
      </c>
      <c r="BB1078">
        <f t="shared" si="1402"/>
        <v>0</v>
      </c>
      <c r="BC1078">
        <f t="shared" si="1403"/>
        <v>0</v>
      </c>
      <c r="BD1078">
        <f t="shared" si="1404"/>
        <v>0</v>
      </c>
      <c r="BE1078" t="str">
        <f t="array" ref="BE1078">IF(AY1078=1,INDEX($V$7:$AL$7,MATCH(TRUE,INDEX($V1078:$AW1078&lt;&gt;0,),0)),IF(AY1078=0,INDEX($AM$7:$AW$7,MATCH(1,$AM1078:$AW1078,0)),IF(BF1078="Multiple strategies","mixed drivers",IF(BF1078="Supply chain","multiple supply","multiple silviculture"))))</f>
        <v>mixed drivers</v>
      </c>
      <c r="BF1078" s="2" t="str" cm="1">
        <f t="array" ref="BF1078">IF(COUNTIF(AZ1078:BB1078,"&lt;&gt;0")=1,INDEX($V$4:$AW$4,MATCH(TRUE,INDEX($V1078:$AW1078&lt;&gt;0,),0)),IF(COUNTIF(AZ1078:BB1078,"&lt;&gt;0")=0,INDEX($AM$4:$AW$4,MATCH(1,$AM1078:$AW1078,0)),"Multiple strategies"))</f>
        <v>Multiple strategies</v>
      </c>
      <c r="BG1078" s="1" t="s">
        <v>321</v>
      </c>
      <c r="BI1078" s="264" t="s">
        <v>1035</v>
      </c>
      <c r="BJ1078" t="s">
        <v>2057</v>
      </c>
      <c r="BK1078">
        <v>0</v>
      </c>
      <c r="BL1078">
        <v>218025</v>
      </c>
      <c r="BM1078" t="str">
        <f t="shared" si="1422"/>
        <v/>
      </c>
      <c r="BN1078">
        <f t="shared" si="1405"/>
        <v>218025</v>
      </c>
      <c r="BO1078">
        <f t="shared" si="1420"/>
        <v>946699.95657837612</v>
      </c>
      <c r="BP1078" t="s">
        <v>232</v>
      </c>
      <c r="BQ1078" t="s">
        <v>424</v>
      </c>
      <c r="BR1078" t="s">
        <v>2062</v>
      </c>
      <c r="BU1078" s="144"/>
      <c r="BV1078">
        <v>-1.1599999999999999</v>
      </c>
      <c r="BX1078">
        <f t="shared" si="1423"/>
        <v>-1.1599999999999999</v>
      </c>
      <c r="BY1078">
        <f t="shared" si="1419"/>
        <v>-1.2253090241944729E-6</v>
      </c>
      <c r="BZ1078">
        <v>0</v>
      </c>
      <c r="CA1078">
        <v>0</v>
      </c>
      <c r="CB1078">
        <v>0</v>
      </c>
      <c r="CC1078">
        <v>0</v>
      </c>
      <c r="CD1078">
        <v>0</v>
      </c>
      <c r="CE1078">
        <v>0</v>
      </c>
      <c r="CF1078">
        <v>0</v>
      </c>
      <c r="CG1078">
        <v>0</v>
      </c>
      <c r="CH1078">
        <v>0</v>
      </c>
      <c r="CI1078">
        <v>0</v>
      </c>
      <c r="CJ1078">
        <v>0</v>
      </c>
      <c r="CK1078">
        <v>0</v>
      </c>
      <c r="CL1078">
        <v>0</v>
      </c>
      <c r="CM1078">
        <v>0</v>
      </c>
      <c r="CN1078" t="str">
        <f t="shared" si="1406"/>
        <v>refOK</v>
      </c>
      <c r="CO1078">
        <f t="shared" si="1407"/>
        <v>0</v>
      </c>
      <c r="CP1078">
        <f t="shared" si="1408"/>
        <v>218025</v>
      </c>
      <c r="CQ1078">
        <f t="shared" si="1409"/>
        <v>946699.95657837612</v>
      </c>
      <c r="CR1078">
        <f t="shared" si="1410"/>
        <v>0</v>
      </c>
      <c r="CS1078">
        <f t="shared" si="1411"/>
        <v>0</v>
      </c>
      <c r="CT1078">
        <f t="shared" si="1412"/>
        <v>-1.1599999999999999</v>
      </c>
      <c r="CU1078">
        <f t="shared" si="1413"/>
        <v>-1.2253090241944729E-6</v>
      </c>
      <c r="CV1078" s="2" t="str">
        <f t="shared" si="1393"/>
        <v/>
      </c>
      <c r="CW1078" s="1" t="s">
        <v>2035</v>
      </c>
      <c r="CX1078" t="str">
        <f t="shared" si="1414"/>
        <v>reg</v>
      </c>
      <c r="CY1078" t="s">
        <v>2059</v>
      </c>
      <c r="CZ1078">
        <v>2021</v>
      </c>
      <c r="DA1078">
        <v>2050</v>
      </c>
      <c r="DB1078">
        <f t="shared" si="1421"/>
        <v>29</v>
      </c>
      <c r="DC1078" t="str">
        <f t="shared" si="1415"/>
        <v>1-30</v>
      </c>
      <c r="DD1078">
        <v>0</v>
      </c>
      <c r="DE1078">
        <v>0</v>
      </c>
      <c r="DF1078">
        <v>0</v>
      </c>
      <c r="DG1078">
        <v>1</v>
      </c>
      <c r="DH1078">
        <v>0</v>
      </c>
      <c r="DI1078">
        <f t="shared" si="1418"/>
        <v>1</v>
      </c>
      <c r="DJ1078" t="str">
        <f t="shared" si="1394"/>
        <v>TimberInput</v>
      </c>
      <c r="DK1078">
        <f t="shared" si="1395"/>
        <v>0</v>
      </c>
      <c r="DL1078">
        <f t="shared" si="1396"/>
        <v>0</v>
      </c>
      <c r="DM1078">
        <f t="shared" si="1397"/>
        <v>0</v>
      </c>
      <c r="DN1078" t="str">
        <f t="shared" si="1398"/>
        <v>Timber</v>
      </c>
      <c r="DP1078">
        <v>1</v>
      </c>
      <c r="DS1078" s="184" t="s">
        <v>2060</v>
      </c>
      <c r="DT1078"/>
      <c r="DU1078" s="143" t="str">
        <f t="shared" si="1399"/>
        <v>external DF used</v>
      </c>
      <c r="DV1078">
        <v>1</v>
      </c>
      <c r="DW1078">
        <v>1</v>
      </c>
      <c r="DX1078">
        <v>1</v>
      </c>
      <c r="DY1078">
        <v>1</v>
      </c>
      <c r="DZ1078">
        <v>1</v>
      </c>
      <c r="EA1078">
        <v>1</v>
      </c>
      <c r="EB1078">
        <v>0</v>
      </c>
      <c r="EC1078">
        <v>0</v>
      </c>
      <c r="ED1078">
        <v>0</v>
      </c>
      <c r="EE1078">
        <v>0</v>
      </c>
      <c r="EF1078">
        <v>1</v>
      </c>
      <c r="EG1078">
        <v>0</v>
      </c>
      <c r="EH1078">
        <v>1</v>
      </c>
      <c r="EI1078" s="2">
        <v>0</v>
      </c>
      <c r="EK1078" t="str">
        <f t="shared" si="1416"/>
        <v/>
      </c>
      <c r="EL1078" t="str">
        <f t="shared" si="1417"/>
        <v/>
      </c>
      <c r="EM1078" s="2" t="str">
        <f t="shared" si="1424"/>
        <v/>
      </c>
      <c r="EP1078" t="str">
        <f>IF(ISNUMBER(BU1078),IF(ABS(BU1078-[3]QC_indicators!$B$2)&gt;3*[3]QC_indicators!$C$2,"C ratio",IF(ISNUMBER(BY1078),IF(ABS(BY1078-[3]QC_indicators!$B$1)&gt;3*[3]QC_indicators!$C$1,"DF","no"))),IF(ISNUMBER(BY1078),IF(ABS(BY1078-[3]QC_indicators!$B$1)&gt;3*[3]QC_indicators!$C$1,"DF","no")))</f>
        <v>no</v>
      </c>
      <c r="ET1078" s="264" t="s">
        <v>3272</v>
      </c>
    </row>
    <row r="1079" spans="4:150" ht="15" hidden="1" customHeight="1">
      <c r="D1079" t="s">
        <v>2051</v>
      </c>
      <c r="E1079" t="s">
        <v>2052</v>
      </c>
      <c r="G1079" t="s">
        <v>2053</v>
      </c>
      <c r="I1079">
        <v>2018</v>
      </c>
      <c r="K1079" s="150" t="s">
        <v>2054</v>
      </c>
      <c r="M1079" t="str">
        <f t="shared" si="1352"/>
        <v>Olguin_2018</v>
      </c>
      <c r="N1079" t="s">
        <v>222</v>
      </c>
      <c r="O1079" s="157" t="s">
        <v>274</v>
      </c>
      <c r="P1079" t="s">
        <v>513</v>
      </c>
      <c r="Q1079" t="s">
        <v>389</v>
      </c>
      <c r="R1079" s="262" t="s">
        <v>223</v>
      </c>
      <c r="S1079" s="263" t="s">
        <v>3199</v>
      </c>
      <c r="T1079" t="s">
        <v>2055</v>
      </c>
      <c r="U1079" t="s">
        <v>2063</v>
      </c>
      <c r="V1079">
        <v>0</v>
      </c>
      <c r="W1079">
        <v>0</v>
      </c>
      <c r="X1079">
        <v>0</v>
      </c>
      <c r="Y1079">
        <v>0</v>
      </c>
      <c r="Z1079">
        <v>0</v>
      </c>
      <c r="AA1079">
        <v>0</v>
      </c>
      <c r="AB1079">
        <v>0</v>
      </c>
      <c r="AC1079">
        <v>1</v>
      </c>
      <c r="AD1079">
        <v>0</v>
      </c>
      <c r="AE1079">
        <v>0</v>
      </c>
      <c r="AF1079">
        <v>0</v>
      </c>
      <c r="AG1079">
        <v>0</v>
      </c>
      <c r="AH1079">
        <v>0</v>
      </c>
      <c r="AI1079">
        <v>0</v>
      </c>
      <c r="AJ1079">
        <v>0</v>
      </c>
      <c r="AK1079">
        <v>0</v>
      </c>
      <c r="AL1079">
        <v>0</v>
      </c>
      <c r="AM1079">
        <v>0</v>
      </c>
      <c r="AN1079">
        <v>0</v>
      </c>
      <c r="AO1079">
        <v>0</v>
      </c>
      <c r="AP1079">
        <v>0</v>
      </c>
      <c r="AQ1079">
        <v>0</v>
      </c>
      <c r="AR1079">
        <v>0</v>
      </c>
      <c r="AS1079">
        <v>0</v>
      </c>
      <c r="AT1079">
        <v>0</v>
      </c>
      <c r="AU1079">
        <v>0</v>
      </c>
      <c r="AV1079">
        <v>0</v>
      </c>
      <c r="AW1079">
        <v>0</v>
      </c>
      <c r="AX1079" s="141">
        <f t="shared" si="1390"/>
        <v>1</v>
      </c>
      <c r="AY1079" s="141">
        <f t="shared" si="1391"/>
        <v>1</v>
      </c>
      <c r="AZ1079">
        <f t="shared" si="1400"/>
        <v>1</v>
      </c>
      <c r="BA1079">
        <f t="shared" si="1401"/>
        <v>0</v>
      </c>
      <c r="BB1079">
        <f t="shared" si="1402"/>
        <v>0</v>
      </c>
      <c r="BC1079">
        <f t="shared" si="1403"/>
        <v>0</v>
      </c>
      <c r="BD1079">
        <f t="shared" si="1404"/>
        <v>0</v>
      </c>
      <c r="BE1079" t="str">
        <f t="array" ref="BE1079">IF(AY1079=1,INDEX($V$7:$AL$7,MATCH(TRUE,INDEX($V1079:$AW1079&lt;&gt;0,),0)),IF(AY1079=0,INDEX($AM$7:$AW$7,MATCH(1,$AM1079:$AW1079,0)),IF(BF1079="Multiple strategies","mixed drivers",IF(BF1079="Supply chain","multiple supply","multiple silviculture"))))</f>
        <v>site fertility</v>
      </c>
      <c r="BF1079" s="2" t="str" cm="1">
        <f t="array" ref="BF1079">IF(COUNTIF(AZ1079:BB1079,"&lt;&gt;0")=1,INDEX($V$4:$AW$4,MATCH(TRUE,INDEX($V1079:$AW1079&lt;&gt;0,),0)),IF(COUNTIF(AZ1079:BB1079,"&lt;&gt;0")=0,INDEX($AM$4:$AW$4,MATCH(1,$AM1079:$AW1079,0)),"Multiple strategies"))</f>
        <v>Silviculture for productivity</v>
      </c>
      <c r="BG1079" s="1" t="s">
        <v>321</v>
      </c>
      <c r="BI1079" s="264" t="s">
        <v>1035</v>
      </c>
      <c r="BJ1079" t="s">
        <v>2057</v>
      </c>
      <c r="BK1079">
        <v>0</v>
      </c>
      <c r="BL1079">
        <v>218025</v>
      </c>
      <c r="BM1079" t="str">
        <f t="shared" si="1422"/>
        <v/>
      </c>
      <c r="BN1079">
        <f t="shared" si="1405"/>
        <v>218025</v>
      </c>
      <c r="BO1079">
        <f t="shared" si="1420"/>
        <v>946699.95657837612</v>
      </c>
      <c r="BP1079" t="s">
        <v>232</v>
      </c>
      <c r="BQ1079" t="s">
        <v>424</v>
      </c>
      <c r="BR1079" t="s">
        <v>2062</v>
      </c>
      <c r="BU1079" s="144"/>
      <c r="BV1079">
        <v>-1.1599999999999999</v>
      </c>
      <c r="BX1079">
        <f t="shared" si="1423"/>
        <v>-1.1599999999999999</v>
      </c>
      <c r="BY1079">
        <f t="shared" si="1419"/>
        <v>-1.2253090241944729E-6</v>
      </c>
      <c r="BZ1079">
        <v>0</v>
      </c>
      <c r="CA1079">
        <v>0</v>
      </c>
      <c r="CB1079">
        <v>0</v>
      </c>
      <c r="CC1079">
        <v>0</v>
      </c>
      <c r="CD1079">
        <v>0</v>
      </c>
      <c r="CE1079">
        <v>0</v>
      </c>
      <c r="CF1079">
        <v>0</v>
      </c>
      <c r="CG1079">
        <v>0</v>
      </c>
      <c r="CH1079">
        <v>0</v>
      </c>
      <c r="CI1079">
        <v>0</v>
      </c>
      <c r="CJ1079">
        <v>0</v>
      </c>
      <c r="CK1079">
        <v>0</v>
      </c>
      <c r="CL1079">
        <v>0</v>
      </c>
      <c r="CM1079">
        <v>0</v>
      </c>
      <c r="CN1079" t="str">
        <f t="shared" si="1406"/>
        <v>refOK</v>
      </c>
      <c r="CO1079">
        <f t="shared" si="1407"/>
        <v>0</v>
      </c>
      <c r="CP1079">
        <f t="shared" si="1408"/>
        <v>218025</v>
      </c>
      <c r="CQ1079">
        <f t="shared" si="1409"/>
        <v>946699.95657837612</v>
      </c>
      <c r="CR1079">
        <f t="shared" si="1410"/>
        <v>0</v>
      </c>
      <c r="CS1079">
        <f t="shared" si="1411"/>
        <v>0</v>
      </c>
      <c r="CT1079">
        <f t="shared" si="1412"/>
        <v>-1.1599999999999999</v>
      </c>
      <c r="CU1079">
        <f t="shared" si="1413"/>
        <v>-1.2253090241944729E-6</v>
      </c>
      <c r="CV1079" s="2" t="str">
        <f t="shared" si="1393"/>
        <v/>
      </c>
      <c r="CW1079" s="1" t="s">
        <v>2035</v>
      </c>
      <c r="CX1079" t="str">
        <f t="shared" si="1414"/>
        <v>reg</v>
      </c>
      <c r="CY1079" t="s">
        <v>2059</v>
      </c>
      <c r="CZ1079">
        <v>2021</v>
      </c>
      <c r="DA1079">
        <v>2040</v>
      </c>
      <c r="DB1079">
        <f t="shared" si="1421"/>
        <v>19</v>
      </c>
      <c r="DC1079" t="str">
        <f t="shared" si="1415"/>
        <v>1-30</v>
      </c>
      <c r="DD1079">
        <v>0</v>
      </c>
      <c r="DE1079">
        <v>0</v>
      </c>
      <c r="DF1079">
        <v>0</v>
      </c>
      <c r="DG1079">
        <v>1</v>
      </c>
      <c r="DH1079">
        <v>0</v>
      </c>
      <c r="DI1079">
        <f t="shared" si="1418"/>
        <v>1</v>
      </c>
      <c r="DJ1079" t="str">
        <f t="shared" si="1394"/>
        <v>TimberInput</v>
      </c>
      <c r="DK1079">
        <f t="shared" si="1395"/>
        <v>0</v>
      </c>
      <c r="DL1079">
        <f t="shared" si="1396"/>
        <v>0</v>
      </c>
      <c r="DM1079">
        <f t="shared" si="1397"/>
        <v>0</v>
      </c>
      <c r="DN1079" t="str">
        <f t="shared" si="1398"/>
        <v>Timber</v>
      </c>
      <c r="DP1079">
        <v>1</v>
      </c>
      <c r="DS1079" s="184" t="s">
        <v>2060</v>
      </c>
      <c r="DT1079"/>
      <c r="DU1079" s="143" t="str">
        <f t="shared" si="1399"/>
        <v>external DF used</v>
      </c>
      <c r="DV1079">
        <v>1</v>
      </c>
      <c r="DW1079">
        <v>1</v>
      </c>
      <c r="DX1079">
        <v>1</v>
      </c>
      <c r="DY1079">
        <v>1</v>
      </c>
      <c r="DZ1079">
        <v>1</v>
      </c>
      <c r="EA1079">
        <v>1</v>
      </c>
      <c r="EB1079">
        <v>0</v>
      </c>
      <c r="EC1079">
        <v>0</v>
      </c>
      <c r="ED1079">
        <v>0</v>
      </c>
      <c r="EE1079">
        <v>0</v>
      </c>
      <c r="EF1079">
        <v>1</v>
      </c>
      <c r="EG1079">
        <v>0</v>
      </c>
      <c r="EH1079">
        <v>1</v>
      </c>
      <c r="EI1079" s="2">
        <v>0</v>
      </c>
      <c r="EK1079" t="str">
        <f t="shared" si="1416"/>
        <v/>
      </c>
      <c r="EL1079" t="str">
        <f t="shared" si="1417"/>
        <v/>
      </c>
      <c r="EM1079" s="2" t="str">
        <f t="shared" si="1424"/>
        <v/>
      </c>
      <c r="EP1079" t="str">
        <f>IF(ISNUMBER(BU1079),IF(ABS(BU1079-[3]QC_indicators!$B$2)&gt;3*[3]QC_indicators!$C$2,"C ratio",IF(ISNUMBER(BY1079),IF(ABS(BY1079-[3]QC_indicators!$B$1)&gt;3*[3]QC_indicators!$C$1,"DF","no"))),IF(ISNUMBER(BY1079),IF(ABS(BY1079-[3]QC_indicators!$B$1)&gt;3*[3]QC_indicators!$C$1,"DF","no")))</f>
        <v>no</v>
      </c>
      <c r="ET1079" s="264" t="s">
        <v>3272</v>
      </c>
    </row>
    <row r="1080" spans="4:150" ht="15" hidden="1" customHeight="1">
      <c r="D1080" t="s">
        <v>2051</v>
      </c>
      <c r="E1080" t="s">
        <v>2052</v>
      </c>
      <c r="G1080" t="s">
        <v>2053</v>
      </c>
      <c r="I1080">
        <v>2018</v>
      </c>
      <c r="K1080" s="150" t="s">
        <v>2054</v>
      </c>
      <c r="M1080" t="str">
        <f t="shared" si="1352"/>
        <v>Olguin_2018</v>
      </c>
      <c r="N1080" t="s">
        <v>222</v>
      </c>
      <c r="O1080" s="157" t="s">
        <v>274</v>
      </c>
      <c r="P1080" t="s">
        <v>513</v>
      </c>
      <c r="Q1080" t="s">
        <v>389</v>
      </c>
      <c r="R1080" s="262" t="s">
        <v>223</v>
      </c>
      <c r="S1080" s="263" t="s">
        <v>3187</v>
      </c>
      <c r="T1080" t="s">
        <v>2055</v>
      </c>
      <c r="U1080" t="s">
        <v>2064</v>
      </c>
      <c r="V1080">
        <v>0</v>
      </c>
      <c r="W1080">
        <v>0</v>
      </c>
      <c r="X1080">
        <v>0</v>
      </c>
      <c r="Y1080">
        <v>0</v>
      </c>
      <c r="Z1080">
        <v>0</v>
      </c>
      <c r="AA1080">
        <v>0</v>
      </c>
      <c r="AB1080">
        <v>0</v>
      </c>
      <c r="AC1080">
        <v>1</v>
      </c>
      <c r="AD1080">
        <v>0</v>
      </c>
      <c r="AE1080">
        <v>0</v>
      </c>
      <c r="AF1080">
        <v>0</v>
      </c>
      <c r="AG1080">
        <v>0</v>
      </c>
      <c r="AH1080">
        <v>0</v>
      </c>
      <c r="AI1080">
        <v>0</v>
      </c>
      <c r="AJ1080">
        <v>0</v>
      </c>
      <c r="AK1080">
        <v>0</v>
      </c>
      <c r="AL1080">
        <v>0</v>
      </c>
      <c r="AM1080">
        <v>0</v>
      </c>
      <c r="AN1080">
        <v>0</v>
      </c>
      <c r="AO1080">
        <v>0</v>
      </c>
      <c r="AP1080">
        <v>0</v>
      </c>
      <c r="AQ1080">
        <v>0</v>
      </c>
      <c r="AR1080">
        <v>0</v>
      </c>
      <c r="AS1080">
        <v>0</v>
      </c>
      <c r="AT1080">
        <v>0</v>
      </c>
      <c r="AU1080">
        <v>0</v>
      </c>
      <c r="AV1080">
        <v>0</v>
      </c>
      <c r="AW1080">
        <v>0</v>
      </c>
      <c r="AX1080" s="141">
        <f t="shared" si="1390"/>
        <v>1</v>
      </c>
      <c r="AY1080" s="141">
        <f t="shared" si="1391"/>
        <v>1</v>
      </c>
      <c r="AZ1080">
        <f t="shared" si="1400"/>
        <v>1</v>
      </c>
      <c r="BA1080">
        <f t="shared" si="1401"/>
        <v>0</v>
      </c>
      <c r="BB1080">
        <f t="shared" si="1402"/>
        <v>0</v>
      </c>
      <c r="BC1080">
        <f t="shared" si="1403"/>
        <v>0</v>
      </c>
      <c r="BD1080">
        <f t="shared" si="1404"/>
        <v>0</v>
      </c>
      <c r="BE1080" t="str">
        <f t="array" ref="BE1080">IF(AY1080=1,INDEX($V$7:$AL$7,MATCH(TRUE,INDEX($V1080:$AW1080&lt;&gt;0,),0)),IF(AY1080=0,INDEX($AM$7:$AW$7,MATCH(1,$AM1080:$AW1080,0)),IF(BF1080="Multiple strategies","mixed drivers",IF(BF1080="Supply chain","multiple supply","multiple silviculture"))))</f>
        <v>site fertility</v>
      </c>
      <c r="BF1080" s="2" t="str" cm="1">
        <f t="array" ref="BF1080">IF(COUNTIF(AZ1080:BB1080,"&lt;&gt;0")=1,INDEX($V$4:$AW$4,MATCH(TRUE,INDEX($V1080:$AW1080&lt;&gt;0,),0)),IF(COUNTIF(AZ1080:BB1080,"&lt;&gt;0")=0,INDEX($AM$4:$AW$4,MATCH(1,$AM1080:$AW1080,0)),"Multiple strategies"))</f>
        <v>Silviculture for productivity</v>
      </c>
      <c r="BG1080" s="1" t="s">
        <v>321</v>
      </c>
      <c r="BI1080" s="264" t="s">
        <v>1035</v>
      </c>
      <c r="BJ1080" t="s">
        <v>2057</v>
      </c>
      <c r="BK1080">
        <v>0</v>
      </c>
      <c r="BL1080">
        <v>218025</v>
      </c>
      <c r="BM1080" t="str">
        <f t="shared" si="1422"/>
        <v/>
      </c>
      <c r="BN1080">
        <f t="shared" si="1405"/>
        <v>218025</v>
      </c>
      <c r="BO1080">
        <f t="shared" si="1420"/>
        <v>946699.95657837612</v>
      </c>
      <c r="BP1080" t="s">
        <v>232</v>
      </c>
      <c r="BQ1080" t="s">
        <v>424</v>
      </c>
      <c r="BR1080" t="s">
        <v>2062</v>
      </c>
      <c r="BU1080" s="144"/>
      <c r="BV1080">
        <v>-1.1200000000000001</v>
      </c>
      <c r="BX1080">
        <f t="shared" si="1423"/>
        <v>-1.1200000000000001</v>
      </c>
      <c r="BY1080">
        <f t="shared" si="1419"/>
        <v>-1.1830569888774224E-6</v>
      </c>
      <c r="BZ1080">
        <v>0</v>
      </c>
      <c r="CA1080">
        <v>0</v>
      </c>
      <c r="CB1080">
        <v>0</v>
      </c>
      <c r="CC1080">
        <v>0</v>
      </c>
      <c r="CD1080">
        <v>0</v>
      </c>
      <c r="CE1080">
        <v>0</v>
      </c>
      <c r="CF1080">
        <v>0</v>
      </c>
      <c r="CG1080">
        <v>0</v>
      </c>
      <c r="CH1080">
        <v>0</v>
      </c>
      <c r="CI1080">
        <v>0</v>
      </c>
      <c r="CJ1080">
        <v>0</v>
      </c>
      <c r="CK1080">
        <v>0</v>
      </c>
      <c r="CL1080">
        <v>0</v>
      </c>
      <c r="CM1080">
        <v>0</v>
      </c>
      <c r="CN1080" t="str">
        <f t="shared" si="1406"/>
        <v>refOK</v>
      </c>
      <c r="CO1080">
        <f t="shared" si="1407"/>
        <v>0</v>
      </c>
      <c r="CP1080">
        <f t="shared" si="1408"/>
        <v>218025</v>
      </c>
      <c r="CQ1080">
        <f t="shared" si="1409"/>
        <v>946699.95657837612</v>
      </c>
      <c r="CR1080">
        <f t="shared" si="1410"/>
        <v>0</v>
      </c>
      <c r="CS1080">
        <f t="shared" si="1411"/>
        <v>0</v>
      </c>
      <c r="CT1080">
        <f t="shared" si="1412"/>
        <v>-1.1200000000000001</v>
      </c>
      <c r="CU1080">
        <f t="shared" si="1413"/>
        <v>-1.1830569888774224E-6</v>
      </c>
      <c r="CV1080" s="2" t="str">
        <f t="shared" si="1393"/>
        <v/>
      </c>
      <c r="CW1080" s="1" t="s">
        <v>2035</v>
      </c>
      <c r="CX1080" t="str">
        <f t="shared" si="1414"/>
        <v>reg</v>
      </c>
      <c r="CY1080" t="s">
        <v>2059</v>
      </c>
      <c r="CZ1080">
        <v>2021</v>
      </c>
      <c r="DA1080">
        <v>2030</v>
      </c>
      <c r="DB1080">
        <f t="shared" si="1421"/>
        <v>9</v>
      </c>
      <c r="DC1080" t="str">
        <f t="shared" si="1415"/>
        <v>1-30</v>
      </c>
      <c r="DD1080">
        <v>0</v>
      </c>
      <c r="DE1080">
        <v>0</v>
      </c>
      <c r="DF1080">
        <v>0</v>
      </c>
      <c r="DG1080">
        <v>1</v>
      </c>
      <c r="DH1080">
        <v>0</v>
      </c>
      <c r="DI1080">
        <f>SUM(DD1080:DH1080)</f>
        <v>1</v>
      </c>
      <c r="DJ1080" t="str">
        <f t="shared" si="1394"/>
        <v>TimberInput</v>
      </c>
      <c r="DK1080">
        <f t="shared" si="1395"/>
        <v>0</v>
      </c>
      <c r="DL1080">
        <f t="shared" si="1396"/>
        <v>0</v>
      </c>
      <c r="DM1080">
        <f t="shared" si="1397"/>
        <v>0</v>
      </c>
      <c r="DN1080" t="str">
        <f t="shared" si="1398"/>
        <v>Timber</v>
      </c>
      <c r="DP1080">
        <v>1</v>
      </c>
      <c r="DS1080" s="184" t="s">
        <v>2060</v>
      </c>
      <c r="DT1080"/>
      <c r="DU1080" s="143" t="str">
        <f t="shared" si="1399"/>
        <v>external DF used</v>
      </c>
      <c r="DV1080">
        <v>1</v>
      </c>
      <c r="DW1080">
        <v>1</v>
      </c>
      <c r="DX1080">
        <v>1</v>
      </c>
      <c r="DY1080">
        <v>1</v>
      </c>
      <c r="DZ1080">
        <v>1</v>
      </c>
      <c r="EA1080">
        <v>1</v>
      </c>
      <c r="EB1080">
        <v>0</v>
      </c>
      <c r="EC1080">
        <v>0</v>
      </c>
      <c r="ED1080">
        <v>0</v>
      </c>
      <c r="EE1080">
        <v>0</v>
      </c>
      <c r="EF1080">
        <v>1</v>
      </c>
      <c r="EG1080">
        <v>0</v>
      </c>
      <c r="EH1080">
        <v>1</v>
      </c>
      <c r="EI1080" s="2">
        <v>0</v>
      </c>
      <c r="EK1080" t="str">
        <f t="shared" si="1416"/>
        <v/>
      </c>
      <c r="EL1080" t="str">
        <f t="shared" si="1417"/>
        <v/>
      </c>
      <c r="EM1080" s="2" t="str">
        <f t="shared" si="1424"/>
        <v/>
      </c>
      <c r="EP1080" t="str">
        <f>IF(ISNUMBER(BU1080),IF(ABS(BU1080-[3]QC_indicators!$B$2)&gt;3*[3]QC_indicators!$C$2,"C ratio",IF(ISNUMBER(BY1080),IF(ABS(BY1080-[3]QC_indicators!$B$1)&gt;3*[3]QC_indicators!$C$1,"DF","no"))),IF(ISNUMBER(BY1080),IF(ABS(BY1080-[3]QC_indicators!$B$1)&gt;3*[3]QC_indicators!$C$1,"DF","no")))</f>
        <v>no</v>
      </c>
      <c r="ET1080" s="264" t="s">
        <v>3272</v>
      </c>
    </row>
    <row r="1081" spans="4:150" ht="15" hidden="1" customHeight="1">
      <c r="D1081" t="s">
        <v>2051</v>
      </c>
      <c r="E1081" t="s">
        <v>2052</v>
      </c>
      <c r="G1081" t="s">
        <v>2053</v>
      </c>
      <c r="I1081">
        <v>2018</v>
      </c>
      <c r="K1081" s="150" t="s">
        <v>2054</v>
      </c>
      <c r="M1081" t="str">
        <f t="shared" si="1352"/>
        <v>Olguin_2018</v>
      </c>
      <c r="N1081" t="s">
        <v>222</v>
      </c>
      <c r="O1081" s="157" t="s">
        <v>274</v>
      </c>
      <c r="P1081" t="s">
        <v>513</v>
      </c>
      <c r="Q1081" t="s">
        <v>389</v>
      </c>
      <c r="R1081" s="262" t="s">
        <v>223</v>
      </c>
      <c r="S1081" s="263" t="s">
        <v>3205</v>
      </c>
      <c r="T1081" t="s">
        <v>2055</v>
      </c>
      <c r="U1081" t="s">
        <v>2063</v>
      </c>
      <c r="V1081">
        <v>0</v>
      </c>
      <c r="W1081">
        <v>0</v>
      </c>
      <c r="X1081">
        <v>0</v>
      </c>
      <c r="Y1081">
        <v>0</v>
      </c>
      <c r="Z1081">
        <v>0</v>
      </c>
      <c r="AA1081">
        <v>0</v>
      </c>
      <c r="AB1081">
        <v>0</v>
      </c>
      <c r="AC1081">
        <v>1</v>
      </c>
      <c r="AD1081">
        <v>0</v>
      </c>
      <c r="AE1081">
        <v>0</v>
      </c>
      <c r="AF1081">
        <v>0</v>
      </c>
      <c r="AG1081">
        <v>0</v>
      </c>
      <c r="AH1081">
        <v>0</v>
      </c>
      <c r="AI1081">
        <v>0</v>
      </c>
      <c r="AJ1081">
        <v>0</v>
      </c>
      <c r="AK1081">
        <v>0</v>
      </c>
      <c r="AL1081">
        <v>0</v>
      </c>
      <c r="AM1081">
        <v>0</v>
      </c>
      <c r="AN1081">
        <v>0</v>
      </c>
      <c r="AO1081">
        <v>0</v>
      </c>
      <c r="AP1081">
        <v>0</v>
      </c>
      <c r="AQ1081">
        <v>0</v>
      </c>
      <c r="AR1081">
        <v>0</v>
      </c>
      <c r="AS1081">
        <v>0</v>
      </c>
      <c r="AT1081">
        <v>0</v>
      </c>
      <c r="AU1081">
        <v>0</v>
      </c>
      <c r="AV1081">
        <v>0</v>
      </c>
      <c r="AW1081">
        <v>0</v>
      </c>
      <c r="AX1081" s="141">
        <f t="shared" si="1390"/>
        <v>1</v>
      </c>
      <c r="AY1081" s="141">
        <f t="shared" si="1391"/>
        <v>1</v>
      </c>
      <c r="AZ1081">
        <f t="shared" si="1400"/>
        <v>1</v>
      </c>
      <c r="BA1081">
        <f t="shared" si="1401"/>
        <v>0</v>
      </c>
      <c r="BB1081">
        <f t="shared" si="1402"/>
        <v>0</v>
      </c>
      <c r="BC1081">
        <f t="shared" si="1403"/>
        <v>0</v>
      </c>
      <c r="BD1081">
        <f t="shared" si="1404"/>
        <v>0</v>
      </c>
      <c r="BE1081" t="str">
        <f t="array" ref="BE1081">IF(AY1081=1,INDEX($V$7:$AL$7,MATCH(TRUE,INDEX($V1081:$AW1081&lt;&gt;0,),0)),IF(AY1081=0,INDEX($AM$7:$AW$7,MATCH(1,$AM1081:$AW1081,0)),IF(BF1081="Multiple strategies","mixed drivers",IF(BF1081="Supply chain","multiple supply","multiple silviculture"))))</f>
        <v>site fertility</v>
      </c>
      <c r="BF1081" s="2" t="str" cm="1">
        <f t="array" ref="BF1081">IF(COUNTIF(AZ1081:BB1081,"&lt;&gt;0")=1,INDEX($V$4:$AW$4,MATCH(TRUE,INDEX($V1081:$AW1081&lt;&gt;0,),0)),IF(COUNTIF(AZ1081:BB1081,"&lt;&gt;0")=0,INDEX($AM$4:$AW$4,MATCH(1,$AM1081:$AW1081,0)),"Multiple strategies"))</f>
        <v>Silviculture for productivity</v>
      </c>
      <c r="BG1081" s="1" t="s">
        <v>321</v>
      </c>
      <c r="BI1081" s="264" t="s">
        <v>1035</v>
      </c>
      <c r="BJ1081" t="s">
        <v>2057</v>
      </c>
      <c r="BK1081">
        <v>0</v>
      </c>
      <c r="BL1081">
        <v>218025</v>
      </c>
      <c r="BM1081" t="str">
        <f t="shared" si="1422"/>
        <v/>
      </c>
      <c r="BN1081">
        <f t="shared" si="1405"/>
        <v>218025</v>
      </c>
      <c r="BO1081">
        <f t="shared" si="1420"/>
        <v>946699.95657837612</v>
      </c>
      <c r="BP1081" t="s">
        <v>232</v>
      </c>
      <c r="BQ1081" t="s">
        <v>424</v>
      </c>
      <c r="BR1081" t="s">
        <v>2062</v>
      </c>
      <c r="BU1081" s="144"/>
      <c r="BV1081">
        <v>-1.03</v>
      </c>
      <c r="BX1081">
        <f t="shared" si="1423"/>
        <v>-1.03</v>
      </c>
      <c r="BY1081">
        <f t="shared" si="1419"/>
        <v>-1.087989909414058E-6</v>
      </c>
      <c r="BZ1081">
        <v>0</v>
      </c>
      <c r="CA1081">
        <v>0</v>
      </c>
      <c r="CB1081">
        <v>0</v>
      </c>
      <c r="CC1081">
        <v>0</v>
      </c>
      <c r="CD1081">
        <v>0</v>
      </c>
      <c r="CE1081">
        <v>0</v>
      </c>
      <c r="CF1081">
        <v>0</v>
      </c>
      <c r="CG1081">
        <v>0</v>
      </c>
      <c r="CH1081">
        <v>0</v>
      </c>
      <c r="CI1081">
        <v>0</v>
      </c>
      <c r="CJ1081">
        <v>0</v>
      </c>
      <c r="CK1081">
        <v>0</v>
      </c>
      <c r="CL1081">
        <v>0</v>
      </c>
      <c r="CM1081">
        <v>0</v>
      </c>
      <c r="CN1081" t="str">
        <f t="shared" si="1406"/>
        <v>refOK</v>
      </c>
      <c r="CO1081">
        <f t="shared" si="1407"/>
        <v>0</v>
      </c>
      <c r="CP1081">
        <f t="shared" si="1408"/>
        <v>218025</v>
      </c>
      <c r="CQ1081">
        <f t="shared" si="1409"/>
        <v>946699.95657837612</v>
      </c>
      <c r="CR1081">
        <f t="shared" si="1410"/>
        <v>0</v>
      </c>
      <c r="CS1081">
        <f t="shared" si="1411"/>
        <v>0</v>
      </c>
      <c r="CT1081">
        <f t="shared" si="1412"/>
        <v>-1.03</v>
      </c>
      <c r="CU1081">
        <f t="shared" si="1413"/>
        <v>-1.087989909414058E-6</v>
      </c>
      <c r="CV1081" s="2" t="str">
        <f t="shared" si="1393"/>
        <v/>
      </c>
      <c r="CW1081" s="1" t="s">
        <v>2035</v>
      </c>
      <c r="CX1081" t="str">
        <f t="shared" si="1414"/>
        <v>reg</v>
      </c>
      <c r="CY1081" t="s">
        <v>2059</v>
      </c>
      <c r="CZ1081">
        <v>2021</v>
      </c>
      <c r="DA1081">
        <v>2050</v>
      </c>
      <c r="DB1081">
        <f t="shared" si="1421"/>
        <v>29</v>
      </c>
      <c r="DC1081" t="str">
        <f t="shared" si="1415"/>
        <v>1-30</v>
      </c>
      <c r="DD1081">
        <v>0</v>
      </c>
      <c r="DE1081">
        <v>0</v>
      </c>
      <c r="DF1081">
        <v>0</v>
      </c>
      <c r="DG1081">
        <v>1</v>
      </c>
      <c r="DH1081">
        <v>0</v>
      </c>
      <c r="DI1081">
        <f t="shared" ref="DI1081:DI1090" si="1425">SUM(DD1081:DG1081)</f>
        <v>1</v>
      </c>
      <c r="DJ1081" t="str">
        <f t="shared" si="1394"/>
        <v>TimberInput</v>
      </c>
      <c r="DK1081">
        <f t="shared" si="1395"/>
        <v>0</v>
      </c>
      <c r="DL1081">
        <f t="shared" si="1396"/>
        <v>0</v>
      </c>
      <c r="DM1081">
        <f t="shared" si="1397"/>
        <v>0</v>
      </c>
      <c r="DN1081" t="str">
        <f t="shared" si="1398"/>
        <v>Timber</v>
      </c>
      <c r="DP1081">
        <v>1</v>
      </c>
      <c r="DS1081" s="184" t="s">
        <v>2060</v>
      </c>
      <c r="DT1081"/>
      <c r="DU1081" s="143" t="str">
        <f t="shared" si="1399"/>
        <v>external DF used</v>
      </c>
      <c r="DV1081">
        <v>1</v>
      </c>
      <c r="DW1081">
        <v>1</v>
      </c>
      <c r="DX1081">
        <v>1</v>
      </c>
      <c r="DY1081">
        <v>1</v>
      </c>
      <c r="DZ1081">
        <v>1</v>
      </c>
      <c r="EA1081">
        <v>1</v>
      </c>
      <c r="EB1081">
        <v>0</v>
      </c>
      <c r="EC1081">
        <v>0</v>
      </c>
      <c r="ED1081">
        <v>0</v>
      </c>
      <c r="EE1081">
        <v>0</v>
      </c>
      <c r="EF1081">
        <v>1</v>
      </c>
      <c r="EG1081">
        <v>0</v>
      </c>
      <c r="EH1081">
        <v>1</v>
      </c>
      <c r="EI1081" s="2">
        <v>0</v>
      </c>
      <c r="EK1081" t="str">
        <f t="shared" si="1416"/>
        <v/>
      </c>
      <c r="EL1081" t="str">
        <f t="shared" si="1417"/>
        <v/>
      </c>
      <c r="EM1081" s="2" t="str">
        <f t="shared" si="1424"/>
        <v/>
      </c>
      <c r="EP1081" t="str">
        <f>IF(ISNUMBER(BU1081),IF(ABS(BU1081-[3]QC_indicators!$B$2)&gt;3*[3]QC_indicators!$C$2,"C ratio",IF(ISNUMBER(BY1081),IF(ABS(BY1081-[3]QC_indicators!$B$1)&gt;3*[3]QC_indicators!$C$1,"DF","no"))),IF(ISNUMBER(BY1081),IF(ABS(BY1081-[3]QC_indicators!$B$1)&gt;3*[3]QC_indicators!$C$1,"DF","no")))</f>
        <v>no</v>
      </c>
      <c r="ET1081" s="264" t="s">
        <v>3272</v>
      </c>
    </row>
    <row r="1082" spans="4:150" ht="15" hidden="1" customHeight="1">
      <c r="D1082" t="s">
        <v>2051</v>
      </c>
      <c r="E1082" t="s">
        <v>2052</v>
      </c>
      <c r="G1082" t="s">
        <v>2053</v>
      </c>
      <c r="I1082">
        <v>2018</v>
      </c>
      <c r="K1082" s="150" t="s">
        <v>2054</v>
      </c>
      <c r="M1082" t="str">
        <f t="shared" si="1352"/>
        <v>Olguin_2018</v>
      </c>
      <c r="N1082" t="s">
        <v>222</v>
      </c>
      <c r="O1082" s="157" t="s">
        <v>274</v>
      </c>
      <c r="P1082" t="s">
        <v>513</v>
      </c>
      <c r="Q1082" t="s">
        <v>389</v>
      </c>
      <c r="R1082" s="262" t="s">
        <v>223</v>
      </c>
      <c r="S1082" s="263" t="s">
        <v>3191</v>
      </c>
      <c r="T1082" t="s">
        <v>2055</v>
      </c>
      <c r="U1082" t="s">
        <v>2061</v>
      </c>
      <c r="V1082">
        <v>0</v>
      </c>
      <c r="W1082">
        <v>0</v>
      </c>
      <c r="X1082">
        <v>0</v>
      </c>
      <c r="Y1082">
        <v>0</v>
      </c>
      <c r="Z1082">
        <v>0</v>
      </c>
      <c r="AA1082">
        <v>0</v>
      </c>
      <c r="AB1082">
        <v>0</v>
      </c>
      <c r="AC1082">
        <v>1</v>
      </c>
      <c r="AD1082">
        <v>0</v>
      </c>
      <c r="AE1082">
        <v>0</v>
      </c>
      <c r="AF1082">
        <v>1</v>
      </c>
      <c r="AG1082">
        <v>0</v>
      </c>
      <c r="AH1082">
        <v>0</v>
      </c>
      <c r="AI1082">
        <v>0</v>
      </c>
      <c r="AJ1082">
        <v>0</v>
      </c>
      <c r="AK1082">
        <v>0</v>
      </c>
      <c r="AL1082">
        <v>0</v>
      </c>
      <c r="AM1082">
        <v>0</v>
      </c>
      <c r="AN1082">
        <v>0</v>
      </c>
      <c r="AO1082">
        <v>0</v>
      </c>
      <c r="AP1082">
        <v>0</v>
      </c>
      <c r="AQ1082">
        <v>0</v>
      </c>
      <c r="AR1082">
        <v>0</v>
      </c>
      <c r="AS1082">
        <v>0</v>
      </c>
      <c r="AT1082">
        <v>0</v>
      </c>
      <c r="AU1082">
        <v>0</v>
      </c>
      <c r="AV1082">
        <v>0</v>
      </c>
      <c r="AW1082">
        <v>0</v>
      </c>
      <c r="AX1082" s="141">
        <f t="shared" si="1390"/>
        <v>2</v>
      </c>
      <c r="AY1082" s="141">
        <f t="shared" si="1391"/>
        <v>2</v>
      </c>
      <c r="AZ1082">
        <f t="shared" si="1400"/>
        <v>1</v>
      </c>
      <c r="BA1082">
        <f t="shared" si="1401"/>
        <v>1</v>
      </c>
      <c r="BB1082">
        <f t="shared" si="1402"/>
        <v>0</v>
      </c>
      <c r="BC1082">
        <f t="shared" si="1403"/>
        <v>0</v>
      </c>
      <c r="BD1082">
        <f t="shared" si="1404"/>
        <v>0</v>
      </c>
      <c r="BE1082" t="str">
        <f t="array" ref="BE1082">IF(AY1082=1,INDEX($V$7:$AL$7,MATCH(TRUE,INDEX($V1082:$AW1082&lt;&gt;0,),0)),IF(AY1082=0,INDEX($AM$7:$AW$7,MATCH(1,$AM1082:$AW1082,0)),IF(BF1082="Multiple strategies","mixed drivers",IF(BF1082="Supply chain","multiple supply","multiple silviculture"))))</f>
        <v>mixed drivers</v>
      </c>
      <c r="BF1082" s="2" t="str" cm="1">
        <f t="array" ref="BF1082">IF(COUNTIF(AZ1082:BB1082,"&lt;&gt;0")=1,INDEX($V$4:$AW$4,MATCH(TRUE,INDEX($V1082:$AW1082&lt;&gt;0,),0)),IF(COUNTIF(AZ1082:BB1082,"&lt;&gt;0")=0,INDEX($AM$4:$AW$4,MATCH(1,$AM1082:$AW1082,0)),"Multiple strategies"))</f>
        <v>Multiple strategies</v>
      </c>
      <c r="BG1082" s="1" t="s">
        <v>321</v>
      </c>
      <c r="BI1082" s="264" t="s">
        <v>1035</v>
      </c>
      <c r="BJ1082" t="s">
        <v>2057</v>
      </c>
      <c r="BK1082">
        <v>0</v>
      </c>
      <c r="BL1082">
        <v>218025</v>
      </c>
      <c r="BM1082" t="str">
        <f t="shared" si="1422"/>
        <v/>
      </c>
      <c r="BN1082">
        <f t="shared" si="1405"/>
        <v>218025</v>
      </c>
      <c r="BO1082">
        <f t="shared" si="1420"/>
        <v>946699.95657837612</v>
      </c>
      <c r="BP1082" t="s">
        <v>232</v>
      </c>
      <c r="BQ1082" t="s">
        <v>424</v>
      </c>
      <c r="BR1082" t="s">
        <v>2062</v>
      </c>
      <c r="BU1082" s="144"/>
      <c r="BV1082">
        <v>-0.95</v>
      </c>
      <c r="BX1082">
        <f t="shared" si="1423"/>
        <v>-0.95</v>
      </c>
      <c r="BY1082">
        <f t="shared" si="1419"/>
        <v>-1.0034858387799563E-6</v>
      </c>
      <c r="BZ1082">
        <v>0</v>
      </c>
      <c r="CA1082">
        <v>0</v>
      </c>
      <c r="CB1082">
        <v>0</v>
      </c>
      <c r="CC1082">
        <v>0</v>
      </c>
      <c r="CD1082">
        <v>0</v>
      </c>
      <c r="CE1082">
        <v>0</v>
      </c>
      <c r="CF1082">
        <v>0</v>
      </c>
      <c r="CG1082">
        <v>0</v>
      </c>
      <c r="CH1082">
        <v>0</v>
      </c>
      <c r="CI1082">
        <v>0</v>
      </c>
      <c r="CJ1082">
        <v>0</v>
      </c>
      <c r="CK1082">
        <v>0</v>
      </c>
      <c r="CL1082">
        <v>0</v>
      </c>
      <c r="CM1082">
        <v>0</v>
      </c>
      <c r="CN1082" t="str">
        <f t="shared" si="1406"/>
        <v>refOK</v>
      </c>
      <c r="CO1082">
        <f t="shared" si="1407"/>
        <v>0</v>
      </c>
      <c r="CP1082">
        <f t="shared" si="1408"/>
        <v>218025</v>
      </c>
      <c r="CQ1082">
        <f t="shared" si="1409"/>
        <v>946699.95657837612</v>
      </c>
      <c r="CR1082">
        <f t="shared" si="1410"/>
        <v>0</v>
      </c>
      <c r="CS1082">
        <f t="shared" si="1411"/>
        <v>0</v>
      </c>
      <c r="CT1082">
        <f t="shared" si="1412"/>
        <v>-0.95</v>
      </c>
      <c r="CU1082">
        <f t="shared" si="1413"/>
        <v>-1.0034858387799563E-6</v>
      </c>
      <c r="CV1082" s="2" t="str">
        <f t="shared" si="1393"/>
        <v/>
      </c>
      <c r="CW1082" s="1" t="s">
        <v>2035</v>
      </c>
      <c r="CX1082" t="str">
        <f t="shared" si="1414"/>
        <v>reg</v>
      </c>
      <c r="CY1082" t="s">
        <v>2059</v>
      </c>
      <c r="CZ1082">
        <v>2021</v>
      </c>
      <c r="DA1082">
        <v>2030</v>
      </c>
      <c r="DB1082">
        <f t="shared" si="1421"/>
        <v>9</v>
      </c>
      <c r="DC1082" t="str">
        <f t="shared" si="1415"/>
        <v>1-30</v>
      </c>
      <c r="DD1082">
        <v>0</v>
      </c>
      <c r="DE1082">
        <v>0</v>
      </c>
      <c r="DF1082">
        <v>0</v>
      </c>
      <c r="DG1082">
        <v>1</v>
      </c>
      <c r="DH1082">
        <v>0</v>
      </c>
      <c r="DI1082">
        <f t="shared" si="1425"/>
        <v>1</v>
      </c>
      <c r="DJ1082" t="str">
        <f t="shared" si="1394"/>
        <v>TimberInput</v>
      </c>
      <c r="DK1082">
        <f t="shared" si="1395"/>
        <v>0</v>
      </c>
      <c r="DL1082">
        <f t="shared" si="1396"/>
        <v>0</v>
      </c>
      <c r="DM1082">
        <f t="shared" si="1397"/>
        <v>0</v>
      </c>
      <c r="DN1082" t="str">
        <f t="shared" si="1398"/>
        <v>Timber</v>
      </c>
      <c r="DP1082">
        <v>1</v>
      </c>
      <c r="DS1082" s="184" t="s">
        <v>2060</v>
      </c>
      <c r="DT1082"/>
      <c r="DU1082" s="143" t="str">
        <f t="shared" si="1399"/>
        <v>external DF used</v>
      </c>
      <c r="DV1082">
        <v>1</v>
      </c>
      <c r="DW1082">
        <v>1</v>
      </c>
      <c r="DX1082">
        <v>1</v>
      </c>
      <c r="DY1082">
        <v>1</v>
      </c>
      <c r="DZ1082">
        <v>1</v>
      </c>
      <c r="EA1082">
        <v>1</v>
      </c>
      <c r="EB1082">
        <v>0</v>
      </c>
      <c r="EC1082">
        <v>0</v>
      </c>
      <c r="ED1082">
        <v>0</v>
      </c>
      <c r="EE1082">
        <v>0</v>
      </c>
      <c r="EF1082">
        <v>1</v>
      </c>
      <c r="EG1082">
        <v>0</v>
      </c>
      <c r="EH1082">
        <v>1</v>
      </c>
      <c r="EI1082" s="2">
        <v>0</v>
      </c>
      <c r="EK1082" t="str">
        <f t="shared" si="1416"/>
        <v/>
      </c>
      <c r="EL1082" t="str">
        <f t="shared" si="1417"/>
        <v/>
      </c>
      <c r="EM1082" s="2" t="str">
        <f t="shared" si="1424"/>
        <v/>
      </c>
      <c r="EP1082" t="str">
        <f>IF(ISNUMBER(BU1082),IF(ABS(BU1082-[3]QC_indicators!$B$2)&gt;3*[3]QC_indicators!$C$2,"C ratio",IF(ISNUMBER(BY1082),IF(ABS(BY1082-[3]QC_indicators!$B$1)&gt;3*[3]QC_indicators!$C$1,"DF","no"))),IF(ISNUMBER(BY1082),IF(ABS(BY1082-[3]QC_indicators!$B$1)&gt;3*[3]QC_indicators!$C$1,"DF","no")))</f>
        <v>no</v>
      </c>
      <c r="ET1082" s="264" t="s">
        <v>3272</v>
      </c>
    </row>
    <row r="1083" spans="4:150" ht="15" hidden="1" customHeight="1">
      <c r="D1083" t="s">
        <v>2051</v>
      </c>
      <c r="E1083" t="s">
        <v>2052</v>
      </c>
      <c r="G1083" t="s">
        <v>2053</v>
      </c>
      <c r="I1083">
        <v>2018</v>
      </c>
      <c r="K1083" s="150" t="s">
        <v>2054</v>
      </c>
      <c r="M1083" t="str">
        <f t="shared" si="1352"/>
        <v>Olguin_2018</v>
      </c>
      <c r="N1083" t="s">
        <v>222</v>
      </c>
      <c r="O1083" s="157" t="s">
        <v>274</v>
      </c>
      <c r="P1083" t="s">
        <v>513</v>
      </c>
      <c r="Q1083" t="s">
        <v>389</v>
      </c>
      <c r="R1083" s="262" t="s">
        <v>223</v>
      </c>
      <c r="S1083" s="263" t="s">
        <v>3190</v>
      </c>
      <c r="T1083" t="s">
        <v>2055</v>
      </c>
      <c r="U1083" t="s">
        <v>2063</v>
      </c>
      <c r="V1083">
        <v>0</v>
      </c>
      <c r="W1083">
        <v>0</v>
      </c>
      <c r="X1083">
        <v>0</v>
      </c>
      <c r="Y1083">
        <v>0</v>
      </c>
      <c r="Z1083">
        <v>0</v>
      </c>
      <c r="AA1083">
        <v>0</v>
      </c>
      <c r="AB1083">
        <v>0</v>
      </c>
      <c r="AC1083">
        <v>1</v>
      </c>
      <c r="AD1083">
        <v>0</v>
      </c>
      <c r="AE1083">
        <v>0</v>
      </c>
      <c r="AF1083">
        <v>0</v>
      </c>
      <c r="AG1083">
        <v>0</v>
      </c>
      <c r="AH1083">
        <v>0</v>
      </c>
      <c r="AI1083">
        <v>0</v>
      </c>
      <c r="AJ1083">
        <v>0</v>
      </c>
      <c r="AK1083">
        <v>0</v>
      </c>
      <c r="AL1083">
        <v>0</v>
      </c>
      <c r="AM1083">
        <v>0</v>
      </c>
      <c r="AN1083">
        <v>0</v>
      </c>
      <c r="AO1083">
        <v>0</v>
      </c>
      <c r="AP1083">
        <v>0</v>
      </c>
      <c r="AQ1083">
        <v>0</v>
      </c>
      <c r="AR1083">
        <v>0</v>
      </c>
      <c r="AS1083">
        <v>0</v>
      </c>
      <c r="AT1083">
        <v>0</v>
      </c>
      <c r="AU1083">
        <v>0</v>
      </c>
      <c r="AV1083">
        <v>0</v>
      </c>
      <c r="AW1083">
        <v>0</v>
      </c>
      <c r="AX1083" s="141">
        <f t="shared" si="1390"/>
        <v>1</v>
      </c>
      <c r="AY1083" s="141">
        <f t="shared" si="1391"/>
        <v>1</v>
      </c>
      <c r="AZ1083">
        <f t="shared" si="1400"/>
        <v>1</v>
      </c>
      <c r="BA1083">
        <f t="shared" si="1401"/>
        <v>0</v>
      </c>
      <c r="BB1083">
        <f t="shared" si="1402"/>
        <v>0</v>
      </c>
      <c r="BC1083">
        <f t="shared" si="1403"/>
        <v>0</v>
      </c>
      <c r="BD1083">
        <f t="shared" si="1404"/>
        <v>0</v>
      </c>
      <c r="BE1083" t="str">
        <f t="array" ref="BE1083">IF(AY1083=1,INDEX($V$7:$AL$7,MATCH(TRUE,INDEX($V1083:$AW1083&lt;&gt;0,),0)),IF(AY1083=0,INDEX($AM$7:$AW$7,MATCH(1,$AM1083:$AW1083,0)),IF(BF1083="Multiple strategies","mixed drivers",IF(BF1083="Supply chain","multiple supply","multiple silviculture"))))</f>
        <v>site fertility</v>
      </c>
      <c r="BF1083" s="2" t="str" cm="1">
        <f t="array" ref="BF1083">IF(COUNTIF(AZ1083:BB1083,"&lt;&gt;0")=1,INDEX($V$4:$AW$4,MATCH(TRUE,INDEX($V1083:$AW1083&lt;&gt;0,),0)),IF(COUNTIF(AZ1083:BB1083,"&lt;&gt;0")=0,INDEX($AM$4:$AW$4,MATCH(1,$AM1083:$AW1083,0)),"Multiple strategies"))</f>
        <v>Silviculture for productivity</v>
      </c>
      <c r="BG1083" s="1" t="s">
        <v>321</v>
      </c>
      <c r="BI1083" s="264" t="s">
        <v>1035</v>
      </c>
      <c r="BJ1083" t="s">
        <v>2057</v>
      </c>
      <c r="BK1083">
        <v>0</v>
      </c>
      <c r="BL1083">
        <v>218025</v>
      </c>
      <c r="BM1083" t="str">
        <f>IFERROR(BL1084/BK1083,"")</f>
        <v/>
      </c>
      <c r="BN1083">
        <f t="shared" si="1405"/>
        <v>218025</v>
      </c>
      <c r="BO1083">
        <f t="shared" si="1420"/>
        <v>946699.95657837612</v>
      </c>
      <c r="BP1083" t="s">
        <v>232</v>
      </c>
      <c r="BQ1083" t="s">
        <v>424</v>
      </c>
      <c r="BR1083" t="s">
        <v>2062</v>
      </c>
      <c r="BU1083" s="144"/>
      <c r="BV1083">
        <v>-0.83</v>
      </c>
      <c r="BX1083">
        <f t="shared" si="1423"/>
        <v>-0.83</v>
      </c>
      <c r="BY1083">
        <f t="shared" si="1419"/>
        <v>-8.7672973282880392E-7</v>
      </c>
      <c r="BZ1083">
        <v>0</v>
      </c>
      <c r="CA1083">
        <v>0</v>
      </c>
      <c r="CB1083">
        <v>0</v>
      </c>
      <c r="CC1083">
        <v>0</v>
      </c>
      <c r="CD1083">
        <v>0</v>
      </c>
      <c r="CE1083">
        <v>0</v>
      </c>
      <c r="CF1083">
        <v>0</v>
      </c>
      <c r="CG1083">
        <v>0</v>
      </c>
      <c r="CH1083">
        <v>0</v>
      </c>
      <c r="CI1083">
        <v>0</v>
      </c>
      <c r="CJ1083">
        <v>0</v>
      </c>
      <c r="CK1083">
        <v>0</v>
      </c>
      <c r="CL1083">
        <v>0</v>
      </c>
      <c r="CM1083">
        <v>0</v>
      </c>
      <c r="CN1083" t="str">
        <f>IF($BL1084&lt;$BK1083,"refNeedCorrection","refOK")</f>
        <v>refOK</v>
      </c>
      <c r="CO1083">
        <f>IF($CN1083="refOK",$BK1083,$BL1084)</f>
        <v>0</v>
      </c>
      <c r="CP1083">
        <f>IF($CN1083="refOK",$BL1084,$BK1083)</f>
        <v>218025</v>
      </c>
      <c r="CQ1083">
        <f t="shared" si="1409"/>
        <v>946699.95657837612</v>
      </c>
      <c r="CR1083">
        <f t="shared" si="1410"/>
        <v>0</v>
      </c>
      <c r="CS1083">
        <f t="shared" si="1411"/>
        <v>0</v>
      </c>
      <c r="CT1083">
        <f t="shared" si="1412"/>
        <v>-0.83</v>
      </c>
      <c r="CU1083">
        <f t="shared" si="1413"/>
        <v>-8.7672973282880392E-7</v>
      </c>
      <c r="CV1083" s="2" t="str">
        <f t="shared" si="1393"/>
        <v/>
      </c>
      <c r="CW1083" s="1" t="s">
        <v>2035</v>
      </c>
      <c r="CX1083" t="str">
        <f t="shared" si="1414"/>
        <v>reg</v>
      </c>
      <c r="CY1083" t="s">
        <v>2059</v>
      </c>
      <c r="CZ1083">
        <v>2021</v>
      </c>
      <c r="DA1083">
        <v>2030</v>
      </c>
      <c r="DB1083">
        <f t="shared" si="1421"/>
        <v>9</v>
      </c>
      <c r="DC1083" t="str">
        <f t="shared" si="1415"/>
        <v>1-30</v>
      </c>
      <c r="DD1083">
        <v>0</v>
      </c>
      <c r="DE1083">
        <v>0</v>
      </c>
      <c r="DF1083">
        <v>0</v>
      </c>
      <c r="DG1083">
        <v>1</v>
      </c>
      <c r="DH1083">
        <v>0</v>
      </c>
      <c r="DI1083">
        <f t="shared" si="1425"/>
        <v>1</v>
      </c>
      <c r="DJ1083" t="str">
        <f t="shared" si="1394"/>
        <v>TimberInput</v>
      </c>
      <c r="DK1083">
        <f t="shared" si="1395"/>
        <v>0</v>
      </c>
      <c r="DL1083">
        <f t="shared" si="1396"/>
        <v>0</v>
      </c>
      <c r="DM1083">
        <f t="shared" si="1397"/>
        <v>0</v>
      </c>
      <c r="DN1083" t="str">
        <f t="shared" si="1398"/>
        <v>Timber</v>
      </c>
      <c r="DP1083">
        <v>1</v>
      </c>
      <c r="DS1083" s="184" t="s">
        <v>2060</v>
      </c>
      <c r="DT1083"/>
      <c r="DU1083" s="143" t="str">
        <f t="shared" si="1399"/>
        <v>external DF used</v>
      </c>
      <c r="DV1083">
        <v>1</v>
      </c>
      <c r="DW1083">
        <v>1</v>
      </c>
      <c r="DX1083">
        <v>1</v>
      </c>
      <c r="DY1083">
        <v>1</v>
      </c>
      <c r="DZ1083">
        <v>1</v>
      </c>
      <c r="EA1083">
        <v>1</v>
      </c>
      <c r="EB1083">
        <v>0</v>
      </c>
      <c r="EC1083">
        <v>0</v>
      </c>
      <c r="ED1083">
        <v>0</v>
      </c>
      <c r="EE1083">
        <v>0</v>
      </c>
      <c r="EF1083">
        <v>1</v>
      </c>
      <c r="EG1083">
        <v>0</v>
      </c>
      <c r="EH1083">
        <v>1</v>
      </c>
      <c r="EI1083" s="2">
        <v>0</v>
      </c>
      <c r="EK1083" t="str">
        <f t="shared" si="1416"/>
        <v/>
      </c>
      <c r="EL1083" t="str">
        <f t="shared" si="1417"/>
        <v/>
      </c>
      <c r="EM1083" s="2" t="str">
        <f t="shared" si="1424"/>
        <v/>
      </c>
      <c r="EP1083" t="str">
        <f>IF(ISNUMBER(BU1083),IF(ABS(BU1083-[3]QC_indicators!$B$2)&gt;3*[3]QC_indicators!$C$2,"C ratio",IF(ISNUMBER(BY1083),IF(ABS(BY1083-[3]QC_indicators!$B$1)&gt;3*[3]QC_indicators!$C$1,"DF","no"))),IF(ISNUMBER(BY1083),IF(ABS(BY1083-[3]QC_indicators!$B$1)&gt;3*[3]QC_indicators!$C$1,"DF","no")))</f>
        <v>no</v>
      </c>
      <c r="ET1083" s="264" t="s">
        <v>3272</v>
      </c>
    </row>
    <row r="1084" spans="4:150" ht="15" hidden="1" customHeight="1">
      <c r="D1084" t="s">
        <v>2051</v>
      </c>
      <c r="E1084" t="s">
        <v>2052</v>
      </c>
      <c r="G1084" t="s">
        <v>2053</v>
      </c>
      <c r="I1084">
        <v>2018</v>
      </c>
      <c r="K1084" s="150" t="s">
        <v>2054</v>
      </c>
      <c r="M1084" t="str">
        <f t="shared" si="1352"/>
        <v>Olguin_2018</v>
      </c>
      <c r="N1084" t="s">
        <v>222</v>
      </c>
      <c r="O1084" s="157" t="s">
        <v>274</v>
      </c>
      <c r="P1084" t="s">
        <v>513</v>
      </c>
      <c r="Q1084" t="s">
        <v>389</v>
      </c>
      <c r="R1084" s="262" t="s">
        <v>223</v>
      </c>
      <c r="S1084" s="263" t="s">
        <v>3201</v>
      </c>
      <c r="T1084" t="s">
        <v>2055</v>
      </c>
      <c r="U1084" t="s">
        <v>2056</v>
      </c>
      <c r="V1084">
        <v>0</v>
      </c>
      <c r="W1084">
        <v>0</v>
      </c>
      <c r="X1084">
        <v>0</v>
      </c>
      <c r="Y1084">
        <v>0</v>
      </c>
      <c r="Z1084">
        <v>0</v>
      </c>
      <c r="AA1084">
        <v>0</v>
      </c>
      <c r="AB1084">
        <v>0</v>
      </c>
      <c r="AC1084">
        <v>1</v>
      </c>
      <c r="AD1084">
        <v>0</v>
      </c>
      <c r="AE1084">
        <v>0</v>
      </c>
      <c r="AF1084">
        <v>1</v>
      </c>
      <c r="AG1084">
        <v>0</v>
      </c>
      <c r="AH1084">
        <v>0</v>
      </c>
      <c r="AI1084">
        <v>0</v>
      </c>
      <c r="AJ1084">
        <v>0</v>
      </c>
      <c r="AK1084">
        <v>0</v>
      </c>
      <c r="AL1084">
        <v>0</v>
      </c>
      <c r="AM1084">
        <v>0</v>
      </c>
      <c r="AN1084">
        <v>0</v>
      </c>
      <c r="AO1084">
        <v>0</v>
      </c>
      <c r="AP1084">
        <v>0</v>
      </c>
      <c r="AQ1084">
        <v>0</v>
      </c>
      <c r="AR1084">
        <v>0</v>
      </c>
      <c r="AS1084">
        <v>0</v>
      </c>
      <c r="AT1084">
        <v>0</v>
      </c>
      <c r="AU1084">
        <v>0</v>
      </c>
      <c r="AV1084">
        <v>0</v>
      </c>
      <c r="AW1084">
        <v>0</v>
      </c>
      <c r="AX1084" s="141">
        <f t="shared" si="1390"/>
        <v>2</v>
      </c>
      <c r="AY1084" s="141">
        <f t="shared" si="1391"/>
        <v>2</v>
      </c>
      <c r="AZ1084">
        <f t="shared" si="1400"/>
        <v>1</v>
      </c>
      <c r="BA1084">
        <f t="shared" si="1401"/>
        <v>1</v>
      </c>
      <c r="BB1084">
        <f t="shared" si="1402"/>
        <v>0</v>
      </c>
      <c r="BC1084">
        <f t="shared" si="1403"/>
        <v>0</v>
      </c>
      <c r="BD1084">
        <f t="shared" si="1404"/>
        <v>0</v>
      </c>
      <c r="BE1084" t="str">
        <f t="array" ref="BE1084">IF(AY1084=1,INDEX($V$7:$AL$7,MATCH(TRUE,INDEX($V1084:$AW1084&lt;&gt;0,),0)),IF(AY1084=0,INDEX($AM$7:$AW$7,MATCH(1,$AM1084:$AW1084,0)),IF(BF1084="Multiple strategies","mixed drivers",IF(BF1084="Supply chain","multiple supply","multiple silviculture"))))</f>
        <v>mixed drivers</v>
      </c>
      <c r="BF1084" s="2" t="str" cm="1">
        <f t="array" ref="BF1084">IF(COUNTIF(AZ1084:BB1084,"&lt;&gt;0")=1,INDEX($V$4:$AW$4,MATCH(TRUE,INDEX($V1084:$AW1084&lt;&gt;0,),0)),IF(COUNTIF(AZ1084:BB1084,"&lt;&gt;0")=0,INDEX($AM$4:$AW$4,MATCH(1,$AM1084:$AW1084,0)),"Multiple strategies"))</f>
        <v>Multiple strategies</v>
      </c>
      <c r="BG1084" s="1" t="s">
        <v>321</v>
      </c>
      <c r="BI1084" s="264" t="s">
        <v>1035</v>
      </c>
      <c r="BJ1084" t="s">
        <v>2057</v>
      </c>
      <c r="BK1084">
        <v>0</v>
      </c>
      <c r="BL1084">
        <v>218025</v>
      </c>
      <c r="BM1084" t="str">
        <f t="shared" ref="BM1084:BM1090" si="1426">IFERROR(BL1084/BK1084,"")</f>
        <v/>
      </c>
      <c r="BN1084">
        <f t="shared" si="1405"/>
        <v>218025</v>
      </c>
      <c r="BO1084">
        <f t="shared" si="1420"/>
        <v>946699.95657837612</v>
      </c>
      <c r="BP1084" t="s">
        <v>232</v>
      </c>
      <c r="BQ1084" t="s">
        <v>424</v>
      </c>
      <c r="BR1084" t="s">
        <v>2062</v>
      </c>
      <c r="BU1084" s="144"/>
      <c r="BV1084">
        <v>-0.33</v>
      </c>
      <c r="BX1084">
        <f t="shared" si="1423"/>
        <v>-0.33</v>
      </c>
      <c r="BY1084">
        <f t="shared" si="1419"/>
        <v>-3.4857929136566908E-7</v>
      </c>
      <c r="BZ1084">
        <v>0</v>
      </c>
      <c r="CA1084">
        <v>0</v>
      </c>
      <c r="CB1084">
        <v>0</v>
      </c>
      <c r="CC1084">
        <v>0</v>
      </c>
      <c r="CD1084">
        <v>0</v>
      </c>
      <c r="CE1084">
        <v>0</v>
      </c>
      <c r="CF1084">
        <v>0</v>
      </c>
      <c r="CG1084">
        <v>0</v>
      </c>
      <c r="CH1084">
        <v>0</v>
      </c>
      <c r="CI1084">
        <v>0</v>
      </c>
      <c r="CJ1084">
        <v>0</v>
      </c>
      <c r="CK1084">
        <v>0</v>
      </c>
      <c r="CL1084">
        <v>0</v>
      </c>
      <c r="CM1084">
        <v>0</v>
      </c>
      <c r="CN1084" t="str">
        <f t="shared" ref="CN1084:CN1090" si="1427">IF($BL1084&lt;$BK1084,"refNeedCorrection","refOK")</f>
        <v>refOK</v>
      </c>
      <c r="CO1084">
        <f t="shared" ref="CO1084:CO1090" si="1428">IF($CN1084="refOK",$BK1084,$BL1084)</f>
        <v>0</v>
      </c>
      <c r="CP1084">
        <f t="shared" ref="CP1084:CP1090" si="1429">IF($CN1084="refOK",$BL1084,$BK1084)</f>
        <v>218025</v>
      </c>
      <c r="CQ1084">
        <f t="shared" si="1409"/>
        <v>946699.95657837612</v>
      </c>
      <c r="CR1084">
        <f t="shared" si="1410"/>
        <v>0</v>
      </c>
      <c r="CS1084">
        <f t="shared" si="1411"/>
        <v>0</v>
      </c>
      <c r="CT1084">
        <f t="shared" si="1412"/>
        <v>-0.33</v>
      </c>
      <c r="CU1084">
        <f t="shared" si="1413"/>
        <v>-3.4857929136566908E-7</v>
      </c>
      <c r="CV1084" s="2" t="str">
        <f t="shared" si="1393"/>
        <v/>
      </c>
      <c r="CW1084" s="1" t="s">
        <v>2035</v>
      </c>
      <c r="CX1084" t="str">
        <f t="shared" si="1414"/>
        <v>reg</v>
      </c>
      <c r="CY1084" t="s">
        <v>2059</v>
      </c>
      <c r="CZ1084">
        <v>2021</v>
      </c>
      <c r="DA1084">
        <v>2040</v>
      </c>
      <c r="DB1084">
        <f t="shared" si="1421"/>
        <v>19</v>
      </c>
      <c r="DC1084" t="str">
        <f t="shared" si="1415"/>
        <v>1-30</v>
      </c>
      <c r="DD1084">
        <v>0</v>
      </c>
      <c r="DE1084">
        <v>0</v>
      </c>
      <c r="DF1084">
        <v>0</v>
      </c>
      <c r="DG1084">
        <v>1</v>
      </c>
      <c r="DH1084">
        <v>0</v>
      </c>
      <c r="DI1084">
        <f t="shared" si="1425"/>
        <v>1</v>
      </c>
      <c r="DJ1084" t="str">
        <f t="shared" si="1394"/>
        <v>TimberInput</v>
      </c>
      <c r="DK1084">
        <f t="shared" si="1395"/>
        <v>0</v>
      </c>
      <c r="DL1084">
        <f t="shared" si="1396"/>
        <v>0</v>
      </c>
      <c r="DM1084">
        <f t="shared" si="1397"/>
        <v>0</v>
      </c>
      <c r="DN1084" t="str">
        <f t="shared" si="1398"/>
        <v>Timber</v>
      </c>
      <c r="DP1084">
        <v>1</v>
      </c>
      <c r="DS1084" s="184" t="s">
        <v>2060</v>
      </c>
      <c r="DT1084"/>
      <c r="DU1084" s="143" t="str">
        <f t="shared" si="1399"/>
        <v>external DF used</v>
      </c>
      <c r="DV1084">
        <v>1</v>
      </c>
      <c r="DW1084">
        <v>1</v>
      </c>
      <c r="DX1084">
        <v>1</v>
      </c>
      <c r="DY1084">
        <v>1</v>
      </c>
      <c r="DZ1084">
        <v>1</v>
      </c>
      <c r="EA1084">
        <v>1</v>
      </c>
      <c r="EB1084">
        <v>0</v>
      </c>
      <c r="EC1084">
        <v>0</v>
      </c>
      <c r="ED1084">
        <v>0</v>
      </c>
      <c r="EE1084">
        <v>0</v>
      </c>
      <c r="EF1084">
        <v>1</v>
      </c>
      <c r="EG1084">
        <v>0</v>
      </c>
      <c r="EH1084">
        <v>1</v>
      </c>
      <c r="EI1084" s="2">
        <v>0</v>
      </c>
      <c r="EK1084" t="str">
        <f t="shared" si="1416"/>
        <v/>
      </c>
      <c r="EL1084" t="str">
        <f t="shared" si="1417"/>
        <v/>
      </c>
      <c r="EM1084" s="2" t="str">
        <f t="shared" si="1424"/>
        <v/>
      </c>
      <c r="EP1084" t="str">
        <f>IF(ISNUMBER(BU1084),IF(ABS(BU1084-[3]QC_indicators!$B$2)&gt;3*[3]QC_indicators!$C$2,"C ratio",IF(ISNUMBER(BY1084),IF(ABS(BY1084-[3]QC_indicators!$B$1)&gt;3*[3]QC_indicators!$C$1,"DF","no"))),IF(ISNUMBER(BY1084),IF(ABS(BY1084-[3]QC_indicators!$B$1)&gt;3*[3]QC_indicators!$C$1,"DF","no")))</f>
        <v>no</v>
      </c>
      <c r="ET1084" s="264" t="s">
        <v>3272</v>
      </c>
    </row>
    <row r="1085" spans="4:150" ht="15" hidden="1" customHeight="1">
      <c r="D1085" t="s">
        <v>2051</v>
      </c>
      <c r="E1085" t="s">
        <v>2052</v>
      </c>
      <c r="G1085" t="s">
        <v>2053</v>
      </c>
      <c r="I1085">
        <v>2018</v>
      </c>
      <c r="K1085" s="150" t="s">
        <v>2054</v>
      </c>
      <c r="M1085" t="str">
        <f t="shared" si="1352"/>
        <v>Olguin_2018</v>
      </c>
      <c r="N1085" t="s">
        <v>222</v>
      </c>
      <c r="O1085" s="157" t="s">
        <v>274</v>
      </c>
      <c r="P1085" t="s">
        <v>513</v>
      </c>
      <c r="Q1085" t="s">
        <v>389</v>
      </c>
      <c r="R1085" s="262" t="s">
        <v>223</v>
      </c>
      <c r="S1085" s="263" t="s">
        <v>3209</v>
      </c>
      <c r="T1085" t="s">
        <v>2055</v>
      </c>
      <c r="U1085" t="s">
        <v>2056</v>
      </c>
      <c r="V1085">
        <v>0</v>
      </c>
      <c r="W1085">
        <v>0</v>
      </c>
      <c r="X1085">
        <v>0</v>
      </c>
      <c r="Y1085">
        <v>0</v>
      </c>
      <c r="Z1085">
        <v>0</v>
      </c>
      <c r="AA1085">
        <v>0</v>
      </c>
      <c r="AB1085">
        <v>0</v>
      </c>
      <c r="AC1085">
        <v>1</v>
      </c>
      <c r="AD1085">
        <v>0</v>
      </c>
      <c r="AE1085">
        <v>0</v>
      </c>
      <c r="AF1085">
        <v>1</v>
      </c>
      <c r="AG1085">
        <v>0</v>
      </c>
      <c r="AH1085">
        <v>0</v>
      </c>
      <c r="AI1085">
        <v>0</v>
      </c>
      <c r="AJ1085">
        <v>0</v>
      </c>
      <c r="AK1085">
        <v>0</v>
      </c>
      <c r="AL1085">
        <v>0</v>
      </c>
      <c r="AM1085">
        <v>0</v>
      </c>
      <c r="AN1085">
        <v>0</v>
      </c>
      <c r="AO1085">
        <v>0</v>
      </c>
      <c r="AP1085">
        <v>0</v>
      </c>
      <c r="AQ1085">
        <v>0</v>
      </c>
      <c r="AR1085">
        <v>0</v>
      </c>
      <c r="AS1085">
        <v>0</v>
      </c>
      <c r="AT1085">
        <v>0</v>
      </c>
      <c r="AU1085">
        <v>0</v>
      </c>
      <c r="AV1085">
        <v>0</v>
      </c>
      <c r="AW1085">
        <v>0</v>
      </c>
      <c r="AX1085" s="141">
        <f t="shared" si="1390"/>
        <v>2</v>
      </c>
      <c r="AY1085" s="141">
        <f t="shared" si="1391"/>
        <v>2</v>
      </c>
      <c r="AZ1085">
        <f t="shared" si="1400"/>
        <v>1</v>
      </c>
      <c r="BA1085">
        <f t="shared" si="1401"/>
        <v>1</v>
      </c>
      <c r="BB1085">
        <f t="shared" si="1402"/>
        <v>0</v>
      </c>
      <c r="BC1085">
        <f t="shared" si="1403"/>
        <v>0</v>
      </c>
      <c r="BD1085">
        <f t="shared" si="1404"/>
        <v>0</v>
      </c>
      <c r="BE1085" t="str">
        <f t="array" ref="BE1085">IF(AY1085=1,INDEX($V$7:$AL$7,MATCH(TRUE,INDEX($V1085:$AW1085&lt;&gt;0,),0)),IF(AY1085=0,INDEX($AM$7:$AW$7,MATCH(1,$AM1085:$AW1085,0)),IF(BF1085="Multiple strategies","mixed drivers",IF(BF1085="Supply chain","multiple supply","multiple silviculture"))))</f>
        <v>mixed drivers</v>
      </c>
      <c r="BF1085" s="2" t="str" cm="1">
        <f t="array" ref="BF1085">IF(COUNTIF(AZ1085:BB1085,"&lt;&gt;0")=1,INDEX($V$4:$AW$4,MATCH(TRUE,INDEX($V1085:$AW1085&lt;&gt;0,),0)),IF(COUNTIF(AZ1085:BB1085,"&lt;&gt;0")=0,INDEX($AM$4:$AW$4,MATCH(1,$AM1085:$AW1085,0)),"Multiple strategies"))</f>
        <v>Multiple strategies</v>
      </c>
      <c r="BG1085" s="1" t="s">
        <v>321</v>
      </c>
      <c r="BI1085" s="264" t="s">
        <v>1035</v>
      </c>
      <c r="BJ1085" t="s">
        <v>2057</v>
      </c>
      <c r="BK1085">
        <v>0</v>
      </c>
      <c r="BL1085">
        <v>218025</v>
      </c>
      <c r="BM1085" t="str">
        <f t="shared" si="1426"/>
        <v/>
      </c>
      <c r="BN1085">
        <f t="shared" si="1405"/>
        <v>218025</v>
      </c>
      <c r="BO1085">
        <f t="shared" si="1420"/>
        <v>946699.95657837612</v>
      </c>
      <c r="BP1085" t="s">
        <v>232</v>
      </c>
      <c r="BQ1085" t="s">
        <v>424</v>
      </c>
      <c r="BR1085" t="s">
        <v>2062</v>
      </c>
      <c r="BU1085" s="144"/>
      <c r="BV1085">
        <v>-0.18</v>
      </c>
      <c r="BX1085">
        <f t="shared" si="1423"/>
        <v>-0.18</v>
      </c>
      <c r="BY1085">
        <f t="shared" si="1419"/>
        <v>-1.9013415892672855E-7</v>
      </c>
      <c r="BZ1085">
        <v>0</v>
      </c>
      <c r="CA1085">
        <v>0</v>
      </c>
      <c r="CB1085">
        <v>0</v>
      </c>
      <c r="CC1085">
        <v>0</v>
      </c>
      <c r="CD1085">
        <v>0</v>
      </c>
      <c r="CE1085">
        <v>0</v>
      </c>
      <c r="CF1085">
        <v>0</v>
      </c>
      <c r="CG1085">
        <v>0</v>
      </c>
      <c r="CH1085">
        <v>0</v>
      </c>
      <c r="CI1085">
        <v>0</v>
      </c>
      <c r="CJ1085">
        <v>0</v>
      </c>
      <c r="CK1085">
        <v>0</v>
      </c>
      <c r="CL1085">
        <v>0</v>
      </c>
      <c r="CM1085">
        <v>0</v>
      </c>
      <c r="CN1085" t="str">
        <f t="shared" si="1427"/>
        <v>refOK</v>
      </c>
      <c r="CO1085">
        <f t="shared" si="1428"/>
        <v>0</v>
      </c>
      <c r="CP1085">
        <f t="shared" si="1429"/>
        <v>218025</v>
      </c>
      <c r="CQ1085">
        <f t="shared" si="1409"/>
        <v>946699.95657837612</v>
      </c>
      <c r="CR1085">
        <f t="shared" si="1410"/>
        <v>0</v>
      </c>
      <c r="CS1085">
        <f t="shared" si="1411"/>
        <v>0</v>
      </c>
      <c r="CT1085">
        <f t="shared" si="1412"/>
        <v>-0.18</v>
      </c>
      <c r="CU1085">
        <f t="shared" si="1413"/>
        <v>-1.9013415892672855E-7</v>
      </c>
      <c r="CV1085" s="2" t="str">
        <f t="shared" si="1393"/>
        <v/>
      </c>
      <c r="CW1085" s="1" t="s">
        <v>2035</v>
      </c>
      <c r="CX1085" t="str">
        <f t="shared" si="1414"/>
        <v>reg</v>
      </c>
      <c r="CY1085" t="s">
        <v>2059</v>
      </c>
      <c r="CZ1085">
        <v>2021</v>
      </c>
      <c r="DA1085">
        <v>2050</v>
      </c>
      <c r="DB1085">
        <f t="shared" si="1421"/>
        <v>29</v>
      </c>
      <c r="DC1085" t="str">
        <f t="shared" si="1415"/>
        <v>1-30</v>
      </c>
      <c r="DD1085">
        <v>0</v>
      </c>
      <c r="DE1085">
        <v>0</v>
      </c>
      <c r="DF1085">
        <v>0</v>
      </c>
      <c r="DG1085">
        <v>1</v>
      </c>
      <c r="DH1085">
        <v>0</v>
      </c>
      <c r="DI1085">
        <f t="shared" si="1425"/>
        <v>1</v>
      </c>
      <c r="DJ1085" t="str">
        <f t="shared" si="1394"/>
        <v>TimberInput</v>
      </c>
      <c r="DK1085">
        <f t="shared" si="1395"/>
        <v>0</v>
      </c>
      <c r="DL1085">
        <f t="shared" si="1396"/>
        <v>0</v>
      </c>
      <c r="DM1085">
        <f t="shared" si="1397"/>
        <v>0</v>
      </c>
      <c r="DN1085" t="str">
        <f t="shared" si="1398"/>
        <v>Timber</v>
      </c>
      <c r="DP1085">
        <v>1</v>
      </c>
      <c r="DS1085" s="184" t="s">
        <v>2060</v>
      </c>
      <c r="DT1085"/>
      <c r="DU1085" s="143" t="str">
        <f t="shared" si="1399"/>
        <v>external DF used</v>
      </c>
      <c r="DV1085">
        <v>1</v>
      </c>
      <c r="DW1085">
        <v>1</v>
      </c>
      <c r="DX1085">
        <v>1</v>
      </c>
      <c r="DY1085">
        <v>1</v>
      </c>
      <c r="DZ1085">
        <v>1</v>
      </c>
      <c r="EA1085">
        <v>1</v>
      </c>
      <c r="EB1085">
        <v>0</v>
      </c>
      <c r="EC1085">
        <v>0</v>
      </c>
      <c r="ED1085">
        <v>0</v>
      </c>
      <c r="EE1085">
        <v>0</v>
      </c>
      <c r="EF1085">
        <v>1</v>
      </c>
      <c r="EG1085">
        <v>0</v>
      </c>
      <c r="EH1085">
        <v>1</v>
      </c>
      <c r="EI1085" s="2">
        <v>0</v>
      </c>
      <c r="EK1085" t="str">
        <f t="shared" si="1416"/>
        <v/>
      </c>
      <c r="EL1085" t="str">
        <f t="shared" si="1417"/>
        <v/>
      </c>
      <c r="EM1085" s="2" t="str">
        <f t="shared" si="1424"/>
        <v/>
      </c>
      <c r="EP1085" t="str">
        <f>IF(ISNUMBER(BU1085),IF(ABS(BU1085-[3]QC_indicators!$B$2)&gt;3*[3]QC_indicators!$C$2,"C ratio",IF(ISNUMBER(BY1085),IF(ABS(BY1085-[3]QC_indicators!$B$1)&gt;3*[3]QC_indicators!$C$1,"DF","no"))),IF(ISNUMBER(BY1085),IF(ABS(BY1085-[3]QC_indicators!$B$1)&gt;3*[3]QC_indicators!$C$1,"DF","no")))</f>
        <v>no</v>
      </c>
      <c r="ET1085" s="264" t="s">
        <v>3272</v>
      </c>
    </row>
    <row r="1086" spans="4:150" ht="15" hidden="1" customHeight="1">
      <c r="D1086" t="s">
        <v>2051</v>
      </c>
      <c r="E1086" t="s">
        <v>2052</v>
      </c>
      <c r="G1086" t="s">
        <v>2053</v>
      </c>
      <c r="I1086">
        <v>2018</v>
      </c>
      <c r="K1086" s="150" t="s">
        <v>2054</v>
      </c>
      <c r="M1086" t="str">
        <f t="shared" si="1352"/>
        <v>Olguin_2018</v>
      </c>
      <c r="N1086" t="s">
        <v>222</v>
      </c>
      <c r="O1086" s="157" t="s">
        <v>274</v>
      </c>
      <c r="P1086" t="s">
        <v>513</v>
      </c>
      <c r="Q1086" t="s">
        <v>389</v>
      </c>
      <c r="R1086" s="262" t="s">
        <v>223</v>
      </c>
      <c r="S1086" s="263" t="s">
        <v>3188</v>
      </c>
      <c r="T1086" t="s">
        <v>2055</v>
      </c>
      <c r="U1086" t="s">
        <v>2064</v>
      </c>
      <c r="V1086">
        <v>0</v>
      </c>
      <c r="W1086">
        <v>0</v>
      </c>
      <c r="X1086">
        <v>0</v>
      </c>
      <c r="Y1086">
        <v>0</v>
      </c>
      <c r="Z1086">
        <v>0</v>
      </c>
      <c r="AA1086">
        <v>0</v>
      </c>
      <c r="AB1086">
        <v>0</v>
      </c>
      <c r="AC1086">
        <v>1</v>
      </c>
      <c r="AD1086">
        <v>0</v>
      </c>
      <c r="AE1086">
        <v>0</v>
      </c>
      <c r="AF1086">
        <v>0</v>
      </c>
      <c r="AG1086">
        <v>0</v>
      </c>
      <c r="AH1086">
        <v>0</v>
      </c>
      <c r="AI1086">
        <v>0</v>
      </c>
      <c r="AJ1086">
        <v>0</v>
      </c>
      <c r="AK1086">
        <v>0</v>
      </c>
      <c r="AL1086">
        <v>0</v>
      </c>
      <c r="AM1086">
        <v>0</v>
      </c>
      <c r="AN1086">
        <v>0</v>
      </c>
      <c r="AO1086">
        <v>0</v>
      </c>
      <c r="AP1086">
        <v>0</v>
      </c>
      <c r="AQ1086">
        <v>0</v>
      </c>
      <c r="AR1086">
        <v>0</v>
      </c>
      <c r="AS1086">
        <v>0</v>
      </c>
      <c r="AT1086">
        <v>0</v>
      </c>
      <c r="AU1086">
        <v>0</v>
      </c>
      <c r="AV1086">
        <v>0</v>
      </c>
      <c r="AW1086">
        <v>0</v>
      </c>
      <c r="AX1086" s="141">
        <f t="shared" si="1390"/>
        <v>1</v>
      </c>
      <c r="AY1086" s="141">
        <f t="shared" si="1391"/>
        <v>1</v>
      </c>
      <c r="AZ1086">
        <f t="shared" si="1400"/>
        <v>1</v>
      </c>
      <c r="BA1086">
        <f t="shared" si="1401"/>
        <v>0</v>
      </c>
      <c r="BB1086">
        <f t="shared" si="1402"/>
        <v>0</v>
      </c>
      <c r="BC1086">
        <f t="shared" si="1403"/>
        <v>0</v>
      </c>
      <c r="BD1086">
        <f t="shared" si="1404"/>
        <v>0</v>
      </c>
      <c r="BE1086" t="str">
        <f t="array" ref="BE1086">IF(AY1086=1,INDEX($V$7:$AL$7,MATCH(TRUE,INDEX($V1086:$AW1086&lt;&gt;0,),0)),IF(AY1086=0,INDEX($AM$7:$AW$7,MATCH(1,$AM1086:$AW1086,0)),IF(BF1086="Multiple strategies","mixed drivers",IF(BF1086="Supply chain","multiple supply","multiple silviculture"))))</f>
        <v>site fertility</v>
      </c>
      <c r="BF1086" s="2" t="str" cm="1">
        <f t="array" ref="BF1086">IF(COUNTIF(AZ1086:BB1086,"&lt;&gt;0")=1,INDEX($V$4:$AW$4,MATCH(TRUE,INDEX($V1086:$AW1086&lt;&gt;0,),0)),IF(COUNTIF(AZ1086:BB1086,"&lt;&gt;0")=0,INDEX($AM$4:$AW$4,MATCH(1,$AM1086:$AW1086,0)),"Multiple strategies"))</f>
        <v>Silviculture for productivity</v>
      </c>
      <c r="BG1086" s="1" t="s">
        <v>321</v>
      </c>
      <c r="BI1086" s="264" t="s">
        <v>1035</v>
      </c>
      <c r="BJ1086" t="s">
        <v>2057</v>
      </c>
      <c r="BK1086">
        <v>0</v>
      </c>
      <c r="BL1086">
        <v>6788</v>
      </c>
      <c r="BM1086" t="str">
        <f t="shared" si="1426"/>
        <v/>
      </c>
      <c r="BN1086">
        <f t="shared" si="1405"/>
        <v>6788</v>
      </c>
      <c r="BO1086">
        <f t="shared" si="1420"/>
        <v>29474.598349978292</v>
      </c>
      <c r="BP1086" t="s">
        <v>232</v>
      </c>
      <c r="BQ1086" t="s">
        <v>424</v>
      </c>
      <c r="BR1086" t="s">
        <v>2062</v>
      </c>
      <c r="BU1086" s="144"/>
      <c r="BV1086">
        <v>1E-3</v>
      </c>
      <c r="BX1086">
        <f t="shared" si="1423"/>
        <v>1E-3</v>
      </c>
      <c r="BY1086">
        <f t="shared" si="1419"/>
        <v>3.3927519151443721E-8</v>
      </c>
      <c r="BZ1086">
        <v>0</v>
      </c>
      <c r="CA1086">
        <v>0</v>
      </c>
      <c r="CB1086">
        <v>0</v>
      </c>
      <c r="CC1086">
        <v>0</v>
      </c>
      <c r="CD1086">
        <v>0</v>
      </c>
      <c r="CE1086">
        <v>0</v>
      </c>
      <c r="CF1086">
        <v>0</v>
      </c>
      <c r="CG1086">
        <v>0</v>
      </c>
      <c r="CH1086">
        <v>0</v>
      </c>
      <c r="CI1086">
        <v>0</v>
      </c>
      <c r="CJ1086">
        <v>0</v>
      </c>
      <c r="CK1086">
        <v>0</v>
      </c>
      <c r="CL1086">
        <v>0</v>
      </c>
      <c r="CM1086">
        <v>0</v>
      </c>
      <c r="CN1086" t="str">
        <f t="shared" si="1427"/>
        <v>refOK</v>
      </c>
      <c r="CO1086">
        <f t="shared" si="1428"/>
        <v>0</v>
      </c>
      <c r="CP1086">
        <f t="shared" si="1429"/>
        <v>6788</v>
      </c>
      <c r="CQ1086">
        <f t="shared" si="1409"/>
        <v>29474.598349978292</v>
      </c>
      <c r="CR1086">
        <f t="shared" si="1410"/>
        <v>0</v>
      </c>
      <c r="CS1086">
        <f t="shared" si="1411"/>
        <v>0</v>
      </c>
      <c r="CT1086">
        <f t="shared" si="1412"/>
        <v>1E-3</v>
      </c>
      <c r="CU1086">
        <f t="shared" si="1413"/>
        <v>3.3927519151443721E-8</v>
      </c>
      <c r="CV1086" s="2" t="str">
        <f t="shared" si="1393"/>
        <v/>
      </c>
      <c r="CW1086" s="1" t="s">
        <v>2035</v>
      </c>
      <c r="CX1086" t="str">
        <f t="shared" si="1414"/>
        <v>reg</v>
      </c>
      <c r="CY1086" t="s">
        <v>2059</v>
      </c>
      <c r="CZ1086">
        <v>2021</v>
      </c>
      <c r="DA1086">
        <v>2030</v>
      </c>
      <c r="DB1086">
        <f t="shared" si="1421"/>
        <v>9</v>
      </c>
      <c r="DC1086" t="str">
        <f t="shared" si="1415"/>
        <v>1-30</v>
      </c>
      <c r="DD1086">
        <v>0</v>
      </c>
      <c r="DE1086">
        <v>0</v>
      </c>
      <c r="DF1086">
        <v>0</v>
      </c>
      <c r="DG1086">
        <v>1</v>
      </c>
      <c r="DH1086">
        <v>0</v>
      </c>
      <c r="DI1086">
        <f t="shared" si="1425"/>
        <v>1</v>
      </c>
      <c r="DJ1086" t="str">
        <f t="shared" si="1394"/>
        <v>TimberInput</v>
      </c>
      <c r="DK1086">
        <f t="shared" si="1395"/>
        <v>0</v>
      </c>
      <c r="DL1086">
        <f t="shared" si="1396"/>
        <v>0</v>
      </c>
      <c r="DM1086">
        <f t="shared" si="1397"/>
        <v>0</v>
      </c>
      <c r="DN1086" t="str">
        <f t="shared" si="1398"/>
        <v>Timber</v>
      </c>
      <c r="DP1086">
        <v>1</v>
      </c>
      <c r="DS1086" s="184" t="s">
        <v>2060</v>
      </c>
      <c r="DT1086"/>
      <c r="DU1086" s="143" t="str">
        <f t="shared" si="1399"/>
        <v>external DF used</v>
      </c>
      <c r="DV1086">
        <v>1</v>
      </c>
      <c r="DW1086">
        <v>1</v>
      </c>
      <c r="DX1086">
        <v>1</v>
      </c>
      <c r="DY1086">
        <v>1</v>
      </c>
      <c r="DZ1086">
        <v>1</v>
      </c>
      <c r="EA1086">
        <v>1</v>
      </c>
      <c r="EB1086">
        <v>0</v>
      </c>
      <c r="EC1086">
        <v>0</v>
      </c>
      <c r="ED1086">
        <v>0</v>
      </c>
      <c r="EE1086">
        <v>0</v>
      </c>
      <c r="EF1086">
        <v>1</v>
      </c>
      <c r="EG1086">
        <v>0</v>
      </c>
      <c r="EH1086">
        <v>1</v>
      </c>
      <c r="EI1086" s="2">
        <v>0</v>
      </c>
      <c r="EK1086" t="str">
        <f t="shared" si="1416"/>
        <v/>
      </c>
      <c r="EL1086" t="str">
        <f t="shared" si="1417"/>
        <v/>
      </c>
      <c r="EM1086" s="2" t="str">
        <f t="shared" si="1424"/>
        <v/>
      </c>
      <c r="EP1086" t="str">
        <f>IF(ISNUMBER(BU1086),IF(ABS(BU1086-[3]QC_indicators!$B$2)&gt;3*[3]QC_indicators!$C$2,"C ratio",IF(ISNUMBER(BY1086),IF(ABS(BY1086-[3]QC_indicators!$B$1)&gt;3*[3]QC_indicators!$C$1,"DF","no"))),IF(ISNUMBER(BY1086),IF(ABS(BY1086-[3]QC_indicators!$B$1)&gt;3*[3]QC_indicators!$C$1,"DF","no")))</f>
        <v>no</v>
      </c>
      <c r="ET1086" s="264" t="s">
        <v>3272</v>
      </c>
    </row>
    <row r="1087" spans="4:150" ht="15" hidden="1" customHeight="1">
      <c r="D1087" t="s">
        <v>2051</v>
      </c>
      <c r="E1087" t="s">
        <v>2052</v>
      </c>
      <c r="G1087" t="s">
        <v>2053</v>
      </c>
      <c r="I1087">
        <v>2018</v>
      </c>
      <c r="K1087" s="150" t="s">
        <v>2054</v>
      </c>
      <c r="M1087" t="str">
        <f t="shared" si="1352"/>
        <v>Olguin_2018</v>
      </c>
      <c r="N1087" t="s">
        <v>222</v>
      </c>
      <c r="O1087" s="157" t="s">
        <v>274</v>
      </c>
      <c r="P1087" t="s">
        <v>513</v>
      </c>
      <c r="Q1087" t="s">
        <v>389</v>
      </c>
      <c r="R1087" s="262" t="s">
        <v>223</v>
      </c>
      <c r="S1087" s="263" t="s">
        <v>3192</v>
      </c>
      <c r="T1087" t="s">
        <v>2055</v>
      </c>
      <c r="U1087" t="s">
        <v>2061</v>
      </c>
      <c r="V1087">
        <v>0</v>
      </c>
      <c r="W1087">
        <v>0</v>
      </c>
      <c r="X1087">
        <v>0</v>
      </c>
      <c r="Y1087">
        <v>0</v>
      </c>
      <c r="Z1087">
        <v>0</v>
      </c>
      <c r="AA1087">
        <v>0</v>
      </c>
      <c r="AB1087">
        <v>0</v>
      </c>
      <c r="AC1087">
        <v>1</v>
      </c>
      <c r="AD1087">
        <v>0</v>
      </c>
      <c r="AE1087">
        <v>0</v>
      </c>
      <c r="AF1087">
        <v>1</v>
      </c>
      <c r="AG1087">
        <v>0</v>
      </c>
      <c r="AH1087">
        <v>0</v>
      </c>
      <c r="AI1087">
        <v>0</v>
      </c>
      <c r="AJ1087">
        <v>0</v>
      </c>
      <c r="AK1087">
        <v>0</v>
      </c>
      <c r="AL1087">
        <v>0</v>
      </c>
      <c r="AM1087">
        <v>0</v>
      </c>
      <c r="AN1087">
        <v>0</v>
      </c>
      <c r="AO1087">
        <v>0</v>
      </c>
      <c r="AP1087">
        <v>0</v>
      </c>
      <c r="AQ1087">
        <v>0</v>
      </c>
      <c r="AR1087">
        <v>0</v>
      </c>
      <c r="AS1087">
        <v>0</v>
      </c>
      <c r="AT1087">
        <v>0</v>
      </c>
      <c r="AU1087">
        <v>0</v>
      </c>
      <c r="AV1087">
        <v>0</v>
      </c>
      <c r="AW1087">
        <v>0</v>
      </c>
      <c r="AX1087" s="141">
        <f t="shared" si="1390"/>
        <v>2</v>
      </c>
      <c r="AY1087" s="141">
        <f t="shared" si="1391"/>
        <v>2</v>
      </c>
      <c r="AZ1087">
        <f t="shared" si="1400"/>
        <v>1</v>
      </c>
      <c r="BA1087">
        <f t="shared" si="1401"/>
        <v>1</v>
      </c>
      <c r="BB1087">
        <f t="shared" si="1402"/>
        <v>0</v>
      </c>
      <c r="BC1087">
        <f t="shared" si="1403"/>
        <v>0</v>
      </c>
      <c r="BD1087">
        <f t="shared" si="1404"/>
        <v>0</v>
      </c>
      <c r="BE1087" t="str">
        <f t="array" ref="BE1087">IF(AY1087=1,INDEX($V$7:$AL$7,MATCH(TRUE,INDEX($V1087:$AW1087&lt;&gt;0,),0)),IF(AY1087=0,INDEX($AM$7:$AW$7,MATCH(1,$AM1087:$AW1087,0)),IF(BF1087="Multiple strategies","mixed drivers",IF(BF1087="Supply chain","multiple supply","multiple silviculture"))))</f>
        <v>mixed drivers</v>
      </c>
      <c r="BF1087" s="2" t="str" cm="1">
        <f t="array" ref="BF1087">IF(COUNTIF(AZ1087:BB1087,"&lt;&gt;0")=1,INDEX($V$4:$AW$4,MATCH(TRUE,INDEX($V1087:$AW1087&lt;&gt;0,),0)),IF(COUNTIF(AZ1087:BB1087,"&lt;&gt;0")=0,INDEX($AM$4:$AW$4,MATCH(1,$AM1087:$AW1087,0)),"Multiple strategies"))</f>
        <v>Multiple strategies</v>
      </c>
      <c r="BG1087" s="1" t="s">
        <v>321</v>
      </c>
      <c r="BI1087" s="264" t="s">
        <v>1035</v>
      </c>
      <c r="BJ1087" t="s">
        <v>2057</v>
      </c>
      <c r="BK1087">
        <v>0</v>
      </c>
      <c r="BL1087">
        <v>6788</v>
      </c>
      <c r="BM1087" t="str">
        <f t="shared" si="1426"/>
        <v/>
      </c>
      <c r="BN1087">
        <f t="shared" si="1405"/>
        <v>6788</v>
      </c>
      <c r="BO1087">
        <f t="shared" si="1420"/>
        <v>29474.598349978292</v>
      </c>
      <c r="BP1087" t="s">
        <v>232</v>
      </c>
      <c r="BQ1087" t="s">
        <v>424</v>
      </c>
      <c r="BR1087" t="s">
        <v>2062</v>
      </c>
      <c r="BU1087" s="144"/>
      <c r="BV1087">
        <v>0.01</v>
      </c>
      <c r="BX1087">
        <f t="shared" si="1423"/>
        <v>0.01</v>
      </c>
      <c r="BY1087">
        <f t="shared" si="1419"/>
        <v>3.3927519151443723E-7</v>
      </c>
      <c r="BZ1087">
        <v>0</v>
      </c>
      <c r="CA1087">
        <v>0</v>
      </c>
      <c r="CB1087">
        <v>0</v>
      </c>
      <c r="CC1087">
        <v>0</v>
      </c>
      <c r="CD1087">
        <v>0</v>
      </c>
      <c r="CE1087">
        <v>0</v>
      </c>
      <c r="CF1087">
        <v>0</v>
      </c>
      <c r="CG1087">
        <v>0</v>
      </c>
      <c r="CH1087">
        <v>0</v>
      </c>
      <c r="CI1087">
        <v>0</v>
      </c>
      <c r="CJ1087">
        <v>0</v>
      </c>
      <c r="CK1087">
        <v>0</v>
      </c>
      <c r="CL1087">
        <v>0</v>
      </c>
      <c r="CM1087">
        <v>0</v>
      </c>
      <c r="CN1087" t="str">
        <f t="shared" si="1427"/>
        <v>refOK</v>
      </c>
      <c r="CO1087">
        <f t="shared" si="1428"/>
        <v>0</v>
      </c>
      <c r="CP1087">
        <f t="shared" si="1429"/>
        <v>6788</v>
      </c>
      <c r="CQ1087">
        <f t="shared" si="1409"/>
        <v>29474.598349978292</v>
      </c>
      <c r="CR1087">
        <f t="shared" si="1410"/>
        <v>0</v>
      </c>
      <c r="CS1087">
        <f t="shared" si="1411"/>
        <v>0</v>
      </c>
      <c r="CT1087">
        <f t="shared" si="1412"/>
        <v>0.01</v>
      </c>
      <c r="CU1087">
        <f t="shared" si="1413"/>
        <v>3.3927519151443723E-7</v>
      </c>
      <c r="CV1087" s="2" t="str">
        <f t="shared" si="1393"/>
        <v/>
      </c>
      <c r="CW1087" s="1" t="s">
        <v>2035</v>
      </c>
      <c r="CX1087" t="str">
        <f t="shared" si="1414"/>
        <v>reg</v>
      </c>
      <c r="CY1087" t="s">
        <v>2059</v>
      </c>
      <c r="CZ1087">
        <v>2021</v>
      </c>
      <c r="DA1087">
        <v>2030</v>
      </c>
      <c r="DB1087">
        <f t="shared" si="1421"/>
        <v>9</v>
      </c>
      <c r="DC1087" t="str">
        <f t="shared" si="1415"/>
        <v>1-30</v>
      </c>
      <c r="DD1087">
        <v>0</v>
      </c>
      <c r="DE1087">
        <v>0</v>
      </c>
      <c r="DF1087">
        <v>0</v>
      </c>
      <c r="DG1087">
        <v>1</v>
      </c>
      <c r="DH1087">
        <v>0</v>
      </c>
      <c r="DI1087">
        <f t="shared" si="1425"/>
        <v>1</v>
      </c>
      <c r="DJ1087" t="str">
        <f t="shared" si="1394"/>
        <v>TimberInput</v>
      </c>
      <c r="DK1087">
        <f t="shared" si="1395"/>
        <v>0</v>
      </c>
      <c r="DL1087">
        <f t="shared" si="1396"/>
        <v>0</v>
      </c>
      <c r="DM1087">
        <f t="shared" si="1397"/>
        <v>0</v>
      </c>
      <c r="DN1087" t="str">
        <f t="shared" si="1398"/>
        <v>Timber</v>
      </c>
      <c r="DP1087">
        <v>1</v>
      </c>
      <c r="DS1087" s="184" t="s">
        <v>2060</v>
      </c>
      <c r="DT1087"/>
      <c r="DU1087" s="143" t="str">
        <f t="shared" si="1399"/>
        <v>external DF used</v>
      </c>
      <c r="DV1087">
        <v>1</v>
      </c>
      <c r="DW1087">
        <v>1</v>
      </c>
      <c r="DX1087">
        <v>1</v>
      </c>
      <c r="DY1087">
        <v>1</v>
      </c>
      <c r="DZ1087">
        <v>1</v>
      </c>
      <c r="EA1087">
        <v>1</v>
      </c>
      <c r="EB1087">
        <v>0</v>
      </c>
      <c r="EC1087">
        <v>0</v>
      </c>
      <c r="ED1087">
        <v>0</v>
      </c>
      <c r="EE1087">
        <v>0</v>
      </c>
      <c r="EF1087">
        <v>1</v>
      </c>
      <c r="EG1087">
        <v>0</v>
      </c>
      <c r="EH1087">
        <v>1</v>
      </c>
      <c r="EI1087" s="2">
        <v>0</v>
      </c>
      <c r="EK1087" t="str">
        <f t="shared" si="1416"/>
        <v/>
      </c>
      <c r="EL1087" t="str">
        <f t="shared" si="1417"/>
        <v/>
      </c>
      <c r="EM1087" s="2" t="str">
        <f t="shared" si="1424"/>
        <v/>
      </c>
      <c r="EP1087" t="str">
        <f>IF(ISNUMBER(BU1087),IF(ABS(BU1087-[3]QC_indicators!$B$2)&gt;3*[3]QC_indicators!$C$2,"C ratio",IF(ISNUMBER(BY1087),IF(ABS(BY1087-[3]QC_indicators!$B$1)&gt;3*[3]QC_indicators!$C$1,"DF","no"))),IF(ISNUMBER(BY1087),IF(ABS(BY1087-[3]QC_indicators!$B$1)&gt;3*[3]QC_indicators!$C$1,"DF","no")))</f>
        <v>no</v>
      </c>
      <c r="ET1087" s="264" t="s">
        <v>3272</v>
      </c>
    </row>
    <row r="1088" spans="4:150" ht="15" hidden="1" customHeight="1">
      <c r="D1088" t="s">
        <v>2051</v>
      </c>
      <c r="E1088" t="s">
        <v>2052</v>
      </c>
      <c r="G1088" t="s">
        <v>2053</v>
      </c>
      <c r="I1088">
        <v>2018</v>
      </c>
      <c r="K1088" s="150" t="s">
        <v>2054</v>
      </c>
      <c r="M1088" t="str">
        <f t="shared" si="1352"/>
        <v>Olguin_2018</v>
      </c>
      <c r="N1088" t="s">
        <v>222</v>
      </c>
      <c r="O1088" s="157" t="s">
        <v>274</v>
      </c>
      <c r="P1088" t="s">
        <v>513</v>
      </c>
      <c r="Q1088" t="s">
        <v>389</v>
      </c>
      <c r="R1088" s="262" t="s">
        <v>223</v>
      </c>
      <c r="S1088" s="263" t="s">
        <v>3189</v>
      </c>
      <c r="T1088" t="s">
        <v>2055</v>
      </c>
      <c r="U1088" t="s">
        <v>2063</v>
      </c>
      <c r="V1088">
        <v>0</v>
      </c>
      <c r="W1088">
        <v>0</v>
      </c>
      <c r="X1088">
        <v>0</v>
      </c>
      <c r="Y1088">
        <v>0</v>
      </c>
      <c r="Z1088">
        <v>0</v>
      </c>
      <c r="AA1088">
        <v>0</v>
      </c>
      <c r="AB1088">
        <v>0</v>
      </c>
      <c r="AC1088">
        <v>1</v>
      </c>
      <c r="AD1088">
        <v>0</v>
      </c>
      <c r="AE1088">
        <v>0</v>
      </c>
      <c r="AF1088">
        <v>0</v>
      </c>
      <c r="AG1088">
        <v>0</v>
      </c>
      <c r="AH1088">
        <v>0</v>
      </c>
      <c r="AI1088">
        <v>0</v>
      </c>
      <c r="AJ1088">
        <v>0</v>
      </c>
      <c r="AK1088">
        <v>0</v>
      </c>
      <c r="AL1088">
        <v>0</v>
      </c>
      <c r="AM1088">
        <v>0</v>
      </c>
      <c r="AN1088">
        <v>0</v>
      </c>
      <c r="AO1088">
        <v>0</v>
      </c>
      <c r="AP1088">
        <v>0</v>
      </c>
      <c r="AQ1088">
        <v>0</v>
      </c>
      <c r="AR1088">
        <v>0</v>
      </c>
      <c r="AS1088">
        <v>0</v>
      </c>
      <c r="AT1088">
        <v>0</v>
      </c>
      <c r="AU1088">
        <v>0</v>
      </c>
      <c r="AV1088">
        <v>0</v>
      </c>
      <c r="AW1088">
        <v>0</v>
      </c>
      <c r="AX1088" s="141">
        <f t="shared" si="1390"/>
        <v>1</v>
      </c>
      <c r="AY1088" s="141">
        <f t="shared" si="1391"/>
        <v>1</v>
      </c>
      <c r="AZ1088">
        <f t="shared" si="1400"/>
        <v>1</v>
      </c>
      <c r="BA1088">
        <f t="shared" si="1401"/>
        <v>0</v>
      </c>
      <c r="BB1088">
        <f t="shared" si="1402"/>
        <v>0</v>
      </c>
      <c r="BC1088">
        <f t="shared" si="1403"/>
        <v>0</v>
      </c>
      <c r="BD1088">
        <f t="shared" si="1404"/>
        <v>0</v>
      </c>
      <c r="BE1088" t="str">
        <f t="array" ref="BE1088">IF(AY1088=1,INDEX($V$7:$AL$7,MATCH(TRUE,INDEX($V1088:$AW1088&lt;&gt;0,),0)),IF(AY1088=0,INDEX($AM$7:$AW$7,MATCH(1,$AM1088:$AW1088,0)),IF(BF1088="Multiple strategies","mixed drivers",IF(BF1088="Supply chain","multiple supply","multiple silviculture"))))</f>
        <v>site fertility</v>
      </c>
      <c r="BF1088" s="2" t="str" cm="1">
        <f t="array" ref="BF1088">IF(COUNTIF(AZ1088:BB1088,"&lt;&gt;0")=1,INDEX($V$4:$AW$4,MATCH(TRUE,INDEX($V1088:$AW1088&lt;&gt;0,),0)),IF(COUNTIF(AZ1088:BB1088,"&lt;&gt;0")=0,INDEX($AM$4:$AW$4,MATCH(1,$AM1088:$AW1088,0)),"Multiple strategies"))</f>
        <v>Silviculture for productivity</v>
      </c>
      <c r="BG1088" s="1" t="s">
        <v>321</v>
      </c>
      <c r="BI1088" s="264" t="s">
        <v>1035</v>
      </c>
      <c r="BJ1088" t="s">
        <v>2057</v>
      </c>
      <c r="BK1088">
        <v>0</v>
      </c>
      <c r="BL1088">
        <v>6788</v>
      </c>
      <c r="BM1088" t="str">
        <f t="shared" si="1426"/>
        <v/>
      </c>
      <c r="BN1088">
        <f t="shared" si="1405"/>
        <v>6788</v>
      </c>
      <c r="BO1088">
        <f t="shared" si="1420"/>
        <v>29474.598349978292</v>
      </c>
      <c r="BP1088" t="s">
        <v>232</v>
      </c>
      <c r="BQ1088" t="s">
        <v>424</v>
      </c>
      <c r="BR1088" t="s">
        <v>2062</v>
      </c>
      <c r="BU1088" s="144"/>
      <c r="BV1088">
        <v>0.01</v>
      </c>
      <c r="BX1088">
        <f t="shared" si="1423"/>
        <v>0.01</v>
      </c>
      <c r="BY1088">
        <f t="shared" si="1419"/>
        <v>3.3927519151443723E-7</v>
      </c>
      <c r="BZ1088">
        <v>0</v>
      </c>
      <c r="CA1088">
        <v>0</v>
      </c>
      <c r="CB1088">
        <v>0</v>
      </c>
      <c r="CC1088">
        <v>0</v>
      </c>
      <c r="CD1088">
        <v>0</v>
      </c>
      <c r="CE1088">
        <v>0</v>
      </c>
      <c r="CF1088">
        <v>0</v>
      </c>
      <c r="CG1088">
        <v>0</v>
      </c>
      <c r="CH1088">
        <v>0</v>
      </c>
      <c r="CI1088">
        <v>0</v>
      </c>
      <c r="CJ1088">
        <v>0</v>
      </c>
      <c r="CK1088">
        <v>0</v>
      </c>
      <c r="CL1088">
        <v>0</v>
      </c>
      <c r="CM1088">
        <v>0</v>
      </c>
      <c r="CN1088" t="str">
        <f t="shared" si="1427"/>
        <v>refOK</v>
      </c>
      <c r="CO1088">
        <f t="shared" si="1428"/>
        <v>0</v>
      </c>
      <c r="CP1088">
        <f t="shared" si="1429"/>
        <v>6788</v>
      </c>
      <c r="CQ1088">
        <f t="shared" si="1409"/>
        <v>29474.598349978292</v>
      </c>
      <c r="CR1088">
        <f t="shared" si="1410"/>
        <v>0</v>
      </c>
      <c r="CS1088">
        <f t="shared" si="1411"/>
        <v>0</v>
      </c>
      <c r="CT1088">
        <f t="shared" si="1412"/>
        <v>0.01</v>
      </c>
      <c r="CU1088">
        <f t="shared" si="1413"/>
        <v>3.3927519151443723E-7</v>
      </c>
      <c r="CV1088" s="2" t="str">
        <f t="shared" si="1393"/>
        <v/>
      </c>
      <c r="CW1088" s="1" t="s">
        <v>2035</v>
      </c>
      <c r="CX1088" t="str">
        <f t="shared" si="1414"/>
        <v>reg</v>
      </c>
      <c r="CY1088" t="s">
        <v>2059</v>
      </c>
      <c r="CZ1088">
        <v>2021</v>
      </c>
      <c r="DA1088">
        <v>2030</v>
      </c>
      <c r="DB1088">
        <f t="shared" si="1421"/>
        <v>9</v>
      </c>
      <c r="DC1088" t="str">
        <f t="shared" si="1415"/>
        <v>1-30</v>
      </c>
      <c r="DD1088">
        <v>0</v>
      </c>
      <c r="DE1088">
        <v>0</v>
      </c>
      <c r="DF1088">
        <v>0</v>
      </c>
      <c r="DG1088">
        <v>1</v>
      </c>
      <c r="DH1088">
        <v>0</v>
      </c>
      <c r="DI1088">
        <f t="shared" si="1425"/>
        <v>1</v>
      </c>
      <c r="DJ1088" t="str">
        <f t="shared" si="1394"/>
        <v>TimberInput</v>
      </c>
      <c r="DK1088">
        <f t="shared" si="1395"/>
        <v>0</v>
      </c>
      <c r="DL1088">
        <f t="shared" si="1396"/>
        <v>0</v>
      </c>
      <c r="DM1088">
        <f t="shared" si="1397"/>
        <v>0</v>
      </c>
      <c r="DN1088" t="str">
        <f t="shared" si="1398"/>
        <v>Timber</v>
      </c>
      <c r="DP1088">
        <v>1</v>
      </c>
      <c r="DS1088" s="184" t="s">
        <v>2060</v>
      </c>
      <c r="DT1088"/>
      <c r="DU1088" s="143" t="str">
        <f t="shared" si="1399"/>
        <v>external DF used</v>
      </c>
      <c r="DV1088">
        <v>1</v>
      </c>
      <c r="DW1088">
        <v>1</v>
      </c>
      <c r="DX1088">
        <v>1</v>
      </c>
      <c r="DY1088">
        <v>1</v>
      </c>
      <c r="DZ1088">
        <v>1</v>
      </c>
      <c r="EA1088">
        <v>1</v>
      </c>
      <c r="EB1088">
        <v>0</v>
      </c>
      <c r="EC1088">
        <v>0</v>
      </c>
      <c r="ED1088">
        <v>0</v>
      </c>
      <c r="EE1088">
        <v>0</v>
      </c>
      <c r="EF1088">
        <v>1</v>
      </c>
      <c r="EG1088">
        <v>0</v>
      </c>
      <c r="EH1088">
        <v>1</v>
      </c>
      <c r="EI1088" s="2">
        <v>0</v>
      </c>
      <c r="EK1088" t="str">
        <f t="shared" si="1416"/>
        <v/>
      </c>
      <c r="EL1088" t="str">
        <f t="shared" si="1417"/>
        <v/>
      </c>
      <c r="EM1088" s="2" t="str">
        <f t="shared" si="1424"/>
        <v/>
      </c>
      <c r="EP1088" t="str">
        <f>IF(ISNUMBER(BU1088),IF(ABS(BU1088-[3]QC_indicators!$B$2)&gt;3*[3]QC_indicators!$C$2,"C ratio",IF(ISNUMBER(BY1088),IF(ABS(BY1088-[3]QC_indicators!$B$1)&gt;3*[3]QC_indicators!$C$1,"DF","no"))),IF(ISNUMBER(BY1088),IF(ABS(BY1088-[3]QC_indicators!$B$1)&gt;3*[3]QC_indicators!$C$1,"DF","no")))</f>
        <v>no</v>
      </c>
      <c r="ET1088" s="264" t="s">
        <v>3272</v>
      </c>
    </row>
    <row r="1089" spans="1:150" ht="15" hidden="1" customHeight="1">
      <c r="D1089" t="s">
        <v>2051</v>
      </c>
      <c r="E1089" t="s">
        <v>2052</v>
      </c>
      <c r="G1089" t="s">
        <v>2053</v>
      </c>
      <c r="I1089">
        <v>2018</v>
      </c>
      <c r="K1089" s="150" t="s">
        <v>2054</v>
      </c>
      <c r="M1089" t="str">
        <f t="shared" ref="M1089:M1152" si="1430">LEFT($D1089,FIND(",",$D1089)-1)&amp;"_"&amp;I1089&amp;L1089</f>
        <v>Olguin_2018</v>
      </c>
      <c r="N1089" t="s">
        <v>222</v>
      </c>
      <c r="O1089" s="157" t="s">
        <v>274</v>
      </c>
      <c r="P1089" t="s">
        <v>513</v>
      </c>
      <c r="Q1089" t="s">
        <v>389</v>
      </c>
      <c r="R1089" s="262" t="s">
        <v>223</v>
      </c>
      <c r="S1089" s="263" t="s">
        <v>3195</v>
      </c>
      <c r="T1089" t="s">
        <v>2055</v>
      </c>
      <c r="U1089" t="s">
        <v>2056</v>
      </c>
      <c r="V1089">
        <v>0</v>
      </c>
      <c r="W1089">
        <v>0</v>
      </c>
      <c r="X1089">
        <v>0</v>
      </c>
      <c r="Y1089">
        <v>0</v>
      </c>
      <c r="Z1089">
        <v>0</v>
      </c>
      <c r="AA1089">
        <v>0</v>
      </c>
      <c r="AB1089">
        <v>0</v>
      </c>
      <c r="AC1089">
        <v>1</v>
      </c>
      <c r="AD1089">
        <v>0</v>
      </c>
      <c r="AE1089">
        <v>0</v>
      </c>
      <c r="AF1089">
        <v>1</v>
      </c>
      <c r="AG1089">
        <v>0</v>
      </c>
      <c r="AH1089">
        <v>0</v>
      </c>
      <c r="AI1089">
        <v>0</v>
      </c>
      <c r="AJ1089">
        <v>0</v>
      </c>
      <c r="AK1089">
        <v>0</v>
      </c>
      <c r="AL1089">
        <v>0</v>
      </c>
      <c r="AM1089">
        <v>0</v>
      </c>
      <c r="AN1089">
        <v>0</v>
      </c>
      <c r="AO1089">
        <v>0</v>
      </c>
      <c r="AP1089">
        <v>0</v>
      </c>
      <c r="AQ1089">
        <v>0</v>
      </c>
      <c r="AR1089">
        <v>0</v>
      </c>
      <c r="AS1089">
        <v>0</v>
      </c>
      <c r="AT1089">
        <v>0</v>
      </c>
      <c r="AU1089">
        <v>0</v>
      </c>
      <c r="AV1089">
        <v>0</v>
      </c>
      <c r="AW1089">
        <v>0</v>
      </c>
      <c r="AX1089" s="141">
        <f t="shared" si="1390"/>
        <v>2</v>
      </c>
      <c r="AY1089" s="141">
        <f t="shared" si="1391"/>
        <v>2</v>
      </c>
      <c r="AZ1089">
        <f t="shared" si="1400"/>
        <v>1</v>
      </c>
      <c r="BA1089">
        <f t="shared" si="1401"/>
        <v>1</v>
      </c>
      <c r="BB1089">
        <f t="shared" si="1402"/>
        <v>0</v>
      </c>
      <c r="BC1089">
        <f t="shared" si="1403"/>
        <v>0</v>
      </c>
      <c r="BD1089">
        <f t="shared" si="1404"/>
        <v>0</v>
      </c>
      <c r="BE1089" t="str">
        <f t="array" ref="BE1089">IF(AY1089=1,INDEX($V$7:$AL$7,MATCH(TRUE,INDEX($V1089:$AW1089&lt;&gt;0,),0)),IF(AY1089=0,INDEX($AM$7:$AW$7,MATCH(1,$AM1089:$AW1089,0)),IF(BF1089="Multiple strategies","mixed drivers",IF(BF1089="Supply chain","multiple supply","multiple silviculture"))))</f>
        <v>mixed drivers</v>
      </c>
      <c r="BF1089" s="2" t="str" cm="1">
        <f t="array" ref="BF1089">IF(COUNTIF(AZ1089:BB1089,"&lt;&gt;0")=1,INDEX($V$4:$AW$4,MATCH(TRUE,INDEX($V1089:$AW1089&lt;&gt;0,),0)),IF(COUNTIF(AZ1089:BB1089,"&lt;&gt;0")=0,INDEX($AM$4:$AW$4,MATCH(1,$AM1089:$AW1089,0)),"Multiple strategies"))</f>
        <v>Multiple strategies</v>
      </c>
      <c r="BG1089" s="1" t="s">
        <v>321</v>
      </c>
      <c r="BI1089" s="264" t="s">
        <v>1035</v>
      </c>
      <c r="BJ1089" t="s">
        <v>2057</v>
      </c>
      <c r="BK1089">
        <v>0</v>
      </c>
      <c r="BL1089">
        <v>218025</v>
      </c>
      <c r="BM1089" t="str">
        <f t="shared" si="1426"/>
        <v/>
      </c>
      <c r="BN1089">
        <f t="shared" si="1405"/>
        <v>218025</v>
      </c>
      <c r="BO1089">
        <f t="shared" si="1420"/>
        <v>946699.95657837612</v>
      </c>
      <c r="BP1089" t="s">
        <v>232</v>
      </c>
      <c r="BQ1089" t="s">
        <v>424</v>
      </c>
      <c r="BR1089" t="s">
        <v>2062</v>
      </c>
      <c r="BU1089" s="144"/>
      <c r="BV1089">
        <v>0.14000000000000001</v>
      </c>
      <c r="BX1089">
        <f>BV1089*10^6</f>
        <v>140000</v>
      </c>
      <c r="BY1089">
        <f t="shared" si="1419"/>
        <v>0.14788212360967778</v>
      </c>
      <c r="BZ1089">
        <v>0</v>
      </c>
      <c r="CA1089">
        <v>0</v>
      </c>
      <c r="CB1089">
        <v>0</v>
      </c>
      <c r="CC1089">
        <v>0</v>
      </c>
      <c r="CD1089">
        <v>0</v>
      </c>
      <c r="CE1089">
        <v>0</v>
      </c>
      <c r="CF1089">
        <v>0</v>
      </c>
      <c r="CG1089">
        <v>0</v>
      </c>
      <c r="CH1089">
        <v>0</v>
      </c>
      <c r="CI1089">
        <v>0</v>
      </c>
      <c r="CJ1089">
        <v>0</v>
      </c>
      <c r="CK1089">
        <v>0</v>
      </c>
      <c r="CL1089">
        <v>0</v>
      </c>
      <c r="CM1089">
        <v>0</v>
      </c>
      <c r="CN1089" t="str">
        <f t="shared" si="1427"/>
        <v>refOK</v>
      </c>
      <c r="CO1089">
        <f t="shared" si="1428"/>
        <v>0</v>
      </c>
      <c r="CP1089">
        <f t="shared" si="1429"/>
        <v>218025</v>
      </c>
      <c r="CQ1089">
        <f t="shared" si="1409"/>
        <v>946699.95657837612</v>
      </c>
      <c r="CR1089">
        <f t="shared" si="1410"/>
        <v>0</v>
      </c>
      <c r="CS1089">
        <f t="shared" si="1411"/>
        <v>0</v>
      </c>
      <c r="CT1089">
        <f t="shared" si="1412"/>
        <v>140000</v>
      </c>
      <c r="CU1089">
        <f t="shared" si="1413"/>
        <v>0.14788212360967778</v>
      </c>
      <c r="CV1089" s="2" t="str">
        <f t="shared" si="1393"/>
        <v/>
      </c>
      <c r="CW1089" s="1" t="s">
        <v>2035</v>
      </c>
      <c r="CX1089" t="str">
        <f t="shared" si="1414"/>
        <v>reg</v>
      </c>
      <c r="CY1089" t="s">
        <v>2059</v>
      </c>
      <c r="CZ1089">
        <v>2021</v>
      </c>
      <c r="DA1089">
        <v>2030</v>
      </c>
      <c r="DB1089">
        <f t="shared" si="1421"/>
        <v>9</v>
      </c>
      <c r="DC1089" t="str">
        <f t="shared" si="1415"/>
        <v>1-30</v>
      </c>
      <c r="DD1089">
        <v>0</v>
      </c>
      <c r="DE1089">
        <v>0</v>
      </c>
      <c r="DF1089">
        <v>0</v>
      </c>
      <c r="DG1089">
        <v>1</v>
      </c>
      <c r="DH1089">
        <v>0</v>
      </c>
      <c r="DI1089">
        <f t="shared" si="1425"/>
        <v>1</v>
      </c>
      <c r="DJ1089" t="str">
        <f t="shared" si="1394"/>
        <v>TimberInput</v>
      </c>
      <c r="DK1089">
        <f t="shared" si="1395"/>
        <v>0</v>
      </c>
      <c r="DL1089">
        <f t="shared" si="1396"/>
        <v>0</v>
      </c>
      <c r="DM1089">
        <f t="shared" si="1397"/>
        <v>0</v>
      </c>
      <c r="DN1089" t="str">
        <f t="shared" si="1398"/>
        <v>Timber</v>
      </c>
      <c r="DP1089">
        <v>1</v>
      </c>
      <c r="DS1089" s="184" t="s">
        <v>2060</v>
      </c>
      <c r="DT1089"/>
      <c r="DU1089" s="143" t="str">
        <f t="shared" si="1399"/>
        <v>external DF used</v>
      </c>
      <c r="DV1089">
        <v>1</v>
      </c>
      <c r="DW1089">
        <v>1</v>
      </c>
      <c r="DX1089">
        <v>1</v>
      </c>
      <c r="DY1089">
        <v>1</v>
      </c>
      <c r="DZ1089">
        <v>1</v>
      </c>
      <c r="EA1089">
        <v>1</v>
      </c>
      <c r="EB1089">
        <v>0</v>
      </c>
      <c r="EC1089">
        <v>0</v>
      </c>
      <c r="ED1089">
        <v>0</v>
      </c>
      <c r="EE1089">
        <v>0</v>
      </c>
      <c r="EF1089">
        <v>1</v>
      </c>
      <c r="EG1089">
        <v>0</v>
      </c>
      <c r="EH1089">
        <v>1</v>
      </c>
      <c r="EI1089" s="2">
        <v>0</v>
      </c>
      <c r="EK1089" t="str">
        <f t="shared" si="1416"/>
        <v/>
      </c>
      <c r="EL1089" t="str">
        <f t="shared" si="1417"/>
        <v/>
      </c>
      <c r="EM1089" s="2" t="str">
        <f t="shared" si="1424"/>
        <v/>
      </c>
      <c r="EP1089" t="str">
        <f>IF(ISNUMBER(BU1089),IF(ABS(BU1089-[3]QC_indicators!$B$2)&gt;3*[3]QC_indicators!$C$2,"C ratio",IF(ISNUMBER(BY1089),IF(ABS(BY1089-[3]QC_indicators!$B$1)&gt;3*[3]QC_indicators!$C$1,"DF","no"))),IF(ISNUMBER(BY1089),IF(ABS(BY1089-[3]QC_indicators!$B$1)&gt;3*[3]QC_indicators!$C$1,"DF","no")))</f>
        <v>no</v>
      </c>
      <c r="ET1089" s="264" t="s">
        <v>3272</v>
      </c>
    </row>
    <row r="1090" spans="1:150" ht="15" hidden="1" customHeight="1">
      <c r="D1090" t="s">
        <v>2051</v>
      </c>
      <c r="E1090" t="s">
        <v>2052</v>
      </c>
      <c r="G1090" t="s">
        <v>2053</v>
      </c>
      <c r="I1090">
        <v>2018</v>
      </c>
      <c r="K1090" s="150" t="s">
        <v>2054</v>
      </c>
      <c r="M1090" t="str">
        <f t="shared" si="1430"/>
        <v>Olguin_2018</v>
      </c>
      <c r="N1090" t="s">
        <v>222</v>
      </c>
      <c r="O1090" s="157" t="s">
        <v>274</v>
      </c>
      <c r="P1090" t="s">
        <v>513</v>
      </c>
      <c r="Q1090" t="s">
        <v>389</v>
      </c>
      <c r="R1090" s="262" t="s">
        <v>223</v>
      </c>
      <c r="S1090" s="263" t="s">
        <v>3194</v>
      </c>
      <c r="T1090" t="s">
        <v>2055</v>
      </c>
      <c r="U1090" t="s">
        <v>2056</v>
      </c>
      <c r="V1090">
        <v>0</v>
      </c>
      <c r="W1090">
        <v>0</v>
      </c>
      <c r="X1090">
        <v>0</v>
      </c>
      <c r="Y1090">
        <v>0</v>
      </c>
      <c r="Z1090">
        <v>0</v>
      </c>
      <c r="AA1090">
        <v>0</v>
      </c>
      <c r="AB1090">
        <v>0</v>
      </c>
      <c r="AC1090">
        <v>1</v>
      </c>
      <c r="AD1090">
        <v>0</v>
      </c>
      <c r="AE1090">
        <v>0</v>
      </c>
      <c r="AF1090">
        <v>1</v>
      </c>
      <c r="AG1090">
        <v>0</v>
      </c>
      <c r="AH1090">
        <v>0</v>
      </c>
      <c r="AI1090">
        <v>0</v>
      </c>
      <c r="AJ1090">
        <v>0</v>
      </c>
      <c r="AK1090">
        <v>0</v>
      </c>
      <c r="AL1090">
        <v>0</v>
      </c>
      <c r="AM1090">
        <v>0</v>
      </c>
      <c r="AN1090">
        <v>0</v>
      </c>
      <c r="AO1090">
        <v>0</v>
      </c>
      <c r="AP1090">
        <v>0</v>
      </c>
      <c r="AQ1090">
        <v>0</v>
      </c>
      <c r="AR1090">
        <v>0</v>
      </c>
      <c r="AS1090">
        <v>0</v>
      </c>
      <c r="AT1090">
        <v>0</v>
      </c>
      <c r="AU1090">
        <v>0</v>
      </c>
      <c r="AV1090">
        <v>0</v>
      </c>
      <c r="AW1090">
        <v>0</v>
      </c>
      <c r="AX1090" s="141">
        <f t="shared" si="1390"/>
        <v>2</v>
      </c>
      <c r="AY1090" s="141">
        <f t="shared" si="1391"/>
        <v>2</v>
      </c>
      <c r="AZ1090">
        <f t="shared" si="1400"/>
        <v>1</v>
      </c>
      <c r="BA1090">
        <f t="shared" si="1401"/>
        <v>1</v>
      </c>
      <c r="BB1090">
        <f t="shared" si="1402"/>
        <v>0</v>
      </c>
      <c r="BC1090">
        <f t="shared" si="1403"/>
        <v>0</v>
      </c>
      <c r="BD1090">
        <f t="shared" si="1404"/>
        <v>0</v>
      </c>
      <c r="BE1090" t="str">
        <f t="array" ref="BE1090">IF(AY1090=1,INDEX($V$7:$AL$7,MATCH(TRUE,INDEX($V1090:$AW1090&lt;&gt;0,),0)),IF(AY1090=0,INDEX($AM$7:$AW$7,MATCH(1,$AM1090:$AW1090,0)),IF(BF1090="Multiple strategies","mixed drivers",IF(BF1090="Supply chain","multiple supply","multiple silviculture"))))</f>
        <v>mixed drivers</v>
      </c>
      <c r="BF1090" s="2" t="str" cm="1">
        <f t="array" ref="BF1090">IF(COUNTIF(AZ1090:BB1090,"&lt;&gt;0")=1,INDEX($V$4:$AW$4,MATCH(TRUE,INDEX($V1090:$AW1090&lt;&gt;0,),0)),IF(COUNTIF(AZ1090:BB1090,"&lt;&gt;0")=0,INDEX($AM$4:$AW$4,MATCH(1,$AM1090:$AW1090,0)),"Multiple strategies"))</f>
        <v>Multiple strategies</v>
      </c>
      <c r="BG1090" s="1" t="s">
        <v>321</v>
      </c>
      <c r="BI1090" s="264" t="s">
        <v>1035</v>
      </c>
      <c r="BJ1090" t="s">
        <v>2057</v>
      </c>
      <c r="BK1090">
        <v>0</v>
      </c>
      <c r="BL1090">
        <v>6788</v>
      </c>
      <c r="BM1090" t="str">
        <f t="shared" si="1426"/>
        <v/>
      </c>
      <c r="BN1090">
        <f t="shared" si="1405"/>
        <v>6788</v>
      </c>
      <c r="BO1090">
        <f t="shared" si="1420"/>
        <v>29474.598349978292</v>
      </c>
      <c r="BP1090" t="s">
        <v>232</v>
      </c>
      <c r="BQ1090" t="s">
        <v>424</v>
      </c>
      <c r="BR1090" t="s">
        <v>2062</v>
      </c>
      <c r="BU1090" s="144"/>
      <c r="BV1090">
        <v>0.03</v>
      </c>
      <c r="BX1090">
        <f>BV1090*10^6</f>
        <v>30000</v>
      </c>
      <c r="BY1090">
        <f t="shared" si="1419"/>
        <v>1.0178255745433116</v>
      </c>
      <c r="BZ1090">
        <v>0</v>
      </c>
      <c r="CA1090">
        <v>0</v>
      </c>
      <c r="CB1090">
        <v>0</v>
      </c>
      <c r="CC1090">
        <v>0</v>
      </c>
      <c r="CD1090">
        <v>0</v>
      </c>
      <c r="CE1090">
        <v>0</v>
      </c>
      <c r="CF1090">
        <v>0</v>
      </c>
      <c r="CG1090">
        <v>0</v>
      </c>
      <c r="CH1090">
        <v>0</v>
      </c>
      <c r="CI1090">
        <v>0</v>
      </c>
      <c r="CJ1090">
        <v>0</v>
      </c>
      <c r="CK1090">
        <v>0</v>
      </c>
      <c r="CL1090">
        <v>0</v>
      </c>
      <c r="CM1090">
        <v>0</v>
      </c>
      <c r="CN1090" t="str">
        <f t="shared" si="1427"/>
        <v>refOK</v>
      </c>
      <c r="CO1090">
        <f t="shared" si="1428"/>
        <v>0</v>
      </c>
      <c r="CP1090">
        <f t="shared" si="1429"/>
        <v>6788</v>
      </c>
      <c r="CQ1090">
        <f t="shared" si="1409"/>
        <v>29474.598349978292</v>
      </c>
      <c r="CR1090">
        <f t="shared" si="1410"/>
        <v>0</v>
      </c>
      <c r="CS1090">
        <f t="shared" si="1411"/>
        <v>0</v>
      </c>
      <c r="CT1090">
        <f t="shared" si="1412"/>
        <v>30000</v>
      </c>
      <c r="CU1090">
        <f t="shared" si="1413"/>
        <v>1.0178255745433116</v>
      </c>
      <c r="CV1090" s="2" t="str">
        <f t="shared" si="1393"/>
        <v/>
      </c>
      <c r="CW1090" s="1" t="s">
        <v>2035</v>
      </c>
      <c r="CX1090" t="str">
        <f t="shared" si="1414"/>
        <v>reg</v>
      </c>
      <c r="CY1090" t="s">
        <v>2059</v>
      </c>
      <c r="CZ1090">
        <v>2021</v>
      </c>
      <c r="DA1090">
        <v>2030</v>
      </c>
      <c r="DB1090">
        <f t="shared" si="1421"/>
        <v>9</v>
      </c>
      <c r="DC1090" t="str">
        <f t="shared" si="1415"/>
        <v>1-30</v>
      </c>
      <c r="DD1090">
        <v>0</v>
      </c>
      <c r="DE1090">
        <v>0</v>
      </c>
      <c r="DF1090">
        <v>0</v>
      </c>
      <c r="DG1090">
        <v>1</v>
      </c>
      <c r="DH1090">
        <v>0</v>
      </c>
      <c r="DI1090">
        <f t="shared" si="1425"/>
        <v>1</v>
      </c>
      <c r="DJ1090" t="str">
        <f t="shared" si="1394"/>
        <v>TimberInput</v>
      </c>
      <c r="DK1090">
        <f t="shared" si="1395"/>
        <v>0</v>
      </c>
      <c r="DL1090">
        <f t="shared" si="1396"/>
        <v>0</v>
      </c>
      <c r="DM1090">
        <f t="shared" si="1397"/>
        <v>0</v>
      </c>
      <c r="DN1090" t="str">
        <f t="shared" si="1398"/>
        <v>Timber</v>
      </c>
      <c r="DP1090">
        <v>1</v>
      </c>
      <c r="DS1090" s="184" t="s">
        <v>2060</v>
      </c>
      <c r="DT1090"/>
      <c r="DU1090" s="143" t="str">
        <f t="shared" si="1399"/>
        <v>external DF used</v>
      </c>
      <c r="DV1090">
        <v>1</v>
      </c>
      <c r="DW1090">
        <v>1</v>
      </c>
      <c r="DX1090">
        <v>1</v>
      </c>
      <c r="DY1090">
        <v>1</v>
      </c>
      <c r="DZ1090">
        <v>1</v>
      </c>
      <c r="EA1090">
        <v>1</v>
      </c>
      <c r="EB1090">
        <v>0</v>
      </c>
      <c r="EC1090">
        <v>0</v>
      </c>
      <c r="ED1090">
        <v>0</v>
      </c>
      <c r="EE1090">
        <v>0</v>
      </c>
      <c r="EF1090">
        <v>1</v>
      </c>
      <c r="EG1090">
        <v>0</v>
      </c>
      <c r="EH1090">
        <v>1</v>
      </c>
      <c r="EI1090" s="2">
        <v>0</v>
      </c>
      <c r="EK1090" t="str">
        <f t="shared" si="1416"/>
        <v/>
      </c>
      <c r="EL1090" t="str">
        <f t="shared" si="1417"/>
        <v/>
      </c>
      <c r="EM1090" s="2" t="str">
        <f t="shared" si="1424"/>
        <v/>
      </c>
      <c r="EP1090" t="str">
        <f>IF(ISNUMBER(BU1090),IF(ABS(BU1090-[3]QC_indicators!$B$2)&gt;3*[3]QC_indicators!$C$2,"C ratio",IF(ISNUMBER(BY1090),IF(ABS(BY1090-[3]QC_indicators!$B$1)&gt;3*[3]QC_indicators!$C$1,"DF","no"))),IF(ISNUMBER(BY1090),IF(ABS(BY1090-[3]QC_indicators!$B$1)&gt;3*[3]QC_indicators!$C$1,"DF","no")))</f>
        <v>no</v>
      </c>
      <c r="ET1090" s="264" t="s">
        <v>3272</v>
      </c>
    </row>
    <row r="1091" spans="1:150" ht="15" hidden="1" customHeight="1">
      <c r="A1091" s="1" t="s">
        <v>1137</v>
      </c>
      <c r="B1091" t="s">
        <v>4620</v>
      </c>
      <c r="C1091" t="s">
        <v>4621</v>
      </c>
      <c r="D1091" t="s">
        <v>4622</v>
      </c>
      <c r="E1091" t="s">
        <v>4623</v>
      </c>
      <c r="F1091" t="s">
        <v>4624</v>
      </c>
      <c r="G1091" t="s">
        <v>1138</v>
      </c>
      <c r="H1091" t="s">
        <v>254</v>
      </c>
      <c r="I1091">
        <v>2022</v>
      </c>
      <c r="J1091">
        <v>2</v>
      </c>
      <c r="K1091" t="s">
        <v>4625</v>
      </c>
      <c r="M1091" t="str">
        <f t="shared" si="1430"/>
        <v>Palander_2022</v>
      </c>
      <c r="N1091" t="s">
        <v>2582</v>
      </c>
      <c r="BE1091"/>
      <c r="BF1091" s="2"/>
      <c r="BY1091" t="str">
        <f t="shared" si="1419"/>
        <v/>
      </c>
      <c r="CN1091"/>
      <c r="CO1091"/>
      <c r="CP1091"/>
      <c r="CQ1091"/>
      <c r="CR1091"/>
      <c r="CS1091"/>
      <c r="CT1091"/>
      <c r="CU1091"/>
      <c r="CV1091" s="2"/>
      <c r="CX1091"/>
      <c r="DC1091"/>
      <c r="DI1091"/>
      <c r="DJ1091"/>
      <c r="DK1091"/>
      <c r="DL1091"/>
      <c r="DM1091"/>
      <c r="DN1091"/>
      <c r="DT1091"/>
      <c r="DU1091"/>
      <c r="EK1091" t="str">
        <f>IF(AND(AND(AND(OR($DX1091=1,$DW1091=1),OR($EC1091=1,$EA1091=1)),SUM($DV1091:$DZ1091,$EF1091)&gt;=3),SUM($EA1091:$EE1091)&gt;=2),"Whole sector","")</f>
        <v/>
      </c>
      <c r="EL1091" t="str">
        <f>IF(AND(AND(OR($DX1091=1,$DW1091=1),AND($EC1091=0,$EA1091=0)),SUM($DV1091:$DZ1091,$EF1091)&gt;=3),"Ecosystem approach","")</f>
        <v/>
      </c>
      <c r="EM1091" s="2" t="str">
        <f t="shared" si="1424"/>
        <v/>
      </c>
      <c r="EP1091" t="b">
        <f>IF(ISNUMBER(BU1091),IF(ABS(BU1091-[1]QC_indicators!$B$2)&gt;3*[1]QC_indicators!$C$2,"C ratio",IF(ISNUMBER(BY1091),IF(ABS(BY1091-[1]QC_indicators!$B$1)&gt;3*[1]QC_indicators!$C$1,"DF","no"))),IF(ISNUMBER(BY1091),IF(ABS(BY1091-[1]QC_indicators!$B$1)&gt;3*[1]QC_indicators!$C$1,"DF","no")))</f>
        <v>0</v>
      </c>
    </row>
    <row r="1092" spans="1:150" ht="15" hidden="1" customHeight="1">
      <c r="A1092" s="1" t="s">
        <v>2066</v>
      </c>
      <c r="B1092" t="s">
        <v>2067</v>
      </c>
      <c r="C1092" t="s">
        <v>544</v>
      </c>
      <c r="D1092" t="s">
        <v>2068</v>
      </c>
      <c r="E1092" t="s">
        <v>2069</v>
      </c>
      <c r="F1092" t="s">
        <v>2070</v>
      </c>
      <c r="G1092" t="s">
        <v>2071</v>
      </c>
      <c r="H1092" t="s">
        <v>254</v>
      </c>
      <c r="I1092">
        <v>2021</v>
      </c>
      <c r="J1092">
        <v>0</v>
      </c>
      <c r="K1092" t="s">
        <v>2072</v>
      </c>
      <c r="M1092" t="str">
        <f t="shared" si="1430"/>
        <v>Paletto_2021</v>
      </c>
      <c r="N1092" t="s">
        <v>222</v>
      </c>
      <c r="O1092" s="157" t="s">
        <v>274</v>
      </c>
      <c r="P1092" t="s">
        <v>513</v>
      </c>
      <c r="Q1092" t="s">
        <v>389</v>
      </c>
      <c r="R1092" s="262" t="s">
        <v>223</v>
      </c>
      <c r="S1092" s="1" t="s">
        <v>2073</v>
      </c>
      <c r="T1092" t="s">
        <v>2074</v>
      </c>
      <c r="U1092" s="184" t="s">
        <v>2075</v>
      </c>
      <c r="V1092">
        <v>0</v>
      </c>
      <c r="W1092">
        <v>0</v>
      </c>
      <c r="X1092">
        <v>0</v>
      </c>
      <c r="Y1092">
        <v>1</v>
      </c>
      <c r="Z1092">
        <v>0</v>
      </c>
      <c r="AA1092">
        <v>0</v>
      </c>
      <c r="AB1092">
        <v>0</v>
      </c>
      <c r="AC1092">
        <v>0</v>
      </c>
      <c r="AD1092">
        <v>0</v>
      </c>
      <c r="AE1092">
        <v>0</v>
      </c>
      <c r="AF1092">
        <v>0</v>
      </c>
      <c r="AG1092">
        <v>0</v>
      </c>
      <c r="AH1092">
        <v>0</v>
      </c>
      <c r="AI1092">
        <v>0</v>
      </c>
      <c r="AJ1092">
        <v>0</v>
      </c>
      <c r="AK1092">
        <v>0</v>
      </c>
      <c r="AL1092">
        <v>0</v>
      </c>
      <c r="AM1092">
        <v>0</v>
      </c>
      <c r="AN1092">
        <v>0</v>
      </c>
      <c r="AO1092">
        <v>0</v>
      </c>
      <c r="AP1092">
        <v>0</v>
      </c>
      <c r="AQ1092">
        <v>0</v>
      </c>
      <c r="AR1092">
        <v>0</v>
      </c>
      <c r="AS1092">
        <v>0</v>
      </c>
      <c r="AT1092">
        <v>0</v>
      </c>
      <c r="AU1092">
        <v>0</v>
      </c>
      <c r="AV1092">
        <v>0</v>
      </c>
      <c r="AW1092">
        <v>0</v>
      </c>
      <c r="AX1092" s="141">
        <f t="shared" ref="AX1092:AX1100" si="1431">COUNTIF(V1092:AW1092,"&lt;&gt;0")</f>
        <v>1</v>
      </c>
      <c r="AY1092" s="141">
        <f t="shared" ref="AY1092:AY1100" si="1432">COUNTIF(V1092:AL1092,"&lt;&gt;0")</f>
        <v>1</v>
      </c>
      <c r="AZ1092">
        <f t="shared" ref="AZ1092:AZ1100" si="1433">COUNTIF(V1092:AC1092,"&lt;&gt;0")</f>
        <v>1</v>
      </c>
      <c r="BA1092">
        <f t="shared" ref="BA1092:BA1100" si="1434">COUNTIF(AD1092:AI1092,"&lt;&gt;0")</f>
        <v>0</v>
      </c>
      <c r="BB1092">
        <f t="shared" ref="BB1092:BB1100" si="1435">COUNTIF(AJ1092:AL1092,"&lt;&gt;0")</f>
        <v>0</v>
      </c>
      <c r="BC1092">
        <f t="shared" ref="BC1092:BC1100" si="1436">COUNTIF(AS1092:AW1092,"&lt;&gt;0")</f>
        <v>0</v>
      </c>
      <c r="BD1092">
        <f t="shared" ref="BD1092:BD1100" si="1437">COUNTIF(AM1092:AR1092,"&lt;&gt;0")</f>
        <v>0</v>
      </c>
      <c r="BE1092" t="str">
        <f t="array" ref="BE1092">IF(AY1092=1,INDEX($V$7:$AL$7,MATCH(TRUE,INDEX($V1092:$AW1092&lt;&gt;0,),0)),IF(AY1092=0,INDEX($AM$7:$AW$7,MATCH(1,$AM1092:$AW1092,0)),IF(BF1092="Multiple strategies","mixed drivers",IF(BF1092="Supply chain","multiple supply","multiple silviculture"))))</f>
        <v xml:space="preserve">cutting intensity </v>
      </c>
      <c r="BF1092" s="2" t="str" cm="1">
        <f t="array" ref="BF1092">IF(COUNTIF(AZ1092:BB1092,"&lt;&gt;0")=1,INDEX($V$4:$AW$4,MATCH(TRUE,INDEX($V1092:$AW1092&lt;&gt;0,),0)),IF(COUNTIF(AZ1092:BB1092,"&lt;&gt;0")=0,INDEX($AM$4:$AW$4,MATCH(1,$AM1092:$AW1092,0)),"Multiple strategies"))</f>
        <v>Silviculture for removals</v>
      </c>
      <c r="BG1092" s="1" t="s">
        <v>321</v>
      </c>
      <c r="BI1092" s="264" t="s">
        <v>424</v>
      </c>
      <c r="BJ1092" t="s">
        <v>2076</v>
      </c>
      <c r="BK1092">
        <v>0</v>
      </c>
      <c r="BL1092">
        <v>220.2</v>
      </c>
      <c r="BM1092" t="str">
        <f t="shared" ref="BM1092:BM1097" si="1438">IFERROR(BL1092/BK1092,"")</f>
        <v/>
      </c>
      <c r="BN1092">
        <f t="shared" ref="BN1092:BN1100" si="1439">BL1092-BK1092</f>
        <v>220.2</v>
      </c>
      <c r="BO1092">
        <f>BN1092</f>
        <v>220.2</v>
      </c>
      <c r="BP1092" t="s">
        <v>232</v>
      </c>
      <c r="BQ1092" s="264" t="s">
        <v>396</v>
      </c>
      <c r="BR1092" t="s">
        <v>2077</v>
      </c>
      <c r="BU1092" s="144"/>
      <c r="BV1092">
        <v>-219.6</v>
      </c>
      <c r="BX1092">
        <f>BV1092</f>
        <v>-219.6</v>
      </c>
      <c r="BY1092">
        <f t="shared" si="1419"/>
        <v>-0.9972752043596731</v>
      </c>
      <c r="BZ1092">
        <v>0</v>
      </c>
      <c r="CA1092">
        <v>0</v>
      </c>
      <c r="CB1092">
        <v>0</v>
      </c>
      <c r="CC1092">
        <v>0</v>
      </c>
      <c r="CD1092">
        <v>0</v>
      </c>
      <c r="CE1092">
        <v>0</v>
      </c>
      <c r="CF1092">
        <v>0</v>
      </c>
      <c r="CG1092">
        <v>0</v>
      </c>
      <c r="CH1092">
        <v>0</v>
      </c>
      <c r="CI1092">
        <v>0</v>
      </c>
      <c r="CJ1092">
        <v>0</v>
      </c>
      <c r="CK1092">
        <v>0</v>
      </c>
      <c r="CL1092">
        <v>0</v>
      </c>
      <c r="CM1092">
        <v>1</v>
      </c>
      <c r="CN1092" t="str">
        <f t="shared" ref="CN1092:CN1099" si="1440">IF($BL1092&lt;$BK1092,"refNeedCorrection","refOK")</f>
        <v>refOK</v>
      </c>
      <c r="CO1092">
        <f t="shared" ref="CO1092:CO1097" si="1441">IF($CN1092="refOK",$BK1092,$BL1092)</f>
        <v>0</v>
      </c>
      <c r="CP1092">
        <f t="shared" ref="CP1092:CP1097" si="1442">IF($CN1092="refOK",$BL1092,$BK1092)</f>
        <v>220.2</v>
      </c>
      <c r="CQ1092">
        <f t="shared" ref="CQ1092:CQ1100" si="1443">IF($CN1092="refOK",$BO1092,-$BO1092)</f>
        <v>220.2</v>
      </c>
      <c r="CR1092">
        <f t="shared" ref="CR1092:CR1097" si="1444">IF($CN1092="refOK",$BS1092,$BT1092)*IF($BP1092="Emissions positive",-1,1)</f>
        <v>0</v>
      </c>
      <c r="CS1092">
        <f t="shared" ref="CS1092:CS1097" si="1445">IF($CN1092="refOK",$BT1092,$BS1092)*IF($BP1092="Emissions positive",-1,1)</f>
        <v>0</v>
      </c>
      <c r="CT1092">
        <f t="shared" ref="CT1092:CT1100" si="1446">IF($CN1092="refNeedCorrection",-BX1092,BX1092)*IF($BP1092="Emissions positive",-1,1)</f>
        <v>-219.6</v>
      </c>
      <c r="CU1092">
        <f t="shared" ref="CU1092:CU1100" si="1447">IFERROR(CT1092/CQ1092,"")</f>
        <v>-0.9972752043596731</v>
      </c>
      <c r="CV1092" s="2" t="str">
        <f t="shared" ref="CV1092:CV1100" si="1448">IFERROR((CS1092-CR1092)/ABS(CR1092),"")</f>
        <v/>
      </c>
      <c r="CW1092" s="1" t="s">
        <v>2035</v>
      </c>
      <c r="CX1092" t="str">
        <f t="shared" ref="CX1092:CX1100" si="1449">IF(OR($CW1092="prd",$CW1092="std",$CW1092="cit"),"loc",IF(OR($CW1092="eur",$CW1092="reg",$CW1092="coy"),"reg",$CW1092))</f>
        <v>reg</v>
      </c>
      <c r="CY1092" t="s">
        <v>732</v>
      </c>
      <c r="DB1092">
        <v>15</v>
      </c>
      <c r="DC1092" t="str">
        <f t="shared" ref="DC1092:DC1100" si="1450">IF(DB1092=0,"0",IF(AND(DB1092&gt;=1,DB1092&lt;=30),"1-30",IF(AND(DB1092&gt;30,DB1092&lt;=70),"31-70",IF(AND(DB1092&gt;70,DB1092&lt;=100),"71-100",IF(DB1092&gt;100,"+100")))))</f>
        <v>1-30</v>
      </c>
      <c r="DD1092">
        <v>1</v>
      </c>
      <c r="DE1092">
        <v>0</v>
      </c>
      <c r="DF1092">
        <v>0</v>
      </c>
      <c r="DG1092">
        <v>0</v>
      </c>
      <c r="DH1092">
        <v>0</v>
      </c>
      <c r="DI1092">
        <f t="shared" ref="DI1092:DI1100" si="1451">SUM(DD1092:DH1092)</f>
        <v>1</v>
      </c>
      <c r="DJ1092" t="str">
        <f t="shared" ref="DJ1092:DJ1100" si="1452">IF(DI1092=1,INDEX($DD$7:$DG$7,MATCH(1,$DD1092:$DG1092,0)),"mixedProduct")</f>
        <v>UpstreamInput</v>
      </c>
      <c r="DK1092" t="str">
        <f t="shared" ref="DK1092:DK1100" si="1453">IF(DD1092=1,DK$7,0)</f>
        <v>Upstream</v>
      </c>
      <c r="DL1092">
        <f t="shared" ref="DL1092:DL1100" si="1454">IF(DE1092=1,DL$7,0)</f>
        <v>0</v>
      </c>
      <c r="DM1092">
        <f t="shared" ref="DM1092:DM1100" si="1455">IF(DF1092=1,DM$7,0)</f>
        <v>0</v>
      </c>
      <c r="DN1092">
        <f t="shared" ref="DN1092:DN1100" si="1456">IF(DG1092=1,DN$7,0)</f>
        <v>0</v>
      </c>
      <c r="DO1092">
        <v>0</v>
      </c>
      <c r="DP1092">
        <v>0</v>
      </c>
      <c r="DQ1092">
        <v>0</v>
      </c>
      <c r="DR1092">
        <v>0</v>
      </c>
      <c r="DS1092">
        <v>0</v>
      </c>
      <c r="DT1092"/>
      <c r="DU1092" s="143" t="str">
        <f t="shared" ref="DU1092:DU1100" si="1457">IF(DO1092=1,"self-calculated DF",IF(DP1092=1,"external DF used","explicit C balance"))</f>
        <v>explicit C balance</v>
      </c>
      <c r="DV1092">
        <v>1</v>
      </c>
      <c r="DW1092">
        <v>1</v>
      </c>
      <c r="DX1092">
        <v>1</v>
      </c>
      <c r="DY1092">
        <v>0</v>
      </c>
      <c r="DZ1092">
        <v>0</v>
      </c>
      <c r="EA1092" s="143">
        <v>0</v>
      </c>
      <c r="EB1092">
        <v>0</v>
      </c>
      <c r="EC1092">
        <v>0</v>
      </c>
      <c r="ED1092">
        <v>0</v>
      </c>
      <c r="EE1092">
        <v>0</v>
      </c>
      <c r="EF1092">
        <v>1</v>
      </c>
      <c r="EG1092">
        <v>0</v>
      </c>
      <c r="EH1092">
        <v>0</v>
      </c>
      <c r="EI1092" s="2">
        <v>0</v>
      </c>
      <c r="EK1092" t="str">
        <f t="shared" ref="EK1092:EK1100" si="1458">IF(AND(AND(AND(OR($DX1092=1,$DW1092=1),OR($EC1092=1,$EA1092=1)),SUM($DV1092:$DZ1092,$EF1092)&gt;=4),SUM($EA1092:$EE1092)&gt;=2),"Whole sector","")</f>
        <v/>
      </c>
      <c r="EL1092" t="str">
        <f t="shared" ref="EL1092:EL1100" si="1459">IF(AND(AND(OR($DX1092=1,$DW1092=1),AND($EC1092=0,$EA1092=0)),SUM($DV1092:$DZ1092,$EF1092)&gt;=4),"Ecosystem approach","")</f>
        <v>Ecosystem approach</v>
      </c>
      <c r="EM1092" s="2" t="str">
        <f t="shared" si="1424"/>
        <v/>
      </c>
      <c r="EP1092" t="str">
        <f>IF(ISNUMBER(BU1092),IF(ABS(BU1092-[3]QC_indicators!$B$2)&gt;3*[3]QC_indicators!$C$2,"C ratio",IF(ISNUMBER(BY1092),IF(ABS(BY1092-[3]QC_indicators!$B$1)&gt;3*[3]QC_indicators!$C$1,"DF","no"))),IF(ISNUMBER(BY1092),IF(ABS(BY1092-[3]QC_indicators!$B$1)&gt;3*[3]QC_indicators!$C$1,"DF","no")))</f>
        <v>no</v>
      </c>
      <c r="ET1092" s="264" t="s">
        <v>3150</v>
      </c>
    </row>
    <row r="1093" spans="1:150" ht="15" hidden="1" customHeight="1">
      <c r="A1093" s="1" t="s">
        <v>2066</v>
      </c>
      <c r="B1093" t="s">
        <v>2067</v>
      </c>
      <c r="C1093" t="s">
        <v>544</v>
      </c>
      <c r="D1093" t="s">
        <v>2068</v>
      </c>
      <c r="E1093" t="s">
        <v>2069</v>
      </c>
      <c r="F1093" t="s">
        <v>2070</v>
      </c>
      <c r="G1093" t="s">
        <v>2071</v>
      </c>
      <c r="H1093" t="s">
        <v>254</v>
      </c>
      <c r="I1093">
        <v>2021</v>
      </c>
      <c r="J1093">
        <v>0</v>
      </c>
      <c r="K1093" t="s">
        <v>2072</v>
      </c>
      <c r="M1093" t="str">
        <f t="shared" si="1430"/>
        <v>Paletto_2021</v>
      </c>
      <c r="N1093" t="s">
        <v>222</v>
      </c>
      <c r="O1093" s="157" t="s">
        <v>274</v>
      </c>
      <c r="P1093" t="s">
        <v>513</v>
      </c>
      <c r="Q1093" t="s">
        <v>389</v>
      </c>
      <c r="R1093" s="262" t="s">
        <v>223</v>
      </c>
      <c r="S1093" s="1" t="s">
        <v>2073</v>
      </c>
      <c r="T1093" t="s">
        <v>2074</v>
      </c>
      <c r="U1093" s="184" t="s">
        <v>2078</v>
      </c>
      <c r="V1093">
        <v>0</v>
      </c>
      <c r="W1093">
        <v>0</v>
      </c>
      <c r="X1093">
        <v>0</v>
      </c>
      <c r="Y1093">
        <v>1</v>
      </c>
      <c r="Z1093">
        <v>0</v>
      </c>
      <c r="AA1093">
        <v>0</v>
      </c>
      <c r="AB1093">
        <v>0</v>
      </c>
      <c r="AC1093">
        <v>0</v>
      </c>
      <c r="AD1093">
        <v>0</v>
      </c>
      <c r="AE1093">
        <v>0</v>
      </c>
      <c r="AF1093">
        <v>0</v>
      </c>
      <c r="AG1093">
        <v>0</v>
      </c>
      <c r="AH1093">
        <v>0</v>
      </c>
      <c r="AI1093">
        <v>0</v>
      </c>
      <c r="AJ1093">
        <v>0</v>
      </c>
      <c r="AK1093">
        <v>0</v>
      </c>
      <c r="AL1093">
        <v>0</v>
      </c>
      <c r="AM1093">
        <v>0</v>
      </c>
      <c r="AN1093">
        <v>0</v>
      </c>
      <c r="AO1093">
        <v>0</v>
      </c>
      <c r="AP1093">
        <v>0</v>
      </c>
      <c r="AQ1093">
        <v>0</v>
      </c>
      <c r="AR1093">
        <v>0</v>
      </c>
      <c r="AS1093">
        <v>0</v>
      </c>
      <c r="AT1093">
        <v>0</v>
      </c>
      <c r="AU1093">
        <v>0</v>
      </c>
      <c r="AV1093">
        <v>0</v>
      </c>
      <c r="AW1093">
        <v>0</v>
      </c>
      <c r="AX1093" s="141">
        <f t="shared" si="1431"/>
        <v>1</v>
      </c>
      <c r="AY1093" s="141">
        <f t="shared" si="1432"/>
        <v>1</v>
      </c>
      <c r="AZ1093">
        <f t="shared" si="1433"/>
        <v>1</v>
      </c>
      <c r="BA1093">
        <f t="shared" si="1434"/>
        <v>0</v>
      </c>
      <c r="BB1093">
        <f t="shared" si="1435"/>
        <v>0</v>
      </c>
      <c r="BC1093">
        <f t="shared" si="1436"/>
        <v>0</v>
      </c>
      <c r="BD1093">
        <f t="shared" si="1437"/>
        <v>0</v>
      </c>
      <c r="BE1093" t="str">
        <f t="array" ref="BE1093">IF(AY1093=1,INDEX($V$7:$AL$7,MATCH(TRUE,INDEX($V1093:$AW1093&lt;&gt;0,),0)),IF(AY1093=0,INDEX($AM$7:$AW$7,MATCH(1,$AM1093:$AW1093,0)),IF(BF1093="Multiple strategies","mixed drivers",IF(BF1093="Supply chain","multiple supply","multiple silviculture"))))</f>
        <v xml:space="preserve">cutting intensity </v>
      </c>
      <c r="BF1093" s="2" t="str" cm="1">
        <f t="array" ref="BF1093">IF(COUNTIF(AZ1093:BB1093,"&lt;&gt;0")=1,INDEX($V$4:$AW$4,MATCH(TRUE,INDEX($V1093:$AW1093&lt;&gt;0,),0)),IF(COUNTIF(AZ1093:BB1093,"&lt;&gt;0")=0,INDEX($AM$4:$AW$4,MATCH(1,$AM1093:$AW1093,0)),"Multiple strategies"))</f>
        <v>Silviculture for removals</v>
      </c>
      <c r="BG1093" s="1" t="s">
        <v>321</v>
      </c>
      <c r="BI1093" s="264" t="s">
        <v>424</v>
      </c>
      <c r="BJ1093" t="s">
        <v>2076</v>
      </c>
      <c r="BK1093">
        <v>0</v>
      </c>
      <c r="BL1093">
        <v>144.19999999999999</v>
      </c>
      <c r="BM1093" t="str">
        <f t="shared" si="1438"/>
        <v/>
      </c>
      <c r="BN1093">
        <f t="shared" si="1439"/>
        <v>144.19999999999999</v>
      </c>
      <c r="BO1093">
        <f>BN1093</f>
        <v>144.19999999999999</v>
      </c>
      <c r="BP1093" t="s">
        <v>232</v>
      </c>
      <c r="BQ1093" s="264" t="s">
        <v>396</v>
      </c>
      <c r="BR1093" t="s">
        <v>2077</v>
      </c>
      <c r="BU1093" s="144"/>
      <c r="BV1093">
        <v>-114.9</v>
      </c>
      <c r="BX1093">
        <f>BV1093</f>
        <v>-114.9</v>
      </c>
      <c r="BY1093">
        <f t="shared" si="1419"/>
        <v>-0.79680998613037457</v>
      </c>
      <c r="BZ1093">
        <v>0</v>
      </c>
      <c r="CA1093">
        <v>0</v>
      </c>
      <c r="CB1093">
        <v>0</v>
      </c>
      <c r="CC1093">
        <v>0</v>
      </c>
      <c r="CD1093">
        <v>0</v>
      </c>
      <c r="CE1093">
        <v>0</v>
      </c>
      <c r="CF1093">
        <v>0</v>
      </c>
      <c r="CG1093">
        <v>0</v>
      </c>
      <c r="CH1093">
        <v>0</v>
      </c>
      <c r="CI1093">
        <v>0</v>
      </c>
      <c r="CJ1093">
        <v>0</v>
      </c>
      <c r="CK1093">
        <v>0</v>
      </c>
      <c r="CL1093">
        <v>0</v>
      </c>
      <c r="CM1093">
        <v>1</v>
      </c>
      <c r="CN1093" t="str">
        <f t="shared" si="1440"/>
        <v>refOK</v>
      </c>
      <c r="CO1093">
        <f t="shared" si="1441"/>
        <v>0</v>
      </c>
      <c r="CP1093">
        <f t="shared" si="1442"/>
        <v>144.19999999999999</v>
      </c>
      <c r="CQ1093">
        <f t="shared" si="1443"/>
        <v>144.19999999999999</v>
      </c>
      <c r="CR1093">
        <f t="shared" si="1444"/>
        <v>0</v>
      </c>
      <c r="CS1093">
        <f t="shared" si="1445"/>
        <v>0</v>
      </c>
      <c r="CT1093">
        <f t="shared" si="1446"/>
        <v>-114.9</v>
      </c>
      <c r="CU1093">
        <f t="shared" si="1447"/>
        <v>-0.79680998613037457</v>
      </c>
      <c r="CV1093" s="2" t="str">
        <f t="shared" si="1448"/>
        <v/>
      </c>
      <c r="CW1093" s="1" t="s">
        <v>2035</v>
      </c>
      <c r="CX1093" t="str">
        <f t="shared" si="1449"/>
        <v>reg</v>
      </c>
      <c r="CY1093" t="s">
        <v>732</v>
      </c>
      <c r="DB1093">
        <v>15</v>
      </c>
      <c r="DC1093" t="str">
        <f t="shared" si="1450"/>
        <v>1-30</v>
      </c>
      <c r="DD1093">
        <v>1</v>
      </c>
      <c r="DE1093">
        <v>0</v>
      </c>
      <c r="DF1093">
        <v>0</v>
      </c>
      <c r="DG1093">
        <v>0</v>
      </c>
      <c r="DH1093">
        <v>0</v>
      </c>
      <c r="DI1093">
        <f t="shared" si="1451"/>
        <v>1</v>
      </c>
      <c r="DJ1093" t="str">
        <f t="shared" si="1452"/>
        <v>UpstreamInput</v>
      </c>
      <c r="DK1093" t="str">
        <f t="shared" si="1453"/>
        <v>Upstream</v>
      </c>
      <c r="DL1093">
        <f t="shared" si="1454"/>
        <v>0</v>
      </c>
      <c r="DM1093">
        <f t="shared" si="1455"/>
        <v>0</v>
      </c>
      <c r="DN1093">
        <f t="shared" si="1456"/>
        <v>0</v>
      </c>
      <c r="DO1093">
        <v>0</v>
      </c>
      <c r="DP1093">
        <v>0</v>
      </c>
      <c r="DQ1093">
        <v>0</v>
      </c>
      <c r="DR1093">
        <v>0</v>
      </c>
      <c r="DS1093">
        <v>0</v>
      </c>
      <c r="DT1093"/>
      <c r="DU1093" s="143" t="str">
        <f t="shared" si="1457"/>
        <v>explicit C balance</v>
      </c>
      <c r="DV1093">
        <v>1</v>
      </c>
      <c r="DW1093">
        <v>1</v>
      </c>
      <c r="DX1093">
        <v>1</v>
      </c>
      <c r="DY1093">
        <v>0</v>
      </c>
      <c r="DZ1093">
        <v>0</v>
      </c>
      <c r="EA1093" s="143">
        <v>0</v>
      </c>
      <c r="EB1093">
        <v>0</v>
      </c>
      <c r="EC1093">
        <v>0</v>
      </c>
      <c r="ED1093">
        <v>0</v>
      </c>
      <c r="EE1093">
        <v>0</v>
      </c>
      <c r="EF1093">
        <v>1</v>
      </c>
      <c r="EG1093">
        <v>0</v>
      </c>
      <c r="EH1093">
        <v>0</v>
      </c>
      <c r="EI1093" s="2">
        <v>0</v>
      </c>
      <c r="EK1093" t="str">
        <f t="shared" si="1458"/>
        <v/>
      </c>
      <c r="EL1093" t="str">
        <f t="shared" si="1459"/>
        <v>Ecosystem approach</v>
      </c>
      <c r="EM1093" s="2" t="str">
        <f t="shared" si="1424"/>
        <v/>
      </c>
      <c r="EP1093" t="str">
        <f>IF(ISNUMBER(BU1093),IF(ABS(BU1093-[3]QC_indicators!$B$2)&gt;3*[3]QC_indicators!$C$2,"C ratio",IF(ISNUMBER(BY1093),IF(ABS(BY1093-[3]QC_indicators!$B$1)&gt;3*[3]QC_indicators!$C$1,"DF","no"))),IF(ISNUMBER(BY1093),IF(ABS(BY1093-[3]QC_indicators!$B$1)&gt;3*[3]QC_indicators!$C$1,"DF","no")))</f>
        <v>no</v>
      </c>
      <c r="ET1093" s="264" t="s">
        <v>3150</v>
      </c>
    </row>
    <row r="1094" spans="1:150" hidden="1">
      <c r="A1094" s="1" t="s">
        <v>656</v>
      </c>
      <c r="B1094" t="s">
        <v>2079</v>
      </c>
      <c r="C1094" t="s">
        <v>2080</v>
      </c>
      <c r="D1094" t="s">
        <v>2081</v>
      </c>
      <c r="E1094" t="s">
        <v>2082</v>
      </c>
      <c r="F1094" t="s">
        <v>2083</v>
      </c>
      <c r="G1094" t="s">
        <v>662</v>
      </c>
      <c r="H1094" t="s">
        <v>254</v>
      </c>
      <c r="I1094">
        <v>2020</v>
      </c>
      <c r="J1094">
        <v>4</v>
      </c>
      <c r="K1094" t="s">
        <v>2084</v>
      </c>
      <c r="M1094" t="str">
        <f t="shared" si="1430"/>
        <v>Palus_2020</v>
      </c>
      <c r="N1094" t="s">
        <v>222</v>
      </c>
      <c r="O1094" s="157" t="s">
        <v>513</v>
      </c>
      <c r="P1094" t="s">
        <v>223</v>
      </c>
      <c r="Q1094" t="s">
        <v>389</v>
      </c>
      <c r="R1094" s="255" t="s">
        <v>225</v>
      </c>
      <c r="T1094" t="s">
        <v>1200</v>
      </c>
      <c r="U1094" t="s">
        <v>1201</v>
      </c>
      <c r="V1094">
        <v>0</v>
      </c>
      <c r="W1094">
        <v>0</v>
      </c>
      <c r="X1094">
        <v>0</v>
      </c>
      <c r="Y1094">
        <v>0</v>
      </c>
      <c r="Z1094">
        <v>0</v>
      </c>
      <c r="AA1094">
        <v>0</v>
      </c>
      <c r="AB1094">
        <v>0</v>
      </c>
      <c r="AC1094">
        <v>0</v>
      </c>
      <c r="AD1094">
        <v>0</v>
      </c>
      <c r="AE1094">
        <v>0</v>
      </c>
      <c r="AF1094">
        <v>1</v>
      </c>
      <c r="AG1094">
        <v>0</v>
      </c>
      <c r="AH1094">
        <v>0</v>
      </c>
      <c r="AI1094">
        <v>0</v>
      </c>
      <c r="AJ1094">
        <v>0</v>
      </c>
      <c r="AK1094">
        <v>0</v>
      </c>
      <c r="AL1094">
        <v>0</v>
      </c>
      <c r="AM1094">
        <v>0</v>
      </c>
      <c r="AN1094">
        <v>0</v>
      </c>
      <c r="AO1094">
        <v>0</v>
      </c>
      <c r="AP1094">
        <v>0</v>
      </c>
      <c r="AQ1094">
        <v>0</v>
      </c>
      <c r="AR1094">
        <v>0</v>
      </c>
      <c r="AS1094">
        <v>1</v>
      </c>
      <c r="AT1094">
        <v>0</v>
      </c>
      <c r="AU1094">
        <v>0</v>
      </c>
      <c r="AV1094">
        <v>0</v>
      </c>
      <c r="AW1094">
        <v>0</v>
      </c>
      <c r="AX1094" s="141">
        <f t="shared" si="1431"/>
        <v>2</v>
      </c>
      <c r="AY1094" s="141">
        <f t="shared" si="1432"/>
        <v>1</v>
      </c>
      <c r="AZ1094">
        <f t="shared" si="1433"/>
        <v>0</v>
      </c>
      <c r="BA1094">
        <f t="shared" si="1434"/>
        <v>1</v>
      </c>
      <c r="BB1094">
        <f t="shared" si="1435"/>
        <v>0</v>
      </c>
      <c r="BC1094">
        <f t="shared" si="1436"/>
        <v>1</v>
      </c>
      <c r="BD1094">
        <f t="shared" si="1437"/>
        <v>0</v>
      </c>
      <c r="BE1094" t="str">
        <f t="array" ref="BE1094">IF(AY1094=1,INDEX($V$7:$AL$7,MATCH(TRUE,INDEX($V1094:$AW1094&lt;&gt;0,),0)),IF(AY1094=0,INDEX($AM$7:$AW$7,MATCH(1,$AM1094:$AW1094,0)),IF(BF1094="Multiple strategies","mixed drivers",IF(BF1094="Supply chain","multiple supply","multiple silviculture"))))</f>
        <v>supply chain organization</v>
      </c>
      <c r="BF1094" s="2" t="str" cm="1">
        <f t="array" ref="BF1094">IF(COUNTIF(AZ1094:BB1094,"&lt;&gt;0")=1,INDEX($V$4:$AW$4,MATCH(TRUE,INDEX($V1094:$AW1094&lt;&gt;0,),0)),IF(COUNTIF(AZ1094:BB1094,"&lt;&gt;0")=0,INDEX($AM$4:$AW$4,MATCH(1,$AM1094:$AW1094,0)),"Multiple strategies"))</f>
        <v>Supply chain</v>
      </c>
      <c r="BG1094" s="1" t="s">
        <v>321</v>
      </c>
      <c r="BH1094" t="s">
        <v>832</v>
      </c>
      <c r="BI1094" t="s">
        <v>699</v>
      </c>
      <c r="BJ1094" t="s">
        <v>2085</v>
      </c>
      <c r="BK1094">
        <v>8091.4</v>
      </c>
      <c r="BL1094">
        <v>9602.9</v>
      </c>
      <c r="BM1094">
        <f t="shared" si="1438"/>
        <v>1.1868032726104258</v>
      </c>
      <c r="BN1094">
        <f t="shared" si="1439"/>
        <v>1511.5</v>
      </c>
      <c r="BO1094">
        <f t="shared" ref="BO1094:BO1099" si="1460">BN1094*1000</f>
        <v>1511500</v>
      </c>
      <c r="BP1094" t="s">
        <v>395</v>
      </c>
      <c r="BQ1094" s="260" t="s">
        <v>3388</v>
      </c>
      <c r="BR1094" t="s">
        <v>2086</v>
      </c>
      <c r="BS1094">
        <v>-1535.25</v>
      </c>
      <c r="BT1094">
        <v>-3609.55</v>
      </c>
      <c r="BU1094" s="144"/>
      <c r="BV1094">
        <f t="shared" ref="BV1094:BV1099" si="1461">BT1094-BS1094</f>
        <v>-2074.3000000000002</v>
      </c>
      <c r="BX1094">
        <f t="shared" ref="BX1094:BX1100" si="1462">BV1094*1000</f>
        <v>-2074300.0000000002</v>
      </c>
      <c r="BY1094">
        <f t="shared" si="1419"/>
        <v>-1.3723453522990408</v>
      </c>
      <c r="BZ1094">
        <v>0</v>
      </c>
      <c r="CA1094">
        <v>0</v>
      </c>
      <c r="CB1094">
        <v>0</v>
      </c>
      <c r="CC1094">
        <v>0</v>
      </c>
      <c r="CD1094">
        <v>0</v>
      </c>
      <c r="CE1094">
        <v>0</v>
      </c>
      <c r="CF1094">
        <v>0</v>
      </c>
      <c r="CG1094">
        <v>0</v>
      </c>
      <c r="CH1094">
        <v>0</v>
      </c>
      <c r="CI1094">
        <v>0</v>
      </c>
      <c r="CJ1094">
        <v>0</v>
      </c>
      <c r="CK1094">
        <v>0</v>
      </c>
      <c r="CL1094">
        <v>0</v>
      </c>
      <c r="CM1094">
        <v>0</v>
      </c>
      <c r="CN1094" t="str">
        <f t="shared" si="1440"/>
        <v>refOK</v>
      </c>
      <c r="CO1094">
        <f t="shared" si="1441"/>
        <v>8091.4</v>
      </c>
      <c r="CP1094">
        <f t="shared" si="1442"/>
        <v>9602.9</v>
      </c>
      <c r="CQ1094">
        <f t="shared" si="1443"/>
        <v>1511500</v>
      </c>
      <c r="CR1094">
        <f t="shared" si="1444"/>
        <v>1535.25</v>
      </c>
      <c r="CS1094">
        <f t="shared" si="1445"/>
        <v>3609.55</v>
      </c>
      <c r="CT1094">
        <f t="shared" si="1446"/>
        <v>2074300.0000000002</v>
      </c>
      <c r="CU1094">
        <f t="shared" si="1447"/>
        <v>1.3723453522990408</v>
      </c>
      <c r="CV1094" s="2">
        <f t="shared" si="1448"/>
        <v>1.3511154535092005</v>
      </c>
      <c r="CW1094" s="1" t="s">
        <v>1202</v>
      </c>
      <c r="CX1094" t="str">
        <f t="shared" si="1449"/>
        <v>reg</v>
      </c>
      <c r="CY1094" t="s">
        <v>2087</v>
      </c>
      <c r="CZ1094">
        <v>2017</v>
      </c>
      <c r="DA1094">
        <v>2017</v>
      </c>
      <c r="DB1094">
        <f t="shared" ref="DB1094:DB1099" si="1463">DA1094-CZ1094</f>
        <v>0</v>
      </c>
      <c r="DC1094" t="str">
        <f t="shared" si="1450"/>
        <v>0</v>
      </c>
      <c r="DD1094">
        <v>0</v>
      </c>
      <c r="DE1094">
        <v>0</v>
      </c>
      <c r="DF1094">
        <v>1</v>
      </c>
      <c r="DG1094">
        <v>1</v>
      </c>
      <c r="DH1094">
        <v>0</v>
      </c>
      <c r="DI1094">
        <f t="shared" si="1451"/>
        <v>2</v>
      </c>
      <c r="DJ1094" t="str">
        <f t="shared" si="1452"/>
        <v>mixedProduct</v>
      </c>
      <c r="DK1094">
        <f t="shared" si="1453"/>
        <v>0</v>
      </c>
      <c r="DL1094">
        <f t="shared" si="1454"/>
        <v>0</v>
      </c>
      <c r="DM1094" t="str">
        <f t="shared" si="1455"/>
        <v>Pulp/Paper</v>
      </c>
      <c r="DN1094" t="str">
        <f t="shared" si="1456"/>
        <v>Timber</v>
      </c>
      <c r="DO1094">
        <v>0</v>
      </c>
      <c r="DP1094">
        <v>0</v>
      </c>
      <c r="DQ1094">
        <v>0</v>
      </c>
      <c r="DR1094">
        <v>0</v>
      </c>
      <c r="DS1094">
        <v>0</v>
      </c>
      <c r="DT1094"/>
      <c r="DU1094" s="143" t="str">
        <f t="shared" si="1457"/>
        <v>explicit C balance</v>
      </c>
      <c r="DV1094">
        <v>0</v>
      </c>
      <c r="DW1094">
        <v>0</v>
      </c>
      <c r="DX1094">
        <v>0</v>
      </c>
      <c r="DY1094">
        <v>1</v>
      </c>
      <c r="DZ1094">
        <v>1</v>
      </c>
      <c r="EA1094">
        <v>0</v>
      </c>
      <c r="EB1094">
        <v>0</v>
      </c>
      <c r="EC1094">
        <v>0</v>
      </c>
      <c r="ED1094">
        <v>0</v>
      </c>
      <c r="EE1094">
        <v>0</v>
      </c>
      <c r="EF1094">
        <v>1</v>
      </c>
      <c r="EG1094">
        <v>0</v>
      </c>
      <c r="EH1094">
        <v>0</v>
      </c>
      <c r="EI1094" s="2">
        <v>0</v>
      </c>
      <c r="EK1094" t="str">
        <f t="shared" si="1458"/>
        <v/>
      </c>
      <c r="EL1094" t="str">
        <f t="shared" si="1459"/>
        <v/>
      </c>
      <c r="EM1094" s="2" t="str">
        <f t="shared" si="1424"/>
        <v/>
      </c>
      <c r="EP1094" t="str">
        <f>IF(ISNUMBER(BU1094),IF(ABS(BU1094-[5]QC_indicators!$B$2)&gt;3*[5]QC_indicators!$C$2,"C ratio",IF(ISNUMBER(BY1094),IF(ABS(BY1094-[5]QC_indicators!$B$1)&gt;3*[5]QC_indicators!$C$1,"DF","no"))),IF(ISNUMBER(BY1094),IF(ABS(BY1094-[5]QC_indicators!$B$1)&gt;3*[5]QC_indicators!$C$1,"DF","no")))</f>
        <v>no</v>
      </c>
      <c r="ET1094" s="264" t="s">
        <v>3272</v>
      </c>
    </row>
    <row r="1095" spans="1:150" hidden="1">
      <c r="A1095" s="1" t="s">
        <v>656</v>
      </c>
      <c r="B1095" t="s">
        <v>2079</v>
      </c>
      <c r="C1095" t="s">
        <v>2080</v>
      </c>
      <c r="D1095" t="s">
        <v>2081</v>
      </c>
      <c r="E1095" t="s">
        <v>2082</v>
      </c>
      <c r="F1095" t="s">
        <v>2083</v>
      </c>
      <c r="G1095" t="s">
        <v>662</v>
      </c>
      <c r="H1095" t="s">
        <v>254</v>
      </c>
      <c r="I1095">
        <v>2020</v>
      </c>
      <c r="J1095">
        <v>4</v>
      </c>
      <c r="K1095" t="s">
        <v>2084</v>
      </c>
      <c r="M1095" t="str">
        <f t="shared" si="1430"/>
        <v>Palus_2020</v>
      </c>
      <c r="N1095" t="s">
        <v>222</v>
      </c>
      <c r="O1095" s="157" t="s">
        <v>513</v>
      </c>
      <c r="P1095" t="s">
        <v>223</v>
      </c>
      <c r="Q1095" t="s">
        <v>389</v>
      </c>
      <c r="R1095" s="255" t="s">
        <v>225</v>
      </c>
      <c r="T1095" t="s">
        <v>1200</v>
      </c>
      <c r="U1095" t="s">
        <v>1201</v>
      </c>
      <c r="V1095">
        <v>0</v>
      </c>
      <c r="W1095">
        <v>0</v>
      </c>
      <c r="X1095">
        <v>0</v>
      </c>
      <c r="Y1095">
        <v>0</v>
      </c>
      <c r="Z1095">
        <v>0</v>
      </c>
      <c r="AA1095">
        <v>0</v>
      </c>
      <c r="AB1095">
        <v>0</v>
      </c>
      <c r="AC1095">
        <v>0</v>
      </c>
      <c r="AD1095">
        <v>0</v>
      </c>
      <c r="AE1095">
        <v>0</v>
      </c>
      <c r="AF1095">
        <v>1</v>
      </c>
      <c r="AG1095">
        <v>0</v>
      </c>
      <c r="AH1095">
        <v>0</v>
      </c>
      <c r="AI1095">
        <v>0</v>
      </c>
      <c r="AJ1095">
        <v>0</v>
      </c>
      <c r="AK1095">
        <v>0</v>
      </c>
      <c r="AL1095">
        <v>0</v>
      </c>
      <c r="AM1095">
        <v>0</v>
      </c>
      <c r="AN1095">
        <v>0</v>
      </c>
      <c r="AO1095">
        <v>0</v>
      </c>
      <c r="AP1095">
        <v>0</v>
      </c>
      <c r="AQ1095">
        <v>0</v>
      </c>
      <c r="AR1095">
        <v>0</v>
      </c>
      <c r="AS1095">
        <v>1</v>
      </c>
      <c r="AT1095">
        <v>0</v>
      </c>
      <c r="AU1095">
        <v>0</v>
      </c>
      <c r="AV1095">
        <v>0</v>
      </c>
      <c r="AW1095">
        <v>0</v>
      </c>
      <c r="AX1095" s="141">
        <f t="shared" si="1431"/>
        <v>2</v>
      </c>
      <c r="AY1095" s="141">
        <f t="shared" si="1432"/>
        <v>1</v>
      </c>
      <c r="AZ1095">
        <f t="shared" si="1433"/>
        <v>0</v>
      </c>
      <c r="BA1095">
        <f t="shared" si="1434"/>
        <v>1</v>
      </c>
      <c r="BB1095">
        <f t="shared" si="1435"/>
        <v>0</v>
      </c>
      <c r="BC1095">
        <f t="shared" si="1436"/>
        <v>1</v>
      </c>
      <c r="BD1095">
        <f t="shared" si="1437"/>
        <v>0</v>
      </c>
      <c r="BE1095" t="str">
        <f t="array" ref="BE1095">IF(AY1095=1,INDEX($V$7:$AL$7,MATCH(TRUE,INDEX($V1095:$AW1095&lt;&gt;0,),0)),IF(AY1095=0,INDEX($AM$7:$AW$7,MATCH(1,$AM1095:$AW1095,0)),IF(BF1095="Multiple strategies","mixed drivers",IF(BF1095="Supply chain","multiple supply","multiple silviculture"))))</f>
        <v>supply chain organization</v>
      </c>
      <c r="BF1095" s="2" t="str" cm="1">
        <f t="array" ref="BF1095">IF(COUNTIF(AZ1095:BB1095,"&lt;&gt;0")=1,INDEX($V$4:$AW$4,MATCH(TRUE,INDEX($V1095:$AW1095&lt;&gt;0,),0)),IF(COUNTIF(AZ1095:BB1095,"&lt;&gt;0")=0,INDEX($AM$4:$AW$4,MATCH(1,$AM1095:$AW1095,0)),"Multiple strategies"))</f>
        <v>Supply chain</v>
      </c>
      <c r="BG1095" s="1" t="s">
        <v>321</v>
      </c>
      <c r="BH1095" t="s">
        <v>832</v>
      </c>
      <c r="BI1095" t="s">
        <v>699</v>
      </c>
      <c r="BJ1095" t="s">
        <v>2085</v>
      </c>
      <c r="BK1095">
        <v>7771.2</v>
      </c>
      <c r="BL1095">
        <v>8988.9</v>
      </c>
      <c r="BM1095">
        <f t="shared" si="1438"/>
        <v>1.1566939468807906</v>
      </c>
      <c r="BN1095">
        <f t="shared" si="1439"/>
        <v>1217.6999999999998</v>
      </c>
      <c r="BO1095">
        <f t="shared" si="1460"/>
        <v>1217699.9999999998</v>
      </c>
      <c r="BP1095" t="s">
        <v>395</v>
      </c>
      <c r="BQ1095" s="260" t="s">
        <v>3388</v>
      </c>
      <c r="BR1095" t="s">
        <v>2086</v>
      </c>
      <c r="BS1095">
        <v>-547.41</v>
      </c>
      <c r="BT1095">
        <v>-1864.96</v>
      </c>
      <c r="BU1095" s="144"/>
      <c r="BV1095">
        <f t="shared" si="1461"/>
        <v>-1317.5500000000002</v>
      </c>
      <c r="BX1095">
        <f t="shared" si="1462"/>
        <v>-1317550.0000000002</v>
      </c>
      <c r="BY1095">
        <f t="shared" si="1419"/>
        <v>-1.0819988502915336</v>
      </c>
      <c r="BZ1095">
        <v>0</v>
      </c>
      <c r="CA1095">
        <v>0</v>
      </c>
      <c r="CB1095">
        <v>0</v>
      </c>
      <c r="CC1095">
        <v>0</v>
      </c>
      <c r="CD1095">
        <v>0</v>
      </c>
      <c r="CE1095">
        <v>0</v>
      </c>
      <c r="CF1095">
        <v>0</v>
      </c>
      <c r="CG1095">
        <v>0</v>
      </c>
      <c r="CH1095">
        <v>0</v>
      </c>
      <c r="CI1095">
        <v>0</v>
      </c>
      <c r="CJ1095">
        <v>0</v>
      </c>
      <c r="CK1095">
        <v>0</v>
      </c>
      <c r="CL1095">
        <v>0</v>
      </c>
      <c r="CM1095">
        <v>0</v>
      </c>
      <c r="CN1095" t="str">
        <f t="shared" si="1440"/>
        <v>refOK</v>
      </c>
      <c r="CO1095">
        <f t="shared" si="1441"/>
        <v>7771.2</v>
      </c>
      <c r="CP1095">
        <f t="shared" si="1442"/>
        <v>8988.9</v>
      </c>
      <c r="CQ1095">
        <f t="shared" si="1443"/>
        <v>1217699.9999999998</v>
      </c>
      <c r="CR1095">
        <f t="shared" si="1444"/>
        <v>547.41</v>
      </c>
      <c r="CS1095">
        <f t="shared" si="1445"/>
        <v>1864.96</v>
      </c>
      <c r="CT1095">
        <f t="shared" si="1446"/>
        <v>1317550.0000000002</v>
      </c>
      <c r="CU1095">
        <f t="shared" si="1447"/>
        <v>1.0819988502915336</v>
      </c>
      <c r="CV1095" s="2">
        <f t="shared" si="1448"/>
        <v>2.4068796697173971</v>
      </c>
      <c r="CW1095" s="1" t="s">
        <v>1202</v>
      </c>
      <c r="CX1095" t="str">
        <f t="shared" si="1449"/>
        <v>reg</v>
      </c>
      <c r="CY1095" t="s">
        <v>2087</v>
      </c>
      <c r="CZ1095">
        <v>2017</v>
      </c>
      <c r="DA1095">
        <v>2035</v>
      </c>
      <c r="DB1095">
        <f t="shared" si="1463"/>
        <v>18</v>
      </c>
      <c r="DC1095" t="str">
        <f t="shared" si="1450"/>
        <v>1-30</v>
      </c>
      <c r="DD1095">
        <v>0</v>
      </c>
      <c r="DE1095">
        <v>0</v>
      </c>
      <c r="DF1095">
        <v>1</v>
      </c>
      <c r="DG1095">
        <v>1</v>
      </c>
      <c r="DH1095">
        <v>0</v>
      </c>
      <c r="DI1095">
        <f t="shared" si="1451"/>
        <v>2</v>
      </c>
      <c r="DJ1095" t="str">
        <f t="shared" si="1452"/>
        <v>mixedProduct</v>
      </c>
      <c r="DK1095">
        <f t="shared" si="1453"/>
        <v>0</v>
      </c>
      <c r="DL1095">
        <f t="shared" si="1454"/>
        <v>0</v>
      </c>
      <c r="DM1095" t="str">
        <f t="shared" si="1455"/>
        <v>Pulp/Paper</v>
      </c>
      <c r="DN1095" t="str">
        <f t="shared" si="1456"/>
        <v>Timber</v>
      </c>
      <c r="DO1095">
        <v>0</v>
      </c>
      <c r="DP1095">
        <v>0</v>
      </c>
      <c r="DQ1095">
        <v>0</v>
      </c>
      <c r="DR1095">
        <v>0</v>
      </c>
      <c r="DS1095">
        <v>0</v>
      </c>
      <c r="DT1095"/>
      <c r="DU1095" s="143" t="str">
        <f t="shared" si="1457"/>
        <v>explicit C balance</v>
      </c>
      <c r="DV1095">
        <v>0</v>
      </c>
      <c r="DW1095">
        <v>0</v>
      </c>
      <c r="DX1095">
        <v>0</v>
      </c>
      <c r="DY1095">
        <v>1</v>
      </c>
      <c r="DZ1095">
        <v>1</v>
      </c>
      <c r="EA1095">
        <v>0</v>
      </c>
      <c r="EB1095">
        <v>0</v>
      </c>
      <c r="EC1095">
        <v>0</v>
      </c>
      <c r="ED1095">
        <v>0</v>
      </c>
      <c r="EE1095">
        <v>0</v>
      </c>
      <c r="EF1095">
        <v>1</v>
      </c>
      <c r="EG1095">
        <v>0</v>
      </c>
      <c r="EH1095">
        <v>0</v>
      </c>
      <c r="EI1095" s="2">
        <v>0</v>
      </c>
      <c r="EK1095" t="str">
        <f t="shared" si="1458"/>
        <v/>
      </c>
      <c r="EL1095" t="str">
        <f t="shared" si="1459"/>
        <v/>
      </c>
      <c r="EM1095" s="2" t="str">
        <f t="shared" si="1424"/>
        <v/>
      </c>
      <c r="EP1095" t="str">
        <f>IF(ISNUMBER(BU1095),IF(ABS(BU1095-[5]QC_indicators!$B$2)&gt;3*[5]QC_indicators!$C$2,"C ratio",IF(ISNUMBER(BY1095),IF(ABS(BY1095-[5]QC_indicators!$B$1)&gt;3*[5]QC_indicators!$C$1,"DF","no"))),IF(ISNUMBER(BY1095),IF(ABS(BY1095-[5]QC_indicators!$B$1)&gt;3*[5]QC_indicators!$C$1,"DF","no")))</f>
        <v>no</v>
      </c>
      <c r="ET1095" s="264" t="s">
        <v>3272</v>
      </c>
    </row>
    <row r="1096" spans="1:150" hidden="1">
      <c r="A1096" s="1" t="s">
        <v>656</v>
      </c>
      <c r="B1096" t="s">
        <v>2079</v>
      </c>
      <c r="C1096" t="s">
        <v>2080</v>
      </c>
      <c r="D1096" t="s">
        <v>2081</v>
      </c>
      <c r="E1096" t="s">
        <v>2082</v>
      </c>
      <c r="F1096" t="s">
        <v>2083</v>
      </c>
      <c r="G1096" t="s">
        <v>662</v>
      </c>
      <c r="H1096" t="s">
        <v>254</v>
      </c>
      <c r="I1096">
        <v>2020</v>
      </c>
      <c r="J1096">
        <v>4</v>
      </c>
      <c r="K1096" t="s">
        <v>2084</v>
      </c>
      <c r="M1096" t="str">
        <f t="shared" si="1430"/>
        <v>Palus_2020</v>
      </c>
      <c r="N1096" t="s">
        <v>222</v>
      </c>
      <c r="O1096" s="157" t="s">
        <v>513</v>
      </c>
      <c r="P1096" t="s">
        <v>223</v>
      </c>
      <c r="Q1096" t="s">
        <v>389</v>
      </c>
      <c r="R1096" s="255" t="s">
        <v>225</v>
      </c>
      <c r="T1096" t="s">
        <v>1200</v>
      </c>
      <c r="U1096" t="s">
        <v>1199</v>
      </c>
      <c r="V1096">
        <v>0</v>
      </c>
      <c r="W1096">
        <v>0</v>
      </c>
      <c r="X1096">
        <v>0</v>
      </c>
      <c r="Y1096">
        <v>0</v>
      </c>
      <c r="Z1096">
        <v>0</v>
      </c>
      <c r="AA1096">
        <v>0</v>
      </c>
      <c r="AB1096">
        <v>0</v>
      </c>
      <c r="AC1096">
        <v>0</v>
      </c>
      <c r="AD1096">
        <v>0</v>
      </c>
      <c r="AE1096">
        <v>0</v>
      </c>
      <c r="AF1096">
        <v>1</v>
      </c>
      <c r="AG1096">
        <v>0</v>
      </c>
      <c r="AH1096">
        <v>0</v>
      </c>
      <c r="AI1096">
        <v>0</v>
      </c>
      <c r="AJ1096">
        <v>0</v>
      </c>
      <c r="AK1096">
        <v>0</v>
      </c>
      <c r="AL1096">
        <v>0</v>
      </c>
      <c r="AM1096">
        <v>0</v>
      </c>
      <c r="AN1096">
        <v>0</v>
      </c>
      <c r="AO1096">
        <v>0</v>
      </c>
      <c r="AP1096">
        <v>0</v>
      </c>
      <c r="AQ1096">
        <v>0</v>
      </c>
      <c r="AR1096">
        <v>0</v>
      </c>
      <c r="AS1096">
        <v>1</v>
      </c>
      <c r="AT1096">
        <v>0</v>
      </c>
      <c r="AU1096">
        <v>0</v>
      </c>
      <c r="AV1096">
        <v>0</v>
      </c>
      <c r="AW1096">
        <v>0</v>
      </c>
      <c r="AX1096" s="141">
        <f t="shared" si="1431"/>
        <v>2</v>
      </c>
      <c r="AY1096" s="141">
        <f t="shared" si="1432"/>
        <v>1</v>
      </c>
      <c r="AZ1096">
        <f t="shared" si="1433"/>
        <v>0</v>
      </c>
      <c r="BA1096">
        <f t="shared" si="1434"/>
        <v>1</v>
      </c>
      <c r="BB1096">
        <f t="shared" si="1435"/>
        <v>0</v>
      </c>
      <c r="BC1096">
        <f t="shared" si="1436"/>
        <v>1</v>
      </c>
      <c r="BD1096">
        <f t="shared" si="1437"/>
        <v>0</v>
      </c>
      <c r="BE1096" t="str">
        <f t="array" ref="BE1096">IF(AY1096=1,INDEX($V$7:$AL$7,MATCH(TRUE,INDEX($V1096:$AW1096&lt;&gt;0,),0)),IF(AY1096=0,INDEX($AM$7:$AW$7,MATCH(1,$AM1096:$AW1096,0)),IF(BF1096="Multiple strategies","mixed drivers",IF(BF1096="Supply chain","multiple supply","multiple silviculture"))))</f>
        <v>supply chain organization</v>
      </c>
      <c r="BF1096" s="2" t="str" cm="1">
        <f t="array" ref="BF1096">IF(COUNTIF(AZ1096:BB1096,"&lt;&gt;0")=1,INDEX($V$4:$AW$4,MATCH(TRUE,INDEX($V1096:$AW1096&lt;&gt;0,),0)),IF(COUNTIF(AZ1096:BB1096,"&lt;&gt;0")=0,INDEX($AM$4:$AW$4,MATCH(1,$AM1096:$AW1096,0)),"Multiple strategies"))</f>
        <v>Supply chain</v>
      </c>
      <c r="BG1096" s="1" t="s">
        <v>321</v>
      </c>
      <c r="BH1096" t="s">
        <v>832</v>
      </c>
      <c r="BI1096" t="s">
        <v>699</v>
      </c>
      <c r="BJ1096" t="s">
        <v>2085</v>
      </c>
      <c r="BK1096">
        <v>8091.4</v>
      </c>
      <c r="BL1096">
        <v>9394.9</v>
      </c>
      <c r="BM1096">
        <f t="shared" si="1438"/>
        <v>1.1610969671503077</v>
      </c>
      <c r="BN1096">
        <f t="shared" si="1439"/>
        <v>1303.5</v>
      </c>
      <c r="BO1096">
        <f t="shared" si="1460"/>
        <v>1303500</v>
      </c>
      <c r="BP1096" t="s">
        <v>395</v>
      </c>
      <c r="BQ1096" s="260" t="s">
        <v>3388</v>
      </c>
      <c r="BR1096" t="s">
        <v>2086</v>
      </c>
      <c r="BS1096">
        <v>-1535.25</v>
      </c>
      <c r="BT1096">
        <v>-2515.0300000000002</v>
      </c>
      <c r="BU1096" s="144"/>
      <c r="BV1096">
        <f t="shared" si="1461"/>
        <v>-979.7800000000002</v>
      </c>
      <c r="BX1096">
        <f t="shared" si="1462"/>
        <v>-979780.00000000023</v>
      </c>
      <c r="BY1096">
        <f t="shared" si="1419"/>
        <v>-0.75165324127349464</v>
      </c>
      <c r="BZ1096">
        <v>0</v>
      </c>
      <c r="CA1096">
        <v>0</v>
      </c>
      <c r="CB1096">
        <v>0</v>
      </c>
      <c r="CC1096">
        <v>0</v>
      </c>
      <c r="CD1096">
        <v>0</v>
      </c>
      <c r="CE1096">
        <v>0</v>
      </c>
      <c r="CF1096">
        <v>0</v>
      </c>
      <c r="CG1096">
        <v>0</v>
      </c>
      <c r="CH1096">
        <v>0</v>
      </c>
      <c r="CI1096">
        <v>0</v>
      </c>
      <c r="CJ1096">
        <v>0</v>
      </c>
      <c r="CK1096">
        <v>0</v>
      </c>
      <c r="CL1096">
        <v>0</v>
      </c>
      <c r="CM1096">
        <v>0</v>
      </c>
      <c r="CN1096" t="str">
        <f t="shared" si="1440"/>
        <v>refOK</v>
      </c>
      <c r="CO1096">
        <f t="shared" si="1441"/>
        <v>8091.4</v>
      </c>
      <c r="CP1096">
        <f t="shared" si="1442"/>
        <v>9394.9</v>
      </c>
      <c r="CQ1096">
        <f t="shared" si="1443"/>
        <v>1303500</v>
      </c>
      <c r="CR1096">
        <f t="shared" si="1444"/>
        <v>1535.25</v>
      </c>
      <c r="CS1096">
        <f t="shared" si="1445"/>
        <v>2515.0300000000002</v>
      </c>
      <c r="CT1096">
        <f t="shared" si="1446"/>
        <v>979780.00000000023</v>
      </c>
      <c r="CU1096">
        <f t="shared" si="1447"/>
        <v>0.75165324127349464</v>
      </c>
      <c r="CV1096" s="2">
        <f t="shared" si="1448"/>
        <v>0.63818921999674338</v>
      </c>
      <c r="CW1096" s="1" t="s">
        <v>1202</v>
      </c>
      <c r="CX1096" t="str">
        <f t="shared" si="1449"/>
        <v>reg</v>
      </c>
      <c r="CY1096" t="s">
        <v>2087</v>
      </c>
      <c r="CZ1096">
        <v>2017</v>
      </c>
      <c r="DA1096">
        <v>2017</v>
      </c>
      <c r="DB1096">
        <f t="shared" si="1463"/>
        <v>0</v>
      </c>
      <c r="DC1096" t="str">
        <f t="shared" si="1450"/>
        <v>0</v>
      </c>
      <c r="DD1096">
        <v>0</v>
      </c>
      <c r="DE1096">
        <v>0</v>
      </c>
      <c r="DF1096">
        <v>1</v>
      </c>
      <c r="DG1096">
        <v>1</v>
      </c>
      <c r="DH1096">
        <v>0</v>
      </c>
      <c r="DI1096">
        <f t="shared" si="1451"/>
        <v>2</v>
      </c>
      <c r="DJ1096" t="str">
        <f t="shared" si="1452"/>
        <v>mixedProduct</v>
      </c>
      <c r="DK1096">
        <f t="shared" si="1453"/>
        <v>0</v>
      </c>
      <c r="DL1096">
        <f t="shared" si="1454"/>
        <v>0</v>
      </c>
      <c r="DM1096" t="str">
        <f t="shared" si="1455"/>
        <v>Pulp/Paper</v>
      </c>
      <c r="DN1096" t="str">
        <f t="shared" si="1456"/>
        <v>Timber</v>
      </c>
      <c r="DO1096">
        <v>0</v>
      </c>
      <c r="DP1096">
        <v>0</v>
      </c>
      <c r="DQ1096">
        <v>0</v>
      </c>
      <c r="DR1096">
        <v>0</v>
      </c>
      <c r="DS1096">
        <v>0</v>
      </c>
      <c r="DT1096"/>
      <c r="DU1096" s="143" t="str">
        <f t="shared" si="1457"/>
        <v>explicit C balance</v>
      </c>
      <c r="DV1096">
        <v>0</v>
      </c>
      <c r="DW1096">
        <v>0</v>
      </c>
      <c r="DX1096">
        <v>0</v>
      </c>
      <c r="DY1096">
        <v>1</v>
      </c>
      <c r="DZ1096">
        <v>1</v>
      </c>
      <c r="EA1096">
        <v>0</v>
      </c>
      <c r="EB1096">
        <v>0</v>
      </c>
      <c r="EC1096">
        <v>0</v>
      </c>
      <c r="ED1096">
        <v>0</v>
      </c>
      <c r="EE1096">
        <v>0</v>
      </c>
      <c r="EF1096">
        <v>1</v>
      </c>
      <c r="EG1096">
        <v>0</v>
      </c>
      <c r="EH1096">
        <v>0</v>
      </c>
      <c r="EI1096" s="2">
        <v>0</v>
      </c>
      <c r="EK1096" t="str">
        <f t="shared" si="1458"/>
        <v/>
      </c>
      <c r="EL1096" t="str">
        <f t="shared" si="1459"/>
        <v/>
      </c>
      <c r="EM1096" s="2" t="str">
        <f t="shared" si="1424"/>
        <v/>
      </c>
      <c r="EP1096" t="str">
        <f>IF(ISNUMBER(BU1096),IF(ABS(BU1096-[5]QC_indicators!$B$2)&gt;3*[5]QC_indicators!$C$2,"C ratio",IF(ISNUMBER(BY1096),IF(ABS(BY1096-[5]QC_indicators!$B$1)&gt;3*[5]QC_indicators!$C$1,"DF","no"))),IF(ISNUMBER(BY1096),IF(ABS(BY1096-[5]QC_indicators!$B$1)&gt;3*[5]QC_indicators!$C$1,"DF","no")))</f>
        <v>no</v>
      </c>
      <c r="ET1096" s="264" t="s">
        <v>3272</v>
      </c>
    </row>
    <row r="1097" spans="1:150" hidden="1">
      <c r="A1097" s="1" t="s">
        <v>656</v>
      </c>
      <c r="B1097" t="s">
        <v>2079</v>
      </c>
      <c r="C1097" t="s">
        <v>2080</v>
      </c>
      <c r="D1097" t="s">
        <v>2081</v>
      </c>
      <c r="E1097" t="s">
        <v>2082</v>
      </c>
      <c r="F1097" t="s">
        <v>2083</v>
      </c>
      <c r="G1097" t="s">
        <v>662</v>
      </c>
      <c r="H1097" t="s">
        <v>254</v>
      </c>
      <c r="I1097">
        <v>2020</v>
      </c>
      <c r="J1097">
        <v>4</v>
      </c>
      <c r="K1097" t="s">
        <v>2084</v>
      </c>
      <c r="M1097" t="str">
        <f t="shared" si="1430"/>
        <v>Palus_2020</v>
      </c>
      <c r="N1097" t="s">
        <v>222</v>
      </c>
      <c r="O1097" s="157" t="s">
        <v>513</v>
      </c>
      <c r="P1097" t="s">
        <v>223</v>
      </c>
      <c r="Q1097" t="s">
        <v>389</v>
      </c>
      <c r="R1097" s="255" t="s">
        <v>225</v>
      </c>
      <c r="T1097" t="s">
        <v>1200</v>
      </c>
      <c r="U1097" t="s">
        <v>1199</v>
      </c>
      <c r="V1097">
        <v>0</v>
      </c>
      <c r="W1097">
        <v>0</v>
      </c>
      <c r="X1097">
        <v>0</v>
      </c>
      <c r="Y1097">
        <v>0</v>
      </c>
      <c r="Z1097">
        <v>0</v>
      </c>
      <c r="AA1097">
        <v>0</v>
      </c>
      <c r="AB1097">
        <v>0</v>
      </c>
      <c r="AC1097">
        <v>0</v>
      </c>
      <c r="AD1097">
        <v>0</v>
      </c>
      <c r="AE1097">
        <v>0</v>
      </c>
      <c r="AF1097">
        <v>1</v>
      </c>
      <c r="AG1097">
        <v>0</v>
      </c>
      <c r="AH1097">
        <v>0</v>
      </c>
      <c r="AI1097">
        <v>0</v>
      </c>
      <c r="AJ1097">
        <v>0</v>
      </c>
      <c r="AK1097">
        <v>0</v>
      </c>
      <c r="AL1097">
        <v>0</v>
      </c>
      <c r="AM1097">
        <v>0</v>
      </c>
      <c r="AN1097">
        <v>0</v>
      </c>
      <c r="AO1097">
        <v>0</v>
      </c>
      <c r="AP1097">
        <v>0</v>
      </c>
      <c r="AQ1097">
        <v>0</v>
      </c>
      <c r="AR1097">
        <v>0</v>
      </c>
      <c r="AS1097">
        <v>1</v>
      </c>
      <c r="AT1097">
        <v>0</v>
      </c>
      <c r="AU1097">
        <v>0</v>
      </c>
      <c r="AV1097">
        <v>0</v>
      </c>
      <c r="AW1097">
        <v>0</v>
      </c>
      <c r="AX1097" s="141">
        <f t="shared" si="1431"/>
        <v>2</v>
      </c>
      <c r="AY1097" s="141">
        <f t="shared" si="1432"/>
        <v>1</v>
      </c>
      <c r="AZ1097">
        <f t="shared" si="1433"/>
        <v>0</v>
      </c>
      <c r="BA1097">
        <f t="shared" si="1434"/>
        <v>1</v>
      </c>
      <c r="BB1097">
        <f t="shared" si="1435"/>
        <v>0</v>
      </c>
      <c r="BC1097">
        <f t="shared" si="1436"/>
        <v>1</v>
      </c>
      <c r="BD1097">
        <f t="shared" si="1437"/>
        <v>0</v>
      </c>
      <c r="BE1097" t="str">
        <f t="array" ref="BE1097">IF(AY1097=1,INDEX($V$7:$AL$7,MATCH(TRUE,INDEX($V1097:$AW1097&lt;&gt;0,),0)),IF(AY1097=0,INDEX($AM$7:$AW$7,MATCH(1,$AM1097:$AW1097,0)),IF(BF1097="Multiple strategies","mixed drivers",IF(BF1097="Supply chain","multiple supply","multiple silviculture"))))</f>
        <v>supply chain organization</v>
      </c>
      <c r="BF1097" s="2" t="str" cm="1">
        <f t="array" ref="BF1097">IF(COUNTIF(AZ1097:BB1097,"&lt;&gt;0")=1,INDEX($V$4:$AW$4,MATCH(TRUE,INDEX($V1097:$AW1097&lt;&gt;0,),0)),IF(COUNTIF(AZ1097:BB1097,"&lt;&gt;0")=0,INDEX($AM$4:$AW$4,MATCH(1,$AM1097:$AW1097,0)),"Multiple strategies"))</f>
        <v>Supply chain</v>
      </c>
      <c r="BG1097" s="1" t="s">
        <v>321</v>
      </c>
      <c r="BH1097" t="s">
        <v>832</v>
      </c>
      <c r="BI1097" t="s">
        <v>699</v>
      </c>
      <c r="BJ1097" t="s">
        <v>2085</v>
      </c>
      <c r="BK1097">
        <v>7771.2</v>
      </c>
      <c r="BL1097">
        <v>8988.9</v>
      </c>
      <c r="BM1097">
        <f t="shared" si="1438"/>
        <v>1.1566939468807906</v>
      </c>
      <c r="BN1097">
        <f t="shared" si="1439"/>
        <v>1217.6999999999998</v>
      </c>
      <c r="BO1097">
        <f t="shared" si="1460"/>
        <v>1217699.9999999998</v>
      </c>
      <c r="BP1097" t="s">
        <v>395</v>
      </c>
      <c r="BQ1097" s="260" t="s">
        <v>3388</v>
      </c>
      <c r="BR1097" t="s">
        <v>2086</v>
      </c>
      <c r="BS1097">
        <v>-547.41</v>
      </c>
      <c r="BT1097">
        <v>-1154.32</v>
      </c>
      <c r="BU1097" s="144"/>
      <c r="BV1097">
        <f t="shared" si="1461"/>
        <v>-606.91</v>
      </c>
      <c r="BX1097">
        <f t="shared" si="1462"/>
        <v>-606910</v>
      </c>
      <c r="BY1097">
        <f t="shared" si="1419"/>
        <v>-0.49840683255317414</v>
      </c>
      <c r="BZ1097">
        <v>0</v>
      </c>
      <c r="CA1097">
        <v>0</v>
      </c>
      <c r="CB1097">
        <v>0</v>
      </c>
      <c r="CC1097">
        <v>0</v>
      </c>
      <c r="CD1097">
        <v>0</v>
      </c>
      <c r="CE1097">
        <v>0</v>
      </c>
      <c r="CF1097">
        <v>0</v>
      </c>
      <c r="CG1097">
        <v>0</v>
      </c>
      <c r="CH1097">
        <v>0</v>
      </c>
      <c r="CI1097">
        <v>0</v>
      </c>
      <c r="CJ1097">
        <v>0</v>
      </c>
      <c r="CK1097">
        <v>0</v>
      </c>
      <c r="CL1097">
        <v>0</v>
      </c>
      <c r="CM1097">
        <v>0</v>
      </c>
      <c r="CN1097" t="str">
        <f t="shared" si="1440"/>
        <v>refOK</v>
      </c>
      <c r="CO1097">
        <f t="shared" si="1441"/>
        <v>7771.2</v>
      </c>
      <c r="CP1097">
        <f t="shared" si="1442"/>
        <v>8988.9</v>
      </c>
      <c r="CQ1097">
        <f t="shared" si="1443"/>
        <v>1217699.9999999998</v>
      </c>
      <c r="CR1097">
        <f t="shared" si="1444"/>
        <v>547.41</v>
      </c>
      <c r="CS1097">
        <f t="shared" si="1445"/>
        <v>1154.32</v>
      </c>
      <c r="CT1097">
        <f t="shared" si="1446"/>
        <v>606910</v>
      </c>
      <c r="CU1097">
        <f t="shared" si="1447"/>
        <v>0.49840683255317414</v>
      </c>
      <c r="CV1097" s="2">
        <f t="shared" si="1448"/>
        <v>1.1086936665387919</v>
      </c>
      <c r="CW1097" s="1" t="s">
        <v>1202</v>
      </c>
      <c r="CX1097" t="str">
        <f t="shared" si="1449"/>
        <v>reg</v>
      </c>
      <c r="CY1097" t="s">
        <v>2087</v>
      </c>
      <c r="CZ1097">
        <v>2017</v>
      </c>
      <c r="DA1097">
        <v>2035</v>
      </c>
      <c r="DB1097">
        <f t="shared" si="1463"/>
        <v>18</v>
      </c>
      <c r="DC1097" t="str">
        <f t="shared" si="1450"/>
        <v>1-30</v>
      </c>
      <c r="DD1097">
        <v>0</v>
      </c>
      <c r="DE1097">
        <v>0</v>
      </c>
      <c r="DF1097">
        <v>1</v>
      </c>
      <c r="DG1097">
        <v>1</v>
      </c>
      <c r="DH1097">
        <v>0</v>
      </c>
      <c r="DI1097">
        <f t="shared" si="1451"/>
        <v>2</v>
      </c>
      <c r="DJ1097" t="str">
        <f t="shared" si="1452"/>
        <v>mixedProduct</v>
      </c>
      <c r="DK1097">
        <f t="shared" si="1453"/>
        <v>0</v>
      </c>
      <c r="DL1097">
        <f t="shared" si="1454"/>
        <v>0</v>
      </c>
      <c r="DM1097" t="str">
        <f t="shared" si="1455"/>
        <v>Pulp/Paper</v>
      </c>
      <c r="DN1097" t="str">
        <f t="shared" si="1456"/>
        <v>Timber</v>
      </c>
      <c r="DO1097">
        <v>0</v>
      </c>
      <c r="DP1097">
        <v>0</v>
      </c>
      <c r="DQ1097">
        <v>0</v>
      </c>
      <c r="DR1097">
        <v>0</v>
      </c>
      <c r="DS1097">
        <v>0</v>
      </c>
      <c r="DT1097"/>
      <c r="DU1097" s="143" t="str">
        <f t="shared" si="1457"/>
        <v>explicit C balance</v>
      </c>
      <c r="DV1097">
        <v>0</v>
      </c>
      <c r="DW1097">
        <v>0</v>
      </c>
      <c r="DX1097">
        <v>0</v>
      </c>
      <c r="DY1097">
        <v>1</v>
      </c>
      <c r="DZ1097">
        <v>1</v>
      </c>
      <c r="EA1097">
        <v>0</v>
      </c>
      <c r="EB1097">
        <v>0</v>
      </c>
      <c r="EC1097">
        <v>0</v>
      </c>
      <c r="ED1097">
        <v>0</v>
      </c>
      <c r="EE1097">
        <v>0</v>
      </c>
      <c r="EF1097">
        <v>1</v>
      </c>
      <c r="EG1097">
        <v>0</v>
      </c>
      <c r="EH1097">
        <v>0</v>
      </c>
      <c r="EI1097" s="2">
        <v>0</v>
      </c>
      <c r="EK1097" t="str">
        <f t="shared" si="1458"/>
        <v/>
      </c>
      <c r="EL1097" t="str">
        <f t="shared" si="1459"/>
        <v/>
      </c>
      <c r="EM1097" s="2" t="str">
        <f t="shared" si="1424"/>
        <v/>
      </c>
      <c r="EP1097" t="str">
        <f>IF(ISNUMBER(BU1097),IF(ABS(BU1097-[5]QC_indicators!$B$2)&gt;3*[5]QC_indicators!$C$2,"C ratio",IF(ISNUMBER(BY1097),IF(ABS(BY1097-[5]QC_indicators!$B$1)&gt;3*[5]QC_indicators!$C$1,"DF","no"))),IF(ISNUMBER(BY1097),IF(ABS(BY1097-[5]QC_indicators!$B$1)&gt;3*[5]QC_indicators!$C$1,"DF","no")))</f>
        <v>no</v>
      </c>
      <c r="ET1097" s="264" t="s">
        <v>3272</v>
      </c>
    </row>
    <row r="1098" spans="1:150" hidden="1">
      <c r="A1098" s="1" t="s">
        <v>656</v>
      </c>
      <c r="B1098" t="s">
        <v>2079</v>
      </c>
      <c r="C1098" t="s">
        <v>2080</v>
      </c>
      <c r="D1098" t="s">
        <v>2081</v>
      </c>
      <c r="E1098" t="s">
        <v>2082</v>
      </c>
      <c r="F1098" t="s">
        <v>2083</v>
      </c>
      <c r="G1098" t="s">
        <v>662</v>
      </c>
      <c r="H1098" t="s">
        <v>254</v>
      </c>
      <c r="I1098">
        <v>2020</v>
      </c>
      <c r="J1098">
        <v>4</v>
      </c>
      <c r="K1098" t="s">
        <v>2084</v>
      </c>
      <c r="M1098" t="str">
        <f t="shared" si="1430"/>
        <v>Palus_2020</v>
      </c>
      <c r="N1098" t="s">
        <v>222</v>
      </c>
      <c r="O1098" s="157" t="s">
        <v>513</v>
      </c>
      <c r="P1098" t="s">
        <v>223</v>
      </c>
      <c r="Q1098" t="s">
        <v>389</v>
      </c>
      <c r="R1098" s="255" t="s">
        <v>225</v>
      </c>
      <c r="T1098" t="s">
        <v>1182</v>
      </c>
      <c r="U1098" t="s">
        <v>1200</v>
      </c>
      <c r="V1098">
        <v>0</v>
      </c>
      <c r="W1098">
        <v>0</v>
      </c>
      <c r="X1098">
        <v>0</v>
      </c>
      <c r="Y1098">
        <v>0</v>
      </c>
      <c r="Z1098">
        <v>0</v>
      </c>
      <c r="AA1098">
        <v>0</v>
      </c>
      <c r="AB1098">
        <v>0</v>
      </c>
      <c r="AC1098">
        <v>0</v>
      </c>
      <c r="AD1098">
        <v>0</v>
      </c>
      <c r="AE1098">
        <v>0</v>
      </c>
      <c r="AF1098">
        <v>1</v>
      </c>
      <c r="AG1098">
        <v>0</v>
      </c>
      <c r="AH1098">
        <v>0</v>
      </c>
      <c r="AI1098">
        <v>0</v>
      </c>
      <c r="AJ1098">
        <v>0</v>
      </c>
      <c r="AK1098">
        <v>0</v>
      </c>
      <c r="AL1098">
        <v>0</v>
      </c>
      <c r="AM1098">
        <v>0</v>
      </c>
      <c r="AN1098">
        <v>0</v>
      </c>
      <c r="AO1098">
        <v>0</v>
      </c>
      <c r="AP1098">
        <v>0</v>
      </c>
      <c r="AQ1098">
        <v>0</v>
      </c>
      <c r="AR1098">
        <v>0</v>
      </c>
      <c r="AS1098">
        <v>1</v>
      </c>
      <c r="AT1098">
        <v>0</v>
      </c>
      <c r="AU1098">
        <v>0</v>
      </c>
      <c r="AV1098">
        <v>0</v>
      </c>
      <c r="AW1098">
        <v>0</v>
      </c>
      <c r="AX1098" s="141">
        <f t="shared" si="1431"/>
        <v>2</v>
      </c>
      <c r="AY1098" s="141">
        <f t="shared" si="1432"/>
        <v>1</v>
      </c>
      <c r="AZ1098">
        <f t="shared" si="1433"/>
        <v>0</v>
      </c>
      <c r="BA1098">
        <f t="shared" si="1434"/>
        <v>1</v>
      </c>
      <c r="BB1098">
        <f t="shared" si="1435"/>
        <v>0</v>
      </c>
      <c r="BC1098">
        <f t="shared" si="1436"/>
        <v>1</v>
      </c>
      <c r="BD1098">
        <f t="shared" si="1437"/>
        <v>0</v>
      </c>
      <c r="BE1098" t="str">
        <f t="array" ref="BE1098">IF(AY1098=1,INDEX($V$7:$AL$7,MATCH(TRUE,INDEX($V1098:$AW1098&lt;&gt;0,),0)),IF(AY1098=0,INDEX($AM$7:$AW$7,MATCH(1,$AM1098:$AW1098,0)),IF(BF1098="Multiple strategies","mixed drivers",IF(BF1098="Supply chain","multiple supply","multiple silviculture"))))</f>
        <v>supply chain organization</v>
      </c>
      <c r="BF1098" s="2" t="str" cm="1">
        <f t="array" ref="BF1098">IF(COUNTIF(AZ1098:BB1098,"&lt;&gt;0")=1,INDEX($V$4:$AW$4,MATCH(TRUE,INDEX($V1098:$AW1098&lt;&gt;0,),0)),IF(COUNTIF(AZ1098:BB1098,"&lt;&gt;0")=0,INDEX($AM$4:$AW$4,MATCH(1,$AM1098:$AW1098,0)),"Multiple strategies"))</f>
        <v>Supply chain</v>
      </c>
      <c r="BG1098" s="1" t="s">
        <v>321</v>
      </c>
      <c r="BH1098" t="s">
        <v>832</v>
      </c>
      <c r="BI1098" t="s">
        <v>699</v>
      </c>
      <c r="BJ1098" t="s">
        <v>2085</v>
      </c>
      <c r="BK1098">
        <v>7579.5</v>
      </c>
      <c r="BL1098">
        <v>7771.2</v>
      </c>
      <c r="BM1098">
        <f>IFERROR(BK1098/BL1098,"")</f>
        <v>0.97533199505867818</v>
      </c>
      <c r="BN1098" s="260">
        <f t="shared" si="1439"/>
        <v>191.69999999999982</v>
      </c>
      <c r="BO1098" s="260">
        <f t="shared" si="1460"/>
        <v>191699.99999999983</v>
      </c>
      <c r="BP1098" t="s">
        <v>395</v>
      </c>
      <c r="BQ1098" s="260" t="s">
        <v>3388</v>
      </c>
      <c r="BR1098" t="s">
        <v>2086</v>
      </c>
      <c r="BS1098">
        <v>-1153.1500000000001</v>
      </c>
      <c r="BT1098">
        <v>-547.41</v>
      </c>
      <c r="BV1098">
        <f t="shared" si="1461"/>
        <v>605.74000000000012</v>
      </c>
      <c r="BX1098">
        <f t="shared" si="1462"/>
        <v>605740.00000000012</v>
      </c>
      <c r="BY1098">
        <f t="shared" si="1419"/>
        <v>3.1598330725091324</v>
      </c>
      <c r="BZ1098">
        <v>0</v>
      </c>
      <c r="CA1098">
        <v>0</v>
      </c>
      <c r="CB1098">
        <v>0</v>
      </c>
      <c r="CC1098">
        <v>0</v>
      </c>
      <c r="CD1098">
        <v>0</v>
      </c>
      <c r="CE1098">
        <v>0</v>
      </c>
      <c r="CF1098">
        <v>0</v>
      </c>
      <c r="CG1098">
        <v>0</v>
      </c>
      <c r="CH1098">
        <v>0</v>
      </c>
      <c r="CI1098">
        <v>0</v>
      </c>
      <c r="CJ1098">
        <v>0</v>
      </c>
      <c r="CK1098">
        <v>0</v>
      </c>
      <c r="CL1098">
        <v>0</v>
      </c>
      <c r="CM1098">
        <v>0</v>
      </c>
      <c r="CN1098" t="str">
        <f t="shared" si="1440"/>
        <v>refOK</v>
      </c>
      <c r="CO1098">
        <f>IF($CN1098="refOK",$BL1098,$BK1098)</f>
        <v>7771.2</v>
      </c>
      <c r="CP1098">
        <f>IF($CN1098="refOK",$BK1098,$BL1098)</f>
        <v>7579.5</v>
      </c>
      <c r="CQ1098">
        <f t="shared" si="1443"/>
        <v>191699.99999999983</v>
      </c>
      <c r="CR1098">
        <f>IF($CN1098="refOK",$BU1098,$BT1098)*IF($BP1098="Emissions positive",-1,1)</f>
        <v>0</v>
      </c>
      <c r="CS1098">
        <f>IF($CN1098="refOK",$BT1098,$BU1098)*IF($BP1098="Emissions positive",-1,1)</f>
        <v>547.41</v>
      </c>
      <c r="CT1098">
        <f t="shared" si="1446"/>
        <v>-605740.00000000012</v>
      </c>
      <c r="CU1098">
        <f t="shared" si="1447"/>
        <v>-3.1598330725091324</v>
      </c>
      <c r="CV1098" s="2" t="str">
        <f t="shared" si="1448"/>
        <v/>
      </c>
      <c r="CW1098" s="1" t="s">
        <v>1202</v>
      </c>
      <c r="CX1098" t="str">
        <f t="shared" si="1449"/>
        <v>reg</v>
      </c>
      <c r="CY1098" t="s">
        <v>2087</v>
      </c>
      <c r="CZ1098">
        <v>2017</v>
      </c>
      <c r="DA1098">
        <v>2035</v>
      </c>
      <c r="DB1098">
        <f t="shared" si="1463"/>
        <v>18</v>
      </c>
      <c r="DC1098" t="str">
        <f t="shared" si="1450"/>
        <v>1-30</v>
      </c>
      <c r="DD1098">
        <v>0</v>
      </c>
      <c r="DE1098">
        <v>0</v>
      </c>
      <c r="DF1098">
        <v>1</v>
      </c>
      <c r="DG1098">
        <v>1</v>
      </c>
      <c r="DH1098">
        <v>0</v>
      </c>
      <c r="DI1098">
        <f t="shared" si="1451"/>
        <v>2</v>
      </c>
      <c r="DJ1098" t="str">
        <f t="shared" si="1452"/>
        <v>mixedProduct</v>
      </c>
      <c r="DK1098">
        <f t="shared" si="1453"/>
        <v>0</v>
      </c>
      <c r="DL1098">
        <f t="shared" si="1454"/>
        <v>0</v>
      </c>
      <c r="DM1098" t="str">
        <f t="shared" si="1455"/>
        <v>Pulp/Paper</v>
      </c>
      <c r="DN1098" t="str">
        <f t="shared" si="1456"/>
        <v>Timber</v>
      </c>
      <c r="DO1098">
        <v>0</v>
      </c>
      <c r="DP1098">
        <v>0</v>
      </c>
      <c r="DQ1098">
        <v>0</v>
      </c>
      <c r="DR1098">
        <v>0</v>
      </c>
      <c r="DS1098">
        <v>0</v>
      </c>
      <c r="DT1098"/>
      <c r="DU1098" s="143" t="str">
        <f t="shared" si="1457"/>
        <v>explicit C balance</v>
      </c>
      <c r="DV1098">
        <v>0</v>
      </c>
      <c r="DW1098">
        <v>0</v>
      </c>
      <c r="DX1098">
        <v>0</v>
      </c>
      <c r="DY1098">
        <v>1</v>
      </c>
      <c r="DZ1098">
        <v>1</v>
      </c>
      <c r="EA1098">
        <v>0</v>
      </c>
      <c r="EB1098">
        <v>0</v>
      </c>
      <c r="EC1098">
        <v>0</v>
      </c>
      <c r="ED1098">
        <v>0</v>
      </c>
      <c r="EE1098">
        <v>0</v>
      </c>
      <c r="EF1098">
        <v>1</v>
      </c>
      <c r="EG1098">
        <v>0</v>
      </c>
      <c r="EH1098">
        <v>0</v>
      </c>
      <c r="EI1098" s="2">
        <v>0</v>
      </c>
      <c r="EK1098" t="str">
        <f t="shared" si="1458"/>
        <v/>
      </c>
      <c r="EL1098" t="str">
        <f t="shared" si="1459"/>
        <v/>
      </c>
      <c r="EM1098" s="2" t="str">
        <f t="shared" si="1424"/>
        <v/>
      </c>
      <c r="EP1098" t="str">
        <f>IF(ISNUMBER(BU1098),IF(ABS(BU1098-[5]QC_indicators!$B$2)&gt;3*[5]QC_indicators!$C$2,"C ratio",IF(ISNUMBER(BY1098),IF(ABS(BY1098-[5]QC_indicators!$B$1)&gt;3*[5]QC_indicators!$C$1,"DF","no"))),IF(ISNUMBER(BY1098),IF(ABS(BY1098-[5]QC_indicators!$B$1)&gt;3*[5]QC_indicators!$C$1,"DF","no")))</f>
        <v>no</v>
      </c>
      <c r="ET1098" s="264" t="s">
        <v>3272</v>
      </c>
    </row>
    <row r="1099" spans="1:150" hidden="1">
      <c r="A1099" s="1" t="s">
        <v>656</v>
      </c>
      <c r="B1099" t="s">
        <v>2079</v>
      </c>
      <c r="C1099" t="s">
        <v>2080</v>
      </c>
      <c r="D1099" t="s">
        <v>2081</v>
      </c>
      <c r="E1099" t="s">
        <v>2082</v>
      </c>
      <c r="F1099" t="s">
        <v>2083</v>
      </c>
      <c r="G1099" t="s">
        <v>662</v>
      </c>
      <c r="H1099" t="s">
        <v>254</v>
      </c>
      <c r="I1099">
        <v>2020</v>
      </c>
      <c r="J1099">
        <v>4</v>
      </c>
      <c r="K1099" t="s">
        <v>2084</v>
      </c>
      <c r="M1099" t="str">
        <f t="shared" si="1430"/>
        <v>Palus_2020</v>
      </c>
      <c r="N1099" t="s">
        <v>222</v>
      </c>
      <c r="O1099" s="157" t="s">
        <v>513</v>
      </c>
      <c r="P1099" t="s">
        <v>223</v>
      </c>
      <c r="Q1099" t="s">
        <v>389</v>
      </c>
      <c r="R1099" s="255" t="s">
        <v>225</v>
      </c>
      <c r="T1099" t="s">
        <v>1182</v>
      </c>
      <c r="U1099" t="s">
        <v>1200</v>
      </c>
      <c r="V1099">
        <v>0</v>
      </c>
      <c r="W1099">
        <v>0</v>
      </c>
      <c r="X1099">
        <v>0</v>
      </c>
      <c r="Y1099">
        <v>0</v>
      </c>
      <c r="Z1099">
        <v>0</v>
      </c>
      <c r="AA1099">
        <v>0</v>
      </c>
      <c r="AB1099">
        <v>0</v>
      </c>
      <c r="AC1099">
        <v>0</v>
      </c>
      <c r="AD1099">
        <v>0</v>
      </c>
      <c r="AE1099">
        <v>0</v>
      </c>
      <c r="AF1099">
        <v>1</v>
      </c>
      <c r="AG1099">
        <v>0</v>
      </c>
      <c r="AH1099">
        <v>0</v>
      </c>
      <c r="AI1099">
        <v>0</v>
      </c>
      <c r="AJ1099">
        <v>0</v>
      </c>
      <c r="AK1099">
        <v>0</v>
      </c>
      <c r="AL1099">
        <v>0</v>
      </c>
      <c r="AM1099">
        <v>0</v>
      </c>
      <c r="AN1099">
        <v>0</v>
      </c>
      <c r="AO1099">
        <v>0</v>
      </c>
      <c r="AP1099">
        <v>0</v>
      </c>
      <c r="AQ1099">
        <v>0</v>
      </c>
      <c r="AR1099">
        <v>0</v>
      </c>
      <c r="AS1099">
        <v>1</v>
      </c>
      <c r="AT1099">
        <v>0</v>
      </c>
      <c r="AU1099">
        <v>0</v>
      </c>
      <c r="AV1099">
        <v>0</v>
      </c>
      <c r="AW1099">
        <v>0</v>
      </c>
      <c r="AX1099" s="141">
        <f t="shared" si="1431"/>
        <v>2</v>
      </c>
      <c r="AY1099" s="141">
        <f t="shared" si="1432"/>
        <v>1</v>
      </c>
      <c r="AZ1099">
        <f t="shared" si="1433"/>
        <v>0</v>
      </c>
      <c r="BA1099">
        <f t="shared" si="1434"/>
        <v>1</v>
      </c>
      <c r="BB1099">
        <f t="shared" si="1435"/>
        <v>0</v>
      </c>
      <c r="BC1099">
        <f t="shared" si="1436"/>
        <v>1</v>
      </c>
      <c r="BD1099">
        <f t="shared" si="1437"/>
        <v>0</v>
      </c>
      <c r="BE1099" t="str">
        <f t="array" ref="BE1099">IF(AY1099=1,INDEX($V$7:$AL$7,MATCH(TRUE,INDEX($V1099:$AW1099&lt;&gt;0,),0)),IF(AY1099=0,INDEX($AM$7:$AW$7,MATCH(1,$AM1099:$AW1099,0)),IF(BF1099="Multiple strategies","mixed drivers",IF(BF1099="Supply chain","multiple supply","multiple silviculture"))))</f>
        <v>supply chain organization</v>
      </c>
      <c r="BF1099" s="2" t="str" cm="1">
        <f t="array" ref="BF1099">IF(COUNTIF(AZ1099:BB1099,"&lt;&gt;0")=1,INDEX($V$4:$AW$4,MATCH(TRUE,INDEX($V1099:$AW1099&lt;&gt;0,),0)),IF(COUNTIF(AZ1099:BB1099,"&lt;&gt;0")=0,INDEX($AM$4:$AW$4,MATCH(1,$AM1099:$AW1099,0)),"Multiple strategies"))</f>
        <v>Supply chain</v>
      </c>
      <c r="BG1099" s="1" t="s">
        <v>321</v>
      </c>
      <c r="BH1099" t="s">
        <v>832</v>
      </c>
      <c r="BI1099" t="s">
        <v>699</v>
      </c>
      <c r="BJ1099" t="s">
        <v>2085</v>
      </c>
      <c r="BK1099">
        <v>7856.3</v>
      </c>
      <c r="BL1099">
        <v>8091.4</v>
      </c>
      <c r="BM1099">
        <f>IFERROR(BK1099/BL1099,"")</f>
        <v>0.97094445954964537</v>
      </c>
      <c r="BN1099" s="260">
        <f t="shared" si="1439"/>
        <v>235.09999999999945</v>
      </c>
      <c r="BO1099" s="260">
        <f t="shared" si="1460"/>
        <v>235099.99999999945</v>
      </c>
      <c r="BP1099" t="s">
        <v>395</v>
      </c>
      <c r="BQ1099" s="260" t="s">
        <v>3388</v>
      </c>
      <c r="BR1099" t="s">
        <v>2086</v>
      </c>
      <c r="BS1099">
        <v>-2445.48</v>
      </c>
      <c r="BT1099">
        <v>-1535.25</v>
      </c>
      <c r="BV1099">
        <f t="shared" si="1461"/>
        <v>910.23</v>
      </c>
      <c r="BX1099">
        <f t="shared" si="1462"/>
        <v>910230</v>
      </c>
      <c r="BY1099">
        <f t="shared" si="1419"/>
        <v>3.8716716290940116</v>
      </c>
      <c r="BZ1099">
        <v>0</v>
      </c>
      <c r="CA1099">
        <v>0</v>
      </c>
      <c r="CB1099">
        <v>0</v>
      </c>
      <c r="CC1099">
        <v>0</v>
      </c>
      <c r="CD1099">
        <v>0</v>
      </c>
      <c r="CE1099">
        <v>0</v>
      </c>
      <c r="CF1099">
        <v>0</v>
      </c>
      <c r="CG1099">
        <v>0</v>
      </c>
      <c r="CH1099">
        <v>0</v>
      </c>
      <c r="CI1099">
        <v>0</v>
      </c>
      <c r="CJ1099">
        <v>0</v>
      </c>
      <c r="CK1099">
        <v>0</v>
      </c>
      <c r="CL1099">
        <v>0</v>
      </c>
      <c r="CM1099">
        <v>0</v>
      </c>
      <c r="CN1099" t="str">
        <f t="shared" si="1440"/>
        <v>refOK</v>
      </c>
      <c r="CO1099">
        <f>IF($CN1099="refOK",$BL1099,$BK1099)</f>
        <v>8091.4</v>
      </c>
      <c r="CP1099">
        <f>IF($CN1099="refOK",$BK1099,$BL1099)</f>
        <v>7856.3</v>
      </c>
      <c r="CQ1099">
        <f t="shared" si="1443"/>
        <v>235099.99999999945</v>
      </c>
      <c r="CR1099">
        <f>IF($CN1099="refOK",$BU1099,$BT1099)*IF($BP1099="Emissions positive",-1,1)</f>
        <v>0</v>
      </c>
      <c r="CS1099">
        <f>IF($CN1099="refOK",$BT1099,$BU1099)*IF($BP1099="Emissions positive",-1,1)</f>
        <v>1535.25</v>
      </c>
      <c r="CT1099">
        <f t="shared" si="1446"/>
        <v>-910230</v>
      </c>
      <c r="CU1099">
        <f t="shared" si="1447"/>
        <v>-3.8716716290940116</v>
      </c>
      <c r="CV1099" s="2" t="str">
        <f t="shared" si="1448"/>
        <v/>
      </c>
      <c r="CW1099" s="1" t="s">
        <v>1202</v>
      </c>
      <c r="CX1099" t="str">
        <f t="shared" si="1449"/>
        <v>reg</v>
      </c>
      <c r="CY1099" t="s">
        <v>2087</v>
      </c>
      <c r="CZ1099">
        <v>2017</v>
      </c>
      <c r="DA1099">
        <v>2017</v>
      </c>
      <c r="DB1099">
        <f t="shared" si="1463"/>
        <v>0</v>
      </c>
      <c r="DC1099" t="str">
        <f t="shared" si="1450"/>
        <v>0</v>
      </c>
      <c r="DD1099">
        <v>0</v>
      </c>
      <c r="DE1099">
        <v>0</v>
      </c>
      <c r="DF1099">
        <v>1</v>
      </c>
      <c r="DG1099">
        <v>1</v>
      </c>
      <c r="DH1099">
        <v>0</v>
      </c>
      <c r="DI1099">
        <f t="shared" si="1451"/>
        <v>2</v>
      </c>
      <c r="DJ1099" t="str">
        <f t="shared" si="1452"/>
        <v>mixedProduct</v>
      </c>
      <c r="DK1099">
        <f t="shared" si="1453"/>
        <v>0</v>
      </c>
      <c r="DL1099">
        <f t="shared" si="1454"/>
        <v>0</v>
      </c>
      <c r="DM1099" t="str">
        <f t="shared" si="1455"/>
        <v>Pulp/Paper</v>
      </c>
      <c r="DN1099" t="str">
        <f t="shared" si="1456"/>
        <v>Timber</v>
      </c>
      <c r="DO1099">
        <v>0</v>
      </c>
      <c r="DP1099">
        <v>0</v>
      </c>
      <c r="DQ1099">
        <v>0</v>
      </c>
      <c r="DR1099">
        <v>0</v>
      </c>
      <c r="DS1099">
        <v>0</v>
      </c>
      <c r="DT1099"/>
      <c r="DU1099" s="143" t="str">
        <f t="shared" si="1457"/>
        <v>explicit C balance</v>
      </c>
      <c r="DV1099">
        <v>0</v>
      </c>
      <c r="DW1099">
        <v>0</v>
      </c>
      <c r="DX1099">
        <v>0</v>
      </c>
      <c r="DY1099">
        <v>1</v>
      </c>
      <c r="DZ1099">
        <v>1</v>
      </c>
      <c r="EA1099">
        <v>0</v>
      </c>
      <c r="EB1099">
        <v>0</v>
      </c>
      <c r="EC1099">
        <v>0</v>
      </c>
      <c r="ED1099">
        <v>0</v>
      </c>
      <c r="EE1099">
        <v>0</v>
      </c>
      <c r="EF1099">
        <v>1</v>
      </c>
      <c r="EG1099">
        <v>0</v>
      </c>
      <c r="EH1099">
        <v>0</v>
      </c>
      <c r="EI1099" s="2">
        <v>0</v>
      </c>
      <c r="EK1099" t="str">
        <f t="shared" si="1458"/>
        <v/>
      </c>
      <c r="EL1099" t="str">
        <f t="shared" si="1459"/>
        <v/>
      </c>
      <c r="EM1099" s="2" t="str">
        <f t="shared" si="1424"/>
        <v/>
      </c>
      <c r="EP1099" t="str">
        <f>IF(ISNUMBER(BU1099),IF(ABS(BU1099-[5]QC_indicators!$B$2)&gt;3*[5]QC_indicators!$C$2,"C ratio",IF(ISNUMBER(BY1099),IF(ABS(BY1099-[5]QC_indicators!$B$1)&gt;3*[5]QC_indicators!$C$1,"DF","no"))),IF(ISNUMBER(BY1099),IF(ABS(BY1099-[5]QC_indicators!$B$1)&gt;3*[5]QC_indicators!$C$1,"DF","no")))</f>
        <v>no</v>
      </c>
      <c r="ET1099" s="264" t="s">
        <v>3272</v>
      </c>
    </row>
    <row r="1100" spans="1:150" hidden="1">
      <c r="A1100" s="1" t="s">
        <v>1137</v>
      </c>
      <c r="B1100" t="s">
        <v>2088</v>
      </c>
      <c r="C1100" t="s">
        <v>2089</v>
      </c>
      <c r="D1100" t="s">
        <v>2090</v>
      </c>
      <c r="E1100" t="s">
        <v>2091</v>
      </c>
      <c r="F1100" t="s">
        <v>2092</v>
      </c>
      <c r="G1100" t="s">
        <v>1138</v>
      </c>
      <c r="H1100" t="s">
        <v>254</v>
      </c>
      <c r="I1100">
        <v>2019</v>
      </c>
      <c r="J1100">
        <v>13</v>
      </c>
      <c r="K1100" t="s">
        <v>2093</v>
      </c>
      <c r="M1100" t="str">
        <f t="shared" si="1430"/>
        <v>Parobek_2019</v>
      </c>
      <c r="N1100" s="264" t="s">
        <v>222</v>
      </c>
      <c r="O1100" s="157" t="s">
        <v>513</v>
      </c>
      <c r="P1100" s="264" t="s">
        <v>223</v>
      </c>
      <c r="Q1100" s="264" t="s">
        <v>389</v>
      </c>
      <c r="R1100" s="269" t="s">
        <v>1153</v>
      </c>
      <c r="T1100" s="264" t="s">
        <v>1199</v>
      </c>
      <c r="U1100" s="264" t="s">
        <v>1200</v>
      </c>
      <c r="V1100">
        <v>0</v>
      </c>
      <c r="W1100">
        <v>0</v>
      </c>
      <c r="X1100">
        <v>0</v>
      </c>
      <c r="Y1100">
        <v>0</v>
      </c>
      <c r="Z1100">
        <v>0</v>
      </c>
      <c r="AA1100">
        <v>0</v>
      </c>
      <c r="AB1100">
        <v>0</v>
      </c>
      <c r="AC1100">
        <v>0</v>
      </c>
      <c r="AD1100">
        <v>0</v>
      </c>
      <c r="AE1100">
        <v>0</v>
      </c>
      <c r="AF1100">
        <v>1</v>
      </c>
      <c r="AG1100">
        <v>0</v>
      </c>
      <c r="AH1100">
        <v>0</v>
      </c>
      <c r="AI1100">
        <v>0</v>
      </c>
      <c r="AJ1100">
        <v>0</v>
      </c>
      <c r="AK1100">
        <v>0</v>
      </c>
      <c r="AL1100">
        <v>0</v>
      </c>
      <c r="AM1100">
        <v>0</v>
      </c>
      <c r="AN1100">
        <v>0</v>
      </c>
      <c r="AO1100">
        <v>0</v>
      </c>
      <c r="AP1100">
        <v>0</v>
      </c>
      <c r="AQ1100">
        <v>0</v>
      </c>
      <c r="AR1100">
        <v>0</v>
      </c>
      <c r="AS1100">
        <v>0</v>
      </c>
      <c r="AT1100">
        <v>0</v>
      </c>
      <c r="AU1100">
        <v>0</v>
      </c>
      <c r="AV1100">
        <v>0</v>
      </c>
      <c r="AW1100">
        <v>0</v>
      </c>
      <c r="AX1100" s="141">
        <f t="shared" si="1431"/>
        <v>1</v>
      </c>
      <c r="AY1100" s="141">
        <f t="shared" si="1432"/>
        <v>1</v>
      </c>
      <c r="AZ1100">
        <f t="shared" si="1433"/>
        <v>0</v>
      </c>
      <c r="BA1100">
        <f t="shared" si="1434"/>
        <v>1</v>
      </c>
      <c r="BB1100">
        <f t="shared" si="1435"/>
        <v>0</v>
      </c>
      <c r="BC1100">
        <f t="shared" si="1436"/>
        <v>0</v>
      </c>
      <c r="BD1100">
        <f t="shared" si="1437"/>
        <v>0</v>
      </c>
      <c r="BE1100" t="str" cm="1">
        <f t="array" ref="BE1100">IF(AY1100=1,INDEX($V$7:$AL$7,MATCH(TRUE,INDEX($V1100:$AW1100&lt;&gt;0,),0)),IF(AY1100=0,INDEX($AM$7:$AW$7,MATCH(1,$AM1100:$AW1100,0)),IF(BF1100="Multiple strategies","mixed drivers",IF(BF1100="Supply chain","multiple supply","multiple silviculture"))))</f>
        <v>supply chain organization</v>
      </c>
      <c r="BF1100" s="2" t="str" cm="1">
        <f t="array" ref="BF1100">IF(COUNTIF(AZ1100:BB1100,"&lt;&gt;0")=1,INDEX($V$4:$AW$4,MATCH(TRUE,INDEX($V1100:$AW1100&lt;&gt;0,),0)),IF(COUNTIF(AZ1100:BB1100,"&lt;&gt;0")=0,INDEX($AM$4:$AW$4,MATCH(1,$AM1100:$AW1100,0)),"Multiple strategies"))</f>
        <v>Supply chain</v>
      </c>
      <c r="BH1100" s="264" t="s">
        <v>2094</v>
      </c>
      <c r="BJ1100" s="264" t="s">
        <v>1354</v>
      </c>
      <c r="BK1100">
        <f>3.79+2.1+2.74</f>
        <v>8.6300000000000008</v>
      </c>
      <c r="BL1100">
        <f>8.72+1.23</f>
        <v>9.9500000000000011</v>
      </c>
      <c r="BM1100" t="str">
        <f>IFERROR(BK1719/BL1719,"")</f>
        <v/>
      </c>
      <c r="BN1100">
        <f t="shared" si="1439"/>
        <v>1.3200000000000003</v>
      </c>
      <c r="BO1100">
        <f>BN1100*10^6</f>
        <v>1320000.0000000002</v>
      </c>
      <c r="BP1100" s="264" t="s">
        <v>2095</v>
      </c>
      <c r="BQ1100" s="264" t="s">
        <v>699</v>
      </c>
      <c r="BR1100" s="264" t="s">
        <v>2096</v>
      </c>
      <c r="BS1100">
        <v>2052.42</v>
      </c>
      <c r="BT1100">
        <v>2071.21</v>
      </c>
      <c r="BU1100" s="144"/>
      <c r="BV1100">
        <f>BS1100-BT1100</f>
        <v>-18.789999999999964</v>
      </c>
      <c r="BX1100">
        <f t="shared" si="1462"/>
        <v>-18789.999999999964</v>
      </c>
      <c r="BY1100">
        <f t="shared" si="1419"/>
        <v>-1.4234848484848454E-2</v>
      </c>
      <c r="BZ1100">
        <v>0</v>
      </c>
      <c r="CA1100">
        <v>0</v>
      </c>
      <c r="CB1100">
        <v>0</v>
      </c>
      <c r="CC1100">
        <v>0</v>
      </c>
      <c r="CD1100">
        <v>0</v>
      </c>
      <c r="CE1100">
        <v>0</v>
      </c>
      <c r="CF1100">
        <v>0</v>
      </c>
      <c r="CG1100">
        <v>0</v>
      </c>
      <c r="CH1100">
        <v>0</v>
      </c>
      <c r="CI1100">
        <v>0</v>
      </c>
      <c r="CJ1100">
        <v>0</v>
      </c>
      <c r="CK1100">
        <v>0</v>
      </c>
      <c r="CL1100">
        <v>0</v>
      </c>
      <c r="CM1100">
        <v>0</v>
      </c>
      <c r="CN1100" t="str">
        <f>IF($BL1719&lt;$BK1719,"refNeedCorrection","refOK")</f>
        <v>refOK</v>
      </c>
      <c r="CO1100">
        <f>IF($CN1100="refOK",$BL1719,$BK1719)</f>
        <v>0</v>
      </c>
      <c r="CP1100">
        <f>IF($CN1100="refOK",$BK1719,$BL1719)</f>
        <v>0</v>
      </c>
      <c r="CQ1100">
        <f t="shared" si="1443"/>
        <v>1320000.0000000002</v>
      </c>
      <c r="CR1100">
        <f>IF($CN1100="refOK",$BT1100,$BS1100)*IF($BP1100="Emissions positive",-1,1)</f>
        <v>2071.21</v>
      </c>
      <c r="CS1100">
        <f>IF($CN1100="refOK",$BS1100,$BT1100)*IF($BP1100="Emissions positive",-1,1)</f>
        <v>2052.42</v>
      </c>
      <c r="CT1100">
        <f t="shared" si="1446"/>
        <v>-18789.999999999964</v>
      </c>
      <c r="CU1100">
        <f t="shared" si="1447"/>
        <v>-1.4234848484848454E-2</v>
      </c>
      <c r="CV1100" s="2">
        <f t="shared" si="1448"/>
        <v>-9.0719917343002228E-3</v>
      </c>
      <c r="CW1100" s="263" t="s">
        <v>1202</v>
      </c>
      <c r="CX1100" s="264" t="str">
        <f t="shared" si="1449"/>
        <v>reg</v>
      </c>
      <c r="CY1100" s="264" t="s">
        <v>2087</v>
      </c>
      <c r="DB1100">
        <v>1</v>
      </c>
      <c r="DC1100" t="str">
        <f t="shared" si="1450"/>
        <v>1-30</v>
      </c>
      <c r="DD1100">
        <v>0</v>
      </c>
      <c r="DE1100">
        <v>0</v>
      </c>
      <c r="DF1100">
        <v>1</v>
      </c>
      <c r="DG1100">
        <v>1</v>
      </c>
      <c r="DH1100">
        <v>0</v>
      </c>
      <c r="DI1100">
        <f t="shared" si="1451"/>
        <v>2</v>
      </c>
      <c r="DJ1100" t="str">
        <f t="shared" si="1452"/>
        <v>mixedProduct</v>
      </c>
      <c r="DK1100">
        <f t="shared" si="1453"/>
        <v>0</v>
      </c>
      <c r="DL1100">
        <f t="shared" si="1454"/>
        <v>0</v>
      </c>
      <c r="DM1100" t="str">
        <f t="shared" si="1455"/>
        <v>Pulp/Paper</v>
      </c>
      <c r="DN1100" t="str">
        <f t="shared" si="1456"/>
        <v>Timber</v>
      </c>
      <c r="DO1100">
        <v>0</v>
      </c>
      <c r="DP1100">
        <v>0</v>
      </c>
      <c r="DQ1100">
        <v>0</v>
      </c>
      <c r="DR1100">
        <v>0</v>
      </c>
      <c r="DS1100">
        <v>0</v>
      </c>
      <c r="DT1100"/>
      <c r="DU1100" s="143" t="str">
        <f t="shared" si="1457"/>
        <v>explicit C balance</v>
      </c>
      <c r="DV1100">
        <v>0</v>
      </c>
      <c r="DW1100">
        <v>0</v>
      </c>
      <c r="DX1100">
        <v>0</v>
      </c>
      <c r="DY1100">
        <v>1</v>
      </c>
      <c r="DZ1100">
        <v>0</v>
      </c>
      <c r="EA1100">
        <v>0</v>
      </c>
      <c r="EB1100">
        <v>0</v>
      </c>
      <c r="EC1100">
        <v>0</v>
      </c>
      <c r="ED1100">
        <v>0</v>
      </c>
      <c r="EE1100">
        <v>0</v>
      </c>
      <c r="EF1100">
        <v>1</v>
      </c>
      <c r="EG1100">
        <v>0</v>
      </c>
      <c r="EH1100">
        <v>0</v>
      </c>
      <c r="EI1100" s="2">
        <v>0</v>
      </c>
      <c r="EK1100" t="str">
        <f t="shared" si="1458"/>
        <v/>
      </c>
      <c r="EL1100" t="str">
        <f t="shared" si="1459"/>
        <v/>
      </c>
      <c r="EM1100" s="2" t="str">
        <f t="shared" si="1424"/>
        <v/>
      </c>
      <c r="EP1100" t="str">
        <f>IF(ISNUMBER(BU1100),IF(ABS(BU1100-[4]QC_indicators!$B$2)&gt;3*[4]QC_indicators!$C$2,"C ratio",IF(ISNUMBER(BY1100),IF(ABS(BY1100-[4]QC_indicators!$B$1)&gt;3*[4]QC_indicators!$C$1,"DF","no"))),IF(ISNUMBER(BY1100),IF(ABS(BY1100-[4]QC_indicators!$B$1)&gt;3*[4]QC_indicators!$C$1,"DF","no")))</f>
        <v>no</v>
      </c>
      <c r="ET1100" s="264" t="s">
        <v>3406</v>
      </c>
    </row>
    <row r="1101" spans="1:150" hidden="1">
      <c r="A1101" s="1" t="s">
        <v>656</v>
      </c>
      <c r="B1101" t="s">
        <v>4626</v>
      </c>
      <c r="C1101" t="s">
        <v>4627</v>
      </c>
      <c r="D1101" t="s">
        <v>4628</v>
      </c>
      <c r="E1101" t="s">
        <v>4629</v>
      </c>
      <c r="F1101" t="s">
        <v>4630</v>
      </c>
      <c r="G1101" t="s">
        <v>662</v>
      </c>
      <c r="H1101" t="s">
        <v>254</v>
      </c>
      <c r="I1101">
        <v>2022</v>
      </c>
      <c r="J1101">
        <v>2</v>
      </c>
      <c r="K1101" t="s">
        <v>4631</v>
      </c>
      <c r="M1101" t="str">
        <f t="shared" si="1430"/>
        <v>Pasternack_2022</v>
      </c>
      <c r="N1101" t="s">
        <v>2582</v>
      </c>
      <c r="BE1101"/>
      <c r="BF1101" s="2"/>
      <c r="BY1101" t="str">
        <f t="shared" si="1419"/>
        <v/>
      </c>
      <c r="CN1101"/>
      <c r="CO1101"/>
      <c r="CP1101"/>
      <c r="CQ1101"/>
      <c r="CR1101"/>
      <c r="CS1101"/>
      <c r="CT1101"/>
      <c r="CU1101"/>
      <c r="CV1101" s="2"/>
      <c r="CX1101"/>
      <c r="DC1101"/>
      <c r="DI1101"/>
      <c r="DJ1101"/>
      <c r="DK1101"/>
      <c r="DL1101"/>
      <c r="DM1101"/>
      <c r="DN1101"/>
      <c r="DT1101"/>
      <c r="DU1101"/>
      <c r="EK1101" t="str">
        <f t="shared" ref="EK1101:EK1128" si="1464">IF(AND(AND(AND(OR($DX1101=1,$DW1101=1),OR($EC1101=1,$EA1101=1)),SUM($DV1101:$DZ1101,$EF1101)&gt;=3),SUM($EA1101:$EE1101)&gt;=2),"Whole sector","")</f>
        <v/>
      </c>
      <c r="EL1101" t="str">
        <f t="shared" ref="EL1101:EL1128" si="1465">IF(AND(AND(OR($DX1101=1,$DW1101=1),AND($EC1101=0,$EA1101=0)),SUM($DV1101:$DZ1101,$EF1101)&gt;=3),"Ecosystem approach","")</f>
        <v/>
      </c>
      <c r="EM1101" s="2" t="str">
        <f t="shared" si="1424"/>
        <v/>
      </c>
      <c r="EP1101" t="b">
        <f>IF(ISNUMBER(BU1101),IF(ABS(BU1101-[1]QC_indicators!$B$2)&gt;3*[1]QC_indicators!$C$2,"C ratio",IF(ISNUMBER(BY1101),IF(ABS(BY1101-[1]QC_indicators!$B$1)&gt;3*[1]QC_indicators!$C$1,"DF","no"))),IF(ISNUMBER(BY1101),IF(ABS(BY1101-[1]QC_indicators!$B$1)&gt;3*[1]QC_indicators!$C$1,"DF","no")))</f>
        <v>0</v>
      </c>
    </row>
    <row r="1102" spans="1:150" hidden="1">
      <c r="A1102" s="1" t="s">
        <v>667</v>
      </c>
      <c r="B1102" t="s">
        <v>3885</v>
      </c>
      <c r="C1102" t="s">
        <v>3886</v>
      </c>
      <c r="D1102" t="s">
        <v>3887</v>
      </c>
      <c r="E1102" t="s">
        <v>3888</v>
      </c>
      <c r="F1102" t="s">
        <v>3889</v>
      </c>
      <c r="G1102" t="s">
        <v>673</v>
      </c>
      <c r="H1102" t="s">
        <v>254</v>
      </c>
      <c r="I1102">
        <v>2016</v>
      </c>
      <c r="J1102">
        <v>46</v>
      </c>
      <c r="K1102" t="s">
        <v>3890</v>
      </c>
      <c r="M1102" t="str">
        <f t="shared" si="1430"/>
        <v>Penaloza_2016</v>
      </c>
      <c r="N1102" s="311" t="s">
        <v>4382</v>
      </c>
      <c r="O1102" s="171" t="s">
        <v>513</v>
      </c>
      <c r="P1102" t="s">
        <v>513</v>
      </c>
      <c r="Q1102" s="311" t="s">
        <v>389</v>
      </c>
      <c r="R1102" s="312"/>
      <c r="S1102" s="1" t="s">
        <v>3891</v>
      </c>
      <c r="T1102" t="s">
        <v>3892</v>
      </c>
      <c r="U1102" t="s">
        <v>3891</v>
      </c>
      <c r="V1102">
        <v>0</v>
      </c>
      <c r="W1102">
        <v>0</v>
      </c>
      <c r="X1102">
        <v>0</v>
      </c>
      <c r="Y1102">
        <v>0</v>
      </c>
      <c r="Z1102">
        <v>0</v>
      </c>
      <c r="AA1102">
        <v>0</v>
      </c>
      <c r="AB1102">
        <v>0</v>
      </c>
      <c r="AC1102">
        <v>0</v>
      </c>
      <c r="AD1102">
        <v>0</v>
      </c>
      <c r="AE1102">
        <v>0</v>
      </c>
      <c r="AF1102">
        <v>0</v>
      </c>
      <c r="AG1102">
        <v>0</v>
      </c>
      <c r="AH1102">
        <v>0</v>
      </c>
      <c r="AI1102">
        <v>1</v>
      </c>
      <c r="AJ1102">
        <v>0</v>
      </c>
      <c r="AK1102">
        <v>1</v>
      </c>
      <c r="AL1102">
        <v>0</v>
      </c>
      <c r="AM1102">
        <v>0</v>
      </c>
      <c r="AN1102">
        <v>0</v>
      </c>
      <c r="AO1102">
        <v>0</v>
      </c>
      <c r="AP1102">
        <v>0</v>
      </c>
      <c r="AQ1102">
        <v>0</v>
      </c>
      <c r="AR1102">
        <v>0</v>
      </c>
      <c r="AS1102">
        <v>0</v>
      </c>
      <c r="AT1102">
        <v>0</v>
      </c>
      <c r="AU1102">
        <v>0</v>
      </c>
      <c r="AV1102">
        <v>0</v>
      </c>
      <c r="AW1102">
        <v>0</v>
      </c>
      <c r="AX1102" s="141">
        <f t="shared" ref="AX1102:AX1127" si="1466">COUNTIF(V1102:AW1102,"&lt;&gt;0")</f>
        <v>2</v>
      </c>
      <c r="AY1102" s="141">
        <f t="shared" ref="AY1102:AY1127" si="1467">COUNTIF(V1102:AL1102,"&lt;&gt;0")</f>
        <v>2</v>
      </c>
      <c r="AZ1102">
        <f t="shared" ref="AZ1102:AZ1127" si="1468">COUNTIF(V1102:AC1102,"&lt;&gt;0")</f>
        <v>0</v>
      </c>
      <c r="BA1102">
        <f t="shared" ref="BA1102:BA1127" si="1469">COUNTIF(AD1102:AI1102,"&lt;&gt;0")</f>
        <v>1</v>
      </c>
      <c r="BB1102">
        <f t="shared" ref="BB1102:BB1127" si="1470">COUNTIF(AJ1102:AL1102,"&lt;&gt;0")</f>
        <v>1</v>
      </c>
      <c r="BC1102">
        <f t="shared" ref="BC1102:BC1127" si="1471">COUNTIF(AS1102:AW1102,"&lt;&gt;0")</f>
        <v>0</v>
      </c>
      <c r="BD1102">
        <f t="shared" ref="BD1102:BD1127" si="1472">COUNTIF(AM1102:AR1102,"&lt;&gt;0")</f>
        <v>0</v>
      </c>
      <c r="BE1102" t="str" cm="1">
        <f t="array" ref="BE1102">IF(AY1102=1,INDEX($V$7:$AL$7,MATCH(TRUE,INDEX($V1102:$AW1102&lt;&gt;0,),0)),IF(AY1102=0,INDEX($AM$7:$AW$7,MATCH(1,$AM1102:$AW1102,0)),IF(BF1102="Multiple strategies","mixed drivers",IF(BF1102="Supply chain","multiple supply","multiple silviculture"))))</f>
        <v>mixed drivers</v>
      </c>
      <c r="BF1102" s="2" t="str" cm="1">
        <f t="array" ref="BF1102">IF(COUNTIF(AZ1102:BB1102,"&lt;&gt;0")=1,INDEX($V$4:$AW$4,MATCH(TRUE,INDEX($V1102:$AW1102&lt;&gt;0,),0)),IF(COUNTIF(AZ1102:BB1102,"&lt;&gt;0")=0,INDEX($AM$4:$AW$4,MATCH(1,$AM1102:$AW1102,0)),"Multiple strategies"))</f>
        <v>Multiple strategies</v>
      </c>
      <c r="BM1102" t="str">
        <f t="shared" ref="BM1102:BM1117" si="1473">IFERROR(BL1102/BK1102,"")</f>
        <v/>
      </c>
      <c r="BP1102" s="311" t="s">
        <v>232</v>
      </c>
      <c r="BR1102" t="s">
        <v>3893</v>
      </c>
      <c r="BS1102">
        <v>-468</v>
      </c>
      <c r="BT1102">
        <v>-197</v>
      </c>
      <c r="BU1102" s="144">
        <f t="shared" ref="BU1102:BU1117" si="1474">BT1102/BS1102</f>
        <v>0.42094017094017094</v>
      </c>
      <c r="BV1102">
        <f t="shared" ref="BV1102:BV1127" si="1475">BT1102-BS1102</f>
        <v>271</v>
      </c>
      <c r="BX1102">
        <f t="shared" ref="BX1102:BX1117" si="1476">BV1102/1000</f>
        <v>0.27100000000000002</v>
      </c>
      <c r="BY1102" t="str">
        <f t="shared" si="1419"/>
        <v/>
      </c>
      <c r="BZ1102">
        <v>0</v>
      </c>
      <c r="CA1102">
        <v>0</v>
      </c>
      <c r="CB1102">
        <v>0</v>
      </c>
      <c r="CC1102">
        <v>0</v>
      </c>
      <c r="CD1102">
        <v>0</v>
      </c>
      <c r="CE1102">
        <v>0</v>
      </c>
      <c r="CF1102">
        <v>0</v>
      </c>
      <c r="CG1102">
        <v>0</v>
      </c>
      <c r="CH1102">
        <v>0</v>
      </c>
      <c r="CI1102">
        <v>0</v>
      </c>
      <c r="CJ1102">
        <v>0</v>
      </c>
      <c r="CK1102">
        <v>0</v>
      </c>
      <c r="CL1102">
        <v>0</v>
      </c>
      <c r="CM1102">
        <v>0</v>
      </c>
      <c r="CN1102" t="str">
        <f t="shared" ref="CN1102:CN1127" si="1477">IF($BL1102&lt;$BK1102,"refNeedCorrection","refOK")</f>
        <v>refOK</v>
      </c>
      <c r="CO1102"/>
      <c r="CP1102"/>
      <c r="CQ1102"/>
      <c r="CR1102">
        <f t="shared" ref="CR1102:CR1127" si="1478">IF($CN1102="refOK",$BS1102,$BT1102)*IF($BP1102="Emissions positive",-1,1)</f>
        <v>-468</v>
      </c>
      <c r="CS1102">
        <f>IF($CN1102="refOK",$BT1102,$BS1102)*IF($BP1102="Emissions positive",-1,1)</f>
        <v>-197</v>
      </c>
      <c r="CT1102">
        <f t="shared" ref="CT1102:CT1127" si="1479">IF($CN1102="refNeedCorrection",-BX1102,BX1102)*IF($BP1102="Emissions positive",-1,1)</f>
        <v>0.27100000000000002</v>
      </c>
      <c r="CU1102" t="str">
        <f t="shared" ref="CU1102:CU1127" si="1480">IFERROR(CT1102/CQ1102,"")</f>
        <v/>
      </c>
      <c r="CV1102" s="2">
        <f t="shared" ref="CV1102:CV1127" si="1481">IFERROR((CS1102-CR1102)/ABS(CR1102),"")</f>
        <v>0.57905982905982911</v>
      </c>
      <c r="CW1102" s="1" t="s">
        <v>3796</v>
      </c>
      <c r="CX1102" s="311" t="str">
        <f t="shared" ref="CX1102:CX1127" si="1482">IF(OR($CW1102="prd",$CW1102="std",$CW1102="cit"),"loc",IF(OR($CW1102="eur",$CW1102="reg",$CW1102="coy"),"reg",$CW1102))</f>
        <v>reg</v>
      </c>
      <c r="CY1102" t="s">
        <v>3894</v>
      </c>
      <c r="DB1102">
        <v>100</v>
      </c>
      <c r="DC1102" t="str">
        <f t="shared" ref="DC1102:DC1127" si="1483">IF(DB1102=0,"0",IF(AND(DB1102&gt;=1,DB1102&lt;=30),"1-30",IF(AND(DB1102&gt;30,DB1102&lt;=70),"31-70",IF(AND(DB1102&gt;70,DB1102&lt;=100),"71-100",IF(DB1102&gt;100,"+100")))))</f>
        <v>71-100</v>
      </c>
      <c r="DD1102">
        <v>0</v>
      </c>
      <c r="DE1102">
        <v>0</v>
      </c>
      <c r="DF1102">
        <v>0</v>
      </c>
      <c r="DG1102">
        <v>1</v>
      </c>
      <c r="DH1102">
        <v>1</v>
      </c>
      <c r="DI1102">
        <f t="shared" ref="DI1102:DI1127" si="1484">SUM(DD1102:DH1102)</f>
        <v>2</v>
      </c>
      <c r="DJ1102" t="str">
        <f t="shared" ref="DJ1102:DJ1127" si="1485">IF(DI1102=1,INDEX($DD$7:$DG$7,MATCH(1,$DD1102:$DG1102,0)),"mixedProduct")</f>
        <v>mixedProduct</v>
      </c>
      <c r="DK1102">
        <f t="shared" ref="DK1102:DK1127" si="1486">IF(DD1102=1,DK$7,0)</f>
        <v>0</v>
      </c>
      <c r="DL1102">
        <f t="shared" ref="DL1102:DL1127" si="1487">IF(DE1102=1,DL$7,0)</f>
        <v>0</v>
      </c>
      <c r="DM1102">
        <f t="shared" ref="DM1102:DM1127" si="1488">IF(DF1102=1,DM$7,0)</f>
        <v>0</v>
      </c>
      <c r="DN1102" t="str">
        <f t="shared" ref="DN1102:DN1127" si="1489">IF(DG1102=1,DN$7,0)</f>
        <v>Timber</v>
      </c>
      <c r="DO1102">
        <v>0</v>
      </c>
      <c r="DP1102">
        <v>0</v>
      </c>
      <c r="DQ1102">
        <v>0</v>
      </c>
      <c r="DR1102">
        <v>0</v>
      </c>
      <c r="DS1102">
        <v>0</v>
      </c>
      <c r="DT1102"/>
      <c r="DU1102" s="143" t="str">
        <f t="shared" ref="DU1102:DU1127" si="1490">IF(DO1102=1,"self-calculated DF",IF(DP1102=1,"external DF used","explicit C balance"))</f>
        <v>explicit C balance</v>
      </c>
      <c r="DV1102">
        <v>0</v>
      </c>
      <c r="DW1102">
        <v>0</v>
      </c>
      <c r="DX1102">
        <v>1</v>
      </c>
      <c r="DY1102">
        <v>1</v>
      </c>
      <c r="DZ1102">
        <v>1</v>
      </c>
      <c r="EA1102">
        <v>1</v>
      </c>
      <c r="EB1102">
        <v>0</v>
      </c>
      <c r="EC1102">
        <v>1</v>
      </c>
      <c r="ED1102">
        <v>1</v>
      </c>
      <c r="EE1102">
        <v>1</v>
      </c>
      <c r="EF1102">
        <v>1</v>
      </c>
      <c r="EG1102">
        <v>1</v>
      </c>
      <c r="EH1102">
        <v>0</v>
      </c>
      <c r="EI1102" s="2">
        <v>0</v>
      </c>
      <c r="EK1102" t="str">
        <f t="shared" si="1464"/>
        <v>Whole sector</v>
      </c>
      <c r="EL1102" t="str">
        <f t="shared" si="1465"/>
        <v/>
      </c>
      <c r="EM1102" s="2" t="str">
        <f t="shared" si="1424"/>
        <v/>
      </c>
      <c r="EP1102" t="b">
        <f>IF(ISNUMBER(BU1102),IF(ABS(BU1102-[1]QC_indicators!$B$2)&gt;3*[1]QC_indicators!$C$2,"C ratio",IF(ISNUMBER(BY1102),IF(ABS(BY1102-[1]QC_indicators!$B$1)&gt;3*[1]QC_indicators!$C$1,"DF","no"))),IF(ISNUMBER(BY1102),IF(ABS(BY1102-[1]QC_indicators!$B$1)&gt;3*[1]QC_indicators!$C$1,"DF","no")))</f>
        <v>0</v>
      </c>
    </row>
    <row r="1103" spans="1:150" hidden="1">
      <c r="A1103" s="1" t="s">
        <v>667</v>
      </c>
      <c r="B1103" t="s">
        <v>3885</v>
      </c>
      <c r="C1103" t="s">
        <v>3886</v>
      </c>
      <c r="D1103" t="s">
        <v>3887</v>
      </c>
      <c r="E1103" s="311" t="s">
        <v>3888</v>
      </c>
      <c r="F1103" t="s">
        <v>3889</v>
      </c>
      <c r="G1103" t="s">
        <v>673</v>
      </c>
      <c r="H1103" t="s">
        <v>254</v>
      </c>
      <c r="I1103">
        <v>2016</v>
      </c>
      <c r="J1103">
        <v>46</v>
      </c>
      <c r="K1103" t="s">
        <v>3890</v>
      </c>
      <c r="M1103" t="str">
        <f t="shared" si="1430"/>
        <v>Penaloza_2016</v>
      </c>
      <c r="N1103" s="311" t="s">
        <v>4382</v>
      </c>
      <c r="O1103" s="171" t="s">
        <v>513</v>
      </c>
      <c r="P1103" t="s">
        <v>513</v>
      </c>
      <c r="Q1103" s="311" t="s">
        <v>389</v>
      </c>
      <c r="R1103" s="312"/>
      <c r="S1103" s="1" t="s">
        <v>3891</v>
      </c>
      <c r="T1103" t="s">
        <v>3892</v>
      </c>
      <c r="U1103" t="s">
        <v>3891</v>
      </c>
      <c r="V1103">
        <v>0</v>
      </c>
      <c r="W1103">
        <v>0</v>
      </c>
      <c r="X1103">
        <v>0</v>
      </c>
      <c r="Y1103">
        <v>0</v>
      </c>
      <c r="Z1103">
        <v>0</v>
      </c>
      <c r="AA1103">
        <v>0</v>
      </c>
      <c r="AB1103">
        <v>0</v>
      </c>
      <c r="AC1103">
        <v>0</v>
      </c>
      <c r="AD1103">
        <v>0</v>
      </c>
      <c r="AE1103">
        <v>0</v>
      </c>
      <c r="AF1103">
        <v>0</v>
      </c>
      <c r="AG1103">
        <v>0</v>
      </c>
      <c r="AH1103">
        <v>0</v>
      </c>
      <c r="AI1103">
        <v>1</v>
      </c>
      <c r="AJ1103">
        <v>0</v>
      </c>
      <c r="AK1103">
        <v>1</v>
      </c>
      <c r="AL1103">
        <v>0</v>
      </c>
      <c r="AM1103">
        <v>0</v>
      </c>
      <c r="AN1103">
        <v>0</v>
      </c>
      <c r="AO1103">
        <v>0</v>
      </c>
      <c r="AP1103">
        <v>0</v>
      </c>
      <c r="AQ1103">
        <v>0</v>
      </c>
      <c r="AR1103">
        <v>0</v>
      </c>
      <c r="AS1103">
        <v>0</v>
      </c>
      <c r="AT1103">
        <v>0</v>
      </c>
      <c r="AU1103">
        <v>0</v>
      </c>
      <c r="AV1103">
        <v>0</v>
      </c>
      <c r="AW1103">
        <v>0</v>
      </c>
      <c r="AX1103" s="141">
        <f t="shared" si="1466"/>
        <v>2</v>
      </c>
      <c r="AY1103" s="141">
        <f t="shared" si="1467"/>
        <v>2</v>
      </c>
      <c r="AZ1103">
        <f t="shared" si="1468"/>
        <v>0</v>
      </c>
      <c r="BA1103">
        <f t="shared" si="1469"/>
        <v>1</v>
      </c>
      <c r="BB1103">
        <f t="shared" si="1470"/>
        <v>1</v>
      </c>
      <c r="BC1103">
        <f t="shared" si="1471"/>
        <v>0</v>
      </c>
      <c r="BD1103">
        <f t="shared" si="1472"/>
        <v>0</v>
      </c>
      <c r="BE1103" t="str" cm="1">
        <f t="array" ref="BE1103">IF(AY1103=1,INDEX($V$7:$AL$7,MATCH(TRUE,INDEX($V1103:$AW1103&lt;&gt;0,),0)),IF(AY1103=0,INDEX($AM$7:$AW$7,MATCH(1,$AM1103:$AW1103,0)),IF(BF1103="Multiple strategies","mixed drivers",IF(BF1103="Supply chain","multiple supply","multiple silviculture"))))</f>
        <v>mixed drivers</v>
      </c>
      <c r="BF1103" s="2" t="str" cm="1">
        <f t="array" ref="BF1103">IF(COUNTIF(AZ1103:BB1103,"&lt;&gt;0")=1,INDEX($V$4:$AW$4,MATCH(TRUE,INDEX($V1103:$AW1103&lt;&gt;0,),0)),IF(COUNTIF(AZ1103:BB1103,"&lt;&gt;0")=0,INDEX($AM$4:$AW$4,MATCH(1,$AM1103:$AW1103,0)),"Multiple strategies"))</f>
        <v>Multiple strategies</v>
      </c>
      <c r="BM1103" t="str">
        <f t="shared" si="1473"/>
        <v/>
      </c>
      <c r="BP1103" s="311" t="s">
        <v>232</v>
      </c>
      <c r="BR1103" t="s">
        <v>3893</v>
      </c>
      <c r="BS1103">
        <v>-479</v>
      </c>
      <c r="BT1103">
        <v>-215</v>
      </c>
      <c r="BU1103" s="144">
        <f t="shared" si="1474"/>
        <v>0.44885177453027142</v>
      </c>
      <c r="BV1103">
        <f t="shared" si="1475"/>
        <v>264</v>
      </c>
      <c r="BX1103">
        <f t="shared" si="1476"/>
        <v>0.26400000000000001</v>
      </c>
      <c r="BY1103" t="str">
        <f t="shared" si="1419"/>
        <v/>
      </c>
      <c r="BZ1103">
        <v>0</v>
      </c>
      <c r="CA1103">
        <v>0</v>
      </c>
      <c r="CB1103">
        <v>0</v>
      </c>
      <c r="CC1103">
        <v>0</v>
      </c>
      <c r="CD1103">
        <v>0</v>
      </c>
      <c r="CE1103">
        <v>0</v>
      </c>
      <c r="CF1103">
        <v>0</v>
      </c>
      <c r="CG1103">
        <v>0</v>
      </c>
      <c r="CH1103">
        <v>0</v>
      </c>
      <c r="CI1103">
        <v>0</v>
      </c>
      <c r="CJ1103">
        <v>0</v>
      </c>
      <c r="CK1103">
        <v>0</v>
      </c>
      <c r="CL1103">
        <v>0</v>
      </c>
      <c r="CM1103">
        <v>0</v>
      </c>
      <c r="CN1103" t="str">
        <f t="shared" si="1477"/>
        <v>refOK</v>
      </c>
      <c r="CO1103"/>
      <c r="CP1103"/>
      <c r="CQ1103"/>
      <c r="CR1103">
        <f t="shared" si="1478"/>
        <v>-479</v>
      </c>
      <c r="CS1103">
        <f>IF($CN1103="refOK",$BT1103,$BS1103)*IF($BP1103="Emissions positive",-1,1)</f>
        <v>-215</v>
      </c>
      <c r="CT1103">
        <f t="shared" si="1479"/>
        <v>0.26400000000000001</v>
      </c>
      <c r="CU1103" t="str">
        <f t="shared" si="1480"/>
        <v/>
      </c>
      <c r="CV1103" s="2">
        <f t="shared" si="1481"/>
        <v>0.55114822546972864</v>
      </c>
      <c r="CW1103" s="1" t="s">
        <v>3796</v>
      </c>
      <c r="CX1103" s="311" t="str">
        <f t="shared" si="1482"/>
        <v>reg</v>
      </c>
      <c r="CY1103" t="s">
        <v>3894</v>
      </c>
      <c r="DB1103">
        <v>300</v>
      </c>
      <c r="DC1103" t="str">
        <f t="shared" si="1483"/>
        <v>+100</v>
      </c>
      <c r="DD1103">
        <v>0</v>
      </c>
      <c r="DE1103">
        <v>0</v>
      </c>
      <c r="DF1103">
        <v>0</v>
      </c>
      <c r="DG1103">
        <v>1</v>
      </c>
      <c r="DH1103">
        <v>1</v>
      </c>
      <c r="DI1103">
        <f t="shared" si="1484"/>
        <v>2</v>
      </c>
      <c r="DJ1103" t="str">
        <f t="shared" si="1485"/>
        <v>mixedProduct</v>
      </c>
      <c r="DK1103">
        <f t="shared" si="1486"/>
        <v>0</v>
      </c>
      <c r="DL1103">
        <f t="shared" si="1487"/>
        <v>0</v>
      </c>
      <c r="DM1103">
        <f t="shared" si="1488"/>
        <v>0</v>
      </c>
      <c r="DN1103" t="str">
        <f t="shared" si="1489"/>
        <v>Timber</v>
      </c>
      <c r="DO1103">
        <v>0</v>
      </c>
      <c r="DP1103">
        <v>0</v>
      </c>
      <c r="DQ1103">
        <v>0</v>
      </c>
      <c r="DR1103">
        <v>0</v>
      </c>
      <c r="DS1103">
        <v>0</v>
      </c>
      <c r="DT1103"/>
      <c r="DU1103" s="143" t="str">
        <f t="shared" si="1490"/>
        <v>explicit C balance</v>
      </c>
      <c r="DV1103">
        <v>0</v>
      </c>
      <c r="DW1103">
        <v>0</v>
      </c>
      <c r="DX1103">
        <v>1</v>
      </c>
      <c r="DY1103">
        <v>1</v>
      </c>
      <c r="DZ1103">
        <v>1</v>
      </c>
      <c r="EA1103">
        <v>1</v>
      </c>
      <c r="EB1103">
        <v>0</v>
      </c>
      <c r="EC1103">
        <v>1</v>
      </c>
      <c r="ED1103">
        <v>1</v>
      </c>
      <c r="EE1103">
        <v>1</v>
      </c>
      <c r="EF1103">
        <v>1</v>
      </c>
      <c r="EG1103">
        <v>1</v>
      </c>
      <c r="EH1103">
        <v>0</v>
      </c>
      <c r="EI1103" s="2">
        <v>0</v>
      </c>
      <c r="EK1103" t="str">
        <f t="shared" si="1464"/>
        <v>Whole sector</v>
      </c>
      <c r="EL1103" t="str">
        <f t="shared" si="1465"/>
        <v/>
      </c>
      <c r="EM1103" s="2" t="str">
        <f t="shared" si="1424"/>
        <v/>
      </c>
      <c r="EP1103" t="b">
        <f>IF(ISNUMBER(BU1103),IF(ABS(BU1103-[1]QC_indicators!$B$2)&gt;3*[1]QC_indicators!$C$2,"C ratio",IF(ISNUMBER(BY1103),IF(ABS(BY1103-[1]QC_indicators!$B$1)&gt;3*[1]QC_indicators!$C$1,"DF","no"))),IF(ISNUMBER(BY1103),IF(ABS(BY1103-[1]QC_indicators!$B$1)&gt;3*[1]QC_indicators!$C$1,"DF","no")))</f>
        <v>0</v>
      </c>
    </row>
    <row r="1104" spans="1:150" hidden="1">
      <c r="A1104" s="1" t="s">
        <v>667</v>
      </c>
      <c r="B1104" t="s">
        <v>3885</v>
      </c>
      <c r="C1104" t="s">
        <v>3886</v>
      </c>
      <c r="D1104" t="s">
        <v>3887</v>
      </c>
      <c r="E1104" t="s">
        <v>3888</v>
      </c>
      <c r="F1104" t="s">
        <v>3889</v>
      </c>
      <c r="G1104" t="s">
        <v>673</v>
      </c>
      <c r="H1104" t="s">
        <v>254</v>
      </c>
      <c r="I1104">
        <v>2016</v>
      </c>
      <c r="J1104">
        <v>46</v>
      </c>
      <c r="K1104" t="s">
        <v>3890</v>
      </c>
      <c r="M1104" t="str">
        <f t="shared" si="1430"/>
        <v>Penaloza_2016</v>
      </c>
      <c r="N1104" s="311" t="s">
        <v>4382</v>
      </c>
      <c r="O1104" s="171" t="s">
        <v>513</v>
      </c>
      <c r="P1104" t="s">
        <v>513</v>
      </c>
      <c r="Q1104" s="311" t="s">
        <v>389</v>
      </c>
      <c r="R1104" s="312"/>
      <c r="S1104" s="1" t="s">
        <v>3895</v>
      </c>
      <c r="T1104" t="s">
        <v>3896</v>
      </c>
      <c r="U1104" t="s">
        <v>3895</v>
      </c>
      <c r="V1104">
        <v>0</v>
      </c>
      <c r="W1104">
        <v>0</v>
      </c>
      <c r="X1104">
        <v>0</v>
      </c>
      <c r="Y1104">
        <v>0</v>
      </c>
      <c r="Z1104">
        <v>0</v>
      </c>
      <c r="AA1104">
        <v>0</v>
      </c>
      <c r="AB1104">
        <v>0</v>
      </c>
      <c r="AC1104">
        <v>0</v>
      </c>
      <c r="AD1104">
        <v>0</v>
      </c>
      <c r="AE1104">
        <v>0</v>
      </c>
      <c r="AF1104">
        <v>0</v>
      </c>
      <c r="AG1104">
        <v>0</v>
      </c>
      <c r="AH1104">
        <v>1</v>
      </c>
      <c r="AI1104">
        <v>0</v>
      </c>
      <c r="AJ1104">
        <v>0</v>
      </c>
      <c r="AK1104">
        <v>1</v>
      </c>
      <c r="AL1104">
        <v>0</v>
      </c>
      <c r="AM1104">
        <v>0</v>
      </c>
      <c r="AN1104">
        <v>0</v>
      </c>
      <c r="AO1104">
        <v>0</v>
      </c>
      <c r="AP1104">
        <v>0</v>
      </c>
      <c r="AQ1104">
        <v>0</v>
      </c>
      <c r="AR1104">
        <v>0</v>
      </c>
      <c r="AS1104">
        <v>0</v>
      </c>
      <c r="AT1104">
        <v>0</v>
      </c>
      <c r="AU1104">
        <v>0</v>
      </c>
      <c r="AV1104">
        <v>0</v>
      </c>
      <c r="AW1104">
        <v>0</v>
      </c>
      <c r="AX1104" s="141">
        <f t="shared" si="1466"/>
        <v>2</v>
      </c>
      <c r="AY1104" s="141">
        <f t="shared" si="1467"/>
        <v>2</v>
      </c>
      <c r="AZ1104">
        <f t="shared" si="1468"/>
        <v>0</v>
      </c>
      <c r="BA1104">
        <f t="shared" si="1469"/>
        <v>1</v>
      </c>
      <c r="BB1104">
        <f t="shared" si="1470"/>
        <v>1</v>
      </c>
      <c r="BC1104">
        <f t="shared" si="1471"/>
        <v>0</v>
      </c>
      <c r="BD1104">
        <f t="shared" si="1472"/>
        <v>0</v>
      </c>
      <c r="BE1104" t="str" cm="1">
        <f t="array" ref="BE1104">IF(AY1104=1,INDEX($V$7:$AL$7,MATCH(TRUE,INDEX($V1104:$AW1104&lt;&gt;0,),0)),IF(AY1104=0,INDEX($AM$7:$AW$7,MATCH(1,$AM1104:$AW1104,0)),IF(BF1104="Multiple strategies","mixed drivers",IF(BF1104="Supply chain","multiple supply","multiple silviculture"))))</f>
        <v>mixed drivers</v>
      </c>
      <c r="BF1104" s="2" t="str" cm="1">
        <f t="array" ref="BF1104">IF(COUNTIF(AZ1104:BB1104,"&lt;&gt;0")=1,INDEX($V$4:$AW$4,MATCH(TRUE,INDEX($V1104:$AW1104&lt;&gt;0,),0)),IF(COUNTIF(AZ1104:BB1104,"&lt;&gt;0")=0,INDEX($AM$4:$AW$4,MATCH(1,$AM1104:$AW1104,0)),"Multiple strategies"))</f>
        <v>Multiple strategies</v>
      </c>
      <c r="BM1104" t="str">
        <f t="shared" si="1473"/>
        <v/>
      </c>
      <c r="BP1104" s="311" t="s">
        <v>232</v>
      </c>
      <c r="BR1104" t="s">
        <v>3893</v>
      </c>
      <c r="BS1104">
        <v>-462</v>
      </c>
      <c r="BT1104">
        <v>-149</v>
      </c>
      <c r="BU1104" s="144">
        <f t="shared" si="1474"/>
        <v>0.32251082251082253</v>
      </c>
      <c r="BV1104">
        <f t="shared" si="1475"/>
        <v>313</v>
      </c>
      <c r="BX1104">
        <f t="shared" si="1476"/>
        <v>0.313</v>
      </c>
      <c r="BY1104" t="str">
        <f t="shared" si="1419"/>
        <v/>
      </c>
      <c r="BZ1104">
        <v>0</v>
      </c>
      <c r="CA1104">
        <v>0</v>
      </c>
      <c r="CB1104">
        <v>0</v>
      </c>
      <c r="CC1104">
        <v>0</v>
      </c>
      <c r="CD1104">
        <v>0</v>
      </c>
      <c r="CE1104">
        <v>0</v>
      </c>
      <c r="CF1104">
        <v>0</v>
      </c>
      <c r="CG1104">
        <v>0</v>
      </c>
      <c r="CH1104">
        <v>0</v>
      </c>
      <c r="CI1104">
        <v>0</v>
      </c>
      <c r="CJ1104">
        <v>0</v>
      </c>
      <c r="CK1104">
        <v>0</v>
      </c>
      <c r="CL1104">
        <v>0</v>
      </c>
      <c r="CM1104">
        <v>0</v>
      </c>
      <c r="CN1104" t="str">
        <f t="shared" si="1477"/>
        <v>refOK</v>
      </c>
      <c r="CO1104"/>
      <c r="CP1104"/>
      <c r="CQ1104"/>
      <c r="CR1104">
        <f t="shared" si="1478"/>
        <v>-462</v>
      </c>
      <c r="CS1104">
        <f>IF($CN1104="refOK",$BT1104,$BS1104)*IF($BP1104="Emissions positive",-1,1)</f>
        <v>-149</v>
      </c>
      <c r="CT1104">
        <f t="shared" si="1479"/>
        <v>0.313</v>
      </c>
      <c r="CU1104" t="str">
        <f t="shared" si="1480"/>
        <v/>
      </c>
      <c r="CV1104" s="2">
        <f t="shared" si="1481"/>
        <v>0.67748917748917747</v>
      </c>
      <c r="CW1104" s="1" t="s">
        <v>3796</v>
      </c>
      <c r="CX1104" s="311" t="str">
        <f t="shared" si="1482"/>
        <v>reg</v>
      </c>
      <c r="CY1104" t="s">
        <v>3894</v>
      </c>
      <c r="DB1104">
        <v>100</v>
      </c>
      <c r="DC1104" t="str">
        <f t="shared" si="1483"/>
        <v>71-100</v>
      </c>
      <c r="DD1104">
        <v>0</v>
      </c>
      <c r="DE1104">
        <v>0</v>
      </c>
      <c r="DF1104">
        <v>0</v>
      </c>
      <c r="DG1104">
        <v>1</v>
      </c>
      <c r="DH1104">
        <v>1</v>
      </c>
      <c r="DI1104">
        <f t="shared" si="1484"/>
        <v>2</v>
      </c>
      <c r="DJ1104" t="str">
        <f t="shared" si="1485"/>
        <v>mixedProduct</v>
      </c>
      <c r="DK1104">
        <f t="shared" si="1486"/>
        <v>0</v>
      </c>
      <c r="DL1104">
        <f t="shared" si="1487"/>
        <v>0</v>
      </c>
      <c r="DM1104">
        <f t="shared" si="1488"/>
        <v>0</v>
      </c>
      <c r="DN1104" t="str">
        <f t="shared" si="1489"/>
        <v>Timber</v>
      </c>
      <c r="DO1104">
        <v>0</v>
      </c>
      <c r="DP1104">
        <v>0</v>
      </c>
      <c r="DQ1104">
        <v>0</v>
      </c>
      <c r="DR1104">
        <v>0</v>
      </c>
      <c r="DS1104">
        <v>0</v>
      </c>
      <c r="DT1104"/>
      <c r="DU1104" s="143" t="str">
        <f t="shared" si="1490"/>
        <v>explicit C balance</v>
      </c>
      <c r="DV1104">
        <v>0</v>
      </c>
      <c r="DW1104">
        <v>0</v>
      </c>
      <c r="DX1104">
        <v>1</v>
      </c>
      <c r="DY1104">
        <v>1</v>
      </c>
      <c r="DZ1104">
        <v>1</v>
      </c>
      <c r="EA1104">
        <v>1</v>
      </c>
      <c r="EB1104">
        <v>0</v>
      </c>
      <c r="EC1104">
        <v>1</v>
      </c>
      <c r="ED1104">
        <v>1</v>
      </c>
      <c r="EE1104">
        <v>1</v>
      </c>
      <c r="EF1104">
        <v>1</v>
      </c>
      <c r="EG1104">
        <v>1</v>
      </c>
      <c r="EH1104">
        <v>0</v>
      </c>
      <c r="EI1104" s="2">
        <v>0</v>
      </c>
      <c r="EK1104" t="str">
        <f t="shared" si="1464"/>
        <v>Whole sector</v>
      </c>
      <c r="EL1104" t="str">
        <f t="shared" si="1465"/>
        <v/>
      </c>
      <c r="EM1104" s="2" t="str">
        <f t="shared" si="1424"/>
        <v/>
      </c>
      <c r="EP1104" t="b">
        <f>IF(ISNUMBER(BU1104),IF(ABS(BU1104-[1]QC_indicators!$B$2)&gt;3*[1]QC_indicators!$C$2,"C ratio",IF(ISNUMBER(BY1104),IF(ABS(BY1104-[1]QC_indicators!$B$1)&gt;3*[1]QC_indicators!$C$1,"DF","no"))),IF(ISNUMBER(BY1104),IF(ABS(BY1104-[1]QC_indicators!$B$1)&gt;3*[1]QC_indicators!$C$1,"DF","no")))</f>
        <v>0</v>
      </c>
    </row>
    <row r="1105" spans="1:146" hidden="1">
      <c r="A1105" s="1" t="s">
        <v>667</v>
      </c>
      <c r="B1105" t="s">
        <v>3885</v>
      </c>
      <c r="C1105" t="s">
        <v>3886</v>
      </c>
      <c r="D1105" t="s">
        <v>3887</v>
      </c>
      <c r="E1105" t="s">
        <v>3888</v>
      </c>
      <c r="F1105" t="s">
        <v>3889</v>
      </c>
      <c r="G1105" t="s">
        <v>673</v>
      </c>
      <c r="H1105" t="s">
        <v>254</v>
      </c>
      <c r="I1105">
        <v>2016</v>
      </c>
      <c r="J1105">
        <v>46</v>
      </c>
      <c r="K1105" t="s">
        <v>3890</v>
      </c>
      <c r="M1105" t="str">
        <f t="shared" si="1430"/>
        <v>Penaloza_2016</v>
      </c>
      <c r="N1105" s="311" t="s">
        <v>4382</v>
      </c>
      <c r="O1105" s="171" t="s">
        <v>513</v>
      </c>
      <c r="P1105" t="s">
        <v>513</v>
      </c>
      <c r="Q1105" s="311" t="s">
        <v>389</v>
      </c>
      <c r="R1105" s="312"/>
      <c r="S1105" s="1" t="s">
        <v>3895</v>
      </c>
      <c r="T1105" t="s">
        <v>3896</v>
      </c>
      <c r="U1105" t="s">
        <v>3895</v>
      </c>
      <c r="V1105">
        <v>0</v>
      </c>
      <c r="W1105">
        <v>0</v>
      </c>
      <c r="X1105">
        <v>0</v>
      </c>
      <c r="Y1105">
        <v>0</v>
      </c>
      <c r="Z1105">
        <v>0</v>
      </c>
      <c r="AA1105">
        <v>0</v>
      </c>
      <c r="AB1105">
        <v>0</v>
      </c>
      <c r="AC1105">
        <v>0</v>
      </c>
      <c r="AD1105">
        <v>0</v>
      </c>
      <c r="AE1105">
        <v>0</v>
      </c>
      <c r="AF1105">
        <v>0</v>
      </c>
      <c r="AG1105">
        <v>0</v>
      </c>
      <c r="AH1105">
        <v>1</v>
      </c>
      <c r="AI1105">
        <v>0</v>
      </c>
      <c r="AJ1105">
        <v>0</v>
      </c>
      <c r="AK1105">
        <v>1</v>
      </c>
      <c r="AL1105">
        <v>0</v>
      </c>
      <c r="AM1105">
        <v>0</v>
      </c>
      <c r="AN1105">
        <v>0</v>
      </c>
      <c r="AO1105">
        <v>0</v>
      </c>
      <c r="AP1105">
        <v>0</v>
      </c>
      <c r="AQ1105">
        <v>0</v>
      </c>
      <c r="AR1105">
        <v>0</v>
      </c>
      <c r="AS1105">
        <v>0</v>
      </c>
      <c r="AT1105">
        <v>0</v>
      </c>
      <c r="AU1105">
        <v>0</v>
      </c>
      <c r="AV1105">
        <v>0</v>
      </c>
      <c r="AW1105">
        <v>0</v>
      </c>
      <c r="AX1105" s="141">
        <f t="shared" si="1466"/>
        <v>2</v>
      </c>
      <c r="AY1105" s="141">
        <f t="shared" si="1467"/>
        <v>2</v>
      </c>
      <c r="AZ1105">
        <f t="shared" si="1468"/>
        <v>0</v>
      </c>
      <c r="BA1105">
        <f t="shared" si="1469"/>
        <v>1</v>
      </c>
      <c r="BB1105">
        <f t="shared" si="1470"/>
        <v>1</v>
      </c>
      <c r="BC1105">
        <f t="shared" si="1471"/>
        <v>0</v>
      </c>
      <c r="BD1105">
        <f t="shared" si="1472"/>
        <v>0</v>
      </c>
      <c r="BE1105" t="str" cm="1">
        <f t="array" ref="BE1105">IF(AY1105=1,INDEX($V$7:$AL$7,MATCH(TRUE,INDEX($V1105:$AW1105&lt;&gt;0,),0)),IF(AY1105=0,INDEX($AM$7:$AW$7,MATCH(1,$AM1105:$AW1105,0)),IF(BF1105="Multiple strategies","mixed drivers",IF(BF1105="Supply chain","multiple supply","multiple silviculture"))))</f>
        <v>mixed drivers</v>
      </c>
      <c r="BF1105" s="2" t="str" cm="1">
        <f t="array" ref="BF1105">IF(COUNTIF(AZ1105:BB1105,"&lt;&gt;0")=1,INDEX($V$4:$AW$4,MATCH(TRUE,INDEX($V1105:$AW1105&lt;&gt;0,),0)),IF(COUNTIF(AZ1105:BB1105,"&lt;&gt;0")=0,INDEX($AM$4:$AW$4,MATCH(1,$AM1105:$AW1105,0)),"Multiple strategies"))</f>
        <v>Multiple strategies</v>
      </c>
      <c r="BM1105" t="str">
        <f t="shared" si="1473"/>
        <v/>
      </c>
      <c r="BP1105" s="311" t="s">
        <v>232</v>
      </c>
      <c r="BR1105" t="s">
        <v>3893</v>
      </c>
      <c r="BS1105">
        <v>-462</v>
      </c>
      <c r="BT1105">
        <v>-196</v>
      </c>
      <c r="BU1105" s="144">
        <f t="shared" si="1474"/>
        <v>0.42424242424242425</v>
      </c>
      <c r="BV1105">
        <f t="shared" si="1475"/>
        <v>266</v>
      </c>
      <c r="BX1105">
        <f t="shared" si="1476"/>
        <v>0.26600000000000001</v>
      </c>
      <c r="BY1105" t="str">
        <f t="shared" si="1419"/>
        <v/>
      </c>
      <c r="BZ1105">
        <v>0</v>
      </c>
      <c r="CA1105">
        <v>0</v>
      </c>
      <c r="CB1105">
        <v>0</v>
      </c>
      <c r="CC1105">
        <v>0</v>
      </c>
      <c r="CD1105">
        <v>0</v>
      </c>
      <c r="CE1105">
        <v>0</v>
      </c>
      <c r="CF1105">
        <v>0</v>
      </c>
      <c r="CG1105">
        <v>0</v>
      </c>
      <c r="CH1105">
        <v>0</v>
      </c>
      <c r="CI1105">
        <v>0</v>
      </c>
      <c r="CJ1105">
        <v>0</v>
      </c>
      <c r="CK1105">
        <v>0</v>
      </c>
      <c r="CL1105">
        <v>0</v>
      </c>
      <c r="CM1105">
        <v>0</v>
      </c>
      <c r="CN1105" t="str">
        <f t="shared" si="1477"/>
        <v>refOK</v>
      </c>
      <c r="CO1105"/>
      <c r="CP1105"/>
      <c r="CQ1105"/>
      <c r="CR1105">
        <f t="shared" si="1478"/>
        <v>-462</v>
      </c>
      <c r="CS1105">
        <f>IF($CN1105="refOK",$BT1105,$BS1105)*IF($BP1105="Emissions positive",-1,1)</f>
        <v>-196</v>
      </c>
      <c r="CT1105">
        <f t="shared" si="1479"/>
        <v>0.26600000000000001</v>
      </c>
      <c r="CU1105" t="str">
        <f t="shared" si="1480"/>
        <v/>
      </c>
      <c r="CV1105" s="2">
        <f t="shared" si="1481"/>
        <v>0.5757575757575758</v>
      </c>
      <c r="CW1105" s="1" t="s">
        <v>3796</v>
      </c>
      <c r="CX1105" s="311" t="str">
        <f t="shared" si="1482"/>
        <v>reg</v>
      </c>
      <c r="CY1105" t="s">
        <v>3894</v>
      </c>
      <c r="DB1105">
        <v>300</v>
      </c>
      <c r="DC1105" t="str">
        <f t="shared" si="1483"/>
        <v>+100</v>
      </c>
      <c r="DD1105">
        <v>0</v>
      </c>
      <c r="DE1105">
        <v>0</v>
      </c>
      <c r="DF1105">
        <v>0</v>
      </c>
      <c r="DG1105">
        <v>1</v>
      </c>
      <c r="DH1105">
        <v>1</v>
      </c>
      <c r="DI1105">
        <f t="shared" si="1484"/>
        <v>2</v>
      </c>
      <c r="DJ1105" t="str">
        <f t="shared" si="1485"/>
        <v>mixedProduct</v>
      </c>
      <c r="DK1105">
        <f t="shared" si="1486"/>
        <v>0</v>
      </c>
      <c r="DL1105">
        <f t="shared" si="1487"/>
        <v>0</v>
      </c>
      <c r="DM1105">
        <f t="shared" si="1488"/>
        <v>0</v>
      </c>
      <c r="DN1105" t="str">
        <f t="shared" si="1489"/>
        <v>Timber</v>
      </c>
      <c r="DO1105">
        <v>0</v>
      </c>
      <c r="DP1105">
        <v>0</v>
      </c>
      <c r="DQ1105">
        <v>0</v>
      </c>
      <c r="DR1105">
        <v>0</v>
      </c>
      <c r="DS1105">
        <v>0</v>
      </c>
      <c r="DT1105"/>
      <c r="DU1105" s="143" t="str">
        <f t="shared" si="1490"/>
        <v>explicit C balance</v>
      </c>
      <c r="DV1105">
        <v>0</v>
      </c>
      <c r="DW1105">
        <v>0</v>
      </c>
      <c r="DX1105">
        <v>1</v>
      </c>
      <c r="DY1105">
        <v>1</v>
      </c>
      <c r="DZ1105">
        <v>1</v>
      </c>
      <c r="EA1105">
        <v>1</v>
      </c>
      <c r="EB1105">
        <v>0</v>
      </c>
      <c r="EC1105">
        <v>1</v>
      </c>
      <c r="ED1105">
        <v>1</v>
      </c>
      <c r="EE1105">
        <v>1</v>
      </c>
      <c r="EF1105">
        <v>1</v>
      </c>
      <c r="EG1105">
        <v>1</v>
      </c>
      <c r="EH1105">
        <v>0</v>
      </c>
      <c r="EI1105" s="2">
        <v>0</v>
      </c>
      <c r="EK1105" t="str">
        <f t="shared" si="1464"/>
        <v>Whole sector</v>
      </c>
      <c r="EL1105" t="str">
        <f t="shared" si="1465"/>
        <v/>
      </c>
      <c r="EM1105" s="2" t="str">
        <f t="shared" si="1424"/>
        <v/>
      </c>
      <c r="EP1105" t="b">
        <f>IF(ISNUMBER(BU1105),IF(ABS(BU1105-[1]QC_indicators!$B$2)&gt;3*[1]QC_indicators!$C$2,"C ratio",IF(ISNUMBER(BY1105),IF(ABS(BY1105-[1]QC_indicators!$B$1)&gt;3*[1]QC_indicators!$C$1,"DF","no"))),IF(ISNUMBER(BY1105),IF(ABS(BY1105-[1]QC_indicators!$B$1)&gt;3*[1]QC_indicators!$C$1,"DF","no")))</f>
        <v>0</v>
      </c>
    </row>
    <row r="1106" spans="1:146" hidden="1">
      <c r="A1106" s="1" t="s">
        <v>667</v>
      </c>
      <c r="B1106" t="s">
        <v>3885</v>
      </c>
      <c r="C1106" t="s">
        <v>3886</v>
      </c>
      <c r="D1106" t="s">
        <v>3887</v>
      </c>
      <c r="E1106" t="s">
        <v>3888</v>
      </c>
      <c r="F1106" t="s">
        <v>3889</v>
      </c>
      <c r="G1106" t="s">
        <v>673</v>
      </c>
      <c r="H1106" t="s">
        <v>254</v>
      </c>
      <c r="I1106">
        <v>2016</v>
      </c>
      <c r="J1106">
        <v>46</v>
      </c>
      <c r="K1106" t="s">
        <v>3890</v>
      </c>
      <c r="M1106" t="str">
        <f t="shared" si="1430"/>
        <v>Penaloza_2016</v>
      </c>
      <c r="N1106" s="311" t="s">
        <v>4382</v>
      </c>
      <c r="O1106" s="171" t="s">
        <v>513</v>
      </c>
      <c r="P1106" t="s">
        <v>513</v>
      </c>
      <c r="Q1106" s="311" t="s">
        <v>389</v>
      </c>
      <c r="R1106" s="312"/>
      <c r="S1106" s="1" t="s">
        <v>3897</v>
      </c>
      <c r="T1106" t="s">
        <v>3892</v>
      </c>
      <c r="U1106" t="s">
        <v>3897</v>
      </c>
      <c r="V1106">
        <v>0</v>
      </c>
      <c r="W1106">
        <v>0</v>
      </c>
      <c r="X1106">
        <v>0</v>
      </c>
      <c r="Y1106">
        <v>0</v>
      </c>
      <c r="Z1106">
        <v>0</v>
      </c>
      <c r="AA1106">
        <v>0</v>
      </c>
      <c r="AB1106">
        <v>0</v>
      </c>
      <c r="AC1106">
        <v>0</v>
      </c>
      <c r="AD1106">
        <v>0</v>
      </c>
      <c r="AE1106">
        <v>0</v>
      </c>
      <c r="AF1106">
        <v>0</v>
      </c>
      <c r="AG1106">
        <v>0</v>
      </c>
      <c r="AH1106">
        <v>0</v>
      </c>
      <c r="AI1106">
        <v>1</v>
      </c>
      <c r="AJ1106">
        <v>0</v>
      </c>
      <c r="AK1106">
        <v>1</v>
      </c>
      <c r="AL1106">
        <v>0</v>
      </c>
      <c r="AM1106">
        <v>0</v>
      </c>
      <c r="AN1106">
        <v>0</v>
      </c>
      <c r="AO1106">
        <v>0</v>
      </c>
      <c r="AP1106">
        <v>0</v>
      </c>
      <c r="AQ1106">
        <v>0</v>
      </c>
      <c r="AR1106">
        <v>0</v>
      </c>
      <c r="AS1106">
        <v>0</v>
      </c>
      <c r="AT1106">
        <v>0</v>
      </c>
      <c r="AU1106">
        <v>0</v>
      </c>
      <c r="AV1106">
        <v>0</v>
      </c>
      <c r="AW1106">
        <v>0</v>
      </c>
      <c r="AX1106" s="141">
        <f t="shared" si="1466"/>
        <v>2</v>
      </c>
      <c r="AY1106" s="141">
        <f t="shared" si="1467"/>
        <v>2</v>
      </c>
      <c r="AZ1106">
        <f t="shared" si="1468"/>
        <v>0</v>
      </c>
      <c r="BA1106">
        <f t="shared" si="1469"/>
        <v>1</v>
      </c>
      <c r="BB1106">
        <f t="shared" si="1470"/>
        <v>1</v>
      </c>
      <c r="BC1106">
        <f t="shared" si="1471"/>
        <v>0</v>
      </c>
      <c r="BD1106">
        <f t="shared" si="1472"/>
        <v>0</v>
      </c>
      <c r="BE1106" t="str" cm="1">
        <f t="array" ref="BE1106">IF(AY1106=1,INDEX($V$7:$AL$7,MATCH(TRUE,INDEX($V1106:$AW1106&lt;&gt;0,),0)),IF(AY1106=0,INDEX($AM$7:$AW$7,MATCH(1,$AM1106:$AW1106,0)),IF(BF1106="Multiple strategies","mixed drivers",IF(BF1106="Supply chain","multiple supply","multiple silviculture"))))</f>
        <v>mixed drivers</v>
      </c>
      <c r="BF1106" s="2" t="str" cm="1">
        <f t="array" ref="BF1106">IF(COUNTIF(AZ1106:BB1106,"&lt;&gt;0")=1,INDEX($V$4:$AW$4,MATCH(TRUE,INDEX($V1106:$AW1106&lt;&gt;0,),0)),IF(COUNTIF(AZ1106:BB1106,"&lt;&gt;0")=0,INDEX($AM$4:$AW$4,MATCH(1,$AM1106:$AW1106,0)),"Multiple strategies"))</f>
        <v>Multiple strategies</v>
      </c>
      <c r="BM1106" t="str">
        <f t="shared" si="1473"/>
        <v/>
      </c>
      <c r="BP1106" s="311" t="s">
        <v>232</v>
      </c>
      <c r="BR1106" t="s">
        <v>3893</v>
      </c>
      <c r="BS1106">
        <v>-479</v>
      </c>
      <c r="BT1106">
        <v>-144</v>
      </c>
      <c r="BU1106" s="144">
        <f t="shared" si="1474"/>
        <v>0.30062630480167013</v>
      </c>
      <c r="BV1106">
        <f t="shared" si="1475"/>
        <v>335</v>
      </c>
      <c r="BX1106">
        <f t="shared" si="1476"/>
        <v>0.33500000000000002</v>
      </c>
      <c r="BY1106" t="str">
        <f t="shared" si="1419"/>
        <v/>
      </c>
      <c r="BZ1106">
        <v>0</v>
      </c>
      <c r="CA1106">
        <v>0</v>
      </c>
      <c r="CB1106">
        <v>0</v>
      </c>
      <c r="CC1106">
        <v>0</v>
      </c>
      <c r="CD1106">
        <v>0</v>
      </c>
      <c r="CE1106">
        <v>0</v>
      </c>
      <c r="CF1106">
        <v>0</v>
      </c>
      <c r="CG1106">
        <v>0</v>
      </c>
      <c r="CH1106">
        <v>0</v>
      </c>
      <c r="CI1106">
        <v>0</v>
      </c>
      <c r="CJ1106">
        <v>0</v>
      </c>
      <c r="CK1106">
        <v>0</v>
      </c>
      <c r="CL1106">
        <v>0</v>
      </c>
      <c r="CM1106">
        <v>0</v>
      </c>
      <c r="CN1106" t="str">
        <f t="shared" si="1477"/>
        <v>refOK</v>
      </c>
      <c r="CO1106"/>
      <c r="CP1106"/>
      <c r="CQ1106"/>
      <c r="CR1106">
        <f t="shared" si="1478"/>
        <v>-479</v>
      </c>
      <c r="CS1106">
        <f>IF($CN1106="refOK",$BT1106,$BS1106)*IF($BP1106="Emissions positive",-1,1)</f>
        <v>-144</v>
      </c>
      <c r="CT1106">
        <f t="shared" si="1479"/>
        <v>0.33500000000000002</v>
      </c>
      <c r="CU1106" t="str">
        <f t="shared" si="1480"/>
        <v/>
      </c>
      <c r="CV1106" s="2">
        <f t="shared" si="1481"/>
        <v>0.69937369519832981</v>
      </c>
      <c r="CW1106" s="1" t="s">
        <v>3796</v>
      </c>
      <c r="CX1106" s="311" t="str">
        <f t="shared" si="1482"/>
        <v>reg</v>
      </c>
      <c r="CY1106" t="s">
        <v>3894</v>
      </c>
      <c r="DB1106">
        <v>300</v>
      </c>
      <c r="DC1106" t="str">
        <f t="shared" si="1483"/>
        <v>+100</v>
      </c>
      <c r="DD1106">
        <v>0</v>
      </c>
      <c r="DE1106">
        <v>0</v>
      </c>
      <c r="DF1106">
        <v>0</v>
      </c>
      <c r="DG1106">
        <v>1</v>
      </c>
      <c r="DH1106">
        <v>1</v>
      </c>
      <c r="DI1106">
        <f t="shared" si="1484"/>
        <v>2</v>
      </c>
      <c r="DJ1106" t="str">
        <f t="shared" si="1485"/>
        <v>mixedProduct</v>
      </c>
      <c r="DK1106">
        <f t="shared" si="1486"/>
        <v>0</v>
      </c>
      <c r="DL1106">
        <f t="shared" si="1487"/>
        <v>0</v>
      </c>
      <c r="DM1106">
        <f t="shared" si="1488"/>
        <v>0</v>
      </c>
      <c r="DN1106" t="str">
        <f t="shared" si="1489"/>
        <v>Timber</v>
      </c>
      <c r="DO1106">
        <v>0</v>
      </c>
      <c r="DP1106">
        <v>0</v>
      </c>
      <c r="DQ1106">
        <v>0</v>
      </c>
      <c r="DR1106">
        <v>0</v>
      </c>
      <c r="DS1106">
        <v>0</v>
      </c>
      <c r="DT1106"/>
      <c r="DU1106" s="143" t="str">
        <f t="shared" si="1490"/>
        <v>explicit C balance</v>
      </c>
      <c r="DV1106">
        <v>0</v>
      </c>
      <c r="DW1106">
        <v>0</v>
      </c>
      <c r="DX1106">
        <v>1</v>
      </c>
      <c r="DY1106">
        <v>1</v>
      </c>
      <c r="DZ1106">
        <v>1</v>
      </c>
      <c r="EA1106">
        <v>1</v>
      </c>
      <c r="EB1106">
        <v>0</v>
      </c>
      <c r="EC1106">
        <v>1</v>
      </c>
      <c r="ED1106">
        <v>1</v>
      </c>
      <c r="EE1106">
        <v>1</v>
      </c>
      <c r="EF1106">
        <v>1</v>
      </c>
      <c r="EG1106">
        <v>1</v>
      </c>
      <c r="EH1106">
        <v>0</v>
      </c>
      <c r="EI1106" s="2">
        <v>0</v>
      </c>
      <c r="EK1106" t="str">
        <f t="shared" si="1464"/>
        <v>Whole sector</v>
      </c>
      <c r="EL1106" t="str">
        <f t="shared" si="1465"/>
        <v/>
      </c>
      <c r="EM1106" s="2" t="str">
        <f t="shared" si="1424"/>
        <v/>
      </c>
      <c r="EP1106" t="b">
        <f>IF(ISNUMBER(BU1106),IF(ABS(BU1106-[1]QC_indicators!$B$2)&gt;3*[1]QC_indicators!$C$2,"C ratio",IF(ISNUMBER(BY1106),IF(ABS(BY1106-[1]QC_indicators!$B$1)&gt;3*[1]QC_indicators!$C$1,"DF","no"))),IF(ISNUMBER(BY1106),IF(ABS(BY1106-[1]QC_indicators!$B$1)&gt;3*[1]QC_indicators!$C$1,"DF","no")))</f>
        <v>0</v>
      </c>
    </row>
    <row r="1107" spans="1:146" hidden="1">
      <c r="A1107" s="1" t="s">
        <v>667</v>
      </c>
      <c r="B1107" t="s">
        <v>3885</v>
      </c>
      <c r="C1107" t="s">
        <v>3886</v>
      </c>
      <c r="D1107" t="s">
        <v>3887</v>
      </c>
      <c r="E1107" t="s">
        <v>3888</v>
      </c>
      <c r="F1107" t="s">
        <v>3889</v>
      </c>
      <c r="G1107" t="s">
        <v>673</v>
      </c>
      <c r="H1107" t="s">
        <v>254</v>
      </c>
      <c r="I1107">
        <v>2016</v>
      </c>
      <c r="J1107">
        <v>46</v>
      </c>
      <c r="K1107" t="s">
        <v>3890</v>
      </c>
      <c r="M1107" t="str">
        <f t="shared" si="1430"/>
        <v>Penaloza_2016</v>
      </c>
      <c r="N1107" s="311" t="s">
        <v>4382</v>
      </c>
      <c r="O1107" s="171" t="s">
        <v>513</v>
      </c>
      <c r="P1107" t="s">
        <v>513</v>
      </c>
      <c r="Q1107" s="311" t="s">
        <v>389</v>
      </c>
      <c r="R1107" s="312"/>
      <c r="S1107" s="1" t="s">
        <v>3897</v>
      </c>
      <c r="T1107" t="s">
        <v>3892</v>
      </c>
      <c r="U1107" t="s">
        <v>3897</v>
      </c>
      <c r="V1107">
        <v>0</v>
      </c>
      <c r="W1107">
        <v>0</v>
      </c>
      <c r="X1107">
        <v>0</v>
      </c>
      <c r="Y1107">
        <v>0</v>
      </c>
      <c r="Z1107">
        <v>0</v>
      </c>
      <c r="AA1107">
        <v>0</v>
      </c>
      <c r="AB1107">
        <v>0</v>
      </c>
      <c r="AC1107">
        <v>0</v>
      </c>
      <c r="AD1107">
        <v>0</v>
      </c>
      <c r="AE1107">
        <v>0</v>
      </c>
      <c r="AF1107">
        <v>0</v>
      </c>
      <c r="AG1107">
        <v>0</v>
      </c>
      <c r="AH1107">
        <v>0</v>
      </c>
      <c r="AI1107">
        <v>1</v>
      </c>
      <c r="AJ1107">
        <v>0</v>
      </c>
      <c r="AK1107">
        <v>1</v>
      </c>
      <c r="AL1107">
        <v>0</v>
      </c>
      <c r="AM1107">
        <v>0</v>
      </c>
      <c r="AN1107">
        <v>0</v>
      </c>
      <c r="AO1107">
        <v>0</v>
      </c>
      <c r="AP1107">
        <v>0</v>
      </c>
      <c r="AQ1107">
        <v>0</v>
      </c>
      <c r="AR1107">
        <v>0</v>
      </c>
      <c r="AS1107">
        <v>0</v>
      </c>
      <c r="AT1107">
        <v>0</v>
      </c>
      <c r="AU1107">
        <v>0</v>
      </c>
      <c r="AV1107">
        <v>0</v>
      </c>
      <c r="AW1107">
        <v>0</v>
      </c>
      <c r="AX1107" s="141">
        <f t="shared" si="1466"/>
        <v>2</v>
      </c>
      <c r="AY1107" s="141">
        <f t="shared" si="1467"/>
        <v>2</v>
      </c>
      <c r="AZ1107">
        <f t="shared" si="1468"/>
        <v>0</v>
      </c>
      <c r="BA1107">
        <f t="shared" si="1469"/>
        <v>1</v>
      </c>
      <c r="BB1107">
        <f t="shared" si="1470"/>
        <v>1</v>
      </c>
      <c r="BC1107">
        <f t="shared" si="1471"/>
        <v>0</v>
      </c>
      <c r="BD1107">
        <f t="shared" si="1472"/>
        <v>0</v>
      </c>
      <c r="BE1107" t="str" cm="1">
        <f t="array" ref="BE1107">IF(AY1107=1,INDEX($V$7:$AL$7,MATCH(TRUE,INDEX($V1107:$AW1107&lt;&gt;0,),0)),IF(AY1107=0,INDEX($AM$7:$AW$7,MATCH(1,$AM1107:$AW1107,0)),IF(BF1107="Multiple strategies","mixed drivers",IF(BF1107="Supply chain","multiple supply","multiple silviculture"))))</f>
        <v>mixed drivers</v>
      </c>
      <c r="BF1107" s="2" t="str" cm="1">
        <f t="array" ref="BF1107">IF(COUNTIF(AZ1107:BB1107,"&lt;&gt;0")=1,INDEX($V$4:$AW$4,MATCH(TRUE,INDEX($V1107:$AW1107&lt;&gt;0,),0)),IF(COUNTIF(AZ1107:BB1107,"&lt;&gt;0")=0,INDEX($AM$4:$AW$4,MATCH(1,$AM1107:$AW1107,0)),"Multiple strategies"))</f>
        <v>Multiple strategies</v>
      </c>
      <c r="BM1107" t="str">
        <f t="shared" si="1473"/>
        <v/>
      </c>
      <c r="BP1107" s="311" t="s">
        <v>232</v>
      </c>
      <c r="BR1107" t="s">
        <v>3893</v>
      </c>
      <c r="BS1107">
        <v>-468</v>
      </c>
      <c r="BT1107">
        <v>-146</v>
      </c>
      <c r="BU1107" s="144">
        <f t="shared" si="1474"/>
        <v>0.31196581196581197</v>
      </c>
      <c r="BV1107">
        <f t="shared" si="1475"/>
        <v>322</v>
      </c>
      <c r="BX1107">
        <f t="shared" si="1476"/>
        <v>0.32200000000000001</v>
      </c>
      <c r="BY1107" t="str">
        <f t="shared" si="1419"/>
        <v/>
      </c>
      <c r="BZ1107">
        <v>0</v>
      </c>
      <c r="CA1107">
        <v>0</v>
      </c>
      <c r="CB1107">
        <v>0</v>
      </c>
      <c r="CC1107">
        <v>0</v>
      </c>
      <c r="CD1107">
        <v>0</v>
      </c>
      <c r="CE1107">
        <v>0</v>
      </c>
      <c r="CF1107">
        <v>0</v>
      </c>
      <c r="CG1107">
        <v>0</v>
      </c>
      <c r="CH1107">
        <v>0</v>
      </c>
      <c r="CI1107">
        <v>0</v>
      </c>
      <c r="CJ1107">
        <v>0</v>
      </c>
      <c r="CK1107">
        <v>0</v>
      </c>
      <c r="CL1107">
        <v>0</v>
      </c>
      <c r="CM1107">
        <v>0</v>
      </c>
      <c r="CN1107" t="str">
        <f t="shared" si="1477"/>
        <v>refOK</v>
      </c>
      <c r="CO1107"/>
      <c r="CP1107"/>
      <c r="CQ1107"/>
      <c r="CR1107">
        <f t="shared" si="1478"/>
        <v>-468</v>
      </c>
      <c r="CS1107">
        <v>-146</v>
      </c>
      <c r="CT1107">
        <f t="shared" si="1479"/>
        <v>0.32200000000000001</v>
      </c>
      <c r="CU1107" t="str">
        <f t="shared" si="1480"/>
        <v/>
      </c>
      <c r="CV1107" s="2">
        <f t="shared" si="1481"/>
        <v>0.68803418803418803</v>
      </c>
      <c r="CW1107" s="1" t="s">
        <v>3796</v>
      </c>
      <c r="CX1107" s="311" t="str">
        <f t="shared" si="1482"/>
        <v>reg</v>
      </c>
      <c r="CY1107" t="s">
        <v>3894</v>
      </c>
      <c r="DB1107">
        <v>100</v>
      </c>
      <c r="DC1107" t="str">
        <f t="shared" si="1483"/>
        <v>71-100</v>
      </c>
      <c r="DD1107">
        <v>0</v>
      </c>
      <c r="DE1107">
        <v>0</v>
      </c>
      <c r="DF1107">
        <v>0</v>
      </c>
      <c r="DG1107">
        <v>1</v>
      </c>
      <c r="DH1107">
        <v>1</v>
      </c>
      <c r="DI1107">
        <f t="shared" si="1484"/>
        <v>2</v>
      </c>
      <c r="DJ1107" t="str">
        <f t="shared" si="1485"/>
        <v>mixedProduct</v>
      </c>
      <c r="DK1107">
        <f t="shared" si="1486"/>
        <v>0</v>
      </c>
      <c r="DL1107">
        <f t="shared" si="1487"/>
        <v>0</v>
      </c>
      <c r="DM1107">
        <f t="shared" si="1488"/>
        <v>0</v>
      </c>
      <c r="DN1107" t="str">
        <f t="shared" si="1489"/>
        <v>Timber</v>
      </c>
      <c r="DO1107">
        <v>0</v>
      </c>
      <c r="DP1107">
        <v>0</v>
      </c>
      <c r="DQ1107">
        <v>0</v>
      </c>
      <c r="DR1107">
        <v>0</v>
      </c>
      <c r="DS1107">
        <v>0</v>
      </c>
      <c r="DT1107"/>
      <c r="DU1107" s="143" t="str">
        <f t="shared" si="1490"/>
        <v>explicit C balance</v>
      </c>
      <c r="DV1107">
        <v>0</v>
      </c>
      <c r="DW1107">
        <v>0</v>
      </c>
      <c r="DX1107">
        <v>1</v>
      </c>
      <c r="DY1107">
        <v>1</v>
      </c>
      <c r="DZ1107">
        <v>1</v>
      </c>
      <c r="EA1107">
        <v>1</v>
      </c>
      <c r="EB1107">
        <v>0</v>
      </c>
      <c r="EC1107">
        <v>1</v>
      </c>
      <c r="ED1107">
        <v>1</v>
      </c>
      <c r="EE1107">
        <v>1</v>
      </c>
      <c r="EF1107">
        <v>1</v>
      </c>
      <c r="EG1107">
        <v>1</v>
      </c>
      <c r="EH1107">
        <v>0</v>
      </c>
      <c r="EI1107" s="2">
        <v>0</v>
      </c>
      <c r="EK1107" t="str">
        <f t="shared" si="1464"/>
        <v>Whole sector</v>
      </c>
      <c r="EL1107" t="str">
        <f t="shared" si="1465"/>
        <v/>
      </c>
      <c r="EM1107" s="2" t="str">
        <f t="shared" si="1424"/>
        <v/>
      </c>
      <c r="EP1107" t="b">
        <f>IF(ISNUMBER(BU1107),IF(ABS(BU1107-[1]QC_indicators!$B$2)&gt;3*[1]QC_indicators!$C$2,"C ratio",IF(ISNUMBER(BY1107),IF(ABS(BY1107-[1]QC_indicators!$B$1)&gt;3*[1]QC_indicators!$C$1,"DF","no"))),IF(ISNUMBER(BY1107),IF(ABS(BY1107-[1]QC_indicators!$B$1)&gt;3*[1]QC_indicators!$C$1,"DF","no")))</f>
        <v>0</v>
      </c>
    </row>
    <row r="1108" spans="1:146" hidden="1">
      <c r="A1108" s="1" t="s">
        <v>667</v>
      </c>
      <c r="B1108" t="s">
        <v>3885</v>
      </c>
      <c r="C1108" t="s">
        <v>3886</v>
      </c>
      <c r="D1108" t="s">
        <v>3887</v>
      </c>
      <c r="E1108" t="s">
        <v>3888</v>
      </c>
      <c r="F1108" t="s">
        <v>3889</v>
      </c>
      <c r="G1108" t="s">
        <v>673</v>
      </c>
      <c r="H1108" t="s">
        <v>254</v>
      </c>
      <c r="I1108">
        <v>2016</v>
      </c>
      <c r="J1108">
        <v>46</v>
      </c>
      <c r="K1108" t="s">
        <v>3890</v>
      </c>
      <c r="M1108" t="str">
        <f t="shared" si="1430"/>
        <v>Penaloza_2016</v>
      </c>
      <c r="N1108" s="311" t="s">
        <v>4382</v>
      </c>
      <c r="O1108" s="171" t="s">
        <v>513</v>
      </c>
      <c r="P1108" t="s">
        <v>513</v>
      </c>
      <c r="Q1108" s="311" t="s">
        <v>389</v>
      </c>
      <c r="R1108" s="312"/>
      <c r="S1108" s="1" t="s">
        <v>3898</v>
      </c>
      <c r="T1108" t="s">
        <v>3896</v>
      </c>
      <c r="U1108" t="s">
        <v>3898</v>
      </c>
      <c r="V1108">
        <v>0</v>
      </c>
      <c r="W1108">
        <v>0</v>
      </c>
      <c r="X1108">
        <v>0</v>
      </c>
      <c r="Y1108">
        <v>0</v>
      </c>
      <c r="Z1108">
        <v>0</v>
      </c>
      <c r="AA1108">
        <v>0</v>
      </c>
      <c r="AB1108">
        <v>0</v>
      </c>
      <c r="AC1108">
        <v>0</v>
      </c>
      <c r="AD1108">
        <v>0</v>
      </c>
      <c r="AE1108">
        <v>0</v>
      </c>
      <c r="AF1108">
        <v>0</v>
      </c>
      <c r="AG1108">
        <v>0</v>
      </c>
      <c r="AH1108">
        <v>1</v>
      </c>
      <c r="AI1108">
        <v>0</v>
      </c>
      <c r="AJ1108">
        <v>0</v>
      </c>
      <c r="AK1108">
        <v>1</v>
      </c>
      <c r="AL1108">
        <v>0</v>
      </c>
      <c r="AM1108">
        <v>0</v>
      </c>
      <c r="AN1108">
        <v>0</v>
      </c>
      <c r="AO1108">
        <v>0</v>
      </c>
      <c r="AP1108">
        <v>0</v>
      </c>
      <c r="AQ1108">
        <v>0</v>
      </c>
      <c r="AR1108">
        <v>0</v>
      </c>
      <c r="AS1108">
        <v>0</v>
      </c>
      <c r="AT1108">
        <v>0</v>
      </c>
      <c r="AU1108">
        <v>0</v>
      </c>
      <c r="AV1108">
        <v>0</v>
      </c>
      <c r="AW1108">
        <v>0</v>
      </c>
      <c r="AX1108" s="141">
        <f t="shared" si="1466"/>
        <v>2</v>
      </c>
      <c r="AY1108" s="141">
        <f t="shared" si="1467"/>
        <v>2</v>
      </c>
      <c r="AZ1108">
        <f t="shared" si="1468"/>
        <v>0</v>
      </c>
      <c r="BA1108">
        <f t="shared" si="1469"/>
        <v>1</v>
      </c>
      <c r="BB1108">
        <f t="shared" si="1470"/>
        <v>1</v>
      </c>
      <c r="BC1108">
        <f t="shared" si="1471"/>
        <v>0</v>
      </c>
      <c r="BD1108">
        <f t="shared" si="1472"/>
        <v>0</v>
      </c>
      <c r="BE1108" t="str" cm="1">
        <f t="array" ref="BE1108">IF(AY1108=1,INDEX($V$7:$AL$7,MATCH(TRUE,INDEX($V1108:$AW1108&lt;&gt;0,),0)),IF(AY1108=0,INDEX($AM$7:$AW$7,MATCH(1,$AM1108:$AW1108,0)),IF(BF1108="Multiple strategies","mixed drivers",IF(BF1108="Supply chain","multiple supply","multiple silviculture"))))</f>
        <v>mixed drivers</v>
      </c>
      <c r="BF1108" s="2" t="str" cm="1">
        <f t="array" ref="BF1108">IF(COUNTIF(AZ1108:BB1108,"&lt;&gt;0")=1,INDEX($V$4:$AW$4,MATCH(TRUE,INDEX($V1108:$AW1108&lt;&gt;0,),0)),IF(COUNTIF(AZ1108:BB1108,"&lt;&gt;0")=0,INDEX($AM$4:$AW$4,MATCH(1,$AM1108:$AW1108,0)),"Multiple strategies"))</f>
        <v>Multiple strategies</v>
      </c>
      <c r="BM1108" t="str">
        <f t="shared" si="1473"/>
        <v/>
      </c>
      <c r="BP1108" s="311" t="s">
        <v>232</v>
      </c>
      <c r="BR1108" t="s">
        <v>3893</v>
      </c>
      <c r="BS1108">
        <v>-462</v>
      </c>
      <c r="BT1108">
        <v>-56</v>
      </c>
      <c r="BU1108" s="144">
        <f t="shared" si="1474"/>
        <v>0.12121212121212122</v>
      </c>
      <c r="BV1108">
        <f t="shared" si="1475"/>
        <v>406</v>
      </c>
      <c r="BX1108">
        <f t="shared" si="1476"/>
        <v>0.40600000000000003</v>
      </c>
      <c r="BY1108" t="str">
        <f t="shared" si="1419"/>
        <v/>
      </c>
      <c r="BZ1108">
        <v>0</v>
      </c>
      <c r="CA1108">
        <v>0</v>
      </c>
      <c r="CB1108">
        <v>0</v>
      </c>
      <c r="CC1108">
        <v>0</v>
      </c>
      <c r="CD1108">
        <v>0</v>
      </c>
      <c r="CE1108">
        <v>0</v>
      </c>
      <c r="CF1108">
        <v>0</v>
      </c>
      <c r="CG1108">
        <v>0</v>
      </c>
      <c r="CH1108">
        <v>0</v>
      </c>
      <c r="CI1108">
        <v>0</v>
      </c>
      <c r="CJ1108">
        <v>0</v>
      </c>
      <c r="CK1108">
        <v>0</v>
      </c>
      <c r="CL1108">
        <v>0</v>
      </c>
      <c r="CM1108">
        <v>0</v>
      </c>
      <c r="CN1108" t="str">
        <f t="shared" si="1477"/>
        <v>refOK</v>
      </c>
      <c r="CO1108"/>
      <c r="CP1108"/>
      <c r="CQ1108"/>
      <c r="CR1108">
        <f t="shared" si="1478"/>
        <v>-462</v>
      </c>
      <c r="CS1108">
        <v>-56</v>
      </c>
      <c r="CT1108">
        <f t="shared" si="1479"/>
        <v>0.40600000000000003</v>
      </c>
      <c r="CU1108" t="str">
        <f t="shared" si="1480"/>
        <v/>
      </c>
      <c r="CV1108" s="2">
        <f t="shared" si="1481"/>
        <v>0.87878787878787878</v>
      </c>
      <c r="CW1108" s="1" t="s">
        <v>3796</v>
      </c>
      <c r="CX1108" s="311" t="str">
        <f t="shared" si="1482"/>
        <v>reg</v>
      </c>
      <c r="CY1108" t="s">
        <v>3894</v>
      </c>
      <c r="DB1108">
        <v>100</v>
      </c>
      <c r="DC1108" t="str">
        <f t="shared" si="1483"/>
        <v>71-100</v>
      </c>
      <c r="DD1108">
        <v>0</v>
      </c>
      <c r="DE1108">
        <v>0</v>
      </c>
      <c r="DF1108">
        <v>0</v>
      </c>
      <c r="DG1108">
        <v>1</v>
      </c>
      <c r="DH1108">
        <v>1</v>
      </c>
      <c r="DI1108">
        <f t="shared" si="1484"/>
        <v>2</v>
      </c>
      <c r="DJ1108" t="str">
        <f t="shared" si="1485"/>
        <v>mixedProduct</v>
      </c>
      <c r="DK1108">
        <f t="shared" si="1486"/>
        <v>0</v>
      </c>
      <c r="DL1108">
        <f t="shared" si="1487"/>
        <v>0</v>
      </c>
      <c r="DM1108">
        <f t="shared" si="1488"/>
        <v>0</v>
      </c>
      <c r="DN1108" t="str">
        <f t="shared" si="1489"/>
        <v>Timber</v>
      </c>
      <c r="DO1108">
        <v>0</v>
      </c>
      <c r="DP1108">
        <v>0</v>
      </c>
      <c r="DQ1108">
        <v>0</v>
      </c>
      <c r="DR1108">
        <v>0</v>
      </c>
      <c r="DS1108">
        <v>0</v>
      </c>
      <c r="DT1108"/>
      <c r="DU1108" s="143" t="str">
        <f t="shared" si="1490"/>
        <v>explicit C balance</v>
      </c>
      <c r="DV1108">
        <v>0</v>
      </c>
      <c r="DW1108">
        <v>0</v>
      </c>
      <c r="DX1108">
        <v>1</v>
      </c>
      <c r="DY1108">
        <v>1</v>
      </c>
      <c r="DZ1108">
        <v>1</v>
      </c>
      <c r="EA1108">
        <v>1</v>
      </c>
      <c r="EB1108">
        <v>0</v>
      </c>
      <c r="EC1108">
        <v>1</v>
      </c>
      <c r="ED1108">
        <v>1</v>
      </c>
      <c r="EE1108">
        <v>1</v>
      </c>
      <c r="EF1108">
        <v>1</v>
      </c>
      <c r="EG1108">
        <v>1</v>
      </c>
      <c r="EH1108">
        <v>0</v>
      </c>
      <c r="EI1108" s="2">
        <v>0</v>
      </c>
      <c r="EK1108" t="str">
        <f t="shared" si="1464"/>
        <v>Whole sector</v>
      </c>
      <c r="EL1108" t="str">
        <f t="shared" si="1465"/>
        <v/>
      </c>
      <c r="EM1108" s="2" t="str">
        <f t="shared" si="1424"/>
        <v/>
      </c>
      <c r="EP1108" t="b">
        <f>IF(ISNUMBER(BU1108),IF(ABS(BU1108-[1]QC_indicators!$B$2)&gt;3*[1]QC_indicators!$C$2,"C ratio",IF(ISNUMBER(BY1108),IF(ABS(BY1108-[1]QC_indicators!$B$1)&gt;3*[1]QC_indicators!$C$1,"DF","no"))),IF(ISNUMBER(BY1108),IF(ABS(BY1108-[1]QC_indicators!$B$1)&gt;3*[1]QC_indicators!$C$1,"DF","no")))</f>
        <v>0</v>
      </c>
    </row>
    <row r="1109" spans="1:146" hidden="1">
      <c r="A1109" s="1" t="s">
        <v>667</v>
      </c>
      <c r="B1109" t="s">
        <v>3885</v>
      </c>
      <c r="C1109" t="s">
        <v>3886</v>
      </c>
      <c r="D1109" t="s">
        <v>3887</v>
      </c>
      <c r="E1109" t="s">
        <v>3888</v>
      </c>
      <c r="F1109" t="s">
        <v>3889</v>
      </c>
      <c r="G1109" t="s">
        <v>673</v>
      </c>
      <c r="H1109" t="s">
        <v>254</v>
      </c>
      <c r="I1109">
        <v>2016</v>
      </c>
      <c r="J1109">
        <v>46</v>
      </c>
      <c r="K1109" t="s">
        <v>3890</v>
      </c>
      <c r="M1109" t="str">
        <f t="shared" si="1430"/>
        <v>Penaloza_2016</v>
      </c>
      <c r="N1109" s="311" t="s">
        <v>4382</v>
      </c>
      <c r="O1109" s="171" t="s">
        <v>513</v>
      </c>
      <c r="P1109" t="s">
        <v>513</v>
      </c>
      <c r="Q1109" s="311" t="s">
        <v>389</v>
      </c>
      <c r="R1109" s="312"/>
      <c r="S1109" s="1" t="s">
        <v>3898</v>
      </c>
      <c r="T1109" t="s">
        <v>3896</v>
      </c>
      <c r="U1109" t="s">
        <v>3898</v>
      </c>
      <c r="V1109">
        <v>0</v>
      </c>
      <c r="W1109">
        <v>0</v>
      </c>
      <c r="X1109">
        <v>0</v>
      </c>
      <c r="Y1109">
        <v>0</v>
      </c>
      <c r="Z1109">
        <v>0</v>
      </c>
      <c r="AA1109">
        <v>0</v>
      </c>
      <c r="AB1109">
        <v>0</v>
      </c>
      <c r="AC1109">
        <v>0</v>
      </c>
      <c r="AD1109">
        <v>0</v>
      </c>
      <c r="AE1109">
        <v>0</v>
      </c>
      <c r="AF1109">
        <v>0</v>
      </c>
      <c r="AG1109">
        <v>0</v>
      </c>
      <c r="AH1109">
        <v>1</v>
      </c>
      <c r="AI1109">
        <v>0</v>
      </c>
      <c r="AJ1109">
        <v>0</v>
      </c>
      <c r="AK1109">
        <v>1</v>
      </c>
      <c r="AL1109">
        <v>0</v>
      </c>
      <c r="AM1109">
        <v>0</v>
      </c>
      <c r="AN1109">
        <v>0</v>
      </c>
      <c r="AO1109">
        <v>0</v>
      </c>
      <c r="AP1109">
        <v>0</v>
      </c>
      <c r="AQ1109">
        <v>0</v>
      </c>
      <c r="AR1109">
        <v>0</v>
      </c>
      <c r="AS1109">
        <v>0</v>
      </c>
      <c r="AT1109">
        <v>0</v>
      </c>
      <c r="AU1109">
        <v>0</v>
      </c>
      <c r="AV1109">
        <v>0</v>
      </c>
      <c r="AW1109">
        <v>0</v>
      </c>
      <c r="AX1109" s="141">
        <f t="shared" si="1466"/>
        <v>2</v>
      </c>
      <c r="AY1109" s="141">
        <f t="shared" si="1467"/>
        <v>2</v>
      </c>
      <c r="AZ1109">
        <f t="shared" si="1468"/>
        <v>0</v>
      </c>
      <c r="BA1109">
        <f t="shared" si="1469"/>
        <v>1</v>
      </c>
      <c r="BB1109">
        <f t="shared" si="1470"/>
        <v>1</v>
      </c>
      <c r="BC1109">
        <f t="shared" si="1471"/>
        <v>0</v>
      </c>
      <c r="BD1109">
        <f t="shared" si="1472"/>
        <v>0</v>
      </c>
      <c r="BE1109" t="str" cm="1">
        <f t="array" ref="BE1109">IF(AY1109=1,INDEX($V$7:$AL$7,MATCH(TRUE,INDEX($V1109:$AW1109&lt;&gt;0,),0)),IF(AY1109=0,INDEX($AM$7:$AW$7,MATCH(1,$AM1109:$AW1109,0)),IF(BF1109="Multiple strategies","mixed drivers",IF(BF1109="Supply chain","multiple supply","multiple silviculture"))))</f>
        <v>mixed drivers</v>
      </c>
      <c r="BF1109" s="2" t="str" cm="1">
        <f t="array" ref="BF1109">IF(COUNTIF(AZ1109:BB1109,"&lt;&gt;0")=1,INDEX($V$4:$AW$4,MATCH(TRUE,INDEX($V1109:$AW1109&lt;&gt;0,),0)),IF(COUNTIF(AZ1109:BB1109,"&lt;&gt;0")=0,INDEX($AM$4:$AW$4,MATCH(1,$AM1109:$AW1109,0)),"Multiple strategies"))</f>
        <v>Multiple strategies</v>
      </c>
      <c r="BM1109" t="str">
        <f t="shared" si="1473"/>
        <v/>
      </c>
      <c r="BP1109" s="311" t="s">
        <v>232</v>
      </c>
      <c r="BR1109" t="s">
        <v>3893</v>
      </c>
      <c r="BS1109">
        <v>-462</v>
      </c>
      <c r="BT1109">
        <v>-121</v>
      </c>
      <c r="BU1109" s="144">
        <f t="shared" si="1474"/>
        <v>0.26190476190476192</v>
      </c>
      <c r="BV1109">
        <f t="shared" si="1475"/>
        <v>341</v>
      </c>
      <c r="BX1109">
        <f t="shared" si="1476"/>
        <v>0.34100000000000003</v>
      </c>
      <c r="BY1109" t="str">
        <f t="shared" si="1419"/>
        <v/>
      </c>
      <c r="BZ1109">
        <v>0</v>
      </c>
      <c r="CA1109">
        <v>0</v>
      </c>
      <c r="CB1109">
        <v>0</v>
      </c>
      <c r="CC1109">
        <v>0</v>
      </c>
      <c r="CD1109">
        <v>0</v>
      </c>
      <c r="CE1109">
        <v>0</v>
      </c>
      <c r="CF1109">
        <v>0</v>
      </c>
      <c r="CG1109">
        <v>0</v>
      </c>
      <c r="CH1109">
        <v>0</v>
      </c>
      <c r="CI1109">
        <v>0</v>
      </c>
      <c r="CJ1109">
        <v>0</v>
      </c>
      <c r="CK1109">
        <v>0</v>
      </c>
      <c r="CL1109">
        <v>0</v>
      </c>
      <c r="CM1109">
        <v>0</v>
      </c>
      <c r="CN1109" t="str">
        <f t="shared" si="1477"/>
        <v>refOK</v>
      </c>
      <c r="CO1109"/>
      <c r="CP1109"/>
      <c r="CQ1109"/>
      <c r="CR1109">
        <f t="shared" si="1478"/>
        <v>-462</v>
      </c>
      <c r="CS1109">
        <f>IF($CN1109="refOK",$BT1109,$BS1109)*IF($BP1109="Emissions positive",-1,1)</f>
        <v>-121</v>
      </c>
      <c r="CT1109">
        <f t="shared" si="1479"/>
        <v>0.34100000000000003</v>
      </c>
      <c r="CU1109" t="str">
        <f t="shared" si="1480"/>
        <v/>
      </c>
      <c r="CV1109" s="2">
        <f t="shared" si="1481"/>
        <v>0.73809523809523814</v>
      </c>
      <c r="CW1109" s="1" t="s">
        <v>3796</v>
      </c>
      <c r="CX1109" s="311" t="str">
        <f t="shared" si="1482"/>
        <v>reg</v>
      </c>
      <c r="CY1109" t="s">
        <v>3894</v>
      </c>
      <c r="DB1109">
        <v>300</v>
      </c>
      <c r="DC1109" t="str">
        <f t="shared" si="1483"/>
        <v>+100</v>
      </c>
      <c r="DD1109">
        <v>0</v>
      </c>
      <c r="DE1109">
        <v>0</v>
      </c>
      <c r="DF1109">
        <v>0</v>
      </c>
      <c r="DG1109">
        <v>1</v>
      </c>
      <c r="DH1109">
        <v>1</v>
      </c>
      <c r="DI1109">
        <f t="shared" si="1484"/>
        <v>2</v>
      </c>
      <c r="DJ1109" t="str">
        <f t="shared" si="1485"/>
        <v>mixedProduct</v>
      </c>
      <c r="DK1109">
        <f t="shared" si="1486"/>
        <v>0</v>
      </c>
      <c r="DL1109">
        <f t="shared" si="1487"/>
        <v>0</v>
      </c>
      <c r="DM1109">
        <f t="shared" si="1488"/>
        <v>0</v>
      </c>
      <c r="DN1109" t="str">
        <f t="shared" si="1489"/>
        <v>Timber</v>
      </c>
      <c r="DO1109">
        <v>0</v>
      </c>
      <c r="DP1109">
        <v>0</v>
      </c>
      <c r="DQ1109">
        <v>0</v>
      </c>
      <c r="DR1109">
        <v>0</v>
      </c>
      <c r="DS1109">
        <v>0</v>
      </c>
      <c r="DT1109"/>
      <c r="DU1109" s="143" t="str">
        <f t="shared" si="1490"/>
        <v>explicit C balance</v>
      </c>
      <c r="DV1109">
        <v>0</v>
      </c>
      <c r="DW1109">
        <v>0</v>
      </c>
      <c r="DX1109">
        <v>1</v>
      </c>
      <c r="DY1109">
        <v>1</v>
      </c>
      <c r="DZ1109">
        <v>1</v>
      </c>
      <c r="EA1109">
        <v>1</v>
      </c>
      <c r="EB1109">
        <v>0</v>
      </c>
      <c r="EC1109">
        <v>1</v>
      </c>
      <c r="ED1109">
        <v>1</v>
      </c>
      <c r="EE1109">
        <v>1</v>
      </c>
      <c r="EF1109">
        <v>1</v>
      </c>
      <c r="EG1109">
        <v>1</v>
      </c>
      <c r="EH1109">
        <v>0</v>
      </c>
      <c r="EI1109" s="2">
        <v>0</v>
      </c>
      <c r="EK1109" t="str">
        <f t="shared" si="1464"/>
        <v>Whole sector</v>
      </c>
      <c r="EL1109" t="str">
        <f t="shared" si="1465"/>
        <v/>
      </c>
      <c r="EM1109" s="2" t="str">
        <f t="shared" si="1424"/>
        <v/>
      </c>
      <c r="EP1109" t="b">
        <f>IF(ISNUMBER(BU1109),IF(ABS(BU1109-[1]QC_indicators!$B$2)&gt;3*[1]QC_indicators!$C$2,"C ratio",IF(ISNUMBER(BY1109),IF(ABS(BY1109-[1]QC_indicators!$B$1)&gt;3*[1]QC_indicators!$C$1,"DF","no"))),IF(ISNUMBER(BY1109),IF(ABS(BY1109-[1]QC_indicators!$B$1)&gt;3*[1]QC_indicators!$C$1,"DF","no")))</f>
        <v>0</v>
      </c>
    </row>
    <row r="1110" spans="1:146" hidden="1">
      <c r="A1110" s="1" t="s">
        <v>667</v>
      </c>
      <c r="B1110" t="s">
        <v>3885</v>
      </c>
      <c r="C1110" t="s">
        <v>3886</v>
      </c>
      <c r="D1110" t="s">
        <v>3887</v>
      </c>
      <c r="E1110" t="s">
        <v>3888</v>
      </c>
      <c r="F1110" t="s">
        <v>3889</v>
      </c>
      <c r="G1110" t="s">
        <v>673</v>
      </c>
      <c r="H1110" t="s">
        <v>254</v>
      </c>
      <c r="I1110">
        <v>2016</v>
      </c>
      <c r="J1110">
        <v>46</v>
      </c>
      <c r="K1110" t="s">
        <v>3890</v>
      </c>
      <c r="M1110" t="str">
        <f t="shared" si="1430"/>
        <v>Penaloza_2016</v>
      </c>
      <c r="N1110" s="311" t="s">
        <v>4382</v>
      </c>
      <c r="O1110" s="171" t="s">
        <v>513</v>
      </c>
      <c r="P1110" t="s">
        <v>513</v>
      </c>
      <c r="Q1110" s="311" t="s">
        <v>389</v>
      </c>
      <c r="R1110" s="312"/>
      <c r="S1110" s="1" t="s">
        <v>3899</v>
      </c>
      <c r="T1110" t="s">
        <v>3900</v>
      </c>
      <c r="U1110" t="s">
        <v>3899</v>
      </c>
      <c r="V1110">
        <v>0</v>
      </c>
      <c r="W1110">
        <v>0</v>
      </c>
      <c r="X1110">
        <v>0</v>
      </c>
      <c r="Y1110">
        <v>0</v>
      </c>
      <c r="Z1110">
        <v>0</v>
      </c>
      <c r="AA1110">
        <v>0</v>
      </c>
      <c r="AB1110">
        <v>0</v>
      </c>
      <c r="AC1110">
        <v>0</v>
      </c>
      <c r="AD1110">
        <v>0</v>
      </c>
      <c r="AE1110">
        <v>0</v>
      </c>
      <c r="AF1110">
        <v>0</v>
      </c>
      <c r="AG1110">
        <v>0</v>
      </c>
      <c r="AH1110">
        <v>0</v>
      </c>
      <c r="AI1110">
        <v>0</v>
      </c>
      <c r="AJ1110">
        <v>0</v>
      </c>
      <c r="AK1110">
        <v>1</v>
      </c>
      <c r="AL1110">
        <v>0</v>
      </c>
      <c r="AM1110">
        <v>0</v>
      </c>
      <c r="AN1110">
        <v>0</v>
      </c>
      <c r="AO1110">
        <v>0</v>
      </c>
      <c r="AP1110">
        <v>0</v>
      </c>
      <c r="AQ1110">
        <v>0</v>
      </c>
      <c r="AR1110">
        <v>0</v>
      </c>
      <c r="AS1110">
        <v>0</v>
      </c>
      <c r="AT1110">
        <v>0</v>
      </c>
      <c r="AU1110">
        <v>0</v>
      </c>
      <c r="AV1110">
        <v>0</v>
      </c>
      <c r="AW1110">
        <v>0</v>
      </c>
      <c r="AX1110" s="141">
        <f t="shared" si="1466"/>
        <v>1</v>
      </c>
      <c r="AY1110" s="141">
        <f t="shared" si="1467"/>
        <v>1</v>
      </c>
      <c r="AZ1110">
        <f t="shared" si="1468"/>
        <v>0</v>
      </c>
      <c r="BA1110">
        <f t="shared" si="1469"/>
        <v>0</v>
      </c>
      <c r="BB1110">
        <f t="shared" si="1470"/>
        <v>1</v>
      </c>
      <c r="BC1110">
        <f t="shared" si="1471"/>
        <v>0</v>
      </c>
      <c r="BD1110">
        <f t="shared" si="1472"/>
        <v>0</v>
      </c>
      <c r="BE1110" t="str" cm="1">
        <f t="array" ref="BE1110">IF(AY1110=1,INDEX($V$7:$AL$7,MATCH(TRUE,INDEX($V1110:$AW1110&lt;&gt;0,),0)),IF(AY1110=0,INDEX($AM$7:$AW$7,MATCH(1,$AM1110:$AW1110,0)),IF(BF1110="Multiple strategies","mixed drivers",IF(BF1110="Supply chain","multiple supply","multiple silviculture"))))</f>
        <v>technologies/design switch</v>
      </c>
      <c r="BF1110" s="2" t="str" cm="1">
        <f t="array" ref="BF1110">IF(COUNTIF(AZ1110:BB1110,"&lt;&gt;0")=1,INDEX($V$4:$AW$4,MATCH(TRUE,INDEX($V1110:$AW1110&lt;&gt;0,),0)),IF(COUNTIF(AZ1110:BB1110,"&lt;&gt;0")=0,INDEX($AM$4:$AW$4,MATCH(1,$AM1110:$AW1110,0)),"Multiple strategies"))</f>
        <v>Technology</v>
      </c>
      <c r="BM1110" t="str">
        <f t="shared" si="1473"/>
        <v/>
      </c>
      <c r="BP1110" s="311" t="s">
        <v>232</v>
      </c>
      <c r="BR1110" t="s">
        <v>3893</v>
      </c>
      <c r="BS1110">
        <v>-462</v>
      </c>
      <c r="BT1110">
        <v>-5</v>
      </c>
      <c r="BU1110" s="144">
        <f t="shared" si="1474"/>
        <v>1.0822510822510822E-2</v>
      </c>
      <c r="BV1110">
        <f t="shared" si="1475"/>
        <v>457</v>
      </c>
      <c r="BX1110">
        <f t="shared" si="1476"/>
        <v>0.45700000000000002</v>
      </c>
      <c r="BY1110" t="str">
        <f t="shared" si="1419"/>
        <v/>
      </c>
      <c r="BZ1110">
        <v>0</v>
      </c>
      <c r="CA1110">
        <v>0</v>
      </c>
      <c r="CB1110">
        <v>0</v>
      </c>
      <c r="CC1110">
        <v>0</v>
      </c>
      <c r="CD1110">
        <v>0</v>
      </c>
      <c r="CE1110">
        <v>0</v>
      </c>
      <c r="CF1110">
        <v>0</v>
      </c>
      <c r="CG1110">
        <v>0</v>
      </c>
      <c r="CH1110">
        <v>0</v>
      </c>
      <c r="CI1110">
        <v>0</v>
      </c>
      <c r="CJ1110">
        <v>0</v>
      </c>
      <c r="CK1110">
        <v>0</v>
      </c>
      <c r="CL1110">
        <v>0</v>
      </c>
      <c r="CM1110">
        <v>0</v>
      </c>
      <c r="CN1110" t="str">
        <f t="shared" si="1477"/>
        <v>refOK</v>
      </c>
      <c r="CO1110"/>
      <c r="CP1110"/>
      <c r="CQ1110"/>
      <c r="CR1110">
        <f t="shared" si="1478"/>
        <v>-462</v>
      </c>
      <c r="CS1110">
        <f>IF($CN1110="refOK",$BT1110,$BS1110)*IF($BP1110="Emissions positive",-1,1)</f>
        <v>-5</v>
      </c>
      <c r="CT1110">
        <f t="shared" si="1479"/>
        <v>0.45700000000000002</v>
      </c>
      <c r="CU1110" t="str">
        <f t="shared" si="1480"/>
        <v/>
      </c>
      <c r="CV1110" s="2">
        <f t="shared" si="1481"/>
        <v>0.98917748917748916</v>
      </c>
      <c r="CW1110" s="1" t="s">
        <v>3796</v>
      </c>
      <c r="CX1110" s="311" t="str">
        <f t="shared" si="1482"/>
        <v>reg</v>
      </c>
      <c r="CY1110" t="s">
        <v>3894</v>
      </c>
      <c r="DB1110">
        <v>100</v>
      </c>
      <c r="DC1110" t="str">
        <f t="shared" si="1483"/>
        <v>71-100</v>
      </c>
      <c r="DD1110">
        <v>0</v>
      </c>
      <c r="DE1110">
        <v>0</v>
      </c>
      <c r="DF1110">
        <v>0</v>
      </c>
      <c r="DG1110">
        <v>1</v>
      </c>
      <c r="DH1110">
        <v>1</v>
      </c>
      <c r="DI1110">
        <f t="shared" si="1484"/>
        <v>2</v>
      </c>
      <c r="DJ1110" t="str">
        <f t="shared" si="1485"/>
        <v>mixedProduct</v>
      </c>
      <c r="DK1110">
        <f t="shared" si="1486"/>
        <v>0</v>
      </c>
      <c r="DL1110">
        <f t="shared" si="1487"/>
        <v>0</v>
      </c>
      <c r="DM1110">
        <f t="shared" si="1488"/>
        <v>0</v>
      </c>
      <c r="DN1110" t="str">
        <f t="shared" si="1489"/>
        <v>Timber</v>
      </c>
      <c r="DO1110">
        <v>0</v>
      </c>
      <c r="DP1110">
        <v>0</v>
      </c>
      <c r="DQ1110">
        <v>0</v>
      </c>
      <c r="DR1110">
        <v>0</v>
      </c>
      <c r="DS1110">
        <v>0</v>
      </c>
      <c r="DT1110"/>
      <c r="DU1110" s="143" t="str">
        <f t="shared" si="1490"/>
        <v>explicit C balance</v>
      </c>
      <c r="DV1110">
        <v>0</v>
      </c>
      <c r="DW1110">
        <v>0</v>
      </c>
      <c r="DX1110">
        <v>1</v>
      </c>
      <c r="DY1110">
        <v>1</v>
      </c>
      <c r="DZ1110">
        <v>1</v>
      </c>
      <c r="EA1110">
        <v>1</v>
      </c>
      <c r="EB1110">
        <v>0</v>
      </c>
      <c r="EC1110">
        <v>1</v>
      </c>
      <c r="ED1110">
        <v>1</v>
      </c>
      <c r="EE1110">
        <v>1</v>
      </c>
      <c r="EF1110">
        <v>1</v>
      </c>
      <c r="EG1110">
        <v>1</v>
      </c>
      <c r="EH1110">
        <v>0</v>
      </c>
      <c r="EI1110" s="2">
        <v>0</v>
      </c>
      <c r="EK1110" t="str">
        <f t="shared" si="1464"/>
        <v>Whole sector</v>
      </c>
      <c r="EL1110" t="str">
        <f t="shared" si="1465"/>
        <v/>
      </c>
      <c r="EM1110" s="2" t="str">
        <f t="shared" si="1424"/>
        <v/>
      </c>
      <c r="EP1110" t="b">
        <f>IF(ISNUMBER(BU1110),IF(ABS(BU1110-[1]QC_indicators!$B$2)&gt;3*[1]QC_indicators!$C$2,"C ratio",IF(ISNUMBER(BY1110),IF(ABS(BY1110-[1]QC_indicators!$B$1)&gt;3*[1]QC_indicators!$C$1,"DF","no"))),IF(ISNUMBER(BY1110),IF(ABS(BY1110-[1]QC_indicators!$B$1)&gt;3*[1]QC_indicators!$C$1,"DF","no")))</f>
        <v>0</v>
      </c>
    </row>
    <row r="1111" spans="1:146" hidden="1">
      <c r="A1111" s="1" t="s">
        <v>667</v>
      </c>
      <c r="B1111" t="s">
        <v>3885</v>
      </c>
      <c r="C1111" t="s">
        <v>3886</v>
      </c>
      <c r="D1111" t="s">
        <v>3887</v>
      </c>
      <c r="E1111" t="s">
        <v>3888</v>
      </c>
      <c r="F1111" t="s">
        <v>3889</v>
      </c>
      <c r="G1111" t="s">
        <v>673</v>
      </c>
      <c r="H1111" t="s">
        <v>254</v>
      </c>
      <c r="I1111">
        <v>2016</v>
      </c>
      <c r="J1111">
        <v>46</v>
      </c>
      <c r="K1111" t="s">
        <v>3890</v>
      </c>
      <c r="M1111" t="str">
        <f t="shared" si="1430"/>
        <v>Penaloza_2016</v>
      </c>
      <c r="N1111" s="311" t="s">
        <v>4382</v>
      </c>
      <c r="O1111" s="171" t="s">
        <v>513</v>
      </c>
      <c r="P1111" t="s">
        <v>513</v>
      </c>
      <c r="Q1111" s="311" t="s">
        <v>389</v>
      </c>
      <c r="R1111" s="312"/>
      <c r="S1111" s="1" t="s">
        <v>3899</v>
      </c>
      <c r="T1111" t="s">
        <v>3900</v>
      </c>
      <c r="U1111" t="s">
        <v>3899</v>
      </c>
      <c r="V1111">
        <v>0</v>
      </c>
      <c r="W1111">
        <v>0</v>
      </c>
      <c r="X1111">
        <v>0</v>
      </c>
      <c r="Y1111">
        <v>0</v>
      </c>
      <c r="Z1111">
        <v>0</v>
      </c>
      <c r="AA1111">
        <v>0</v>
      </c>
      <c r="AB1111">
        <v>0</v>
      </c>
      <c r="AC1111">
        <v>0</v>
      </c>
      <c r="AD1111">
        <v>0</v>
      </c>
      <c r="AE1111">
        <v>0</v>
      </c>
      <c r="AF1111">
        <v>0</v>
      </c>
      <c r="AG1111">
        <v>0</v>
      </c>
      <c r="AH1111">
        <v>0</v>
      </c>
      <c r="AI1111">
        <v>0</v>
      </c>
      <c r="AJ1111">
        <v>0</v>
      </c>
      <c r="AK1111">
        <v>1</v>
      </c>
      <c r="AL1111">
        <v>0</v>
      </c>
      <c r="AM1111">
        <v>0</v>
      </c>
      <c r="AN1111">
        <v>0</v>
      </c>
      <c r="AO1111">
        <v>0</v>
      </c>
      <c r="AP1111">
        <v>0</v>
      </c>
      <c r="AQ1111">
        <v>0</v>
      </c>
      <c r="AR1111">
        <v>0</v>
      </c>
      <c r="AS1111">
        <v>0</v>
      </c>
      <c r="AT1111">
        <v>0</v>
      </c>
      <c r="AU1111">
        <v>0</v>
      </c>
      <c r="AV1111">
        <v>0</v>
      </c>
      <c r="AW1111">
        <v>0</v>
      </c>
      <c r="AX1111" s="141">
        <f t="shared" si="1466"/>
        <v>1</v>
      </c>
      <c r="AY1111" s="141">
        <f t="shared" si="1467"/>
        <v>1</v>
      </c>
      <c r="AZ1111">
        <f t="shared" si="1468"/>
        <v>0</v>
      </c>
      <c r="BA1111">
        <f t="shared" si="1469"/>
        <v>0</v>
      </c>
      <c r="BB1111">
        <f t="shared" si="1470"/>
        <v>1</v>
      </c>
      <c r="BC1111">
        <f t="shared" si="1471"/>
        <v>0</v>
      </c>
      <c r="BD1111">
        <f t="shared" si="1472"/>
        <v>0</v>
      </c>
      <c r="BE1111" t="str" cm="1">
        <f t="array" ref="BE1111">IF(AY1111=1,INDEX($V$7:$AL$7,MATCH(TRUE,INDEX($V1111:$AW1111&lt;&gt;0,),0)),IF(AY1111=0,INDEX($AM$7:$AW$7,MATCH(1,$AM1111:$AW1111,0)),IF(BF1111="Multiple strategies","mixed drivers",IF(BF1111="Supply chain","multiple supply","multiple silviculture"))))</f>
        <v>technologies/design switch</v>
      </c>
      <c r="BF1111" s="2" t="str" cm="1">
        <f t="array" ref="BF1111">IF(COUNTIF(AZ1111:BB1111,"&lt;&gt;0")=1,INDEX($V$4:$AW$4,MATCH(TRUE,INDEX($V1111:$AW1111&lt;&gt;0,),0)),IF(COUNTIF(AZ1111:BB1111,"&lt;&gt;0")=0,INDEX($AM$4:$AW$4,MATCH(1,$AM1111:$AW1111,0)),"Multiple strategies"))</f>
        <v>Technology</v>
      </c>
      <c r="BM1111" t="str">
        <f t="shared" si="1473"/>
        <v/>
      </c>
      <c r="BP1111" s="311" t="s">
        <v>232</v>
      </c>
      <c r="BR1111" t="s">
        <v>3893</v>
      </c>
      <c r="BS1111">
        <v>-463</v>
      </c>
      <c r="BT1111">
        <v>-79</v>
      </c>
      <c r="BU1111" s="144">
        <f t="shared" si="1474"/>
        <v>0.17062634989200864</v>
      </c>
      <c r="BV1111">
        <f t="shared" si="1475"/>
        <v>384</v>
      </c>
      <c r="BX1111">
        <f t="shared" si="1476"/>
        <v>0.38400000000000001</v>
      </c>
      <c r="BY1111" t="str">
        <f t="shared" si="1419"/>
        <v/>
      </c>
      <c r="BZ1111">
        <v>0</v>
      </c>
      <c r="CA1111">
        <v>0</v>
      </c>
      <c r="CB1111">
        <v>0</v>
      </c>
      <c r="CC1111">
        <v>0</v>
      </c>
      <c r="CD1111">
        <v>0</v>
      </c>
      <c r="CE1111">
        <v>0</v>
      </c>
      <c r="CF1111">
        <v>0</v>
      </c>
      <c r="CG1111">
        <v>0</v>
      </c>
      <c r="CH1111">
        <v>0</v>
      </c>
      <c r="CI1111">
        <v>0</v>
      </c>
      <c r="CJ1111">
        <v>0</v>
      </c>
      <c r="CK1111">
        <v>0</v>
      </c>
      <c r="CL1111">
        <v>0</v>
      </c>
      <c r="CM1111">
        <v>0</v>
      </c>
      <c r="CN1111" t="str">
        <f t="shared" si="1477"/>
        <v>refOK</v>
      </c>
      <c r="CO1111"/>
      <c r="CP1111"/>
      <c r="CQ1111"/>
      <c r="CR1111">
        <f t="shared" si="1478"/>
        <v>-463</v>
      </c>
      <c r="CS1111">
        <f>IF($CN1111="refOK",$BT1111,$BS1111)*IF($BP1111="Emissions positive",-1,1)</f>
        <v>-79</v>
      </c>
      <c r="CT1111">
        <f t="shared" si="1479"/>
        <v>0.38400000000000001</v>
      </c>
      <c r="CU1111" t="str">
        <f t="shared" si="1480"/>
        <v/>
      </c>
      <c r="CV1111" s="2">
        <f t="shared" si="1481"/>
        <v>0.82937365010799136</v>
      </c>
      <c r="CW1111" s="1" t="s">
        <v>3796</v>
      </c>
      <c r="CX1111" s="311" t="str">
        <f t="shared" si="1482"/>
        <v>reg</v>
      </c>
      <c r="CY1111" t="s">
        <v>3894</v>
      </c>
      <c r="DB1111">
        <v>300</v>
      </c>
      <c r="DC1111" t="str">
        <f t="shared" si="1483"/>
        <v>+100</v>
      </c>
      <c r="DD1111">
        <v>0</v>
      </c>
      <c r="DE1111">
        <v>0</v>
      </c>
      <c r="DF1111">
        <v>0</v>
      </c>
      <c r="DG1111">
        <v>1</v>
      </c>
      <c r="DH1111">
        <v>1</v>
      </c>
      <c r="DI1111">
        <f t="shared" si="1484"/>
        <v>2</v>
      </c>
      <c r="DJ1111" t="str">
        <f t="shared" si="1485"/>
        <v>mixedProduct</v>
      </c>
      <c r="DK1111">
        <f t="shared" si="1486"/>
        <v>0</v>
      </c>
      <c r="DL1111">
        <f t="shared" si="1487"/>
        <v>0</v>
      </c>
      <c r="DM1111">
        <f t="shared" si="1488"/>
        <v>0</v>
      </c>
      <c r="DN1111" t="str">
        <f t="shared" si="1489"/>
        <v>Timber</v>
      </c>
      <c r="DO1111">
        <v>0</v>
      </c>
      <c r="DP1111">
        <v>0</v>
      </c>
      <c r="DQ1111">
        <v>0</v>
      </c>
      <c r="DR1111">
        <v>0</v>
      </c>
      <c r="DS1111">
        <v>0</v>
      </c>
      <c r="DT1111"/>
      <c r="DU1111" s="143" t="str">
        <f t="shared" si="1490"/>
        <v>explicit C balance</v>
      </c>
      <c r="DV1111">
        <v>0</v>
      </c>
      <c r="DW1111">
        <v>0</v>
      </c>
      <c r="DX1111">
        <v>1</v>
      </c>
      <c r="DY1111">
        <v>1</v>
      </c>
      <c r="DZ1111">
        <v>1</v>
      </c>
      <c r="EA1111">
        <v>1</v>
      </c>
      <c r="EB1111">
        <v>0</v>
      </c>
      <c r="EC1111">
        <v>1</v>
      </c>
      <c r="ED1111">
        <v>1</v>
      </c>
      <c r="EE1111">
        <v>1</v>
      </c>
      <c r="EF1111">
        <v>1</v>
      </c>
      <c r="EG1111">
        <v>1</v>
      </c>
      <c r="EH1111">
        <v>0</v>
      </c>
      <c r="EI1111" s="2">
        <v>0</v>
      </c>
      <c r="EK1111" t="str">
        <f t="shared" si="1464"/>
        <v>Whole sector</v>
      </c>
      <c r="EL1111" t="str">
        <f t="shared" si="1465"/>
        <v/>
      </c>
      <c r="EM1111" s="2" t="str">
        <f t="shared" si="1424"/>
        <v/>
      </c>
      <c r="EP1111" t="b">
        <f>IF(ISNUMBER(BU1111),IF(ABS(BU1111-[1]QC_indicators!$B$2)&gt;3*[1]QC_indicators!$C$2,"C ratio",IF(ISNUMBER(BY1111),IF(ABS(BY1111-[1]QC_indicators!$B$1)&gt;3*[1]QC_indicators!$C$1,"DF","no"))),IF(ISNUMBER(BY1111),IF(ABS(BY1111-[1]QC_indicators!$B$1)&gt;3*[1]QC_indicators!$C$1,"DF","no")))</f>
        <v>0</v>
      </c>
    </row>
    <row r="1112" spans="1:146" hidden="1">
      <c r="A1112" s="1" t="s">
        <v>667</v>
      </c>
      <c r="B1112" t="s">
        <v>3885</v>
      </c>
      <c r="C1112" t="s">
        <v>3886</v>
      </c>
      <c r="D1112" t="s">
        <v>3887</v>
      </c>
      <c r="E1112" t="s">
        <v>3888</v>
      </c>
      <c r="F1112" t="s">
        <v>3889</v>
      </c>
      <c r="G1112" t="s">
        <v>673</v>
      </c>
      <c r="H1112" t="s">
        <v>254</v>
      </c>
      <c r="I1112">
        <v>2016</v>
      </c>
      <c r="J1112">
        <v>46</v>
      </c>
      <c r="K1112" t="s">
        <v>3890</v>
      </c>
      <c r="M1112" t="str">
        <f t="shared" si="1430"/>
        <v>Penaloza_2016</v>
      </c>
      <c r="N1112" s="311" t="s">
        <v>4382</v>
      </c>
      <c r="O1112" s="171" t="s">
        <v>513</v>
      </c>
      <c r="P1112" t="s">
        <v>513</v>
      </c>
      <c r="Q1112" s="311" t="s">
        <v>389</v>
      </c>
      <c r="R1112" s="312"/>
      <c r="S1112" s="1" t="s">
        <v>3901</v>
      </c>
      <c r="T1112" t="s">
        <v>3900</v>
      </c>
      <c r="U1112" t="s">
        <v>3901</v>
      </c>
      <c r="V1112">
        <v>0</v>
      </c>
      <c r="W1112">
        <v>0</v>
      </c>
      <c r="X1112">
        <v>0</v>
      </c>
      <c r="Y1112">
        <v>0</v>
      </c>
      <c r="Z1112">
        <v>0</v>
      </c>
      <c r="AA1112">
        <v>0</v>
      </c>
      <c r="AB1112">
        <v>0</v>
      </c>
      <c r="AC1112">
        <v>0</v>
      </c>
      <c r="AD1112">
        <v>0</v>
      </c>
      <c r="AE1112">
        <v>0</v>
      </c>
      <c r="AF1112">
        <v>0</v>
      </c>
      <c r="AG1112">
        <v>0</v>
      </c>
      <c r="AH1112">
        <v>0</v>
      </c>
      <c r="AI1112">
        <v>0</v>
      </c>
      <c r="AJ1112">
        <v>0</v>
      </c>
      <c r="AK1112">
        <v>1</v>
      </c>
      <c r="AL1112">
        <v>0</v>
      </c>
      <c r="AM1112">
        <v>0</v>
      </c>
      <c r="AN1112">
        <v>0</v>
      </c>
      <c r="AO1112">
        <v>0</v>
      </c>
      <c r="AP1112">
        <v>0</v>
      </c>
      <c r="AQ1112">
        <v>0</v>
      </c>
      <c r="AR1112">
        <v>0</v>
      </c>
      <c r="AS1112">
        <v>0</v>
      </c>
      <c r="AT1112">
        <v>0</v>
      </c>
      <c r="AU1112">
        <v>0</v>
      </c>
      <c r="AV1112">
        <v>0</v>
      </c>
      <c r="AW1112">
        <v>0</v>
      </c>
      <c r="AX1112" s="141">
        <f t="shared" si="1466"/>
        <v>1</v>
      </c>
      <c r="AY1112" s="141">
        <f t="shared" si="1467"/>
        <v>1</v>
      </c>
      <c r="AZ1112">
        <f t="shared" si="1468"/>
        <v>0</v>
      </c>
      <c r="BA1112">
        <f t="shared" si="1469"/>
        <v>0</v>
      </c>
      <c r="BB1112">
        <f t="shared" si="1470"/>
        <v>1</v>
      </c>
      <c r="BC1112">
        <f t="shared" si="1471"/>
        <v>0</v>
      </c>
      <c r="BD1112">
        <f t="shared" si="1472"/>
        <v>0</v>
      </c>
      <c r="BE1112" t="str" cm="1">
        <f t="array" ref="BE1112">IF(AY1112=1,INDEX($V$7:$AL$7,MATCH(TRUE,INDEX($V1112:$AW1112&lt;&gt;0,),0)),IF(AY1112=0,INDEX($AM$7:$AW$7,MATCH(1,$AM1112:$AW1112,0)),IF(BF1112="Multiple strategies","mixed drivers",IF(BF1112="Supply chain","multiple supply","multiple silviculture"))))</f>
        <v>technologies/design switch</v>
      </c>
      <c r="BF1112" s="2" t="str" cm="1">
        <f t="array" ref="BF1112">IF(COUNTIF(AZ1112:BB1112,"&lt;&gt;0")=1,INDEX($V$4:$AW$4,MATCH(TRUE,INDEX($V1112:$AW1112&lt;&gt;0,),0)),IF(COUNTIF(AZ1112:BB1112,"&lt;&gt;0")=0,INDEX($AM$4:$AW$4,MATCH(1,$AM1112:$AW1112,0)),"Multiple strategies"))</f>
        <v>Technology</v>
      </c>
      <c r="BM1112" t="str">
        <f t="shared" si="1473"/>
        <v/>
      </c>
      <c r="BP1112" s="311" t="s">
        <v>232</v>
      </c>
      <c r="BR1112" t="s">
        <v>3893</v>
      </c>
      <c r="BS1112">
        <v>-462</v>
      </c>
      <c r="BT1112">
        <v>188</v>
      </c>
      <c r="BU1112" s="144">
        <f t="shared" si="1474"/>
        <v>-0.40692640692640691</v>
      </c>
      <c r="BV1112">
        <f t="shared" si="1475"/>
        <v>650</v>
      </c>
      <c r="BX1112">
        <f t="shared" si="1476"/>
        <v>0.65</v>
      </c>
      <c r="BY1112" t="str">
        <f t="shared" si="1419"/>
        <v/>
      </c>
      <c r="BZ1112">
        <v>0</v>
      </c>
      <c r="CA1112">
        <v>0</v>
      </c>
      <c r="CB1112">
        <v>0</v>
      </c>
      <c r="CC1112">
        <v>0</v>
      </c>
      <c r="CD1112">
        <v>0</v>
      </c>
      <c r="CE1112">
        <v>0</v>
      </c>
      <c r="CF1112">
        <v>0</v>
      </c>
      <c r="CG1112">
        <v>0</v>
      </c>
      <c r="CH1112">
        <v>0</v>
      </c>
      <c r="CI1112">
        <v>0</v>
      </c>
      <c r="CJ1112">
        <v>0</v>
      </c>
      <c r="CK1112">
        <v>0</v>
      </c>
      <c r="CL1112">
        <v>0</v>
      </c>
      <c r="CM1112">
        <v>0</v>
      </c>
      <c r="CN1112" t="str">
        <f t="shared" si="1477"/>
        <v>refOK</v>
      </c>
      <c r="CO1112"/>
      <c r="CP1112"/>
      <c r="CQ1112"/>
      <c r="CR1112">
        <f t="shared" si="1478"/>
        <v>-462</v>
      </c>
      <c r="CS1112">
        <v>188</v>
      </c>
      <c r="CT1112">
        <f t="shared" si="1479"/>
        <v>0.65</v>
      </c>
      <c r="CU1112" t="str">
        <f t="shared" si="1480"/>
        <v/>
      </c>
      <c r="CV1112" s="2">
        <f t="shared" si="1481"/>
        <v>1.4069264069264069</v>
      </c>
      <c r="CW1112" s="1" t="s">
        <v>3796</v>
      </c>
      <c r="CX1112" s="311" t="str">
        <f t="shared" si="1482"/>
        <v>reg</v>
      </c>
      <c r="CY1112" t="s">
        <v>3894</v>
      </c>
      <c r="DB1112">
        <v>100</v>
      </c>
      <c r="DC1112" t="str">
        <f t="shared" si="1483"/>
        <v>71-100</v>
      </c>
      <c r="DD1112">
        <v>0</v>
      </c>
      <c r="DE1112">
        <v>0</v>
      </c>
      <c r="DF1112">
        <v>0</v>
      </c>
      <c r="DG1112">
        <v>1</v>
      </c>
      <c r="DH1112">
        <v>1</v>
      </c>
      <c r="DI1112">
        <f t="shared" si="1484"/>
        <v>2</v>
      </c>
      <c r="DJ1112" t="str">
        <f t="shared" si="1485"/>
        <v>mixedProduct</v>
      </c>
      <c r="DK1112">
        <f t="shared" si="1486"/>
        <v>0</v>
      </c>
      <c r="DL1112">
        <f t="shared" si="1487"/>
        <v>0</v>
      </c>
      <c r="DM1112">
        <f t="shared" si="1488"/>
        <v>0</v>
      </c>
      <c r="DN1112" t="str">
        <f t="shared" si="1489"/>
        <v>Timber</v>
      </c>
      <c r="DO1112">
        <v>0</v>
      </c>
      <c r="DP1112">
        <v>0</v>
      </c>
      <c r="DQ1112">
        <v>0</v>
      </c>
      <c r="DR1112">
        <v>0</v>
      </c>
      <c r="DS1112">
        <v>0</v>
      </c>
      <c r="DT1112"/>
      <c r="DU1112" s="143" t="str">
        <f t="shared" si="1490"/>
        <v>explicit C balance</v>
      </c>
      <c r="DV1112">
        <v>0</v>
      </c>
      <c r="DW1112">
        <v>0</v>
      </c>
      <c r="DX1112">
        <v>1</v>
      </c>
      <c r="DY1112">
        <v>1</v>
      </c>
      <c r="DZ1112">
        <v>1</v>
      </c>
      <c r="EA1112">
        <v>1</v>
      </c>
      <c r="EB1112">
        <v>0</v>
      </c>
      <c r="EC1112">
        <v>1</v>
      </c>
      <c r="ED1112">
        <v>1</v>
      </c>
      <c r="EE1112">
        <v>1</v>
      </c>
      <c r="EF1112">
        <v>1</v>
      </c>
      <c r="EG1112">
        <v>1</v>
      </c>
      <c r="EH1112">
        <v>0</v>
      </c>
      <c r="EI1112" s="2">
        <v>0</v>
      </c>
      <c r="EK1112" t="str">
        <f t="shared" si="1464"/>
        <v>Whole sector</v>
      </c>
      <c r="EL1112" t="str">
        <f t="shared" si="1465"/>
        <v/>
      </c>
      <c r="EM1112" s="2" t="str">
        <f t="shared" si="1424"/>
        <v/>
      </c>
      <c r="EP1112" t="b">
        <f>IF(ISNUMBER(BU1112),IF(ABS(BU1112-[1]QC_indicators!$B$2)&gt;3*[1]QC_indicators!$C$2,"C ratio",IF(ISNUMBER(BY1112),IF(ABS(BY1112-[1]QC_indicators!$B$1)&gt;3*[1]QC_indicators!$C$1,"DF","no"))),IF(ISNUMBER(BY1112),IF(ABS(BY1112-[1]QC_indicators!$B$1)&gt;3*[1]QC_indicators!$C$1,"DF","no")))</f>
        <v>0</v>
      </c>
    </row>
    <row r="1113" spans="1:146" hidden="1">
      <c r="A1113" s="1" t="s">
        <v>667</v>
      </c>
      <c r="B1113" t="s">
        <v>3885</v>
      </c>
      <c r="C1113" t="s">
        <v>3886</v>
      </c>
      <c r="D1113" t="s">
        <v>3887</v>
      </c>
      <c r="E1113" t="s">
        <v>3888</v>
      </c>
      <c r="F1113" t="s">
        <v>3889</v>
      </c>
      <c r="G1113" t="s">
        <v>673</v>
      </c>
      <c r="H1113" t="s">
        <v>254</v>
      </c>
      <c r="I1113">
        <v>2016</v>
      </c>
      <c r="J1113">
        <v>46</v>
      </c>
      <c r="K1113" t="s">
        <v>3890</v>
      </c>
      <c r="M1113" t="str">
        <f t="shared" si="1430"/>
        <v>Penaloza_2016</v>
      </c>
      <c r="N1113" s="311" t="s">
        <v>4382</v>
      </c>
      <c r="O1113" s="171" t="s">
        <v>513</v>
      </c>
      <c r="P1113" t="s">
        <v>513</v>
      </c>
      <c r="Q1113" s="311" t="s">
        <v>389</v>
      </c>
      <c r="R1113" s="312"/>
      <c r="S1113" s="1" t="s">
        <v>3901</v>
      </c>
      <c r="T1113" t="s">
        <v>3900</v>
      </c>
      <c r="U1113" t="s">
        <v>3901</v>
      </c>
      <c r="V1113">
        <v>0</v>
      </c>
      <c r="W1113">
        <v>0</v>
      </c>
      <c r="X1113">
        <v>0</v>
      </c>
      <c r="Y1113">
        <v>0</v>
      </c>
      <c r="Z1113">
        <v>0</v>
      </c>
      <c r="AA1113">
        <v>0</v>
      </c>
      <c r="AB1113">
        <v>0</v>
      </c>
      <c r="AC1113">
        <v>0</v>
      </c>
      <c r="AD1113">
        <v>0</v>
      </c>
      <c r="AE1113">
        <v>0</v>
      </c>
      <c r="AF1113">
        <v>0</v>
      </c>
      <c r="AG1113">
        <v>0</v>
      </c>
      <c r="AH1113">
        <v>0</v>
      </c>
      <c r="AI1113">
        <v>0</v>
      </c>
      <c r="AJ1113">
        <v>0</v>
      </c>
      <c r="AK1113">
        <v>1</v>
      </c>
      <c r="AL1113">
        <v>0</v>
      </c>
      <c r="AM1113">
        <v>0</v>
      </c>
      <c r="AN1113">
        <v>0</v>
      </c>
      <c r="AO1113">
        <v>0</v>
      </c>
      <c r="AP1113">
        <v>0</v>
      </c>
      <c r="AQ1113">
        <v>0</v>
      </c>
      <c r="AR1113">
        <v>0</v>
      </c>
      <c r="AS1113">
        <v>0</v>
      </c>
      <c r="AT1113">
        <v>0</v>
      </c>
      <c r="AU1113">
        <v>0</v>
      </c>
      <c r="AV1113">
        <v>0</v>
      </c>
      <c r="AW1113">
        <v>0</v>
      </c>
      <c r="AX1113" s="141">
        <f t="shared" si="1466"/>
        <v>1</v>
      </c>
      <c r="AY1113" s="141">
        <f t="shared" si="1467"/>
        <v>1</v>
      </c>
      <c r="AZ1113">
        <f t="shared" si="1468"/>
        <v>0</v>
      </c>
      <c r="BA1113">
        <f t="shared" si="1469"/>
        <v>0</v>
      </c>
      <c r="BB1113">
        <f t="shared" si="1470"/>
        <v>1</v>
      </c>
      <c r="BC1113">
        <f t="shared" si="1471"/>
        <v>0</v>
      </c>
      <c r="BD1113">
        <f t="shared" si="1472"/>
        <v>0</v>
      </c>
      <c r="BE1113" t="str" cm="1">
        <f t="array" ref="BE1113">IF(AY1113=1,INDEX($V$7:$AL$7,MATCH(TRUE,INDEX($V1113:$AW1113&lt;&gt;0,),0)),IF(AY1113=0,INDEX($AM$7:$AW$7,MATCH(1,$AM1113:$AW1113,0)),IF(BF1113="Multiple strategies","mixed drivers",IF(BF1113="Supply chain","multiple supply","multiple silviculture"))))</f>
        <v>technologies/design switch</v>
      </c>
      <c r="BF1113" s="2" t="str" cm="1">
        <f t="array" ref="BF1113">IF(COUNTIF(AZ1113:BB1113,"&lt;&gt;0")=1,INDEX($V$4:$AW$4,MATCH(TRUE,INDEX($V1113:$AW1113&lt;&gt;0,),0)),IF(COUNTIF(AZ1113:BB1113,"&lt;&gt;0")=0,INDEX($AM$4:$AW$4,MATCH(1,$AM1113:$AW1113,0)),"Multiple strategies"))</f>
        <v>Technology</v>
      </c>
      <c r="BM1113" t="str">
        <f t="shared" si="1473"/>
        <v/>
      </c>
      <c r="BP1113" s="311" t="s">
        <v>232</v>
      </c>
      <c r="BR1113" t="s">
        <v>3893</v>
      </c>
      <c r="BS1113">
        <v>-463</v>
      </c>
      <c r="BT1113">
        <v>70</v>
      </c>
      <c r="BU1113" s="144">
        <f t="shared" si="1474"/>
        <v>-0.15118790496760259</v>
      </c>
      <c r="BV1113">
        <f t="shared" si="1475"/>
        <v>533</v>
      </c>
      <c r="BX1113">
        <f t="shared" si="1476"/>
        <v>0.53300000000000003</v>
      </c>
      <c r="BY1113" t="str">
        <f t="shared" si="1419"/>
        <v/>
      </c>
      <c r="BZ1113">
        <v>0</v>
      </c>
      <c r="CA1113">
        <v>0</v>
      </c>
      <c r="CB1113">
        <v>0</v>
      </c>
      <c r="CC1113">
        <v>0</v>
      </c>
      <c r="CD1113">
        <v>0</v>
      </c>
      <c r="CE1113">
        <v>0</v>
      </c>
      <c r="CF1113">
        <v>0</v>
      </c>
      <c r="CG1113">
        <v>0</v>
      </c>
      <c r="CH1113">
        <v>0</v>
      </c>
      <c r="CI1113">
        <v>0</v>
      </c>
      <c r="CJ1113">
        <v>0</v>
      </c>
      <c r="CK1113">
        <v>0</v>
      </c>
      <c r="CL1113">
        <v>0</v>
      </c>
      <c r="CM1113">
        <v>0</v>
      </c>
      <c r="CN1113" t="str">
        <f t="shared" si="1477"/>
        <v>refOK</v>
      </c>
      <c r="CO1113"/>
      <c r="CP1113"/>
      <c r="CQ1113"/>
      <c r="CR1113">
        <f t="shared" si="1478"/>
        <v>-463</v>
      </c>
      <c r="CS1113">
        <f>IF($CN1113="refOK",$BT1113,$BS1113)*IF($BP1113="Emissions positive",-1,1)</f>
        <v>70</v>
      </c>
      <c r="CT1113">
        <f t="shared" si="1479"/>
        <v>0.53300000000000003</v>
      </c>
      <c r="CU1113" t="str">
        <f t="shared" si="1480"/>
        <v/>
      </c>
      <c r="CV1113" s="2">
        <f t="shared" si="1481"/>
        <v>1.1511879049676026</v>
      </c>
      <c r="CW1113" s="1" t="s">
        <v>3796</v>
      </c>
      <c r="CX1113" s="311" t="str">
        <f t="shared" si="1482"/>
        <v>reg</v>
      </c>
      <c r="CY1113" t="s">
        <v>3894</v>
      </c>
      <c r="DB1113">
        <v>300</v>
      </c>
      <c r="DC1113" t="str">
        <f t="shared" si="1483"/>
        <v>+100</v>
      </c>
      <c r="DD1113">
        <v>0</v>
      </c>
      <c r="DE1113">
        <v>0</v>
      </c>
      <c r="DF1113">
        <v>0</v>
      </c>
      <c r="DG1113">
        <v>1</v>
      </c>
      <c r="DH1113">
        <v>1</v>
      </c>
      <c r="DI1113">
        <f t="shared" si="1484"/>
        <v>2</v>
      </c>
      <c r="DJ1113" t="str">
        <f t="shared" si="1485"/>
        <v>mixedProduct</v>
      </c>
      <c r="DK1113">
        <f t="shared" si="1486"/>
        <v>0</v>
      </c>
      <c r="DL1113">
        <f t="shared" si="1487"/>
        <v>0</v>
      </c>
      <c r="DM1113">
        <f t="shared" si="1488"/>
        <v>0</v>
      </c>
      <c r="DN1113" t="str">
        <f t="shared" si="1489"/>
        <v>Timber</v>
      </c>
      <c r="DO1113">
        <v>0</v>
      </c>
      <c r="DP1113">
        <v>0</v>
      </c>
      <c r="DQ1113">
        <v>0</v>
      </c>
      <c r="DR1113">
        <v>0</v>
      </c>
      <c r="DS1113">
        <v>0</v>
      </c>
      <c r="DT1113"/>
      <c r="DU1113" s="143" t="str">
        <f t="shared" si="1490"/>
        <v>explicit C balance</v>
      </c>
      <c r="DV1113">
        <v>0</v>
      </c>
      <c r="DW1113">
        <v>0</v>
      </c>
      <c r="DX1113">
        <v>1</v>
      </c>
      <c r="DY1113">
        <v>1</v>
      </c>
      <c r="DZ1113">
        <v>1</v>
      </c>
      <c r="EA1113">
        <v>1</v>
      </c>
      <c r="EB1113">
        <v>0</v>
      </c>
      <c r="EC1113">
        <v>1</v>
      </c>
      <c r="ED1113">
        <v>1</v>
      </c>
      <c r="EE1113">
        <v>1</v>
      </c>
      <c r="EF1113">
        <v>1</v>
      </c>
      <c r="EG1113">
        <v>1</v>
      </c>
      <c r="EH1113">
        <v>0</v>
      </c>
      <c r="EI1113" s="2">
        <v>0</v>
      </c>
      <c r="EK1113" t="str">
        <f t="shared" si="1464"/>
        <v>Whole sector</v>
      </c>
      <c r="EL1113" t="str">
        <f t="shared" si="1465"/>
        <v/>
      </c>
      <c r="EM1113" s="2" t="str">
        <f t="shared" si="1424"/>
        <v/>
      </c>
      <c r="EP1113" t="b">
        <f>IF(ISNUMBER(BU1113),IF(ABS(BU1113-[1]QC_indicators!$B$2)&gt;3*[1]QC_indicators!$C$2,"C ratio",IF(ISNUMBER(BY1113),IF(ABS(BY1113-[1]QC_indicators!$B$1)&gt;3*[1]QC_indicators!$C$1,"DF","no"))),IF(ISNUMBER(BY1113),IF(ABS(BY1113-[1]QC_indicators!$B$1)&gt;3*[1]QC_indicators!$C$1,"DF","no")))</f>
        <v>0</v>
      </c>
    </row>
    <row r="1114" spans="1:146" hidden="1">
      <c r="A1114" s="1" t="s">
        <v>667</v>
      </c>
      <c r="B1114" t="s">
        <v>3885</v>
      </c>
      <c r="C1114" t="s">
        <v>3886</v>
      </c>
      <c r="D1114" t="s">
        <v>3887</v>
      </c>
      <c r="E1114" t="s">
        <v>3888</v>
      </c>
      <c r="F1114" t="s">
        <v>3889</v>
      </c>
      <c r="G1114" t="s">
        <v>673</v>
      </c>
      <c r="H1114" t="s">
        <v>254</v>
      </c>
      <c r="I1114">
        <v>2016</v>
      </c>
      <c r="J1114">
        <v>46</v>
      </c>
      <c r="K1114" t="s">
        <v>3890</v>
      </c>
      <c r="M1114" t="str">
        <f t="shared" si="1430"/>
        <v>Penaloza_2016</v>
      </c>
      <c r="N1114" s="311" t="s">
        <v>4382</v>
      </c>
      <c r="O1114" s="171" t="s">
        <v>513</v>
      </c>
      <c r="P1114" t="s">
        <v>513</v>
      </c>
      <c r="Q1114" s="311" t="s">
        <v>389</v>
      </c>
      <c r="R1114" s="312"/>
      <c r="S1114" s="1" t="s">
        <v>3902</v>
      </c>
      <c r="T1114" t="s">
        <v>3903</v>
      </c>
      <c r="U1114" t="s">
        <v>3902</v>
      </c>
      <c r="V1114">
        <v>0</v>
      </c>
      <c r="W1114">
        <v>0</v>
      </c>
      <c r="X1114">
        <v>0</v>
      </c>
      <c r="Y1114">
        <v>0</v>
      </c>
      <c r="Z1114">
        <v>0</v>
      </c>
      <c r="AA1114">
        <v>0</v>
      </c>
      <c r="AB1114">
        <v>0</v>
      </c>
      <c r="AC1114">
        <v>0</v>
      </c>
      <c r="AD1114">
        <v>0</v>
      </c>
      <c r="AE1114">
        <v>0</v>
      </c>
      <c r="AF1114">
        <v>0</v>
      </c>
      <c r="AG1114">
        <v>0</v>
      </c>
      <c r="AH1114">
        <v>0</v>
      </c>
      <c r="AI1114">
        <v>0</v>
      </c>
      <c r="AJ1114">
        <v>0</v>
      </c>
      <c r="AK1114">
        <v>1</v>
      </c>
      <c r="AL1114">
        <v>0</v>
      </c>
      <c r="AM1114">
        <v>0</v>
      </c>
      <c r="AN1114">
        <v>0</v>
      </c>
      <c r="AO1114">
        <v>0</v>
      </c>
      <c r="AP1114">
        <v>0</v>
      </c>
      <c r="AQ1114">
        <v>0</v>
      </c>
      <c r="AR1114">
        <v>0</v>
      </c>
      <c r="AS1114">
        <v>0</v>
      </c>
      <c r="AT1114">
        <v>0</v>
      </c>
      <c r="AU1114">
        <v>0</v>
      </c>
      <c r="AV1114">
        <v>0</v>
      </c>
      <c r="AW1114">
        <v>0</v>
      </c>
      <c r="AX1114" s="141">
        <f t="shared" si="1466"/>
        <v>1</v>
      </c>
      <c r="AY1114" s="141">
        <f t="shared" si="1467"/>
        <v>1</v>
      </c>
      <c r="AZ1114">
        <f t="shared" si="1468"/>
        <v>0</v>
      </c>
      <c r="BA1114">
        <f t="shared" si="1469"/>
        <v>0</v>
      </c>
      <c r="BB1114">
        <f t="shared" si="1470"/>
        <v>1</v>
      </c>
      <c r="BC1114">
        <f t="shared" si="1471"/>
        <v>0</v>
      </c>
      <c r="BD1114">
        <f t="shared" si="1472"/>
        <v>0</v>
      </c>
      <c r="BE1114" t="str" cm="1">
        <f t="array" ref="BE1114">IF(AY1114=1,INDEX($V$7:$AL$7,MATCH(TRUE,INDEX($V1114:$AW1114&lt;&gt;0,),0)),IF(AY1114=0,INDEX($AM$7:$AW$7,MATCH(1,$AM1114:$AW1114,0)),IF(BF1114="Multiple strategies","mixed drivers",IF(BF1114="Supply chain","multiple supply","multiple silviculture"))))</f>
        <v>technologies/design switch</v>
      </c>
      <c r="BF1114" s="2" t="str" cm="1">
        <f t="array" ref="BF1114">IF(COUNTIF(AZ1114:BB1114,"&lt;&gt;0")=1,INDEX($V$4:$AW$4,MATCH(TRUE,INDEX($V1114:$AW1114&lt;&gt;0,),0)),IF(COUNTIF(AZ1114:BB1114,"&lt;&gt;0")=0,INDEX($AM$4:$AW$4,MATCH(1,$AM1114:$AW1114,0)),"Multiple strategies"))</f>
        <v>Technology</v>
      </c>
      <c r="BM1114" t="str">
        <f t="shared" si="1473"/>
        <v/>
      </c>
      <c r="BP1114" s="311" t="s">
        <v>232</v>
      </c>
      <c r="BR1114" t="s">
        <v>3893</v>
      </c>
      <c r="BS1114">
        <v>-462</v>
      </c>
      <c r="BT1114">
        <v>-218</v>
      </c>
      <c r="BU1114" s="144">
        <f t="shared" si="1474"/>
        <v>0.47186147186147187</v>
      </c>
      <c r="BV1114">
        <f t="shared" si="1475"/>
        <v>244</v>
      </c>
      <c r="BX1114">
        <f t="shared" si="1476"/>
        <v>0.24399999999999999</v>
      </c>
      <c r="BY1114" t="str">
        <f t="shared" si="1419"/>
        <v/>
      </c>
      <c r="BZ1114">
        <v>0</v>
      </c>
      <c r="CA1114">
        <v>0</v>
      </c>
      <c r="CB1114">
        <v>0</v>
      </c>
      <c r="CC1114">
        <v>0</v>
      </c>
      <c r="CD1114">
        <v>0</v>
      </c>
      <c r="CE1114">
        <v>0</v>
      </c>
      <c r="CF1114">
        <v>0</v>
      </c>
      <c r="CG1114">
        <v>0</v>
      </c>
      <c r="CH1114">
        <v>0</v>
      </c>
      <c r="CI1114">
        <v>0</v>
      </c>
      <c r="CJ1114">
        <v>0</v>
      </c>
      <c r="CK1114">
        <v>0</v>
      </c>
      <c r="CL1114">
        <v>0</v>
      </c>
      <c r="CM1114">
        <v>0</v>
      </c>
      <c r="CN1114" t="str">
        <f t="shared" si="1477"/>
        <v>refOK</v>
      </c>
      <c r="CO1114"/>
      <c r="CP1114"/>
      <c r="CQ1114"/>
      <c r="CR1114">
        <f t="shared" si="1478"/>
        <v>-462</v>
      </c>
      <c r="CS1114">
        <v>-218</v>
      </c>
      <c r="CT1114">
        <f t="shared" si="1479"/>
        <v>0.24399999999999999</v>
      </c>
      <c r="CU1114" t="str">
        <f t="shared" si="1480"/>
        <v/>
      </c>
      <c r="CV1114" s="2">
        <f t="shared" si="1481"/>
        <v>0.52813852813852813</v>
      </c>
      <c r="CW1114" s="1" t="s">
        <v>3796</v>
      </c>
      <c r="CX1114" s="311" t="str">
        <f t="shared" si="1482"/>
        <v>reg</v>
      </c>
      <c r="CY1114" t="s">
        <v>3894</v>
      </c>
      <c r="DB1114">
        <v>300</v>
      </c>
      <c r="DC1114" t="str">
        <f t="shared" si="1483"/>
        <v>+100</v>
      </c>
      <c r="DD1114">
        <v>0</v>
      </c>
      <c r="DE1114">
        <v>0</v>
      </c>
      <c r="DF1114">
        <v>0</v>
      </c>
      <c r="DG1114">
        <v>1</v>
      </c>
      <c r="DH1114">
        <v>1</v>
      </c>
      <c r="DI1114">
        <f t="shared" si="1484"/>
        <v>2</v>
      </c>
      <c r="DJ1114" t="str">
        <f t="shared" si="1485"/>
        <v>mixedProduct</v>
      </c>
      <c r="DK1114">
        <f t="shared" si="1486"/>
        <v>0</v>
      </c>
      <c r="DL1114">
        <f t="shared" si="1487"/>
        <v>0</v>
      </c>
      <c r="DM1114">
        <f t="shared" si="1488"/>
        <v>0</v>
      </c>
      <c r="DN1114" t="str">
        <f t="shared" si="1489"/>
        <v>Timber</v>
      </c>
      <c r="DO1114">
        <v>0</v>
      </c>
      <c r="DP1114">
        <v>0</v>
      </c>
      <c r="DQ1114">
        <v>0</v>
      </c>
      <c r="DR1114">
        <v>0</v>
      </c>
      <c r="DS1114">
        <v>0</v>
      </c>
      <c r="DT1114"/>
      <c r="DU1114" s="143" t="str">
        <f t="shared" si="1490"/>
        <v>explicit C balance</v>
      </c>
      <c r="DV1114">
        <v>0</v>
      </c>
      <c r="DW1114">
        <v>0</v>
      </c>
      <c r="DX1114">
        <v>1</v>
      </c>
      <c r="DY1114">
        <v>1</v>
      </c>
      <c r="DZ1114">
        <v>1</v>
      </c>
      <c r="EA1114">
        <v>1</v>
      </c>
      <c r="EB1114">
        <v>0</v>
      </c>
      <c r="EC1114">
        <v>1</v>
      </c>
      <c r="ED1114">
        <v>1</v>
      </c>
      <c r="EE1114">
        <v>1</v>
      </c>
      <c r="EF1114">
        <v>1</v>
      </c>
      <c r="EG1114">
        <v>1</v>
      </c>
      <c r="EH1114">
        <v>0</v>
      </c>
      <c r="EI1114" s="2">
        <v>0</v>
      </c>
      <c r="EK1114" t="str">
        <f t="shared" si="1464"/>
        <v>Whole sector</v>
      </c>
      <c r="EL1114" t="str">
        <f t="shared" si="1465"/>
        <v/>
      </c>
      <c r="EM1114" s="2" t="str">
        <f t="shared" si="1424"/>
        <v/>
      </c>
      <c r="EP1114" t="b">
        <f>IF(ISNUMBER(BU1114),IF(ABS(BU1114-[1]QC_indicators!$B$2)&gt;3*[1]QC_indicators!$C$2,"C ratio",IF(ISNUMBER(BY1114),IF(ABS(BY1114-[1]QC_indicators!$B$1)&gt;3*[1]QC_indicators!$C$1,"DF","no"))),IF(ISNUMBER(BY1114),IF(ABS(BY1114-[1]QC_indicators!$B$1)&gt;3*[1]QC_indicators!$C$1,"DF","no")))</f>
        <v>0</v>
      </c>
    </row>
    <row r="1115" spans="1:146" hidden="1">
      <c r="A1115" s="1" t="s">
        <v>667</v>
      </c>
      <c r="B1115" t="s">
        <v>3885</v>
      </c>
      <c r="C1115" t="s">
        <v>3886</v>
      </c>
      <c r="D1115" t="s">
        <v>3887</v>
      </c>
      <c r="E1115" t="s">
        <v>3888</v>
      </c>
      <c r="F1115" t="s">
        <v>3889</v>
      </c>
      <c r="G1115" t="s">
        <v>673</v>
      </c>
      <c r="H1115" t="s">
        <v>254</v>
      </c>
      <c r="I1115">
        <v>2016</v>
      </c>
      <c r="J1115">
        <v>46</v>
      </c>
      <c r="K1115" t="s">
        <v>3890</v>
      </c>
      <c r="M1115" t="str">
        <f t="shared" si="1430"/>
        <v>Penaloza_2016</v>
      </c>
      <c r="N1115" s="311" t="s">
        <v>4382</v>
      </c>
      <c r="O1115" s="171" t="s">
        <v>513</v>
      </c>
      <c r="P1115" t="s">
        <v>513</v>
      </c>
      <c r="Q1115" s="311" t="s">
        <v>389</v>
      </c>
      <c r="R1115" s="312"/>
      <c r="S1115" s="1" t="s">
        <v>3902</v>
      </c>
      <c r="T1115" t="s">
        <v>3903</v>
      </c>
      <c r="U1115" t="s">
        <v>3902</v>
      </c>
      <c r="V1115">
        <v>0</v>
      </c>
      <c r="W1115">
        <v>0</v>
      </c>
      <c r="X1115">
        <v>0</v>
      </c>
      <c r="Y1115">
        <v>0</v>
      </c>
      <c r="Z1115">
        <v>0</v>
      </c>
      <c r="AA1115">
        <v>0</v>
      </c>
      <c r="AB1115">
        <v>0</v>
      </c>
      <c r="AC1115">
        <v>0</v>
      </c>
      <c r="AD1115">
        <v>0</v>
      </c>
      <c r="AE1115">
        <v>0</v>
      </c>
      <c r="AF1115">
        <v>0</v>
      </c>
      <c r="AG1115">
        <v>0</v>
      </c>
      <c r="AH1115">
        <v>0</v>
      </c>
      <c r="AI1115">
        <v>0</v>
      </c>
      <c r="AJ1115">
        <v>0</v>
      </c>
      <c r="AK1115">
        <v>1</v>
      </c>
      <c r="AL1115">
        <v>0</v>
      </c>
      <c r="AM1115">
        <v>0</v>
      </c>
      <c r="AN1115">
        <v>0</v>
      </c>
      <c r="AO1115">
        <v>0</v>
      </c>
      <c r="AP1115">
        <v>0</v>
      </c>
      <c r="AQ1115">
        <v>0</v>
      </c>
      <c r="AR1115">
        <v>0</v>
      </c>
      <c r="AS1115">
        <v>0</v>
      </c>
      <c r="AT1115">
        <v>0</v>
      </c>
      <c r="AU1115">
        <v>0</v>
      </c>
      <c r="AV1115">
        <v>0</v>
      </c>
      <c r="AW1115">
        <v>0</v>
      </c>
      <c r="AX1115" s="141">
        <f t="shared" si="1466"/>
        <v>1</v>
      </c>
      <c r="AY1115" s="141">
        <f t="shared" si="1467"/>
        <v>1</v>
      </c>
      <c r="AZ1115">
        <f t="shared" si="1468"/>
        <v>0</v>
      </c>
      <c r="BA1115">
        <f t="shared" si="1469"/>
        <v>0</v>
      </c>
      <c r="BB1115">
        <f t="shared" si="1470"/>
        <v>1</v>
      </c>
      <c r="BC1115">
        <f t="shared" si="1471"/>
        <v>0</v>
      </c>
      <c r="BD1115">
        <f t="shared" si="1472"/>
        <v>0</v>
      </c>
      <c r="BE1115" t="str" cm="1">
        <f t="array" ref="BE1115">IF(AY1115=1,INDEX($V$7:$AL$7,MATCH(TRUE,INDEX($V1115:$AW1115&lt;&gt;0,),0)),IF(AY1115=0,INDEX($AM$7:$AW$7,MATCH(1,$AM1115:$AW1115,0)),IF(BF1115="Multiple strategies","mixed drivers",IF(BF1115="Supply chain","multiple supply","multiple silviculture"))))</f>
        <v>technologies/design switch</v>
      </c>
      <c r="BF1115" s="2" t="str" cm="1">
        <f t="array" ref="BF1115">IF(COUNTIF(AZ1115:BB1115,"&lt;&gt;0")=1,INDEX($V$4:$AW$4,MATCH(TRUE,INDEX($V1115:$AW1115&lt;&gt;0,),0)),IF(COUNTIF(AZ1115:BB1115,"&lt;&gt;0")=0,INDEX($AM$4:$AW$4,MATCH(1,$AM1115:$AW1115,0)),"Multiple strategies"))</f>
        <v>Technology</v>
      </c>
      <c r="BM1115" t="str">
        <f t="shared" si="1473"/>
        <v/>
      </c>
      <c r="BP1115" s="311" t="s">
        <v>232</v>
      </c>
      <c r="BR1115" t="s">
        <v>3893</v>
      </c>
      <c r="BS1115">
        <v>-462</v>
      </c>
      <c r="BT1115">
        <v>-260</v>
      </c>
      <c r="BU1115" s="144">
        <f t="shared" si="1474"/>
        <v>0.56277056277056281</v>
      </c>
      <c r="BV1115">
        <f t="shared" si="1475"/>
        <v>202</v>
      </c>
      <c r="BX1115">
        <f t="shared" si="1476"/>
        <v>0.20200000000000001</v>
      </c>
      <c r="BY1115" t="str">
        <f t="shared" si="1419"/>
        <v/>
      </c>
      <c r="BZ1115">
        <v>0</v>
      </c>
      <c r="CA1115">
        <v>0</v>
      </c>
      <c r="CB1115">
        <v>0</v>
      </c>
      <c r="CC1115">
        <v>0</v>
      </c>
      <c r="CD1115">
        <v>0</v>
      </c>
      <c r="CE1115">
        <v>0</v>
      </c>
      <c r="CF1115">
        <v>0</v>
      </c>
      <c r="CG1115">
        <v>0</v>
      </c>
      <c r="CH1115">
        <v>0</v>
      </c>
      <c r="CI1115">
        <v>0</v>
      </c>
      <c r="CJ1115">
        <v>0</v>
      </c>
      <c r="CK1115">
        <v>0</v>
      </c>
      <c r="CL1115">
        <v>0</v>
      </c>
      <c r="CM1115">
        <v>0</v>
      </c>
      <c r="CN1115" t="str">
        <f t="shared" si="1477"/>
        <v>refOK</v>
      </c>
      <c r="CO1115"/>
      <c r="CP1115"/>
      <c r="CQ1115"/>
      <c r="CR1115">
        <f t="shared" si="1478"/>
        <v>-462</v>
      </c>
      <c r="CS1115">
        <f>IF($CN1115="refOK",$BT1115,$BS1115)*IF($BP1115="Emissions positive",-1,1)</f>
        <v>-260</v>
      </c>
      <c r="CT1115">
        <f t="shared" si="1479"/>
        <v>0.20200000000000001</v>
      </c>
      <c r="CU1115" t="str">
        <f t="shared" si="1480"/>
        <v/>
      </c>
      <c r="CV1115" s="2">
        <f t="shared" si="1481"/>
        <v>0.43722943722943725</v>
      </c>
      <c r="CW1115" s="1" t="s">
        <v>3796</v>
      </c>
      <c r="CX1115" s="311" t="str">
        <f t="shared" si="1482"/>
        <v>reg</v>
      </c>
      <c r="CY1115" t="s">
        <v>3894</v>
      </c>
      <c r="DB1115">
        <v>100</v>
      </c>
      <c r="DC1115" t="str">
        <f t="shared" si="1483"/>
        <v>71-100</v>
      </c>
      <c r="DD1115">
        <v>0</v>
      </c>
      <c r="DE1115">
        <v>0</v>
      </c>
      <c r="DF1115">
        <v>0</v>
      </c>
      <c r="DG1115">
        <v>1</v>
      </c>
      <c r="DH1115">
        <v>1</v>
      </c>
      <c r="DI1115">
        <f t="shared" si="1484"/>
        <v>2</v>
      </c>
      <c r="DJ1115" t="str">
        <f t="shared" si="1485"/>
        <v>mixedProduct</v>
      </c>
      <c r="DK1115">
        <f t="shared" si="1486"/>
        <v>0</v>
      </c>
      <c r="DL1115">
        <f t="shared" si="1487"/>
        <v>0</v>
      </c>
      <c r="DM1115">
        <f t="shared" si="1488"/>
        <v>0</v>
      </c>
      <c r="DN1115" t="str">
        <f t="shared" si="1489"/>
        <v>Timber</v>
      </c>
      <c r="DO1115">
        <v>0</v>
      </c>
      <c r="DP1115">
        <v>0</v>
      </c>
      <c r="DQ1115">
        <v>0</v>
      </c>
      <c r="DR1115">
        <v>0</v>
      </c>
      <c r="DS1115">
        <v>0</v>
      </c>
      <c r="DT1115"/>
      <c r="DU1115" s="143" t="str">
        <f t="shared" si="1490"/>
        <v>explicit C balance</v>
      </c>
      <c r="DV1115">
        <v>0</v>
      </c>
      <c r="DW1115">
        <v>0</v>
      </c>
      <c r="DX1115">
        <v>1</v>
      </c>
      <c r="DY1115">
        <v>1</v>
      </c>
      <c r="DZ1115">
        <v>1</v>
      </c>
      <c r="EA1115">
        <v>1</v>
      </c>
      <c r="EB1115">
        <v>0</v>
      </c>
      <c r="EC1115">
        <v>1</v>
      </c>
      <c r="ED1115">
        <v>1</v>
      </c>
      <c r="EE1115">
        <v>1</v>
      </c>
      <c r="EF1115">
        <v>1</v>
      </c>
      <c r="EG1115">
        <v>1</v>
      </c>
      <c r="EH1115">
        <v>0</v>
      </c>
      <c r="EI1115" s="2">
        <v>0</v>
      </c>
      <c r="EK1115" t="str">
        <f t="shared" si="1464"/>
        <v>Whole sector</v>
      </c>
      <c r="EL1115" t="str">
        <f t="shared" si="1465"/>
        <v/>
      </c>
      <c r="EM1115" s="2" t="str">
        <f t="shared" si="1424"/>
        <v/>
      </c>
      <c r="EP1115" t="b">
        <f>IF(ISNUMBER(BU1115),IF(ABS(BU1115-[1]QC_indicators!$B$2)&gt;3*[1]QC_indicators!$C$2,"C ratio",IF(ISNUMBER(BY1115),IF(ABS(BY1115-[1]QC_indicators!$B$1)&gt;3*[1]QC_indicators!$C$1,"DF","no"))),IF(ISNUMBER(BY1115),IF(ABS(BY1115-[1]QC_indicators!$B$1)&gt;3*[1]QC_indicators!$C$1,"DF","no")))</f>
        <v>0</v>
      </c>
    </row>
    <row r="1116" spans="1:146" hidden="1">
      <c r="A1116" s="1" t="s">
        <v>667</v>
      </c>
      <c r="B1116" t="s">
        <v>3885</v>
      </c>
      <c r="C1116" t="s">
        <v>3886</v>
      </c>
      <c r="D1116" t="s">
        <v>3887</v>
      </c>
      <c r="E1116" t="s">
        <v>3888</v>
      </c>
      <c r="F1116" t="s">
        <v>3889</v>
      </c>
      <c r="G1116" t="s">
        <v>673</v>
      </c>
      <c r="H1116" t="s">
        <v>254</v>
      </c>
      <c r="I1116">
        <v>2016</v>
      </c>
      <c r="J1116">
        <v>46</v>
      </c>
      <c r="K1116" t="s">
        <v>3890</v>
      </c>
      <c r="M1116" t="str">
        <f t="shared" si="1430"/>
        <v>Penaloza_2016</v>
      </c>
      <c r="N1116" s="311" t="s">
        <v>4382</v>
      </c>
      <c r="O1116" s="171" t="s">
        <v>513</v>
      </c>
      <c r="P1116" t="s">
        <v>513</v>
      </c>
      <c r="Q1116" s="311" t="s">
        <v>389</v>
      </c>
      <c r="R1116" s="312"/>
      <c r="S1116" s="1" t="s">
        <v>3904</v>
      </c>
      <c r="T1116" t="s">
        <v>3903</v>
      </c>
      <c r="U1116" t="s">
        <v>3904</v>
      </c>
      <c r="V1116">
        <v>0</v>
      </c>
      <c r="W1116">
        <v>0</v>
      </c>
      <c r="X1116">
        <v>0</v>
      </c>
      <c r="Y1116">
        <v>0</v>
      </c>
      <c r="Z1116">
        <v>0</v>
      </c>
      <c r="AA1116">
        <v>0</v>
      </c>
      <c r="AB1116">
        <v>0</v>
      </c>
      <c r="AC1116">
        <v>0</v>
      </c>
      <c r="AD1116">
        <v>0</v>
      </c>
      <c r="AE1116">
        <v>0</v>
      </c>
      <c r="AF1116">
        <v>0</v>
      </c>
      <c r="AG1116">
        <v>0</v>
      </c>
      <c r="AH1116">
        <v>0</v>
      </c>
      <c r="AI1116">
        <v>0</v>
      </c>
      <c r="AJ1116">
        <v>0</v>
      </c>
      <c r="AK1116">
        <v>1</v>
      </c>
      <c r="AL1116">
        <v>0</v>
      </c>
      <c r="AM1116">
        <v>0</v>
      </c>
      <c r="AN1116">
        <v>0</v>
      </c>
      <c r="AO1116">
        <v>0</v>
      </c>
      <c r="AP1116">
        <v>0</v>
      </c>
      <c r="AQ1116">
        <v>0</v>
      </c>
      <c r="AR1116">
        <v>0</v>
      </c>
      <c r="AS1116">
        <v>0</v>
      </c>
      <c r="AT1116">
        <v>0</v>
      </c>
      <c r="AU1116">
        <v>0</v>
      </c>
      <c r="AV1116">
        <v>0</v>
      </c>
      <c r="AW1116">
        <v>0</v>
      </c>
      <c r="AX1116" s="141">
        <f t="shared" si="1466"/>
        <v>1</v>
      </c>
      <c r="AY1116" s="141">
        <f t="shared" si="1467"/>
        <v>1</v>
      </c>
      <c r="AZ1116">
        <f t="shared" si="1468"/>
        <v>0</v>
      </c>
      <c r="BA1116">
        <f t="shared" si="1469"/>
        <v>0</v>
      </c>
      <c r="BB1116">
        <f t="shared" si="1470"/>
        <v>1</v>
      </c>
      <c r="BC1116">
        <f t="shared" si="1471"/>
        <v>0</v>
      </c>
      <c r="BD1116">
        <f t="shared" si="1472"/>
        <v>0</v>
      </c>
      <c r="BE1116" t="str" cm="1">
        <f t="array" ref="BE1116">IF(AY1116=1,INDEX($V$7:$AL$7,MATCH(TRUE,INDEX($V1116:$AW1116&lt;&gt;0,),0)),IF(AY1116=0,INDEX($AM$7:$AW$7,MATCH(1,$AM1116:$AW1116,0)),IF(BF1116="Multiple strategies","mixed drivers",IF(BF1116="Supply chain","multiple supply","multiple silviculture"))))</f>
        <v>technologies/design switch</v>
      </c>
      <c r="BF1116" s="2" t="str" cm="1">
        <f t="array" ref="BF1116">IF(COUNTIF(AZ1116:BB1116,"&lt;&gt;0")=1,INDEX($V$4:$AW$4,MATCH(TRUE,INDEX($V1116:$AW1116&lt;&gt;0,),0)),IF(COUNTIF(AZ1116:BB1116,"&lt;&gt;0")=0,INDEX($AM$4:$AW$4,MATCH(1,$AM1116:$AW1116,0)),"Multiple strategies"))</f>
        <v>Technology</v>
      </c>
      <c r="BM1116" t="str">
        <f t="shared" si="1473"/>
        <v/>
      </c>
      <c r="BP1116" s="311" t="s">
        <v>232</v>
      </c>
      <c r="BR1116" t="s">
        <v>3893</v>
      </c>
      <c r="BS1116">
        <v>-462</v>
      </c>
      <c r="BT1116">
        <v>-167</v>
      </c>
      <c r="BU1116" s="144">
        <f t="shared" si="1474"/>
        <v>0.36147186147186144</v>
      </c>
      <c r="BV1116">
        <f t="shared" si="1475"/>
        <v>295</v>
      </c>
      <c r="BX1116">
        <f t="shared" si="1476"/>
        <v>0.29499999999999998</v>
      </c>
      <c r="BY1116" t="str">
        <f t="shared" si="1419"/>
        <v/>
      </c>
      <c r="BZ1116">
        <v>0</v>
      </c>
      <c r="CA1116">
        <v>0</v>
      </c>
      <c r="CB1116">
        <v>0</v>
      </c>
      <c r="CC1116">
        <v>0</v>
      </c>
      <c r="CD1116">
        <v>0</v>
      </c>
      <c r="CE1116">
        <v>0</v>
      </c>
      <c r="CF1116">
        <v>0</v>
      </c>
      <c r="CG1116">
        <v>0</v>
      </c>
      <c r="CH1116">
        <v>0</v>
      </c>
      <c r="CI1116">
        <v>0</v>
      </c>
      <c r="CJ1116">
        <v>0</v>
      </c>
      <c r="CK1116">
        <v>0</v>
      </c>
      <c r="CL1116">
        <v>0</v>
      </c>
      <c r="CM1116">
        <v>0</v>
      </c>
      <c r="CN1116" t="str">
        <f t="shared" si="1477"/>
        <v>refOK</v>
      </c>
      <c r="CO1116"/>
      <c r="CP1116"/>
      <c r="CQ1116"/>
      <c r="CR1116">
        <f t="shared" si="1478"/>
        <v>-462</v>
      </c>
      <c r="CS1116">
        <f>IF($CN1116="refOK",$BT1116,$BS1116)*IF($BP1116="Emissions positive",-1,1)</f>
        <v>-167</v>
      </c>
      <c r="CT1116">
        <f t="shared" si="1479"/>
        <v>0.29499999999999998</v>
      </c>
      <c r="CU1116" t="str">
        <f t="shared" si="1480"/>
        <v/>
      </c>
      <c r="CV1116" s="2">
        <f t="shared" si="1481"/>
        <v>0.6385281385281385</v>
      </c>
      <c r="CW1116" s="1" t="s">
        <v>3796</v>
      </c>
      <c r="CX1116" s="311" t="str">
        <f t="shared" si="1482"/>
        <v>reg</v>
      </c>
      <c r="CY1116" t="s">
        <v>3894</v>
      </c>
      <c r="DB1116">
        <v>300</v>
      </c>
      <c r="DC1116" t="str">
        <f t="shared" si="1483"/>
        <v>+100</v>
      </c>
      <c r="DD1116">
        <v>0</v>
      </c>
      <c r="DE1116">
        <v>0</v>
      </c>
      <c r="DF1116">
        <v>0</v>
      </c>
      <c r="DG1116">
        <v>1</v>
      </c>
      <c r="DH1116">
        <v>1</v>
      </c>
      <c r="DI1116">
        <f t="shared" si="1484"/>
        <v>2</v>
      </c>
      <c r="DJ1116" t="str">
        <f t="shared" si="1485"/>
        <v>mixedProduct</v>
      </c>
      <c r="DK1116">
        <f t="shared" si="1486"/>
        <v>0</v>
      </c>
      <c r="DL1116">
        <f t="shared" si="1487"/>
        <v>0</v>
      </c>
      <c r="DM1116">
        <f t="shared" si="1488"/>
        <v>0</v>
      </c>
      <c r="DN1116" t="str">
        <f t="shared" si="1489"/>
        <v>Timber</v>
      </c>
      <c r="DO1116">
        <v>0</v>
      </c>
      <c r="DP1116">
        <v>0</v>
      </c>
      <c r="DQ1116">
        <v>0</v>
      </c>
      <c r="DR1116">
        <v>0</v>
      </c>
      <c r="DS1116">
        <v>0</v>
      </c>
      <c r="DT1116"/>
      <c r="DU1116" s="143" t="str">
        <f t="shared" si="1490"/>
        <v>explicit C balance</v>
      </c>
      <c r="DV1116">
        <v>0</v>
      </c>
      <c r="DW1116">
        <v>0</v>
      </c>
      <c r="DX1116">
        <v>1</v>
      </c>
      <c r="DY1116">
        <v>1</v>
      </c>
      <c r="DZ1116">
        <v>1</v>
      </c>
      <c r="EA1116">
        <v>1</v>
      </c>
      <c r="EB1116">
        <v>0</v>
      </c>
      <c r="EC1116">
        <v>1</v>
      </c>
      <c r="ED1116">
        <v>1</v>
      </c>
      <c r="EE1116">
        <v>1</v>
      </c>
      <c r="EF1116">
        <v>1</v>
      </c>
      <c r="EG1116">
        <v>1</v>
      </c>
      <c r="EH1116">
        <v>0</v>
      </c>
      <c r="EI1116" s="2">
        <v>0</v>
      </c>
      <c r="EK1116" t="str">
        <f t="shared" si="1464"/>
        <v>Whole sector</v>
      </c>
      <c r="EL1116" t="str">
        <f t="shared" si="1465"/>
        <v/>
      </c>
      <c r="EM1116" s="2" t="str">
        <f t="shared" si="1424"/>
        <v/>
      </c>
      <c r="EP1116" t="b">
        <f>IF(ISNUMBER(BU1116),IF(ABS(BU1116-[1]QC_indicators!$B$2)&gt;3*[1]QC_indicators!$C$2,"C ratio",IF(ISNUMBER(BY1116),IF(ABS(BY1116-[1]QC_indicators!$B$1)&gt;3*[1]QC_indicators!$C$1,"DF","no"))),IF(ISNUMBER(BY1116),IF(ABS(BY1116-[1]QC_indicators!$B$1)&gt;3*[1]QC_indicators!$C$1,"DF","no")))</f>
        <v>0</v>
      </c>
    </row>
    <row r="1117" spans="1:146" hidden="1">
      <c r="A1117" s="1" t="s">
        <v>667</v>
      </c>
      <c r="B1117" t="s">
        <v>3885</v>
      </c>
      <c r="C1117" t="s">
        <v>3886</v>
      </c>
      <c r="D1117" t="s">
        <v>3887</v>
      </c>
      <c r="E1117" t="s">
        <v>3888</v>
      </c>
      <c r="F1117" t="s">
        <v>3889</v>
      </c>
      <c r="G1117" t="s">
        <v>673</v>
      </c>
      <c r="H1117" t="s">
        <v>254</v>
      </c>
      <c r="I1117">
        <v>2016</v>
      </c>
      <c r="J1117">
        <v>46</v>
      </c>
      <c r="K1117" t="s">
        <v>3890</v>
      </c>
      <c r="M1117" t="str">
        <f t="shared" si="1430"/>
        <v>Penaloza_2016</v>
      </c>
      <c r="N1117" s="311" t="s">
        <v>4382</v>
      </c>
      <c r="O1117" s="171" t="s">
        <v>513</v>
      </c>
      <c r="P1117" t="s">
        <v>513</v>
      </c>
      <c r="Q1117" s="311" t="s">
        <v>389</v>
      </c>
      <c r="R1117" s="312"/>
      <c r="S1117" s="1" t="s">
        <v>3904</v>
      </c>
      <c r="T1117" t="s">
        <v>3903</v>
      </c>
      <c r="U1117" t="s">
        <v>3904</v>
      </c>
      <c r="V1117">
        <v>0</v>
      </c>
      <c r="W1117">
        <v>0</v>
      </c>
      <c r="X1117">
        <v>0</v>
      </c>
      <c r="Y1117">
        <v>0</v>
      </c>
      <c r="Z1117">
        <v>0</v>
      </c>
      <c r="AA1117">
        <v>0</v>
      </c>
      <c r="AB1117">
        <v>0</v>
      </c>
      <c r="AC1117">
        <v>0</v>
      </c>
      <c r="AD1117">
        <v>0</v>
      </c>
      <c r="AE1117">
        <v>0</v>
      </c>
      <c r="AF1117">
        <v>0</v>
      </c>
      <c r="AG1117">
        <v>0</v>
      </c>
      <c r="AH1117">
        <v>0</v>
      </c>
      <c r="AI1117">
        <v>0</v>
      </c>
      <c r="AJ1117">
        <v>0</v>
      </c>
      <c r="AK1117">
        <v>1</v>
      </c>
      <c r="AL1117">
        <v>0</v>
      </c>
      <c r="AM1117">
        <v>0</v>
      </c>
      <c r="AN1117">
        <v>0</v>
      </c>
      <c r="AO1117">
        <v>0</v>
      </c>
      <c r="AP1117">
        <v>0</v>
      </c>
      <c r="AQ1117">
        <v>0</v>
      </c>
      <c r="AR1117">
        <v>0</v>
      </c>
      <c r="AS1117">
        <v>0</v>
      </c>
      <c r="AT1117">
        <v>0</v>
      </c>
      <c r="AU1117">
        <v>0</v>
      </c>
      <c r="AV1117">
        <v>0</v>
      </c>
      <c r="AW1117">
        <v>0</v>
      </c>
      <c r="AX1117" s="141">
        <f t="shared" si="1466"/>
        <v>1</v>
      </c>
      <c r="AY1117" s="141">
        <f t="shared" si="1467"/>
        <v>1</v>
      </c>
      <c r="AZ1117">
        <f t="shared" si="1468"/>
        <v>0</v>
      </c>
      <c r="BA1117">
        <f t="shared" si="1469"/>
        <v>0</v>
      </c>
      <c r="BB1117">
        <f t="shared" si="1470"/>
        <v>1</v>
      </c>
      <c r="BC1117">
        <f t="shared" si="1471"/>
        <v>0</v>
      </c>
      <c r="BD1117">
        <f t="shared" si="1472"/>
        <v>0</v>
      </c>
      <c r="BE1117" t="str" cm="1">
        <f t="array" ref="BE1117">IF(AY1117=1,INDEX($V$7:$AL$7,MATCH(TRUE,INDEX($V1117:$AW1117&lt;&gt;0,),0)),IF(AY1117=0,INDEX($AM$7:$AW$7,MATCH(1,$AM1117:$AW1117,0)),IF(BF1117="Multiple strategies","mixed drivers",IF(BF1117="Supply chain","multiple supply","multiple silviculture"))))</f>
        <v>technologies/design switch</v>
      </c>
      <c r="BF1117" s="2" t="str" cm="1">
        <f t="array" ref="BF1117">IF(COUNTIF(AZ1117:BB1117,"&lt;&gt;0")=1,INDEX($V$4:$AW$4,MATCH(TRUE,INDEX($V1117:$AW1117&lt;&gt;0,),0)),IF(COUNTIF(AZ1117:BB1117,"&lt;&gt;0")=0,INDEX($AM$4:$AW$4,MATCH(1,$AM1117:$AW1117,0)),"Multiple strategies"))</f>
        <v>Technology</v>
      </c>
      <c r="BM1117" t="str">
        <f t="shared" si="1473"/>
        <v/>
      </c>
      <c r="BP1117" s="311" t="s">
        <v>232</v>
      </c>
      <c r="BR1117" t="s">
        <v>3893</v>
      </c>
      <c r="BS1117">
        <v>-462</v>
      </c>
      <c r="BT1117">
        <v>-281</v>
      </c>
      <c r="BU1117" s="144">
        <f t="shared" si="1474"/>
        <v>0.60822510822510822</v>
      </c>
      <c r="BV1117">
        <f t="shared" si="1475"/>
        <v>181</v>
      </c>
      <c r="BX1117">
        <f t="shared" si="1476"/>
        <v>0.18099999999999999</v>
      </c>
      <c r="BY1117" t="str">
        <f t="shared" si="1419"/>
        <v/>
      </c>
      <c r="BZ1117">
        <v>0</v>
      </c>
      <c r="CA1117">
        <v>0</v>
      </c>
      <c r="CB1117">
        <v>0</v>
      </c>
      <c r="CC1117">
        <v>0</v>
      </c>
      <c r="CD1117">
        <v>0</v>
      </c>
      <c r="CE1117">
        <v>0</v>
      </c>
      <c r="CF1117">
        <v>0</v>
      </c>
      <c r="CG1117">
        <v>0</v>
      </c>
      <c r="CH1117">
        <v>0</v>
      </c>
      <c r="CI1117">
        <v>0</v>
      </c>
      <c r="CJ1117">
        <v>0</v>
      </c>
      <c r="CK1117">
        <v>0</v>
      </c>
      <c r="CL1117">
        <v>0</v>
      </c>
      <c r="CM1117">
        <v>0</v>
      </c>
      <c r="CN1117" t="str">
        <f t="shared" si="1477"/>
        <v>refOK</v>
      </c>
      <c r="CO1117"/>
      <c r="CP1117"/>
      <c r="CQ1117"/>
      <c r="CR1117">
        <f t="shared" si="1478"/>
        <v>-462</v>
      </c>
      <c r="CS1117">
        <v>-281</v>
      </c>
      <c r="CT1117">
        <f t="shared" si="1479"/>
        <v>0.18099999999999999</v>
      </c>
      <c r="CU1117" t="str">
        <f t="shared" si="1480"/>
        <v/>
      </c>
      <c r="CV1117" s="2">
        <f t="shared" si="1481"/>
        <v>0.39177489177489178</v>
      </c>
      <c r="CW1117" s="1" t="s">
        <v>3796</v>
      </c>
      <c r="CX1117" s="311" t="str">
        <f t="shared" si="1482"/>
        <v>reg</v>
      </c>
      <c r="CY1117" t="s">
        <v>3894</v>
      </c>
      <c r="DB1117">
        <v>100</v>
      </c>
      <c r="DC1117" t="str">
        <f t="shared" si="1483"/>
        <v>71-100</v>
      </c>
      <c r="DD1117">
        <v>0</v>
      </c>
      <c r="DE1117">
        <v>0</v>
      </c>
      <c r="DF1117">
        <v>0</v>
      </c>
      <c r="DG1117">
        <v>1</v>
      </c>
      <c r="DH1117">
        <v>1</v>
      </c>
      <c r="DI1117">
        <f t="shared" si="1484"/>
        <v>2</v>
      </c>
      <c r="DJ1117" t="str">
        <f t="shared" si="1485"/>
        <v>mixedProduct</v>
      </c>
      <c r="DK1117">
        <f t="shared" si="1486"/>
        <v>0</v>
      </c>
      <c r="DL1117">
        <f t="shared" si="1487"/>
        <v>0</v>
      </c>
      <c r="DM1117">
        <f t="shared" si="1488"/>
        <v>0</v>
      </c>
      <c r="DN1117" t="str">
        <f t="shared" si="1489"/>
        <v>Timber</v>
      </c>
      <c r="DO1117">
        <v>0</v>
      </c>
      <c r="DP1117">
        <v>0</v>
      </c>
      <c r="DQ1117">
        <v>0</v>
      </c>
      <c r="DR1117">
        <v>0</v>
      </c>
      <c r="DS1117">
        <v>0</v>
      </c>
      <c r="DT1117"/>
      <c r="DU1117" s="143" t="str">
        <f t="shared" si="1490"/>
        <v>explicit C balance</v>
      </c>
      <c r="DV1117">
        <v>0</v>
      </c>
      <c r="DW1117">
        <v>0</v>
      </c>
      <c r="DX1117">
        <v>1</v>
      </c>
      <c r="DY1117">
        <v>1</v>
      </c>
      <c r="DZ1117">
        <v>1</v>
      </c>
      <c r="EA1117">
        <v>1</v>
      </c>
      <c r="EB1117">
        <v>0</v>
      </c>
      <c r="EC1117">
        <v>1</v>
      </c>
      <c r="ED1117">
        <v>1</v>
      </c>
      <c r="EE1117">
        <v>1</v>
      </c>
      <c r="EF1117">
        <v>1</v>
      </c>
      <c r="EG1117">
        <v>1</v>
      </c>
      <c r="EH1117">
        <v>0</v>
      </c>
      <c r="EI1117" s="2">
        <v>0</v>
      </c>
      <c r="EK1117" t="str">
        <f t="shared" si="1464"/>
        <v>Whole sector</v>
      </c>
      <c r="EL1117" t="str">
        <f t="shared" si="1465"/>
        <v/>
      </c>
      <c r="EM1117" s="2" t="str">
        <f t="shared" si="1424"/>
        <v/>
      </c>
      <c r="EP1117" t="b">
        <f>IF(ISNUMBER(BU1117),IF(ABS(BU1117-[1]QC_indicators!$B$2)&gt;3*[1]QC_indicators!$C$2,"C ratio",IF(ISNUMBER(BY1117),IF(ABS(BY1117-[1]QC_indicators!$B$1)&gt;3*[1]QC_indicators!$C$1,"DF","no"))),IF(ISNUMBER(BY1117),IF(ABS(BY1117-[1]QC_indicators!$B$1)&gt;3*[1]QC_indicators!$C$1,"DF","no")))</f>
        <v>0</v>
      </c>
    </row>
    <row r="1118" spans="1:146" hidden="1">
      <c r="A1118" s="1" t="s">
        <v>214</v>
      </c>
      <c r="B1118" t="s">
        <v>3905</v>
      </c>
      <c r="C1118" t="s">
        <v>3906</v>
      </c>
      <c r="D1118" t="s">
        <v>3907</v>
      </c>
      <c r="E1118" t="s">
        <v>3908</v>
      </c>
      <c r="F1118" t="s">
        <v>3909</v>
      </c>
      <c r="G1118" t="s">
        <v>220</v>
      </c>
      <c r="H1118" t="s">
        <v>254</v>
      </c>
      <c r="I1118">
        <v>2012</v>
      </c>
      <c r="J1118">
        <v>24</v>
      </c>
      <c r="K1118" t="s">
        <v>3910</v>
      </c>
      <c r="M1118" t="str">
        <f t="shared" si="1430"/>
        <v>Perez-Cruzado_2012</v>
      </c>
      <c r="N1118" s="311" t="s">
        <v>4382</v>
      </c>
      <c r="O1118" s="171" t="s">
        <v>513</v>
      </c>
      <c r="P1118" s="141" t="s">
        <v>225</v>
      </c>
      <c r="Q1118" s="311" t="s">
        <v>389</v>
      </c>
      <c r="R1118" s="312"/>
      <c r="S1118" s="1" t="s">
        <v>3911</v>
      </c>
      <c r="T1118" t="s">
        <v>3912</v>
      </c>
      <c r="U1118" t="s">
        <v>3913</v>
      </c>
      <c r="V1118">
        <v>0</v>
      </c>
      <c r="W1118">
        <v>0</v>
      </c>
      <c r="X1118">
        <v>0</v>
      </c>
      <c r="Y1118">
        <v>0</v>
      </c>
      <c r="Z1118">
        <v>1</v>
      </c>
      <c r="AA1118">
        <v>0</v>
      </c>
      <c r="AB1118">
        <v>0</v>
      </c>
      <c r="AC1118">
        <v>0</v>
      </c>
      <c r="AD1118">
        <v>0</v>
      </c>
      <c r="AE1118">
        <v>0</v>
      </c>
      <c r="AF1118">
        <v>0</v>
      </c>
      <c r="AG1118">
        <v>0</v>
      </c>
      <c r="AH1118">
        <v>0</v>
      </c>
      <c r="AI1118">
        <v>0</v>
      </c>
      <c r="AJ1118">
        <v>0</v>
      </c>
      <c r="AK1118">
        <v>0</v>
      </c>
      <c r="AL1118">
        <v>0</v>
      </c>
      <c r="AM1118">
        <v>0</v>
      </c>
      <c r="AN1118">
        <v>0</v>
      </c>
      <c r="AO1118">
        <v>0</v>
      </c>
      <c r="AP1118">
        <v>0</v>
      </c>
      <c r="AQ1118">
        <v>0</v>
      </c>
      <c r="AR1118">
        <v>0</v>
      </c>
      <c r="AS1118">
        <v>0</v>
      </c>
      <c r="AT1118">
        <v>0</v>
      </c>
      <c r="AU1118">
        <v>0</v>
      </c>
      <c r="AV1118">
        <v>0</v>
      </c>
      <c r="AW1118">
        <v>0</v>
      </c>
      <c r="AX1118" s="141">
        <f t="shared" si="1466"/>
        <v>1</v>
      </c>
      <c r="AY1118" s="141">
        <f t="shared" si="1467"/>
        <v>1</v>
      </c>
      <c r="AZ1118">
        <f t="shared" si="1468"/>
        <v>1</v>
      </c>
      <c r="BA1118">
        <f t="shared" si="1469"/>
        <v>0</v>
      </c>
      <c r="BB1118">
        <f t="shared" si="1470"/>
        <v>0</v>
      </c>
      <c r="BC1118">
        <f t="shared" si="1471"/>
        <v>0</v>
      </c>
      <c r="BD1118">
        <f t="shared" si="1472"/>
        <v>0</v>
      </c>
      <c r="BE1118" t="str" cm="1">
        <f t="array" ref="BE1118">IF(AY1118=1,INDEX($V$7:$AL$7,MATCH(TRUE,INDEX($V1118:$AW1118&lt;&gt;0,),0)),IF(AY1118=0,INDEX($AM$7:$AW$7,MATCH(1,$AM1118:$AW1118,0)),IF(BF1118="Multiple strategies","mixed drivers",IF(BF1118="Supply chain","multiple supply","multiple silviculture"))))</f>
        <v>species</v>
      </c>
      <c r="BF1118" s="2" t="str" cm="1">
        <f t="array" ref="BF1118">IF(COUNTIF(AZ1118:BB1118,"&lt;&gt;0")=1,INDEX($V$4:$AW$4,MATCH(TRUE,INDEX($V1118:$AW1118&lt;&gt;0,),0)),IF(COUNTIF(AZ1118:BB1118,"&lt;&gt;0")=0,INDEX($AM$4:$AW$4,MATCH(1,$AM1118:$AW1118,0)),"Multiple strategies"))</f>
        <v>Silviculture for productivity</v>
      </c>
      <c r="BP1118" t="s">
        <v>232</v>
      </c>
      <c r="BQ1118" t="s">
        <v>3914</v>
      </c>
      <c r="BR1118" t="s">
        <v>3915</v>
      </c>
      <c r="BS1118">
        <v>237.9</v>
      </c>
      <c r="BT1118">
        <v>304</v>
      </c>
      <c r="BU1118" s="144"/>
      <c r="BV1118">
        <f t="shared" si="1475"/>
        <v>66.099999999999994</v>
      </c>
      <c r="BY1118" t="str">
        <f t="shared" si="1419"/>
        <v/>
      </c>
      <c r="BZ1118">
        <v>0</v>
      </c>
      <c r="CA1118">
        <v>0</v>
      </c>
      <c r="CB1118">
        <v>0</v>
      </c>
      <c r="CC1118">
        <v>0</v>
      </c>
      <c r="CD1118">
        <v>0</v>
      </c>
      <c r="CE1118">
        <v>0</v>
      </c>
      <c r="CF1118">
        <v>0</v>
      </c>
      <c r="CG1118">
        <v>0</v>
      </c>
      <c r="CH1118">
        <v>0</v>
      </c>
      <c r="CI1118">
        <v>0</v>
      </c>
      <c r="CJ1118">
        <v>0</v>
      </c>
      <c r="CK1118">
        <v>0</v>
      </c>
      <c r="CL1118">
        <v>0</v>
      </c>
      <c r="CM1118">
        <v>0</v>
      </c>
      <c r="CN1118" t="str">
        <f t="shared" si="1477"/>
        <v>refOK</v>
      </c>
      <c r="CO1118"/>
      <c r="CP1118"/>
      <c r="CQ1118"/>
      <c r="CR1118">
        <f t="shared" si="1478"/>
        <v>237.9</v>
      </c>
      <c r="CS1118">
        <f t="shared" ref="CS1118:CS1127" si="1491">IF($CN1118="refOK",$BT1118,$BS1118)*IF($BP1118="Emissions positive",-1,1)</f>
        <v>304</v>
      </c>
      <c r="CT1118">
        <f t="shared" si="1479"/>
        <v>0</v>
      </c>
      <c r="CU1118" t="str">
        <f t="shared" si="1480"/>
        <v/>
      </c>
      <c r="CV1118" s="2">
        <f t="shared" si="1481"/>
        <v>0.27784783522488438</v>
      </c>
      <c r="CW1118" s="1" t="s">
        <v>1202</v>
      </c>
      <c r="CX1118" s="311" t="str">
        <f t="shared" si="1482"/>
        <v>reg</v>
      </c>
      <c r="CY1118" t="s">
        <v>3916</v>
      </c>
      <c r="DB1118">
        <v>200</v>
      </c>
      <c r="DC1118" t="str">
        <f t="shared" si="1483"/>
        <v>+100</v>
      </c>
      <c r="DD1118">
        <v>0</v>
      </c>
      <c r="DE1118">
        <v>0</v>
      </c>
      <c r="DF1118">
        <v>0</v>
      </c>
      <c r="DG1118">
        <v>1</v>
      </c>
      <c r="DH1118">
        <v>0</v>
      </c>
      <c r="DI1118">
        <f t="shared" si="1484"/>
        <v>1</v>
      </c>
      <c r="DJ1118" t="str">
        <f t="shared" si="1485"/>
        <v>TimberInput</v>
      </c>
      <c r="DK1118">
        <f t="shared" si="1486"/>
        <v>0</v>
      </c>
      <c r="DL1118">
        <f t="shared" si="1487"/>
        <v>0</v>
      </c>
      <c r="DM1118">
        <f t="shared" si="1488"/>
        <v>0</v>
      </c>
      <c r="DN1118" t="str">
        <f t="shared" si="1489"/>
        <v>Timber</v>
      </c>
      <c r="DO1118">
        <v>0</v>
      </c>
      <c r="DP1118">
        <v>0</v>
      </c>
      <c r="DQ1118">
        <v>0</v>
      </c>
      <c r="DR1118">
        <v>0</v>
      </c>
      <c r="DS1118">
        <v>0</v>
      </c>
      <c r="DT1118">
        <f t="shared" ref="DT1118:DT1127" si="1492">SUM(DO1118:DP1118)</f>
        <v>0</v>
      </c>
      <c r="DU1118" s="143" t="str">
        <f t="shared" si="1490"/>
        <v>explicit C balance</v>
      </c>
      <c r="DV1118">
        <v>1</v>
      </c>
      <c r="DW1118">
        <v>1</v>
      </c>
      <c r="DX1118">
        <v>1</v>
      </c>
      <c r="DY1118">
        <v>1</v>
      </c>
      <c r="DZ1118">
        <v>1</v>
      </c>
      <c r="EA1118">
        <v>0</v>
      </c>
      <c r="EB1118">
        <v>0</v>
      </c>
      <c r="EC1118">
        <v>0</v>
      </c>
      <c r="ED1118">
        <v>0</v>
      </c>
      <c r="EE1118">
        <v>0</v>
      </c>
      <c r="EF1118">
        <v>1</v>
      </c>
      <c r="EG1118">
        <v>0</v>
      </c>
      <c r="EH1118">
        <v>0</v>
      </c>
      <c r="EI1118" s="2">
        <v>0</v>
      </c>
      <c r="EK1118" t="str">
        <f t="shared" si="1464"/>
        <v/>
      </c>
      <c r="EL1118" t="str">
        <f t="shared" si="1465"/>
        <v>Ecosystem approach</v>
      </c>
      <c r="EM1118" s="2" t="str">
        <f t="shared" si="1424"/>
        <v/>
      </c>
      <c r="EP1118" t="b">
        <f>IF(ISNUMBER(BU1118),IF(ABS(BU1118-[1]QC_indicators!$B$2)&gt;3*[1]QC_indicators!$C$2,"C ratio",IF(ISNUMBER(BY1118),IF(ABS(BY1118-[1]QC_indicators!$B$1)&gt;3*[1]QC_indicators!$C$1,"DF","no"))),IF(ISNUMBER(BY1118),IF(ABS(BY1118-[1]QC_indicators!$B$1)&gt;3*[1]QC_indicators!$C$1,"DF","no")))</f>
        <v>0</v>
      </c>
    </row>
    <row r="1119" spans="1:146" hidden="1">
      <c r="A1119" s="1" t="s">
        <v>214</v>
      </c>
      <c r="B1119" t="s">
        <v>3905</v>
      </c>
      <c r="C1119" t="s">
        <v>3906</v>
      </c>
      <c r="D1119" t="s">
        <v>3907</v>
      </c>
      <c r="E1119" t="s">
        <v>3908</v>
      </c>
      <c r="F1119" t="s">
        <v>3909</v>
      </c>
      <c r="G1119" t="s">
        <v>220</v>
      </c>
      <c r="H1119" t="s">
        <v>254</v>
      </c>
      <c r="I1119">
        <v>2012</v>
      </c>
      <c r="J1119">
        <v>24</v>
      </c>
      <c r="K1119" t="s">
        <v>3910</v>
      </c>
      <c r="M1119" t="str">
        <f t="shared" si="1430"/>
        <v>Perez-Cruzado_2012</v>
      </c>
      <c r="N1119" s="311" t="s">
        <v>4382</v>
      </c>
      <c r="O1119" s="171" t="s">
        <v>513</v>
      </c>
      <c r="P1119" s="141" t="s">
        <v>225</v>
      </c>
      <c r="Q1119" s="311" t="s">
        <v>389</v>
      </c>
      <c r="R1119" s="312"/>
      <c r="S1119" s="1" t="s">
        <v>3911</v>
      </c>
      <c r="T1119" t="s">
        <v>3912</v>
      </c>
      <c r="U1119" t="s">
        <v>3917</v>
      </c>
      <c r="V1119">
        <v>0</v>
      </c>
      <c r="W1119">
        <v>0</v>
      </c>
      <c r="X1119">
        <v>0</v>
      </c>
      <c r="Y1119">
        <v>0</v>
      </c>
      <c r="Z1119">
        <v>1</v>
      </c>
      <c r="AA1119">
        <v>0</v>
      </c>
      <c r="AB1119">
        <v>0</v>
      </c>
      <c r="AC1119">
        <v>0</v>
      </c>
      <c r="AD1119">
        <v>0</v>
      </c>
      <c r="AE1119">
        <v>0</v>
      </c>
      <c r="AF1119">
        <v>0</v>
      </c>
      <c r="AG1119">
        <v>0</v>
      </c>
      <c r="AH1119">
        <v>0</v>
      </c>
      <c r="AI1119">
        <v>0</v>
      </c>
      <c r="AJ1119">
        <v>0</v>
      </c>
      <c r="AK1119">
        <v>0</v>
      </c>
      <c r="AL1119">
        <v>0</v>
      </c>
      <c r="AM1119">
        <v>0</v>
      </c>
      <c r="AN1119">
        <v>0</v>
      </c>
      <c r="AO1119">
        <v>0</v>
      </c>
      <c r="AP1119">
        <v>0</v>
      </c>
      <c r="AQ1119">
        <v>0</v>
      </c>
      <c r="AR1119">
        <v>0</v>
      </c>
      <c r="AS1119">
        <v>0</v>
      </c>
      <c r="AT1119">
        <v>0</v>
      </c>
      <c r="AU1119">
        <v>0</v>
      </c>
      <c r="AV1119">
        <v>0</v>
      </c>
      <c r="AW1119">
        <v>0</v>
      </c>
      <c r="AX1119" s="141">
        <f t="shared" si="1466"/>
        <v>1</v>
      </c>
      <c r="AY1119" s="141">
        <f t="shared" si="1467"/>
        <v>1</v>
      </c>
      <c r="AZ1119">
        <f t="shared" si="1468"/>
        <v>1</v>
      </c>
      <c r="BA1119">
        <f t="shared" si="1469"/>
        <v>0</v>
      </c>
      <c r="BB1119">
        <f t="shared" si="1470"/>
        <v>0</v>
      </c>
      <c r="BC1119">
        <f t="shared" si="1471"/>
        <v>0</v>
      </c>
      <c r="BD1119">
        <f t="shared" si="1472"/>
        <v>0</v>
      </c>
      <c r="BE1119" t="str" cm="1">
        <f t="array" ref="BE1119">IF(AY1119=1,INDEX($V$7:$AL$7,MATCH(TRUE,INDEX($V1119:$AW1119&lt;&gt;0,),0)),IF(AY1119=0,INDEX($AM$7:$AW$7,MATCH(1,$AM1119:$AW1119,0)),IF(BF1119="Multiple strategies","mixed drivers",IF(BF1119="Supply chain","multiple supply","multiple silviculture"))))</f>
        <v>species</v>
      </c>
      <c r="BF1119" s="2" t="str" cm="1">
        <f t="array" ref="BF1119">IF(COUNTIF(AZ1119:BB1119,"&lt;&gt;0")=1,INDEX($V$4:$AW$4,MATCH(TRUE,INDEX($V1119:$AW1119&lt;&gt;0,),0)),IF(COUNTIF(AZ1119:BB1119,"&lt;&gt;0")=0,INDEX($AM$4:$AW$4,MATCH(1,$AM1119:$AW1119,0)),"Multiple strategies"))</f>
        <v>Silviculture for productivity</v>
      </c>
      <c r="BP1119" t="s">
        <v>232</v>
      </c>
      <c r="BQ1119" t="s">
        <v>3914</v>
      </c>
      <c r="BR1119" t="s">
        <v>3915</v>
      </c>
      <c r="BS1119">
        <v>237.9</v>
      </c>
      <c r="BT1119">
        <v>273.7</v>
      </c>
      <c r="BU1119" s="144"/>
      <c r="BV1119">
        <f t="shared" si="1475"/>
        <v>35.799999999999983</v>
      </c>
      <c r="BY1119" t="str">
        <f t="shared" si="1419"/>
        <v/>
      </c>
      <c r="BZ1119">
        <v>0</v>
      </c>
      <c r="CA1119">
        <v>0</v>
      </c>
      <c r="CB1119">
        <v>0</v>
      </c>
      <c r="CC1119">
        <v>0</v>
      </c>
      <c r="CD1119">
        <v>0</v>
      </c>
      <c r="CE1119">
        <v>0</v>
      </c>
      <c r="CF1119">
        <v>0</v>
      </c>
      <c r="CG1119">
        <v>0</v>
      </c>
      <c r="CH1119">
        <v>0</v>
      </c>
      <c r="CI1119">
        <v>0</v>
      </c>
      <c r="CJ1119">
        <v>0</v>
      </c>
      <c r="CK1119">
        <v>0</v>
      </c>
      <c r="CL1119">
        <v>0</v>
      </c>
      <c r="CM1119">
        <v>0</v>
      </c>
      <c r="CN1119" t="str">
        <f t="shared" si="1477"/>
        <v>refOK</v>
      </c>
      <c r="CO1119"/>
      <c r="CP1119"/>
      <c r="CQ1119"/>
      <c r="CR1119">
        <f t="shared" si="1478"/>
        <v>237.9</v>
      </c>
      <c r="CS1119">
        <f t="shared" si="1491"/>
        <v>273.7</v>
      </c>
      <c r="CT1119">
        <f t="shared" si="1479"/>
        <v>0</v>
      </c>
      <c r="CU1119" t="str">
        <f t="shared" si="1480"/>
        <v/>
      </c>
      <c r="CV1119" s="2">
        <f t="shared" si="1481"/>
        <v>0.15048339638503566</v>
      </c>
      <c r="CW1119" s="1" t="s">
        <v>1202</v>
      </c>
      <c r="CX1119" s="311" t="str">
        <f t="shared" si="1482"/>
        <v>reg</v>
      </c>
      <c r="CY1119" t="s">
        <v>3916</v>
      </c>
      <c r="DB1119">
        <v>200</v>
      </c>
      <c r="DC1119" t="str">
        <f t="shared" si="1483"/>
        <v>+100</v>
      </c>
      <c r="DD1119">
        <v>0</v>
      </c>
      <c r="DE1119">
        <v>0</v>
      </c>
      <c r="DF1119">
        <v>0</v>
      </c>
      <c r="DG1119">
        <v>1</v>
      </c>
      <c r="DH1119">
        <v>0</v>
      </c>
      <c r="DI1119">
        <f t="shared" si="1484"/>
        <v>1</v>
      </c>
      <c r="DJ1119" t="str">
        <f t="shared" si="1485"/>
        <v>TimberInput</v>
      </c>
      <c r="DK1119">
        <f t="shared" si="1486"/>
        <v>0</v>
      </c>
      <c r="DL1119">
        <f t="shared" si="1487"/>
        <v>0</v>
      </c>
      <c r="DM1119">
        <f t="shared" si="1488"/>
        <v>0</v>
      </c>
      <c r="DN1119" t="str">
        <f t="shared" si="1489"/>
        <v>Timber</v>
      </c>
      <c r="DO1119">
        <v>0</v>
      </c>
      <c r="DP1119">
        <v>0</v>
      </c>
      <c r="DQ1119">
        <v>0</v>
      </c>
      <c r="DR1119">
        <v>0</v>
      </c>
      <c r="DS1119">
        <v>0</v>
      </c>
      <c r="DT1119">
        <f t="shared" si="1492"/>
        <v>0</v>
      </c>
      <c r="DU1119" s="143" t="str">
        <f t="shared" si="1490"/>
        <v>explicit C balance</v>
      </c>
      <c r="DV1119">
        <v>1</v>
      </c>
      <c r="DW1119">
        <v>1</v>
      </c>
      <c r="DX1119">
        <v>1</v>
      </c>
      <c r="DY1119">
        <v>1</v>
      </c>
      <c r="DZ1119">
        <v>1</v>
      </c>
      <c r="EA1119">
        <v>0</v>
      </c>
      <c r="EB1119">
        <v>0</v>
      </c>
      <c r="EC1119">
        <v>0</v>
      </c>
      <c r="ED1119">
        <v>0</v>
      </c>
      <c r="EE1119">
        <v>0</v>
      </c>
      <c r="EF1119">
        <v>1</v>
      </c>
      <c r="EG1119">
        <v>0</v>
      </c>
      <c r="EH1119">
        <v>0</v>
      </c>
      <c r="EI1119" s="2">
        <v>0</v>
      </c>
      <c r="EK1119" t="str">
        <f t="shared" si="1464"/>
        <v/>
      </c>
      <c r="EL1119" t="str">
        <f t="shared" si="1465"/>
        <v>Ecosystem approach</v>
      </c>
      <c r="EM1119" s="2" t="str">
        <f t="shared" si="1424"/>
        <v/>
      </c>
      <c r="EP1119" t="b">
        <f>IF(ISNUMBER(BU1119),IF(ABS(BU1119-[1]QC_indicators!$B$2)&gt;3*[1]QC_indicators!$C$2,"C ratio",IF(ISNUMBER(BY1119),IF(ABS(BY1119-[1]QC_indicators!$B$1)&gt;3*[1]QC_indicators!$C$1,"DF","no"))),IF(ISNUMBER(BY1119),IF(ABS(BY1119-[1]QC_indicators!$B$1)&gt;3*[1]QC_indicators!$C$1,"DF","no")))</f>
        <v>0</v>
      </c>
    </row>
    <row r="1120" spans="1:146" hidden="1">
      <c r="A1120" s="1" t="s">
        <v>214</v>
      </c>
      <c r="B1120" t="s">
        <v>3905</v>
      </c>
      <c r="C1120" t="s">
        <v>3906</v>
      </c>
      <c r="D1120" t="s">
        <v>3907</v>
      </c>
      <c r="E1120" t="s">
        <v>3908</v>
      </c>
      <c r="F1120" t="s">
        <v>3909</v>
      </c>
      <c r="G1120" t="s">
        <v>220</v>
      </c>
      <c r="H1120" t="s">
        <v>254</v>
      </c>
      <c r="I1120">
        <v>2012</v>
      </c>
      <c r="J1120">
        <v>24</v>
      </c>
      <c r="K1120" t="s">
        <v>3910</v>
      </c>
      <c r="M1120" t="str">
        <f t="shared" si="1430"/>
        <v>Perez-Cruzado_2012</v>
      </c>
      <c r="N1120" s="311" t="s">
        <v>4382</v>
      </c>
      <c r="O1120" s="171" t="s">
        <v>513</v>
      </c>
      <c r="P1120" s="141" t="s">
        <v>225</v>
      </c>
      <c r="Q1120" s="311" t="s">
        <v>389</v>
      </c>
      <c r="R1120" s="312"/>
      <c r="S1120" s="1" t="s">
        <v>3918</v>
      </c>
      <c r="T1120" t="s">
        <v>3919</v>
      </c>
      <c r="U1120" t="s">
        <v>3917</v>
      </c>
      <c r="V1120">
        <v>0</v>
      </c>
      <c r="W1120">
        <v>0</v>
      </c>
      <c r="X1120">
        <v>0</v>
      </c>
      <c r="Y1120">
        <v>0</v>
      </c>
      <c r="Z1120">
        <v>0</v>
      </c>
      <c r="AA1120">
        <v>0</v>
      </c>
      <c r="AB1120">
        <v>0</v>
      </c>
      <c r="AC1120">
        <v>0</v>
      </c>
      <c r="AD1120">
        <v>0</v>
      </c>
      <c r="AE1120">
        <v>0</v>
      </c>
      <c r="AF1120">
        <v>1</v>
      </c>
      <c r="AG1120">
        <v>0</v>
      </c>
      <c r="AH1120">
        <v>0</v>
      </c>
      <c r="AI1120">
        <v>0</v>
      </c>
      <c r="AJ1120">
        <v>0</v>
      </c>
      <c r="AK1120">
        <v>0</v>
      </c>
      <c r="AL1120">
        <v>0</v>
      </c>
      <c r="AM1120">
        <v>0</v>
      </c>
      <c r="AN1120">
        <v>0</v>
      </c>
      <c r="AO1120">
        <v>0</v>
      </c>
      <c r="AP1120">
        <v>0</v>
      </c>
      <c r="AQ1120">
        <v>0</v>
      </c>
      <c r="AR1120">
        <v>0</v>
      </c>
      <c r="AS1120">
        <v>0</v>
      </c>
      <c r="AT1120">
        <v>0</v>
      </c>
      <c r="AU1120">
        <v>0</v>
      </c>
      <c r="AV1120">
        <v>0</v>
      </c>
      <c r="AW1120">
        <v>0</v>
      </c>
      <c r="AX1120" s="141">
        <f t="shared" si="1466"/>
        <v>1</v>
      </c>
      <c r="AY1120" s="141">
        <f t="shared" si="1467"/>
        <v>1</v>
      </c>
      <c r="AZ1120">
        <f t="shared" si="1468"/>
        <v>0</v>
      </c>
      <c r="BA1120">
        <f t="shared" si="1469"/>
        <v>1</v>
      </c>
      <c r="BB1120">
        <f t="shared" si="1470"/>
        <v>0</v>
      </c>
      <c r="BC1120">
        <f t="shared" si="1471"/>
        <v>0</v>
      </c>
      <c r="BD1120">
        <f t="shared" si="1472"/>
        <v>0</v>
      </c>
      <c r="BE1120" t="str" cm="1">
        <f t="array" ref="BE1120">IF(AY1120=1,INDEX($V$7:$AL$7,MATCH(TRUE,INDEX($V1120:$AW1120&lt;&gt;0,),0)),IF(AY1120=0,INDEX($AM$7:$AW$7,MATCH(1,$AM1120:$AW1120,0)),IF(BF1120="Multiple strategies","mixed drivers",IF(BF1120="Supply chain","multiple supply","multiple silviculture"))))</f>
        <v>supply chain organization</v>
      </c>
      <c r="BF1120" s="2" t="str" cm="1">
        <f t="array" ref="BF1120">IF(COUNTIF(AZ1120:BB1120,"&lt;&gt;0")=1,INDEX($V$4:$AW$4,MATCH(TRUE,INDEX($V1120:$AW1120&lt;&gt;0,),0)),IF(COUNTIF(AZ1120:BB1120,"&lt;&gt;0")=0,INDEX($AM$4:$AW$4,MATCH(1,$AM1120:$AW1120,0)),"Multiple strategies"))</f>
        <v>Supply chain</v>
      </c>
      <c r="BP1120" t="s">
        <v>232</v>
      </c>
      <c r="BQ1120" t="s">
        <v>3914</v>
      </c>
      <c r="BR1120" t="s">
        <v>3915</v>
      </c>
      <c r="BS1120">
        <v>273.7</v>
      </c>
      <c r="BT1120">
        <v>793.5</v>
      </c>
      <c r="BU1120" s="144"/>
      <c r="BV1120">
        <f t="shared" si="1475"/>
        <v>519.79999999999995</v>
      </c>
      <c r="BY1120" t="str">
        <f t="shared" si="1419"/>
        <v/>
      </c>
      <c r="BZ1120">
        <v>0</v>
      </c>
      <c r="CA1120">
        <v>0</v>
      </c>
      <c r="CB1120">
        <v>0</v>
      </c>
      <c r="CC1120">
        <v>0</v>
      </c>
      <c r="CD1120">
        <v>0</v>
      </c>
      <c r="CE1120">
        <v>0</v>
      </c>
      <c r="CF1120">
        <v>0</v>
      </c>
      <c r="CG1120">
        <v>0</v>
      </c>
      <c r="CH1120">
        <v>0</v>
      </c>
      <c r="CI1120">
        <v>0</v>
      </c>
      <c r="CJ1120">
        <v>0</v>
      </c>
      <c r="CK1120">
        <v>0</v>
      </c>
      <c r="CL1120">
        <v>0</v>
      </c>
      <c r="CM1120">
        <v>0</v>
      </c>
      <c r="CN1120" t="str">
        <f t="shared" si="1477"/>
        <v>refOK</v>
      </c>
      <c r="CO1120"/>
      <c r="CP1120"/>
      <c r="CQ1120"/>
      <c r="CR1120">
        <f t="shared" si="1478"/>
        <v>273.7</v>
      </c>
      <c r="CS1120">
        <f t="shared" si="1491"/>
        <v>793.5</v>
      </c>
      <c r="CT1120">
        <f t="shared" si="1479"/>
        <v>0</v>
      </c>
      <c r="CU1120" t="str">
        <f t="shared" si="1480"/>
        <v/>
      </c>
      <c r="CV1120" s="2">
        <f t="shared" si="1481"/>
        <v>1.8991596638655461</v>
      </c>
      <c r="CW1120" s="1" t="s">
        <v>1202</v>
      </c>
      <c r="CX1120" s="311" t="str">
        <f t="shared" si="1482"/>
        <v>reg</v>
      </c>
      <c r="CY1120" t="s">
        <v>3916</v>
      </c>
      <c r="DB1120">
        <v>200</v>
      </c>
      <c r="DC1120" t="str">
        <f t="shared" si="1483"/>
        <v>+100</v>
      </c>
      <c r="DD1120">
        <v>0</v>
      </c>
      <c r="DE1120">
        <v>1</v>
      </c>
      <c r="DF1120">
        <v>0</v>
      </c>
      <c r="DG1120">
        <v>1</v>
      </c>
      <c r="DH1120">
        <v>0</v>
      </c>
      <c r="DI1120">
        <f t="shared" si="1484"/>
        <v>2</v>
      </c>
      <c r="DJ1120" t="str">
        <f t="shared" si="1485"/>
        <v>mixedProduct</v>
      </c>
      <c r="DK1120">
        <f t="shared" si="1486"/>
        <v>0</v>
      </c>
      <c r="DL1120" t="str">
        <f t="shared" si="1487"/>
        <v>Energy</v>
      </c>
      <c r="DM1120">
        <f t="shared" si="1488"/>
        <v>0</v>
      </c>
      <c r="DN1120" t="str">
        <f t="shared" si="1489"/>
        <v>Timber</v>
      </c>
      <c r="DO1120">
        <v>0</v>
      </c>
      <c r="DP1120">
        <v>0</v>
      </c>
      <c r="DQ1120">
        <v>0</v>
      </c>
      <c r="DR1120">
        <v>0</v>
      </c>
      <c r="DS1120">
        <v>0</v>
      </c>
      <c r="DT1120">
        <f t="shared" si="1492"/>
        <v>0</v>
      </c>
      <c r="DU1120" s="143" t="str">
        <f t="shared" si="1490"/>
        <v>explicit C balance</v>
      </c>
      <c r="DV1120">
        <v>1</v>
      </c>
      <c r="DW1120">
        <v>1</v>
      </c>
      <c r="DX1120">
        <v>1</v>
      </c>
      <c r="DY1120">
        <v>1</v>
      </c>
      <c r="DZ1120">
        <v>1</v>
      </c>
      <c r="EA1120">
        <v>0</v>
      </c>
      <c r="EB1120">
        <v>0</v>
      </c>
      <c r="EC1120">
        <v>0</v>
      </c>
      <c r="ED1120">
        <v>0</v>
      </c>
      <c r="EE1120">
        <v>0</v>
      </c>
      <c r="EF1120">
        <v>1</v>
      </c>
      <c r="EG1120">
        <v>0</v>
      </c>
      <c r="EH1120">
        <v>0</v>
      </c>
      <c r="EI1120" s="2">
        <v>0</v>
      </c>
      <c r="EK1120" t="str">
        <f t="shared" si="1464"/>
        <v/>
      </c>
      <c r="EL1120" t="str">
        <f t="shared" si="1465"/>
        <v>Ecosystem approach</v>
      </c>
      <c r="EM1120" s="2" t="str">
        <f t="shared" si="1424"/>
        <v/>
      </c>
      <c r="EP1120" t="b">
        <f>IF(ISNUMBER(BU1120),IF(ABS(BU1120-[1]QC_indicators!$B$2)&gt;3*[1]QC_indicators!$C$2,"C ratio",IF(ISNUMBER(BY1120),IF(ABS(BY1120-[1]QC_indicators!$B$1)&gt;3*[1]QC_indicators!$C$1,"DF","no"))),IF(ISNUMBER(BY1120),IF(ABS(BY1120-[1]QC_indicators!$B$1)&gt;3*[1]QC_indicators!$C$1,"DF","no")))</f>
        <v>0</v>
      </c>
    </row>
    <row r="1121" spans="1:150" hidden="1">
      <c r="A1121" s="1" t="s">
        <v>214</v>
      </c>
      <c r="B1121" t="s">
        <v>3905</v>
      </c>
      <c r="C1121" t="s">
        <v>3906</v>
      </c>
      <c r="D1121" t="s">
        <v>3907</v>
      </c>
      <c r="E1121" t="s">
        <v>3908</v>
      </c>
      <c r="F1121" t="s">
        <v>3909</v>
      </c>
      <c r="G1121" t="s">
        <v>220</v>
      </c>
      <c r="H1121" t="s">
        <v>254</v>
      </c>
      <c r="I1121">
        <v>2012</v>
      </c>
      <c r="J1121">
        <v>24</v>
      </c>
      <c r="K1121" t="s">
        <v>3910</v>
      </c>
      <c r="M1121" t="str">
        <f t="shared" si="1430"/>
        <v>Perez-Cruzado_2012</v>
      </c>
      <c r="N1121" s="311" t="s">
        <v>4382</v>
      </c>
      <c r="O1121" s="171" t="s">
        <v>513</v>
      </c>
      <c r="P1121" s="141" t="s">
        <v>225</v>
      </c>
      <c r="Q1121" s="311" t="s">
        <v>389</v>
      </c>
      <c r="R1121" s="312"/>
      <c r="S1121" s="1" t="s">
        <v>3918</v>
      </c>
      <c r="T1121" t="s">
        <v>3913</v>
      </c>
      <c r="U1121" t="s">
        <v>3920</v>
      </c>
      <c r="V1121">
        <v>0</v>
      </c>
      <c r="W1121">
        <v>0</v>
      </c>
      <c r="X1121">
        <v>0</v>
      </c>
      <c r="Y1121">
        <v>0</v>
      </c>
      <c r="Z1121">
        <v>0</v>
      </c>
      <c r="AA1121">
        <v>0</v>
      </c>
      <c r="AB1121">
        <v>0</v>
      </c>
      <c r="AC1121">
        <v>0</v>
      </c>
      <c r="AD1121">
        <v>0</v>
      </c>
      <c r="AE1121">
        <v>0</v>
      </c>
      <c r="AF1121">
        <v>1</v>
      </c>
      <c r="AG1121">
        <v>0</v>
      </c>
      <c r="AH1121">
        <v>0</v>
      </c>
      <c r="AI1121">
        <v>0</v>
      </c>
      <c r="AJ1121">
        <v>0</v>
      </c>
      <c r="AK1121">
        <v>0</v>
      </c>
      <c r="AL1121">
        <v>0</v>
      </c>
      <c r="AM1121">
        <v>0</v>
      </c>
      <c r="AN1121">
        <v>0</v>
      </c>
      <c r="AO1121">
        <v>0</v>
      </c>
      <c r="AP1121">
        <v>0</v>
      </c>
      <c r="AQ1121">
        <v>0</v>
      </c>
      <c r="AR1121">
        <v>0</v>
      </c>
      <c r="AS1121">
        <v>0</v>
      </c>
      <c r="AT1121">
        <v>0</v>
      </c>
      <c r="AU1121">
        <v>0</v>
      </c>
      <c r="AV1121">
        <v>0</v>
      </c>
      <c r="AW1121">
        <v>0</v>
      </c>
      <c r="AX1121" s="141">
        <f t="shared" si="1466"/>
        <v>1</v>
      </c>
      <c r="AY1121" s="141">
        <f t="shared" si="1467"/>
        <v>1</v>
      </c>
      <c r="AZ1121">
        <f t="shared" si="1468"/>
        <v>0</v>
      </c>
      <c r="BA1121">
        <f t="shared" si="1469"/>
        <v>1</v>
      </c>
      <c r="BB1121">
        <f t="shared" si="1470"/>
        <v>0</v>
      </c>
      <c r="BC1121">
        <f t="shared" si="1471"/>
        <v>0</v>
      </c>
      <c r="BD1121">
        <f t="shared" si="1472"/>
        <v>0</v>
      </c>
      <c r="BE1121" t="str" cm="1">
        <f t="array" ref="BE1121">IF(AY1121=1,INDEX($V$7:$AL$7,MATCH(TRUE,INDEX($V1121:$AW1121&lt;&gt;0,),0)),IF(AY1121=0,INDEX($AM$7:$AW$7,MATCH(1,$AM1121:$AW1121,0)),IF(BF1121="Multiple strategies","mixed drivers",IF(BF1121="Supply chain","multiple supply","multiple silviculture"))))</f>
        <v>supply chain organization</v>
      </c>
      <c r="BF1121" s="2" t="str" cm="1">
        <f t="array" ref="BF1121">IF(COUNTIF(AZ1121:BB1121,"&lt;&gt;0")=1,INDEX($V$4:$AW$4,MATCH(TRUE,INDEX($V1121:$AW1121&lt;&gt;0,),0)),IF(COUNTIF(AZ1121:BB1121,"&lt;&gt;0")=0,INDEX($AM$4:$AW$4,MATCH(1,$AM1121:$AW1121,0)),"Multiple strategies"))</f>
        <v>Supply chain</v>
      </c>
      <c r="BP1121" t="s">
        <v>232</v>
      </c>
      <c r="BQ1121" t="s">
        <v>3914</v>
      </c>
      <c r="BR1121" t="s">
        <v>3915</v>
      </c>
      <c r="BS1121">
        <v>304</v>
      </c>
      <c r="BT1121">
        <v>1031.5</v>
      </c>
      <c r="BU1121" s="144"/>
      <c r="BV1121">
        <f t="shared" si="1475"/>
        <v>727.5</v>
      </c>
      <c r="BY1121" t="str">
        <f t="shared" si="1419"/>
        <v/>
      </c>
      <c r="BZ1121">
        <v>0</v>
      </c>
      <c r="CA1121">
        <v>0</v>
      </c>
      <c r="CB1121">
        <v>0</v>
      </c>
      <c r="CC1121">
        <v>0</v>
      </c>
      <c r="CD1121">
        <v>0</v>
      </c>
      <c r="CE1121">
        <v>0</v>
      </c>
      <c r="CF1121">
        <v>0</v>
      </c>
      <c r="CG1121">
        <v>0</v>
      </c>
      <c r="CH1121">
        <v>0</v>
      </c>
      <c r="CI1121">
        <v>0</v>
      </c>
      <c r="CJ1121">
        <v>0</v>
      </c>
      <c r="CK1121">
        <v>0</v>
      </c>
      <c r="CL1121">
        <v>0</v>
      </c>
      <c r="CM1121">
        <v>0</v>
      </c>
      <c r="CN1121" t="str">
        <f t="shared" si="1477"/>
        <v>refOK</v>
      </c>
      <c r="CO1121"/>
      <c r="CP1121"/>
      <c r="CQ1121"/>
      <c r="CR1121">
        <f t="shared" si="1478"/>
        <v>304</v>
      </c>
      <c r="CS1121">
        <f t="shared" si="1491"/>
        <v>1031.5</v>
      </c>
      <c r="CT1121">
        <f t="shared" si="1479"/>
        <v>0</v>
      </c>
      <c r="CU1121" t="str">
        <f t="shared" si="1480"/>
        <v/>
      </c>
      <c r="CV1121" s="2">
        <f t="shared" si="1481"/>
        <v>2.393092105263158</v>
      </c>
      <c r="CW1121" s="1" t="s">
        <v>1202</v>
      </c>
      <c r="CX1121" s="311" t="str">
        <f t="shared" si="1482"/>
        <v>reg</v>
      </c>
      <c r="CY1121" t="s">
        <v>3916</v>
      </c>
      <c r="DB1121">
        <v>200</v>
      </c>
      <c r="DC1121" t="str">
        <f t="shared" si="1483"/>
        <v>+100</v>
      </c>
      <c r="DD1121">
        <v>0</v>
      </c>
      <c r="DE1121">
        <v>1</v>
      </c>
      <c r="DF1121">
        <v>0</v>
      </c>
      <c r="DG1121">
        <v>1</v>
      </c>
      <c r="DH1121">
        <v>0</v>
      </c>
      <c r="DI1121">
        <f t="shared" si="1484"/>
        <v>2</v>
      </c>
      <c r="DJ1121" t="str">
        <f t="shared" si="1485"/>
        <v>mixedProduct</v>
      </c>
      <c r="DK1121">
        <f t="shared" si="1486"/>
        <v>0</v>
      </c>
      <c r="DL1121" t="str">
        <f t="shared" si="1487"/>
        <v>Energy</v>
      </c>
      <c r="DM1121">
        <f t="shared" si="1488"/>
        <v>0</v>
      </c>
      <c r="DN1121" t="str">
        <f t="shared" si="1489"/>
        <v>Timber</v>
      </c>
      <c r="DO1121">
        <v>0</v>
      </c>
      <c r="DP1121">
        <v>0</v>
      </c>
      <c r="DQ1121">
        <v>0</v>
      </c>
      <c r="DR1121">
        <v>0</v>
      </c>
      <c r="DS1121">
        <v>0</v>
      </c>
      <c r="DT1121">
        <f t="shared" si="1492"/>
        <v>0</v>
      </c>
      <c r="DU1121" s="143" t="str">
        <f t="shared" si="1490"/>
        <v>explicit C balance</v>
      </c>
      <c r="DV1121">
        <v>1</v>
      </c>
      <c r="DW1121">
        <v>1</v>
      </c>
      <c r="DX1121">
        <v>1</v>
      </c>
      <c r="DY1121">
        <v>1</v>
      </c>
      <c r="DZ1121">
        <v>1</v>
      </c>
      <c r="EA1121">
        <v>0</v>
      </c>
      <c r="EB1121">
        <v>0</v>
      </c>
      <c r="EC1121">
        <v>0</v>
      </c>
      <c r="ED1121">
        <v>0</v>
      </c>
      <c r="EE1121">
        <v>0</v>
      </c>
      <c r="EF1121">
        <v>1</v>
      </c>
      <c r="EG1121">
        <v>0</v>
      </c>
      <c r="EH1121">
        <v>0</v>
      </c>
      <c r="EI1121" s="2">
        <v>0</v>
      </c>
      <c r="EK1121" t="str">
        <f t="shared" si="1464"/>
        <v/>
      </c>
      <c r="EL1121" t="str">
        <f t="shared" si="1465"/>
        <v>Ecosystem approach</v>
      </c>
      <c r="EM1121" s="2" t="str">
        <f t="shared" si="1424"/>
        <v/>
      </c>
      <c r="EP1121" t="b">
        <f>IF(ISNUMBER(BU1121),IF(ABS(BU1121-[1]QC_indicators!$B$2)&gt;3*[1]QC_indicators!$C$2,"C ratio",IF(ISNUMBER(BY1121),IF(ABS(BY1121-[1]QC_indicators!$B$1)&gt;3*[1]QC_indicators!$C$1,"DF","no"))),IF(ISNUMBER(BY1121),IF(ABS(BY1121-[1]QC_indicators!$B$1)&gt;3*[1]QC_indicators!$C$1,"DF","no")))</f>
        <v>0</v>
      </c>
    </row>
    <row r="1122" spans="1:150" hidden="1">
      <c r="A1122" s="1" t="s">
        <v>214</v>
      </c>
      <c r="B1122" t="s">
        <v>3905</v>
      </c>
      <c r="C1122" t="s">
        <v>3906</v>
      </c>
      <c r="D1122" t="s">
        <v>3907</v>
      </c>
      <c r="E1122" t="s">
        <v>3908</v>
      </c>
      <c r="F1122" t="s">
        <v>3909</v>
      </c>
      <c r="G1122" t="s">
        <v>220</v>
      </c>
      <c r="H1122" t="s">
        <v>254</v>
      </c>
      <c r="I1122">
        <v>2012</v>
      </c>
      <c r="J1122">
        <v>24</v>
      </c>
      <c r="K1122" t="s">
        <v>3910</v>
      </c>
      <c r="M1122" t="str">
        <f t="shared" si="1430"/>
        <v>Perez-Cruzado_2012</v>
      </c>
      <c r="N1122" s="311" t="s">
        <v>4382</v>
      </c>
      <c r="O1122" s="171" t="s">
        <v>513</v>
      </c>
      <c r="P1122" s="141" t="s">
        <v>225</v>
      </c>
      <c r="Q1122" s="311" t="s">
        <v>389</v>
      </c>
      <c r="R1122" s="312"/>
      <c r="S1122" s="1" t="s">
        <v>3918</v>
      </c>
      <c r="T1122" t="s">
        <v>3912</v>
      </c>
      <c r="U1122" t="s">
        <v>3921</v>
      </c>
      <c r="V1122">
        <v>0</v>
      </c>
      <c r="W1122">
        <v>0</v>
      </c>
      <c r="X1122">
        <v>0</v>
      </c>
      <c r="Y1122">
        <v>0</v>
      </c>
      <c r="Z1122">
        <v>0</v>
      </c>
      <c r="AA1122">
        <v>0</v>
      </c>
      <c r="AB1122">
        <v>0</v>
      </c>
      <c r="AC1122">
        <v>0</v>
      </c>
      <c r="AD1122">
        <v>0</v>
      </c>
      <c r="AE1122">
        <v>0</v>
      </c>
      <c r="AF1122">
        <v>1</v>
      </c>
      <c r="AG1122">
        <v>0</v>
      </c>
      <c r="AH1122">
        <v>0</v>
      </c>
      <c r="AI1122">
        <v>0</v>
      </c>
      <c r="AJ1122">
        <v>0</v>
      </c>
      <c r="AK1122">
        <v>0</v>
      </c>
      <c r="AL1122">
        <v>0</v>
      </c>
      <c r="AM1122">
        <v>0</v>
      </c>
      <c r="AN1122">
        <v>0</v>
      </c>
      <c r="AO1122">
        <v>0</v>
      </c>
      <c r="AP1122">
        <v>0</v>
      </c>
      <c r="AQ1122">
        <v>0</v>
      </c>
      <c r="AR1122">
        <v>0</v>
      </c>
      <c r="AS1122">
        <v>0</v>
      </c>
      <c r="AT1122">
        <v>0</v>
      </c>
      <c r="AU1122">
        <v>0</v>
      </c>
      <c r="AV1122">
        <v>0</v>
      </c>
      <c r="AW1122">
        <v>0</v>
      </c>
      <c r="AX1122" s="141">
        <f t="shared" si="1466"/>
        <v>1</v>
      </c>
      <c r="AY1122" s="141">
        <f t="shared" si="1467"/>
        <v>1</v>
      </c>
      <c r="AZ1122">
        <f t="shared" si="1468"/>
        <v>0</v>
      </c>
      <c r="BA1122">
        <f t="shared" si="1469"/>
        <v>1</v>
      </c>
      <c r="BB1122">
        <f t="shared" si="1470"/>
        <v>0</v>
      </c>
      <c r="BC1122">
        <f t="shared" si="1471"/>
        <v>0</v>
      </c>
      <c r="BD1122">
        <f t="shared" si="1472"/>
        <v>0</v>
      </c>
      <c r="BE1122" t="str" cm="1">
        <f t="array" ref="BE1122">IF(AY1122=1,INDEX($V$7:$AL$7,MATCH(TRUE,INDEX($V1122:$AW1122&lt;&gt;0,),0)),IF(AY1122=0,INDEX($AM$7:$AW$7,MATCH(1,$AM1122:$AW1122,0)),IF(BF1122="Multiple strategies","mixed drivers",IF(BF1122="Supply chain","multiple supply","multiple silviculture"))))</f>
        <v>supply chain organization</v>
      </c>
      <c r="BF1122" s="2" t="str" cm="1">
        <f t="array" ref="BF1122">IF(COUNTIF(AZ1122:BB1122,"&lt;&gt;0")=1,INDEX($V$4:$AW$4,MATCH(TRUE,INDEX($V1122:$AW1122&lt;&gt;0,),0)),IF(COUNTIF(AZ1122:BB1122,"&lt;&gt;0")=0,INDEX($AM$4:$AW$4,MATCH(1,$AM1122:$AW1122,0)),"Multiple strategies"))</f>
        <v>Supply chain</v>
      </c>
      <c r="BP1122" t="s">
        <v>232</v>
      </c>
      <c r="BQ1122" t="s">
        <v>3914</v>
      </c>
      <c r="BR1122" t="s">
        <v>3915</v>
      </c>
      <c r="BS1122">
        <v>237.9</v>
      </c>
      <c r="BT1122">
        <v>1983</v>
      </c>
      <c r="BU1122" s="144"/>
      <c r="BV1122">
        <f t="shared" si="1475"/>
        <v>1745.1</v>
      </c>
      <c r="BY1122" t="str">
        <f t="shared" si="1419"/>
        <v/>
      </c>
      <c r="BZ1122">
        <v>0</v>
      </c>
      <c r="CA1122">
        <v>0</v>
      </c>
      <c r="CB1122">
        <v>0</v>
      </c>
      <c r="CC1122">
        <v>0</v>
      </c>
      <c r="CD1122">
        <v>0</v>
      </c>
      <c r="CE1122">
        <v>0</v>
      </c>
      <c r="CF1122">
        <v>0</v>
      </c>
      <c r="CG1122">
        <v>0</v>
      </c>
      <c r="CH1122">
        <v>0</v>
      </c>
      <c r="CI1122">
        <v>0</v>
      </c>
      <c r="CJ1122">
        <v>0</v>
      </c>
      <c r="CK1122">
        <v>0</v>
      </c>
      <c r="CL1122">
        <v>0</v>
      </c>
      <c r="CM1122">
        <v>0</v>
      </c>
      <c r="CN1122" t="str">
        <f t="shared" si="1477"/>
        <v>refOK</v>
      </c>
      <c r="CO1122"/>
      <c r="CP1122"/>
      <c r="CQ1122"/>
      <c r="CR1122">
        <f t="shared" si="1478"/>
        <v>237.9</v>
      </c>
      <c r="CS1122">
        <f t="shared" si="1491"/>
        <v>1983</v>
      </c>
      <c r="CT1122">
        <f t="shared" si="1479"/>
        <v>0</v>
      </c>
      <c r="CU1122" t="str">
        <f t="shared" si="1480"/>
        <v/>
      </c>
      <c r="CV1122" s="2">
        <f t="shared" si="1481"/>
        <v>7.3354350567465314</v>
      </c>
      <c r="CW1122" s="1" t="s">
        <v>1202</v>
      </c>
      <c r="CX1122" s="311" t="str">
        <f t="shared" si="1482"/>
        <v>reg</v>
      </c>
      <c r="CY1122" t="s">
        <v>3916</v>
      </c>
      <c r="DB1122">
        <v>200</v>
      </c>
      <c r="DC1122" t="str">
        <f t="shared" si="1483"/>
        <v>+100</v>
      </c>
      <c r="DD1122">
        <v>0</v>
      </c>
      <c r="DE1122">
        <v>1</v>
      </c>
      <c r="DF1122">
        <v>0</v>
      </c>
      <c r="DG1122">
        <v>1</v>
      </c>
      <c r="DH1122">
        <v>0</v>
      </c>
      <c r="DI1122">
        <f t="shared" si="1484"/>
        <v>2</v>
      </c>
      <c r="DJ1122" t="str">
        <f t="shared" si="1485"/>
        <v>mixedProduct</v>
      </c>
      <c r="DK1122">
        <f t="shared" si="1486"/>
        <v>0</v>
      </c>
      <c r="DL1122" t="str">
        <f t="shared" si="1487"/>
        <v>Energy</v>
      </c>
      <c r="DM1122">
        <f t="shared" si="1488"/>
        <v>0</v>
      </c>
      <c r="DN1122" t="str">
        <f t="shared" si="1489"/>
        <v>Timber</v>
      </c>
      <c r="DO1122">
        <v>0</v>
      </c>
      <c r="DP1122">
        <v>0</v>
      </c>
      <c r="DQ1122">
        <v>0</v>
      </c>
      <c r="DR1122">
        <v>0</v>
      </c>
      <c r="DS1122">
        <v>0</v>
      </c>
      <c r="DT1122">
        <f t="shared" si="1492"/>
        <v>0</v>
      </c>
      <c r="DU1122" s="143" t="str">
        <f t="shared" si="1490"/>
        <v>explicit C balance</v>
      </c>
      <c r="DV1122">
        <v>1</v>
      </c>
      <c r="DW1122">
        <v>1</v>
      </c>
      <c r="DX1122">
        <v>1</v>
      </c>
      <c r="DY1122">
        <v>1</v>
      </c>
      <c r="DZ1122">
        <v>1</v>
      </c>
      <c r="EA1122">
        <v>0</v>
      </c>
      <c r="EB1122">
        <v>0</v>
      </c>
      <c r="EC1122">
        <v>0</v>
      </c>
      <c r="ED1122">
        <v>0</v>
      </c>
      <c r="EE1122">
        <v>0</v>
      </c>
      <c r="EF1122">
        <v>1</v>
      </c>
      <c r="EG1122">
        <v>0</v>
      </c>
      <c r="EH1122">
        <v>0</v>
      </c>
      <c r="EI1122" s="2">
        <v>0</v>
      </c>
      <c r="EK1122" t="str">
        <f t="shared" si="1464"/>
        <v/>
      </c>
      <c r="EL1122" t="str">
        <f t="shared" si="1465"/>
        <v>Ecosystem approach</v>
      </c>
      <c r="EM1122" s="2" t="str">
        <f t="shared" si="1424"/>
        <v/>
      </c>
      <c r="EP1122" t="b">
        <f>IF(ISNUMBER(BU1122),IF(ABS(BU1122-[1]QC_indicators!$B$2)&gt;3*[1]QC_indicators!$C$2,"C ratio",IF(ISNUMBER(BY1122),IF(ABS(BY1122-[1]QC_indicators!$B$1)&gt;3*[1]QC_indicators!$C$1,"DF","no"))),IF(ISNUMBER(BY1122),IF(ABS(BY1122-[1]QC_indicators!$B$1)&gt;3*[1]QC_indicators!$C$1,"DF","no")))</f>
        <v>0</v>
      </c>
    </row>
    <row r="1123" spans="1:150" hidden="1">
      <c r="A1123" s="1" t="s">
        <v>214</v>
      </c>
      <c r="B1123" t="s">
        <v>3905</v>
      </c>
      <c r="C1123" t="s">
        <v>3906</v>
      </c>
      <c r="D1123" t="s">
        <v>3907</v>
      </c>
      <c r="E1123" t="s">
        <v>3908</v>
      </c>
      <c r="F1123" t="s">
        <v>3909</v>
      </c>
      <c r="G1123" t="s">
        <v>220</v>
      </c>
      <c r="H1123" t="s">
        <v>254</v>
      </c>
      <c r="I1123">
        <v>2012</v>
      </c>
      <c r="J1123">
        <v>24</v>
      </c>
      <c r="K1123" t="s">
        <v>3910</v>
      </c>
      <c r="M1123" t="str">
        <f t="shared" si="1430"/>
        <v>Perez-Cruzado_2012</v>
      </c>
      <c r="N1123" s="311" t="s">
        <v>4382</v>
      </c>
      <c r="O1123" s="171" t="s">
        <v>513</v>
      </c>
      <c r="P1123" s="141" t="s">
        <v>225</v>
      </c>
      <c r="Q1123" s="311" t="s">
        <v>389</v>
      </c>
      <c r="R1123" s="312"/>
      <c r="S1123" s="1" t="s">
        <v>3922</v>
      </c>
      <c r="T1123" t="s">
        <v>3923</v>
      </c>
      <c r="U1123" t="s">
        <v>3924</v>
      </c>
      <c r="V1123">
        <v>0</v>
      </c>
      <c r="W1123">
        <v>0</v>
      </c>
      <c r="X1123">
        <v>0</v>
      </c>
      <c r="Y1123">
        <v>0</v>
      </c>
      <c r="Z1123">
        <v>0</v>
      </c>
      <c r="AA1123">
        <v>0</v>
      </c>
      <c r="AB1123">
        <v>0</v>
      </c>
      <c r="AC1123">
        <v>0</v>
      </c>
      <c r="AD1123">
        <v>1</v>
      </c>
      <c r="AE1123">
        <v>0</v>
      </c>
      <c r="AF1123">
        <v>0</v>
      </c>
      <c r="AG1123">
        <v>0</v>
      </c>
      <c r="AH1123">
        <v>0</v>
      </c>
      <c r="AI1123">
        <v>0</v>
      </c>
      <c r="AJ1123">
        <v>0</v>
      </c>
      <c r="AK1123">
        <v>0</v>
      </c>
      <c r="AL1123">
        <v>0</v>
      </c>
      <c r="AM1123">
        <v>0</v>
      </c>
      <c r="AN1123">
        <v>0</v>
      </c>
      <c r="AO1123">
        <v>0</v>
      </c>
      <c r="AP1123">
        <v>0</v>
      </c>
      <c r="AQ1123">
        <v>0</v>
      </c>
      <c r="AR1123">
        <v>0</v>
      </c>
      <c r="AS1123">
        <v>0</v>
      </c>
      <c r="AT1123">
        <v>0</v>
      </c>
      <c r="AU1123">
        <v>0</v>
      </c>
      <c r="AV1123">
        <v>0</v>
      </c>
      <c r="AW1123">
        <v>0</v>
      </c>
      <c r="AX1123" s="141">
        <f t="shared" si="1466"/>
        <v>1</v>
      </c>
      <c r="AY1123" s="141">
        <f t="shared" si="1467"/>
        <v>1</v>
      </c>
      <c r="AZ1123">
        <f t="shared" si="1468"/>
        <v>0</v>
      </c>
      <c r="BA1123">
        <f t="shared" si="1469"/>
        <v>1</v>
      </c>
      <c r="BB1123">
        <f t="shared" si="1470"/>
        <v>0</v>
      </c>
      <c r="BC1123">
        <f t="shared" si="1471"/>
        <v>0</v>
      </c>
      <c r="BD1123">
        <f t="shared" si="1472"/>
        <v>0</v>
      </c>
      <c r="BE1123" t="str" cm="1">
        <f t="array" ref="BE1123">IF(AY1123=1,INDEX($V$7:$AL$7,MATCH(TRUE,INDEX($V1123:$AW1123&lt;&gt;0,),0)),IF(AY1123=0,INDEX($AM$7:$AW$7,MATCH(1,$AM1123:$AW1123,0)),IF(BF1123="Multiple strategies","mixed drivers",IF(BF1123="Supply chain","multiple supply","multiple silviculture"))))</f>
        <v>harvesting system</v>
      </c>
      <c r="BF1123" s="2" t="str" cm="1">
        <f t="array" ref="BF1123">IF(COUNTIF(AZ1123:BB1123,"&lt;&gt;0")=1,INDEX($V$4:$AW$4,MATCH(TRUE,INDEX($V1123:$AW1123&lt;&gt;0,),0)),IF(COUNTIF(AZ1123:BB1123,"&lt;&gt;0")=0,INDEX($AM$4:$AW$4,MATCH(1,$AM1123:$AW1123,0)),"Multiple strategies"))</f>
        <v>Supply chain</v>
      </c>
      <c r="BP1123" t="s">
        <v>232</v>
      </c>
      <c r="BQ1123" t="s">
        <v>3914</v>
      </c>
      <c r="BR1123" t="s">
        <v>3915</v>
      </c>
      <c r="BS1123">
        <v>716.5</v>
      </c>
      <c r="BT1123">
        <v>1983</v>
      </c>
      <c r="BU1123" s="144"/>
      <c r="BV1123">
        <f t="shared" si="1475"/>
        <v>1266.5</v>
      </c>
      <c r="BY1123" t="str">
        <f t="shared" si="1419"/>
        <v/>
      </c>
      <c r="BZ1123">
        <v>0</v>
      </c>
      <c r="CA1123">
        <v>0</v>
      </c>
      <c r="CB1123">
        <v>0</v>
      </c>
      <c r="CC1123">
        <v>0</v>
      </c>
      <c r="CD1123">
        <v>0</v>
      </c>
      <c r="CE1123">
        <v>0</v>
      </c>
      <c r="CF1123">
        <v>0</v>
      </c>
      <c r="CG1123">
        <v>0</v>
      </c>
      <c r="CH1123">
        <v>0</v>
      </c>
      <c r="CI1123">
        <v>0</v>
      </c>
      <c r="CJ1123">
        <v>0</v>
      </c>
      <c r="CK1123">
        <v>0</v>
      </c>
      <c r="CL1123">
        <v>0</v>
      </c>
      <c r="CM1123">
        <v>0</v>
      </c>
      <c r="CN1123" t="str">
        <f t="shared" si="1477"/>
        <v>refOK</v>
      </c>
      <c r="CO1123"/>
      <c r="CP1123"/>
      <c r="CQ1123"/>
      <c r="CR1123">
        <f t="shared" si="1478"/>
        <v>716.5</v>
      </c>
      <c r="CS1123">
        <f t="shared" si="1491"/>
        <v>1983</v>
      </c>
      <c r="CT1123">
        <f t="shared" si="1479"/>
        <v>0</v>
      </c>
      <c r="CU1123" t="str">
        <f t="shared" si="1480"/>
        <v/>
      </c>
      <c r="CV1123" s="2">
        <f t="shared" si="1481"/>
        <v>1.7676203768318213</v>
      </c>
      <c r="CW1123" s="1" t="s">
        <v>1202</v>
      </c>
      <c r="CX1123" s="311" t="str">
        <f t="shared" si="1482"/>
        <v>reg</v>
      </c>
      <c r="CY1123" t="s">
        <v>3916</v>
      </c>
      <c r="DB1123">
        <v>200</v>
      </c>
      <c r="DC1123" t="str">
        <f t="shared" si="1483"/>
        <v>+100</v>
      </c>
      <c r="DD1123">
        <v>0</v>
      </c>
      <c r="DE1123">
        <v>1</v>
      </c>
      <c r="DF1123">
        <v>0</v>
      </c>
      <c r="DG1123">
        <v>0</v>
      </c>
      <c r="DH1123">
        <v>0</v>
      </c>
      <c r="DI1123">
        <f t="shared" si="1484"/>
        <v>1</v>
      </c>
      <c r="DJ1123" t="str">
        <f t="shared" si="1485"/>
        <v>EnergyInput</v>
      </c>
      <c r="DK1123">
        <f t="shared" si="1486"/>
        <v>0</v>
      </c>
      <c r="DL1123" t="str">
        <f t="shared" si="1487"/>
        <v>Energy</v>
      </c>
      <c r="DM1123">
        <f t="shared" si="1488"/>
        <v>0</v>
      </c>
      <c r="DN1123">
        <f t="shared" si="1489"/>
        <v>0</v>
      </c>
      <c r="DO1123">
        <v>0</v>
      </c>
      <c r="DP1123">
        <v>0</v>
      </c>
      <c r="DQ1123">
        <v>0</v>
      </c>
      <c r="DR1123">
        <v>0</v>
      </c>
      <c r="DS1123">
        <v>0</v>
      </c>
      <c r="DT1123">
        <f t="shared" si="1492"/>
        <v>0</v>
      </c>
      <c r="DU1123" s="143" t="str">
        <f t="shared" si="1490"/>
        <v>explicit C balance</v>
      </c>
      <c r="DV1123">
        <v>1</v>
      </c>
      <c r="DW1123">
        <v>1</v>
      </c>
      <c r="DX1123">
        <v>1</v>
      </c>
      <c r="DY1123">
        <v>1</v>
      </c>
      <c r="DZ1123">
        <v>1</v>
      </c>
      <c r="EA1123">
        <v>0</v>
      </c>
      <c r="EB1123">
        <v>0</v>
      </c>
      <c r="EC1123">
        <v>0</v>
      </c>
      <c r="ED1123">
        <v>0</v>
      </c>
      <c r="EE1123">
        <v>0</v>
      </c>
      <c r="EF1123">
        <v>1</v>
      </c>
      <c r="EG1123">
        <v>0</v>
      </c>
      <c r="EH1123">
        <v>0</v>
      </c>
      <c r="EI1123" s="2">
        <v>0</v>
      </c>
      <c r="EK1123" t="str">
        <f t="shared" si="1464"/>
        <v/>
      </c>
      <c r="EL1123" t="str">
        <f t="shared" si="1465"/>
        <v>Ecosystem approach</v>
      </c>
      <c r="EM1123" s="2" t="str">
        <f t="shared" si="1424"/>
        <v/>
      </c>
      <c r="EP1123" t="b">
        <f>IF(ISNUMBER(BU1123),IF(ABS(BU1123-[1]QC_indicators!$B$2)&gt;3*[1]QC_indicators!$C$2,"C ratio",IF(ISNUMBER(BY1123),IF(ABS(BY1123-[1]QC_indicators!$B$1)&gt;3*[1]QC_indicators!$C$1,"DF","no"))),IF(ISNUMBER(BY1123),IF(ABS(BY1123-[1]QC_indicators!$B$1)&gt;3*[1]QC_indicators!$C$1,"DF","no")))</f>
        <v>0</v>
      </c>
    </row>
    <row r="1124" spans="1:150" ht="15" hidden="1" customHeight="1">
      <c r="A1124" s="1" t="s">
        <v>214</v>
      </c>
      <c r="B1124" t="s">
        <v>3905</v>
      </c>
      <c r="C1124" t="s">
        <v>3906</v>
      </c>
      <c r="D1124" t="s">
        <v>3907</v>
      </c>
      <c r="E1124" t="s">
        <v>3908</v>
      </c>
      <c r="F1124" t="s">
        <v>3909</v>
      </c>
      <c r="G1124" t="s">
        <v>220</v>
      </c>
      <c r="H1124" t="s">
        <v>254</v>
      </c>
      <c r="I1124">
        <v>2012</v>
      </c>
      <c r="J1124">
        <v>24</v>
      </c>
      <c r="K1124" t="s">
        <v>3910</v>
      </c>
      <c r="M1124" t="str">
        <f t="shared" si="1430"/>
        <v>Perez-Cruzado_2012</v>
      </c>
      <c r="N1124" s="311" t="s">
        <v>4382</v>
      </c>
      <c r="O1124" s="171" t="s">
        <v>513</v>
      </c>
      <c r="P1124" s="141" t="s">
        <v>225</v>
      </c>
      <c r="Q1124" s="311" t="s">
        <v>389</v>
      </c>
      <c r="R1124" s="312"/>
      <c r="S1124" s="1" t="s">
        <v>3922</v>
      </c>
      <c r="T1124" t="s">
        <v>3920</v>
      </c>
      <c r="U1124" t="s">
        <v>3925</v>
      </c>
      <c r="V1124">
        <v>0</v>
      </c>
      <c r="W1124">
        <v>0</v>
      </c>
      <c r="X1124">
        <v>0</v>
      </c>
      <c r="Y1124">
        <v>0</v>
      </c>
      <c r="Z1124">
        <v>0</v>
      </c>
      <c r="AA1124">
        <v>0</v>
      </c>
      <c r="AB1124">
        <v>0</v>
      </c>
      <c r="AC1124">
        <v>0</v>
      </c>
      <c r="AD1124">
        <v>1</v>
      </c>
      <c r="AE1124">
        <v>0</v>
      </c>
      <c r="AF1124">
        <v>0</v>
      </c>
      <c r="AG1124">
        <v>0</v>
      </c>
      <c r="AH1124">
        <v>0</v>
      </c>
      <c r="AI1124">
        <v>0</v>
      </c>
      <c r="AJ1124">
        <v>0</v>
      </c>
      <c r="AK1124">
        <v>0</v>
      </c>
      <c r="AL1124">
        <v>0</v>
      </c>
      <c r="AM1124">
        <v>0</v>
      </c>
      <c r="AN1124">
        <v>0</v>
      </c>
      <c r="AO1124">
        <v>0</v>
      </c>
      <c r="AP1124">
        <v>0</v>
      </c>
      <c r="AQ1124">
        <v>0</v>
      </c>
      <c r="AR1124">
        <v>0</v>
      </c>
      <c r="AS1124">
        <v>0</v>
      </c>
      <c r="AT1124">
        <v>0</v>
      </c>
      <c r="AU1124">
        <v>0</v>
      </c>
      <c r="AV1124">
        <v>0</v>
      </c>
      <c r="AW1124">
        <v>0</v>
      </c>
      <c r="AX1124" s="141">
        <f t="shared" si="1466"/>
        <v>1</v>
      </c>
      <c r="AY1124" s="141">
        <f t="shared" si="1467"/>
        <v>1</v>
      </c>
      <c r="AZ1124">
        <f t="shared" si="1468"/>
        <v>0</v>
      </c>
      <c r="BA1124">
        <f t="shared" si="1469"/>
        <v>1</v>
      </c>
      <c r="BB1124">
        <f t="shared" si="1470"/>
        <v>0</v>
      </c>
      <c r="BC1124">
        <f t="shared" si="1471"/>
        <v>0</v>
      </c>
      <c r="BD1124">
        <f t="shared" si="1472"/>
        <v>0</v>
      </c>
      <c r="BE1124" t="str" cm="1">
        <f t="array" ref="BE1124">IF(AY1124=1,INDEX($V$7:$AL$7,MATCH(TRUE,INDEX($V1124:$AW1124&lt;&gt;0,),0)),IF(AY1124=0,INDEX($AM$7:$AW$7,MATCH(1,$AM1124:$AW1124,0)),IF(BF1124="Multiple strategies","mixed drivers",IF(BF1124="Supply chain","multiple supply","multiple silviculture"))))</f>
        <v>harvesting system</v>
      </c>
      <c r="BF1124" s="2" t="str" cm="1">
        <f t="array" ref="BF1124">IF(COUNTIF(AZ1124:BB1124,"&lt;&gt;0")=1,INDEX($V$4:$AW$4,MATCH(TRUE,INDEX($V1124:$AW1124&lt;&gt;0,),0)),IF(COUNTIF(AZ1124:BB1124,"&lt;&gt;0")=0,INDEX($AM$4:$AW$4,MATCH(1,$AM1124:$AW1124,0)),"Multiple strategies"))</f>
        <v>Supply chain</v>
      </c>
      <c r="BP1124" t="s">
        <v>232</v>
      </c>
      <c r="BQ1124" t="s">
        <v>3914</v>
      </c>
      <c r="BR1124" t="s">
        <v>3915</v>
      </c>
      <c r="BS1124">
        <v>839.2</v>
      </c>
      <c r="BT1124">
        <v>1031.5</v>
      </c>
      <c r="BU1124" s="144"/>
      <c r="BV1124">
        <f t="shared" si="1475"/>
        <v>192.29999999999995</v>
      </c>
      <c r="BY1124" t="str">
        <f t="shared" si="1419"/>
        <v/>
      </c>
      <c r="BZ1124">
        <v>0</v>
      </c>
      <c r="CA1124">
        <v>0</v>
      </c>
      <c r="CB1124">
        <v>0</v>
      </c>
      <c r="CC1124">
        <v>0</v>
      </c>
      <c r="CD1124">
        <v>0</v>
      </c>
      <c r="CE1124">
        <v>0</v>
      </c>
      <c r="CF1124">
        <v>0</v>
      </c>
      <c r="CG1124">
        <v>0</v>
      </c>
      <c r="CH1124">
        <v>0</v>
      </c>
      <c r="CI1124">
        <v>0</v>
      </c>
      <c r="CJ1124">
        <v>0</v>
      </c>
      <c r="CK1124">
        <v>0</v>
      </c>
      <c r="CL1124">
        <v>0</v>
      </c>
      <c r="CM1124">
        <v>0</v>
      </c>
      <c r="CN1124" t="str">
        <f t="shared" si="1477"/>
        <v>refOK</v>
      </c>
      <c r="CO1124"/>
      <c r="CP1124"/>
      <c r="CQ1124"/>
      <c r="CR1124">
        <f t="shared" si="1478"/>
        <v>839.2</v>
      </c>
      <c r="CS1124">
        <f t="shared" si="1491"/>
        <v>1031.5</v>
      </c>
      <c r="CT1124">
        <f t="shared" si="1479"/>
        <v>0</v>
      </c>
      <c r="CU1124" t="str">
        <f t="shared" si="1480"/>
        <v/>
      </c>
      <c r="CV1124" s="2">
        <f t="shared" si="1481"/>
        <v>0.2291468064823641</v>
      </c>
      <c r="CW1124" s="1" t="s">
        <v>1202</v>
      </c>
      <c r="CX1124" s="311" t="str">
        <f t="shared" si="1482"/>
        <v>reg</v>
      </c>
      <c r="CY1124" t="s">
        <v>3916</v>
      </c>
      <c r="DB1124">
        <v>200</v>
      </c>
      <c r="DC1124" t="str">
        <f t="shared" si="1483"/>
        <v>+100</v>
      </c>
      <c r="DD1124">
        <v>0</v>
      </c>
      <c r="DE1124">
        <v>1</v>
      </c>
      <c r="DF1124">
        <v>0</v>
      </c>
      <c r="DG1124">
        <v>0</v>
      </c>
      <c r="DH1124">
        <v>0</v>
      </c>
      <c r="DI1124">
        <f t="shared" si="1484"/>
        <v>1</v>
      </c>
      <c r="DJ1124" t="str">
        <f t="shared" si="1485"/>
        <v>EnergyInput</v>
      </c>
      <c r="DK1124">
        <f t="shared" si="1486"/>
        <v>0</v>
      </c>
      <c r="DL1124" t="str">
        <f t="shared" si="1487"/>
        <v>Energy</v>
      </c>
      <c r="DM1124">
        <f t="shared" si="1488"/>
        <v>0</v>
      </c>
      <c r="DN1124">
        <f t="shared" si="1489"/>
        <v>0</v>
      </c>
      <c r="DO1124">
        <v>0</v>
      </c>
      <c r="DP1124">
        <v>0</v>
      </c>
      <c r="DQ1124">
        <v>0</v>
      </c>
      <c r="DR1124">
        <v>0</v>
      </c>
      <c r="DS1124">
        <v>0</v>
      </c>
      <c r="DT1124">
        <f t="shared" si="1492"/>
        <v>0</v>
      </c>
      <c r="DU1124" s="143" t="str">
        <f t="shared" si="1490"/>
        <v>explicit C balance</v>
      </c>
      <c r="DV1124">
        <v>1</v>
      </c>
      <c r="DW1124">
        <v>1</v>
      </c>
      <c r="DX1124">
        <v>1</v>
      </c>
      <c r="DY1124">
        <v>1</v>
      </c>
      <c r="DZ1124">
        <v>1</v>
      </c>
      <c r="EA1124">
        <v>0</v>
      </c>
      <c r="EB1124">
        <v>0</v>
      </c>
      <c r="EC1124">
        <v>0</v>
      </c>
      <c r="ED1124">
        <v>0</v>
      </c>
      <c r="EE1124">
        <v>0</v>
      </c>
      <c r="EF1124">
        <v>1</v>
      </c>
      <c r="EG1124">
        <v>0</v>
      </c>
      <c r="EH1124">
        <v>0</v>
      </c>
      <c r="EI1124" s="2">
        <v>0</v>
      </c>
      <c r="EK1124" t="str">
        <f t="shared" si="1464"/>
        <v/>
      </c>
      <c r="EL1124" t="str">
        <f t="shared" si="1465"/>
        <v>Ecosystem approach</v>
      </c>
      <c r="EM1124" s="2" t="str">
        <f t="shared" si="1424"/>
        <v/>
      </c>
      <c r="EP1124" t="b">
        <f>IF(ISNUMBER(BU1124),IF(ABS(BU1124-[1]QC_indicators!$B$2)&gt;3*[1]QC_indicators!$C$2,"C ratio",IF(ISNUMBER(BY1124),IF(ABS(BY1124-[1]QC_indicators!$B$1)&gt;3*[1]QC_indicators!$C$1,"DF","no"))),IF(ISNUMBER(BY1124),IF(ABS(BY1124-[1]QC_indicators!$B$1)&gt;3*[1]QC_indicators!$C$1,"DF","no")))</f>
        <v>0</v>
      </c>
    </row>
    <row r="1125" spans="1:150" ht="15" hidden="1" customHeight="1">
      <c r="A1125" s="1" t="s">
        <v>214</v>
      </c>
      <c r="B1125" t="s">
        <v>3905</v>
      </c>
      <c r="C1125" t="s">
        <v>3906</v>
      </c>
      <c r="D1125" t="s">
        <v>3907</v>
      </c>
      <c r="E1125" t="s">
        <v>3908</v>
      </c>
      <c r="F1125" t="s">
        <v>3909</v>
      </c>
      <c r="G1125" t="s">
        <v>220</v>
      </c>
      <c r="H1125" t="s">
        <v>254</v>
      </c>
      <c r="I1125">
        <v>2012</v>
      </c>
      <c r="J1125">
        <v>24</v>
      </c>
      <c r="K1125" t="s">
        <v>3910</v>
      </c>
      <c r="M1125" t="str">
        <f t="shared" si="1430"/>
        <v>Perez-Cruzado_2012</v>
      </c>
      <c r="N1125" s="311" t="s">
        <v>4382</v>
      </c>
      <c r="O1125" s="171" t="s">
        <v>513</v>
      </c>
      <c r="P1125" s="141" t="s">
        <v>225</v>
      </c>
      <c r="Q1125" s="311" t="s">
        <v>389</v>
      </c>
      <c r="R1125" s="312"/>
      <c r="S1125" s="1" t="s">
        <v>3922</v>
      </c>
      <c r="T1125" t="s">
        <v>3917</v>
      </c>
      <c r="U1125" t="s">
        <v>3926</v>
      </c>
      <c r="V1125">
        <v>0</v>
      </c>
      <c r="W1125">
        <v>0</v>
      </c>
      <c r="X1125">
        <v>0</v>
      </c>
      <c r="Y1125">
        <v>0</v>
      </c>
      <c r="Z1125">
        <v>0</v>
      </c>
      <c r="AA1125">
        <v>0</v>
      </c>
      <c r="AB1125">
        <v>0</v>
      </c>
      <c r="AC1125">
        <v>0</v>
      </c>
      <c r="AD1125">
        <v>1</v>
      </c>
      <c r="AE1125">
        <v>0</v>
      </c>
      <c r="AF1125">
        <v>0</v>
      </c>
      <c r="AG1125">
        <v>0</v>
      </c>
      <c r="AH1125">
        <v>0</v>
      </c>
      <c r="AI1125">
        <v>0</v>
      </c>
      <c r="AJ1125">
        <v>0</v>
      </c>
      <c r="AK1125">
        <v>0</v>
      </c>
      <c r="AL1125">
        <v>0</v>
      </c>
      <c r="AM1125">
        <v>0</v>
      </c>
      <c r="AN1125">
        <v>0</v>
      </c>
      <c r="AO1125">
        <v>0</v>
      </c>
      <c r="AP1125">
        <v>0</v>
      </c>
      <c r="AQ1125">
        <v>0</v>
      </c>
      <c r="AR1125">
        <v>0</v>
      </c>
      <c r="AS1125">
        <v>0</v>
      </c>
      <c r="AT1125">
        <v>0</v>
      </c>
      <c r="AU1125">
        <v>0</v>
      </c>
      <c r="AV1125">
        <v>0</v>
      </c>
      <c r="AW1125">
        <v>0</v>
      </c>
      <c r="AX1125" s="141">
        <f t="shared" si="1466"/>
        <v>1</v>
      </c>
      <c r="AY1125" s="141">
        <f t="shared" si="1467"/>
        <v>1</v>
      </c>
      <c r="AZ1125">
        <f t="shared" si="1468"/>
        <v>0</v>
      </c>
      <c r="BA1125">
        <f t="shared" si="1469"/>
        <v>1</v>
      </c>
      <c r="BB1125">
        <f t="shared" si="1470"/>
        <v>0</v>
      </c>
      <c r="BC1125">
        <f t="shared" si="1471"/>
        <v>0</v>
      </c>
      <c r="BD1125">
        <f t="shared" si="1472"/>
        <v>0</v>
      </c>
      <c r="BE1125" t="str" cm="1">
        <f t="array" ref="BE1125">IF(AY1125=1,INDEX($V$7:$AL$7,MATCH(TRUE,INDEX($V1125:$AW1125&lt;&gt;0,),0)),IF(AY1125=0,INDEX($AM$7:$AW$7,MATCH(1,$AM1125:$AW1125,0)),IF(BF1125="Multiple strategies","mixed drivers",IF(BF1125="Supply chain","multiple supply","multiple silviculture"))))</f>
        <v>harvesting system</v>
      </c>
      <c r="BF1125" s="2" t="str" cm="1">
        <f t="array" ref="BF1125">IF(COUNTIF(AZ1125:BB1125,"&lt;&gt;0")=1,INDEX($V$4:$AW$4,MATCH(TRUE,INDEX($V1125:$AW1125&lt;&gt;0,),0)),IF(COUNTIF(AZ1125:BB1125,"&lt;&gt;0")=0,INDEX($AM$4:$AW$4,MATCH(1,$AM1125:$AW1125,0)),"Multiple strategies"))</f>
        <v>Supply chain</v>
      </c>
      <c r="BP1125" t="s">
        <v>232</v>
      </c>
      <c r="BQ1125" t="s">
        <v>3914</v>
      </c>
      <c r="BR1125" t="s">
        <v>3915</v>
      </c>
      <c r="BS1125">
        <v>513.5</v>
      </c>
      <c r="BT1125">
        <v>793.5</v>
      </c>
      <c r="BU1125" s="144"/>
      <c r="BV1125">
        <f t="shared" si="1475"/>
        <v>280</v>
      </c>
      <c r="BY1125" t="str">
        <f t="shared" si="1419"/>
        <v/>
      </c>
      <c r="BZ1125">
        <v>0</v>
      </c>
      <c r="CA1125">
        <v>0</v>
      </c>
      <c r="CB1125">
        <v>0</v>
      </c>
      <c r="CC1125">
        <v>0</v>
      </c>
      <c r="CD1125">
        <v>0</v>
      </c>
      <c r="CE1125">
        <v>0</v>
      </c>
      <c r="CF1125">
        <v>0</v>
      </c>
      <c r="CG1125">
        <v>0</v>
      </c>
      <c r="CH1125">
        <v>0</v>
      </c>
      <c r="CI1125">
        <v>0</v>
      </c>
      <c r="CJ1125">
        <v>0</v>
      </c>
      <c r="CK1125">
        <v>0</v>
      </c>
      <c r="CL1125">
        <v>0</v>
      </c>
      <c r="CM1125">
        <v>0</v>
      </c>
      <c r="CN1125" t="str">
        <f t="shared" si="1477"/>
        <v>refOK</v>
      </c>
      <c r="CO1125"/>
      <c r="CP1125"/>
      <c r="CQ1125"/>
      <c r="CR1125">
        <f t="shared" si="1478"/>
        <v>513.5</v>
      </c>
      <c r="CS1125">
        <f t="shared" si="1491"/>
        <v>793.5</v>
      </c>
      <c r="CT1125">
        <f t="shared" si="1479"/>
        <v>0</v>
      </c>
      <c r="CU1125" t="str">
        <f t="shared" si="1480"/>
        <v/>
      </c>
      <c r="CV1125" s="2">
        <f t="shared" si="1481"/>
        <v>0.54527750730282376</v>
      </c>
      <c r="CW1125" s="1" t="s">
        <v>1202</v>
      </c>
      <c r="CX1125" s="311" t="str">
        <f t="shared" si="1482"/>
        <v>reg</v>
      </c>
      <c r="CY1125" t="s">
        <v>3916</v>
      </c>
      <c r="DB1125">
        <v>200</v>
      </c>
      <c r="DC1125" t="str">
        <f t="shared" si="1483"/>
        <v>+100</v>
      </c>
      <c r="DD1125">
        <v>0</v>
      </c>
      <c r="DE1125">
        <v>1</v>
      </c>
      <c r="DF1125">
        <v>0</v>
      </c>
      <c r="DG1125">
        <v>0</v>
      </c>
      <c r="DH1125">
        <v>0</v>
      </c>
      <c r="DI1125">
        <f t="shared" si="1484"/>
        <v>1</v>
      </c>
      <c r="DJ1125" t="str">
        <f t="shared" si="1485"/>
        <v>EnergyInput</v>
      </c>
      <c r="DK1125">
        <f t="shared" si="1486"/>
        <v>0</v>
      </c>
      <c r="DL1125" t="str">
        <f t="shared" si="1487"/>
        <v>Energy</v>
      </c>
      <c r="DM1125">
        <f t="shared" si="1488"/>
        <v>0</v>
      </c>
      <c r="DN1125">
        <f t="shared" si="1489"/>
        <v>0</v>
      </c>
      <c r="DO1125">
        <v>0</v>
      </c>
      <c r="DP1125">
        <v>0</v>
      </c>
      <c r="DQ1125">
        <v>0</v>
      </c>
      <c r="DR1125">
        <v>0</v>
      </c>
      <c r="DS1125">
        <v>0</v>
      </c>
      <c r="DT1125">
        <f t="shared" si="1492"/>
        <v>0</v>
      </c>
      <c r="DU1125" s="143" t="str">
        <f t="shared" si="1490"/>
        <v>explicit C balance</v>
      </c>
      <c r="DV1125">
        <v>1</v>
      </c>
      <c r="DW1125">
        <v>1</v>
      </c>
      <c r="DX1125">
        <v>1</v>
      </c>
      <c r="DY1125">
        <v>1</v>
      </c>
      <c r="DZ1125">
        <v>1</v>
      </c>
      <c r="EA1125">
        <v>0</v>
      </c>
      <c r="EB1125">
        <v>0</v>
      </c>
      <c r="EC1125">
        <v>0</v>
      </c>
      <c r="ED1125">
        <v>0</v>
      </c>
      <c r="EE1125">
        <v>0</v>
      </c>
      <c r="EF1125">
        <v>1</v>
      </c>
      <c r="EG1125">
        <v>0</v>
      </c>
      <c r="EH1125">
        <v>0</v>
      </c>
      <c r="EI1125" s="2">
        <v>0</v>
      </c>
      <c r="EK1125" t="str">
        <f t="shared" si="1464"/>
        <v/>
      </c>
      <c r="EL1125" t="str">
        <f t="shared" si="1465"/>
        <v>Ecosystem approach</v>
      </c>
      <c r="EM1125" s="2" t="str">
        <f t="shared" si="1424"/>
        <v/>
      </c>
      <c r="EP1125" t="b">
        <f>IF(ISNUMBER(BU1125),IF(ABS(BU1125-[1]QC_indicators!$B$2)&gt;3*[1]QC_indicators!$C$2,"C ratio",IF(ISNUMBER(BY1125),IF(ABS(BY1125-[1]QC_indicators!$B$1)&gt;3*[1]QC_indicators!$C$1,"DF","no"))),IF(ISNUMBER(BY1125),IF(ABS(BY1125-[1]QC_indicators!$B$1)&gt;3*[1]QC_indicators!$C$1,"DF","no")))</f>
        <v>0</v>
      </c>
    </row>
    <row r="1126" spans="1:150" ht="15" hidden="1" customHeight="1">
      <c r="A1126" s="1" t="s">
        <v>214</v>
      </c>
      <c r="B1126" t="s">
        <v>3905</v>
      </c>
      <c r="C1126" t="s">
        <v>3906</v>
      </c>
      <c r="D1126" t="s">
        <v>3907</v>
      </c>
      <c r="E1126" t="s">
        <v>3908</v>
      </c>
      <c r="F1126" t="s">
        <v>3909</v>
      </c>
      <c r="G1126" t="s">
        <v>220</v>
      </c>
      <c r="H1126" t="s">
        <v>254</v>
      </c>
      <c r="I1126">
        <v>2012</v>
      </c>
      <c r="J1126">
        <v>24</v>
      </c>
      <c r="K1126" t="s">
        <v>3910</v>
      </c>
      <c r="M1126" t="str">
        <f t="shared" si="1430"/>
        <v>Perez-Cruzado_2012</v>
      </c>
      <c r="N1126" s="311" t="s">
        <v>4382</v>
      </c>
      <c r="O1126" s="171" t="s">
        <v>513</v>
      </c>
      <c r="P1126" s="141" t="s">
        <v>225</v>
      </c>
      <c r="Q1126" s="311" t="s">
        <v>389</v>
      </c>
      <c r="R1126" s="312"/>
      <c r="S1126" s="1" t="s">
        <v>3911</v>
      </c>
      <c r="T1126" t="s">
        <v>3917</v>
      </c>
      <c r="U1126" t="s">
        <v>3912</v>
      </c>
      <c r="V1126">
        <v>0</v>
      </c>
      <c r="W1126">
        <v>0</v>
      </c>
      <c r="X1126">
        <v>0</v>
      </c>
      <c r="Y1126">
        <v>0</v>
      </c>
      <c r="Z1126">
        <v>1</v>
      </c>
      <c r="AA1126">
        <v>0</v>
      </c>
      <c r="AB1126">
        <v>0</v>
      </c>
      <c r="AC1126">
        <v>0</v>
      </c>
      <c r="AD1126">
        <v>0</v>
      </c>
      <c r="AE1126">
        <v>0</v>
      </c>
      <c r="AF1126">
        <v>0</v>
      </c>
      <c r="AG1126">
        <v>0</v>
      </c>
      <c r="AH1126">
        <v>0</v>
      </c>
      <c r="AI1126">
        <v>0</v>
      </c>
      <c r="AJ1126">
        <v>0</v>
      </c>
      <c r="AK1126">
        <v>0</v>
      </c>
      <c r="AL1126">
        <v>0</v>
      </c>
      <c r="AM1126">
        <v>0</v>
      </c>
      <c r="AN1126">
        <v>0</v>
      </c>
      <c r="AO1126">
        <v>0</v>
      </c>
      <c r="AP1126">
        <v>0</v>
      </c>
      <c r="AQ1126">
        <v>0</v>
      </c>
      <c r="AR1126">
        <v>0</v>
      </c>
      <c r="AS1126">
        <v>0</v>
      </c>
      <c r="AT1126">
        <v>0</v>
      </c>
      <c r="AU1126">
        <v>0</v>
      </c>
      <c r="AV1126">
        <v>0</v>
      </c>
      <c r="AW1126">
        <v>0</v>
      </c>
      <c r="AX1126" s="141">
        <f t="shared" si="1466"/>
        <v>1</v>
      </c>
      <c r="AY1126" s="141">
        <f t="shared" si="1467"/>
        <v>1</v>
      </c>
      <c r="AZ1126">
        <f t="shared" si="1468"/>
        <v>1</v>
      </c>
      <c r="BA1126">
        <f t="shared" si="1469"/>
        <v>0</v>
      </c>
      <c r="BB1126">
        <f t="shared" si="1470"/>
        <v>0</v>
      </c>
      <c r="BC1126">
        <f t="shared" si="1471"/>
        <v>0</v>
      </c>
      <c r="BD1126">
        <f t="shared" si="1472"/>
        <v>0</v>
      </c>
      <c r="BE1126" t="str" cm="1">
        <f t="array" ref="BE1126">IF(AY1126=1,INDEX($V$7:$AL$7,MATCH(TRUE,INDEX($V1126:$AW1126&lt;&gt;0,),0)),IF(AY1126=0,INDEX($AM$7:$AW$7,MATCH(1,$AM1126:$AW1126,0)),IF(BF1126="Multiple strategies","mixed drivers",IF(BF1126="Supply chain","multiple supply","multiple silviculture"))))</f>
        <v>species</v>
      </c>
      <c r="BF1126" s="2" t="str" cm="1">
        <f t="array" ref="BF1126">IF(COUNTIF(AZ1126:BB1126,"&lt;&gt;0")=1,INDEX($V$4:$AW$4,MATCH(TRUE,INDEX($V1126:$AW1126&lt;&gt;0,),0)),IF(COUNTIF(AZ1126:BB1126,"&lt;&gt;0")=0,INDEX($AM$4:$AW$4,MATCH(1,$AM1126:$AW1126,0)),"Multiple strategies"))</f>
        <v>Silviculture for productivity</v>
      </c>
      <c r="BP1126" t="s">
        <v>232</v>
      </c>
      <c r="BQ1126" t="s">
        <v>3914</v>
      </c>
      <c r="BR1126" t="s">
        <v>3915</v>
      </c>
      <c r="BS1126">
        <v>513.5</v>
      </c>
      <c r="BT1126">
        <v>716.5</v>
      </c>
      <c r="BU1126" s="144"/>
      <c r="BV1126">
        <f t="shared" si="1475"/>
        <v>203</v>
      </c>
      <c r="BY1126" t="str">
        <f t="shared" si="1419"/>
        <v/>
      </c>
      <c r="BZ1126">
        <v>0</v>
      </c>
      <c r="CA1126">
        <v>0</v>
      </c>
      <c r="CB1126">
        <v>0</v>
      </c>
      <c r="CC1126">
        <v>0</v>
      </c>
      <c r="CD1126">
        <v>0</v>
      </c>
      <c r="CE1126">
        <v>0</v>
      </c>
      <c r="CF1126">
        <v>0</v>
      </c>
      <c r="CG1126">
        <v>0</v>
      </c>
      <c r="CH1126">
        <v>0</v>
      </c>
      <c r="CI1126">
        <v>0</v>
      </c>
      <c r="CJ1126">
        <v>0</v>
      </c>
      <c r="CK1126">
        <v>0</v>
      </c>
      <c r="CL1126">
        <v>0</v>
      </c>
      <c r="CM1126">
        <v>0</v>
      </c>
      <c r="CN1126" t="str">
        <f t="shared" si="1477"/>
        <v>refOK</v>
      </c>
      <c r="CO1126"/>
      <c r="CP1126"/>
      <c r="CQ1126"/>
      <c r="CR1126">
        <f t="shared" si="1478"/>
        <v>513.5</v>
      </c>
      <c r="CS1126">
        <f t="shared" si="1491"/>
        <v>716.5</v>
      </c>
      <c r="CT1126">
        <f t="shared" si="1479"/>
        <v>0</v>
      </c>
      <c r="CU1126" t="str">
        <f t="shared" si="1480"/>
        <v/>
      </c>
      <c r="CV1126" s="2">
        <f t="shared" si="1481"/>
        <v>0.39532619279454723</v>
      </c>
      <c r="CW1126" s="1" t="s">
        <v>1202</v>
      </c>
      <c r="CX1126" s="311" t="str">
        <f t="shared" si="1482"/>
        <v>reg</v>
      </c>
      <c r="CY1126" t="s">
        <v>3916</v>
      </c>
      <c r="DB1126">
        <v>200</v>
      </c>
      <c r="DC1126" t="str">
        <f t="shared" si="1483"/>
        <v>+100</v>
      </c>
      <c r="DD1126">
        <v>0</v>
      </c>
      <c r="DE1126">
        <v>1</v>
      </c>
      <c r="DF1126">
        <v>0</v>
      </c>
      <c r="DG1126">
        <v>0</v>
      </c>
      <c r="DH1126">
        <v>0</v>
      </c>
      <c r="DI1126">
        <f t="shared" si="1484"/>
        <v>1</v>
      </c>
      <c r="DJ1126" t="str">
        <f t="shared" si="1485"/>
        <v>EnergyInput</v>
      </c>
      <c r="DK1126">
        <f t="shared" si="1486"/>
        <v>0</v>
      </c>
      <c r="DL1126" t="str">
        <f t="shared" si="1487"/>
        <v>Energy</v>
      </c>
      <c r="DM1126">
        <f t="shared" si="1488"/>
        <v>0</v>
      </c>
      <c r="DN1126">
        <f t="shared" si="1489"/>
        <v>0</v>
      </c>
      <c r="DO1126">
        <v>0</v>
      </c>
      <c r="DP1126">
        <v>0</v>
      </c>
      <c r="DQ1126">
        <v>0</v>
      </c>
      <c r="DR1126">
        <v>0</v>
      </c>
      <c r="DS1126">
        <v>0</v>
      </c>
      <c r="DT1126">
        <f t="shared" si="1492"/>
        <v>0</v>
      </c>
      <c r="DU1126" s="143" t="str">
        <f t="shared" si="1490"/>
        <v>explicit C balance</v>
      </c>
      <c r="DV1126">
        <v>1</v>
      </c>
      <c r="DW1126">
        <v>1</v>
      </c>
      <c r="DX1126">
        <v>1</v>
      </c>
      <c r="DY1126">
        <v>1</v>
      </c>
      <c r="DZ1126">
        <v>1</v>
      </c>
      <c r="EA1126">
        <v>0</v>
      </c>
      <c r="EB1126">
        <v>0</v>
      </c>
      <c r="EC1126">
        <v>0</v>
      </c>
      <c r="ED1126">
        <v>0</v>
      </c>
      <c r="EE1126">
        <v>0</v>
      </c>
      <c r="EF1126">
        <v>1</v>
      </c>
      <c r="EG1126">
        <v>0</v>
      </c>
      <c r="EH1126">
        <v>0</v>
      </c>
      <c r="EI1126" s="2">
        <v>0</v>
      </c>
      <c r="EK1126" t="str">
        <f t="shared" si="1464"/>
        <v/>
      </c>
      <c r="EL1126" t="str">
        <f t="shared" si="1465"/>
        <v>Ecosystem approach</v>
      </c>
      <c r="EM1126" s="2" t="str">
        <f t="shared" si="1424"/>
        <v/>
      </c>
      <c r="EP1126" t="b">
        <f>IF(ISNUMBER(BU1126),IF(ABS(BU1126-[1]QC_indicators!$B$2)&gt;3*[1]QC_indicators!$C$2,"C ratio",IF(ISNUMBER(BY1126),IF(ABS(BY1126-[1]QC_indicators!$B$1)&gt;3*[1]QC_indicators!$C$1,"DF","no"))),IF(ISNUMBER(BY1126),IF(ABS(BY1126-[1]QC_indicators!$B$1)&gt;3*[1]QC_indicators!$C$1,"DF","no")))</f>
        <v>0</v>
      </c>
    </row>
    <row r="1127" spans="1:150" ht="15" hidden="1" customHeight="1">
      <c r="A1127" s="1" t="s">
        <v>214</v>
      </c>
      <c r="B1127" t="s">
        <v>3905</v>
      </c>
      <c r="C1127" t="s">
        <v>3906</v>
      </c>
      <c r="D1127" t="s">
        <v>3907</v>
      </c>
      <c r="E1127" t="s">
        <v>3908</v>
      </c>
      <c r="F1127" t="s">
        <v>3909</v>
      </c>
      <c r="G1127" t="s">
        <v>220</v>
      </c>
      <c r="H1127" t="s">
        <v>254</v>
      </c>
      <c r="I1127">
        <v>2012</v>
      </c>
      <c r="J1127">
        <v>24</v>
      </c>
      <c r="K1127" t="s">
        <v>3910</v>
      </c>
      <c r="M1127" t="str">
        <f t="shared" si="1430"/>
        <v>Perez-Cruzado_2012</v>
      </c>
      <c r="N1127" s="311" t="s">
        <v>4382</v>
      </c>
      <c r="O1127" s="171" t="s">
        <v>513</v>
      </c>
      <c r="P1127" s="141" t="s">
        <v>225</v>
      </c>
      <c r="Q1127" s="311" t="s">
        <v>389</v>
      </c>
      <c r="R1127" s="312"/>
      <c r="S1127" s="1" t="s">
        <v>3911</v>
      </c>
      <c r="T1127" t="s">
        <v>3917</v>
      </c>
      <c r="U1127" t="s">
        <v>3913</v>
      </c>
      <c r="V1127">
        <v>0</v>
      </c>
      <c r="W1127">
        <v>0</v>
      </c>
      <c r="X1127">
        <v>0</v>
      </c>
      <c r="Y1127">
        <v>0</v>
      </c>
      <c r="Z1127">
        <v>1</v>
      </c>
      <c r="AA1127">
        <v>0</v>
      </c>
      <c r="AB1127">
        <v>0</v>
      </c>
      <c r="AC1127">
        <v>0</v>
      </c>
      <c r="AD1127">
        <v>0</v>
      </c>
      <c r="AE1127">
        <v>0</v>
      </c>
      <c r="AF1127">
        <v>0</v>
      </c>
      <c r="AG1127">
        <v>0</v>
      </c>
      <c r="AH1127">
        <v>0</v>
      </c>
      <c r="AI1127">
        <v>0</v>
      </c>
      <c r="AJ1127">
        <v>0</v>
      </c>
      <c r="AK1127">
        <v>0</v>
      </c>
      <c r="AL1127">
        <v>0</v>
      </c>
      <c r="AM1127">
        <v>0</v>
      </c>
      <c r="AN1127">
        <v>0</v>
      </c>
      <c r="AO1127">
        <v>0</v>
      </c>
      <c r="AP1127">
        <v>0</v>
      </c>
      <c r="AQ1127">
        <v>0</v>
      </c>
      <c r="AR1127">
        <v>0</v>
      </c>
      <c r="AS1127">
        <v>0</v>
      </c>
      <c r="AT1127">
        <v>0</v>
      </c>
      <c r="AU1127">
        <v>0</v>
      </c>
      <c r="AV1127">
        <v>0</v>
      </c>
      <c r="AW1127">
        <v>0</v>
      </c>
      <c r="AX1127" s="141">
        <f t="shared" si="1466"/>
        <v>1</v>
      </c>
      <c r="AY1127" s="141">
        <f t="shared" si="1467"/>
        <v>1</v>
      </c>
      <c r="AZ1127">
        <f t="shared" si="1468"/>
        <v>1</v>
      </c>
      <c r="BA1127">
        <f t="shared" si="1469"/>
        <v>0</v>
      </c>
      <c r="BB1127">
        <f t="shared" si="1470"/>
        <v>0</v>
      </c>
      <c r="BC1127">
        <f t="shared" si="1471"/>
        <v>0</v>
      </c>
      <c r="BD1127">
        <f t="shared" si="1472"/>
        <v>0</v>
      </c>
      <c r="BE1127" t="str" cm="1">
        <f t="array" ref="BE1127">IF(AY1127=1,INDEX($V$7:$AL$7,MATCH(TRUE,INDEX($V1127:$AW1127&lt;&gt;0,),0)),IF(AY1127=0,INDEX($AM$7:$AW$7,MATCH(1,$AM1127:$AW1127,0)),IF(BF1127="Multiple strategies","mixed drivers",IF(BF1127="Supply chain","multiple supply","multiple silviculture"))))</f>
        <v>species</v>
      </c>
      <c r="BF1127" s="2" t="str" cm="1">
        <f t="array" ref="BF1127">IF(COUNTIF(AZ1127:BB1127,"&lt;&gt;0")=1,INDEX($V$4:$AW$4,MATCH(TRUE,INDEX($V1127:$AW1127&lt;&gt;0,),0)),IF(COUNTIF(AZ1127:BB1127,"&lt;&gt;0")=0,INDEX($AM$4:$AW$4,MATCH(1,$AM1127:$AW1127,0)),"Multiple strategies"))</f>
        <v>Silviculture for productivity</v>
      </c>
      <c r="BP1127" t="s">
        <v>232</v>
      </c>
      <c r="BQ1127" t="s">
        <v>3914</v>
      </c>
      <c r="BR1127" t="s">
        <v>3915</v>
      </c>
      <c r="BS1127">
        <v>513.5</v>
      </c>
      <c r="BT1127">
        <v>839.2</v>
      </c>
      <c r="BU1127" s="144"/>
      <c r="BV1127">
        <f t="shared" si="1475"/>
        <v>325.70000000000005</v>
      </c>
      <c r="BY1127" t="str">
        <f t="shared" si="1419"/>
        <v/>
      </c>
      <c r="BZ1127">
        <v>0</v>
      </c>
      <c r="CA1127">
        <v>0</v>
      </c>
      <c r="CB1127">
        <v>0</v>
      </c>
      <c r="CC1127">
        <v>0</v>
      </c>
      <c r="CD1127">
        <v>0</v>
      </c>
      <c r="CE1127">
        <v>0</v>
      </c>
      <c r="CF1127">
        <v>0</v>
      </c>
      <c r="CG1127">
        <v>0</v>
      </c>
      <c r="CH1127">
        <v>0</v>
      </c>
      <c r="CI1127">
        <v>0</v>
      </c>
      <c r="CJ1127">
        <v>0</v>
      </c>
      <c r="CK1127">
        <v>0</v>
      </c>
      <c r="CL1127">
        <v>0</v>
      </c>
      <c r="CM1127">
        <v>0</v>
      </c>
      <c r="CN1127" t="str">
        <f t="shared" si="1477"/>
        <v>refOK</v>
      </c>
      <c r="CO1127"/>
      <c r="CP1127"/>
      <c r="CQ1127"/>
      <c r="CR1127">
        <f t="shared" si="1478"/>
        <v>513.5</v>
      </c>
      <c r="CS1127">
        <f t="shared" si="1491"/>
        <v>839.2</v>
      </c>
      <c r="CT1127">
        <f t="shared" si="1479"/>
        <v>0</v>
      </c>
      <c r="CU1127" t="str">
        <f t="shared" si="1480"/>
        <v/>
      </c>
      <c r="CV1127" s="2">
        <f t="shared" si="1481"/>
        <v>0.63427458617332044</v>
      </c>
      <c r="CW1127" s="1" t="s">
        <v>1202</v>
      </c>
      <c r="CX1127" s="311" t="str">
        <f t="shared" si="1482"/>
        <v>reg</v>
      </c>
      <c r="CY1127" t="s">
        <v>3916</v>
      </c>
      <c r="DB1127">
        <v>200</v>
      </c>
      <c r="DC1127" t="str">
        <f t="shared" si="1483"/>
        <v>+100</v>
      </c>
      <c r="DD1127">
        <v>0</v>
      </c>
      <c r="DE1127">
        <v>1</v>
      </c>
      <c r="DF1127">
        <v>0</v>
      </c>
      <c r="DG1127">
        <v>0</v>
      </c>
      <c r="DH1127">
        <v>0</v>
      </c>
      <c r="DI1127">
        <f t="shared" si="1484"/>
        <v>1</v>
      </c>
      <c r="DJ1127" t="str">
        <f t="shared" si="1485"/>
        <v>EnergyInput</v>
      </c>
      <c r="DK1127">
        <f t="shared" si="1486"/>
        <v>0</v>
      </c>
      <c r="DL1127" t="str">
        <f t="shared" si="1487"/>
        <v>Energy</v>
      </c>
      <c r="DM1127">
        <f t="shared" si="1488"/>
        <v>0</v>
      </c>
      <c r="DN1127">
        <f t="shared" si="1489"/>
        <v>0</v>
      </c>
      <c r="DO1127">
        <v>0</v>
      </c>
      <c r="DP1127">
        <v>0</v>
      </c>
      <c r="DQ1127">
        <v>0</v>
      </c>
      <c r="DR1127">
        <v>0</v>
      </c>
      <c r="DS1127">
        <v>0</v>
      </c>
      <c r="DT1127">
        <f t="shared" si="1492"/>
        <v>0</v>
      </c>
      <c r="DU1127" s="143" t="str">
        <f t="shared" si="1490"/>
        <v>explicit C balance</v>
      </c>
      <c r="DV1127">
        <v>1</v>
      </c>
      <c r="DW1127">
        <v>1</v>
      </c>
      <c r="DX1127">
        <v>1</v>
      </c>
      <c r="DY1127">
        <v>1</v>
      </c>
      <c r="DZ1127">
        <v>1</v>
      </c>
      <c r="EA1127">
        <v>0</v>
      </c>
      <c r="EB1127">
        <v>0</v>
      </c>
      <c r="EC1127">
        <v>0</v>
      </c>
      <c r="ED1127">
        <v>0</v>
      </c>
      <c r="EE1127">
        <v>0</v>
      </c>
      <c r="EF1127">
        <v>1</v>
      </c>
      <c r="EG1127">
        <v>0</v>
      </c>
      <c r="EH1127">
        <v>0</v>
      </c>
      <c r="EI1127" s="2">
        <v>0</v>
      </c>
      <c r="EK1127" t="str">
        <f t="shared" si="1464"/>
        <v/>
      </c>
      <c r="EL1127" t="str">
        <f t="shared" si="1465"/>
        <v>Ecosystem approach</v>
      </c>
      <c r="EM1127" s="2" t="str">
        <f t="shared" si="1424"/>
        <v/>
      </c>
      <c r="EP1127" t="b">
        <f>IF(ISNUMBER(BU1127),IF(ABS(BU1127-[1]QC_indicators!$B$2)&gt;3*[1]QC_indicators!$C$2,"C ratio",IF(ISNUMBER(BY1127),IF(ABS(BY1127-[1]QC_indicators!$B$1)&gt;3*[1]QC_indicators!$C$1,"DF","no"))),IF(ISNUMBER(BY1127),IF(ABS(BY1127-[1]QC_indicators!$B$1)&gt;3*[1]QC_indicators!$C$1,"DF","no")))</f>
        <v>0</v>
      </c>
    </row>
    <row r="1128" spans="1:150" ht="15" hidden="1" customHeight="1">
      <c r="A1128" s="1" t="s">
        <v>5157</v>
      </c>
      <c r="B1128" t="s">
        <v>5158</v>
      </c>
      <c r="C1128" t="s">
        <v>5159</v>
      </c>
      <c r="D1128" t="s">
        <v>5160</v>
      </c>
      <c r="E1128" t="s">
        <v>5161</v>
      </c>
      <c r="F1128" t="s">
        <v>5162</v>
      </c>
      <c r="G1128" t="s">
        <v>5163</v>
      </c>
      <c r="H1128" t="s">
        <v>3790</v>
      </c>
      <c r="I1128">
        <v>2018</v>
      </c>
      <c r="J1128">
        <v>13</v>
      </c>
      <c r="K1128" t="s">
        <v>5164</v>
      </c>
      <c r="M1128" t="str">
        <f t="shared" si="1430"/>
        <v>Persson_2018</v>
      </c>
      <c r="N1128" t="s">
        <v>2585</v>
      </c>
      <c r="O1128" s="171" t="s">
        <v>513</v>
      </c>
      <c r="P1128" s="141" t="s">
        <v>225</v>
      </c>
      <c r="Q1128" s="311" t="s">
        <v>389</v>
      </c>
      <c r="R1128" s="312"/>
      <c r="AX1128" s="141"/>
      <c r="AY1128" s="141"/>
      <c r="BE1128"/>
      <c r="BF1128" s="2"/>
      <c r="BU1128" s="144"/>
      <c r="BY1128" t="str">
        <f t="shared" si="1419"/>
        <v/>
      </c>
      <c r="CN1128"/>
      <c r="CO1128"/>
      <c r="CP1128"/>
      <c r="CQ1128"/>
      <c r="CR1128"/>
      <c r="CS1128"/>
      <c r="CT1128"/>
      <c r="CU1128"/>
      <c r="CV1128" s="2"/>
      <c r="CX1128"/>
      <c r="DC1128"/>
      <c r="DI1128"/>
      <c r="DJ1128"/>
      <c r="DK1128"/>
      <c r="DL1128"/>
      <c r="DM1128"/>
      <c r="DN1128"/>
      <c r="DT1128"/>
      <c r="DU1128" s="143"/>
      <c r="EK1128" t="str">
        <f t="shared" si="1464"/>
        <v/>
      </c>
      <c r="EL1128" t="str">
        <f t="shared" si="1465"/>
        <v/>
      </c>
      <c r="EM1128" s="2" t="str">
        <f t="shared" si="1424"/>
        <v/>
      </c>
      <c r="EP1128" t="b">
        <f>IF(ISNUMBER(BU1128),IF(ABS(BU1128-[1]QC_indicators!$B$2)&gt;3*[1]QC_indicators!$C$2,"C ratio",IF(ISNUMBER(BY1128),IF(ABS(BY1128-[1]QC_indicators!$B$1)&gt;3*[1]QC_indicators!$C$1,"DF","no"))),IF(ISNUMBER(BY1128),IF(ABS(BY1128-[1]QC_indicators!$B$1)&gt;3*[1]QC_indicators!$C$1,"DF","no")))</f>
        <v>0</v>
      </c>
    </row>
    <row r="1129" spans="1:150" ht="15" hidden="1" customHeight="1">
      <c r="D1129" t="s">
        <v>962</v>
      </c>
      <c r="E1129" t="s">
        <v>963</v>
      </c>
      <c r="G1129" t="s">
        <v>964</v>
      </c>
      <c r="I1129">
        <v>2002</v>
      </c>
      <c r="K1129" s="295" t="s">
        <v>965</v>
      </c>
      <c r="M1129" t="str">
        <f t="shared" si="1430"/>
        <v>Petersen_2002</v>
      </c>
      <c r="N1129" t="s">
        <v>222</v>
      </c>
      <c r="O1129" s="171" t="s">
        <v>513</v>
      </c>
      <c r="P1129" s="141" t="s">
        <v>225</v>
      </c>
      <c r="Q1129" s="264" t="s">
        <v>389</v>
      </c>
      <c r="R1129" s="269" t="s">
        <v>1153</v>
      </c>
      <c r="S1129" s="263" t="s">
        <v>977</v>
      </c>
      <c r="T1129" s="264" t="s">
        <v>978</v>
      </c>
      <c r="U1129" s="264" t="s">
        <v>979</v>
      </c>
      <c r="V1129">
        <v>0</v>
      </c>
      <c r="W1129">
        <v>0</v>
      </c>
      <c r="X1129">
        <v>0</v>
      </c>
      <c r="Y1129">
        <v>0</v>
      </c>
      <c r="Z1129">
        <v>0</v>
      </c>
      <c r="AA1129">
        <v>0</v>
      </c>
      <c r="AB1129">
        <v>0</v>
      </c>
      <c r="AC1129">
        <v>0</v>
      </c>
      <c r="AD1129">
        <v>0</v>
      </c>
      <c r="AE1129">
        <v>0</v>
      </c>
      <c r="AF1129">
        <v>0</v>
      </c>
      <c r="AG1129">
        <v>0</v>
      </c>
      <c r="AH1129">
        <v>0</v>
      </c>
      <c r="AI1129">
        <v>0</v>
      </c>
      <c r="AJ1129">
        <v>0</v>
      </c>
      <c r="AK1129">
        <v>1</v>
      </c>
      <c r="AL1129">
        <v>0</v>
      </c>
      <c r="AM1129">
        <v>0</v>
      </c>
      <c r="AN1129">
        <v>0</v>
      </c>
      <c r="AO1129">
        <v>0</v>
      </c>
      <c r="AP1129">
        <v>0</v>
      </c>
      <c r="AQ1129">
        <v>0</v>
      </c>
      <c r="AR1129">
        <v>0</v>
      </c>
      <c r="AS1129">
        <v>0</v>
      </c>
      <c r="AT1129">
        <v>0</v>
      </c>
      <c r="AU1129">
        <v>0</v>
      </c>
      <c r="AV1129">
        <v>0</v>
      </c>
      <c r="AW1129">
        <v>0</v>
      </c>
      <c r="AX1129" s="141">
        <f t="shared" ref="AX1129:AX1154" si="1493">COUNTIF(V1129:AW1129,"&lt;&gt;0")</f>
        <v>1</v>
      </c>
      <c r="AY1129" s="141">
        <f t="shared" ref="AY1129:AY1154" si="1494">COUNTIF(V1129:AL1129,"&lt;&gt;0")</f>
        <v>1</v>
      </c>
      <c r="AZ1129">
        <f t="shared" ref="AZ1129:AZ1154" si="1495">COUNTIF(V1129:AC1129,"&lt;&gt;0")</f>
        <v>0</v>
      </c>
      <c r="BA1129">
        <f t="shared" ref="BA1129:BA1154" si="1496">COUNTIF(AD1129:AI1129,"&lt;&gt;0")</f>
        <v>0</v>
      </c>
      <c r="BB1129">
        <f t="shared" ref="BB1129:BB1154" si="1497">COUNTIF(AJ1129:AL1129,"&lt;&gt;0")</f>
        <v>1</v>
      </c>
      <c r="BC1129">
        <f t="shared" ref="BC1129:BC1154" si="1498">COUNTIF(AS1129:AW1129,"&lt;&gt;0")</f>
        <v>0</v>
      </c>
      <c r="BD1129">
        <f t="shared" ref="BD1129:BD1154" si="1499">COUNTIF(AM1129:AR1129,"&lt;&gt;0")</f>
        <v>0</v>
      </c>
      <c r="BE1129" t="str" cm="1">
        <f t="array" ref="BE1129">IF(AY1129=1,INDEX($V$7:$AL$7,MATCH(TRUE,INDEX($V1129:$AW1129&lt;&gt;0,),0)),IF(AY1129=0,INDEX($AM$7:$AW$7,MATCH(1,$AM1129:$AW1129,0)),IF(BF1129="Multiple strategies","mixed drivers",IF(BF1129="Supply chain","multiple supply","multiple silviculture"))))</f>
        <v>technologies/design switch</v>
      </c>
      <c r="BF1129" s="2" t="str" cm="1">
        <f t="array" ref="BF1129">IF(COUNTIF(AZ1129:BB1129,"&lt;&gt;0")=1,INDEX($V$4:$AW$4,MATCH(TRUE,INDEX($V1129:$AW1129&lt;&gt;0,),0)),IF(COUNTIF(AZ1129:BB1129,"&lt;&gt;0")=0,INDEX($AM$4:$AW$4,MATCH(1,$AM1129:$AW1129,0)),"Multiple strategies"))</f>
        <v>Technology</v>
      </c>
      <c r="BG1129" s="142" t="s">
        <v>229</v>
      </c>
      <c r="BH1129" t="s">
        <v>969</v>
      </c>
      <c r="BI1129" t="s">
        <v>970</v>
      </c>
      <c r="BJ1129" t="s">
        <v>498</v>
      </c>
      <c r="BK1129">
        <v>0</v>
      </c>
      <c r="BL1129">
        <v>1</v>
      </c>
      <c r="BM1129" t="str">
        <f t="shared" ref="BM1129:BM1154" si="1500">IFERROR(BL1129/BK1129,"")</f>
        <v/>
      </c>
      <c r="BN1129">
        <f t="shared" ref="BN1129:BN1154" si="1501">BL1129-BK1129</f>
        <v>1</v>
      </c>
      <c r="BO1129">
        <v>1</v>
      </c>
      <c r="BP1129" t="s">
        <v>232</v>
      </c>
      <c r="BQ1129" t="s">
        <v>971</v>
      </c>
      <c r="BR1129" s="264" t="s">
        <v>972</v>
      </c>
      <c r="BV1129">
        <v>-0.58299999999999996</v>
      </c>
      <c r="BX1129">
        <f t="shared" ref="BX1129:BX1141" si="1502">BV1129</f>
        <v>-0.58299999999999996</v>
      </c>
      <c r="BY1129">
        <f t="shared" si="1419"/>
        <v>-0.58299999999999996</v>
      </c>
      <c r="BZ1129">
        <v>0</v>
      </c>
      <c r="CA1129">
        <v>0</v>
      </c>
      <c r="CB1129">
        <v>0</v>
      </c>
      <c r="CC1129">
        <v>0</v>
      </c>
      <c r="CD1129">
        <v>0</v>
      </c>
      <c r="CE1129">
        <v>0</v>
      </c>
      <c r="CF1129">
        <v>0</v>
      </c>
      <c r="CG1129">
        <v>0</v>
      </c>
      <c r="CH1129">
        <v>0</v>
      </c>
      <c r="CI1129">
        <v>0</v>
      </c>
      <c r="CJ1129">
        <v>0</v>
      </c>
      <c r="CK1129">
        <v>0</v>
      </c>
      <c r="CL1129">
        <v>0</v>
      </c>
      <c r="CM1129">
        <v>0</v>
      </c>
      <c r="CN1129" t="str">
        <f t="shared" ref="CN1129:CN1154" si="1503">IF($BL1129&lt;$BK1129,"refNeedCorrection","refOK")</f>
        <v>refOK</v>
      </c>
      <c r="CO1129">
        <f t="shared" ref="CO1129:CO1154" si="1504">IF($CN1129="refOK",$BK1129,$BL1129)</f>
        <v>0</v>
      </c>
      <c r="CP1129">
        <f t="shared" ref="CP1129:CP1154" si="1505">IF($CN1129="refOK",$BL1129,$BK1129)</f>
        <v>1</v>
      </c>
      <c r="CQ1129">
        <f t="shared" ref="CQ1129:CQ1154" si="1506">IF($CN1129="refOK",$BO1129,-$BO1129)</f>
        <v>1</v>
      </c>
      <c r="CR1129">
        <f t="shared" ref="CR1129:CR1154" si="1507">IF($CN1129="refOK",$BS1129,$BT1129)*IF($BP1129="Emissions positive",-1,1)</f>
        <v>0</v>
      </c>
      <c r="CS1129">
        <f t="shared" ref="CS1129:CS1154" si="1508">IF($CN1129="refOK",$BT1129,$BS1129)*IF($BP1129="Emissions positive",-1,1)</f>
        <v>0</v>
      </c>
      <c r="CT1129">
        <f t="shared" ref="CT1129:CT1154" si="1509">IF($CN1129="refNeedCorrection",-BX1129,BX1129)*IF($BP1129="Emissions positive",-1,1)</f>
        <v>-0.58299999999999996</v>
      </c>
      <c r="CU1129">
        <f t="shared" ref="CU1129:CU1154" si="1510">IFERROR(CT1129/CQ1129,"")</f>
        <v>-0.58299999999999996</v>
      </c>
      <c r="CV1129" s="2" t="str">
        <f t="shared" ref="CV1129:CV1154" si="1511">IFERROR((CS1129-CR1129)/ABS(CR1129),"")</f>
        <v/>
      </c>
      <c r="CW1129" s="1" t="s">
        <v>973</v>
      </c>
      <c r="CX1129" s="264" t="str">
        <f t="shared" ref="CX1129:CX1154" si="1512">IF(OR($CW1129="prd",$CW1129="std",$CW1129="cit"),"loc",IF(OR($CW1129="eur",$CW1129="reg",$CW1129="coy"),"reg",$CW1129))</f>
        <v>loc</v>
      </c>
      <c r="CY1129" t="s">
        <v>264</v>
      </c>
      <c r="DB1129">
        <v>50</v>
      </c>
      <c r="DC1129" t="str">
        <f t="shared" ref="DC1129:DC1154" si="1513">IF(DB1129=0,"0",IF(AND(DB1129&gt;=1,DB1129&lt;=30),"1-30",IF(AND(DB1129&gt;30,DB1129&lt;=70),"31-70",IF(AND(DB1129&gt;70,DB1129&lt;=100),"71-100",IF(DB1129&gt;100,"+100")))))</f>
        <v>31-70</v>
      </c>
      <c r="DD1129">
        <v>0</v>
      </c>
      <c r="DE1129">
        <v>0</v>
      </c>
      <c r="DF1129">
        <v>0</v>
      </c>
      <c r="DG1129">
        <v>1</v>
      </c>
      <c r="DH1129">
        <v>0</v>
      </c>
      <c r="DI1129">
        <f t="shared" ref="DI1129:DI1154" si="1514">SUM(DD1129:DG1129)</f>
        <v>1</v>
      </c>
      <c r="DJ1129" t="str">
        <f t="shared" ref="DJ1129:DJ1154" si="1515">IF(DI1129=1,INDEX($DD$7:$DG$7,MATCH(1,$DD1129:$DG1129,0)),"mixedProduct")</f>
        <v>TimberInput</v>
      </c>
      <c r="DK1129">
        <f t="shared" ref="DK1129:DK1154" si="1516">IF(DD1129=1,DK$7,0)</f>
        <v>0</v>
      </c>
      <c r="DL1129">
        <f t="shared" ref="DL1129:DL1154" si="1517">IF(DE1129=1,DL$7,0)</f>
        <v>0</v>
      </c>
      <c r="DM1129">
        <f t="shared" ref="DM1129:DM1154" si="1518">IF(DF1129=1,DM$7,0)</f>
        <v>0</v>
      </c>
      <c r="DN1129" t="str">
        <f t="shared" ref="DN1129:DN1154" si="1519">IF(DG1129=1,DN$7,0)</f>
        <v>Timber</v>
      </c>
      <c r="DO1129">
        <v>1</v>
      </c>
      <c r="DP1129">
        <v>0</v>
      </c>
      <c r="DQ1129">
        <v>0</v>
      </c>
      <c r="DR1129">
        <v>0</v>
      </c>
      <c r="DS1129">
        <v>0</v>
      </c>
      <c r="DT1129">
        <f t="shared" ref="DT1129:DT1154" si="1520">SUM(DO1129:DP1129)</f>
        <v>1</v>
      </c>
      <c r="DU1129" s="143" t="str">
        <f t="shared" ref="DU1129:DU1154" si="1521">IF(DO1129=1,"self-calculated DF",IF(DP1129=1,"external DF used","explicit C balance"))</f>
        <v>self-calculated DF</v>
      </c>
      <c r="DV1129" s="143">
        <v>0</v>
      </c>
      <c r="DW1129" s="143">
        <v>0</v>
      </c>
      <c r="DX1129" s="143">
        <v>0</v>
      </c>
      <c r="DY1129" s="143">
        <v>0</v>
      </c>
      <c r="DZ1129">
        <v>0</v>
      </c>
      <c r="EA1129" s="143">
        <v>1</v>
      </c>
      <c r="EB1129" s="143">
        <v>0</v>
      </c>
      <c r="EC1129" s="143">
        <v>1</v>
      </c>
      <c r="ED1129" s="143">
        <v>0</v>
      </c>
      <c r="EE1129">
        <v>1</v>
      </c>
      <c r="EF1129">
        <v>0</v>
      </c>
      <c r="EG1129" s="143">
        <v>0</v>
      </c>
      <c r="EH1129" s="143">
        <v>0</v>
      </c>
      <c r="EI1129" s="2">
        <v>0</v>
      </c>
      <c r="EK1129" t="str">
        <f t="shared" ref="EK1129:EK1154" si="1522">IF(AND(AND(AND(OR($DX1129=1,$DW1129=1),OR($EC1129=1,$EA1129=1)),SUM($DV1129:$DZ1129,$EF1129)&gt;=4),SUM($EA1129:$EE1129)&gt;=2),"Whole sector","")</f>
        <v/>
      </c>
      <c r="EL1129" t="str">
        <f t="shared" ref="EL1129:EL1154" si="1523">IF(AND(AND(OR($DX1129=1,$DW1129=1),AND($EC1129=0,$EA1129=0)),SUM($DV1129:$DZ1129,$EF1129)&gt;=4),"Ecosystem approach","")</f>
        <v/>
      </c>
      <c r="EM1129" s="2" t="str">
        <f t="shared" si="1424"/>
        <v>Technology approach</v>
      </c>
      <c r="EN1129" t="s">
        <v>980</v>
      </c>
      <c r="EP1129" t="str">
        <f>IF(ISNUMBER(BU1129),IF(ABS(BU1129-[4]QC_indicators!$B$2)&gt;3*[4]QC_indicators!$C$2,"C ratio",IF(ISNUMBER(BY1129),IF(ABS(BY1129-[4]QC_indicators!$B$1)&gt;3*[4]QC_indicators!$C$1,"DF","no"))),IF(ISNUMBER(BY1129),IF(ABS(BY1129-[4]QC_indicators!$B$1)&gt;3*[4]QC_indicators!$C$1,"DF","no")))</f>
        <v>no</v>
      </c>
      <c r="ET1129" s="264" t="s">
        <v>3406</v>
      </c>
    </row>
    <row r="1130" spans="1:150" ht="15" hidden="1" customHeight="1">
      <c r="D1130" t="s">
        <v>962</v>
      </c>
      <c r="E1130" t="s">
        <v>963</v>
      </c>
      <c r="G1130" t="s">
        <v>964</v>
      </c>
      <c r="I1130">
        <v>2002</v>
      </c>
      <c r="K1130" s="295" t="s">
        <v>965</v>
      </c>
      <c r="M1130" t="str">
        <f t="shared" si="1430"/>
        <v>Petersen_2002</v>
      </c>
      <c r="N1130" t="s">
        <v>222</v>
      </c>
      <c r="O1130" s="171" t="s">
        <v>513</v>
      </c>
      <c r="P1130" s="141" t="s">
        <v>225</v>
      </c>
      <c r="Q1130" s="264" t="s">
        <v>389</v>
      </c>
      <c r="R1130" s="269" t="s">
        <v>1153</v>
      </c>
      <c r="S1130" s="263" t="s">
        <v>981</v>
      </c>
      <c r="T1130" s="264" t="s">
        <v>978</v>
      </c>
      <c r="U1130" s="264" t="s">
        <v>979</v>
      </c>
      <c r="V1130">
        <v>0</v>
      </c>
      <c r="W1130">
        <v>0</v>
      </c>
      <c r="X1130">
        <v>0</v>
      </c>
      <c r="Y1130">
        <v>0</v>
      </c>
      <c r="Z1130">
        <v>0</v>
      </c>
      <c r="AA1130">
        <v>0</v>
      </c>
      <c r="AB1130">
        <v>0</v>
      </c>
      <c r="AC1130">
        <v>0</v>
      </c>
      <c r="AD1130">
        <v>0</v>
      </c>
      <c r="AE1130">
        <v>0</v>
      </c>
      <c r="AF1130">
        <v>0</v>
      </c>
      <c r="AG1130">
        <v>0</v>
      </c>
      <c r="AH1130">
        <v>0</v>
      </c>
      <c r="AI1130">
        <v>0</v>
      </c>
      <c r="AJ1130">
        <v>0</v>
      </c>
      <c r="AK1130">
        <v>1</v>
      </c>
      <c r="AL1130">
        <v>0</v>
      </c>
      <c r="AM1130">
        <v>0</v>
      </c>
      <c r="AN1130">
        <v>0</v>
      </c>
      <c r="AO1130">
        <v>0</v>
      </c>
      <c r="AP1130">
        <v>0</v>
      </c>
      <c r="AQ1130">
        <v>0</v>
      </c>
      <c r="AR1130">
        <v>0</v>
      </c>
      <c r="AS1130">
        <v>0</v>
      </c>
      <c r="AT1130">
        <v>0</v>
      </c>
      <c r="AU1130">
        <v>0</v>
      </c>
      <c r="AV1130">
        <v>0</v>
      </c>
      <c r="AW1130">
        <v>0</v>
      </c>
      <c r="AX1130" s="141">
        <f t="shared" si="1493"/>
        <v>1</v>
      </c>
      <c r="AY1130" s="141">
        <f t="shared" si="1494"/>
        <v>1</v>
      </c>
      <c r="AZ1130">
        <f t="shared" si="1495"/>
        <v>0</v>
      </c>
      <c r="BA1130">
        <f t="shared" si="1496"/>
        <v>0</v>
      </c>
      <c r="BB1130">
        <f t="shared" si="1497"/>
        <v>1</v>
      </c>
      <c r="BC1130">
        <f t="shared" si="1498"/>
        <v>0</v>
      </c>
      <c r="BD1130">
        <f t="shared" si="1499"/>
        <v>0</v>
      </c>
      <c r="BE1130" t="str" cm="1">
        <f t="array" ref="BE1130">IF(AY1130=1,INDEX($V$7:$AL$7,MATCH(TRUE,INDEX($V1130:$AW1130&lt;&gt;0,),0)),IF(AY1130=0,INDEX($AM$7:$AW$7,MATCH(1,$AM1130:$AW1130,0)),IF(BF1130="Multiple strategies","mixed drivers",IF(BF1130="Supply chain","multiple supply","multiple silviculture"))))</f>
        <v>technologies/design switch</v>
      </c>
      <c r="BF1130" s="2" t="str" cm="1">
        <f t="array" ref="BF1130">IF(COUNTIF(AZ1130:BB1130,"&lt;&gt;0")=1,INDEX($V$4:$AW$4,MATCH(TRUE,INDEX($V1130:$AW1130&lt;&gt;0,),0)),IF(COUNTIF(AZ1130:BB1130,"&lt;&gt;0")=0,INDEX($AM$4:$AW$4,MATCH(1,$AM1130:$AW1130,0)),"Multiple strategies"))</f>
        <v>Technology</v>
      </c>
      <c r="BG1130" s="142" t="s">
        <v>229</v>
      </c>
      <c r="BH1130" t="s">
        <v>969</v>
      </c>
      <c r="BI1130" t="s">
        <v>970</v>
      </c>
      <c r="BJ1130" t="s">
        <v>498</v>
      </c>
      <c r="BK1130">
        <v>0</v>
      </c>
      <c r="BL1130">
        <v>1</v>
      </c>
      <c r="BM1130" t="str">
        <f t="shared" si="1500"/>
        <v/>
      </c>
      <c r="BN1130">
        <f t="shared" si="1501"/>
        <v>1</v>
      </c>
      <c r="BO1130">
        <v>1</v>
      </c>
      <c r="BP1130" t="s">
        <v>232</v>
      </c>
      <c r="BQ1130" t="s">
        <v>971</v>
      </c>
      <c r="BR1130" s="264" t="s">
        <v>972</v>
      </c>
      <c r="BV1130">
        <v>-4.3999999999999997E-2</v>
      </c>
      <c r="BX1130">
        <f t="shared" si="1502"/>
        <v>-4.3999999999999997E-2</v>
      </c>
      <c r="BY1130">
        <f t="shared" ref="BY1130:BY1193" si="1524">IFERROR(BX1130/BO1130,"")</f>
        <v>-4.3999999999999997E-2</v>
      </c>
      <c r="BZ1130">
        <v>0</v>
      </c>
      <c r="CA1130">
        <v>0</v>
      </c>
      <c r="CB1130">
        <v>0</v>
      </c>
      <c r="CC1130">
        <v>0</v>
      </c>
      <c r="CD1130">
        <v>0</v>
      </c>
      <c r="CE1130">
        <v>0</v>
      </c>
      <c r="CF1130">
        <v>0</v>
      </c>
      <c r="CG1130">
        <v>0</v>
      </c>
      <c r="CH1130">
        <v>0</v>
      </c>
      <c r="CI1130">
        <v>0</v>
      </c>
      <c r="CJ1130">
        <v>0</v>
      </c>
      <c r="CK1130">
        <v>0</v>
      </c>
      <c r="CL1130">
        <v>0</v>
      </c>
      <c r="CM1130">
        <v>0</v>
      </c>
      <c r="CN1130" t="str">
        <f t="shared" si="1503"/>
        <v>refOK</v>
      </c>
      <c r="CO1130">
        <f t="shared" si="1504"/>
        <v>0</v>
      </c>
      <c r="CP1130">
        <f t="shared" si="1505"/>
        <v>1</v>
      </c>
      <c r="CQ1130">
        <f t="shared" si="1506"/>
        <v>1</v>
      </c>
      <c r="CR1130">
        <f t="shared" si="1507"/>
        <v>0</v>
      </c>
      <c r="CS1130">
        <f t="shared" si="1508"/>
        <v>0</v>
      </c>
      <c r="CT1130">
        <f t="shared" si="1509"/>
        <v>-4.3999999999999997E-2</v>
      </c>
      <c r="CU1130">
        <f t="shared" si="1510"/>
        <v>-4.3999999999999997E-2</v>
      </c>
      <c r="CV1130" s="2" t="str">
        <f t="shared" si="1511"/>
        <v/>
      </c>
      <c r="CW1130" s="1" t="s">
        <v>973</v>
      </c>
      <c r="CX1130" s="264" t="str">
        <f t="shared" si="1512"/>
        <v>loc</v>
      </c>
      <c r="CY1130" t="s">
        <v>264</v>
      </c>
      <c r="DB1130">
        <v>50</v>
      </c>
      <c r="DC1130" t="str">
        <f t="shared" si="1513"/>
        <v>31-70</v>
      </c>
      <c r="DD1130">
        <v>0</v>
      </c>
      <c r="DE1130">
        <v>0</v>
      </c>
      <c r="DF1130">
        <v>0</v>
      </c>
      <c r="DG1130">
        <v>1</v>
      </c>
      <c r="DH1130">
        <v>0</v>
      </c>
      <c r="DI1130">
        <f t="shared" si="1514"/>
        <v>1</v>
      </c>
      <c r="DJ1130" t="str">
        <f t="shared" si="1515"/>
        <v>TimberInput</v>
      </c>
      <c r="DK1130">
        <f t="shared" si="1516"/>
        <v>0</v>
      </c>
      <c r="DL1130">
        <f t="shared" si="1517"/>
        <v>0</v>
      </c>
      <c r="DM1130">
        <f t="shared" si="1518"/>
        <v>0</v>
      </c>
      <c r="DN1130" t="str">
        <f t="shared" si="1519"/>
        <v>Timber</v>
      </c>
      <c r="DO1130">
        <v>1</v>
      </c>
      <c r="DP1130">
        <v>0</v>
      </c>
      <c r="DQ1130">
        <v>0</v>
      </c>
      <c r="DR1130">
        <v>0</v>
      </c>
      <c r="DS1130">
        <v>0</v>
      </c>
      <c r="DT1130">
        <f t="shared" si="1520"/>
        <v>1</v>
      </c>
      <c r="DU1130" s="143" t="str">
        <f t="shared" si="1521"/>
        <v>self-calculated DF</v>
      </c>
      <c r="DV1130" s="143">
        <v>0</v>
      </c>
      <c r="DW1130" s="143">
        <v>0</v>
      </c>
      <c r="DX1130" s="143">
        <v>0</v>
      </c>
      <c r="DY1130" s="143">
        <v>0</v>
      </c>
      <c r="DZ1130">
        <v>0</v>
      </c>
      <c r="EA1130" s="143">
        <v>1</v>
      </c>
      <c r="EB1130" s="143">
        <v>0</v>
      </c>
      <c r="EC1130" s="143">
        <v>1</v>
      </c>
      <c r="ED1130" s="143">
        <v>0</v>
      </c>
      <c r="EE1130">
        <v>1</v>
      </c>
      <c r="EF1130">
        <v>0</v>
      </c>
      <c r="EG1130" s="143">
        <v>0</v>
      </c>
      <c r="EH1130" s="143">
        <v>0</v>
      </c>
      <c r="EI1130" s="2">
        <v>0</v>
      </c>
      <c r="EK1130" t="str">
        <f t="shared" si="1522"/>
        <v/>
      </c>
      <c r="EL1130" t="str">
        <f t="shared" si="1523"/>
        <v/>
      </c>
      <c r="EM1130" s="2" t="str">
        <f t="shared" si="1424"/>
        <v>Technology approach</v>
      </c>
      <c r="EN1130" t="s">
        <v>976</v>
      </c>
      <c r="EP1130" t="str">
        <f>IF(ISNUMBER(BU1130),IF(ABS(BU1130-[4]QC_indicators!$B$2)&gt;3*[4]QC_indicators!$C$2,"C ratio",IF(ISNUMBER(BY1130),IF(ABS(BY1130-[4]QC_indicators!$B$1)&gt;3*[4]QC_indicators!$C$1,"DF","no"))),IF(ISNUMBER(BY1130),IF(ABS(BY1130-[4]QC_indicators!$B$1)&gt;3*[4]QC_indicators!$C$1,"DF","no")))</f>
        <v>no</v>
      </c>
      <c r="ET1130" s="264" t="s">
        <v>3406</v>
      </c>
    </row>
    <row r="1131" spans="1:150" ht="15" hidden="1" customHeight="1">
      <c r="D1131" t="s">
        <v>962</v>
      </c>
      <c r="E1131" t="s">
        <v>963</v>
      </c>
      <c r="G1131" t="s">
        <v>964</v>
      </c>
      <c r="I1131">
        <v>2002</v>
      </c>
      <c r="K1131" s="295" t="s">
        <v>965</v>
      </c>
      <c r="M1131" t="str">
        <f t="shared" si="1430"/>
        <v>Petersen_2002</v>
      </c>
      <c r="N1131" t="s">
        <v>222</v>
      </c>
      <c r="O1131" s="171" t="s">
        <v>513</v>
      </c>
      <c r="P1131" s="141" t="s">
        <v>225</v>
      </c>
      <c r="Q1131" s="264" t="s">
        <v>389</v>
      </c>
      <c r="R1131" s="269" t="s">
        <v>1153</v>
      </c>
      <c r="S1131" s="263" t="s">
        <v>966</v>
      </c>
      <c r="T1131" s="264" t="s">
        <v>967</v>
      </c>
      <c r="U1131" s="264" t="s">
        <v>968</v>
      </c>
      <c r="V1131">
        <v>0</v>
      </c>
      <c r="W1131">
        <v>0</v>
      </c>
      <c r="X1131">
        <v>0</v>
      </c>
      <c r="Y1131">
        <v>0</v>
      </c>
      <c r="Z1131">
        <v>0</v>
      </c>
      <c r="AA1131">
        <v>0</v>
      </c>
      <c r="AB1131">
        <v>0</v>
      </c>
      <c r="AC1131">
        <v>0</v>
      </c>
      <c r="AD1131">
        <v>0</v>
      </c>
      <c r="AE1131">
        <v>0</v>
      </c>
      <c r="AF1131">
        <v>0</v>
      </c>
      <c r="AG1131">
        <v>0</v>
      </c>
      <c r="AH1131">
        <v>0</v>
      </c>
      <c r="AI1131">
        <v>0</v>
      </c>
      <c r="AJ1131">
        <v>1</v>
      </c>
      <c r="AK1131">
        <v>0</v>
      </c>
      <c r="AL1131">
        <v>0</v>
      </c>
      <c r="AM1131">
        <v>0</v>
      </c>
      <c r="AN1131">
        <v>0</v>
      </c>
      <c r="AO1131">
        <v>0</v>
      </c>
      <c r="AP1131">
        <v>0</v>
      </c>
      <c r="AQ1131">
        <v>0</v>
      </c>
      <c r="AR1131">
        <v>0</v>
      </c>
      <c r="AS1131">
        <v>0</v>
      </c>
      <c r="AT1131">
        <v>0</v>
      </c>
      <c r="AU1131">
        <v>0</v>
      </c>
      <c r="AV1131">
        <v>0</v>
      </c>
      <c r="AW1131">
        <v>0</v>
      </c>
      <c r="AX1131" s="141">
        <f t="shared" si="1493"/>
        <v>1</v>
      </c>
      <c r="AY1131" s="141">
        <f t="shared" si="1494"/>
        <v>1</v>
      </c>
      <c r="AZ1131">
        <f t="shared" si="1495"/>
        <v>0</v>
      </c>
      <c r="BA1131">
        <f t="shared" si="1496"/>
        <v>0</v>
      </c>
      <c r="BB1131">
        <f t="shared" si="1497"/>
        <v>1</v>
      </c>
      <c r="BC1131">
        <f t="shared" si="1498"/>
        <v>0</v>
      </c>
      <c r="BD1131">
        <f t="shared" si="1499"/>
        <v>0</v>
      </c>
      <c r="BE1131" t="str" cm="1">
        <f t="array" ref="BE1131">IF(AY1131=1,INDEX($V$7:$AL$7,MATCH(TRUE,INDEX($V1131:$AW1131&lt;&gt;0,),0)),IF(AY1131=0,INDEX($AM$7:$AW$7,MATCH(1,$AM1131:$AW1131,0)),IF(BF1131="Multiple strategies","mixed drivers",IF(BF1131="Supply chain","multiple supply","multiple silviculture"))))</f>
        <v>efficiency improvement</v>
      </c>
      <c r="BF1131" s="2" t="str" cm="1">
        <f t="array" ref="BF1131">IF(COUNTIF(AZ1131:BB1131,"&lt;&gt;0")=1,INDEX($V$4:$AW$4,MATCH(TRUE,INDEX($V1131:$AW1131&lt;&gt;0,),0)),IF(COUNTIF(AZ1131:BB1131,"&lt;&gt;0")=0,INDEX($AM$4:$AW$4,MATCH(1,$AM1131:$AW1131,0)),"Multiple strategies"))</f>
        <v>Technology</v>
      </c>
      <c r="BG1131" s="142" t="s">
        <v>229</v>
      </c>
      <c r="BH1131" t="s">
        <v>969</v>
      </c>
      <c r="BI1131" t="s">
        <v>970</v>
      </c>
      <c r="BJ1131" t="s">
        <v>498</v>
      </c>
      <c r="BK1131">
        <v>1</v>
      </c>
      <c r="BL1131">
        <v>1</v>
      </c>
      <c r="BM1131">
        <f t="shared" si="1500"/>
        <v>1</v>
      </c>
      <c r="BN1131">
        <f t="shared" si="1501"/>
        <v>0</v>
      </c>
      <c r="BO1131">
        <v>1</v>
      </c>
      <c r="BP1131" t="s">
        <v>232</v>
      </c>
      <c r="BQ1131" t="s">
        <v>971</v>
      </c>
      <c r="BR1131" s="264" t="s">
        <v>972</v>
      </c>
      <c r="BS1131">
        <v>0.312</v>
      </c>
      <c r="BT1131">
        <v>0.32900000000000001</v>
      </c>
      <c r="BV1131">
        <f>BT1131-BS1131</f>
        <v>1.7000000000000015E-2</v>
      </c>
      <c r="BX1131">
        <f t="shared" si="1502"/>
        <v>1.7000000000000015E-2</v>
      </c>
      <c r="BY1131">
        <f t="shared" si="1524"/>
        <v>1.7000000000000015E-2</v>
      </c>
      <c r="BZ1131">
        <v>0</v>
      </c>
      <c r="CA1131">
        <v>0</v>
      </c>
      <c r="CB1131">
        <v>0</v>
      </c>
      <c r="CC1131">
        <v>0</v>
      </c>
      <c r="CD1131">
        <v>0</v>
      </c>
      <c r="CE1131">
        <v>0</v>
      </c>
      <c r="CF1131">
        <v>0</v>
      </c>
      <c r="CG1131">
        <v>0</v>
      </c>
      <c r="CH1131">
        <v>0</v>
      </c>
      <c r="CI1131">
        <v>0</v>
      </c>
      <c r="CJ1131">
        <v>0</v>
      </c>
      <c r="CK1131">
        <v>0</v>
      </c>
      <c r="CL1131">
        <v>0</v>
      </c>
      <c r="CM1131">
        <v>0</v>
      </c>
      <c r="CN1131" t="str">
        <f t="shared" si="1503"/>
        <v>refOK</v>
      </c>
      <c r="CO1131">
        <f t="shared" si="1504"/>
        <v>1</v>
      </c>
      <c r="CP1131">
        <f t="shared" si="1505"/>
        <v>1</v>
      </c>
      <c r="CQ1131">
        <f t="shared" si="1506"/>
        <v>1</v>
      </c>
      <c r="CR1131">
        <f t="shared" si="1507"/>
        <v>0.312</v>
      </c>
      <c r="CS1131">
        <f t="shared" si="1508"/>
        <v>0.32900000000000001</v>
      </c>
      <c r="CT1131">
        <f t="shared" si="1509"/>
        <v>1.7000000000000015E-2</v>
      </c>
      <c r="CU1131">
        <f t="shared" si="1510"/>
        <v>1.7000000000000015E-2</v>
      </c>
      <c r="CV1131" s="2">
        <f t="shared" si="1511"/>
        <v>5.4487179487179536E-2</v>
      </c>
      <c r="CW1131" s="1" t="s">
        <v>973</v>
      </c>
      <c r="CX1131" s="264" t="str">
        <f t="shared" si="1512"/>
        <v>loc</v>
      </c>
      <c r="CY1131" t="s">
        <v>264</v>
      </c>
      <c r="DB1131">
        <v>50</v>
      </c>
      <c r="DC1131" t="str">
        <f t="shared" si="1513"/>
        <v>31-70</v>
      </c>
      <c r="DD1131">
        <v>0</v>
      </c>
      <c r="DE1131">
        <v>0</v>
      </c>
      <c r="DF1131">
        <v>0</v>
      </c>
      <c r="DG1131">
        <v>1</v>
      </c>
      <c r="DH1131">
        <v>0</v>
      </c>
      <c r="DI1131">
        <f t="shared" si="1514"/>
        <v>1</v>
      </c>
      <c r="DJ1131" t="str">
        <f t="shared" si="1515"/>
        <v>TimberInput</v>
      </c>
      <c r="DK1131">
        <f t="shared" si="1516"/>
        <v>0</v>
      </c>
      <c r="DL1131">
        <f t="shared" si="1517"/>
        <v>0</v>
      </c>
      <c r="DM1131">
        <f t="shared" si="1518"/>
        <v>0</v>
      </c>
      <c r="DN1131" t="str">
        <f t="shared" si="1519"/>
        <v>Timber</v>
      </c>
      <c r="DO1131">
        <v>1</v>
      </c>
      <c r="DP1131">
        <v>0</v>
      </c>
      <c r="DQ1131">
        <v>0</v>
      </c>
      <c r="DR1131">
        <v>0</v>
      </c>
      <c r="DS1131">
        <v>0</v>
      </c>
      <c r="DT1131">
        <f t="shared" si="1520"/>
        <v>1</v>
      </c>
      <c r="DU1131" s="143" t="str">
        <f t="shared" si="1521"/>
        <v>self-calculated DF</v>
      </c>
      <c r="DV1131" s="143">
        <v>0</v>
      </c>
      <c r="DW1131" s="143">
        <v>0</v>
      </c>
      <c r="DX1131" s="143">
        <v>0</v>
      </c>
      <c r="DY1131" s="143">
        <v>0</v>
      </c>
      <c r="DZ1131">
        <v>0</v>
      </c>
      <c r="EA1131" s="143">
        <v>1</v>
      </c>
      <c r="EB1131" s="143">
        <v>0</v>
      </c>
      <c r="EC1131" s="143">
        <v>1</v>
      </c>
      <c r="ED1131" s="143">
        <v>0</v>
      </c>
      <c r="EE1131">
        <v>1</v>
      </c>
      <c r="EF1131">
        <v>0</v>
      </c>
      <c r="EG1131" s="143">
        <v>0</v>
      </c>
      <c r="EH1131" s="143">
        <v>0</v>
      </c>
      <c r="EI1131" s="2">
        <v>0</v>
      </c>
      <c r="EK1131" t="str">
        <f t="shared" si="1522"/>
        <v/>
      </c>
      <c r="EL1131" t="str">
        <f t="shared" si="1523"/>
        <v/>
      </c>
      <c r="EM1131" s="2" t="str">
        <f t="shared" si="1424"/>
        <v>Technology approach</v>
      </c>
      <c r="EN1131" t="s">
        <v>974</v>
      </c>
      <c r="EP1131" t="str">
        <f>IF(ISNUMBER(BU1131),IF(ABS(BU1131-[4]QC_indicators!$B$2)&gt;3*[4]QC_indicators!$C$2,"C ratio",IF(ISNUMBER(BY1131),IF(ABS(BY1131-[4]QC_indicators!$B$1)&gt;3*[4]QC_indicators!$C$1,"DF","no"))),IF(ISNUMBER(BY1131),IF(ABS(BY1131-[4]QC_indicators!$B$1)&gt;3*[4]QC_indicators!$C$1,"DF","no")))</f>
        <v>no</v>
      </c>
      <c r="ET1131" s="264" t="s">
        <v>3406</v>
      </c>
    </row>
    <row r="1132" spans="1:150" ht="15" hidden="1" customHeight="1">
      <c r="D1132" t="s">
        <v>962</v>
      </c>
      <c r="E1132" t="s">
        <v>963</v>
      </c>
      <c r="G1132" t="s">
        <v>964</v>
      </c>
      <c r="I1132">
        <v>2002</v>
      </c>
      <c r="K1132" s="295" t="s">
        <v>965</v>
      </c>
      <c r="M1132" t="str">
        <f t="shared" si="1430"/>
        <v>Petersen_2002</v>
      </c>
      <c r="N1132" t="s">
        <v>222</v>
      </c>
      <c r="O1132" s="171" t="s">
        <v>513</v>
      </c>
      <c r="P1132" s="141" t="s">
        <v>225</v>
      </c>
      <c r="Q1132" s="264" t="s">
        <v>389</v>
      </c>
      <c r="R1132" s="269" t="s">
        <v>1153</v>
      </c>
      <c r="S1132" s="263" t="s">
        <v>966</v>
      </c>
      <c r="T1132" s="264" t="s">
        <v>975</v>
      </c>
      <c r="U1132" s="264" t="s">
        <v>968</v>
      </c>
      <c r="V1132">
        <v>0</v>
      </c>
      <c r="W1132">
        <v>0</v>
      </c>
      <c r="X1132">
        <v>0</v>
      </c>
      <c r="Y1132">
        <v>0</v>
      </c>
      <c r="Z1132">
        <v>0</v>
      </c>
      <c r="AA1132">
        <v>0</v>
      </c>
      <c r="AB1132">
        <v>0</v>
      </c>
      <c r="AC1132">
        <v>0</v>
      </c>
      <c r="AD1132">
        <v>0</v>
      </c>
      <c r="AE1132">
        <v>0</v>
      </c>
      <c r="AF1132">
        <v>0</v>
      </c>
      <c r="AG1132">
        <v>0</v>
      </c>
      <c r="AH1132">
        <v>0</v>
      </c>
      <c r="AI1132">
        <v>0</v>
      </c>
      <c r="AJ1132">
        <v>1</v>
      </c>
      <c r="AK1132">
        <v>0</v>
      </c>
      <c r="AL1132">
        <v>0</v>
      </c>
      <c r="AM1132">
        <v>0</v>
      </c>
      <c r="AN1132">
        <v>0</v>
      </c>
      <c r="AO1132">
        <v>0</v>
      </c>
      <c r="AP1132">
        <v>0</v>
      </c>
      <c r="AQ1132">
        <v>0</v>
      </c>
      <c r="AR1132">
        <v>0</v>
      </c>
      <c r="AS1132">
        <v>0</v>
      </c>
      <c r="AT1132">
        <v>0</v>
      </c>
      <c r="AU1132">
        <v>0</v>
      </c>
      <c r="AV1132">
        <v>0</v>
      </c>
      <c r="AW1132">
        <v>0</v>
      </c>
      <c r="AX1132" s="141">
        <f t="shared" si="1493"/>
        <v>1</v>
      </c>
      <c r="AY1132" s="141">
        <f t="shared" si="1494"/>
        <v>1</v>
      </c>
      <c r="AZ1132">
        <f t="shared" si="1495"/>
        <v>0</v>
      </c>
      <c r="BA1132">
        <f t="shared" si="1496"/>
        <v>0</v>
      </c>
      <c r="BB1132">
        <f t="shared" si="1497"/>
        <v>1</v>
      </c>
      <c r="BC1132">
        <f t="shared" si="1498"/>
        <v>0</v>
      </c>
      <c r="BD1132">
        <f t="shared" si="1499"/>
        <v>0</v>
      </c>
      <c r="BE1132" t="str" cm="1">
        <f t="array" ref="BE1132">IF(AY1132=1,INDEX($V$7:$AL$7,MATCH(TRUE,INDEX($V1132:$AW1132&lt;&gt;0,),0)),IF(AY1132=0,INDEX($AM$7:$AW$7,MATCH(1,$AM1132:$AW1132,0)),IF(BF1132="Multiple strategies","mixed drivers",IF(BF1132="Supply chain","multiple supply","multiple silviculture"))))</f>
        <v>efficiency improvement</v>
      </c>
      <c r="BF1132" s="2" t="str" cm="1">
        <f t="array" ref="BF1132">IF(COUNTIF(AZ1132:BB1132,"&lt;&gt;0")=1,INDEX($V$4:$AW$4,MATCH(TRUE,INDEX($V1132:$AW1132&lt;&gt;0,),0)),IF(COUNTIF(AZ1132:BB1132,"&lt;&gt;0")=0,INDEX($AM$4:$AW$4,MATCH(1,$AM1132:$AW1132,0)),"Multiple strategies"))</f>
        <v>Technology</v>
      </c>
      <c r="BG1132" s="142" t="s">
        <v>229</v>
      </c>
      <c r="BH1132" t="s">
        <v>969</v>
      </c>
      <c r="BI1132" t="s">
        <v>970</v>
      </c>
      <c r="BJ1132" t="s">
        <v>498</v>
      </c>
      <c r="BK1132">
        <v>1</v>
      </c>
      <c r="BL1132">
        <v>1</v>
      </c>
      <c r="BM1132">
        <f t="shared" si="1500"/>
        <v>1</v>
      </c>
      <c r="BN1132">
        <f t="shared" si="1501"/>
        <v>0</v>
      </c>
      <c r="BO1132">
        <v>1</v>
      </c>
      <c r="BP1132" t="s">
        <v>232</v>
      </c>
      <c r="BQ1132" t="s">
        <v>971</v>
      </c>
      <c r="BR1132" s="264" t="s">
        <v>972</v>
      </c>
      <c r="BS1132">
        <v>0.28399999999999997</v>
      </c>
      <c r="BT1132">
        <v>0.32900000000000001</v>
      </c>
      <c r="BV1132">
        <f>BT1132-BS1132</f>
        <v>4.500000000000004E-2</v>
      </c>
      <c r="BX1132">
        <f t="shared" si="1502"/>
        <v>4.500000000000004E-2</v>
      </c>
      <c r="BY1132">
        <f t="shared" si="1524"/>
        <v>4.500000000000004E-2</v>
      </c>
      <c r="BZ1132">
        <v>0</v>
      </c>
      <c r="CA1132">
        <v>0</v>
      </c>
      <c r="CB1132">
        <v>0</v>
      </c>
      <c r="CC1132">
        <v>0</v>
      </c>
      <c r="CD1132">
        <v>0</v>
      </c>
      <c r="CE1132">
        <v>0</v>
      </c>
      <c r="CF1132">
        <v>0</v>
      </c>
      <c r="CG1132">
        <v>0</v>
      </c>
      <c r="CH1132">
        <v>0</v>
      </c>
      <c r="CI1132">
        <v>0</v>
      </c>
      <c r="CJ1132">
        <v>0</v>
      </c>
      <c r="CK1132">
        <v>0</v>
      </c>
      <c r="CL1132">
        <v>0</v>
      </c>
      <c r="CM1132">
        <v>0</v>
      </c>
      <c r="CN1132" t="str">
        <f t="shared" si="1503"/>
        <v>refOK</v>
      </c>
      <c r="CO1132">
        <f t="shared" si="1504"/>
        <v>1</v>
      </c>
      <c r="CP1132">
        <f t="shared" si="1505"/>
        <v>1</v>
      </c>
      <c r="CQ1132">
        <f t="shared" si="1506"/>
        <v>1</v>
      </c>
      <c r="CR1132">
        <f t="shared" si="1507"/>
        <v>0.28399999999999997</v>
      </c>
      <c r="CS1132">
        <f t="shared" si="1508"/>
        <v>0.32900000000000001</v>
      </c>
      <c r="CT1132">
        <f t="shared" si="1509"/>
        <v>4.500000000000004E-2</v>
      </c>
      <c r="CU1132">
        <f t="shared" si="1510"/>
        <v>4.500000000000004E-2</v>
      </c>
      <c r="CV1132" s="2">
        <f t="shared" si="1511"/>
        <v>0.15845070422535226</v>
      </c>
      <c r="CW1132" s="1" t="s">
        <v>973</v>
      </c>
      <c r="CX1132" s="264" t="str">
        <f t="shared" si="1512"/>
        <v>loc</v>
      </c>
      <c r="CY1132" t="s">
        <v>264</v>
      </c>
      <c r="DB1132">
        <v>50</v>
      </c>
      <c r="DC1132" t="str">
        <f t="shared" si="1513"/>
        <v>31-70</v>
      </c>
      <c r="DD1132">
        <v>0</v>
      </c>
      <c r="DE1132">
        <v>0</v>
      </c>
      <c r="DF1132">
        <v>0</v>
      </c>
      <c r="DG1132">
        <v>1</v>
      </c>
      <c r="DH1132">
        <v>0</v>
      </c>
      <c r="DI1132">
        <f t="shared" si="1514"/>
        <v>1</v>
      </c>
      <c r="DJ1132" t="str">
        <f t="shared" si="1515"/>
        <v>TimberInput</v>
      </c>
      <c r="DK1132">
        <f t="shared" si="1516"/>
        <v>0</v>
      </c>
      <c r="DL1132">
        <f t="shared" si="1517"/>
        <v>0</v>
      </c>
      <c r="DM1132">
        <f t="shared" si="1518"/>
        <v>0</v>
      </c>
      <c r="DN1132" t="str">
        <f t="shared" si="1519"/>
        <v>Timber</v>
      </c>
      <c r="DO1132">
        <v>1</v>
      </c>
      <c r="DP1132">
        <v>0</v>
      </c>
      <c r="DQ1132">
        <v>0</v>
      </c>
      <c r="DR1132">
        <v>0</v>
      </c>
      <c r="DS1132">
        <v>0</v>
      </c>
      <c r="DT1132">
        <f t="shared" si="1520"/>
        <v>1</v>
      </c>
      <c r="DU1132" s="143" t="str">
        <f t="shared" si="1521"/>
        <v>self-calculated DF</v>
      </c>
      <c r="DV1132" s="143">
        <v>0</v>
      </c>
      <c r="DW1132" s="143">
        <v>0</v>
      </c>
      <c r="DX1132" s="143">
        <v>0</v>
      </c>
      <c r="DY1132" s="143">
        <v>0</v>
      </c>
      <c r="DZ1132">
        <v>0</v>
      </c>
      <c r="EA1132" s="143">
        <v>1</v>
      </c>
      <c r="EB1132" s="143">
        <v>0</v>
      </c>
      <c r="EC1132" s="143">
        <v>1</v>
      </c>
      <c r="ED1132" s="143">
        <v>0</v>
      </c>
      <c r="EE1132">
        <v>1</v>
      </c>
      <c r="EF1132">
        <v>0</v>
      </c>
      <c r="EG1132" s="143">
        <v>0</v>
      </c>
      <c r="EH1132" s="143">
        <v>0</v>
      </c>
      <c r="EI1132" s="2">
        <v>0</v>
      </c>
      <c r="EK1132" t="str">
        <f t="shared" si="1522"/>
        <v/>
      </c>
      <c r="EL1132" t="str">
        <f t="shared" si="1523"/>
        <v/>
      </c>
      <c r="EM1132" s="2" t="str">
        <f t="shared" ref="EM1132:EM1195" si="1525">IF(AND(AND(AND($DX1132=0,$DW1132=0),OR($EC1132=1,$EA1132=1)),SUM($EB1132:$EE1132)&gt;=2),"Technology approach","")</f>
        <v>Technology approach</v>
      </c>
      <c r="EN1132" t="s">
        <v>976</v>
      </c>
      <c r="EP1132" t="str">
        <f>IF(ISNUMBER(BU1132),IF(ABS(BU1132-[4]QC_indicators!$B$2)&gt;3*[4]QC_indicators!$C$2,"C ratio",IF(ISNUMBER(BY1132),IF(ABS(BY1132-[4]QC_indicators!$B$1)&gt;3*[4]QC_indicators!$C$1,"DF","no"))),IF(ISNUMBER(BY1132),IF(ABS(BY1132-[4]QC_indicators!$B$1)&gt;3*[4]QC_indicators!$C$1,"DF","no")))</f>
        <v>no</v>
      </c>
      <c r="ET1132" s="264" t="s">
        <v>3406</v>
      </c>
    </row>
    <row r="1133" spans="1:150" ht="15" hidden="1" customHeight="1">
      <c r="D1133" t="s">
        <v>962</v>
      </c>
      <c r="E1133" t="s">
        <v>963</v>
      </c>
      <c r="G1133" t="s">
        <v>964</v>
      </c>
      <c r="I1133">
        <v>2002</v>
      </c>
      <c r="K1133" s="295" t="s">
        <v>965</v>
      </c>
      <c r="M1133" t="str">
        <f t="shared" si="1430"/>
        <v>Petersen_2002</v>
      </c>
      <c r="N1133" t="s">
        <v>222</v>
      </c>
      <c r="O1133" s="171" t="s">
        <v>513</v>
      </c>
      <c r="P1133" s="141" t="s">
        <v>225</v>
      </c>
      <c r="Q1133" s="264" t="s">
        <v>389</v>
      </c>
      <c r="R1133" s="269" t="s">
        <v>1153</v>
      </c>
      <c r="S1133" s="263" t="s">
        <v>982</v>
      </c>
      <c r="T1133" s="149" t="s">
        <v>978</v>
      </c>
      <c r="U1133" s="264" t="s">
        <v>979</v>
      </c>
      <c r="V1133">
        <v>0</v>
      </c>
      <c r="W1133">
        <v>0</v>
      </c>
      <c r="X1133">
        <v>0</v>
      </c>
      <c r="Y1133">
        <v>0</v>
      </c>
      <c r="Z1133">
        <v>0</v>
      </c>
      <c r="AA1133">
        <v>0</v>
      </c>
      <c r="AB1133">
        <v>0</v>
      </c>
      <c r="AC1133">
        <v>0</v>
      </c>
      <c r="AD1133">
        <v>0</v>
      </c>
      <c r="AE1133">
        <v>0</v>
      </c>
      <c r="AF1133">
        <v>0</v>
      </c>
      <c r="AG1133">
        <v>0</v>
      </c>
      <c r="AH1133">
        <v>0</v>
      </c>
      <c r="AI1133">
        <v>0</v>
      </c>
      <c r="AJ1133">
        <v>0</v>
      </c>
      <c r="AK1133">
        <v>1</v>
      </c>
      <c r="AL1133">
        <v>0</v>
      </c>
      <c r="AM1133">
        <v>0</v>
      </c>
      <c r="AN1133">
        <v>0</v>
      </c>
      <c r="AO1133">
        <v>0</v>
      </c>
      <c r="AP1133">
        <v>0</v>
      </c>
      <c r="AQ1133">
        <v>0</v>
      </c>
      <c r="AR1133">
        <v>0</v>
      </c>
      <c r="AS1133">
        <v>0</v>
      </c>
      <c r="AT1133">
        <v>0</v>
      </c>
      <c r="AU1133">
        <v>0</v>
      </c>
      <c r="AV1133">
        <v>0</v>
      </c>
      <c r="AW1133">
        <v>0</v>
      </c>
      <c r="AX1133" s="141">
        <f t="shared" si="1493"/>
        <v>1</v>
      </c>
      <c r="AY1133" s="141">
        <f t="shared" si="1494"/>
        <v>1</v>
      </c>
      <c r="AZ1133">
        <f t="shared" si="1495"/>
        <v>0</v>
      </c>
      <c r="BA1133">
        <f t="shared" si="1496"/>
        <v>0</v>
      </c>
      <c r="BB1133">
        <f t="shared" si="1497"/>
        <v>1</v>
      </c>
      <c r="BC1133">
        <f t="shared" si="1498"/>
        <v>0</v>
      </c>
      <c r="BD1133">
        <f t="shared" si="1499"/>
        <v>0</v>
      </c>
      <c r="BE1133" t="str" cm="1">
        <f t="array" ref="BE1133">IF(AY1133=1,INDEX($V$7:$AL$7,MATCH(TRUE,INDEX($V1133:$AW1133&lt;&gt;0,),0)),IF(AY1133=0,INDEX($AM$7:$AW$7,MATCH(1,$AM1133:$AW1133,0)),IF(BF1133="Multiple strategies","mixed drivers",IF(BF1133="Supply chain","multiple supply","multiple silviculture"))))</f>
        <v>technologies/design switch</v>
      </c>
      <c r="BF1133" s="2" t="str" cm="1">
        <f t="array" ref="BF1133">IF(COUNTIF(AZ1133:BB1133,"&lt;&gt;0")=1,INDEX($V$4:$AW$4,MATCH(TRUE,INDEX($V1133:$AW1133&lt;&gt;0,),0)),IF(COUNTIF(AZ1133:BB1133,"&lt;&gt;0")=0,INDEX($AM$4:$AW$4,MATCH(1,$AM1133:$AW1133,0)),"Multiple strategies"))</f>
        <v>Technology</v>
      </c>
      <c r="BG1133" s="142" t="s">
        <v>229</v>
      </c>
      <c r="BH1133" t="s">
        <v>969</v>
      </c>
      <c r="BI1133" t="s">
        <v>970</v>
      </c>
      <c r="BJ1133" t="s">
        <v>498</v>
      </c>
      <c r="BK1133">
        <v>0</v>
      </c>
      <c r="BL1133">
        <v>1</v>
      </c>
      <c r="BM1133" t="str">
        <f t="shared" si="1500"/>
        <v/>
      </c>
      <c r="BN1133">
        <f t="shared" si="1501"/>
        <v>1</v>
      </c>
      <c r="BO1133">
        <v>1</v>
      </c>
      <c r="BP1133" t="s">
        <v>232</v>
      </c>
      <c r="BQ1133" t="s">
        <v>971</v>
      </c>
      <c r="BR1133" s="264" t="s">
        <v>972</v>
      </c>
      <c r="BV1133">
        <v>0.312</v>
      </c>
      <c r="BX1133">
        <f t="shared" si="1502"/>
        <v>0.312</v>
      </c>
      <c r="BY1133">
        <f t="shared" si="1524"/>
        <v>0.312</v>
      </c>
      <c r="BZ1133">
        <v>0</v>
      </c>
      <c r="CA1133">
        <v>0</v>
      </c>
      <c r="CB1133">
        <v>0</v>
      </c>
      <c r="CC1133">
        <v>0</v>
      </c>
      <c r="CD1133">
        <v>0</v>
      </c>
      <c r="CE1133">
        <v>0</v>
      </c>
      <c r="CF1133">
        <v>0</v>
      </c>
      <c r="CG1133">
        <v>0</v>
      </c>
      <c r="CH1133">
        <v>0</v>
      </c>
      <c r="CI1133">
        <v>0</v>
      </c>
      <c r="CJ1133">
        <v>0</v>
      </c>
      <c r="CK1133">
        <v>0</v>
      </c>
      <c r="CL1133">
        <v>0</v>
      </c>
      <c r="CM1133">
        <v>0</v>
      </c>
      <c r="CN1133" t="str">
        <f t="shared" si="1503"/>
        <v>refOK</v>
      </c>
      <c r="CO1133">
        <f t="shared" si="1504"/>
        <v>0</v>
      </c>
      <c r="CP1133">
        <f t="shared" si="1505"/>
        <v>1</v>
      </c>
      <c r="CQ1133">
        <f t="shared" si="1506"/>
        <v>1</v>
      </c>
      <c r="CR1133">
        <f t="shared" si="1507"/>
        <v>0</v>
      </c>
      <c r="CS1133">
        <f t="shared" si="1508"/>
        <v>0</v>
      </c>
      <c r="CT1133">
        <f t="shared" si="1509"/>
        <v>0.312</v>
      </c>
      <c r="CU1133">
        <f t="shared" si="1510"/>
        <v>0.312</v>
      </c>
      <c r="CV1133" s="2" t="str">
        <f t="shared" si="1511"/>
        <v/>
      </c>
      <c r="CW1133" s="1" t="s">
        <v>973</v>
      </c>
      <c r="CX1133" s="264" t="str">
        <f t="shared" si="1512"/>
        <v>loc</v>
      </c>
      <c r="CY1133" t="s">
        <v>264</v>
      </c>
      <c r="DB1133">
        <v>50</v>
      </c>
      <c r="DC1133" t="str">
        <f t="shared" si="1513"/>
        <v>31-70</v>
      </c>
      <c r="DD1133">
        <v>0</v>
      </c>
      <c r="DE1133">
        <v>0</v>
      </c>
      <c r="DF1133">
        <v>0</v>
      </c>
      <c r="DG1133">
        <v>1</v>
      </c>
      <c r="DH1133">
        <v>0</v>
      </c>
      <c r="DI1133">
        <f t="shared" si="1514"/>
        <v>1</v>
      </c>
      <c r="DJ1133" t="str">
        <f t="shared" si="1515"/>
        <v>TimberInput</v>
      </c>
      <c r="DK1133">
        <f t="shared" si="1516"/>
        <v>0</v>
      </c>
      <c r="DL1133">
        <f t="shared" si="1517"/>
        <v>0</v>
      </c>
      <c r="DM1133">
        <f t="shared" si="1518"/>
        <v>0</v>
      </c>
      <c r="DN1133" t="str">
        <f t="shared" si="1519"/>
        <v>Timber</v>
      </c>
      <c r="DO1133">
        <v>1</v>
      </c>
      <c r="DP1133">
        <v>0</v>
      </c>
      <c r="DQ1133">
        <v>0</v>
      </c>
      <c r="DR1133">
        <v>0</v>
      </c>
      <c r="DS1133">
        <v>0</v>
      </c>
      <c r="DT1133">
        <f t="shared" si="1520"/>
        <v>1</v>
      </c>
      <c r="DU1133" s="143" t="str">
        <f t="shared" si="1521"/>
        <v>self-calculated DF</v>
      </c>
      <c r="DV1133" s="143">
        <v>0</v>
      </c>
      <c r="DW1133" s="143">
        <v>0</v>
      </c>
      <c r="DX1133" s="143">
        <v>0</v>
      </c>
      <c r="DY1133" s="143">
        <v>0</v>
      </c>
      <c r="DZ1133">
        <v>0</v>
      </c>
      <c r="EA1133" s="143">
        <v>1</v>
      </c>
      <c r="EB1133" s="143">
        <v>0</v>
      </c>
      <c r="EC1133" s="143">
        <v>1</v>
      </c>
      <c r="ED1133" s="143">
        <v>0</v>
      </c>
      <c r="EE1133">
        <v>1</v>
      </c>
      <c r="EF1133">
        <v>0</v>
      </c>
      <c r="EG1133" s="143">
        <v>0</v>
      </c>
      <c r="EH1133" s="143">
        <v>0</v>
      </c>
      <c r="EI1133" s="2">
        <v>0</v>
      </c>
      <c r="EK1133" t="str">
        <f t="shared" si="1522"/>
        <v/>
      </c>
      <c r="EL1133" t="str">
        <f t="shared" si="1523"/>
        <v/>
      </c>
      <c r="EM1133" s="2" t="str">
        <f t="shared" si="1525"/>
        <v>Technology approach</v>
      </c>
      <c r="EN1133" t="s">
        <v>983</v>
      </c>
      <c r="EP1133" t="str">
        <f>IF(ISNUMBER(BU1133),IF(ABS(BU1133-[4]QC_indicators!$B$2)&gt;3*[4]QC_indicators!$C$2,"C ratio",IF(ISNUMBER(BY1133),IF(ABS(BY1133-[4]QC_indicators!$B$1)&gt;3*[4]QC_indicators!$C$1,"DF","no"))),IF(ISNUMBER(BY1133),IF(ABS(BY1133-[4]QC_indicators!$B$1)&gt;3*[4]QC_indicators!$C$1,"DF","no")))</f>
        <v>no</v>
      </c>
      <c r="ET1133" s="264" t="s">
        <v>3406</v>
      </c>
    </row>
    <row r="1134" spans="1:150" ht="15" hidden="1" customHeight="1">
      <c r="D1134" t="s">
        <v>962</v>
      </c>
      <c r="E1134" t="s">
        <v>963</v>
      </c>
      <c r="G1134" t="s">
        <v>964</v>
      </c>
      <c r="I1134">
        <v>2002</v>
      </c>
      <c r="K1134" s="295" t="s">
        <v>965</v>
      </c>
      <c r="M1134" t="str">
        <f t="shared" si="1430"/>
        <v>Petersen_2002</v>
      </c>
      <c r="N1134" t="s">
        <v>222</v>
      </c>
      <c r="O1134" s="171" t="s">
        <v>513</v>
      </c>
      <c r="P1134" s="141" t="s">
        <v>225</v>
      </c>
      <c r="Q1134" s="264" t="s">
        <v>389</v>
      </c>
      <c r="R1134" s="269" t="s">
        <v>1153</v>
      </c>
      <c r="S1134" s="263" t="s">
        <v>984</v>
      </c>
      <c r="T1134" s="264" t="s">
        <v>978</v>
      </c>
      <c r="U1134" s="264" t="s">
        <v>979</v>
      </c>
      <c r="V1134">
        <v>0</v>
      </c>
      <c r="W1134">
        <v>0</v>
      </c>
      <c r="X1134">
        <v>0</v>
      </c>
      <c r="Y1134">
        <v>0</v>
      </c>
      <c r="Z1134">
        <v>0</v>
      </c>
      <c r="AA1134">
        <v>0</v>
      </c>
      <c r="AB1134">
        <v>0</v>
      </c>
      <c r="AC1134">
        <v>0</v>
      </c>
      <c r="AD1134">
        <v>0</v>
      </c>
      <c r="AE1134">
        <v>0</v>
      </c>
      <c r="AF1134">
        <v>0</v>
      </c>
      <c r="AG1134">
        <v>0</v>
      </c>
      <c r="AH1134">
        <v>0</v>
      </c>
      <c r="AI1134">
        <v>0</v>
      </c>
      <c r="AJ1134">
        <v>0</v>
      </c>
      <c r="AK1134">
        <v>1</v>
      </c>
      <c r="AL1134">
        <v>0</v>
      </c>
      <c r="AM1134">
        <v>0</v>
      </c>
      <c r="AN1134">
        <v>0</v>
      </c>
      <c r="AO1134">
        <v>0</v>
      </c>
      <c r="AP1134">
        <v>0</v>
      </c>
      <c r="AQ1134">
        <v>0</v>
      </c>
      <c r="AR1134">
        <v>0</v>
      </c>
      <c r="AS1134">
        <v>0</v>
      </c>
      <c r="AT1134">
        <v>0</v>
      </c>
      <c r="AU1134">
        <v>0</v>
      </c>
      <c r="AV1134">
        <v>0</v>
      </c>
      <c r="AW1134">
        <v>0</v>
      </c>
      <c r="AX1134" s="141">
        <f t="shared" si="1493"/>
        <v>1</v>
      </c>
      <c r="AY1134" s="141">
        <f t="shared" si="1494"/>
        <v>1</v>
      </c>
      <c r="AZ1134">
        <f t="shared" si="1495"/>
        <v>0</v>
      </c>
      <c r="BA1134">
        <f t="shared" si="1496"/>
        <v>0</v>
      </c>
      <c r="BB1134">
        <f t="shared" si="1497"/>
        <v>1</v>
      </c>
      <c r="BC1134">
        <f t="shared" si="1498"/>
        <v>0</v>
      </c>
      <c r="BD1134">
        <f t="shared" si="1499"/>
        <v>0</v>
      </c>
      <c r="BE1134" t="str" cm="1">
        <f t="array" ref="BE1134">IF(AY1134=1,INDEX($V$7:$AL$7,MATCH(TRUE,INDEX($V1134:$AW1134&lt;&gt;0,),0)),IF(AY1134=0,INDEX($AM$7:$AW$7,MATCH(1,$AM1134:$AW1134,0)),IF(BF1134="Multiple strategies","mixed drivers",IF(BF1134="Supply chain","multiple supply","multiple silviculture"))))</f>
        <v>technologies/design switch</v>
      </c>
      <c r="BF1134" s="2" t="str" cm="1">
        <f t="array" ref="BF1134">IF(COUNTIF(AZ1134:BB1134,"&lt;&gt;0")=1,INDEX($V$4:$AW$4,MATCH(TRUE,INDEX($V1134:$AW1134&lt;&gt;0,),0)),IF(COUNTIF(AZ1134:BB1134,"&lt;&gt;0")=0,INDEX($AM$4:$AW$4,MATCH(1,$AM1134:$AW1134,0)),"Multiple strategies"))</f>
        <v>Technology</v>
      </c>
      <c r="BG1134" s="142" t="s">
        <v>229</v>
      </c>
      <c r="BH1134" t="s">
        <v>969</v>
      </c>
      <c r="BI1134" t="s">
        <v>970</v>
      </c>
      <c r="BJ1134" t="s">
        <v>498</v>
      </c>
      <c r="BK1134">
        <v>0</v>
      </c>
      <c r="BL1134">
        <v>1</v>
      </c>
      <c r="BM1134" t="str">
        <f t="shared" si="1500"/>
        <v/>
      </c>
      <c r="BN1134">
        <f t="shared" si="1501"/>
        <v>1</v>
      </c>
      <c r="BO1134">
        <v>1</v>
      </c>
      <c r="BP1134" t="s">
        <v>232</v>
      </c>
      <c r="BQ1134" t="s">
        <v>971</v>
      </c>
      <c r="BR1134" s="264" t="s">
        <v>972</v>
      </c>
      <c r="BV1134">
        <v>0.438</v>
      </c>
      <c r="BX1134">
        <f t="shared" si="1502"/>
        <v>0.438</v>
      </c>
      <c r="BY1134">
        <f t="shared" si="1524"/>
        <v>0.438</v>
      </c>
      <c r="BZ1134">
        <v>0</v>
      </c>
      <c r="CA1134">
        <v>0</v>
      </c>
      <c r="CB1134">
        <v>0</v>
      </c>
      <c r="CC1134">
        <v>0</v>
      </c>
      <c r="CD1134">
        <v>0</v>
      </c>
      <c r="CE1134">
        <v>0</v>
      </c>
      <c r="CF1134">
        <v>0</v>
      </c>
      <c r="CG1134">
        <v>0</v>
      </c>
      <c r="CH1134">
        <v>0</v>
      </c>
      <c r="CI1134">
        <v>0</v>
      </c>
      <c r="CJ1134">
        <v>0</v>
      </c>
      <c r="CK1134">
        <v>0</v>
      </c>
      <c r="CL1134">
        <v>0</v>
      </c>
      <c r="CM1134">
        <v>0</v>
      </c>
      <c r="CN1134" t="str">
        <f t="shared" si="1503"/>
        <v>refOK</v>
      </c>
      <c r="CO1134">
        <f t="shared" si="1504"/>
        <v>0</v>
      </c>
      <c r="CP1134">
        <f t="shared" si="1505"/>
        <v>1</v>
      </c>
      <c r="CQ1134">
        <f t="shared" si="1506"/>
        <v>1</v>
      </c>
      <c r="CR1134">
        <f t="shared" si="1507"/>
        <v>0</v>
      </c>
      <c r="CS1134">
        <f t="shared" si="1508"/>
        <v>0</v>
      </c>
      <c r="CT1134">
        <f t="shared" si="1509"/>
        <v>0.438</v>
      </c>
      <c r="CU1134">
        <f t="shared" si="1510"/>
        <v>0.438</v>
      </c>
      <c r="CV1134" s="2" t="str">
        <f t="shared" si="1511"/>
        <v/>
      </c>
      <c r="CW1134" s="1" t="s">
        <v>973</v>
      </c>
      <c r="CX1134" s="264" t="str">
        <f t="shared" si="1512"/>
        <v>loc</v>
      </c>
      <c r="CY1134" t="s">
        <v>264</v>
      </c>
      <c r="DB1134">
        <v>50</v>
      </c>
      <c r="DC1134" t="str">
        <f t="shared" si="1513"/>
        <v>31-70</v>
      </c>
      <c r="DD1134">
        <v>0</v>
      </c>
      <c r="DE1134">
        <v>0</v>
      </c>
      <c r="DF1134">
        <v>0</v>
      </c>
      <c r="DG1134">
        <v>1</v>
      </c>
      <c r="DH1134">
        <v>0</v>
      </c>
      <c r="DI1134">
        <f t="shared" si="1514"/>
        <v>1</v>
      </c>
      <c r="DJ1134" t="str">
        <f t="shared" si="1515"/>
        <v>TimberInput</v>
      </c>
      <c r="DK1134">
        <f t="shared" si="1516"/>
        <v>0</v>
      </c>
      <c r="DL1134">
        <f t="shared" si="1517"/>
        <v>0</v>
      </c>
      <c r="DM1134">
        <f t="shared" si="1518"/>
        <v>0</v>
      </c>
      <c r="DN1134" t="str">
        <f t="shared" si="1519"/>
        <v>Timber</v>
      </c>
      <c r="DO1134">
        <v>1</v>
      </c>
      <c r="DP1134">
        <v>0</v>
      </c>
      <c r="DQ1134">
        <v>0</v>
      </c>
      <c r="DR1134">
        <v>0</v>
      </c>
      <c r="DS1134">
        <v>0</v>
      </c>
      <c r="DT1134">
        <f t="shared" si="1520"/>
        <v>1</v>
      </c>
      <c r="DU1134" s="143" t="str">
        <f t="shared" si="1521"/>
        <v>self-calculated DF</v>
      </c>
      <c r="DV1134" s="143">
        <v>0</v>
      </c>
      <c r="DW1134" s="143">
        <v>0</v>
      </c>
      <c r="DX1134" s="143">
        <v>0</v>
      </c>
      <c r="DY1134" s="143">
        <v>0</v>
      </c>
      <c r="DZ1134">
        <v>0</v>
      </c>
      <c r="EA1134" s="143">
        <v>1</v>
      </c>
      <c r="EB1134" s="143">
        <v>0</v>
      </c>
      <c r="EC1134" s="143">
        <v>1</v>
      </c>
      <c r="ED1134" s="143">
        <v>0</v>
      </c>
      <c r="EE1134">
        <v>1</v>
      </c>
      <c r="EF1134">
        <v>0</v>
      </c>
      <c r="EG1134" s="143">
        <v>0</v>
      </c>
      <c r="EH1134" s="143">
        <v>0</v>
      </c>
      <c r="EI1134" s="2">
        <v>0</v>
      </c>
      <c r="EK1134" t="str">
        <f t="shared" si="1522"/>
        <v/>
      </c>
      <c r="EL1134" t="str">
        <f t="shared" si="1523"/>
        <v/>
      </c>
      <c r="EM1134" s="2" t="str">
        <f t="shared" si="1525"/>
        <v>Technology approach</v>
      </c>
      <c r="EN1134" t="s">
        <v>976</v>
      </c>
      <c r="EP1134" t="str">
        <f>IF(ISNUMBER(BU1134),IF(ABS(BU1134-[4]QC_indicators!$B$2)&gt;3*[4]QC_indicators!$C$2,"C ratio",IF(ISNUMBER(BY1134),IF(ABS(BY1134-[4]QC_indicators!$B$1)&gt;3*[4]QC_indicators!$C$1,"DF","no"))),IF(ISNUMBER(BY1134),IF(ABS(BY1134-[4]QC_indicators!$B$1)&gt;3*[4]QC_indicators!$C$1,"DF","no")))</f>
        <v>no</v>
      </c>
      <c r="ET1134" s="264" t="s">
        <v>3406</v>
      </c>
    </row>
    <row r="1135" spans="1:150" ht="15" hidden="1" customHeight="1">
      <c r="D1135" t="s">
        <v>962</v>
      </c>
      <c r="E1135" t="s">
        <v>963</v>
      </c>
      <c r="G1135" t="s">
        <v>964</v>
      </c>
      <c r="I1135">
        <v>2002</v>
      </c>
      <c r="K1135" s="295" t="s">
        <v>965</v>
      </c>
      <c r="M1135" t="str">
        <f t="shared" si="1430"/>
        <v>Petersen_2002</v>
      </c>
      <c r="N1135" t="s">
        <v>222</v>
      </c>
      <c r="O1135" s="171" t="s">
        <v>513</v>
      </c>
      <c r="P1135" s="141" t="s">
        <v>225</v>
      </c>
      <c r="Q1135" s="264" t="s">
        <v>389</v>
      </c>
      <c r="R1135" s="269" t="s">
        <v>1153</v>
      </c>
      <c r="S1135" s="1" t="s">
        <v>985</v>
      </c>
      <c r="T1135" s="264" t="s">
        <v>978</v>
      </c>
      <c r="U1135" s="264" t="s">
        <v>979</v>
      </c>
      <c r="V1135">
        <v>0</v>
      </c>
      <c r="W1135">
        <v>0</v>
      </c>
      <c r="X1135">
        <v>0</v>
      </c>
      <c r="Y1135">
        <v>0</v>
      </c>
      <c r="Z1135">
        <v>0</v>
      </c>
      <c r="AA1135">
        <v>0</v>
      </c>
      <c r="AB1135">
        <v>0</v>
      </c>
      <c r="AC1135">
        <v>0</v>
      </c>
      <c r="AD1135">
        <v>0</v>
      </c>
      <c r="AE1135">
        <v>0</v>
      </c>
      <c r="AF1135">
        <v>0</v>
      </c>
      <c r="AG1135">
        <v>0</v>
      </c>
      <c r="AH1135">
        <v>0</v>
      </c>
      <c r="AI1135">
        <v>0</v>
      </c>
      <c r="AJ1135">
        <v>0</v>
      </c>
      <c r="AK1135">
        <v>1</v>
      </c>
      <c r="AL1135">
        <v>0</v>
      </c>
      <c r="AM1135">
        <v>0</v>
      </c>
      <c r="AN1135">
        <v>0</v>
      </c>
      <c r="AO1135">
        <v>0</v>
      </c>
      <c r="AP1135">
        <v>0</v>
      </c>
      <c r="AQ1135">
        <v>0</v>
      </c>
      <c r="AR1135">
        <v>0</v>
      </c>
      <c r="AS1135">
        <v>0</v>
      </c>
      <c r="AT1135">
        <v>0</v>
      </c>
      <c r="AU1135">
        <v>0</v>
      </c>
      <c r="AV1135">
        <v>0</v>
      </c>
      <c r="AW1135">
        <v>0</v>
      </c>
      <c r="AX1135" s="141">
        <f t="shared" si="1493"/>
        <v>1</v>
      </c>
      <c r="AY1135" s="141">
        <f t="shared" si="1494"/>
        <v>1</v>
      </c>
      <c r="AZ1135">
        <f t="shared" si="1495"/>
        <v>0</v>
      </c>
      <c r="BA1135">
        <f t="shared" si="1496"/>
        <v>0</v>
      </c>
      <c r="BB1135">
        <f t="shared" si="1497"/>
        <v>1</v>
      </c>
      <c r="BC1135">
        <f t="shared" si="1498"/>
        <v>0</v>
      </c>
      <c r="BD1135">
        <f t="shared" si="1499"/>
        <v>0</v>
      </c>
      <c r="BE1135" t="str" cm="1">
        <f t="array" ref="BE1135">IF(AY1135=1,INDEX($V$7:$AL$7,MATCH(TRUE,INDEX($V1135:$AW1135&lt;&gt;0,),0)),IF(AY1135=0,INDEX($AM$7:$AW$7,MATCH(1,$AM1135:$AW1135,0)),IF(BF1135="Multiple strategies","mixed drivers",IF(BF1135="Supply chain","multiple supply","multiple silviculture"))))</f>
        <v>technologies/design switch</v>
      </c>
      <c r="BF1135" s="2" t="str" cm="1">
        <f t="array" ref="BF1135">IF(COUNTIF(AZ1135:BB1135,"&lt;&gt;0")=1,INDEX($V$4:$AW$4,MATCH(TRUE,INDEX($V1135:$AW1135&lt;&gt;0,),0)),IF(COUNTIF(AZ1135:BB1135,"&lt;&gt;0")=0,INDEX($AM$4:$AW$4,MATCH(1,$AM1135:$AW1135,0)),"Multiple strategies"))</f>
        <v>Technology</v>
      </c>
      <c r="BG1135" s="142" t="s">
        <v>229</v>
      </c>
      <c r="BH1135" t="s">
        <v>969</v>
      </c>
      <c r="BI1135" t="s">
        <v>970</v>
      </c>
      <c r="BJ1135" t="s">
        <v>498</v>
      </c>
      <c r="BK1135">
        <v>0</v>
      </c>
      <c r="BL1135">
        <v>1</v>
      </c>
      <c r="BM1135" t="str">
        <f t="shared" si="1500"/>
        <v/>
      </c>
      <c r="BN1135">
        <f t="shared" si="1501"/>
        <v>1</v>
      </c>
      <c r="BO1135">
        <v>1</v>
      </c>
      <c r="BP1135" t="s">
        <v>232</v>
      </c>
      <c r="BQ1135" t="s">
        <v>971</v>
      </c>
      <c r="BR1135" s="264" t="s">
        <v>972</v>
      </c>
      <c r="BV1135">
        <v>0.52300000000000002</v>
      </c>
      <c r="BX1135">
        <f t="shared" si="1502"/>
        <v>0.52300000000000002</v>
      </c>
      <c r="BY1135">
        <f t="shared" si="1524"/>
        <v>0.52300000000000002</v>
      </c>
      <c r="BZ1135">
        <v>0</v>
      </c>
      <c r="CA1135">
        <v>0</v>
      </c>
      <c r="CB1135">
        <v>0</v>
      </c>
      <c r="CC1135">
        <v>0</v>
      </c>
      <c r="CD1135">
        <v>0</v>
      </c>
      <c r="CE1135">
        <v>0</v>
      </c>
      <c r="CF1135">
        <v>0</v>
      </c>
      <c r="CG1135">
        <v>0</v>
      </c>
      <c r="CH1135">
        <v>0</v>
      </c>
      <c r="CI1135">
        <v>0</v>
      </c>
      <c r="CJ1135">
        <v>0</v>
      </c>
      <c r="CK1135">
        <v>0</v>
      </c>
      <c r="CL1135">
        <v>0</v>
      </c>
      <c r="CM1135">
        <v>0</v>
      </c>
      <c r="CN1135" t="str">
        <f t="shared" si="1503"/>
        <v>refOK</v>
      </c>
      <c r="CO1135">
        <f t="shared" si="1504"/>
        <v>0</v>
      </c>
      <c r="CP1135">
        <f t="shared" si="1505"/>
        <v>1</v>
      </c>
      <c r="CQ1135">
        <f t="shared" si="1506"/>
        <v>1</v>
      </c>
      <c r="CR1135">
        <f t="shared" si="1507"/>
        <v>0</v>
      </c>
      <c r="CS1135">
        <f t="shared" si="1508"/>
        <v>0</v>
      </c>
      <c r="CT1135">
        <f t="shared" si="1509"/>
        <v>0.52300000000000002</v>
      </c>
      <c r="CU1135">
        <f t="shared" si="1510"/>
        <v>0.52300000000000002</v>
      </c>
      <c r="CV1135" s="2" t="str">
        <f t="shared" si="1511"/>
        <v/>
      </c>
      <c r="CW1135" s="1" t="s">
        <v>973</v>
      </c>
      <c r="CX1135" s="264" t="str">
        <f t="shared" si="1512"/>
        <v>loc</v>
      </c>
      <c r="CY1135" t="s">
        <v>264</v>
      </c>
      <c r="DB1135">
        <v>50</v>
      </c>
      <c r="DC1135" t="str">
        <f t="shared" si="1513"/>
        <v>31-70</v>
      </c>
      <c r="DD1135">
        <v>0</v>
      </c>
      <c r="DE1135">
        <v>0</v>
      </c>
      <c r="DF1135">
        <v>0</v>
      </c>
      <c r="DG1135">
        <v>1</v>
      </c>
      <c r="DH1135">
        <v>0</v>
      </c>
      <c r="DI1135">
        <f t="shared" si="1514"/>
        <v>1</v>
      </c>
      <c r="DJ1135" t="str">
        <f t="shared" si="1515"/>
        <v>TimberInput</v>
      </c>
      <c r="DK1135">
        <f t="shared" si="1516"/>
        <v>0</v>
      </c>
      <c r="DL1135">
        <f t="shared" si="1517"/>
        <v>0</v>
      </c>
      <c r="DM1135">
        <f t="shared" si="1518"/>
        <v>0</v>
      </c>
      <c r="DN1135" t="str">
        <f t="shared" si="1519"/>
        <v>Timber</v>
      </c>
      <c r="DO1135">
        <v>1</v>
      </c>
      <c r="DP1135">
        <v>0</v>
      </c>
      <c r="DQ1135">
        <v>0</v>
      </c>
      <c r="DR1135">
        <v>0</v>
      </c>
      <c r="DS1135">
        <v>0</v>
      </c>
      <c r="DT1135">
        <f t="shared" si="1520"/>
        <v>1</v>
      </c>
      <c r="DU1135" s="143" t="str">
        <f t="shared" si="1521"/>
        <v>self-calculated DF</v>
      </c>
      <c r="DV1135" s="143">
        <v>0</v>
      </c>
      <c r="DW1135" s="143">
        <v>0</v>
      </c>
      <c r="DX1135" s="143">
        <v>0</v>
      </c>
      <c r="DY1135" s="143">
        <v>0</v>
      </c>
      <c r="DZ1135">
        <v>0</v>
      </c>
      <c r="EA1135" s="143">
        <v>1</v>
      </c>
      <c r="EB1135" s="143">
        <v>0</v>
      </c>
      <c r="EC1135" s="143">
        <v>1</v>
      </c>
      <c r="ED1135" s="143">
        <v>0</v>
      </c>
      <c r="EE1135">
        <v>1</v>
      </c>
      <c r="EF1135">
        <v>0</v>
      </c>
      <c r="EG1135" s="143">
        <v>0</v>
      </c>
      <c r="EH1135" s="143">
        <v>0</v>
      </c>
      <c r="EI1135" s="2">
        <v>0</v>
      </c>
      <c r="EK1135" t="str">
        <f t="shared" si="1522"/>
        <v/>
      </c>
      <c r="EL1135" t="str">
        <f t="shared" si="1523"/>
        <v/>
      </c>
      <c r="EM1135" s="2" t="str">
        <f t="shared" si="1525"/>
        <v>Technology approach</v>
      </c>
      <c r="EN1135" t="s">
        <v>986</v>
      </c>
      <c r="EP1135" t="str">
        <f>IF(ISNUMBER(BU1135),IF(ABS(BU1135-[4]QC_indicators!$B$2)&gt;3*[4]QC_indicators!$C$2,"C ratio",IF(ISNUMBER(BY1135),IF(ABS(BY1135-[4]QC_indicators!$B$1)&gt;3*[4]QC_indicators!$C$1,"DF","no"))),IF(ISNUMBER(BY1135),IF(ABS(BY1135-[4]QC_indicators!$B$1)&gt;3*[4]QC_indicators!$C$1,"DF","no")))</f>
        <v>no</v>
      </c>
      <c r="ET1135" s="264" t="s">
        <v>3406</v>
      </c>
    </row>
    <row r="1136" spans="1:150" ht="15" hidden="1" customHeight="1">
      <c r="D1136" t="s">
        <v>962</v>
      </c>
      <c r="E1136" t="s">
        <v>987</v>
      </c>
      <c r="G1136" t="s">
        <v>693</v>
      </c>
      <c r="I1136">
        <v>2003</v>
      </c>
      <c r="K1136" s="295" t="s">
        <v>988</v>
      </c>
      <c r="M1136" t="str">
        <f t="shared" si="1430"/>
        <v>Petersen_2003</v>
      </c>
      <c r="N1136" t="s">
        <v>222</v>
      </c>
      <c r="O1136" s="171" t="s">
        <v>513</v>
      </c>
      <c r="P1136" s="141" t="s">
        <v>225</v>
      </c>
      <c r="Q1136" s="264" t="s">
        <v>389</v>
      </c>
      <c r="R1136" s="269" t="s">
        <v>1153</v>
      </c>
      <c r="S1136" s="263" t="s">
        <v>995</v>
      </c>
      <c r="T1136" s="264" t="s">
        <v>996</v>
      </c>
      <c r="U1136">
        <v>90</v>
      </c>
      <c r="V1136">
        <v>0</v>
      </c>
      <c r="W1136">
        <v>0</v>
      </c>
      <c r="X1136">
        <v>0</v>
      </c>
      <c r="Y1136">
        <v>0</v>
      </c>
      <c r="Z1136">
        <v>0</v>
      </c>
      <c r="AA1136">
        <v>0</v>
      </c>
      <c r="AB1136">
        <v>0</v>
      </c>
      <c r="AC1136">
        <v>0</v>
      </c>
      <c r="AD1136">
        <v>0</v>
      </c>
      <c r="AE1136">
        <v>0</v>
      </c>
      <c r="AF1136">
        <v>0</v>
      </c>
      <c r="AG1136">
        <v>0</v>
      </c>
      <c r="AH1136">
        <v>0</v>
      </c>
      <c r="AI1136">
        <v>1</v>
      </c>
      <c r="AJ1136">
        <v>0</v>
      </c>
      <c r="AK1136">
        <v>0</v>
      </c>
      <c r="AL1136">
        <v>0</v>
      </c>
      <c r="AM1136">
        <v>0</v>
      </c>
      <c r="AN1136">
        <v>0</v>
      </c>
      <c r="AO1136">
        <v>0</v>
      </c>
      <c r="AP1136">
        <v>0</v>
      </c>
      <c r="AQ1136">
        <v>0</v>
      </c>
      <c r="AR1136">
        <v>0</v>
      </c>
      <c r="AS1136">
        <v>0</v>
      </c>
      <c r="AT1136">
        <v>0</v>
      </c>
      <c r="AU1136">
        <v>0</v>
      </c>
      <c r="AV1136">
        <v>0</v>
      </c>
      <c r="AW1136">
        <v>0</v>
      </c>
      <c r="AX1136" s="141">
        <f t="shared" si="1493"/>
        <v>1</v>
      </c>
      <c r="AY1136" s="141">
        <f t="shared" si="1494"/>
        <v>1</v>
      </c>
      <c r="AZ1136">
        <f t="shared" si="1495"/>
        <v>0</v>
      </c>
      <c r="BA1136">
        <f t="shared" si="1496"/>
        <v>1</v>
      </c>
      <c r="BB1136">
        <f t="shared" si="1497"/>
        <v>0</v>
      </c>
      <c r="BC1136">
        <f t="shared" si="1498"/>
        <v>0</v>
      </c>
      <c r="BD1136">
        <f t="shared" si="1499"/>
        <v>0</v>
      </c>
      <c r="BE1136" t="str" cm="1">
        <f t="array" ref="BE1136">IF(AY1136=1,INDEX($V$7:$AL$7,MATCH(TRUE,INDEX($V1136:$AW1136&lt;&gt;0,),0)),IF(AY1136=0,INDEX($AM$7:$AW$7,MATCH(1,$AM1136:$AW1136,0)),IF(BF1136="Multiple strategies","mixed drivers",IF(BF1136="Supply chain","multiple supply","multiple silviculture"))))</f>
        <v>products lifespan</v>
      </c>
      <c r="BF1136" s="2" t="str" cm="1">
        <f t="array" ref="BF1136">IF(COUNTIF(AZ1136:BB1136,"&lt;&gt;0")=1,INDEX($V$4:$AW$4,MATCH(TRUE,INDEX($V1136:$AW1136&lt;&gt;0,),0)),IF(COUNTIF(AZ1136:BB1136,"&lt;&gt;0")=0,INDEX($AM$4:$AW$4,MATCH(1,$AM1136:$AW1136,0)),"Multiple strategies"))</f>
        <v>Supply chain</v>
      </c>
      <c r="BG1136" s="142" t="s">
        <v>229</v>
      </c>
      <c r="BH1136" t="s">
        <v>969</v>
      </c>
      <c r="BI1136" t="s">
        <v>992</v>
      </c>
      <c r="BJ1136" t="s">
        <v>498</v>
      </c>
      <c r="BK1136">
        <v>1</v>
      </c>
      <c r="BL1136">
        <v>1</v>
      </c>
      <c r="BM1136">
        <f t="shared" si="1500"/>
        <v>1</v>
      </c>
      <c r="BN1136">
        <f t="shared" si="1501"/>
        <v>0</v>
      </c>
      <c r="BO1136">
        <v>1</v>
      </c>
      <c r="BP1136" t="s">
        <v>232</v>
      </c>
      <c r="BQ1136" t="s">
        <v>742</v>
      </c>
      <c r="BR1136" s="264" t="s">
        <v>972</v>
      </c>
      <c r="BS1136">
        <v>0.39600000000000002</v>
      </c>
      <c r="BT1136">
        <v>0.21099999999999999</v>
      </c>
      <c r="BV1136">
        <f>BT1136-BS1136</f>
        <v>-0.18500000000000003</v>
      </c>
      <c r="BX1136">
        <f t="shared" si="1502"/>
        <v>-0.18500000000000003</v>
      </c>
      <c r="BY1136">
        <f t="shared" si="1524"/>
        <v>-0.18500000000000003</v>
      </c>
      <c r="BZ1136">
        <v>0</v>
      </c>
      <c r="CA1136">
        <v>0</v>
      </c>
      <c r="CB1136">
        <v>0</v>
      </c>
      <c r="CC1136">
        <v>0</v>
      </c>
      <c r="CD1136">
        <v>0</v>
      </c>
      <c r="CE1136">
        <v>0</v>
      </c>
      <c r="CF1136">
        <v>0</v>
      </c>
      <c r="CG1136">
        <v>0</v>
      </c>
      <c r="CH1136">
        <v>0</v>
      </c>
      <c r="CI1136">
        <v>0</v>
      </c>
      <c r="CJ1136">
        <v>0</v>
      </c>
      <c r="CK1136">
        <v>0</v>
      </c>
      <c r="CL1136">
        <v>0</v>
      </c>
      <c r="CM1136">
        <v>0</v>
      </c>
      <c r="CN1136" t="str">
        <f t="shared" si="1503"/>
        <v>refOK</v>
      </c>
      <c r="CO1136">
        <f t="shared" si="1504"/>
        <v>1</v>
      </c>
      <c r="CP1136">
        <f t="shared" si="1505"/>
        <v>1</v>
      </c>
      <c r="CQ1136">
        <f t="shared" si="1506"/>
        <v>1</v>
      </c>
      <c r="CR1136">
        <f t="shared" si="1507"/>
        <v>0.39600000000000002</v>
      </c>
      <c r="CS1136">
        <f t="shared" si="1508"/>
        <v>0.21099999999999999</v>
      </c>
      <c r="CT1136">
        <f t="shared" si="1509"/>
        <v>-0.18500000000000003</v>
      </c>
      <c r="CU1136">
        <f t="shared" si="1510"/>
        <v>-0.18500000000000003</v>
      </c>
      <c r="CV1136" s="2">
        <f t="shared" si="1511"/>
        <v>-0.46717171717171724</v>
      </c>
      <c r="CW1136" s="1" t="s">
        <v>263</v>
      </c>
      <c r="CX1136" s="264" t="str">
        <f t="shared" si="1512"/>
        <v>loc</v>
      </c>
      <c r="CY1136" t="s">
        <v>264</v>
      </c>
      <c r="DA1136" s="143"/>
      <c r="DB1136" s="143">
        <v>45</v>
      </c>
      <c r="DC1136" t="str">
        <f t="shared" si="1513"/>
        <v>31-70</v>
      </c>
      <c r="DD1136">
        <v>0</v>
      </c>
      <c r="DE1136">
        <v>0</v>
      </c>
      <c r="DF1136">
        <v>0</v>
      </c>
      <c r="DG1136">
        <v>1</v>
      </c>
      <c r="DH1136">
        <v>0</v>
      </c>
      <c r="DI1136">
        <f t="shared" si="1514"/>
        <v>1</v>
      </c>
      <c r="DJ1136" t="str">
        <f t="shared" si="1515"/>
        <v>TimberInput</v>
      </c>
      <c r="DK1136">
        <f t="shared" si="1516"/>
        <v>0</v>
      </c>
      <c r="DL1136">
        <f t="shared" si="1517"/>
        <v>0</v>
      </c>
      <c r="DM1136">
        <f t="shared" si="1518"/>
        <v>0</v>
      </c>
      <c r="DN1136" t="str">
        <f t="shared" si="1519"/>
        <v>Timber</v>
      </c>
      <c r="DO1136">
        <v>1</v>
      </c>
      <c r="DP1136">
        <v>0</v>
      </c>
      <c r="DQ1136">
        <v>0</v>
      </c>
      <c r="DR1136">
        <v>0</v>
      </c>
      <c r="DS1136">
        <v>0</v>
      </c>
      <c r="DT1136">
        <f t="shared" si="1520"/>
        <v>1</v>
      </c>
      <c r="DU1136" s="143" t="str">
        <f t="shared" si="1521"/>
        <v>self-calculated DF</v>
      </c>
      <c r="DV1136" s="143">
        <v>0</v>
      </c>
      <c r="DW1136" s="143">
        <v>0</v>
      </c>
      <c r="DX1136" s="143">
        <v>0</v>
      </c>
      <c r="DY1136" s="143">
        <v>0</v>
      </c>
      <c r="DZ1136">
        <v>0</v>
      </c>
      <c r="EA1136" s="143">
        <v>0</v>
      </c>
      <c r="EB1136" s="143">
        <v>0</v>
      </c>
      <c r="EC1136" s="143">
        <v>1</v>
      </c>
      <c r="ED1136" s="143">
        <v>0</v>
      </c>
      <c r="EE1136">
        <v>1</v>
      </c>
      <c r="EF1136">
        <v>0</v>
      </c>
      <c r="EG1136" s="143">
        <v>0</v>
      </c>
      <c r="EH1136" s="143">
        <v>0</v>
      </c>
      <c r="EI1136" s="2">
        <v>0</v>
      </c>
      <c r="EK1136" t="str">
        <f t="shared" si="1522"/>
        <v/>
      </c>
      <c r="EL1136" t="str">
        <f t="shared" si="1523"/>
        <v/>
      </c>
      <c r="EM1136" s="2" t="str">
        <f t="shared" si="1525"/>
        <v>Technology approach</v>
      </c>
      <c r="EN1136" t="s">
        <v>993</v>
      </c>
      <c r="EP1136" t="str">
        <f>IF(ISNUMBER(BU1136),IF(ABS(BU1136-[4]QC_indicators!$B$2)&gt;3*[4]QC_indicators!$C$2,"C ratio",IF(ISNUMBER(BY1136),IF(ABS(BY1136-[4]QC_indicators!$B$1)&gt;3*[4]QC_indicators!$C$1,"DF","no"))),IF(ISNUMBER(BY1136),IF(ABS(BY1136-[4]QC_indicators!$B$1)&gt;3*[4]QC_indicators!$C$1,"DF","no")))</f>
        <v>no</v>
      </c>
      <c r="ER1136" s="264" t="s">
        <v>994</v>
      </c>
      <c r="ET1136" s="264" t="s">
        <v>3406</v>
      </c>
    </row>
    <row r="1137" spans="4:150" ht="15" hidden="1" customHeight="1">
      <c r="D1137" t="s">
        <v>962</v>
      </c>
      <c r="E1137" t="s">
        <v>987</v>
      </c>
      <c r="G1137" t="s">
        <v>693</v>
      </c>
      <c r="I1137">
        <v>2003</v>
      </c>
      <c r="K1137" s="295" t="s">
        <v>988</v>
      </c>
      <c r="M1137" t="str">
        <f t="shared" si="1430"/>
        <v>Petersen_2003</v>
      </c>
      <c r="N1137" t="s">
        <v>222</v>
      </c>
      <c r="O1137" s="171" t="s">
        <v>513</v>
      </c>
      <c r="P1137" s="141" t="s">
        <v>225</v>
      </c>
      <c r="Q1137" s="264" t="s">
        <v>389</v>
      </c>
      <c r="R1137" s="269" t="s">
        <v>1153</v>
      </c>
      <c r="S1137" s="263" t="s">
        <v>989</v>
      </c>
      <c r="T1137" s="264" t="s">
        <v>990</v>
      </c>
      <c r="U1137" s="264" t="s">
        <v>991</v>
      </c>
      <c r="V1137">
        <v>0</v>
      </c>
      <c r="W1137">
        <v>0</v>
      </c>
      <c r="X1137">
        <v>0</v>
      </c>
      <c r="Y1137">
        <v>0</v>
      </c>
      <c r="Z1137">
        <v>0</v>
      </c>
      <c r="AA1137">
        <v>0</v>
      </c>
      <c r="AB1137">
        <v>0</v>
      </c>
      <c r="AC1137">
        <v>0</v>
      </c>
      <c r="AD1137">
        <v>0</v>
      </c>
      <c r="AE1137">
        <v>0</v>
      </c>
      <c r="AF1137">
        <v>0</v>
      </c>
      <c r="AG1137">
        <v>0</v>
      </c>
      <c r="AH1137">
        <v>0</v>
      </c>
      <c r="AI1137">
        <v>0</v>
      </c>
      <c r="AJ1137">
        <v>1</v>
      </c>
      <c r="AK1137">
        <v>0</v>
      </c>
      <c r="AL1137">
        <v>0</v>
      </c>
      <c r="AM1137">
        <v>0</v>
      </c>
      <c r="AN1137">
        <v>0</v>
      </c>
      <c r="AO1137">
        <v>0</v>
      </c>
      <c r="AP1137">
        <v>0</v>
      </c>
      <c r="AQ1137">
        <v>0</v>
      </c>
      <c r="AR1137">
        <v>0</v>
      </c>
      <c r="AS1137">
        <v>0</v>
      </c>
      <c r="AT1137">
        <v>0</v>
      </c>
      <c r="AU1137">
        <v>0</v>
      </c>
      <c r="AV1137">
        <v>0</v>
      </c>
      <c r="AW1137">
        <v>0</v>
      </c>
      <c r="AX1137" s="141">
        <f t="shared" si="1493"/>
        <v>1</v>
      </c>
      <c r="AY1137" s="141">
        <f t="shared" si="1494"/>
        <v>1</v>
      </c>
      <c r="AZ1137">
        <f t="shared" si="1495"/>
        <v>0</v>
      </c>
      <c r="BA1137">
        <f t="shared" si="1496"/>
        <v>0</v>
      </c>
      <c r="BB1137">
        <f t="shared" si="1497"/>
        <v>1</v>
      </c>
      <c r="BC1137">
        <f t="shared" si="1498"/>
        <v>0</v>
      </c>
      <c r="BD1137">
        <f t="shared" si="1499"/>
        <v>0</v>
      </c>
      <c r="BE1137" t="str" cm="1">
        <f t="array" ref="BE1137">IF(AY1137=1,INDEX($V$7:$AL$7,MATCH(TRUE,INDEX($V1137:$AW1137&lt;&gt;0,),0)),IF(AY1137=0,INDEX($AM$7:$AW$7,MATCH(1,$AM1137:$AW1137,0)),IF(BF1137="Multiple strategies","mixed drivers",IF(BF1137="Supply chain","multiple supply","multiple silviculture"))))</f>
        <v>efficiency improvement</v>
      </c>
      <c r="BF1137" s="2" t="str" cm="1">
        <f t="array" ref="BF1137">IF(COUNTIF(AZ1137:BB1137,"&lt;&gt;0")=1,INDEX($V$4:$AW$4,MATCH(TRUE,INDEX($V1137:$AW1137&lt;&gt;0,),0)),IF(COUNTIF(AZ1137:BB1137,"&lt;&gt;0")=0,INDEX($AM$4:$AW$4,MATCH(1,$AM1137:$AW1137,0)),"Multiple strategies"))</f>
        <v>Technology</v>
      </c>
      <c r="BG1137" s="142" t="s">
        <v>229</v>
      </c>
      <c r="BH1137" t="s">
        <v>969</v>
      </c>
      <c r="BI1137" t="s">
        <v>992</v>
      </c>
      <c r="BJ1137" t="s">
        <v>498</v>
      </c>
      <c r="BK1137">
        <v>1</v>
      </c>
      <c r="BL1137">
        <v>1</v>
      </c>
      <c r="BM1137">
        <f t="shared" si="1500"/>
        <v>1</v>
      </c>
      <c r="BN1137">
        <f t="shared" si="1501"/>
        <v>0</v>
      </c>
      <c r="BO1137">
        <v>1</v>
      </c>
      <c r="BP1137" t="s">
        <v>232</v>
      </c>
      <c r="BQ1137" t="s">
        <v>742</v>
      </c>
      <c r="BR1137" s="264" t="s">
        <v>972</v>
      </c>
      <c r="BS1137">
        <v>0.39600000000000002</v>
      </c>
      <c r="BT1137">
        <v>0.39100000000000001</v>
      </c>
      <c r="BV1137">
        <f>BT1137-BS1137</f>
        <v>-5.0000000000000044E-3</v>
      </c>
      <c r="BX1137">
        <f t="shared" si="1502"/>
        <v>-5.0000000000000044E-3</v>
      </c>
      <c r="BY1137">
        <f t="shared" si="1524"/>
        <v>-5.0000000000000044E-3</v>
      </c>
      <c r="BZ1137">
        <v>0</v>
      </c>
      <c r="CA1137">
        <v>0</v>
      </c>
      <c r="CB1137">
        <v>0</v>
      </c>
      <c r="CC1137">
        <v>0</v>
      </c>
      <c r="CD1137">
        <v>0</v>
      </c>
      <c r="CE1137">
        <v>0</v>
      </c>
      <c r="CF1137">
        <v>0</v>
      </c>
      <c r="CG1137">
        <v>0</v>
      </c>
      <c r="CH1137">
        <v>0</v>
      </c>
      <c r="CI1137">
        <v>0</v>
      </c>
      <c r="CJ1137">
        <v>0</v>
      </c>
      <c r="CK1137">
        <v>0</v>
      </c>
      <c r="CL1137">
        <v>0</v>
      </c>
      <c r="CM1137">
        <v>0</v>
      </c>
      <c r="CN1137" t="str">
        <f t="shared" si="1503"/>
        <v>refOK</v>
      </c>
      <c r="CO1137">
        <f t="shared" si="1504"/>
        <v>1</v>
      </c>
      <c r="CP1137">
        <f t="shared" si="1505"/>
        <v>1</v>
      </c>
      <c r="CQ1137">
        <f t="shared" si="1506"/>
        <v>1</v>
      </c>
      <c r="CR1137">
        <f t="shared" si="1507"/>
        <v>0.39600000000000002</v>
      </c>
      <c r="CS1137">
        <f t="shared" si="1508"/>
        <v>0.39100000000000001</v>
      </c>
      <c r="CT1137">
        <f t="shared" si="1509"/>
        <v>-5.0000000000000044E-3</v>
      </c>
      <c r="CU1137">
        <f t="shared" si="1510"/>
        <v>-5.0000000000000044E-3</v>
      </c>
      <c r="CV1137" s="2">
        <f t="shared" si="1511"/>
        <v>-1.2626262626262636E-2</v>
      </c>
      <c r="CW1137" s="1" t="s">
        <v>263</v>
      </c>
      <c r="CX1137" s="264" t="str">
        <f t="shared" si="1512"/>
        <v>loc</v>
      </c>
      <c r="CY1137" t="s">
        <v>264</v>
      </c>
      <c r="DA1137" s="143"/>
      <c r="DB1137" s="143">
        <v>45</v>
      </c>
      <c r="DC1137" t="str">
        <f t="shared" si="1513"/>
        <v>31-70</v>
      </c>
      <c r="DD1137">
        <v>0</v>
      </c>
      <c r="DE1137">
        <v>0</v>
      </c>
      <c r="DF1137">
        <v>0</v>
      </c>
      <c r="DG1137">
        <v>1</v>
      </c>
      <c r="DH1137">
        <v>0</v>
      </c>
      <c r="DI1137">
        <f t="shared" si="1514"/>
        <v>1</v>
      </c>
      <c r="DJ1137" t="str">
        <f t="shared" si="1515"/>
        <v>TimberInput</v>
      </c>
      <c r="DK1137">
        <f t="shared" si="1516"/>
        <v>0</v>
      </c>
      <c r="DL1137">
        <f t="shared" si="1517"/>
        <v>0</v>
      </c>
      <c r="DM1137">
        <f t="shared" si="1518"/>
        <v>0</v>
      </c>
      <c r="DN1137" t="str">
        <f t="shared" si="1519"/>
        <v>Timber</v>
      </c>
      <c r="DO1137">
        <v>1</v>
      </c>
      <c r="DP1137">
        <v>0</v>
      </c>
      <c r="DQ1137">
        <v>0</v>
      </c>
      <c r="DR1137">
        <v>0</v>
      </c>
      <c r="DS1137">
        <v>0</v>
      </c>
      <c r="DT1137">
        <f t="shared" si="1520"/>
        <v>1</v>
      </c>
      <c r="DU1137" s="143" t="str">
        <f t="shared" si="1521"/>
        <v>self-calculated DF</v>
      </c>
      <c r="DV1137" s="143">
        <v>0</v>
      </c>
      <c r="DW1137" s="143">
        <v>0</v>
      </c>
      <c r="DX1137" s="143">
        <v>0</v>
      </c>
      <c r="DY1137" s="143">
        <v>0</v>
      </c>
      <c r="DZ1137">
        <v>0</v>
      </c>
      <c r="EA1137" s="143">
        <v>0</v>
      </c>
      <c r="EB1137" s="143">
        <v>0</v>
      </c>
      <c r="EC1137" s="143">
        <v>1</v>
      </c>
      <c r="ED1137" s="143">
        <v>0</v>
      </c>
      <c r="EE1137">
        <v>1</v>
      </c>
      <c r="EF1137">
        <v>0</v>
      </c>
      <c r="EG1137" s="143">
        <v>0</v>
      </c>
      <c r="EH1137" s="143">
        <v>0</v>
      </c>
      <c r="EI1137" s="2">
        <v>0</v>
      </c>
      <c r="EK1137" t="str">
        <f t="shared" si="1522"/>
        <v/>
      </c>
      <c r="EL1137" t="str">
        <f t="shared" si="1523"/>
        <v/>
      </c>
      <c r="EM1137" s="2" t="str">
        <f t="shared" si="1525"/>
        <v>Technology approach</v>
      </c>
      <c r="EN1137" t="s">
        <v>993</v>
      </c>
      <c r="EP1137" t="str">
        <f>IF(ISNUMBER(BU1137),IF(ABS(BU1137-[4]QC_indicators!$B$2)&gt;3*[4]QC_indicators!$C$2,"C ratio",IF(ISNUMBER(BY1137),IF(ABS(BY1137-[4]QC_indicators!$B$1)&gt;3*[4]QC_indicators!$C$1,"DF","no"))),IF(ISNUMBER(BY1137),IF(ABS(BY1137-[4]QC_indicators!$B$1)&gt;3*[4]QC_indicators!$C$1,"DF","no")))</f>
        <v>no</v>
      </c>
      <c r="ER1137" s="264" t="s">
        <v>994</v>
      </c>
      <c r="ET1137" s="264" t="s">
        <v>3406</v>
      </c>
    </row>
    <row r="1138" spans="4:150" ht="15" hidden="1" customHeight="1">
      <c r="D1138" t="s">
        <v>962</v>
      </c>
      <c r="E1138" t="s">
        <v>987</v>
      </c>
      <c r="G1138" t="s">
        <v>693</v>
      </c>
      <c r="I1138">
        <v>2003</v>
      </c>
      <c r="K1138" s="295" t="s">
        <v>988</v>
      </c>
      <c r="M1138" t="str">
        <f t="shared" si="1430"/>
        <v>Petersen_2003</v>
      </c>
      <c r="N1138" t="s">
        <v>222</v>
      </c>
      <c r="O1138" s="171" t="s">
        <v>513</v>
      </c>
      <c r="P1138" s="141" t="s">
        <v>225</v>
      </c>
      <c r="Q1138" s="264" t="s">
        <v>389</v>
      </c>
      <c r="R1138" s="269" t="s">
        <v>1153</v>
      </c>
      <c r="S1138" s="1" t="s">
        <v>997</v>
      </c>
      <c r="T1138" s="264" t="s">
        <v>998</v>
      </c>
      <c r="U1138" s="264" t="s">
        <v>999</v>
      </c>
      <c r="V1138">
        <v>0</v>
      </c>
      <c r="W1138">
        <v>0</v>
      </c>
      <c r="X1138">
        <v>0</v>
      </c>
      <c r="Y1138">
        <v>0</v>
      </c>
      <c r="Z1138">
        <v>0</v>
      </c>
      <c r="AA1138">
        <v>0</v>
      </c>
      <c r="AB1138">
        <v>0</v>
      </c>
      <c r="AC1138">
        <v>0</v>
      </c>
      <c r="AD1138">
        <v>0</v>
      </c>
      <c r="AE1138">
        <v>0</v>
      </c>
      <c r="AF1138">
        <v>0</v>
      </c>
      <c r="AG1138">
        <v>0</v>
      </c>
      <c r="AH1138">
        <v>0</v>
      </c>
      <c r="AI1138">
        <v>0</v>
      </c>
      <c r="AJ1138">
        <v>0</v>
      </c>
      <c r="AK1138">
        <v>1</v>
      </c>
      <c r="AL1138">
        <v>0</v>
      </c>
      <c r="AM1138">
        <v>0</v>
      </c>
      <c r="AN1138">
        <v>0</v>
      </c>
      <c r="AO1138">
        <v>0</v>
      </c>
      <c r="AP1138">
        <v>0</v>
      </c>
      <c r="AQ1138">
        <v>0</v>
      </c>
      <c r="AR1138">
        <v>0</v>
      </c>
      <c r="AS1138">
        <v>0</v>
      </c>
      <c r="AT1138">
        <v>0</v>
      </c>
      <c r="AU1138">
        <v>0</v>
      </c>
      <c r="AV1138">
        <v>0</v>
      </c>
      <c r="AW1138">
        <v>0</v>
      </c>
      <c r="AX1138" s="141">
        <f t="shared" si="1493"/>
        <v>1</v>
      </c>
      <c r="AY1138" s="141">
        <f t="shared" si="1494"/>
        <v>1</v>
      </c>
      <c r="AZ1138">
        <f t="shared" si="1495"/>
        <v>0</v>
      </c>
      <c r="BA1138">
        <f t="shared" si="1496"/>
        <v>0</v>
      </c>
      <c r="BB1138">
        <f t="shared" si="1497"/>
        <v>1</v>
      </c>
      <c r="BC1138">
        <f t="shared" si="1498"/>
        <v>0</v>
      </c>
      <c r="BD1138">
        <f t="shared" si="1499"/>
        <v>0</v>
      </c>
      <c r="BE1138" t="str" cm="1">
        <f t="array" ref="BE1138">IF(AY1138=1,INDEX($V$7:$AL$7,MATCH(TRUE,INDEX($V1138:$AW1138&lt;&gt;0,),0)),IF(AY1138=0,INDEX($AM$7:$AW$7,MATCH(1,$AM1138:$AW1138,0)),IF(BF1138="Multiple strategies","mixed drivers",IF(BF1138="Supply chain","multiple supply","multiple silviculture"))))</f>
        <v>technologies/design switch</v>
      </c>
      <c r="BF1138" s="2" t="str" cm="1">
        <f t="array" ref="BF1138">IF(COUNTIF(AZ1138:BB1138,"&lt;&gt;0")=1,INDEX($V$4:$AW$4,MATCH(TRUE,INDEX($V1138:$AW1138&lt;&gt;0,),0)),IF(COUNTIF(AZ1138:BB1138,"&lt;&gt;0")=0,INDEX($AM$4:$AW$4,MATCH(1,$AM1138:$AW1138,0)),"Multiple strategies"))</f>
        <v>Technology</v>
      </c>
      <c r="BG1138" s="142" t="s">
        <v>229</v>
      </c>
      <c r="BH1138" t="s">
        <v>969</v>
      </c>
      <c r="BI1138" t="s">
        <v>992</v>
      </c>
      <c r="BJ1138" t="s">
        <v>498</v>
      </c>
      <c r="BK1138">
        <v>0</v>
      </c>
      <c r="BL1138">
        <v>1</v>
      </c>
      <c r="BM1138" t="str">
        <f t="shared" si="1500"/>
        <v/>
      </c>
      <c r="BN1138">
        <f t="shared" si="1501"/>
        <v>1</v>
      </c>
      <c r="BO1138">
        <v>1</v>
      </c>
      <c r="BP1138" t="s">
        <v>232</v>
      </c>
      <c r="BQ1138" t="s">
        <v>742</v>
      </c>
      <c r="BR1138" s="264" t="s">
        <v>972</v>
      </c>
      <c r="BV1138">
        <v>0.21099999999999999</v>
      </c>
      <c r="BX1138">
        <f t="shared" si="1502"/>
        <v>0.21099999999999999</v>
      </c>
      <c r="BY1138">
        <f t="shared" si="1524"/>
        <v>0.21099999999999999</v>
      </c>
      <c r="BZ1138">
        <v>0</v>
      </c>
      <c r="CA1138">
        <v>0</v>
      </c>
      <c r="CB1138">
        <v>0</v>
      </c>
      <c r="CC1138">
        <v>0</v>
      </c>
      <c r="CD1138">
        <v>0</v>
      </c>
      <c r="CE1138">
        <v>0</v>
      </c>
      <c r="CF1138">
        <v>0</v>
      </c>
      <c r="CG1138">
        <v>0</v>
      </c>
      <c r="CH1138">
        <v>0</v>
      </c>
      <c r="CI1138">
        <v>0</v>
      </c>
      <c r="CJ1138">
        <v>0</v>
      </c>
      <c r="CK1138">
        <v>0</v>
      </c>
      <c r="CL1138">
        <v>0</v>
      </c>
      <c r="CM1138">
        <v>0</v>
      </c>
      <c r="CN1138" t="str">
        <f t="shared" si="1503"/>
        <v>refOK</v>
      </c>
      <c r="CO1138">
        <f t="shared" si="1504"/>
        <v>0</v>
      </c>
      <c r="CP1138">
        <f t="shared" si="1505"/>
        <v>1</v>
      </c>
      <c r="CQ1138">
        <f t="shared" si="1506"/>
        <v>1</v>
      </c>
      <c r="CR1138">
        <f t="shared" si="1507"/>
        <v>0</v>
      </c>
      <c r="CS1138">
        <f t="shared" si="1508"/>
        <v>0</v>
      </c>
      <c r="CT1138">
        <f t="shared" si="1509"/>
        <v>0.21099999999999999</v>
      </c>
      <c r="CU1138">
        <f t="shared" si="1510"/>
        <v>0.21099999999999999</v>
      </c>
      <c r="CV1138" s="2" t="str">
        <f t="shared" si="1511"/>
        <v/>
      </c>
      <c r="CW1138" s="1" t="s">
        <v>263</v>
      </c>
      <c r="CX1138" s="264" t="str">
        <f t="shared" si="1512"/>
        <v>loc</v>
      </c>
      <c r="CY1138" t="s">
        <v>264</v>
      </c>
      <c r="DA1138" s="143"/>
      <c r="DB1138" s="143">
        <v>90</v>
      </c>
      <c r="DC1138" t="str">
        <f t="shared" si="1513"/>
        <v>71-100</v>
      </c>
      <c r="DD1138">
        <v>0</v>
      </c>
      <c r="DE1138">
        <v>0</v>
      </c>
      <c r="DF1138">
        <v>0</v>
      </c>
      <c r="DG1138">
        <v>1</v>
      </c>
      <c r="DH1138">
        <v>0</v>
      </c>
      <c r="DI1138">
        <f t="shared" si="1514"/>
        <v>1</v>
      </c>
      <c r="DJ1138" t="str">
        <f t="shared" si="1515"/>
        <v>TimberInput</v>
      </c>
      <c r="DK1138">
        <f t="shared" si="1516"/>
        <v>0</v>
      </c>
      <c r="DL1138">
        <f t="shared" si="1517"/>
        <v>0</v>
      </c>
      <c r="DM1138">
        <f t="shared" si="1518"/>
        <v>0</v>
      </c>
      <c r="DN1138" t="str">
        <f t="shared" si="1519"/>
        <v>Timber</v>
      </c>
      <c r="DO1138">
        <v>1</v>
      </c>
      <c r="DP1138">
        <v>0</v>
      </c>
      <c r="DQ1138">
        <v>0</v>
      </c>
      <c r="DR1138">
        <v>0</v>
      </c>
      <c r="DS1138">
        <v>0</v>
      </c>
      <c r="DT1138">
        <f t="shared" si="1520"/>
        <v>1</v>
      </c>
      <c r="DU1138" s="143" t="str">
        <f t="shared" si="1521"/>
        <v>self-calculated DF</v>
      </c>
      <c r="DV1138">
        <v>0</v>
      </c>
      <c r="DW1138">
        <v>0</v>
      </c>
      <c r="DX1138" s="143">
        <v>0</v>
      </c>
      <c r="DY1138" s="143">
        <v>0</v>
      </c>
      <c r="DZ1138">
        <v>0</v>
      </c>
      <c r="EA1138" s="143">
        <v>0</v>
      </c>
      <c r="EB1138">
        <v>0</v>
      </c>
      <c r="EC1138" s="143">
        <v>1</v>
      </c>
      <c r="ED1138" s="143">
        <v>0</v>
      </c>
      <c r="EE1138">
        <v>1</v>
      </c>
      <c r="EF1138">
        <v>0</v>
      </c>
      <c r="EG1138" s="143">
        <v>0</v>
      </c>
      <c r="EH1138" s="143">
        <v>0</v>
      </c>
      <c r="EI1138" s="2">
        <v>0</v>
      </c>
      <c r="EK1138" t="str">
        <f t="shared" si="1522"/>
        <v/>
      </c>
      <c r="EL1138" t="str">
        <f t="shared" si="1523"/>
        <v/>
      </c>
      <c r="EM1138" s="2" t="str">
        <f t="shared" si="1525"/>
        <v>Technology approach</v>
      </c>
      <c r="EN1138" t="s">
        <v>1000</v>
      </c>
      <c r="EP1138" t="str">
        <f>IF(ISNUMBER(BU1138),IF(ABS(BU1138-[4]QC_indicators!$B$2)&gt;3*[4]QC_indicators!$C$2,"C ratio",IF(ISNUMBER(BY1138),IF(ABS(BY1138-[4]QC_indicators!$B$1)&gt;3*[4]QC_indicators!$C$1,"DF","no"))),IF(ISNUMBER(BY1138),IF(ABS(BY1138-[4]QC_indicators!$B$1)&gt;3*[4]QC_indicators!$C$1,"DF","no")))</f>
        <v>no</v>
      </c>
      <c r="ER1138" s="264" t="s">
        <v>994</v>
      </c>
      <c r="ET1138" s="264" t="s">
        <v>3406</v>
      </c>
    </row>
    <row r="1139" spans="4:150" ht="15" hidden="1" customHeight="1">
      <c r="D1139" t="s">
        <v>962</v>
      </c>
      <c r="E1139" t="s">
        <v>987</v>
      </c>
      <c r="G1139" t="s">
        <v>693</v>
      </c>
      <c r="I1139">
        <v>2003</v>
      </c>
      <c r="K1139" s="295" t="s">
        <v>988</v>
      </c>
      <c r="M1139" t="str">
        <f t="shared" si="1430"/>
        <v>Petersen_2003</v>
      </c>
      <c r="N1139" t="s">
        <v>222</v>
      </c>
      <c r="O1139" s="171" t="s">
        <v>513</v>
      </c>
      <c r="P1139" s="141" t="s">
        <v>225</v>
      </c>
      <c r="Q1139" s="264" t="s">
        <v>389</v>
      </c>
      <c r="R1139" s="269" t="s">
        <v>1153</v>
      </c>
      <c r="S1139" s="263" t="s">
        <v>982</v>
      </c>
      <c r="T1139" s="264" t="s">
        <v>998</v>
      </c>
      <c r="U1139" s="264" t="s">
        <v>999</v>
      </c>
      <c r="V1139">
        <v>0</v>
      </c>
      <c r="W1139">
        <v>0</v>
      </c>
      <c r="X1139">
        <v>0</v>
      </c>
      <c r="Y1139">
        <v>0</v>
      </c>
      <c r="Z1139">
        <v>0</v>
      </c>
      <c r="AA1139">
        <v>0</v>
      </c>
      <c r="AB1139">
        <v>0</v>
      </c>
      <c r="AC1139">
        <v>0</v>
      </c>
      <c r="AD1139">
        <v>0</v>
      </c>
      <c r="AE1139">
        <v>0</v>
      </c>
      <c r="AF1139">
        <v>0</v>
      </c>
      <c r="AG1139">
        <v>0</v>
      </c>
      <c r="AH1139">
        <v>0</v>
      </c>
      <c r="AI1139">
        <v>0</v>
      </c>
      <c r="AJ1139">
        <v>0</v>
      </c>
      <c r="AK1139">
        <v>1</v>
      </c>
      <c r="AL1139">
        <v>0</v>
      </c>
      <c r="AM1139">
        <v>0</v>
      </c>
      <c r="AN1139">
        <v>0</v>
      </c>
      <c r="AO1139">
        <v>0</v>
      </c>
      <c r="AP1139">
        <v>0</v>
      </c>
      <c r="AQ1139">
        <v>0</v>
      </c>
      <c r="AR1139">
        <v>0</v>
      </c>
      <c r="AS1139">
        <v>0</v>
      </c>
      <c r="AT1139">
        <v>0</v>
      </c>
      <c r="AU1139">
        <v>0</v>
      </c>
      <c r="AV1139">
        <v>0</v>
      </c>
      <c r="AW1139">
        <v>0</v>
      </c>
      <c r="AX1139" s="141">
        <f t="shared" si="1493"/>
        <v>1</v>
      </c>
      <c r="AY1139" s="141">
        <f t="shared" si="1494"/>
        <v>1</v>
      </c>
      <c r="AZ1139">
        <f t="shared" si="1495"/>
        <v>0</v>
      </c>
      <c r="BA1139">
        <f t="shared" si="1496"/>
        <v>0</v>
      </c>
      <c r="BB1139">
        <f t="shared" si="1497"/>
        <v>1</v>
      </c>
      <c r="BC1139">
        <f t="shared" si="1498"/>
        <v>0</v>
      </c>
      <c r="BD1139">
        <f t="shared" si="1499"/>
        <v>0</v>
      </c>
      <c r="BE1139" t="str" cm="1">
        <f t="array" ref="BE1139">IF(AY1139=1,INDEX($V$7:$AL$7,MATCH(TRUE,INDEX($V1139:$AW1139&lt;&gt;0,),0)),IF(AY1139=0,INDEX($AM$7:$AW$7,MATCH(1,$AM1139:$AW1139,0)),IF(BF1139="Multiple strategies","mixed drivers",IF(BF1139="Supply chain","multiple supply","multiple silviculture"))))</f>
        <v>technologies/design switch</v>
      </c>
      <c r="BF1139" s="2" t="str" cm="1">
        <f t="array" ref="BF1139">IF(COUNTIF(AZ1139:BB1139,"&lt;&gt;0")=1,INDEX($V$4:$AW$4,MATCH(TRUE,INDEX($V1139:$AW1139&lt;&gt;0,),0)),IF(COUNTIF(AZ1139:BB1139,"&lt;&gt;0")=0,INDEX($AM$4:$AW$4,MATCH(1,$AM1139:$AW1139,0)),"Multiple strategies"))</f>
        <v>Technology</v>
      </c>
      <c r="BG1139" s="142" t="s">
        <v>229</v>
      </c>
      <c r="BH1139" t="s">
        <v>969</v>
      </c>
      <c r="BI1139" t="s">
        <v>992</v>
      </c>
      <c r="BJ1139" t="s">
        <v>498</v>
      </c>
      <c r="BK1139">
        <v>0</v>
      </c>
      <c r="BL1139">
        <v>1</v>
      </c>
      <c r="BM1139" t="str">
        <f t="shared" si="1500"/>
        <v/>
      </c>
      <c r="BN1139">
        <f t="shared" si="1501"/>
        <v>1</v>
      </c>
      <c r="BO1139">
        <v>1</v>
      </c>
      <c r="BP1139" t="s">
        <v>232</v>
      </c>
      <c r="BQ1139" t="s">
        <v>742</v>
      </c>
      <c r="BR1139" s="264" t="s">
        <v>1001</v>
      </c>
      <c r="BV1139">
        <v>0.39600000000000002</v>
      </c>
      <c r="BX1139">
        <f t="shared" si="1502"/>
        <v>0.39600000000000002</v>
      </c>
      <c r="BY1139">
        <f t="shared" si="1524"/>
        <v>0.39600000000000002</v>
      </c>
      <c r="BZ1139">
        <v>0</v>
      </c>
      <c r="CA1139">
        <v>0</v>
      </c>
      <c r="CB1139">
        <v>0</v>
      </c>
      <c r="CC1139">
        <v>0</v>
      </c>
      <c r="CD1139">
        <v>0</v>
      </c>
      <c r="CE1139">
        <v>0</v>
      </c>
      <c r="CF1139">
        <v>0</v>
      </c>
      <c r="CG1139">
        <v>0</v>
      </c>
      <c r="CH1139">
        <v>0</v>
      </c>
      <c r="CI1139">
        <v>0</v>
      </c>
      <c r="CJ1139">
        <v>0</v>
      </c>
      <c r="CK1139">
        <v>0</v>
      </c>
      <c r="CL1139">
        <v>0</v>
      </c>
      <c r="CM1139">
        <v>0</v>
      </c>
      <c r="CN1139" t="str">
        <f t="shared" si="1503"/>
        <v>refOK</v>
      </c>
      <c r="CO1139">
        <f t="shared" si="1504"/>
        <v>0</v>
      </c>
      <c r="CP1139">
        <f t="shared" si="1505"/>
        <v>1</v>
      </c>
      <c r="CQ1139">
        <f t="shared" si="1506"/>
        <v>1</v>
      </c>
      <c r="CR1139">
        <f t="shared" si="1507"/>
        <v>0</v>
      </c>
      <c r="CS1139">
        <f t="shared" si="1508"/>
        <v>0</v>
      </c>
      <c r="CT1139">
        <f t="shared" si="1509"/>
        <v>0.39600000000000002</v>
      </c>
      <c r="CU1139">
        <f t="shared" si="1510"/>
        <v>0.39600000000000002</v>
      </c>
      <c r="CV1139" s="2" t="str">
        <f t="shared" si="1511"/>
        <v/>
      </c>
      <c r="CW1139" s="1" t="s">
        <v>263</v>
      </c>
      <c r="CX1139" s="264" t="str">
        <f t="shared" si="1512"/>
        <v>loc</v>
      </c>
      <c r="CY1139" t="s">
        <v>264</v>
      </c>
      <c r="DA1139" s="143"/>
      <c r="DB1139" s="143">
        <v>45</v>
      </c>
      <c r="DC1139" t="str">
        <f t="shared" si="1513"/>
        <v>31-70</v>
      </c>
      <c r="DD1139">
        <v>0</v>
      </c>
      <c r="DE1139">
        <v>0</v>
      </c>
      <c r="DF1139">
        <v>0</v>
      </c>
      <c r="DG1139">
        <v>1</v>
      </c>
      <c r="DH1139">
        <v>0</v>
      </c>
      <c r="DI1139">
        <f t="shared" si="1514"/>
        <v>1</v>
      </c>
      <c r="DJ1139" t="str">
        <f t="shared" si="1515"/>
        <v>TimberInput</v>
      </c>
      <c r="DK1139">
        <f t="shared" si="1516"/>
        <v>0</v>
      </c>
      <c r="DL1139">
        <f t="shared" si="1517"/>
        <v>0</v>
      </c>
      <c r="DM1139">
        <f t="shared" si="1518"/>
        <v>0</v>
      </c>
      <c r="DN1139" t="str">
        <f t="shared" si="1519"/>
        <v>Timber</v>
      </c>
      <c r="DO1139">
        <v>1</v>
      </c>
      <c r="DP1139">
        <v>0</v>
      </c>
      <c r="DQ1139">
        <v>0</v>
      </c>
      <c r="DR1139">
        <v>0</v>
      </c>
      <c r="DS1139">
        <v>0</v>
      </c>
      <c r="DT1139">
        <f t="shared" si="1520"/>
        <v>1</v>
      </c>
      <c r="DU1139" s="143" t="str">
        <f t="shared" si="1521"/>
        <v>self-calculated DF</v>
      </c>
      <c r="DV1139" s="143">
        <v>0</v>
      </c>
      <c r="DW1139" s="143">
        <v>0</v>
      </c>
      <c r="DX1139" s="143">
        <v>0</v>
      </c>
      <c r="DY1139" s="143">
        <v>0</v>
      </c>
      <c r="DZ1139">
        <v>0</v>
      </c>
      <c r="EA1139" s="143">
        <v>0</v>
      </c>
      <c r="EB1139" s="143">
        <v>0</v>
      </c>
      <c r="EC1139" s="143">
        <v>1</v>
      </c>
      <c r="ED1139" s="143">
        <v>0</v>
      </c>
      <c r="EE1139">
        <v>1</v>
      </c>
      <c r="EF1139">
        <v>0</v>
      </c>
      <c r="EG1139" s="143">
        <v>0</v>
      </c>
      <c r="EH1139" s="143">
        <v>0</v>
      </c>
      <c r="EI1139" s="2">
        <v>0</v>
      </c>
      <c r="EK1139" t="str">
        <f t="shared" si="1522"/>
        <v/>
      </c>
      <c r="EL1139" t="str">
        <f t="shared" si="1523"/>
        <v/>
      </c>
      <c r="EM1139" s="2" t="str">
        <f t="shared" si="1525"/>
        <v>Technology approach</v>
      </c>
      <c r="EN1139" t="s">
        <v>1002</v>
      </c>
      <c r="EP1139" t="str">
        <f>IF(ISNUMBER(BU1139),IF(ABS(BU1139-[4]QC_indicators!$B$2)&gt;3*[4]QC_indicators!$C$2,"C ratio",IF(ISNUMBER(BY1139),IF(ABS(BY1139-[4]QC_indicators!$B$1)&gt;3*[4]QC_indicators!$C$1,"DF","no"))),IF(ISNUMBER(BY1139),IF(ABS(BY1139-[4]QC_indicators!$B$1)&gt;3*[4]QC_indicators!$C$1,"DF","no")))</f>
        <v>no</v>
      </c>
      <c r="ER1139" s="264" t="s">
        <v>994</v>
      </c>
      <c r="ET1139" s="264" t="s">
        <v>3406</v>
      </c>
    </row>
    <row r="1140" spans="4:150" ht="15" hidden="1" customHeight="1">
      <c r="D1140" t="s">
        <v>962</v>
      </c>
      <c r="E1140" t="s">
        <v>987</v>
      </c>
      <c r="G1140" t="s">
        <v>693</v>
      </c>
      <c r="I1140">
        <v>2003</v>
      </c>
      <c r="K1140" s="295" t="s">
        <v>988</v>
      </c>
      <c r="M1140" t="str">
        <f t="shared" si="1430"/>
        <v>Petersen_2003</v>
      </c>
      <c r="N1140" t="s">
        <v>222</v>
      </c>
      <c r="O1140" s="171" t="s">
        <v>513</v>
      </c>
      <c r="P1140" s="141" t="s">
        <v>225</v>
      </c>
      <c r="Q1140" s="264" t="s">
        <v>389</v>
      </c>
      <c r="R1140" s="269" t="s">
        <v>1153</v>
      </c>
      <c r="S1140" s="263" t="s">
        <v>1003</v>
      </c>
      <c r="T1140" s="264" t="s">
        <v>998</v>
      </c>
      <c r="U1140" s="264" t="s">
        <v>999</v>
      </c>
      <c r="V1140">
        <v>0</v>
      </c>
      <c r="W1140">
        <v>0</v>
      </c>
      <c r="X1140">
        <v>0</v>
      </c>
      <c r="Y1140">
        <v>0</v>
      </c>
      <c r="Z1140">
        <v>0</v>
      </c>
      <c r="AA1140">
        <v>0</v>
      </c>
      <c r="AB1140">
        <v>0</v>
      </c>
      <c r="AC1140">
        <v>0</v>
      </c>
      <c r="AD1140">
        <v>0</v>
      </c>
      <c r="AE1140">
        <v>0</v>
      </c>
      <c r="AF1140">
        <v>0</v>
      </c>
      <c r="AG1140">
        <v>0</v>
      </c>
      <c r="AH1140">
        <v>0</v>
      </c>
      <c r="AI1140">
        <v>0</v>
      </c>
      <c r="AJ1140">
        <v>0</v>
      </c>
      <c r="AK1140">
        <v>1</v>
      </c>
      <c r="AL1140">
        <v>0</v>
      </c>
      <c r="AM1140">
        <v>0</v>
      </c>
      <c r="AN1140">
        <v>0</v>
      </c>
      <c r="AO1140">
        <v>0</v>
      </c>
      <c r="AP1140">
        <v>0</v>
      </c>
      <c r="AQ1140">
        <v>0</v>
      </c>
      <c r="AR1140">
        <v>0</v>
      </c>
      <c r="AS1140">
        <v>0</v>
      </c>
      <c r="AT1140">
        <v>0</v>
      </c>
      <c r="AU1140">
        <v>0</v>
      </c>
      <c r="AV1140">
        <v>0</v>
      </c>
      <c r="AW1140">
        <v>0</v>
      </c>
      <c r="AX1140" s="141">
        <f t="shared" si="1493"/>
        <v>1</v>
      </c>
      <c r="AY1140" s="141">
        <f t="shared" si="1494"/>
        <v>1</v>
      </c>
      <c r="AZ1140">
        <f t="shared" si="1495"/>
        <v>0</v>
      </c>
      <c r="BA1140">
        <f t="shared" si="1496"/>
        <v>0</v>
      </c>
      <c r="BB1140">
        <f t="shared" si="1497"/>
        <v>1</v>
      </c>
      <c r="BC1140">
        <f t="shared" si="1498"/>
        <v>0</v>
      </c>
      <c r="BD1140">
        <f t="shared" si="1499"/>
        <v>0</v>
      </c>
      <c r="BE1140" t="str" cm="1">
        <f t="array" ref="BE1140">IF(AY1140=1,INDEX($V$7:$AL$7,MATCH(TRUE,INDEX($V1140:$AW1140&lt;&gt;0,),0)),IF(AY1140=0,INDEX($AM$7:$AW$7,MATCH(1,$AM1140:$AW1140,0)),IF(BF1140="Multiple strategies","mixed drivers",IF(BF1140="Supply chain","multiple supply","multiple silviculture"))))</f>
        <v>technologies/design switch</v>
      </c>
      <c r="BF1140" s="2" t="str" cm="1">
        <f t="array" ref="BF1140">IF(COUNTIF(AZ1140:BB1140,"&lt;&gt;0")=1,INDEX($V$4:$AW$4,MATCH(TRUE,INDEX($V1140:$AW1140&lt;&gt;0,),0)),IF(COUNTIF(AZ1140:BB1140,"&lt;&gt;0")=0,INDEX($AM$4:$AW$4,MATCH(1,$AM1140:$AW1140,0)),"Multiple strategies"))</f>
        <v>Technology</v>
      </c>
      <c r="BG1140" s="142" t="s">
        <v>229</v>
      </c>
      <c r="BH1140" t="s">
        <v>969</v>
      </c>
      <c r="BI1140" t="s">
        <v>992</v>
      </c>
      <c r="BJ1140" t="s">
        <v>498</v>
      </c>
      <c r="BK1140">
        <v>0</v>
      </c>
      <c r="BL1140">
        <v>1</v>
      </c>
      <c r="BM1140" t="str">
        <f t="shared" si="1500"/>
        <v/>
      </c>
      <c r="BN1140">
        <f t="shared" si="1501"/>
        <v>1</v>
      </c>
      <c r="BO1140">
        <v>1</v>
      </c>
      <c r="BP1140" t="s">
        <v>232</v>
      </c>
      <c r="BQ1140" t="s">
        <v>742</v>
      </c>
      <c r="BR1140" s="264" t="s">
        <v>972</v>
      </c>
      <c r="BV1140">
        <v>0.7</v>
      </c>
      <c r="BX1140">
        <f t="shared" si="1502"/>
        <v>0.7</v>
      </c>
      <c r="BY1140">
        <f t="shared" si="1524"/>
        <v>0.7</v>
      </c>
      <c r="BZ1140">
        <v>0</v>
      </c>
      <c r="CA1140">
        <v>0</v>
      </c>
      <c r="CB1140">
        <v>0</v>
      </c>
      <c r="CC1140">
        <v>0</v>
      </c>
      <c r="CD1140">
        <v>0</v>
      </c>
      <c r="CE1140">
        <v>0</v>
      </c>
      <c r="CF1140">
        <v>0</v>
      </c>
      <c r="CG1140">
        <v>0</v>
      </c>
      <c r="CH1140">
        <v>0</v>
      </c>
      <c r="CI1140">
        <v>0</v>
      </c>
      <c r="CJ1140">
        <v>0</v>
      </c>
      <c r="CK1140">
        <v>0</v>
      </c>
      <c r="CL1140">
        <v>0</v>
      </c>
      <c r="CM1140">
        <v>0</v>
      </c>
      <c r="CN1140" t="str">
        <f t="shared" si="1503"/>
        <v>refOK</v>
      </c>
      <c r="CO1140">
        <f t="shared" si="1504"/>
        <v>0</v>
      </c>
      <c r="CP1140">
        <f t="shared" si="1505"/>
        <v>1</v>
      </c>
      <c r="CQ1140">
        <f t="shared" si="1506"/>
        <v>1</v>
      </c>
      <c r="CR1140">
        <f t="shared" si="1507"/>
        <v>0</v>
      </c>
      <c r="CS1140">
        <f t="shared" si="1508"/>
        <v>0</v>
      </c>
      <c r="CT1140">
        <f t="shared" si="1509"/>
        <v>0.7</v>
      </c>
      <c r="CU1140">
        <f t="shared" si="1510"/>
        <v>0.7</v>
      </c>
      <c r="CV1140" s="2" t="str">
        <f t="shared" si="1511"/>
        <v/>
      </c>
      <c r="CW1140" s="1" t="s">
        <v>263</v>
      </c>
      <c r="CX1140" s="264" t="str">
        <f t="shared" si="1512"/>
        <v>loc</v>
      </c>
      <c r="CY1140" t="s">
        <v>264</v>
      </c>
      <c r="DA1140" s="143"/>
      <c r="DB1140" s="143">
        <v>45</v>
      </c>
      <c r="DC1140" t="str">
        <f t="shared" si="1513"/>
        <v>31-70</v>
      </c>
      <c r="DD1140">
        <v>0</v>
      </c>
      <c r="DE1140">
        <v>0</v>
      </c>
      <c r="DF1140">
        <v>0</v>
      </c>
      <c r="DG1140">
        <v>1</v>
      </c>
      <c r="DH1140">
        <v>0</v>
      </c>
      <c r="DI1140">
        <f t="shared" si="1514"/>
        <v>1</v>
      </c>
      <c r="DJ1140" t="str">
        <f t="shared" si="1515"/>
        <v>TimberInput</v>
      </c>
      <c r="DK1140">
        <f t="shared" si="1516"/>
        <v>0</v>
      </c>
      <c r="DL1140">
        <f t="shared" si="1517"/>
        <v>0</v>
      </c>
      <c r="DM1140">
        <f t="shared" si="1518"/>
        <v>0</v>
      </c>
      <c r="DN1140" t="str">
        <f t="shared" si="1519"/>
        <v>Timber</v>
      </c>
      <c r="DO1140">
        <v>1</v>
      </c>
      <c r="DP1140">
        <v>0</v>
      </c>
      <c r="DQ1140">
        <v>0</v>
      </c>
      <c r="DR1140">
        <v>0</v>
      </c>
      <c r="DS1140">
        <v>0</v>
      </c>
      <c r="DT1140">
        <f t="shared" si="1520"/>
        <v>1</v>
      </c>
      <c r="DU1140" s="143" t="str">
        <f t="shared" si="1521"/>
        <v>self-calculated DF</v>
      </c>
      <c r="DV1140" s="143">
        <v>0</v>
      </c>
      <c r="DW1140" s="143">
        <v>0</v>
      </c>
      <c r="DX1140" s="143">
        <v>0</v>
      </c>
      <c r="DY1140" s="143">
        <v>0</v>
      </c>
      <c r="DZ1140">
        <v>0</v>
      </c>
      <c r="EA1140" s="143">
        <v>0</v>
      </c>
      <c r="EB1140" s="143">
        <v>0</v>
      </c>
      <c r="EC1140" s="143">
        <v>1</v>
      </c>
      <c r="ED1140" s="143">
        <v>0</v>
      </c>
      <c r="EE1140">
        <v>1</v>
      </c>
      <c r="EF1140">
        <v>0</v>
      </c>
      <c r="EG1140" s="143">
        <v>0</v>
      </c>
      <c r="EH1140" s="143">
        <v>0</v>
      </c>
      <c r="EI1140" s="2">
        <v>0</v>
      </c>
      <c r="EK1140" t="str">
        <f t="shared" si="1522"/>
        <v/>
      </c>
      <c r="EL1140" t="str">
        <f t="shared" si="1523"/>
        <v/>
      </c>
      <c r="EM1140" s="2" t="str">
        <f t="shared" si="1525"/>
        <v>Technology approach</v>
      </c>
      <c r="EN1140" t="s">
        <v>1004</v>
      </c>
      <c r="EP1140" t="str">
        <f>IF(ISNUMBER(BU1140),IF(ABS(BU1140-[4]QC_indicators!$B$2)&gt;3*[4]QC_indicators!$C$2,"C ratio",IF(ISNUMBER(BY1140),IF(ABS(BY1140-[4]QC_indicators!$B$1)&gt;3*[4]QC_indicators!$C$1,"DF","no"))),IF(ISNUMBER(BY1140),IF(ABS(BY1140-[4]QC_indicators!$B$1)&gt;3*[4]QC_indicators!$C$1,"DF","no")))</f>
        <v>no</v>
      </c>
      <c r="ER1140" s="264" t="s">
        <v>994</v>
      </c>
      <c r="ET1140" s="264" t="s">
        <v>3406</v>
      </c>
    </row>
    <row r="1141" spans="4:150" ht="15" hidden="1" customHeight="1">
      <c r="D1141" t="s">
        <v>962</v>
      </c>
      <c r="E1141" t="s">
        <v>987</v>
      </c>
      <c r="G1141" t="s">
        <v>693</v>
      </c>
      <c r="I1141">
        <v>2003</v>
      </c>
      <c r="K1141" s="295" t="s">
        <v>988</v>
      </c>
      <c r="M1141" t="str">
        <f t="shared" si="1430"/>
        <v>Petersen_2003</v>
      </c>
      <c r="N1141" t="s">
        <v>222</v>
      </c>
      <c r="O1141" s="171" t="s">
        <v>513</v>
      </c>
      <c r="P1141" s="141" t="s">
        <v>225</v>
      </c>
      <c r="Q1141" s="264" t="s">
        <v>389</v>
      </c>
      <c r="R1141" s="269" t="s">
        <v>1153</v>
      </c>
      <c r="S1141" s="263" t="s">
        <v>1005</v>
      </c>
      <c r="T1141" s="264" t="s">
        <v>998</v>
      </c>
      <c r="U1141" s="264" t="s">
        <v>999</v>
      </c>
      <c r="V1141">
        <v>0</v>
      </c>
      <c r="W1141">
        <v>0</v>
      </c>
      <c r="X1141">
        <v>0</v>
      </c>
      <c r="Y1141">
        <v>0</v>
      </c>
      <c r="Z1141">
        <v>0</v>
      </c>
      <c r="AA1141">
        <v>0</v>
      </c>
      <c r="AB1141">
        <v>0</v>
      </c>
      <c r="AC1141">
        <v>0</v>
      </c>
      <c r="AD1141">
        <v>0</v>
      </c>
      <c r="AE1141">
        <v>0</v>
      </c>
      <c r="AF1141">
        <v>0</v>
      </c>
      <c r="AG1141">
        <v>0</v>
      </c>
      <c r="AH1141">
        <v>0</v>
      </c>
      <c r="AI1141">
        <v>0</v>
      </c>
      <c r="AJ1141">
        <v>0</v>
      </c>
      <c r="AK1141">
        <v>1</v>
      </c>
      <c r="AL1141">
        <v>0</v>
      </c>
      <c r="AM1141">
        <v>0</v>
      </c>
      <c r="AN1141">
        <v>0</v>
      </c>
      <c r="AO1141">
        <v>0</v>
      </c>
      <c r="AP1141">
        <v>0</v>
      </c>
      <c r="AQ1141">
        <v>0</v>
      </c>
      <c r="AR1141">
        <v>0</v>
      </c>
      <c r="AS1141">
        <v>0</v>
      </c>
      <c r="AT1141">
        <v>0</v>
      </c>
      <c r="AU1141">
        <v>0</v>
      </c>
      <c r="AV1141">
        <v>0</v>
      </c>
      <c r="AW1141">
        <v>0</v>
      </c>
      <c r="AX1141" s="141">
        <f t="shared" si="1493"/>
        <v>1</v>
      </c>
      <c r="AY1141" s="141">
        <f t="shared" si="1494"/>
        <v>1</v>
      </c>
      <c r="AZ1141">
        <f t="shared" si="1495"/>
        <v>0</v>
      </c>
      <c r="BA1141">
        <f t="shared" si="1496"/>
        <v>0</v>
      </c>
      <c r="BB1141">
        <f t="shared" si="1497"/>
        <v>1</v>
      </c>
      <c r="BC1141">
        <f t="shared" si="1498"/>
        <v>0</v>
      </c>
      <c r="BD1141">
        <f t="shared" si="1499"/>
        <v>0</v>
      </c>
      <c r="BE1141" t="str" cm="1">
        <f t="array" ref="BE1141">IF(AY1141=1,INDEX($V$7:$AL$7,MATCH(TRUE,INDEX($V1141:$AW1141&lt;&gt;0,),0)),IF(AY1141=0,INDEX($AM$7:$AW$7,MATCH(1,$AM1141:$AW1141,0)),IF(BF1141="Multiple strategies","mixed drivers",IF(BF1141="Supply chain","multiple supply","multiple silviculture"))))</f>
        <v>technologies/design switch</v>
      </c>
      <c r="BF1141" s="2" t="str" cm="1">
        <f t="array" ref="BF1141">IF(COUNTIF(AZ1141:BB1141,"&lt;&gt;0")=1,INDEX($V$4:$AW$4,MATCH(TRUE,INDEX($V1141:$AW1141&lt;&gt;0,),0)),IF(COUNTIF(AZ1141:BB1141,"&lt;&gt;0")=0,INDEX($AM$4:$AW$4,MATCH(1,$AM1141:$AW1141,0)),"Multiple strategies"))</f>
        <v>Technology</v>
      </c>
      <c r="BG1141" s="142" t="s">
        <v>229</v>
      </c>
      <c r="BH1141" t="s">
        <v>969</v>
      </c>
      <c r="BI1141" t="s">
        <v>992</v>
      </c>
      <c r="BJ1141" t="s">
        <v>498</v>
      </c>
      <c r="BK1141">
        <v>0</v>
      </c>
      <c r="BL1141">
        <v>1</v>
      </c>
      <c r="BM1141" t="str">
        <f t="shared" si="1500"/>
        <v/>
      </c>
      <c r="BN1141">
        <f t="shared" si="1501"/>
        <v>1</v>
      </c>
      <c r="BO1141">
        <v>1</v>
      </c>
      <c r="BP1141" t="s">
        <v>232</v>
      </c>
      <c r="BQ1141" t="s">
        <v>742</v>
      </c>
      <c r="BR1141" s="264" t="s">
        <v>972</v>
      </c>
      <c r="BV1141">
        <v>0.84599999999999997</v>
      </c>
      <c r="BX1141">
        <f t="shared" si="1502"/>
        <v>0.84599999999999997</v>
      </c>
      <c r="BY1141">
        <f t="shared" si="1524"/>
        <v>0.84599999999999997</v>
      </c>
      <c r="BZ1141">
        <v>0</v>
      </c>
      <c r="CA1141">
        <v>0</v>
      </c>
      <c r="CB1141">
        <v>0</v>
      </c>
      <c r="CC1141">
        <v>0</v>
      </c>
      <c r="CD1141">
        <v>0</v>
      </c>
      <c r="CE1141">
        <v>0</v>
      </c>
      <c r="CF1141">
        <v>0</v>
      </c>
      <c r="CG1141">
        <v>0</v>
      </c>
      <c r="CH1141">
        <v>0</v>
      </c>
      <c r="CI1141">
        <v>0</v>
      </c>
      <c r="CJ1141">
        <v>0</v>
      </c>
      <c r="CK1141">
        <v>0</v>
      </c>
      <c r="CL1141">
        <v>0</v>
      </c>
      <c r="CM1141">
        <v>0</v>
      </c>
      <c r="CN1141" t="str">
        <f t="shared" si="1503"/>
        <v>refOK</v>
      </c>
      <c r="CO1141">
        <f t="shared" si="1504"/>
        <v>0</v>
      </c>
      <c r="CP1141">
        <f t="shared" si="1505"/>
        <v>1</v>
      </c>
      <c r="CQ1141">
        <f t="shared" si="1506"/>
        <v>1</v>
      </c>
      <c r="CR1141">
        <f t="shared" si="1507"/>
        <v>0</v>
      </c>
      <c r="CS1141">
        <f t="shared" si="1508"/>
        <v>0</v>
      </c>
      <c r="CT1141">
        <f t="shared" si="1509"/>
        <v>0.84599999999999997</v>
      </c>
      <c r="CU1141">
        <f t="shared" si="1510"/>
        <v>0.84599999999999997</v>
      </c>
      <c r="CV1141" s="2" t="str">
        <f t="shared" si="1511"/>
        <v/>
      </c>
      <c r="CW1141" s="1" t="s">
        <v>263</v>
      </c>
      <c r="CX1141" s="264" t="str">
        <f t="shared" si="1512"/>
        <v>loc</v>
      </c>
      <c r="CY1141" t="s">
        <v>264</v>
      </c>
      <c r="DA1141" s="143"/>
      <c r="DB1141" s="143">
        <v>45</v>
      </c>
      <c r="DC1141" t="str">
        <f t="shared" si="1513"/>
        <v>31-70</v>
      </c>
      <c r="DD1141">
        <v>0</v>
      </c>
      <c r="DE1141">
        <v>0</v>
      </c>
      <c r="DF1141">
        <v>0</v>
      </c>
      <c r="DG1141">
        <v>1</v>
      </c>
      <c r="DH1141">
        <v>0</v>
      </c>
      <c r="DI1141">
        <f t="shared" si="1514"/>
        <v>1</v>
      </c>
      <c r="DJ1141" t="str">
        <f t="shared" si="1515"/>
        <v>TimberInput</v>
      </c>
      <c r="DK1141">
        <f t="shared" si="1516"/>
        <v>0</v>
      </c>
      <c r="DL1141">
        <f t="shared" si="1517"/>
        <v>0</v>
      </c>
      <c r="DM1141">
        <f t="shared" si="1518"/>
        <v>0</v>
      </c>
      <c r="DN1141" t="str">
        <f t="shared" si="1519"/>
        <v>Timber</v>
      </c>
      <c r="DO1141">
        <v>1</v>
      </c>
      <c r="DP1141">
        <v>0</v>
      </c>
      <c r="DQ1141">
        <v>0</v>
      </c>
      <c r="DR1141">
        <v>0</v>
      </c>
      <c r="DS1141">
        <v>0</v>
      </c>
      <c r="DT1141">
        <f t="shared" si="1520"/>
        <v>1</v>
      </c>
      <c r="DU1141" s="143" t="str">
        <f t="shared" si="1521"/>
        <v>self-calculated DF</v>
      </c>
      <c r="DV1141" s="143">
        <v>0</v>
      </c>
      <c r="DW1141" s="143">
        <v>0</v>
      </c>
      <c r="DX1141" s="143">
        <v>0</v>
      </c>
      <c r="DY1141" s="143">
        <v>0</v>
      </c>
      <c r="DZ1141">
        <v>0</v>
      </c>
      <c r="EA1141" s="143">
        <v>0</v>
      </c>
      <c r="EB1141" s="143">
        <v>0</v>
      </c>
      <c r="EC1141" s="143">
        <v>1</v>
      </c>
      <c r="ED1141" s="143">
        <v>0</v>
      </c>
      <c r="EE1141">
        <v>0</v>
      </c>
      <c r="EF1141">
        <v>0</v>
      </c>
      <c r="EG1141" s="143">
        <v>0</v>
      </c>
      <c r="EH1141" s="143">
        <v>0</v>
      </c>
      <c r="EI1141" s="2">
        <v>0</v>
      </c>
      <c r="EK1141" t="str">
        <f t="shared" si="1522"/>
        <v/>
      </c>
      <c r="EL1141" t="str">
        <f t="shared" si="1523"/>
        <v/>
      </c>
      <c r="EM1141" s="2" t="str">
        <f t="shared" si="1525"/>
        <v/>
      </c>
      <c r="EN1141" t="s">
        <v>1004</v>
      </c>
      <c r="EP1141" t="str">
        <f>IF(ISNUMBER(BU1141),IF(ABS(BU1141-[4]QC_indicators!$B$2)&gt;3*[4]QC_indicators!$C$2,"C ratio",IF(ISNUMBER(BY1141),IF(ABS(BY1141-[4]QC_indicators!$B$1)&gt;3*[4]QC_indicators!$C$1,"DF","no"))),IF(ISNUMBER(BY1141),IF(ABS(BY1141-[4]QC_indicators!$B$1)&gt;3*[4]QC_indicators!$C$1,"DF","no")))</f>
        <v>no</v>
      </c>
      <c r="ER1141" s="264" t="s">
        <v>994</v>
      </c>
      <c r="ET1141" s="264" t="s">
        <v>3406</v>
      </c>
    </row>
    <row r="1142" spans="4:150" ht="15" hidden="1" customHeight="1">
      <c r="D1142" t="s">
        <v>962</v>
      </c>
      <c r="E1142" t="s">
        <v>1006</v>
      </c>
      <c r="G1142" t="s">
        <v>1007</v>
      </c>
      <c r="I1142">
        <v>2004</v>
      </c>
      <c r="K1142" t="s">
        <v>1008</v>
      </c>
      <c r="M1142" t="str">
        <f t="shared" si="1430"/>
        <v>Petersen_2004</v>
      </c>
      <c r="N1142" t="s">
        <v>222</v>
      </c>
      <c r="O1142" s="171" t="s">
        <v>513</v>
      </c>
      <c r="P1142" s="141" t="s">
        <v>225</v>
      </c>
      <c r="Q1142" t="s">
        <v>389</v>
      </c>
      <c r="R1142" s="262" t="s">
        <v>223</v>
      </c>
      <c r="T1142" s="264" t="s">
        <v>1009</v>
      </c>
      <c r="U1142" t="s">
        <v>1010</v>
      </c>
      <c r="V1142">
        <v>0</v>
      </c>
      <c r="W1142">
        <v>0</v>
      </c>
      <c r="X1142">
        <v>0</v>
      </c>
      <c r="Y1142">
        <v>0</v>
      </c>
      <c r="Z1142">
        <v>0</v>
      </c>
      <c r="AA1142">
        <v>0</v>
      </c>
      <c r="AB1142">
        <v>0</v>
      </c>
      <c r="AC1142">
        <v>0</v>
      </c>
      <c r="AD1142">
        <v>0</v>
      </c>
      <c r="AE1142">
        <v>0</v>
      </c>
      <c r="AF1142">
        <v>0</v>
      </c>
      <c r="AG1142">
        <v>0</v>
      </c>
      <c r="AH1142">
        <v>0</v>
      </c>
      <c r="AI1142">
        <v>0</v>
      </c>
      <c r="AJ1142">
        <v>1</v>
      </c>
      <c r="AK1142">
        <v>0</v>
      </c>
      <c r="AL1142">
        <v>0</v>
      </c>
      <c r="AM1142">
        <v>0</v>
      </c>
      <c r="AN1142">
        <v>0</v>
      </c>
      <c r="AO1142">
        <v>0</v>
      </c>
      <c r="AP1142">
        <v>0</v>
      </c>
      <c r="AQ1142">
        <v>0</v>
      </c>
      <c r="AR1142">
        <v>0</v>
      </c>
      <c r="AS1142">
        <v>0</v>
      </c>
      <c r="AT1142">
        <v>0</v>
      </c>
      <c r="AU1142">
        <v>0</v>
      </c>
      <c r="AV1142">
        <v>0</v>
      </c>
      <c r="AW1142">
        <v>0</v>
      </c>
      <c r="AX1142" s="141">
        <f t="shared" si="1493"/>
        <v>1</v>
      </c>
      <c r="AY1142" s="141">
        <f t="shared" si="1494"/>
        <v>1</v>
      </c>
      <c r="AZ1142">
        <f t="shared" si="1495"/>
        <v>0</v>
      </c>
      <c r="BA1142">
        <f t="shared" si="1496"/>
        <v>0</v>
      </c>
      <c r="BB1142">
        <f t="shared" si="1497"/>
        <v>1</v>
      </c>
      <c r="BC1142">
        <f t="shared" si="1498"/>
        <v>0</v>
      </c>
      <c r="BD1142">
        <f t="shared" si="1499"/>
        <v>0</v>
      </c>
      <c r="BE1142" t="str">
        <f t="array" ref="BE1142">IF(AY1142=1,INDEX($V$7:$AL$7,MATCH(TRUE,INDEX($V1142:$AW1142&lt;&gt;0,),0)),IF(AY1142=0,INDEX($AM$7:$AW$7,MATCH(1,$AM1142:$AW1142,0)),IF(BF1142="Multiple strategies","mixed drivers",IF(BF1142="Supply chain","multiple supply","multiple silviculture"))))</f>
        <v>efficiency improvement</v>
      </c>
      <c r="BF1142" s="2" t="str" cm="1">
        <f t="array" ref="BF1142">IF(COUNTIF(AZ1142:BB1142,"&lt;&gt;0")=1,INDEX($V$4:$AW$4,MATCH(TRUE,INDEX($V1142:$AW1142&lt;&gt;0,),0)),IF(COUNTIF(AZ1142:BB1142,"&lt;&gt;0")=0,INDEX($AM$4:$AW$4,MATCH(1,$AM1142:$AW1142,0)),"Multiple strategies"))</f>
        <v>Technology</v>
      </c>
      <c r="BG1142" s="142" t="s">
        <v>229</v>
      </c>
      <c r="BH1142" t="s">
        <v>969</v>
      </c>
      <c r="BI1142" t="s">
        <v>1011</v>
      </c>
      <c r="BJ1142" t="s">
        <v>498</v>
      </c>
      <c r="BK1142">
        <v>1</v>
      </c>
      <c r="BL1142" s="143">
        <v>1</v>
      </c>
      <c r="BM1142">
        <f t="shared" si="1500"/>
        <v>1</v>
      </c>
      <c r="BN1142">
        <f t="shared" si="1501"/>
        <v>0</v>
      </c>
      <c r="BO1142" s="159">
        <v>1</v>
      </c>
      <c r="BP1142" t="s">
        <v>232</v>
      </c>
      <c r="BQ1142" t="s">
        <v>1012</v>
      </c>
      <c r="BR1142" t="s">
        <v>972</v>
      </c>
      <c r="BS1142">
        <v>0.8</v>
      </c>
      <c r="BT1142">
        <v>0.8</v>
      </c>
      <c r="BU1142" s="144"/>
      <c r="BV1142">
        <v>0</v>
      </c>
      <c r="BX1142">
        <f>BV1142*C_to_CO2</f>
        <v>0</v>
      </c>
      <c r="BY1142">
        <f t="shared" si="1524"/>
        <v>0</v>
      </c>
      <c r="BZ1142">
        <v>0</v>
      </c>
      <c r="CA1142">
        <v>0</v>
      </c>
      <c r="CB1142">
        <v>0</v>
      </c>
      <c r="CC1142">
        <v>0</v>
      </c>
      <c r="CD1142">
        <v>0</v>
      </c>
      <c r="CE1142">
        <v>0</v>
      </c>
      <c r="CF1142">
        <v>0</v>
      </c>
      <c r="CG1142">
        <v>0</v>
      </c>
      <c r="CH1142">
        <v>0</v>
      </c>
      <c r="CI1142">
        <v>0</v>
      </c>
      <c r="CJ1142">
        <v>0</v>
      </c>
      <c r="CK1142">
        <v>0</v>
      </c>
      <c r="CL1142">
        <v>0</v>
      </c>
      <c r="CM1142">
        <v>0</v>
      </c>
      <c r="CN1142" t="str">
        <f t="shared" si="1503"/>
        <v>refOK</v>
      </c>
      <c r="CO1142">
        <f t="shared" si="1504"/>
        <v>1</v>
      </c>
      <c r="CP1142">
        <f t="shared" si="1505"/>
        <v>1</v>
      </c>
      <c r="CQ1142">
        <f t="shared" si="1506"/>
        <v>1</v>
      </c>
      <c r="CR1142">
        <f t="shared" si="1507"/>
        <v>0.8</v>
      </c>
      <c r="CS1142">
        <f t="shared" si="1508"/>
        <v>0.8</v>
      </c>
      <c r="CT1142">
        <f t="shared" si="1509"/>
        <v>0</v>
      </c>
      <c r="CU1142">
        <f t="shared" si="1510"/>
        <v>0</v>
      </c>
      <c r="CV1142" s="2">
        <f t="shared" si="1511"/>
        <v>0</v>
      </c>
      <c r="CW1142" s="1" t="s">
        <v>263</v>
      </c>
      <c r="CX1142" t="str">
        <f t="shared" si="1512"/>
        <v>loc</v>
      </c>
      <c r="CY1142" t="s">
        <v>264</v>
      </c>
      <c r="DA1142" s="143"/>
      <c r="DB1142" s="143">
        <v>45</v>
      </c>
      <c r="DC1142" t="str">
        <f t="shared" si="1513"/>
        <v>31-70</v>
      </c>
      <c r="DD1142">
        <v>0</v>
      </c>
      <c r="DE1142">
        <v>0</v>
      </c>
      <c r="DF1142">
        <v>0</v>
      </c>
      <c r="DG1142">
        <v>1</v>
      </c>
      <c r="DH1142">
        <v>0</v>
      </c>
      <c r="DI1142">
        <f t="shared" si="1514"/>
        <v>1</v>
      </c>
      <c r="DJ1142" t="str">
        <f t="shared" si="1515"/>
        <v>TimberInput</v>
      </c>
      <c r="DK1142">
        <f t="shared" si="1516"/>
        <v>0</v>
      </c>
      <c r="DL1142">
        <f t="shared" si="1517"/>
        <v>0</v>
      </c>
      <c r="DM1142">
        <f t="shared" si="1518"/>
        <v>0</v>
      </c>
      <c r="DN1142" t="str">
        <f t="shared" si="1519"/>
        <v>Timber</v>
      </c>
      <c r="DO1142">
        <v>1</v>
      </c>
      <c r="DP1142">
        <v>0</v>
      </c>
      <c r="DQ1142">
        <v>0</v>
      </c>
      <c r="DR1142">
        <v>0</v>
      </c>
      <c r="DS1142">
        <v>0</v>
      </c>
      <c r="DT1142">
        <f t="shared" si="1520"/>
        <v>1</v>
      </c>
      <c r="DU1142" s="143" t="str">
        <f t="shared" si="1521"/>
        <v>self-calculated DF</v>
      </c>
      <c r="DV1142" s="143">
        <v>0</v>
      </c>
      <c r="DW1142" s="143">
        <v>0</v>
      </c>
      <c r="DX1142" s="143">
        <v>0</v>
      </c>
      <c r="DY1142" s="143">
        <v>0</v>
      </c>
      <c r="DZ1142">
        <v>0</v>
      </c>
      <c r="EA1142" s="143">
        <v>1</v>
      </c>
      <c r="EB1142" s="143">
        <v>0</v>
      </c>
      <c r="EC1142" s="143">
        <v>1</v>
      </c>
      <c r="ED1142" s="143">
        <v>0</v>
      </c>
      <c r="EE1142">
        <v>0</v>
      </c>
      <c r="EF1142">
        <v>0</v>
      </c>
      <c r="EG1142" s="143">
        <v>0</v>
      </c>
      <c r="EH1142" s="143">
        <v>0</v>
      </c>
      <c r="EI1142" s="2">
        <v>0</v>
      </c>
      <c r="EK1142" t="str">
        <f t="shared" si="1522"/>
        <v/>
      </c>
      <c r="EL1142" t="str">
        <f t="shared" si="1523"/>
        <v/>
      </c>
      <c r="EM1142" s="2" t="str">
        <f t="shared" si="1525"/>
        <v/>
      </c>
      <c r="EP1142" t="str">
        <f>IF(ISNUMBER(BU1142),IF(ABS(BU1142-[3]QC_indicators!$B$2)&gt;3*[3]QC_indicators!$C$2,"C ratio",IF(ISNUMBER(BY1142),IF(ABS(BY1142-[3]QC_indicators!$B$1)&gt;3*[3]QC_indicators!$C$1,"DF","no"))),IF(ISNUMBER(BY1142),IF(ABS(BY1142-[3]QC_indicators!$B$1)&gt;3*[3]QC_indicators!$C$1,"DF","no")))</f>
        <v>no</v>
      </c>
      <c r="ER1142" t="s">
        <v>994</v>
      </c>
      <c r="ET1142" s="264" t="s">
        <v>3211</v>
      </c>
    </row>
    <row r="1143" spans="4:150" ht="15" hidden="1" customHeight="1">
      <c r="D1143" t="s">
        <v>962</v>
      </c>
      <c r="E1143" t="s">
        <v>1006</v>
      </c>
      <c r="G1143" t="s">
        <v>1007</v>
      </c>
      <c r="I1143">
        <v>2004</v>
      </c>
      <c r="K1143" t="s">
        <v>1008</v>
      </c>
      <c r="M1143" t="str">
        <f t="shared" si="1430"/>
        <v>Petersen_2004</v>
      </c>
      <c r="N1143" t="s">
        <v>222</v>
      </c>
      <c r="O1143" s="171" t="s">
        <v>513</v>
      </c>
      <c r="P1143" s="141" t="s">
        <v>225</v>
      </c>
      <c r="Q1143" t="s">
        <v>389</v>
      </c>
      <c r="R1143" s="262" t="s">
        <v>223</v>
      </c>
      <c r="S1143" s="1" t="s">
        <v>1013</v>
      </c>
      <c r="T1143" t="s">
        <v>1014</v>
      </c>
      <c r="U1143" t="s">
        <v>1015</v>
      </c>
      <c r="V1143">
        <v>0</v>
      </c>
      <c r="W1143">
        <v>0</v>
      </c>
      <c r="X1143">
        <v>0</v>
      </c>
      <c r="Y1143">
        <v>0</v>
      </c>
      <c r="Z1143">
        <v>0</v>
      </c>
      <c r="AA1143">
        <v>0</v>
      </c>
      <c r="AB1143">
        <v>0</v>
      </c>
      <c r="AC1143">
        <v>0</v>
      </c>
      <c r="AD1143">
        <v>0</v>
      </c>
      <c r="AE1143">
        <v>0</v>
      </c>
      <c r="AF1143">
        <v>0</v>
      </c>
      <c r="AG1143">
        <v>0</v>
      </c>
      <c r="AH1143">
        <v>0</v>
      </c>
      <c r="AI1143">
        <v>0</v>
      </c>
      <c r="AJ1143">
        <v>0</v>
      </c>
      <c r="AK1143">
        <v>1</v>
      </c>
      <c r="AL1143">
        <v>0</v>
      </c>
      <c r="AM1143">
        <v>0</v>
      </c>
      <c r="AN1143">
        <v>0</v>
      </c>
      <c r="AO1143">
        <v>0</v>
      </c>
      <c r="AP1143">
        <v>0</v>
      </c>
      <c r="AQ1143">
        <v>0</v>
      </c>
      <c r="AR1143">
        <v>0</v>
      </c>
      <c r="AS1143">
        <v>0</v>
      </c>
      <c r="AT1143">
        <v>0</v>
      </c>
      <c r="AU1143">
        <v>0</v>
      </c>
      <c r="AV1143">
        <v>0</v>
      </c>
      <c r="AW1143">
        <v>0</v>
      </c>
      <c r="AX1143" s="141">
        <f t="shared" si="1493"/>
        <v>1</v>
      </c>
      <c r="AY1143" s="141">
        <f t="shared" si="1494"/>
        <v>1</v>
      </c>
      <c r="AZ1143">
        <f t="shared" si="1495"/>
        <v>0</v>
      </c>
      <c r="BA1143">
        <f t="shared" si="1496"/>
        <v>0</v>
      </c>
      <c r="BB1143">
        <f t="shared" si="1497"/>
        <v>1</v>
      </c>
      <c r="BC1143">
        <f t="shared" si="1498"/>
        <v>0</v>
      </c>
      <c r="BD1143">
        <f t="shared" si="1499"/>
        <v>0</v>
      </c>
      <c r="BE1143" t="str">
        <f t="array" ref="BE1143">IF(AY1143=1,INDEX($V$7:$AL$7,MATCH(TRUE,INDEX($V1143:$AW1143&lt;&gt;0,),0)),IF(AY1143=0,INDEX($AM$7:$AW$7,MATCH(1,$AM1143:$AW1143,0)),IF(BF1143="Multiple strategies","mixed drivers",IF(BF1143="Supply chain","multiple supply","multiple silviculture"))))</f>
        <v>technologies/design switch</v>
      </c>
      <c r="BF1143" s="2" t="str" cm="1">
        <f t="array" ref="BF1143">IF(COUNTIF(AZ1143:BB1143,"&lt;&gt;0")=1,INDEX($V$4:$AW$4,MATCH(TRUE,INDEX($V1143:$AW1143&lt;&gt;0,),0)),IF(COUNTIF(AZ1143:BB1143,"&lt;&gt;0")=0,INDEX($AM$4:$AW$4,MATCH(1,$AM1143:$AW1143,0)),"Multiple strategies"))</f>
        <v>Technology</v>
      </c>
      <c r="BG1143" s="142" t="s">
        <v>229</v>
      </c>
      <c r="BH1143" t="s">
        <v>969</v>
      </c>
      <c r="BI1143" t="s">
        <v>1011</v>
      </c>
      <c r="BJ1143" t="s">
        <v>498</v>
      </c>
      <c r="BK1143">
        <v>0</v>
      </c>
      <c r="BL1143" s="143">
        <v>1</v>
      </c>
      <c r="BM1143" t="str">
        <f t="shared" si="1500"/>
        <v/>
      </c>
      <c r="BN1143">
        <f t="shared" si="1501"/>
        <v>1</v>
      </c>
      <c r="BO1143" s="159">
        <v>1</v>
      </c>
      <c r="BP1143" t="s">
        <v>232</v>
      </c>
      <c r="BQ1143" t="s">
        <v>1012</v>
      </c>
      <c r="BR1143" t="s">
        <v>1001</v>
      </c>
      <c r="BU1143" s="144"/>
      <c r="BV1143">
        <v>0.1</v>
      </c>
      <c r="BX1143">
        <f t="shared" ref="BX1143:BX1154" si="1526">BV1143</f>
        <v>0.1</v>
      </c>
      <c r="BY1143">
        <f t="shared" si="1524"/>
        <v>0.1</v>
      </c>
      <c r="BZ1143">
        <v>0</v>
      </c>
      <c r="CA1143">
        <v>0</v>
      </c>
      <c r="CB1143">
        <v>0</v>
      </c>
      <c r="CC1143">
        <v>0</v>
      </c>
      <c r="CD1143">
        <v>0</v>
      </c>
      <c r="CE1143">
        <v>0</v>
      </c>
      <c r="CF1143">
        <v>0</v>
      </c>
      <c r="CG1143">
        <v>0</v>
      </c>
      <c r="CH1143">
        <v>0</v>
      </c>
      <c r="CI1143">
        <v>0</v>
      </c>
      <c r="CJ1143">
        <v>0</v>
      </c>
      <c r="CK1143">
        <v>0</v>
      </c>
      <c r="CL1143">
        <v>0</v>
      </c>
      <c r="CM1143">
        <v>0</v>
      </c>
      <c r="CN1143" t="str">
        <f t="shared" si="1503"/>
        <v>refOK</v>
      </c>
      <c r="CO1143">
        <f t="shared" si="1504"/>
        <v>0</v>
      </c>
      <c r="CP1143">
        <f t="shared" si="1505"/>
        <v>1</v>
      </c>
      <c r="CQ1143">
        <f t="shared" si="1506"/>
        <v>1</v>
      </c>
      <c r="CR1143">
        <f t="shared" si="1507"/>
        <v>0</v>
      </c>
      <c r="CS1143">
        <f t="shared" si="1508"/>
        <v>0</v>
      </c>
      <c r="CT1143">
        <f t="shared" si="1509"/>
        <v>0.1</v>
      </c>
      <c r="CU1143">
        <f t="shared" si="1510"/>
        <v>0.1</v>
      </c>
      <c r="CV1143" s="2" t="str">
        <f t="shared" si="1511"/>
        <v/>
      </c>
      <c r="CW1143" s="1" t="s">
        <v>263</v>
      </c>
      <c r="CX1143" t="str">
        <f t="shared" si="1512"/>
        <v>loc</v>
      </c>
      <c r="CY1143" t="s">
        <v>264</v>
      </c>
      <c r="DA1143" s="143"/>
      <c r="DB1143" s="143">
        <v>45</v>
      </c>
      <c r="DC1143" t="str">
        <f t="shared" si="1513"/>
        <v>31-70</v>
      </c>
      <c r="DD1143">
        <v>0</v>
      </c>
      <c r="DE1143">
        <v>0</v>
      </c>
      <c r="DF1143">
        <v>0</v>
      </c>
      <c r="DG1143">
        <v>1</v>
      </c>
      <c r="DH1143">
        <v>0</v>
      </c>
      <c r="DI1143">
        <f t="shared" si="1514"/>
        <v>1</v>
      </c>
      <c r="DJ1143" t="str">
        <f t="shared" si="1515"/>
        <v>TimberInput</v>
      </c>
      <c r="DK1143">
        <f t="shared" si="1516"/>
        <v>0</v>
      </c>
      <c r="DL1143">
        <f t="shared" si="1517"/>
        <v>0</v>
      </c>
      <c r="DM1143">
        <f t="shared" si="1518"/>
        <v>0</v>
      </c>
      <c r="DN1143" t="str">
        <f t="shared" si="1519"/>
        <v>Timber</v>
      </c>
      <c r="DO1143">
        <v>1</v>
      </c>
      <c r="DP1143">
        <v>0</v>
      </c>
      <c r="DQ1143">
        <v>0</v>
      </c>
      <c r="DR1143">
        <v>0</v>
      </c>
      <c r="DS1143">
        <v>0</v>
      </c>
      <c r="DT1143">
        <f t="shared" si="1520"/>
        <v>1</v>
      </c>
      <c r="DU1143" s="143" t="str">
        <f t="shared" si="1521"/>
        <v>self-calculated DF</v>
      </c>
      <c r="DV1143" s="143">
        <v>0</v>
      </c>
      <c r="DW1143" s="143">
        <v>0</v>
      </c>
      <c r="DX1143" s="143">
        <v>0</v>
      </c>
      <c r="DY1143" s="143">
        <v>0</v>
      </c>
      <c r="DZ1143">
        <v>0</v>
      </c>
      <c r="EA1143" s="143">
        <v>0</v>
      </c>
      <c r="EB1143" s="143">
        <v>0</v>
      </c>
      <c r="EC1143" s="143">
        <v>1</v>
      </c>
      <c r="ED1143" s="143">
        <v>0</v>
      </c>
      <c r="EE1143">
        <v>0</v>
      </c>
      <c r="EF1143">
        <v>0</v>
      </c>
      <c r="EG1143" s="143">
        <v>0</v>
      </c>
      <c r="EH1143" s="143">
        <v>0</v>
      </c>
      <c r="EI1143" s="2">
        <v>0</v>
      </c>
      <c r="EK1143" t="str">
        <f t="shared" si="1522"/>
        <v/>
      </c>
      <c r="EL1143" t="str">
        <f t="shared" si="1523"/>
        <v/>
      </c>
      <c r="EM1143" s="2" t="str">
        <f t="shared" si="1525"/>
        <v/>
      </c>
      <c r="EP1143" t="str">
        <f>IF(ISNUMBER(BU1143),IF(ABS(BU1143-[3]QC_indicators!$B$2)&gt;3*[3]QC_indicators!$C$2,"C ratio",IF(ISNUMBER(BY1143),IF(ABS(BY1143-[3]QC_indicators!$B$1)&gt;3*[3]QC_indicators!$C$1,"DF","no"))),IF(ISNUMBER(BY1143),IF(ABS(BY1143-[3]QC_indicators!$B$1)&gt;3*[3]QC_indicators!$C$1,"DF","no")))</f>
        <v>no</v>
      </c>
      <c r="ER1143" t="s">
        <v>994</v>
      </c>
      <c r="ET1143" s="264" t="s">
        <v>3211</v>
      </c>
    </row>
    <row r="1144" spans="4:150" ht="15" hidden="1" customHeight="1">
      <c r="D1144" t="s">
        <v>962</v>
      </c>
      <c r="E1144" t="s">
        <v>1006</v>
      </c>
      <c r="G1144" t="s">
        <v>1007</v>
      </c>
      <c r="I1144">
        <v>2004</v>
      </c>
      <c r="K1144" t="s">
        <v>1008</v>
      </c>
      <c r="M1144" t="str">
        <f t="shared" si="1430"/>
        <v>Petersen_2004</v>
      </c>
      <c r="N1144" t="s">
        <v>222</v>
      </c>
      <c r="O1144" s="171" t="s">
        <v>513</v>
      </c>
      <c r="P1144" s="141" t="s">
        <v>225</v>
      </c>
      <c r="Q1144" t="s">
        <v>389</v>
      </c>
      <c r="R1144" s="262" t="s">
        <v>223</v>
      </c>
      <c r="S1144" s="1" t="s">
        <v>1013</v>
      </c>
      <c r="T1144" t="s">
        <v>1016</v>
      </c>
      <c r="U1144" t="s">
        <v>1015</v>
      </c>
      <c r="V1144">
        <v>0</v>
      </c>
      <c r="W1144">
        <v>0</v>
      </c>
      <c r="X1144">
        <v>0</v>
      </c>
      <c r="Y1144">
        <v>0</v>
      </c>
      <c r="Z1144">
        <v>0</v>
      </c>
      <c r="AA1144">
        <v>0</v>
      </c>
      <c r="AB1144">
        <v>0</v>
      </c>
      <c r="AC1144">
        <v>0</v>
      </c>
      <c r="AD1144">
        <v>0</v>
      </c>
      <c r="AE1144">
        <v>0</v>
      </c>
      <c r="AF1144">
        <v>0</v>
      </c>
      <c r="AG1144">
        <v>0</v>
      </c>
      <c r="AH1144">
        <v>0</v>
      </c>
      <c r="AI1144">
        <v>0</v>
      </c>
      <c r="AJ1144">
        <v>0</v>
      </c>
      <c r="AK1144">
        <v>1</v>
      </c>
      <c r="AL1144">
        <v>0</v>
      </c>
      <c r="AM1144">
        <v>0</v>
      </c>
      <c r="AN1144">
        <v>0</v>
      </c>
      <c r="AO1144">
        <v>0</v>
      </c>
      <c r="AP1144">
        <v>0</v>
      </c>
      <c r="AQ1144">
        <v>0</v>
      </c>
      <c r="AR1144">
        <v>0</v>
      </c>
      <c r="AS1144">
        <v>0</v>
      </c>
      <c r="AT1144">
        <v>0</v>
      </c>
      <c r="AU1144">
        <v>0</v>
      </c>
      <c r="AV1144">
        <v>0</v>
      </c>
      <c r="AW1144">
        <v>0</v>
      </c>
      <c r="AX1144" s="141">
        <f t="shared" si="1493"/>
        <v>1</v>
      </c>
      <c r="AY1144" s="141">
        <f t="shared" si="1494"/>
        <v>1</v>
      </c>
      <c r="AZ1144">
        <f t="shared" si="1495"/>
        <v>0</v>
      </c>
      <c r="BA1144">
        <f t="shared" si="1496"/>
        <v>0</v>
      </c>
      <c r="BB1144">
        <f t="shared" si="1497"/>
        <v>1</v>
      </c>
      <c r="BC1144">
        <f t="shared" si="1498"/>
        <v>0</v>
      </c>
      <c r="BD1144">
        <f t="shared" si="1499"/>
        <v>0</v>
      </c>
      <c r="BE1144" t="str">
        <f t="array" ref="BE1144">IF(AY1144=1,INDEX($V$7:$AL$7,MATCH(TRUE,INDEX($V1144:$AW1144&lt;&gt;0,),0)),IF(AY1144=0,INDEX($AM$7:$AW$7,MATCH(1,$AM1144:$AW1144,0)),IF(BF1144="Multiple strategies","mixed drivers",IF(BF1144="Supply chain","multiple supply","multiple silviculture"))))</f>
        <v>technologies/design switch</v>
      </c>
      <c r="BF1144" s="2" t="str" cm="1">
        <f t="array" ref="BF1144">IF(COUNTIF(AZ1144:BB1144,"&lt;&gt;0")=1,INDEX($V$4:$AW$4,MATCH(TRUE,INDEX($V1144:$AW1144&lt;&gt;0,),0)),IF(COUNTIF(AZ1144:BB1144,"&lt;&gt;0")=0,INDEX($AM$4:$AW$4,MATCH(1,$AM1144:$AW1144,0)),"Multiple strategies"))</f>
        <v>Technology</v>
      </c>
      <c r="BG1144" s="142" t="s">
        <v>229</v>
      </c>
      <c r="BH1144" t="s">
        <v>969</v>
      </c>
      <c r="BI1144" t="s">
        <v>1011</v>
      </c>
      <c r="BJ1144" t="s">
        <v>498</v>
      </c>
      <c r="BK1144">
        <v>0</v>
      </c>
      <c r="BL1144" s="143">
        <v>1</v>
      </c>
      <c r="BM1144" t="str">
        <f t="shared" si="1500"/>
        <v/>
      </c>
      <c r="BN1144">
        <f t="shared" si="1501"/>
        <v>1</v>
      </c>
      <c r="BO1144" s="159">
        <v>1</v>
      </c>
      <c r="BP1144" t="s">
        <v>232</v>
      </c>
      <c r="BQ1144" t="s">
        <v>1012</v>
      </c>
      <c r="BR1144" t="s">
        <v>1001</v>
      </c>
      <c r="BU1144" s="144"/>
      <c r="BV1144">
        <v>0.4</v>
      </c>
      <c r="BX1144">
        <f t="shared" si="1526"/>
        <v>0.4</v>
      </c>
      <c r="BY1144">
        <f t="shared" si="1524"/>
        <v>0.4</v>
      </c>
      <c r="BZ1144">
        <v>0</v>
      </c>
      <c r="CA1144">
        <v>0</v>
      </c>
      <c r="CB1144">
        <v>0</v>
      </c>
      <c r="CC1144">
        <v>0</v>
      </c>
      <c r="CD1144">
        <v>0</v>
      </c>
      <c r="CE1144">
        <v>0</v>
      </c>
      <c r="CF1144">
        <v>0</v>
      </c>
      <c r="CG1144">
        <v>0</v>
      </c>
      <c r="CH1144">
        <v>0</v>
      </c>
      <c r="CI1144">
        <v>0</v>
      </c>
      <c r="CJ1144">
        <v>0</v>
      </c>
      <c r="CK1144">
        <v>0</v>
      </c>
      <c r="CL1144">
        <v>0</v>
      </c>
      <c r="CM1144">
        <v>0</v>
      </c>
      <c r="CN1144" t="str">
        <f t="shared" si="1503"/>
        <v>refOK</v>
      </c>
      <c r="CO1144">
        <f t="shared" si="1504"/>
        <v>0</v>
      </c>
      <c r="CP1144">
        <f t="shared" si="1505"/>
        <v>1</v>
      </c>
      <c r="CQ1144">
        <f t="shared" si="1506"/>
        <v>1</v>
      </c>
      <c r="CR1144">
        <f t="shared" si="1507"/>
        <v>0</v>
      </c>
      <c r="CS1144">
        <f t="shared" si="1508"/>
        <v>0</v>
      </c>
      <c r="CT1144">
        <f t="shared" si="1509"/>
        <v>0.4</v>
      </c>
      <c r="CU1144">
        <f t="shared" si="1510"/>
        <v>0.4</v>
      </c>
      <c r="CV1144" s="2" t="str">
        <f t="shared" si="1511"/>
        <v/>
      </c>
      <c r="CW1144" s="1" t="s">
        <v>263</v>
      </c>
      <c r="CX1144" t="str">
        <f t="shared" si="1512"/>
        <v>loc</v>
      </c>
      <c r="CY1144" t="s">
        <v>264</v>
      </c>
      <c r="DA1144" s="143"/>
      <c r="DB1144" s="143">
        <v>45</v>
      </c>
      <c r="DC1144" t="str">
        <f t="shared" si="1513"/>
        <v>31-70</v>
      </c>
      <c r="DD1144">
        <v>0</v>
      </c>
      <c r="DE1144">
        <v>0</v>
      </c>
      <c r="DF1144">
        <v>0</v>
      </c>
      <c r="DG1144">
        <v>1</v>
      </c>
      <c r="DH1144">
        <v>0</v>
      </c>
      <c r="DI1144">
        <f t="shared" si="1514"/>
        <v>1</v>
      </c>
      <c r="DJ1144" t="str">
        <f t="shared" si="1515"/>
        <v>TimberInput</v>
      </c>
      <c r="DK1144">
        <f t="shared" si="1516"/>
        <v>0</v>
      </c>
      <c r="DL1144">
        <f t="shared" si="1517"/>
        <v>0</v>
      </c>
      <c r="DM1144">
        <f t="shared" si="1518"/>
        <v>0</v>
      </c>
      <c r="DN1144" t="str">
        <f t="shared" si="1519"/>
        <v>Timber</v>
      </c>
      <c r="DO1144">
        <v>1</v>
      </c>
      <c r="DP1144">
        <v>0</v>
      </c>
      <c r="DQ1144">
        <v>0</v>
      </c>
      <c r="DR1144">
        <v>0</v>
      </c>
      <c r="DS1144">
        <v>0</v>
      </c>
      <c r="DT1144">
        <f t="shared" si="1520"/>
        <v>1</v>
      </c>
      <c r="DU1144" s="143" t="str">
        <f t="shared" si="1521"/>
        <v>self-calculated DF</v>
      </c>
      <c r="DV1144" s="143">
        <v>0</v>
      </c>
      <c r="DW1144" s="143">
        <v>0</v>
      </c>
      <c r="DX1144" s="143">
        <v>0</v>
      </c>
      <c r="DY1144" s="143">
        <v>0</v>
      </c>
      <c r="DZ1144">
        <v>0</v>
      </c>
      <c r="EA1144" s="143">
        <v>0</v>
      </c>
      <c r="EB1144" s="143">
        <v>0</v>
      </c>
      <c r="EC1144" s="143">
        <v>1</v>
      </c>
      <c r="ED1144" s="143">
        <v>0</v>
      </c>
      <c r="EE1144">
        <v>0</v>
      </c>
      <c r="EF1144">
        <v>0</v>
      </c>
      <c r="EG1144" s="143">
        <v>0</v>
      </c>
      <c r="EH1144" s="143">
        <v>0</v>
      </c>
      <c r="EI1144" s="2">
        <v>0</v>
      </c>
      <c r="EK1144" t="str">
        <f t="shared" si="1522"/>
        <v/>
      </c>
      <c r="EL1144" t="str">
        <f t="shared" si="1523"/>
        <v/>
      </c>
      <c r="EM1144" s="2" t="str">
        <f t="shared" si="1525"/>
        <v/>
      </c>
      <c r="EP1144" t="str">
        <f>IF(ISNUMBER(BU1144),IF(ABS(BU1144-[3]QC_indicators!$B$2)&gt;3*[3]QC_indicators!$C$2,"C ratio",IF(ISNUMBER(BY1144),IF(ABS(BY1144-[3]QC_indicators!$B$1)&gt;3*[3]QC_indicators!$C$1,"DF","no"))),IF(ISNUMBER(BY1144),IF(ABS(BY1144-[3]QC_indicators!$B$1)&gt;3*[3]QC_indicators!$C$1,"DF","no")))</f>
        <v>no</v>
      </c>
      <c r="ER1144" t="s">
        <v>994</v>
      </c>
      <c r="ET1144" s="264" t="s">
        <v>3211</v>
      </c>
    </row>
    <row r="1145" spans="4:150" ht="15" hidden="1" customHeight="1">
      <c r="D1145" t="s">
        <v>962</v>
      </c>
      <c r="E1145" t="s">
        <v>1006</v>
      </c>
      <c r="G1145" t="s">
        <v>1007</v>
      </c>
      <c r="I1145">
        <v>2004</v>
      </c>
      <c r="K1145" t="s">
        <v>1008</v>
      </c>
      <c r="M1145" t="str">
        <f t="shared" si="1430"/>
        <v>Petersen_2004</v>
      </c>
      <c r="N1145" t="s">
        <v>222</v>
      </c>
      <c r="O1145" s="171" t="s">
        <v>513</v>
      </c>
      <c r="P1145" s="141" t="s">
        <v>225</v>
      </c>
      <c r="Q1145" t="s">
        <v>389</v>
      </c>
      <c r="R1145" s="262" t="s">
        <v>223</v>
      </c>
      <c r="S1145" s="1" t="s">
        <v>1013</v>
      </c>
      <c r="T1145" t="s">
        <v>1017</v>
      </c>
      <c r="U1145" t="s">
        <v>1015</v>
      </c>
      <c r="V1145">
        <v>0</v>
      </c>
      <c r="W1145">
        <v>0</v>
      </c>
      <c r="X1145">
        <v>0</v>
      </c>
      <c r="Y1145">
        <v>0</v>
      </c>
      <c r="Z1145">
        <v>0</v>
      </c>
      <c r="AA1145">
        <v>0</v>
      </c>
      <c r="AB1145">
        <v>0</v>
      </c>
      <c r="AC1145">
        <v>0</v>
      </c>
      <c r="AD1145">
        <v>0</v>
      </c>
      <c r="AE1145">
        <v>0</v>
      </c>
      <c r="AF1145">
        <v>0</v>
      </c>
      <c r="AG1145">
        <v>0</v>
      </c>
      <c r="AH1145">
        <v>0</v>
      </c>
      <c r="AI1145">
        <v>0</v>
      </c>
      <c r="AJ1145">
        <v>0</v>
      </c>
      <c r="AK1145">
        <v>1</v>
      </c>
      <c r="AL1145">
        <v>0</v>
      </c>
      <c r="AM1145">
        <v>0</v>
      </c>
      <c r="AN1145">
        <v>0</v>
      </c>
      <c r="AO1145">
        <v>0</v>
      </c>
      <c r="AP1145">
        <v>0</v>
      </c>
      <c r="AQ1145">
        <v>0</v>
      </c>
      <c r="AR1145">
        <v>0</v>
      </c>
      <c r="AS1145">
        <v>0</v>
      </c>
      <c r="AT1145">
        <v>0</v>
      </c>
      <c r="AU1145">
        <v>0</v>
      </c>
      <c r="AV1145">
        <v>0</v>
      </c>
      <c r="AW1145">
        <v>0</v>
      </c>
      <c r="AX1145" s="141">
        <f t="shared" si="1493"/>
        <v>1</v>
      </c>
      <c r="AY1145" s="141">
        <f t="shared" si="1494"/>
        <v>1</v>
      </c>
      <c r="AZ1145">
        <f t="shared" si="1495"/>
        <v>0</v>
      </c>
      <c r="BA1145">
        <f t="shared" si="1496"/>
        <v>0</v>
      </c>
      <c r="BB1145">
        <f t="shared" si="1497"/>
        <v>1</v>
      </c>
      <c r="BC1145">
        <f t="shared" si="1498"/>
        <v>0</v>
      </c>
      <c r="BD1145">
        <f t="shared" si="1499"/>
        <v>0</v>
      </c>
      <c r="BE1145" t="str">
        <f t="array" ref="BE1145">IF(AY1145=1,INDEX($V$7:$AL$7,MATCH(TRUE,INDEX($V1145:$AW1145&lt;&gt;0,),0)),IF(AY1145=0,INDEX($AM$7:$AW$7,MATCH(1,$AM1145:$AW1145,0)),IF(BF1145="Multiple strategies","mixed drivers",IF(BF1145="Supply chain","multiple supply","multiple silviculture"))))</f>
        <v>technologies/design switch</v>
      </c>
      <c r="BF1145" s="2" t="str" cm="1">
        <f t="array" ref="BF1145">IF(COUNTIF(AZ1145:BB1145,"&lt;&gt;0")=1,INDEX($V$4:$AW$4,MATCH(TRUE,INDEX($V1145:$AW1145&lt;&gt;0,),0)),IF(COUNTIF(AZ1145:BB1145,"&lt;&gt;0")=0,INDEX($AM$4:$AW$4,MATCH(1,$AM1145:$AW1145,0)),"Multiple strategies"))</f>
        <v>Technology</v>
      </c>
      <c r="BG1145" s="142" t="s">
        <v>229</v>
      </c>
      <c r="BH1145" t="s">
        <v>969</v>
      </c>
      <c r="BI1145" t="s">
        <v>1011</v>
      </c>
      <c r="BJ1145" t="s">
        <v>498</v>
      </c>
      <c r="BK1145">
        <v>0</v>
      </c>
      <c r="BL1145" s="143">
        <v>1</v>
      </c>
      <c r="BM1145" t="str">
        <f t="shared" si="1500"/>
        <v/>
      </c>
      <c r="BN1145">
        <f t="shared" si="1501"/>
        <v>1</v>
      </c>
      <c r="BO1145" s="159">
        <v>1</v>
      </c>
      <c r="BP1145" t="s">
        <v>232</v>
      </c>
      <c r="BQ1145" t="s">
        <v>1012</v>
      </c>
      <c r="BR1145" t="s">
        <v>1001</v>
      </c>
      <c r="BU1145" s="144"/>
      <c r="BV1145">
        <v>0.4</v>
      </c>
      <c r="BX1145">
        <f t="shared" si="1526"/>
        <v>0.4</v>
      </c>
      <c r="BY1145">
        <f t="shared" si="1524"/>
        <v>0.4</v>
      </c>
      <c r="BZ1145">
        <v>0</v>
      </c>
      <c r="CA1145">
        <v>0</v>
      </c>
      <c r="CB1145">
        <v>0</v>
      </c>
      <c r="CC1145">
        <v>0</v>
      </c>
      <c r="CD1145">
        <v>0</v>
      </c>
      <c r="CE1145">
        <v>0</v>
      </c>
      <c r="CF1145">
        <v>0</v>
      </c>
      <c r="CG1145">
        <v>0</v>
      </c>
      <c r="CH1145">
        <v>0</v>
      </c>
      <c r="CI1145">
        <v>0</v>
      </c>
      <c r="CJ1145">
        <v>0</v>
      </c>
      <c r="CK1145">
        <v>0</v>
      </c>
      <c r="CL1145">
        <v>0</v>
      </c>
      <c r="CM1145">
        <v>0</v>
      </c>
      <c r="CN1145" t="str">
        <f t="shared" si="1503"/>
        <v>refOK</v>
      </c>
      <c r="CO1145">
        <f t="shared" si="1504"/>
        <v>0</v>
      </c>
      <c r="CP1145">
        <f t="shared" si="1505"/>
        <v>1</v>
      </c>
      <c r="CQ1145">
        <f t="shared" si="1506"/>
        <v>1</v>
      </c>
      <c r="CR1145">
        <f t="shared" si="1507"/>
        <v>0</v>
      </c>
      <c r="CS1145">
        <f t="shared" si="1508"/>
        <v>0</v>
      </c>
      <c r="CT1145">
        <f t="shared" si="1509"/>
        <v>0.4</v>
      </c>
      <c r="CU1145">
        <f t="shared" si="1510"/>
        <v>0.4</v>
      </c>
      <c r="CV1145" s="2" t="str">
        <f t="shared" si="1511"/>
        <v/>
      </c>
      <c r="CW1145" s="1" t="s">
        <v>263</v>
      </c>
      <c r="CX1145" t="str">
        <f t="shared" si="1512"/>
        <v>loc</v>
      </c>
      <c r="CY1145" t="s">
        <v>264</v>
      </c>
      <c r="DA1145" s="143"/>
      <c r="DB1145" s="143">
        <v>45</v>
      </c>
      <c r="DC1145" t="str">
        <f t="shared" si="1513"/>
        <v>31-70</v>
      </c>
      <c r="DD1145">
        <v>0</v>
      </c>
      <c r="DE1145">
        <v>0</v>
      </c>
      <c r="DF1145">
        <v>0</v>
      </c>
      <c r="DG1145">
        <v>1</v>
      </c>
      <c r="DH1145">
        <v>0</v>
      </c>
      <c r="DI1145">
        <f t="shared" si="1514"/>
        <v>1</v>
      </c>
      <c r="DJ1145" t="str">
        <f t="shared" si="1515"/>
        <v>TimberInput</v>
      </c>
      <c r="DK1145">
        <f t="shared" si="1516"/>
        <v>0</v>
      </c>
      <c r="DL1145">
        <f t="shared" si="1517"/>
        <v>0</v>
      </c>
      <c r="DM1145">
        <f t="shared" si="1518"/>
        <v>0</v>
      </c>
      <c r="DN1145" t="str">
        <f t="shared" si="1519"/>
        <v>Timber</v>
      </c>
      <c r="DO1145">
        <v>1</v>
      </c>
      <c r="DP1145">
        <v>0</v>
      </c>
      <c r="DQ1145">
        <v>0</v>
      </c>
      <c r="DR1145">
        <v>0</v>
      </c>
      <c r="DS1145">
        <v>0</v>
      </c>
      <c r="DT1145">
        <f t="shared" si="1520"/>
        <v>1</v>
      </c>
      <c r="DU1145" s="143" t="str">
        <f t="shared" si="1521"/>
        <v>self-calculated DF</v>
      </c>
      <c r="DV1145" s="143">
        <v>0</v>
      </c>
      <c r="DW1145" s="143">
        <v>0</v>
      </c>
      <c r="DX1145" s="143">
        <v>0</v>
      </c>
      <c r="DY1145" s="143">
        <v>0</v>
      </c>
      <c r="DZ1145">
        <v>0</v>
      </c>
      <c r="EA1145" s="143">
        <v>0</v>
      </c>
      <c r="EB1145" s="143">
        <v>0</v>
      </c>
      <c r="EC1145" s="143">
        <v>1</v>
      </c>
      <c r="ED1145" s="143">
        <v>0</v>
      </c>
      <c r="EE1145">
        <v>0</v>
      </c>
      <c r="EF1145">
        <v>0</v>
      </c>
      <c r="EG1145" s="143">
        <v>0</v>
      </c>
      <c r="EH1145" s="143">
        <v>0</v>
      </c>
      <c r="EI1145" s="2">
        <v>0</v>
      </c>
      <c r="EK1145" t="str">
        <f t="shared" si="1522"/>
        <v/>
      </c>
      <c r="EL1145" t="str">
        <f t="shared" si="1523"/>
        <v/>
      </c>
      <c r="EM1145" s="2" t="str">
        <f t="shared" si="1525"/>
        <v/>
      </c>
      <c r="EP1145" t="str">
        <f>IF(ISNUMBER(BU1145),IF(ABS(BU1145-[3]QC_indicators!$B$2)&gt;3*[3]QC_indicators!$C$2,"C ratio",IF(ISNUMBER(BY1145),IF(ABS(BY1145-[3]QC_indicators!$B$1)&gt;3*[3]QC_indicators!$C$1,"DF","no"))),IF(ISNUMBER(BY1145),IF(ABS(BY1145-[3]QC_indicators!$B$1)&gt;3*[3]QC_indicators!$C$1,"DF","no")))</f>
        <v>no</v>
      </c>
      <c r="ER1145" t="s">
        <v>994</v>
      </c>
      <c r="ET1145" s="264" t="s">
        <v>3211</v>
      </c>
    </row>
    <row r="1146" spans="4:150" ht="15" hidden="1" customHeight="1">
      <c r="D1146" t="s">
        <v>962</v>
      </c>
      <c r="E1146" t="s">
        <v>1006</v>
      </c>
      <c r="G1146" t="s">
        <v>1007</v>
      </c>
      <c r="I1146">
        <v>2004</v>
      </c>
      <c r="K1146" t="s">
        <v>1008</v>
      </c>
      <c r="M1146" t="str">
        <f t="shared" si="1430"/>
        <v>Petersen_2004</v>
      </c>
      <c r="N1146" t="s">
        <v>222</v>
      </c>
      <c r="O1146" s="171" t="s">
        <v>513</v>
      </c>
      <c r="P1146" s="141" t="s">
        <v>225</v>
      </c>
      <c r="Q1146" t="s">
        <v>389</v>
      </c>
      <c r="R1146" s="262" t="s">
        <v>223</v>
      </c>
      <c r="S1146" s="1" t="s">
        <v>982</v>
      </c>
      <c r="T1146" t="s">
        <v>1018</v>
      </c>
      <c r="U1146" t="s">
        <v>1019</v>
      </c>
      <c r="V1146">
        <v>0</v>
      </c>
      <c r="W1146">
        <v>0</v>
      </c>
      <c r="X1146">
        <v>0</v>
      </c>
      <c r="Y1146">
        <v>0</v>
      </c>
      <c r="Z1146">
        <v>0</v>
      </c>
      <c r="AA1146">
        <v>0</v>
      </c>
      <c r="AB1146">
        <v>0</v>
      </c>
      <c r="AC1146">
        <v>0</v>
      </c>
      <c r="AD1146">
        <v>0</v>
      </c>
      <c r="AE1146">
        <v>0</v>
      </c>
      <c r="AF1146">
        <v>0</v>
      </c>
      <c r="AG1146">
        <v>0</v>
      </c>
      <c r="AH1146">
        <v>0</v>
      </c>
      <c r="AI1146">
        <v>0</v>
      </c>
      <c r="AJ1146">
        <v>0</v>
      </c>
      <c r="AK1146">
        <v>1</v>
      </c>
      <c r="AL1146">
        <v>0</v>
      </c>
      <c r="AM1146">
        <v>0</v>
      </c>
      <c r="AN1146">
        <v>0</v>
      </c>
      <c r="AO1146">
        <v>0</v>
      </c>
      <c r="AP1146">
        <v>0</v>
      </c>
      <c r="AQ1146">
        <v>0</v>
      </c>
      <c r="AR1146">
        <v>0</v>
      </c>
      <c r="AS1146">
        <v>0</v>
      </c>
      <c r="AT1146">
        <v>0</v>
      </c>
      <c r="AU1146">
        <v>0</v>
      </c>
      <c r="AV1146">
        <v>0</v>
      </c>
      <c r="AW1146">
        <v>0</v>
      </c>
      <c r="AX1146" s="141">
        <f t="shared" si="1493"/>
        <v>1</v>
      </c>
      <c r="AY1146" s="141">
        <f t="shared" si="1494"/>
        <v>1</v>
      </c>
      <c r="AZ1146">
        <f t="shared" si="1495"/>
        <v>0</v>
      </c>
      <c r="BA1146">
        <f t="shared" si="1496"/>
        <v>0</v>
      </c>
      <c r="BB1146">
        <f t="shared" si="1497"/>
        <v>1</v>
      </c>
      <c r="BC1146">
        <f t="shared" si="1498"/>
        <v>0</v>
      </c>
      <c r="BD1146">
        <f t="shared" si="1499"/>
        <v>0</v>
      </c>
      <c r="BE1146" t="str">
        <f t="array" ref="BE1146">IF(AY1146=1,INDEX($V$7:$AL$7,MATCH(TRUE,INDEX($V1146:$AW1146&lt;&gt;0,),0)),IF(AY1146=0,INDEX($AM$7:$AW$7,MATCH(1,$AM1146:$AW1146,0)),IF(BF1146="Multiple strategies","mixed drivers",IF(BF1146="Supply chain","multiple supply","multiple silviculture"))))</f>
        <v>technologies/design switch</v>
      </c>
      <c r="BF1146" s="2" t="str" cm="1">
        <f t="array" ref="BF1146">IF(COUNTIF(AZ1146:BB1146,"&lt;&gt;0")=1,INDEX($V$4:$AW$4,MATCH(TRUE,INDEX($V1146:$AW1146&lt;&gt;0,),0)),IF(COUNTIF(AZ1146:BB1146,"&lt;&gt;0")=0,INDEX($AM$4:$AW$4,MATCH(1,$AM1146:$AW1146,0)),"Multiple strategies"))</f>
        <v>Technology</v>
      </c>
      <c r="BG1146" s="142" t="s">
        <v>229</v>
      </c>
      <c r="BH1146" t="s">
        <v>969</v>
      </c>
      <c r="BI1146" t="s">
        <v>1011</v>
      </c>
      <c r="BJ1146" t="s">
        <v>498</v>
      </c>
      <c r="BK1146">
        <v>0</v>
      </c>
      <c r="BL1146" s="143">
        <v>1</v>
      </c>
      <c r="BM1146" t="str">
        <f t="shared" si="1500"/>
        <v/>
      </c>
      <c r="BN1146">
        <f t="shared" si="1501"/>
        <v>1</v>
      </c>
      <c r="BO1146" s="159">
        <v>1</v>
      </c>
      <c r="BP1146" t="s">
        <v>232</v>
      </c>
      <c r="BQ1146" t="s">
        <v>1012</v>
      </c>
      <c r="BR1146" t="s">
        <v>972</v>
      </c>
      <c r="BU1146" s="144"/>
      <c r="BV1146">
        <v>0.5</v>
      </c>
      <c r="BX1146">
        <f t="shared" si="1526"/>
        <v>0.5</v>
      </c>
      <c r="BY1146">
        <f t="shared" si="1524"/>
        <v>0.5</v>
      </c>
      <c r="BZ1146">
        <v>0</v>
      </c>
      <c r="CA1146">
        <v>0</v>
      </c>
      <c r="CB1146">
        <v>0</v>
      </c>
      <c r="CC1146">
        <v>0</v>
      </c>
      <c r="CD1146">
        <v>0</v>
      </c>
      <c r="CE1146">
        <v>0</v>
      </c>
      <c r="CF1146">
        <v>0</v>
      </c>
      <c r="CG1146">
        <v>0</v>
      </c>
      <c r="CH1146">
        <v>0</v>
      </c>
      <c r="CI1146">
        <v>0</v>
      </c>
      <c r="CJ1146">
        <v>0</v>
      </c>
      <c r="CK1146">
        <v>0</v>
      </c>
      <c r="CL1146">
        <v>0</v>
      </c>
      <c r="CM1146">
        <v>0</v>
      </c>
      <c r="CN1146" t="str">
        <f t="shared" si="1503"/>
        <v>refOK</v>
      </c>
      <c r="CO1146">
        <f t="shared" si="1504"/>
        <v>0</v>
      </c>
      <c r="CP1146">
        <f t="shared" si="1505"/>
        <v>1</v>
      </c>
      <c r="CQ1146">
        <f t="shared" si="1506"/>
        <v>1</v>
      </c>
      <c r="CR1146">
        <f t="shared" si="1507"/>
        <v>0</v>
      </c>
      <c r="CS1146">
        <f t="shared" si="1508"/>
        <v>0</v>
      </c>
      <c r="CT1146">
        <f t="shared" si="1509"/>
        <v>0.5</v>
      </c>
      <c r="CU1146">
        <f t="shared" si="1510"/>
        <v>0.5</v>
      </c>
      <c r="CV1146" s="2" t="str">
        <f t="shared" si="1511"/>
        <v/>
      </c>
      <c r="CW1146" s="1" t="s">
        <v>263</v>
      </c>
      <c r="CX1146" t="str">
        <f t="shared" si="1512"/>
        <v>loc</v>
      </c>
      <c r="CY1146" t="s">
        <v>264</v>
      </c>
      <c r="DA1146" s="143"/>
      <c r="DB1146" s="143">
        <v>45</v>
      </c>
      <c r="DC1146" t="str">
        <f t="shared" si="1513"/>
        <v>31-70</v>
      </c>
      <c r="DD1146">
        <v>0</v>
      </c>
      <c r="DE1146">
        <v>0</v>
      </c>
      <c r="DF1146">
        <v>0</v>
      </c>
      <c r="DG1146">
        <v>1</v>
      </c>
      <c r="DH1146">
        <v>0</v>
      </c>
      <c r="DI1146">
        <f t="shared" si="1514"/>
        <v>1</v>
      </c>
      <c r="DJ1146" t="str">
        <f t="shared" si="1515"/>
        <v>TimberInput</v>
      </c>
      <c r="DK1146">
        <f t="shared" si="1516"/>
        <v>0</v>
      </c>
      <c r="DL1146">
        <f t="shared" si="1517"/>
        <v>0</v>
      </c>
      <c r="DM1146">
        <f t="shared" si="1518"/>
        <v>0</v>
      </c>
      <c r="DN1146" t="str">
        <f t="shared" si="1519"/>
        <v>Timber</v>
      </c>
      <c r="DO1146">
        <v>1</v>
      </c>
      <c r="DP1146">
        <v>0</v>
      </c>
      <c r="DQ1146">
        <v>0</v>
      </c>
      <c r="DR1146">
        <v>0</v>
      </c>
      <c r="DS1146">
        <v>0</v>
      </c>
      <c r="DT1146">
        <f t="shared" si="1520"/>
        <v>1</v>
      </c>
      <c r="DU1146" s="143" t="str">
        <f t="shared" si="1521"/>
        <v>self-calculated DF</v>
      </c>
      <c r="DV1146" s="143">
        <v>0</v>
      </c>
      <c r="DW1146" s="143">
        <v>0</v>
      </c>
      <c r="DX1146" s="143">
        <v>0</v>
      </c>
      <c r="DY1146" s="143">
        <v>0</v>
      </c>
      <c r="DZ1146">
        <v>0</v>
      </c>
      <c r="EA1146" s="143">
        <v>1</v>
      </c>
      <c r="EB1146" s="143">
        <v>0</v>
      </c>
      <c r="EC1146" s="143">
        <v>1</v>
      </c>
      <c r="ED1146" s="143">
        <v>0</v>
      </c>
      <c r="EE1146">
        <v>0</v>
      </c>
      <c r="EF1146">
        <v>0</v>
      </c>
      <c r="EG1146" s="143">
        <v>0</v>
      </c>
      <c r="EH1146" s="143">
        <v>0</v>
      </c>
      <c r="EI1146" s="2">
        <v>0</v>
      </c>
      <c r="EK1146" t="str">
        <f t="shared" si="1522"/>
        <v/>
      </c>
      <c r="EL1146" t="str">
        <f t="shared" si="1523"/>
        <v/>
      </c>
      <c r="EM1146" s="2" t="str">
        <f t="shared" si="1525"/>
        <v/>
      </c>
      <c r="EP1146" t="str">
        <f>IF(ISNUMBER(BU1146),IF(ABS(BU1146-[3]QC_indicators!$B$2)&gt;3*[3]QC_indicators!$C$2,"C ratio",IF(ISNUMBER(BY1146),IF(ABS(BY1146-[3]QC_indicators!$B$1)&gt;3*[3]QC_indicators!$C$1,"DF","no"))),IF(ISNUMBER(BY1146),IF(ABS(BY1146-[3]QC_indicators!$B$1)&gt;3*[3]QC_indicators!$C$1,"DF","no")))</f>
        <v>no</v>
      </c>
      <c r="ER1146" t="s">
        <v>994</v>
      </c>
      <c r="ET1146" s="264" t="s">
        <v>3211</v>
      </c>
    </row>
    <row r="1147" spans="4:150" ht="15" hidden="1" customHeight="1">
      <c r="D1147" t="s">
        <v>962</v>
      </c>
      <c r="E1147" t="s">
        <v>1006</v>
      </c>
      <c r="G1147" t="s">
        <v>1007</v>
      </c>
      <c r="I1147">
        <v>2004</v>
      </c>
      <c r="K1147" t="s">
        <v>1008</v>
      </c>
      <c r="M1147" t="str">
        <f t="shared" si="1430"/>
        <v>Petersen_2004</v>
      </c>
      <c r="N1147" t="s">
        <v>222</v>
      </c>
      <c r="O1147" s="171" t="s">
        <v>513</v>
      </c>
      <c r="P1147" s="141" t="s">
        <v>225</v>
      </c>
      <c r="Q1147" t="s">
        <v>389</v>
      </c>
      <c r="R1147" s="262" t="s">
        <v>223</v>
      </c>
      <c r="S1147" s="1" t="s">
        <v>982</v>
      </c>
      <c r="T1147" t="s">
        <v>1016</v>
      </c>
      <c r="U1147" t="s">
        <v>1019</v>
      </c>
      <c r="V1147">
        <v>0</v>
      </c>
      <c r="W1147">
        <v>0</v>
      </c>
      <c r="X1147">
        <v>0</v>
      </c>
      <c r="Y1147">
        <v>0</v>
      </c>
      <c r="Z1147">
        <v>0</v>
      </c>
      <c r="AA1147">
        <v>0</v>
      </c>
      <c r="AB1147">
        <v>0</v>
      </c>
      <c r="AC1147">
        <v>0</v>
      </c>
      <c r="AD1147">
        <v>0</v>
      </c>
      <c r="AE1147">
        <v>0</v>
      </c>
      <c r="AF1147">
        <v>0</v>
      </c>
      <c r="AG1147">
        <v>0</v>
      </c>
      <c r="AH1147">
        <v>0</v>
      </c>
      <c r="AI1147">
        <v>0</v>
      </c>
      <c r="AJ1147">
        <v>0</v>
      </c>
      <c r="AK1147">
        <v>1</v>
      </c>
      <c r="AL1147">
        <v>0</v>
      </c>
      <c r="AM1147">
        <v>0</v>
      </c>
      <c r="AN1147">
        <v>0</v>
      </c>
      <c r="AO1147">
        <v>0</v>
      </c>
      <c r="AP1147">
        <v>0</v>
      </c>
      <c r="AQ1147">
        <v>0</v>
      </c>
      <c r="AR1147">
        <v>0</v>
      </c>
      <c r="AS1147">
        <v>0</v>
      </c>
      <c r="AT1147">
        <v>0</v>
      </c>
      <c r="AU1147">
        <v>0</v>
      </c>
      <c r="AV1147">
        <v>0</v>
      </c>
      <c r="AW1147">
        <v>0</v>
      </c>
      <c r="AX1147" s="141">
        <f t="shared" si="1493"/>
        <v>1</v>
      </c>
      <c r="AY1147" s="141">
        <f t="shared" si="1494"/>
        <v>1</v>
      </c>
      <c r="AZ1147">
        <f t="shared" si="1495"/>
        <v>0</v>
      </c>
      <c r="BA1147">
        <f t="shared" si="1496"/>
        <v>0</v>
      </c>
      <c r="BB1147">
        <f t="shared" si="1497"/>
        <v>1</v>
      </c>
      <c r="BC1147">
        <f t="shared" si="1498"/>
        <v>0</v>
      </c>
      <c r="BD1147">
        <f t="shared" si="1499"/>
        <v>0</v>
      </c>
      <c r="BE1147" t="str">
        <f t="array" ref="BE1147">IF(AY1147=1,INDEX($V$7:$AL$7,MATCH(TRUE,INDEX($V1147:$AW1147&lt;&gt;0,),0)),IF(AY1147=0,INDEX($AM$7:$AW$7,MATCH(1,$AM1147:$AW1147,0)),IF(BF1147="Multiple strategies","mixed drivers",IF(BF1147="Supply chain","multiple supply","multiple silviculture"))))</f>
        <v>technologies/design switch</v>
      </c>
      <c r="BF1147" s="2" t="str" cm="1">
        <f t="array" ref="BF1147">IF(COUNTIF(AZ1147:BB1147,"&lt;&gt;0")=1,INDEX($V$4:$AW$4,MATCH(TRUE,INDEX($V1147:$AW1147&lt;&gt;0,),0)),IF(COUNTIF(AZ1147:BB1147,"&lt;&gt;0")=0,INDEX($AM$4:$AW$4,MATCH(1,$AM1147:$AW1147,0)),"Multiple strategies"))</f>
        <v>Technology</v>
      </c>
      <c r="BG1147" s="142" t="s">
        <v>229</v>
      </c>
      <c r="BH1147" t="s">
        <v>969</v>
      </c>
      <c r="BI1147" t="s">
        <v>1011</v>
      </c>
      <c r="BJ1147" t="s">
        <v>498</v>
      </c>
      <c r="BK1147">
        <v>0</v>
      </c>
      <c r="BL1147" s="143">
        <v>1</v>
      </c>
      <c r="BM1147" t="str">
        <f t="shared" si="1500"/>
        <v/>
      </c>
      <c r="BN1147">
        <f t="shared" si="1501"/>
        <v>1</v>
      </c>
      <c r="BO1147" s="159">
        <v>1</v>
      </c>
      <c r="BP1147" t="s">
        <v>232</v>
      </c>
      <c r="BQ1147" t="s">
        <v>1012</v>
      </c>
      <c r="BR1147" t="s">
        <v>972</v>
      </c>
      <c r="BU1147" s="144"/>
      <c r="BV1147">
        <v>0.6</v>
      </c>
      <c r="BX1147">
        <f t="shared" si="1526"/>
        <v>0.6</v>
      </c>
      <c r="BY1147">
        <f t="shared" si="1524"/>
        <v>0.6</v>
      </c>
      <c r="BZ1147">
        <v>0</v>
      </c>
      <c r="CA1147">
        <v>0</v>
      </c>
      <c r="CB1147">
        <v>0</v>
      </c>
      <c r="CC1147">
        <v>0</v>
      </c>
      <c r="CD1147">
        <v>0</v>
      </c>
      <c r="CE1147">
        <v>0</v>
      </c>
      <c r="CF1147">
        <v>0</v>
      </c>
      <c r="CG1147">
        <v>0</v>
      </c>
      <c r="CH1147">
        <v>0</v>
      </c>
      <c r="CI1147">
        <v>0</v>
      </c>
      <c r="CJ1147">
        <v>0</v>
      </c>
      <c r="CK1147">
        <v>0</v>
      </c>
      <c r="CL1147">
        <v>0</v>
      </c>
      <c r="CM1147">
        <v>0</v>
      </c>
      <c r="CN1147" t="str">
        <f t="shared" si="1503"/>
        <v>refOK</v>
      </c>
      <c r="CO1147">
        <f t="shared" si="1504"/>
        <v>0</v>
      </c>
      <c r="CP1147">
        <f t="shared" si="1505"/>
        <v>1</v>
      </c>
      <c r="CQ1147">
        <f t="shared" si="1506"/>
        <v>1</v>
      </c>
      <c r="CR1147">
        <f t="shared" si="1507"/>
        <v>0</v>
      </c>
      <c r="CS1147">
        <f t="shared" si="1508"/>
        <v>0</v>
      </c>
      <c r="CT1147">
        <f t="shared" si="1509"/>
        <v>0.6</v>
      </c>
      <c r="CU1147">
        <f t="shared" si="1510"/>
        <v>0.6</v>
      </c>
      <c r="CV1147" s="2" t="str">
        <f t="shared" si="1511"/>
        <v/>
      </c>
      <c r="CW1147" s="1" t="s">
        <v>263</v>
      </c>
      <c r="CX1147" t="str">
        <f t="shared" si="1512"/>
        <v>loc</v>
      </c>
      <c r="CY1147" t="s">
        <v>264</v>
      </c>
      <c r="DA1147" s="143"/>
      <c r="DB1147" s="143">
        <v>45</v>
      </c>
      <c r="DC1147" t="str">
        <f t="shared" si="1513"/>
        <v>31-70</v>
      </c>
      <c r="DD1147">
        <v>0</v>
      </c>
      <c r="DE1147">
        <v>0</v>
      </c>
      <c r="DF1147">
        <v>0</v>
      </c>
      <c r="DG1147">
        <v>1</v>
      </c>
      <c r="DH1147">
        <v>0</v>
      </c>
      <c r="DI1147">
        <f t="shared" si="1514"/>
        <v>1</v>
      </c>
      <c r="DJ1147" t="str">
        <f t="shared" si="1515"/>
        <v>TimberInput</v>
      </c>
      <c r="DK1147">
        <f t="shared" si="1516"/>
        <v>0</v>
      </c>
      <c r="DL1147">
        <f t="shared" si="1517"/>
        <v>0</v>
      </c>
      <c r="DM1147">
        <f t="shared" si="1518"/>
        <v>0</v>
      </c>
      <c r="DN1147" t="str">
        <f t="shared" si="1519"/>
        <v>Timber</v>
      </c>
      <c r="DO1147">
        <v>1</v>
      </c>
      <c r="DP1147">
        <v>0</v>
      </c>
      <c r="DQ1147">
        <v>0</v>
      </c>
      <c r="DR1147">
        <v>0</v>
      </c>
      <c r="DS1147">
        <v>0</v>
      </c>
      <c r="DT1147">
        <f t="shared" si="1520"/>
        <v>1</v>
      </c>
      <c r="DU1147" s="143" t="str">
        <f t="shared" si="1521"/>
        <v>self-calculated DF</v>
      </c>
      <c r="DV1147" s="143">
        <v>0</v>
      </c>
      <c r="DW1147" s="143">
        <v>0</v>
      </c>
      <c r="DX1147" s="143">
        <v>0</v>
      </c>
      <c r="DY1147" s="143">
        <v>0</v>
      </c>
      <c r="DZ1147">
        <v>0</v>
      </c>
      <c r="EA1147" s="143">
        <v>1</v>
      </c>
      <c r="EB1147" s="143">
        <v>0</v>
      </c>
      <c r="EC1147" s="143">
        <v>1</v>
      </c>
      <c r="ED1147" s="143">
        <v>0</v>
      </c>
      <c r="EE1147">
        <v>0</v>
      </c>
      <c r="EF1147">
        <v>0</v>
      </c>
      <c r="EG1147" s="143">
        <v>0</v>
      </c>
      <c r="EH1147" s="143">
        <v>0</v>
      </c>
      <c r="EI1147" s="2">
        <v>0</v>
      </c>
      <c r="EK1147" t="str">
        <f t="shared" si="1522"/>
        <v/>
      </c>
      <c r="EL1147" t="str">
        <f t="shared" si="1523"/>
        <v/>
      </c>
      <c r="EM1147" s="2" t="str">
        <f t="shared" si="1525"/>
        <v/>
      </c>
      <c r="EP1147" t="str">
        <f>IF(ISNUMBER(BU1147),IF(ABS(BU1147-[3]QC_indicators!$B$2)&gt;3*[3]QC_indicators!$C$2,"C ratio",IF(ISNUMBER(BY1147),IF(ABS(BY1147-[3]QC_indicators!$B$1)&gt;3*[3]QC_indicators!$C$1,"DF","no"))),IF(ISNUMBER(BY1147),IF(ABS(BY1147-[3]QC_indicators!$B$1)&gt;3*[3]QC_indicators!$C$1,"DF","no")))</f>
        <v>no</v>
      </c>
      <c r="ER1147" t="s">
        <v>994</v>
      </c>
      <c r="ET1147" s="264" t="s">
        <v>3211</v>
      </c>
    </row>
    <row r="1148" spans="4:150" ht="15" hidden="1" customHeight="1">
      <c r="D1148" t="s">
        <v>962</v>
      </c>
      <c r="E1148" t="s">
        <v>1006</v>
      </c>
      <c r="G1148" t="s">
        <v>1007</v>
      </c>
      <c r="I1148">
        <v>2004</v>
      </c>
      <c r="K1148" t="s">
        <v>1008</v>
      </c>
      <c r="M1148" t="str">
        <f t="shared" si="1430"/>
        <v>Petersen_2004</v>
      </c>
      <c r="N1148" t="s">
        <v>222</v>
      </c>
      <c r="O1148" s="171" t="s">
        <v>513</v>
      </c>
      <c r="P1148" s="141" t="s">
        <v>225</v>
      </c>
      <c r="Q1148" t="s">
        <v>389</v>
      </c>
      <c r="R1148" s="262" t="s">
        <v>223</v>
      </c>
      <c r="S1148" s="1" t="s">
        <v>982</v>
      </c>
      <c r="T1148" t="s">
        <v>1020</v>
      </c>
      <c r="U1148" t="s">
        <v>1019</v>
      </c>
      <c r="V1148">
        <v>0</v>
      </c>
      <c r="W1148">
        <v>0</v>
      </c>
      <c r="X1148">
        <v>0</v>
      </c>
      <c r="Y1148">
        <v>0</v>
      </c>
      <c r="Z1148">
        <v>0</v>
      </c>
      <c r="AA1148">
        <v>0</v>
      </c>
      <c r="AB1148">
        <v>0</v>
      </c>
      <c r="AC1148">
        <v>0</v>
      </c>
      <c r="AD1148">
        <v>0</v>
      </c>
      <c r="AE1148">
        <v>0</v>
      </c>
      <c r="AF1148">
        <v>0</v>
      </c>
      <c r="AG1148">
        <v>0</v>
      </c>
      <c r="AH1148">
        <v>0</v>
      </c>
      <c r="AI1148">
        <v>0</v>
      </c>
      <c r="AJ1148">
        <v>0</v>
      </c>
      <c r="AK1148">
        <v>1</v>
      </c>
      <c r="AL1148">
        <v>0</v>
      </c>
      <c r="AM1148">
        <v>0</v>
      </c>
      <c r="AN1148">
        <v>0</v>
      </c>
      <c r="AO1148">
        <v>0</v>
      </c>
      <c r="AP1148">
        <v>0</v>
      </c>
      <c r="AQ1148">
        <v>0</v>
      </c>
      <c r="AR1148">
        <v>0</v>
      </c>
      <c r="AS1148">
        <v>0</v>
      </c>
      <c r="AT1148">
        <v>0</v>
      </c>
      <c r="AU1148">
        <v>0</v>
      </c>
      <c r="AV1148">
        <v>0</v>
      </c>
      <c r="AW1148">
        <v>0</v>
      </c>
      <c r="AX1148" s="141">
        <f t="shared" si="1493"/>
        <v>1</v>
      </c>
      <c r="AY1148" s="141">
        <f t="shared" si="1494"/>
        <v>1</v>
      </c>
      <c r="AZ1148">
        <f t="shared" si="1495"/>
        <v>0</v>
      </c>
      <c r="BA1148">
        <f t="shared" si="1496"/>
        <v>0</v>
      </c>
      <c r="BB1148">
        <f t="shared" si="1497"/>
        <v>1</v>
      </c>
      <c r="BC1148">
        <f t="shared" si="1498"/>
        <v>0</v>
      </c>
      <c r="BD1148">
        <f t="shared" si="1499"/>
        <v>0</v>
      </c>
      <c r="BE1148" t="str">
        <f t="array" ref="BE1148">IF(AY1148=1,INDEX($V$7:$AL$7,MATCH(TRUE,INDEX($V1148:$AW1148&lt;&gt;0,),0)),IF(AY1148=0,INDEX($AM$7:$AW$7,MATCH(1,$AM1148:$AW1148,0)),IF(BF1148="Multiple strategies","mixed drivers",IF(BF1148="Supply chain","multiple supply","multiple silviculture"))))</f>
        <v>technologies/design switch</v>
      </c>
      <c r="BF1148" s="2" t="str" cm="1">
        <f t="array" ref="BF1148">IF(COUNTIF(AZ1148:BB1148,"&lt;&gt;0")=1,INDEX($V$4:$AW$4,MATCH(TRUE,INDEX($V1148:$AW1148&lt;&gt;0,),0)),IF(COUNTIF(AZ1148:BB1148,"&lt;&gt;0")=0,INDEX($AM$4:$AW$4,MATCH(1,$AM1148:$AW1148,0)),"Multiple strategies"))</f>
        <v>Technology</v>
      </c>
      <c r="BG1148" s="142" t="s">
        <v>229</v>
      </c>
      <c r="BH1148" t="s">
        <v>969</v>
      </c>
      <c r="BI1148" t="s">
        <v>1011</v>
      </c>
      <c r="BJ1148" t="s">
        <v>498</v>
      </c>
      <c r="BK1148">
        <v>0</v>
      </c>
      <c r="BL1148" s="143">
        <v>1</v>
      </c>
      <c r="BM1148" t="str">
        <f t="shared" si="1500"/>
        <v/>
      </c>
      <c r="BN1148">
        <f t="shared" si="1501"/>
        <v>1</v>
      </c>
      <c r="BO1148" s="159">
        <v>1</v>
      </c>
      <c r="BP1148" t="s">
        <v>232</v>
      </c>
      <c r="BQ1148" t="s">
        <v>1012</v>
      </c>
      <c r="BR1148" t="s">
        <v>972</v>
      </c>
      <c r="BU1148" s="144"/>
      <c r="BV1148">
        <v>0.8</v>
      </c>
      <c r="BX1148">
        <f t="shared" si="1526"/>
        <v>0.8</v>
      </c>
      <c r="BY1148">
        <f t="shared" si="1524"/>
        <v>0.8</v>
      </c>
      <c r="BZ1148">
        <v>0</v>
      </c>
      <c r="CA1148">
        <v>0</v>
      </c>
      <c r="CB1148">
        <v>0</v>
      </c>
      <c r="CC1148">
        <v>0</v>
      </c>
      <c r="CD1148">
        <v>0</v>
      </c>
      <c r="CE1148">
        <v>0</v>
      </c>
      <c r="CF1148">
        <v>0</v>
      </c>
      <c r="CG1148">
        <v>0</v>
      </c>
      <c r="CH1148">
        <v>0</v>
      </c>
      <c r="CI1148">
        <v>0</v>
      </c>
      <c r="CJ1148">
        <v>0</v>
      </c>
      <c r="CK1148">
        <v>0</v>
      </c>
      <c r="CL1148">
        <v>0</v>
      </c>
      <c r="CM1148">
        <v>0</v>
      </c>
      <c r="CN1148" t="str">
        <f t="shared" si="1503"/>
        <v>refOK</v>
      </c>
      <c r="CO1148">
        <f t="shared" si="1504"/>
        <v>0</v>
      </c>
      <c r="CP1148">
        <f t="shared" si="1505"/>
        <v>1</v>
      </c>
      <c r="CQ1148">
        <f t="shared" si="1506"/>
        <v>1</v>
      </c>
      <c r="CR1148">
        <f t="shared" si="1507"/>
        <v>0</v>
      </c>
      <c r="CS1148">
        <f t="shared" si="1508"/>
        <v>0</v>
      </c>
      <c r="CT1148">
        <f t="shared" si="1509"/>
        <v>0.8</v>
      </c>
      <c r="CU1148">
        <f t="shared" si="1510"/>
        <v>0.8</v>
      </c>
      <c r="CV1148" s="2" t="str">
        <f t="shared" si="1511"/>
        <v/>
      </c>
      <c r="CW1148" s="1" t="s">
        <v>263</v>
      </c>
      <c r="CX1148" t="str">
        <f t="shared" si="1512"/>
        <v>loc</v>
      </c>
      <c r="CY1148" t="s">
        <v>264</v>
      </c>
      <c r="DA1148" s="143"/>
      <c r="DB1148" s="143">
        <v>45</v>
      </c>
      <c r="DC1148" t="str">
        <f t="shared" si="1513"/>
        <v>31-70</v>
      </c>
      <c r="DD1148">
        <v>0</v>
      </c>
      <c r="DE1148">
        <v>0</v>
      </c>
      <c r="DF1148">
        <v>0</v>
      </c>
      <c r="DG1148">
        <v>1</v>
      </c>
      <c r="DH1148">
        <v>0</v>
      </c>
      <c r="DI1148">
        <f t="shared" si="1514"/>
        <v>1</v>
      </c>
      <c r="DJ1148" t="str">
        <f t="shared" si="1515"/>
        <v>TimberInput</v>
      </c>
      <c r="DK1148">
        <f t="shared" si="1516"/>
        <v>0</v>
      </c>
      <c r="DL1148">
        <f t="shared" si="1517"/>
        <v>0</v>
      </c>
      <c r="DM1148">
        <f t="shared" si="1518"/>
        <v>0</v>
      </c>
      <c r="DN1148" t="str">
        <f t="shared" si="1519"/>
        <v>Timber</v>
      </c>
      <c r="DO1148">
        <v>1</v>
      </c>
      <c r="DP1148">
        <v>0</v>
      </c>
      <c r="DQ1148">
        <v>0</v>
      </c>
      <c r="DR1148">
        <v>0</v>
      </c>
      <c r="DS1148">
        <v>0</v>
      </c>
      <c r="DT1148">
        <f t="shared" si="1520"/>
        <v>1</v>
      </c>
      <c r="DU1148" s="143" t="str">
        <f t="shared" si="1521"/>
        <v>self-calculated DF</v>
      </c>
      <c r="DV1148" s="143">
        <v>0</v>
      </c>
      <c r="DW1148" s="143">
        <v>0</v>
      </c>
      <c r="DX1148" s="143">
        <v>0</v>
      </c>
      <c r="DY1148" s="143">
        <v>0</v>
      </c>
      <c r="DZ1148">
        <v>0</v>
      </c>
      <c r="EA1148" s="143">
        <v>1</v>
      </c>
      <c r="EB1148" s="143">
        <v>0</v>
      </c>
      <c r="EC1148" s="143">
        <v>1</v>
      </c>
      <c r="ED1148" s="143">
        <v>0</v>
      </c>
      <c r="EE1148">
        <v>0</v>
      </c>
      <c r="EF1148">
        <v>0</v>
      </c>
      <c r="EG1148" s="143">
        <v>0</v>
      </c>
      <c r="EH1148" s="143">
        <v>0</v>
      </c>
      <c r="EI1148" s="2">
        <v>0</v>
      </c>
      <c r="EK1148" t="str">
        <f t="shared" si="1522"/>
        <v/>
      </c>
      <c r="EL1148" t="str">
        <f t="shared" si="1523"/>
        <v/>
      </c>
      <c r="EM1148" s="2" t="str">
        <f t="shared" si="1525"/>
        <v/>
      </c>
      <c r="EP1148" t="str">
        <f>IF(ISNUMBER(BU1148),IF(ABS(BU1148-[3]QC_indicators!$B$2)&gt;3*[3]QC_indicators!$C$2,"C ratio",IF(ISNUMBER(BY1148),IF(ABS(BY1148-[3]QC_indicators!$B$1)&gt;3*[3]QC_indicators!$C$1,"DF","no"))),IF(ISNUMBER(BY1148),IF(ABS(BY1148-[3]QC_indicators!$B$1)&gt;3*[3]QC_indicators!$C$1,"DF","no")))</f>
        <v>no</v>
      </c>
      <c r="ER1148" t="s">
        <v>994</v>
      </c>
      <c r="ET1148" s="264" t="s">
        <v>3211</v>
      </c>
    </row>
    <row r="1149" spans="4:150" ht="15" hidden="1" customHeight="1">
      <c r="D1149" t="s">
        <v>962</v>
      </c>
      <c r="E1149" t="s">
        <v>1006</v>
      </c>
      <c r="G1149" t="s">
        <v>1007</v>
      </c>
      <c r="I1149">
        <v>2004</v>
      </c>
      <c r="K1149" t="s">
        <v>1008</v>
      </c>
      <c r="M1149" t="str">
        <f t="shared" si="1430"/>
        <v>Petersen_2004</v>
      </c>
      <c r="N1149" t="s">
        <v>222</v>
      </c>
      <c r="O1149" s="171" t="s">
        <v>513</v>
      </c>
      <c r="P1149" s="141" t="s">
        <v>225</v>
      </c>
      <c r="Q1149" t="s">
        <v>389</v>
      </c>
      <c r="R1149" s="262" t="s">
        <v>223</v>
      </c>
      <c r="S1149" s="1" t="s">
        <v>1013</v>
      </c>
      <c r="T1149" t="s">
        <v>1021</v>
      </c>
      <c r="U1149" t="s">
        <v>1015</v>
      </c>
      <c r="V1149">
        <v>0</v>
      </c>
      <c r="W1149">
        <v>0</v>
      </c>
      <c r="X1149">
        <v>0</v>
      </c>
      <c r="Y1149">
        <v>0</v>
      </c>
      <c r="Z1149">
        <v>0</v>
      </c>
      <c r="AA1149">
        <v>0</v>
      </c>
      <c r="AB1149">
        <v>0</v>
      </c>
      <c r="AC1149">
        <v>0</v>
      </c>
      <c r="AD1149">
        <v>0</v>
      </c>
      <c r="AE1149">
        <v>0</v>
      </c>
      <c r="AF1149">
        <v>0</v>
      </c>
      <c r="AG1149">
        <v>0</v>
      </c>
      <c r="AH1149">
        <v>0</v>
      </c>
      <c r="AI1149">
        <v>0</v>
      </c>
      <c r="AJ1149">
        <v>0</v>
      </c>
      <c r="AK1149">
        <v>1</v>
      </c>
      <c r="AL1149">
        <v>0</v>
      </c>
      <c r="AM1149">
        <v>0</v>
      </c>
      <c r="AN1149">
        <v>0</v>
      </c>
      <c r="AO1149">
        <v>0</v>
      </c>
      <c r="AP1149">
        <v>0</v>
      </c>
      <c r="AQ1149">
        <v>0</v>
      </c>
      <c r="AR1149">
        <v>0</v>
      </c>
      <c r="AS1149">
        <v>0</v>
      </c>
      <c r="AT1149">
        <v>0</v>
      </c>
      <c r="AU1149">
        <v>0</v>
      </c>
      <c r="AV1149">
        <v>0</v>
      </c>
      <c r="AW1149">
        <v>0</v>
      </c>
      <c r="AX1149" s="141">
        <f t="shared" si="1493"/>
        <v>1</v>
      </c>
      <c r="AY1149" s="141">
        <f t="shared" si="1494"/>
        <v>1</v>
      </c>
      <c r="AZ1149">
        <f t="shared" si="1495"/>
        <v>0</v>
      </c>
      <c r="BA1149">
        <f t="shared" si="1496"/>
        <v>0</v>
      </c>
      <c r="BB1149">
        <f t="shared" si="1497"/>
        <v>1</v>
      </c>
      <c r="BC1149">
        <f t="shared" si="1498"/>
        <v>0</v>
      </c>
      <c r="BD1149">
        <f t="shared" si="1499"/>
        <v>0</v>
      </c>
      <c r="BE1149" t="str">
        <f t="array" ref="BE1149">IF(AY1149=1,INDEX($V$7:$AL$7,MATCH(TRUE,INDEX($V1149:$AW1149&lt;&gt;0,),0)),IF(AY1149=0,INDEX($AM$7:$AW$7,MATCH(1,$AM1149:$AW1149,0)),IF(BF1149="Multiple strategies","mixed drivers",IF(BF1149="Supply chain","multiple supply","multiple silviculture"))))</f>
        <v>technologies/design switch</v>
      </c>
      <c r="BF1149" s="2" t="str" cm="1">
        <f t="array" ref="BF1149">IF(COUNTIF(AZ1149:BB1149,"&lt;&gt;0")=1,INDEX($V$4:$AW$4,MATCH(TRUE,INDEX($V1149:$AW1149&lt;&gt;0,),0)),IF(COUNTIF(AZ1149:BB1149,"&lt;&gt;0")=0,INDEX($AM$4:$AW$4,MATCH(1,$AM1149:$AW1149,0)),"Multiple strategies"))</f>
        <v>Technology</v>
      </c>
      <c r="BG1149" s="142" t="s">
        <v>229</v>
      </c>
      <c r="BH1149" t="s">
        <v>969</v>
      </c>
      <c r="BI1149" t="s">
        <v>1011</v>
      </c>
      <c r="BJ1149" t="s">
        <v>498</v>
      </c>
      <c r="BK1149">
        <v>0</v>
      </c>
      <c r="BL1149" s="143">
        <v>1</v>
      </c>
      <c r="BM1149" t="str">
        <f t="shared" si="1500"/>
        <v/>
      </c>
      <c r="BN1149">
        <f t="shared" si="1501"/>
        <v>1</v>
      </c>
      <c r="BO1149" s="159">
        <v>1</v>
      </c>
      <c r="BP1149" t="s">
        <v>232</v>
      </c>
      <c r="BQ1149" t="s">
        <v>1012</v>
      </c>
      <c r="BR1149" t="s">
        <v>1001</v>
      </c>
      <c r="BU1149" s="144"/>
      <c r="BV1149">
        <v>1.2</v>
      </c>
      <c r="BX1149">
        <f t="shared" si="1526"/>
        <v>1.2</v>
      </c>
      <c r="BY1149">
        <f t="shared" si="1524"/>
        <v>1.2</v>
      </c>
      <c r="BZ1149">
        <v>0</v>
      </c>
      <c r="CA1149">
        <v>0</v>
      </c>
      <c r="CB1149">
        <v>0</v>
      </c>
      <c r="CC1149">
        <v>0</v>
      </c>
      <c r="CD1149">
        <v>0</v>
      </c>
      <c r="CE1149">
        <v>0</v>
      </c>
      <c r="CF1149">
        <v>0</v>
      </c>
      <c r="CG1149">
        <v>0</v>
      </c>
      <c r="CH1149">
        <v>0</v>
      </c>
      <c r="CI1149">
        <v>0</v>
      </c>
      <c r="CJ1149">
        <v>0</v>
      </c>
      <c r="CK1149">
        <v>0</v>
      </c>
      <c r="CL1149">
        <v>0</v>
      </c>
      <c r="CM1149">
        <v>0</v>
      </c>
      <c r="CN1149" t="str">
        <f t="shared" si="1503"/>
        <v>refOK</v>
      </c>
      <c r="CO1149">
        <f t="shared" si="1504"/>
        <v>0</v>
      </c>
      <c r="CP1149">
        <f t="shared" si="1505"/>
        <v>1</v>
      </c>
      <c r="CQ1149">
        <f t="shared" si="1506"/>
        <v>1</v>
      </c>
      <c r="CR1149">
        <f t="shared" si="1507"/>
        <v>0</v>
      </c>
      <c r="CS1149">
        <f t="shared" si="1508"/>
        <v>0</v>
      </c>
      <c r="CT1149">
        <f t="shared" si="1509"/>
        <v>1.2</v>
      </c>
      <c r="CU1149">
        <f t="shared" si="1510"/>
        <v>1.2</v>
      </c>
      <c r="CV1149" s="2" t="str">
        <f t="shared" si="1511"/>
        <v/>
      </c>
      <c r="CW1149" s="1" t="s">
        <v>263</v>
      </c>
      <c r="CX1149" t="str">
        <f t="shared" si="1512"/>
        <v>loc</v>
      </c>
      <c r="CY1149" t="s">
        <v>264</v>
      </c>
      <c r="DA1149" s="143"/>
      <c r="DB1149" s="143">
        <v>45</v>
      </c>
      <c r="DC1149" t="str">
        <f t="shared" si="1513"/>
        <v>31-70</v>
      </c>
      <c r="DD1149">
        <v>0</v>
      </c>
      <c r="DE1149">
        <v>0</v>
      </c>
      <c r="DF1149">
        <v>0</v>
      </c>
      <c r="DG1149">
        <v>1</v>
      </c>
      <c r="DH1149">
        <v>0</v>
      </c>
      <c r="DI1149">
        <f t="shared" si="1514"/>
        <v>1</v>
      </c>
      <c r="DJ1149" t="str">
        <f t="shared" si="1515"/>
        <v>TimberInput</v>
      </c>
      <c r="DK1149">
        <f t="shared" si="1516"/>
        <v>0</v>
      </c>
      <c r="DL1149">
        <f t="shared" si="1517"/>
        <v>0</v>
      </c>
      <c r="DM1149">
        <f t="shared" si="1518"/>
        <v>0</v>
      </c>
      <c r="DN1149" t="str">
        <f t="shared" si="1519"/>
        <v>Timber</v>
      </c>
      <c r="DO1149">
        <v>1</v>
      </c>
      <c r="DP1149">
        <v>0</v>
      </c>
      <c r="DQ1149">
        <v>0</v>
      </c>
      <c r="DR1149">
        <v>0</v>
      </c>
      <c r="DS1149">
        <v>0</v>
      </c>
      <c r="DT1149">
        <f t="shared" si="1520"/>
        <v>1</v>
      </c>
      <c r="DU1149" s="143" t="str">
        <f t="shared" si="1521"/>
        <v>self-calculated DF</v>
      </c>
      <c r="DV1149" s="143">
        <v>0</v>
      </c>
      <c r="DW1149" s="143">
        <v>0</v>
      </c>
      <c r="DX1149" s="143">
        <v>0</v>
      </c>
      <c r="DY1149" s="143">
        <v>0</v>
      </c>
      <c r="DZ1149">
        <v>0</v>
      </c>
      <c r="EA1149" s="143">
        <v>0</v>
      </c>
      <c r="EB1149" s="143">
        <v>0</v>
      </c>
      <c r="EC1149" s="143">
        <v>1</v>
      </c>
      <c r="ED1149" s="143">
        <v>0</v>
      </c>
      <c r="EE1149">
        <v>0</v>
      </c>
      <c r="EF1149">
        <v>0</v>
      </c>
      <c r="EG1149" s="143">
        <v>0</v>
      </c>
      <c r="EH1149" s="143">
        <v>0</v>
      </c>
      <c r="EI1149" s="2">
        <v>0</v>
      </c>
      <c r="EK1149" t="str">
        <f t="shared" si="1522"/>
        <v/>
      </c>
      <c r="EL1149" t="str">
        <f t="shared" si="1523"/>
        <v/>
      </c>
      <c r="EM1149" s="2" t="str">
        <f t="shared" si="1525"/>
        <v/>
      </c>
      <c r="EP1149" t="str">
        <f>IF(ISNUMBER(BU1149),IF(ABS(BU1149-[3]QC_indicators!$B$2)&gt;3*[3]QC_indicators!$C$2,"C ratio",IF(ISNUMBER(BY1149),IF(ABS(BY1149-[3]QC_indicators!$B$1)&gt;3*[3]QC_indicators!$C$1,"DF","no"))),IF(ISNUMBER(BY1149),IF(ABS(BY1149-[3]QC_indicators!$B$1)&gt;3*[3]QC_indicators!$C$1,"DF","no")))</f>
        <v>no</v>
      </c>
      <c r="ER1149" t="s">
        <v>994</v>
      </c>
      <c r="ET1149" s="264" t="s">
        <v>3211</v>
      </c>
    </row>
    <row r="1150" spans="4:150" ht="15" hidden="1" customHeight="1">
      <c r="D1150" t="s">
        <v>962</v>
      </c>
      <c r="E1150" t="s">
        <v>1006</v>
      </c>
      <c r="G1150" t="s">
        <v>1007</v>
      </c>
      <c r="I1150">
        <v>2004</v>
      </c>
      <c r="K1150" t="s">
        <v>1008</v>
      </c>
      <c r="M1150" t="str">
        <f t="shared" si="1430"/>
        <v>Petersen_2004</v>
      </c>
      <c r="N1150" t="s">
        <v>222</v>
      </c>
      <c r="O1150" s="171" t="s">
        <v>513</v>
      </c>
      <c r="P1150" s="141" t="s">
        <v>225</v>
      </c>
      <c r="Q1150" t="s">
        <v>389</v>
      </c>
      <c r="R1150" s="262" t="s">
        <v>223</v>
      </c>
      <c r="S1150" s="1" t="s">
        <v>982</v>
      </c>
      <c r="T1150" t="s">
        <v>1022</v>
      </c>
      <c r="U1150" t="s">
        <v>1019</v>
      </c>
      <c r="V1150">
        <v>0</v>
      </c>
      <c r="W1150">
        <v>0</v>
      </c>
      <c r="X1150">
        <v>0</v>
      </c>
      <c r="Y1150">
        <v>0</v>
      </c>
      <c r="Z1150">
        <v>0</v>
      </c>
      <c r="AA1150">
        <v>0</v>
      </c>
      <c r="AB1150">
        <v>0</v>
      </c>
      <c r="AC1150">
        <v>0</v>
      </c>
      <c r="AD1150">
        <v>0</v>
      </c>
      <c r="AE1150">
        <v>0</v>
      </c>
      <c r="AF1150">
        <v>0</v>
      </c>
      <c r="AG1150">
        <v>0</v>
      </c>
      <c r="AH1150">
        <v>0</v>
      </c>
      <c r="AI1150">
        <v>0</v>
      </c>
      <c r="AJ1150">
        <v>0</v>
      </c>
      <c r="AK1150">
        <v>1</v>
      </c>
      <c r="AL1150">
        <v>0</v>
      </c>
      <c r="AM1150">
        <v>0</v>
      </c>
      <c r="AN1150">
        <v>0</v>
      </c>
      <c r="AO1150">
        <v>0</v>
      </c>
      <c r="AP1150">
        <v>0</v>
      </c>
      <c r="AQ1150">
        <v>0</v>
      </c>
      <c r="AR1150">
        <v>0</v>
      </c>
      <c r="AS1150">
        <v>0</v>
      </c>
      <c r="AT1150">
        <v>0</v>
      </c>
      <c r="AU1150">
        <v>0</v>
      </c>
      <c r="AV1150">
        <v>0</v>
      </c>
      <c r="AW1150">
        <v>0</v>
      </c>
      <c r="AX1150" s="141">
        <f t="shared" si="1493"/>
        <v>1</v>
      </c>
      <c r="AY1150" s="141">
        <f t="shared" si="1494"/>
        <v>1</v>
      </c>
      <c r="AZ1150">
        <f t="shared" si="1495"/>
        <v>0</v>
      </c>
      <c r="BA1150">
        <f t="shared" si="1496"/>
        <v>0</v>
      </c>
      <c r="BB1150">
        <f t="shared" si="1497"/>
        <v>1</v>
      </c>
      <c r="BC1150">
        <f t="shared" si="1498"/>
        <v>0</v>
      </c>
      <c r="BD1150">
        <f t="shared" si="1499"/>
        <v>0</v>
      </c>
      <c r="BE1150" t="str">
        <f t="array" ref="BE1150">IF(AY1150=1,INDEX($V$7:$AL$7,MATCH(TRUE,INDEX($V1150:$AW1150&lt;&gt;0,),0)),IF(AY1150=0,INDEX($AM$7:$AW$7,MATCH(1,$AM1150:$AW1150,0)),IF(BF1150="Multiple strategies","mixed drivers",IF(BF1150="Supply chain","multiple supply","multiple silviculture"))))</f>
        <v>technologies/design switch</v>
      </c>
      <c r="BF1150" s="2" t="str" cm="1">
        <f t="array" ref="BF1150">IF(COUNTIF(AZ1150:BB1150,"&lt;&gt;0")=1,INDEX($V$4:$AW$4,MATCH(TRUE,INDEX($V1150:$AW1150&lt;&gt;0,),0)),IF(COUNTIF(AZ1150:BB1150,"&lt;&gt;0")=0,INDEX($AM$4:$AW$4,MATCH(1,$AM1150:$AW1150,0)),"Multiple strategies"))</f>
        <v>Technology</v>
      </c>
      <c r="BG1150" s="142" t="s">
        <v>229</v>
      </c>
      <c r="BH1150" t="s">
        <v>969</v>
      </c>
      <c r="BI1150" t="s">
        <v>1011</v>
      </c>
      <c r="BJ1150" t="s">
        <v>498</v>
      </c>
      <c r="BK1150">
        <v>0</v>
      </c>
      <c r="BL1150" s="143">
        <v>1</v>
      </c>
      <c r="BM1150" t="str">
        <f t="shared" si="1500"/>
        <v/>
      </c>
      <c r="BN1150">
        <f t="shared" si="1501"/>
        <v>1</v>
      </c>
      <c r="BO1150" s="159">
        <v>1</v>
      </c>
      <c r="BP1150" t="s">
        <v>232</v>
      </c>
      <c r="BQ1150" t="s">
        <v>1012</v>
      </c>
      <c r="BR1150" t="s">
        <v>972</v>
      </c>
      <c r="BU1150" s="144"/>
      <c r="BV1150">
        <v>1.3</v>
      </c>
      <c r="BX1150">
        <f t="shared" si="1526"/>
        <v>1.3</v>
      </c>
      <c r="BY1150">
        <f t="shared" si="1524"/>
        <v>1.3</v>
      </c>
      <c r="BZ1150">
        <v>0</v>
      </c>
      <c r="CA1150">
        <v>0</v>
      </c>
      <c r="CB1150">
        <v>0</v>
      </c>
      <c r="CC1150">
        <v>0</v>
      </c>
      <c r="CD1150">
        <v>0</v>
      </c>
      <c r="CE1150">
        <v>0</v>
      </c>
      <c r="CF1150">
        <v>0</v>
      </c>
      <c r="CG1150">
        <v>0</v>
      </c>
      <c r="CH1150">
        <v>0</v>
      </c>
      <c r="CI1150">
        <v>0</v>
      </c>
      <c r="CJ1150">
        <v>0</v>
      </c>
      <c r="CK1150">
        <v>0</v>
      </c>
      <c r="CL1150">
        <v>0</v>
      </c>
      <c r="CM1150">
        <v>0</v>
      </c>
      <c r="CN1150" t="str">
        <f t="shared" si="1503"/>
        <v>refOK</v>
      </c>
      <c r="CO1150">
        <f t="shared" si="1504"/>
        <v>0</v>
      </c>
      <c r="CP1150">
        <f t="shared" si="1505"/>
        <v>1</v>
      </c>
      <c r="CQ1150">
        <f t="shared" si="1506"/>
        <v>1</v>
      </c>
      <c r="CR1150">
        <f t="shared" si="1507"/>
        <v>0</v>
      </c>
      <c r="CS1150">
        <f t="shared" si="1508"/>
        <v>0</v>
      </c>
      <c r="CT1150">
        <f t="shared" si="1509"/>
        <v>1.3</v>
      </c>
      <c r="CU1150">
        <f t="shared" si="1510"/>
        <v>1.3</v>
      </c>
      <c r="CV1150" s="2" t="str">
        <f t="shared" si="1511"/>
        <v/>
      </c>
      <c r="CW1150" s="1" t="s">
        <v>263</v>
      </c>
      <c r="CX1150" t="str">
        <f t="shared" si="1512"/>
        <v>loc</v>
      </c>
      <c r="CY1150" t="s">
        <v>264</v>
      </c>
      <c r="DA1150" s="143"/>
      <c r="DB1150" s="143">
        <v>45</v>
      </c>
      <c r="DC1150" t="str">
        <f t="shared" si="1513"/>
        <v>31-70</v>
      </c>
      <c r="DD1150">
        <v>0</v>
      </c>
      <c r="DE1150">
        <v>0</v>
      </c>
      <c r="DF1150">
        <v>0</v>
      </c>
      <c r="DG1150">
        <v>1</v>
      </c>
      <c r="DH1150">
        <v>0</v>
      </c>
      <c r="DI1150">
        <f t="shared" si="1514"/>
        <v>1</v>
      </c>
      <c r="DJ1150" t="str">
        <f t="shared" si="1515"/>
        <v>TimberInput</v>
      </c>
      <c r="DK1150">
        <f t="shared" si="1516"/>
        <v>0</v>
      </c>
      <c r="DL1150">
        <f t="shared" si="1517"/>
        <v>0</v>
      </c>
      <c r="DM1150">
        <f t="shared" si="1518"/>
        <v>0</v>
      </c>
      <c r="DN1150" t="str">
        <f t="shared" si="1519"/>
        <v>Timber</v>
      </c>
      <c r="DO1150">
        <v>1</v>
      </c>
      <c r="DP1150">
        <v>0</v>
      </c>
      <c r="DQ1150">
        <v>0</v>
      </c>
      <c r="DR1150">
        <v>0</v>
      </c>
      <c r="DS1150">
        <v>0</v>
      </c>
      <c r="DT1150">
        <f t="shared" si="1520"/>
        <v>1</v>
      </c>
      <c r="DU1150" s="143" t="str">
        <f t="shared" si="1521"/>
        <v>self-calculated DF</v>
      </c>
      <c r="DV1150" s="143">
        <v>0</v>
      </c>
      <c r="DW1150" s="143">
        <v>0</v>
      </c>
      <c r="DX1150" s="143">
        <v>0</v>
      </c>
      <c r="DY1150" s="143">
        <v>0</v>
      </c>
      <c r="DZ1150">
        <v>0</v>
      </c>
      <c r="EA1150" s="143">
        <v>1</v>
      </c>
      <c r="EB1150" s="143">
        <v>0</v>
      </c>
      <c r="EC1150" s="143">
        <v>1</v>
      </c>
      <c r="ED1150" s="143">
        <v>0</v>
      </c>
      <c r="EE1150">
        <v>0</v>
      </c>
      <c r="EF1150">
        <v>0</v>
      </c>
      <c r="EG1150" s="143">
        <v>0</v>
      </c>
      <c r="EH1150" s="143">
        <v>0</v>
      </c>
      <c r="EI1150" s="2">
        <v>0</v>
      </c>
      <c r="EK1150" t="str">
        <f t="shared" si="1522"/>
        <v/>
      </c>
      <c r="EL1150" t="str">
        <f t="shared" si="1523"/>
        <v/>
      </c>
      <c r="EM1150" s="2" t="str">
        <f t="shared" si="1525"/>
        <v/>
      </c>
      <c r="EP1150" t="str">
        <f>IF(ISNUMBER(BU1150),IF(ABS(BU1150-[3]QC_indicators!$B$2)&gt;3*[3]QC_indicators!$C$2,"C ratio",IF(ISNUMBER(BY1150),IF(ABS(BY1150-[3]QC_indicators!$B$1)&gt;3*[3]QC_indicators!$C$1,"DF","no"))),IF(ISNUMBER(BY1150),IF(ABS(BY1150-[3]QC_indicators!$B$1)&gt;3*[3]QC_indicators!$C$1,"DF","no")))</f>
        <v>no</v>
      </c>
      <c r="ER1150" t="s">
        <v>994</v>
      </c>
      <c r="ET1150" s="264" t="s">
        <v>3211</v>
      </c>
    </row>
    <row r="1151" spans="4:150" ht="15" hidden="1" customHeight="1">
      <c r="D1151" t="s">
        <v>962</v>
      </c>
      <c r="E1151" t="s">
        <v>1006</v>
      </c>
      <c r="G1151" t="s">
        <v>1007</v>
      </c>
      <c r="I1151">
        <v>2004</v>
      </c>
      <c r="K1151" t="s">
        <v>1008</v>
      </c>
      <c r="M1151" t="str">
        <f t="shared" si="1430"/>
        <v>Petersen_2004</v>
      </c>
      <c r="N1151" t="s">
        <v>222</v>
      </c>
      <c r="O1151" s="171" t="s">
        <v>513</v>
      </c>
      <c r="P1151" s="141" t="s">
        <v>225</v>
      </c>
      <c r="Q1151" t="s">
        <v>389</v>
      </c>
      <c r="R1151" s="262" t="s">
        <v>223</v>
      </c>
      <c r="S1151" s="1" t="s">
        <v>982</v>
      </c>
      <c r="T1151" t="s">
        <v>1023</v>
      </c>
      <c r="U1151" t="s">
        <v>1019</v>
      </c>
      <c r="V1151">
        <v>0</v>
      </c>
      <c r="W1151">
        <v>0</v>
      </c>
      <c r="X1151">
        <v>0</v>
      </c>
      <c r="Y1151">
        <v>0</v>
      </c>
      <c r="Z1151">
        <v>0</v>
      </c>
      <c r="AA1151">
        <v>0</v>
      </c>
      <c r="AB1151">
        <v>0</v>
      </c>
      <c r="AC1151">
        <v>0</v>
      </c>
      <c r="AD1151">
        <v>0</v>
      </c>
      <c r="AE1151">
        <v>0</v>
      </c>
      <c r="AF1151">
        <v>0</v>
      </c>
      <c r="AG1151">
        <v>0</v>
      </c>
      <c r="AH1151">
        <v>0</v>
      </c>
      <c r="AI1151">
        <v>0</v>
      </c>
      <c r="AJ1151">
        <v>0</v>
      </c>
      <c r="AK1151">
        <v>1</v>
      </c>
      <c r="AL1151">
        <v>0</v>
      </c>
      <c r="AM1151">
        <v>0</v>
      </c>
      <c r="AN1151">
        <v>0</v>
      </c>
      <c r="AO1151">
        <v>0</v>
      </c>
      <c r="AP1151">
        <v>0</v>
      </c>
      <c r="AQ1151">
        <v>0</v>
      </c>
      <c r="AR1151">
        <v>0</v>
      </c>
      <c r="AS1151">
        <v>0</v>
      </c>
      <c r="AT1151">
        <v>0</v>
      </c>
      <c r="AU1151">
        <v>0</v>
      </c>
      <c r="AV1151">
        <v>0</v>
      </c>
      <c r="AW1151">
        <v>0</v>
      </c>
      <c r="AX1151" s="141">
        <f t="shared" si="1493"/>
        <v>1</v>
      </c>
      <c r="AY1151" s="141">
        <f t="shared" si="1494"/>
        <v>1</v>
      </c>
      <c r="AZ1151">
        <f t="shared" si="1495"/>
        <v>0</v>
      </c>
      <c r="BA1151">
        <f t="shared" si="1496"/>
        <v>0</v>
      </c>
      <c r="BB1151">
        <f t="shared" si="1497"/>
        <v>1</v>
      </c>
      <c r="BC1151">
        <f t="shared" si="1498"/>
        <v>0</v>
      </c>
      <c r="BD1151">
        <f t="shared" si="1499"/>
        <v>0</v>
      </c>
      <c r="BE1151" t="str">
        <f t="array" ref="BE1151">IF(AY1151=1,INDEX($V$7:$AL$7,MATCH(TRUE,INDEX($V1151:$AW1151&lt;&gt;0,),0)),IF(AY1151=0,INDEX($AM$7:$AW$7,MATCH(1,$AM1151:$AW1151,0)),IF(BF1151="Multiple strategies","mixed drivers",IF(BF1151="Supply chain","multiple supply","multiple silviculture"))))</f>
        <v>technologies/design switch</v>
      </c>
      <c r="BF1151" s="2" t="str" cm="1">
        <f t="array" ref="BF1151">IF(COUNTIF(AZ1151:BB1151,"&lt;&gt;0")=1,INDEX($V$4:$AW$4,MATCH(TRUE,INDEX($V1151:$AW1151&lt;&gt;0,),0)),IF(COUNTIF(AZ1151:BB1151,"&lt;&gt;0")=0,INDEX($AM$4:$AW$4,MATCH(1,$AM1151:$AW1151,0)),"Multiple strategies"))</f>
        <v>Technology</v>
      </c>
      <c r="BG1151" s="142" t="s">
        <v>229</v>
      </c>
      <c r="BH1151" t="s">
        <v>969</v>
      </c>
      <c r="BI1151" t="s">
        <v>1011</v>
      </c>
      <c r="BJ1151" t="s">
        <v>498</v>
      </c>
      <c r="BK1151">
        <v>0</v>
      </c>
      <c r="BL1151" s="143">
        <v>1</v>
      </c>
      <c r="BM1151" t="str">
        <f t="shared" si="1500"/>
        <v/>
      </c>
      <c r="BN1151">
        <f t="shared" si="1501"/>
        <v>1</v>
      </c>
      <c r="BO1151" s="159">
        <v>1</v>
      </c>
      <c r="BP1151" t="s">
        <v>232</v>
      </c>
      <c r="BQ1151" t="s">
        <v>1012</v>
      </c>
      <c r="BR1151" t="s">
        <v>972</v>
      </c>
      <c r="BU1151" s="144"/>
      <c r="BV1151">
        <v>1.6</v>
      </c>
      <c r="BX1151">
        <f t="shared" si="1526"/>
        <v>1.6</v>
      </c>
      <c r="BY1151">
        <f t="shared" si="1524"/>
        <v>1.6</v>
      </c>
      <c r="BZ1151">
        <v>0</v>
      </c>
      <c r="CA1151">
        <v>0</v>
      </c>
      <c r="CB1151">
        <v>0</v>
      </c>
      <c r="CC1151">
        <v>0</v>
      </c>
      <c r="CD1151">
        <v>0</v>
      </c>
      <c r="CE1151">
        <v>0</v>
      </c>
      <c r="CF1151">
        <v>0</v>
      </c>
      <c r="CG1151">
        <v>0</v>
      </c>
      <c r="CH1151">
        <v>0</v>
      </c>
      <c r="CI1151">
        <v>0</v>
      </c>
      <c r="CJ1151">
        <v>0</v>
      </c>
      <c r="CK1151">
        <v>0</v>
      </c>
      <c r="CL1151">
        <v>0</v>
      </c>
      <c r="CM1151">
        <v>0</v>
      </c>
      <c r="CN1151" t="str">
        <f t="shared" si="1503"/>
        <v>refOK</v>
      </c>
      <c r="CO1151">
        <f t="shared" si="1504"/>
        <v>0</v>
      </c>
      <c r="CP1151">
        <f t="shared" si="1505"/>
        <v>1</v>
      </c>
      <c r="CQ1151">
        <f t="shared" si="1506"/>
        <v>1</v>
      </c>
      <c r="CR1151">
        <f t="shared" si="1507"/>
        <v>0</v>
      </c>
      <c r="CS1151">
        <f t="shared" si="1508"/>
        <v>0</v>
      </c>
      <c r="CT1151">
        <f t="shared" si="1509"/>
        <v>1.6</v>
      </c>
      <c r="CU1151">
        <f t="shared" si="1510"/>
        <v>1.6</v>
      </c>
      <c r="CV1151" s="2" t="str">
        <f t="shared" si="1511"/>
        <v/>
      </c>
      <c r="CW1151" s="1" t="s">
        <v>263</v>
      </c>
      <c r="CX1151" t="str">
        <f t="shared" si="1512"/>
        <v>loc</v>
      </c>
      <c r="CY1151" t="s">
        <v>264</v>
      </c>
      <c r="DA1151" s="143"/>
      <c r="DB1151" s="143">
        <v>45</v>
      </c>
      <c r="DC1151" t="str">
        <f t="shared" si="1513"/>
        <v>31-70</v>
      </c>
      <c r="DD1151">
        <v>0</v>
      </c>
      <c r="DE1151">
        <v>0</v>
      </c>
      <c r="DF1151">
        <v>0</v>
      </c>
      <c r="DG1151">
        <v>1</v>
      </c>
      <c r="DH1151">
        <v>0</v>
      </c>
      <c r="DI1151">
        <f t="shared" si="1514"/>
        <v>1</v>
      </c>
      <c r="DJ1151" t="str">
        <f t="shared" si="1515"/>
        <v>TimberInput</v>
      </c>
      <c r="DK1151">
        <f t="shared" si="1516"/>
        <v>0</v>
      </c>
      <c r="DL1151">
        <f t="shared" si="1517"/>
        <v>0</v>
      </c>
      <c r="DM1151">
        <f t="shared" si="1518"/>
        <v>0</v>
      </c>
      <c r="DN1151" t="str">
        <f t="shared" si="1519"/>
        <v>Timber</v>
      </c>
      <c r="DO1151">
        <v>1</v>
      </c>
      <c r="DP1151">
        <v>0</v>
      </c>
      <c r="DQ1151">
        <v>0</v>
      </c>
      <c r="DR1151">
        <v>0</v>
      </c>
      <c r="DS1151">
        <v>0</v>
      </c>
      <c r="DT1151">
        <f t="shared" si="1520"/>
        <v>1</v>
      </c>
      <c r="DU1151" s="143" t="str">
        <f t="shared" si="1521"/>
        <v>self-calculated DF</v>
      </c>
      <c r="DV1151" s="143">
        <v>0</v>
      </c>
      <c r="DW1151" s="143">
        <v>0</v>
      </c>
      <c r="DX1151" s="143">
        <v>0</v>
      </c>
      <c r="DY1151" s="143">
        <v>0</v>
      </c>
      <c r="DZ1151">
        <v>0</v>
      </c>
      <c r="EA1151" s="143">
        <v>1</v>
      </c>
      <c r="EB1151" s="143">
        <v>0</v>
      </c>
      <c r="EC1151" s="143">
        <v>1</v>
      </c>
      <c r="ED1151" s="143">
        <v>0</v>
      </c>
      <c r="EE1151">
        <v>0</v>
      </c>
      <c r="EF1151">
        <v>0</v>
      </c>
      <c r="EG1151" s="143">
        <v>0</v>
      </c>
      <c r="EH1151" s="143">
        <v>0</v>
      </c>
      <c r="EI1151" s="2">
        <v>0</v>
      </c>
      <c r="EK1151" t="str">
        <f t="shared" si="1522"/>
        <v/>
      </c>
      <c r="EL1151" t="str">
        <f t="shared" si="1523"/>
        <v/>
      </c>
      <c r="EM1151" s="2" t="str">
        <f t="shared" si="1525"/>
        <v/>
      </c>
      <c r="EP1151" t="str">
        <f>IF(ISNUMBER(BU1151),IF(ABS(BU1151-[3]QC_indicators!$B$2)&gt;3*[3]QC_indicators!$C$2,"C ratio",IF(ISNUMBER(BY1151),IF(ABS(BY1151-[3]QC_indicators!$B$1)&gt;3*[3]QC_indicators!$C$1,"DF","no"))),IF(ISNUMBER(BY1151),IF(ABS(BY1151-[3]QC_indicators!$B$1)&gt;3*[3]QC_indicators!$C$1,"DF","no")))</f>
        <v>no</v>
      </c>
      <c r="ER1151" t="s">
        <v>994</v>
      </c>
      <c r="ET1151" s="264" t="s">
        <v>3211</v>
      </c>
    </row>
    <row r="1152" spans="4:150" ht="15" hidden="1" customHeight="1">
      <c r="D1152" t="s">
        <v>962</v>
      </c>
      <c r="E1152" t="s">
        <v>1006</v>
      </c>
      <c r="G1152" t="s">
        <v>1007</v>
      </c>
      <c r="I1152">
        <v>2004</v>
      </c>
      <c r="K1152" t="s">
        <v>1008</v>
      </c>
      <c r="M1152" t="str">
        <f t="shared" si="1430"/>
        <v>Petersen_2004</v>
      </c>
      <c r="N1152" t="s">
        <v>222</v>
      </c>
      <c r="O1152" s="171" t="s">
        <v>513</v>
      </c>
      <c r="P1152" s="141" t="s">
        <v>225</v>
      </c>
      <c r="Q1152" t="s">
        <v>389</v>
      </c>
      <c r="R1152" s="262" t="s">
        <v>223</v>
      </c>
      <c r="S1152" s="1" t="s">
        <v>1013</v>
      </c>
      <c r="T1152" t="s">
        <v>1024</v>
      </c>
      <c r="U1152" t="s">
        <v>1015</v>
      </c>
      <c r="V1152">
        <v>0</v>
      </c>
      <c r="W1152">
        <v>0</v>
      </c>
      <c r="X1152">
        <v>0</v>
      </c>
      <c r="Y1152">
        <v>0</v>
      </c>
      <c r="Z1152">
        <v>0</v>
      </c>
      <c r="AA1152">
        <v>0</v>
      </c>
      <c r="AB1152">
        <v>0</v>
      </c>
      <c r="AC1152">
        <v>0</v>
      </c>
      <c r="AD1152">
        <v>0</v>
      </c>
      <c r="AE1152">
        <v>0</v>
      </c>
      <c r="AF1152">
        <v>0</v>
      </c>
      <c r="AG1152">
        <v>0</v>
      </c>
      <c r="AH1152">
        <v>0</v>
      </c>
      <c r="AI1152">
        <v>0</v>
      </c>
      <c r="AJ1152">
        <v>0</v>
      </c>
      <c r="AK1152">
        <v>1</v>
      </c>
      <c r="AL1152">
        <v>0</v>
      </c>
      <c r="AM1152">
        <v>0</v>
      </c>
      <c r="AN1152">
        <v>0</v>
      </c>
      <c r="AO1152">
        <v>0</v>
      </c>
      <c r="AP1152">
        <v>0</v>
      </c>
      <c r="AQ1152">
        <v>0</v>
      </c>
      <c r="AR1152">
        <v>0</v>
      </c>
      <c r="AS1152">
        <v>0</v>
      </c>
      <c r="AT1152">
        <v>0</v>
      </c>
      <c r="AU1152">
        <v>0</v>
      </c>
      <c r="AV1152">
        <v>0</v>
      </c>
      <c r="AW1152">
        <v>0</v>
      </c>
      <c r="AX1152" s="141">
        <f t="shared" si="1493"/>
        <v>1</v>
      </c>
      <c r="AY1152" s="141">
        <f t="shared" si="1494"/>
        <v>1</v>
      </c>
      <c r="AZ1152">
        <f t="shared" si="1495"/>
        <v>0</v>
      </c>
      <c r="BA1152">
        <f t="shared" si="1496"/>
        <v>0</v>
      </c>
      <c r="BB1152">
        <f t="shared" si="1497"/>
        <v>1</v>
      </c>
      <c r="BC1152">
        <f t="shared" si="1498"/>
        <v>0</v>
      </c>
      <c r="BD1152">
        <f t="shared" si="1499"/>
        <v>0</v>
      </c>
      <c r="BE1152" t="str">
        <f t="array" ref="BE1152">IF(AY1152=1,INDEX($V$7:$AL$7,MATCH(TRUE,INDEX($V1152:$AW1152&lt;&gt;0,),0)),IF(AY1152=0,INDEX($AM$7:$AW$7,MATCH(1,$AM1152:$AW1152,0)),IF(BF1152="Multiple strategies","mixed drivers",IF(BF1152="Supply chain","multiple supply","multiple silviculture"))))</f>
        <v>technologies/design switch</v>
      </c>
      <c r="BF1152" s="2" t="str" cm="1">
        <f t="array" ref="BF1152">IF(COUNTIF(AZ1152:BB1152,"&lt;&gt;0")=1,INDEX($V$4:$AW$4,MATCH(TRUE,INDEX($V1152:$AW1152&lt;&gt;0,),0)),IF(COUNTIF(AZ1152:BB1152,"&lt;&gt;0")=0,INDEX($AM$4:$AW$4,MATCH(1,$AM1152:$AW1152,0)),"Multiple strategies"))</f>
        <v>Technology</v>
      </c>
      <c r="BG1152" s="142" t="s">
        <v>229</v>
      </c>
      <c r="BH1152" t="s">
        <v>969</v>
      </c>
      <c r="BI1152" t="s">
        <v>1011</v>
      </c>
      <c r="BJ1152" t="s">
        <v>498</v>
      </c>
      <c r="BK1152">
        <v>0</v>
      </c>
      <c r="BL1152" s="143">
        <v>1</v>
      </c>
      <c r="BM1152" t="str">
        <f t="shared" si="1500"/>
        <v/>
      </c>
      <c r="BN1152">
        <f t="shared" si="1501"/>
        <v>1</v>
      </c>
      <c r="BO1152" s="159">
        <v>1</v>
      </c>
      <c r="BP1152" t="s">
        <v>232</v>
      </c>
      <c r="BQ1152" t="s">
        <v>1012</v>
      </c>
      <c r="BR1152" t="s">
        <v>1001</v>
      </c>
      <c r="BU1152" s="144"/>
      <c r="BV1152">
        <v>1.7</v>
      </c>
      <c r="BX1152">
        <f t="shared" si="1526"/>
        <v>1.7</v>
      </c>
      <c r="BY1152">
        <f t="shared" si="1524"/>
        <v>1.7</v>
      </c>
      <c r="BZ1152">
        <v>0</v>
      </c>
      <c r="CA1152">
        <v>0</v>
      </c>
      <c r="CB1152">
        <v>0</v>
      </c>
      <c r="CC1152">
        <v>0</v>
      </c>
      <c r="CD1152">
        <v>0</v>
      </c>
      <c r="CE1152">
        <v>0</v>
      </c>
      <c r="CF1152">
        <v>0</v>
      </c>
      <c r="CG1152">
        <v>0</v>
      </c>
      <c r="CH1152">
        <v>0</v>
      </c>
      <c r="CI1152">
        <v>0</v>
      </c>
      <c r="CJ1152">
        <v>0</v>
      </c>
      <c r="CK1152">
        <v>0</v>
      </c>
      <c r="CL1152">
        <v>0</v>
      </c>
      <c r="CM1152">
        <v>0</v>
      </c>
      <c r="CN1152" t="str">
        <f t="shared" si="1503"/>
        <v>refOK</v>
      </c>
      <c r="CO1152">
        <f t="shared" si="1504"/>
        <v>0</v>
      </c>
      <c r="CP1152">
        <f t="shared" si="1505"/>
        <v>1</v>
      </c>
      <c r="CQ1152">
        <f t="shared" si="1506"/>
        <v>1</v>
      </c>
      <c r="CR1152">
        <f t="shared" si="1507"/>
        <v>0</v>
      </c>
      <c r="CS1152">
        <f t="shared" si="1508"/>
        <v>0</v>
      </c>
      <c r="CT1152">
        <f t="shared" si="1509"/>
        <v>1.7</v>
      </c>
      <c r="CU1152">
        <f t="shared" si="1510"/>
        <v>1.7</v>
      </c>
      <c r="CV1152" s="2" t="str">
        <f t="shared" si="1511"/>
        <v/>
      </c>
      <c r="CW1152" s="1" t="s">
        <v>263</v>
      </c>
      <c r="CX1152" t="str">
        <f t="shared" si="1512"/>
        <v>loc</v>
      </c>
      <c r="CY1152" t="s">
        <v>264</v>
      </c>
      <c r="DA1152" s="143"/>
      <c r="DB1152" s="143">
        <v>45</v>
      </c>
      <c r="DC1152" t="str">
        <f t="shared" si="1513"/>
        <v>31-70</v>
      </c>
      <c r="DD1152">
        <v>0</v>
      </c>
      <c r="DE1152">
        <v>0</v>
      </c>
      <c r="DF1152">
        <v>0</v>
      </c>
      <c r="DG1152">
        <v>1</v>
      </c>
      <c r="DH1152">
        <v>0</v>
      </c>
      <c r="DI1152">
        <f t="shared" si="1514"/>
        <v>1</v>
      </c>
      <c r="DJ1152" t="str">
        <f t="shared" si="1515"/>
        <v>TimberInput</v>
      </c>
      <c r="DK1152">
        <f t="shared" si="1516"/>
        <v>0</v>
      </c>
      <c r="DL1152">
        <f t="shared" si="1517"/>
        <v>0</v>
      </c>
      <c r="DM1152">
        <f t="shared" si="1518"/>
        <v>0</v>
      </c>
      <c r="DN1152" t="str">
        <f t="shared" si="1519"/>
        <v>Timber</v>
      </c>
      <c r="DO1152">
        <v>1</v>
      </c>
      <c r="DP1152">
        <v>0</v>
      </c>
      <c r="DQ1152">
        <v>0</v>
      </c>
      <c r="DR1152">
        <v>0</v>
      </c>
      <c r="DS1152">
        <v>0</v>
      </c>
      <c r="DT1152">
        <f t="shared" si="1520"/>
        <v>1</v>
      </c>
      <c r="DU1152" s="143" t="str">
        <f t="shared" si="1521"/>
        <v>self-calculated DF</v>
      </c>
      <c r="DV1152" s="143">
        <v>0</v>
      </c>
      <c r="DW1152" s="143">
        <v>0</v>
      </c>
      <c r="DX1152" s="143">
        <v>0</v>
      </c>
      <c r="DY1152" s="143">
        <v>0</v>
      </c>
      <c r="DZ1152">
        <v>0</v>
      </c>
      <c r="EA1152" s="143">
        <v>0</v>
      </c>
      <c r="EB1152" s="143">
        <v>0</v>
      </c>
      <c r="EC1152" s="143">
        <v>1</v>
      </c>
      <c r="ED1152" s="143">
        <v>0</v>
      </c>
      <c r="EE1152">
        <v>0</v>
      </c>
      <c r="EF1152">
        <v>0</v>
      </c>
      <c r="EG1152" s="143">
        <v>0</v>
      </c>
      <c r="EH1152" s="143">
        <v>0</v>
      </c>
      <c r="EI1152" s="2">
        <v>0</v>
      </c>
      <c r="EK1152" t="str">
        <f t="shared" si="1522"/>
        <v/>
      </c>
      <c r="EL1152" t="str">
        <f t="shared" si="1523"/>
        <v/>
      </c>
      <c r="EM1152" s="2" t="str">
        <f t="shared" si="1525"/>
        <v/>
      </c>
      <c r="EP1152" t="str">
        <f>IF(ISNUMBER(BU1152),IF(ABS(BU1152-[3]QC_indicators!$B$2)&gt;3*[3]QC_indicators!$C$2,"C ratio",IF(ISNUMBER(BY1152),IF(ABS(BY1152-[3]QC_indicators!$B$1)&gt;3*[3]QC_indicators!$C$1,"DF","no"))),IF(ISNUMBER(BY1152),IF(ABS(BY1152-[3]QC_indicators!$B$1)&gt;3*[3]QC_indicators!$C$1,"DF","no")))</f>
        <v>no</v>
      </c>
      <c r="ER1152" t="s">
        <v>994</v>
      </c>
      <c r="ET1152" s="264" t="s">
        <v>3211</v>
      </c>
    </row>
    <row r="1153" spans="1:151" ht="15" hidden="1" customHeight="1">
      <c r="D1153" t="s">
        <v>962</v>
      </c>
      <c r="E1153" t="s">
        <v>1006</v>
      </c>
      <c r="G1153" t="s">
        <v>1007</v>
      </c>
      <c r="I1153">
        <v>2004</v>
      </c>
      <c r="K1153" t="s">
        <v>1008</v>
      </c>
      <c r="M1153" t="str">
        <f t="shared" ref="M1153:M1216" si="1527">LEFT($D1153,FIND(",",$D1153)-1)&amp;"_"&amp;I1153&amp;L1153</f>
        <v>Petersen_2004</v>
      </c>
      <c r="N1153" t="s">
        <v>222</v>
      </c>
      <c r="O1153" s="171" t="s">
        <v>513</v>
      </c>
      <c r="P1153" s="141" t="s">
        <v>225</v>
      </c>
      <c r="Q1153" t="s">
        <v>389</v>
      </c>
      <c r="R1153" s="262" t="s">
        <v>223</v>
      </c>
      <c r="S1153" s="1" t="s">
        <v>1013</v>
      </c>
      <c r="T1153" t="s">
        <v>1025</v>
      </c>
      <c r="U1153" t="s">
        <v>1015</v>
      </c>
      <c r="V1153">
        <v>0</v>
      </c>
      <c r="W1153">
        <v>0</v>
      </c>
      <c r="X1153">
        <v>0</v>
      </c>
      <c r="Y1153">
        <v>0</v>
      </c>
      <c r="Z1153">
        <v>0</v>
      </c>
      <c r="AA1153">
        <v>0</v>
      </c>
      <c r="AB1153">
        <v>0</v>
      </c>
      <c r="AC1153">
        <v>0</v>
      </c>
      <c r="AD1153">
        <v>0</v>
      </c>
      <c r="AE1153">
        <v>0</v>
      </c>
      <c r="AF1153">
        <v>0</v>
      </c>
      <c r="AG1153">
        <v>0</v>
      </c>
      <c r="AH1153">
        <v>0</v>
      </c>
      <c r="AI1153">
        <v>0</v>
      </c>
      <c r="AJ1153">
        <v>0</v>
      </c>
      <c r="AK1153">
        <v>1</v>
      </c>
      <c r="AL1153">
        <v>0</v>
      </c>
      <c r="AM1153">
        <v>0</v>
      </c>
      <c r="AN1153">
        <v>0</v>
      </c>
      <c r="AO1153">
        <v>0</v>
      </c>
      <c r="AP1153">
        <v>0</v>
      </c>
      <c r="AQ1153">
        <v>0</v>
      </c>
      <c r="AR1153">
        <v>0</v>
      </c>
      <c r="AS1153">
        <v>0</v>
      </c>
      <c r="AT1153">
        <v>0</v>
      </c>
      <c r="AU1153">
        <v>0</v>
      </c>
      <c r="AV1153">
        <v>0</v>
      </c>
      <c r="AW1153">
        <v>0</v>
      </c>
      <c r="AX1153" s="141">
        <f t="shared" si="1493"/>
        <v>1</v>
      </c>
      <c r="AY1153" s="141">
        <f t="shared" si="1494"/>
        <v>1</v>
      </c>
      <c r="AZ1153">
        <f t="shared" si="1495"/>
        <v>0</v>
      </c>
      <c r="BA1153">
        <f t="shared" si="1496"/>
        <v>0</v>
      </c>
      <c r="BB1153">
        <f t="shared" si="1497"/>
        <v>1</v>
      </c>
      <c r="BC1153">
        <f t="shared" si="1498"/>
        <v>0</v>
      </c>
      <c r="BD1153">
        <f t="shared" si="1499"/>
        <v>0</v>
      </c>
      <c r="BE1153" t="str">
        <f t="array" ref="BE1153">IF(AY1153=1,INDEX($V$7:$AL$7,MATCH(TRUE,INDEX($V1153:$AW1153&lt;&gt;0,),0)),IF(AY1153=0,INDEX($AM$7:$AW$7,MATCH(1,$AM1153:$AW1153,0)),IF(BF1153="Multiple strategies","mixed drivers",IF(BF1153="Supply chain","multiple supply","multiple silviculture"))))</f>
        <v>technologies/design switch</v>
      </c>
      <c r="BF1153" s="2" t="str" cm="1">
        <f t="array" ref="BF1153">IF(COUNTIF(AZ1153:BB1153,"&lt;&gt;0")=1,INDEX($V$4:$AW$4,MATCH(TRUE,INDEX($V1153:$AW1153&lt;&gt;0,),0)),IF(COUNTIF(AZ1153:BB1153,"&lt;&gt;0")=0,INDEX($AM$4:$AW$4,MATCH(1,$AM1153:$AW1153,0)),"Multiple strategies"))</f>
        <v>Technology</v>
      </c>
      <c r="BG1153" s="142" t="s">
        <v>229</v>
      </c>
      <c r="BH1153" t="s">
        <v>969</v>
      </c>
      <c r="BI1153" t="s">
        <v>1011</v>
      </c>
      <c r="BJ1153" t="s">
        <v>498</v>
      </c>
      <c r="BK1153">
        <v>0</v>
      </c>
      <c r="BL1153" s="143">
        <v>1</v>
      </c>
      <c r="BM1153" t="str">
        <f t="shared" si="1500"/>
        <v/>
      </c>
      <c r="BN1153">
        <f t="shared" si="1501"/>
        <v>1</v>
      </c>
      <c r="BO1153" s="159">
        <v>1</v>
      </c>
      <c r="BP1153" t="s">
        <v>232</v>
      </c>
      <c r="BQ1153" t="s">
        <v>1012</v>
      </c>
      <c r="BR1153" t="s">
        <v>1001</v>
      </c>
      <c r="BU1153" s="144"/>
      <c r="BV1153">
        <v>8.4</v>
      </c>
      <c r="BX1153">
        <f t="shared" si="1526"/>
        <v>8.4</v>
      </c>
      <c r="BY1153">
        <f t="shared" si="1524"/>
        <v>8.4</v>
      </c>
      <c r="BZ1153">
        <v>0</v>
      </c>
      <c r="CA1153">
        <v>0</v>
      </c>
      <c r="CB1153">
        <v>0</v>
      </c>
      <c r="CC1153">
        <v>0</v>
      </c>
      <c r="CD1153">
        <v>0</v>
      </c>
      <c r="CE1153">
        <v>0</v>
      </c>
      <c r="CF1153">
        <v>0</v>
      </c>
      <c r="CG1153">
        <v>0</v>
      </c>
      <c r="CH1153">
        <v>0</v>
      </c>
      <c r="CI1153">
        <v>0</v>
      </c>
      <c r="CJ1153">
        <v>0</v>
      </c>
      <c r="CK1153">
        <v>0</v>
      </c>
      <c r="CL1153">
        <v>0</v>
      </c>
      <c r="CM1153">
        <v>0</v>
      </c>
      <c r="CN1153" t="str">
        <f t="shared" si="1503"/>
        <v>refOK</v>
      </c>
      <c r="CO1153">
        <f t="shared" si="1504"/>
        <v>0</v>
      </c>
      <c r="CP1153">
        <f t="shared" si="1505"/>
        <v>1</v>
      </c>
      <c r="CQ1153">
        <f t="shared" si="1506"/>
        <v>1</v>
      </c>
      <c r="CR1153">
        <f t="shared" si="1507"/>
        <v>0</v>
      </c>
      <c r="CS1153">
        <f t="shared" si="1508"/>
        <v>0</v>
      </c>
      <c r="CT1153">
        <f t="shared" si="1509"/>
        <v>8.4</v>
      </c>
      <c r="CU1153">
        <f t="shared" si="1510"/>
        <v>8.4</v>
      </c>
      <c r="CV1153" s="2" t="str">
        <f t="shared" si="1511"/>
        <v/>
      </c>
      <c r="CW1153" s="1" t="s">
        <v>263</v>
      </c>
      <c r="CX1153" t="str">
        <f t="shared" si="1512"/>
        <v>loc</v>
      </c>
      <c r="CY1153" t="s">
        <v>264</v>
      </c>
      <c r="DA1153" s="143"/>
      <c r="DB1153" s="143">
        <v>45</v>
      </c>
      <c r="DC1153" t="str">
        <f t="shared" si="1513"/>
        <v>31-70</v>
      </c>
      <c r="DD1153">
        <v>0</v>
      </c>
      <c r="DE1153">
        <v>0</v>
      </c>
      <c r="DF1153">
        <v>0</v>
      </c>
      <c r="DG1153">
        <v>1</v>
      </c>
      <c r="DH1153">
        <v>0</v>
      </c>
      <c r="DI1153">
        <f t="shared" si="1514"/>
        <v>1</v>
      </c>
      <c r="DJ1153" t="str">
        <f t="shared" si="1515"/>
        <v>TimberInput</v>
      </c>
      <c r="DK1153">
        <f t="shared" si="1516"/>
        <v>0</v>
      </c>
      <c r="DL1153">
        <f t="shared" si="1517"/>
        <v>0</v>
      </c>
      <c r="DM1153">
        <f t="shared" si="1518"/>
        <v>0</v>
      </c>
      <c r="DN1153" t="str">
        <f t="shared" si="1519"/>
        <v>Timber</v>
      </c>
      <c r="DO1153">
        <v>1</v>
      </c>
      <c r="DP1153">
        <v>0</v>
      </c>
      <c r="DQ1153">
        <v>0</v>
      </c>
      <c r="DR1153">
        <v>0</v>
      </c>
      <c r="DS1153">
        <v>0</v>
      </c>
      <c r="DT1153">
        <f t="shared" si="1520"/>
        <v>1</v>
      </c>
      <c r="DU1153" s="143" t="str">
        <f t="shared" si="1521"/>
        <v>self-calculated DF</v>
      </c>
      <c r="DV1153" s="143">
        <v>0</v>
      </c>
      <c r="DW1153" s="143">
        <v>0</v>
      </c>
      <c r="DX1153" s="143">
        <v>0</v>
      </c>
      <c r="DY1153" s="143">
        <v>0</v>
      </c>
      <c r="DZ1153">
        <v>0</v>
      </c>
      <c r="EA1153" s="143">
        <v>0</v>
      </c>
      <c r="EB1153" s="143">
        <v>0</v>
      </c>
      <c r="EC1153" s="143">
        <v>1</v>
      </c>
      <c r="ED1153" s="143">
        <v>0</v>
      </c>
      <c r="EE1153">
        <v>0</v>
      </c>
      <c r="EF1153">
        <v>0</v>
      </c>
      <c r="EG1153" s="143">
        <v>0</v>
      </c>
      <c r="EH1153" s="143">
        <v>0</v>
      </c>
      <c r="EI1153" s="2">
        <v>0</v>
      </c>
      <c r="EK1153" t="str">
        <f t="shared" si="1522"/>
        <v/>
      </c>
      <c r="EL1153" t="str">
        <f t="shared" si="1523"/>
        <v/>
      </c>
      <c r="EM1153" s="2" t="str">
        <f t="shared" si="1525"/>
        <v/>
      </c>
      <c r="EP1153" t="str">
        <f>IF(ISNUMBER(BU1153),IF(ABS(BU1153-[3]QC_indicators!$B$2)&gt;3*[3]QC_indicators!$C$2,"C ratio",IF(ISNUMBER(BY1153),IF(ABS(BY1153-[3]QC_indicators!$B$1)&gt;3*[3]QC_indicators!$C$1,"DF","no"))),IF(ISNUMBER(BY1153),IF(ABS(BY1153-[3]QC_indicators!$B$1)&gt;3*[3]QC_indicators!$C$1,"DF","no")))</f>
        <v>no</v>
      </c>
      <c r="EQ1153" s="266" t="s">
        <v>3212</v>
      </c>
      <c r="ER1153" t="s">
        <v>994</v>
      </c>
      <c r="ET1153" s="264" t="s">
        <v>3211</v>
      </c>
    </row>
    <row r="1154" spans="1:151" ht="15" hidden="1" customHeight="1">
      <c r="D1154" t="s">
        <v>962</v>
      </c>
      <c r="E1154" t="s">
        <v>1006</v>
      </c>
      <c r="G1154" t="s">
        <v>1007</v>
      </c>
      <c r="I1154">
        <v>2004</v>
      </c>
      <c r="K1154" t="s">
        <v>1008</v>
      </c>
      <c r="M1154" t="str">
        <f t="shared" si="1527"/>
        <v>Petersen_2004</v>
      </c>
      <c r="N1154" t="s">
        <v>222</v>
      </c>
      <c r="O1154" s="171" t="s">
        <v>513</v>
      </c>
      <c r="P1154" s="141" t="s">
        <v>225</v>
      </c>
      <c r="Q1154" t="s">
        <v>389</v>
      </c>
      <c r="R1154" s="262" t="s">
        <v>223</v>
      </c>
      <c r="S1154" s="1" t="s">
        <v>982</v>
      </c>
      <c r="T1154" t="s">
        <v>1026</v>
      </c>
      <c r="U1154" t="s">
        <v>1019</v>
      </c>
      <c r="V1154">
        <v>0</v>
      </c>
      <c r="W1154">
        <v>0</v>
      </c>
      <c r="X1154">
        <v>0</v>
      </c>
      <c r="Y1154">
        <v>0</v>
      </c>
      <c r="Z1154">
        <v>0</v>
      </c>
      <c r="AA1154">
        <v>0</v>
      </c>
      <c r="AB1154">
        <v>0</v>
      </c>
      <c r="AC1154">
        <v>0</v>
      </c>
      <c r="AD1154">
        <v>0</v>
      </c>
      <c r="AE1154">
        <v>0</v>
      </c>
      <c r="AF1154">
        <v>0</v>
      </c>
      <c r="AG1154">
        <v>0</v>
      </c>
      <c r="AH1154">
        <v>0</v>
      </c>
      <c r="AI1154">
        <v>0</v>
      </c>
      <c r="AJ1154">
        <v>0</v>
      </c>
      <c r="AK1154">
        <v>1</v>
      </c>
      <c r="AL1154">
        <v>0</v>
      </c>
      <c r="AM1154">
        <v>0</v>
      </c>
      <c r="AN1154">
        <v>0</v>
      </c>
      <c r="AO1154">
        <v>0</v>
      </c>
      <c r="AP1154">
        <v>0</v>
      </c>
      <c r="AQ1154">
        <v>0</v>
      </c>
      <c r="AR1154">
        <v>0</v>
      </c>
      <c r="AS1154">
        <v>0</v>
      </c>
      <c r="AT1154">
        <v>0</v>
      </c>
      <c r="AU1154">
        <v>0</v>
      </c>
      <c r="AV1154">
        <v>0</v>
      </c>
      <c r="AW1154">
        <v>0</v>
      </c>
      <c r="AX1154" s="141">
        <f t="shared" si="1493"/>
        <v>1</v>
      </c>
      <c r="AY1154" s="141">
        <f t="shared" si="1494"/>
        <v>1</v>
      </c>
      <c r="AZ1154">
        <f t="shared" si="1495"/>
        <v>0</v>
      </c>
      <c r="BA1154">
        <f t="shared" si="1496"/>
        <v>0</v>
      </c>
      <c r="BB1154">
        <f t="shared" si="1497"/>
        <v>1</v>
      </c>
      <c r="BC1154">
        <f t="shared" si="1498"/>
        <v>0</v>
      </c>
      <c r="BD1154">
        <f t="shared" si="1499"/>
        <v>0</v>
      </c>
      <c r="BE1154" t="str">
        <f t="array" ref="BE1154">IF(AY1154=1,INDEX($V$7:$AL$7,MATCH(TRUE,INDEX($V1154:$AW1154&lt;&gt;0,),0)),IF(AY1154=0,INDEX($AM$7:$AW$7,MATCH(1,$AM1154:$AW1154,0)),IF(BF1154="Multiple strategies","mixed drivers",IF(BF1154="Supply chain","multiple supply","multiple silviculture"))))</f>
        <v>technologies/design switch</v>
      </c>
      <c r="BF1154" s="2" t="str" cm="1">
        <f t="array" ref="BF1154">IF(COUNTIF(AZ1154:BB1154,"&lt;&gt;0")=1,INDEX($V$4:$AW$4,MATCH(TRUE,INDEX($V1154:$AW1154&lt;&gt;0,),0)),IF(COUNTIF(AZ1154:BB1154,"&lt;&gt;0")=0,INDEX($AM$4:$AW$4,MATCH(1,$AM1154:$AW1154,0)),"Multiple strategies"))</f>
        <v>Technology</v>
      </c>
      <c r="BG1154" s="142" t="s">
        <v>229</v>
      </c>
      <c r="BH1154" t="s">
        <v>969</v>
      </c>
      <c r="BI1154" t="s">
        <v>1011</v>
      </c>
      <c r="BJ1154" t="s">
        <v>498</v>
      </c>
      <c r="BK1154">
        <v>0</v>
      </c>
      <c r="BL1154" s="143">
        <v>1</v>
      </c>
      <c r="BM1154" t="str">
        <f t="shared" si="1500"/>
        <v/>
      </c>
      <c r="BN1154">
        <f t="shared" si="1501"/>
        <v>1</v>
      </c>
      <c r="BO1154" s="159">
        <v>1</v>
      </c>
      <c r="BP1154" t="s">
        <v>232</v>
      </c>
      <c r="BQ1154" t="s">
        <v>1012</v>
      </c>
      <c r="BR1154" t="s">
        <v>972</v>
      </c>
      <c r="BU1154" s="144"/>
      <c r="BV1154">
        <v>8.4</v>
      </c>
      <c r="BX1154">
        <f t="shared" si="1526"/>
        <v>8.4</v>
      </c>
      <c r="BY1154">
        <f t="shared" si="1524"/>
        <v>8.4</v>
      </c>
      <c r="BZ1154">
        <v>0</v>
      </c>
      <c r="CA1154">
        <v>0</v>
      </c>
      <c r="CB1154">
        <v>0</v>
      </c>
      <c r="CC1154">
        <v>0</v>
      </c>
      <c r="CD1154">
        <v>0</v>
      </c>
      <c r="CE1154">
        <v>0</v>
      </c>
      <c r="CF1154">
        <v>0</v>
      </c>
      <c r="CG1154">
        <v>0</v>
      </c>
      <c r="CH1154">
        <v>0</v>
      </c>
      <c r="CI1154">
        <v>0</v>
      </c>
      <c r="CJ1154">
        <v>0</v>
      </c>
      <c r="CK1154">
        <v>0</v>
      </c>
      <c r="CL1154">
        <v>0</v>
      </c>
      <c r="CM1154">
        <v>0</v>
      </c>
      <c r="CN1154" t="str">
        <f t="shared" si="1503"/>
        <v>refOK</v>
      </c>
      <c r="CO1154">
        <f t="shared" si="1504"/>
        <v>0</v>
      </c>
      <c r="CP1154">
        <f t="shared" si="1505"/>
        <v>1</v>
      </c>
      <c r="CQ1154">
        <f t="shared" si="1506"/>
        <v>1</v>
      </c>
      <c r="CR1154">
        <f t="shared" si="1507"/>
        <v>0</v>
      </c>
      <c r="CS1154">
        <f t="shared" si="1508"/>
        <v>0</v>
      </c>
      <c r="CT1154">
        <f t="shared" si="1509"/>
        <v>8.4</v>
      </c>
      <c r="CU1154">
        <f t="shared" si="1510"/>
        <v>8.4</v>
      </c>
      <c r="CV1154" s="2" t="str">
        <f t="shared" si="1511"/>
        <v/>
      </c>
      <c r="CW1154" s="1" t="s">
        <v>263</v>
      </c>
      <c r="CX1154" t="str">
        <f t="shared" si="1512"/>
        <v>loc</v>
      </c>
      <c r="CY1154" t="s">
        <v>264</v>
      </c>
      <c r="DA1154" s="143"/>
      <c r="DB1154" s="143">
        <v>45</v>
      </c>
      <c r="DC1154" t="str">
        <f t="shared" si="1513"/>
        <v>31-70</v>
      </c>
      <c r="DD1154">
        <v>0</v>
      </c>
      <c r="DE1154">
        <v>0</v>
      </c>
      <c r="DF1154">
        <v>0</v>
      </c>
      <c r="DG1154">
        <v>1</v>
      </c>
      <c r="DH1154">
        <v>0</v>
      </c>
      <c r="DI1154">
        <f t="shared" si="1514"/>
        <v>1</v>
      </c>
      <c r="DJ1154" t="str">
        <f t="shared" si="1515"/>
        <v>TimberInput</v>
      </c>
      <c r="DK1154">
        <f t="shared" si="1516"/>
        <v>0</v>
      </c>
      <c r="DL1154">
        <f t="shared" si="1517"/>
        <v>0</v>
      </c>
      <c r="DM1154">
        <f t="shared" si="1518"/>
        <v>0</v>
      </c>
      <c r="DN1154" t="str">
        <f t="shared" si="1519"/>
        <v>Timber</v>
      </c>
      <c r="DO1154">
        <v>1</v>
      </c>
      <c r="DP1154">
        <v>0</v>
      </c>
      <c r="DQ1154">
        <v>0</v>
      </c>
      <c r="DR1154">
        <v>0</v>
      </c>
      <c r="DS1154">
        <v>0</v>
      </c>
      <c r="DT1154">
        <f t="shared" si="1520"/>
        <v>1</v>
      </c>
      <c r="DU1154" s="143" t="str">
        <f t="shared" si="1521"/>
        <v>self-calculated DF</v>
      </c>
      <c r="DV1154" s="143">
        <v>0</v>
      </c>
      <c r="DW1154" s="143">
        <v>0</v>
      </c>
      <c r="DX1154" s="143">
        <v>0</v>
      </c>
      <c r="DY1154" s="143">
        <v>0</v>
      </c>
      <c r="DZ1154">
        <v>0</v>
      </c>
      <c r="EA1154" s="143">
        <v>1</v>
      </c>
      <c r="EB1154" s="143">
        <v>0</v>
      </c>
      <c r="EC1154" s="143">
        <v>1</v>
      </c>
      <c r="ED1154" s="143">
        <v>0</v>
      </c>
      <c r="EE1154">
        <v>0</v>
      </c>
      <c r="EF1154">
        <v>0</v>
      </c>
      <c r="EG1154" s="143">
        <v>0</v>
      </c>
      <c r="EH1154" s="143">
        <v>0</v>
      </c>
      <c r="EI1154" s="2">
        <v>0</v>
      </c>
      <c r="EK1154" t="str">
        <f t="shared" si="1522"/>
        <v/>
      </c>
      <c r="EL1154" t="str">
        <f t="shared" si="1523"/>
        <v/>
      </c>
      <c r="EM1154" s="2" t="str">
        <f t="shared" si="1525"/>
        <v/>
      </c>
      <c r="EP1154" t="str">
        <f>IF(ISNUMBER(BU1154),IF(ABS(BU1154-[3]QC_indicators!$B$2)&gt;3*[3]QC_indicators!$C$2,"C ratio",IF(ISNUMBER(BY1154),IF(ABS(BY1154-[3]QC_indicators!$B$1)&gt;3*[3]QC_indicators!$C$1,"DF","no"))),IF(ISNUMBER(BY1154),IF(ABS(BY1154-[3]QC_indicators!$B$1)&gt;3*[3]QC_indicators!$C$1,"DF","no")))</f>
        <v>no</v>
      </c>
      <c r="EQ1154" s="266" t="s">
        <v>3212</v>
      </c>
      <c r="ER1154" t="s">
        <v>994</v>
      </c>
      <c r="ET1154" s="264" t="s">
        <v>3211</v>
      </c>
    </row>
    <row r="1155" spans="1:151" ht="15" hidden="1" customHeight="1">
      <c r="A1155" s="1" t="s">
        <v>1422</v>
      </c>
      <c r="B1155" t="s">
        <v>5165</v>
      </c>
      <c r="C1155" t="s">
        <v>5166</v>
      </c>
      <c r="D1155" t="s">
        <v>5167</v>
      </c>
      <c r="E1155" t="s">
        <v>5168</v>
      </c>
      <c r="F1155" t="s">
        <v>5169</v>
      </c>
      <c r="G1155" t="s">
        <v>1428</v>
      </c>
      <c r="H1155" t="s">
        <v>254</v>
      </c>
      <c r="I1155">
        <v>2005</v>
      </c>
      <c r="J1155">
        <v>122</v>
      </c>
      <c r="K1155" t="s">
        <v>5170</v>
      </c>
      <c r="M1155" t="str">
        <f t="shared" si="1527"/>
        <v>Petersen_2005</v>
      </c>
      <c r="N1155" t="s">
        <v>2585</v>
      </c>
      <c r="O1155" s="171" t="s">
        <v>513</v>
      </c>
      <c r="P1155" s="141" t="s">
        <v>225</v>
      </c>
      <c r="Q1155" s="311" t="s">
        <v>389</v>
      </c>
      <c r="R1155" s="312"/>
      <c r="AX1155" s="141"/>
      <c r="AY1155" s="141"/>
      <c r="BE1155"/>
      <c r="BF1155" s="2"/>
      <c r="BJ1155" s="143"/>
      <c r="BL1155" s="143"/>
      <c r="BN1155" s="158"/>
      <c r="BO1155" s="159"/>
      <c r="BU1155" s="144"/>
      <c r="BY1155" t="str">
        <f t="shared" si="1524"/>
        <v/>
      </c>
      <c r="CN1155"/>
      <c r="CO1155"/>
      <c r="CP1155"/>
      <c r="CQ1155"/>
      <c r="CR1155"/>
      <c r="CS1155"/>
      <c r="CT1155"/>
      <c r="CU1155"/>
      <c r="CV1155" s="2"/>
      <c r="CX1155"/>
      <c r="DA1155" s="143"/>
      <c r="DB1155" s="143"/>
      <c r="DC1155"/>
      <c r="DI1155"/>
      <c r="DJ1155"/>
      <c r="DK1155"/>
      <c r="DL1155"/>
      <c r="DM1155"/>
      <c r="DN1155"/>
      <c r="DT1155"/>
      <c r="DU1155" s="143"/>
      <c r="DV1155" s="143"/>
      <c r="DW1155" s="143"/>
      <c r="DX1155" s="143"/>
      <c r="DY1155" s="143"/>
      <c r="EB1155" s="143"/>
      <c r="EC1155" s="143"/>
      <c r="ED1155" s="143"/>
      <c r="EG1155" s="143"/>
      <c r="EK1155" t="str">
        <f>IF(AND(AND(AND(OR($DX1155=1,$DW1155=1),OR($EC1155=1,$EA1155=1)),SUM($DV1155:$DZ1155,$EF1155)&gt;=3),SUM($EA1155:$EE1155)&gt;=2),"Whole sector","")</f>
        <v/>
      </c>
      <c r="EL1155" t="str">
        <f>IF(AND(AND(OR($DX1155=1,$DW1155=1),AND($EC1155=0,$EA1155=0)),SUM($DV1155:$DZ1155,$EF1155)&gt;=3),"Ecosystem approach","")</f>
        <v/>
      </c>
      <c r="EM1155" s="2" t="str">
        <f t="shared" si="1525"/>
        <v/>
      </c>
      <c r="EP1155" t="b">
        <f>IF(ISNUMBER(BU1155),IF(ABS(BU1155-[1]QC_indicators!$B$2)&gt;3*[1]QC_indicators!$C$2,"C ratio",IF(ISNUMBER(BY1155),IF(ABS(BY1155-[1]QC_indicators!$B$1)&gt;3*[1]QC_indicators!$C$1,"DF","no"))),IF(ISNUMBER(BY1155),IF(ABS(BY1155-[1]QC_indicators!$B$1)&gt;3*[1]QC_indicators!$C$1,"DF","no")))</f>
        <v>0</v>
      </c>
    </row>
    <row r="1156" spans="1:151" ht="15" hidden="1" customHeight="1">
      <c r="A1156" s="1" t="s">
        <v>1359</v>
      </c>
      <c r="B1156" t="s">
        <v>2097</v>
      </c>
      <c r="C1156" t="s">
        <v>2098</v>
      </c>
      <c r="D1156" t="s">
        <v>2099</v>
      </c>
      <c r="E1156" t="s">
        <v>2100</v>
      </c>
      <c r="F1156" t="s">
        <v>2101</v>
      </c>
      <c r="G1156" t="s">
        <v>1365</v>
      </c>
      <c r="H1156" t="s">
        <v>1627</v>
      </c>
      <c r="I1156">
        <v>2004</v>
      </c>
      <c r="J1156">
        <v>53</v>
      </c>
      <c r="K1156" t="s">
        <v>2102</v>
      </c>
      <c r="M1156" t="str">
        <f t="shared" si="1527"/>
        <v>Phat_2004</v>
      </c>
      <c r="N1156" t="s">
        <v>222</v>
      </c>
      <c r="O1156" s="171" t="s">
        <v>513</v>
      </c>
      <c r="P1156" s="141" t="s">
        <v>225</v>
      </c>
      <c r="Q1156" t="s">
        <v>389</v>
      </c>
      <c r="R1156" s="2" t="s">
        <v>274</v>
      </c>
      <c r="S1156" s="1" t="s">
        <v>2110</v>
      </c>
      <c r="T1156" t="s">
        <v>2111</v>
      </c>
      <c r="U1156" t="s">
        <v>2105</v>
      </c>
      <c r="V1156">
        <v>0</v>
      </c>
      <c r="W1156">
        <v>0</v>
      </c>
      <c r="X1156">
        <v>0</v>
      </c>
      <c r="Y1156">
        <v>1</v>
      </c>
      <c r="Z1156">
        <v>0</v>
      </c>
      <c r="AA1156">
        <v>0</v>
      </c>
      <c r="AB1156">
        <v>0</v>
      </c>
      <c r="AC1156">
        <v>0</v>
      </c>
      <c r="AD1156">
        <v>1</v>
      </c>
      <c r="AE1156">
        <v>0</v>
      </c>
      <c r="AF1156">
        <v>0</v>
      </c>
      <c r="AG1156">
        <v>0</v>
      </c>
      <c r="AH1156">
        <v>0</v>
      </c>
      <c r="AI1156">
        <v>0</v>
      </c>
      <c r="AJ1156">
        <v>1</v>
      </c>
      <c r="AK1156">
        <v>0</v>
      </c>
      <c r="AL1156">
        <v>0</v>
      </c>
      <c r="AM1156">
        <v>0</v>
      </c>
      <c r="AN1156">
        <v>0</v>
      </c>
      <c r="AO1156">
        <v>0</v>
      </c>
      <c r="AP1156">
        <v>0</v>
      </c>
      <c r="AQ1156">
        <v>0</v>
      </c>
      <c r="AR1156">
        <v>0</v>
      </c>
      <c r="AS1156">
        <v>0</v>
      </c>
      <c r="AT1156">
        <v>0</v>
      </c>
      <c r="AU1156">
        <v>0</v>
      </c>
      <c r="AV1156">
        <v>0</v>
      </c>
      <c r="AW1156">
        <v>0</v>
      </c>
      <c r="AX1156" s="141">
        <f t="shared" ref="AX1156:AX1165" si="1528">COUNTIF(V1156:AW1156,"&lt;&gt;0")</f>
        <v>3</v>
      </c>
      <c r="AY1156" s="141">
        <f t="shared" ref="AY1156:AY1165" si="1529">COUNTIF(V1156:AL1156,"&lt;&gt;0")</f>
        <v>3</v>
      </c>
      <c r="AZ1156">
        <f t="shared" ref="AZ1156:AZ1165" si="1530">COUNTIF(V1156:AC1156,"&lt;&gt;0")</f>
        <v>1</v>
      </c>
      <c r="BA1156">
        <f t="shared" ref="BA1156:BA1165" si="1531">COUNTIF(AD1156:AI1156,"&lt;&gt;0")</f>
        <v>1</v>
      </c>
      <c r="BB1156">
        <f t="shared" ref="BB1156:BB1165" si="1532">COUNTIF(AJ1156:AL1156,"&lt;&gt;0")</f>
        <v>1</v>
      </c>
      <c r="BC1156">
        <f t="shared" ref="BC1156:BC1165" si="1533">COUNTIF(AS1156:AW1156,"&lt;&gt;0")</f>
        <v>0</v>
      </c>
      <c r="BD1156">
        <f t="shared" ref="BD1156:BD1165" si="1534">COUNTIF(AM1156:AR1156,"&lt;&gt;0")</f>
        <v>0</v>
      </c>
      <c r="BE1156" t="str">
        <f t="array" ref="BE1156">IF(AY1156=1,INDEX($V$7:$AL$7,MATCH(TRUE,INDEX($V1156:$AW1156&lt;&gt;0,),0)),IF(AY1156=0,INDEX($AM$7:$AW$7,MATCH(1,$AM1156:$AW1156,0)),IF(BF1156="Multiple strategies","mixed drivers",IF(BF1156="Supply chain","multiple supply","multiple silviculture"))))</f>
        <v>mixed drivers</v>
      </c>
      <c r="BF1156" s="2" t="str" cm="1">
        <f t="array" ref="BF1156">IF(COUNTIF(AZ1156:BB1156,"&lt;&gt;0")=1,INDEX($V$4:$AW$4,MATCH(TRUE,INDEX($V1156:$AW1156&lt;&gt;0,),0)),IF(COUNTIF(AZ1156:BB1156,"&lt;&gt;0")=0,INDEX($AM$4:$AW$4,MATCH(1,$AM1156:$AW1156,0)),"Multiple strategies"))</f>
        <v>Multiple strategies</v>
      </c>
      <c r="BG1156" s="142" t="s">
        <v>321</v>
      </c>
      <c r="BH1156" t="s">
        <v>2106</v>
      </c>
      <c r="BI1156" t="s">
        <v>2107</v>
      </c>
      <c r="BJ1156" t="s">
        <v>498</v>
      </c>
      <c r="BK1156">
        <v>7280000000</v>
      </c>
      <c r="BL1156">
        <v>10857500000</v>
      </c>
      <c r="BM1156">
        <f t="shared" ref="BM1156:BM1165" si="1535">IFERROR(BL1156/BK1156,"")</f>
        <v>1.4914148351648351</v>
      </c>
      <c r="BN1156">
        <f t="shared" ref="BN1156:BN1165" si="1536">BL1156-BK1156</f>
        <v>3577500000</v>
      </c>
      <c r="BO1156">
        <f>BL1156-BK1156</f>
        <v>3577500000</v>
      </c>
      <c r="BP1156" t="s">
        <v>232</v>
      </c>
      <c r="BQ1156" t="s">
        <v>2112</v>
      </c>
      <c r="BR1156" t="s">
        <v>2108</v>
      </c>
      <c r="BS1156">
        <v>9.8000000000000007</v>
      </c>
      <c r="BT1156">
        <v>4.3</v>
      </c>
      <c r="BU1156" s="144"/>
      <c r="BV1156">
        <f>(BT1156-BS1156)*1000000000</f>
        <v>-5500000000.000001</v>
      </c>
      <c r="BX1156">
        <f>BV1156*C_to_CO2</f>
        <v>-20185000000.000004</v>
      </c>
      <c r="BY1156">
        <f t="shared" si="1524"/>
        <v>-5.6422082459818323</v>
      </c>
      <c r="BZ1156">
        <v>0</v>
      </c>
      <c r="CA1156">
        <v>0</v>
      </c>
      <c r="CB1156">
        <v>0</v>
      </c>
      <c r="CC1156">
        <v>0</v>
      </c>
      <c r="CD1156">
        <v>0</v>
      </c>
      <c r="CE1156">
        <v>0</v>
      </c>
      <c r="CF1156">
        <v>0</v>
      </c>
      <c r="CG1156">
        <v>0</v>
      </c>
      <c r="CH1156">
        <v>0</v>
      </c>
      <c r="CI1156">
        <v>0</v>
      </c>
      <c r="CJ1156">
        <v>0</v>
      </c>
      <c r="CK1156">
        <v>0</v>
      </c>
      <c r="CL1156">
        <v>0</v>
      </c>
      <c r="CM1156">
        <v>0</v>
      </c>
      <c r="CN1156" t="str">
        <f t="shared" ref="CN1156:CN1165" si="1537">IF($BL1156&lt;$BK1156,"refNeedCorrection","refOK")</f>
        <v>refOK</v>
      </c>
      <c r="CO1156">
        <f t="shared" ref="CO1156:CO1165" si="1538">IF($CN1156="refOK",$BK1156,$BL1156)</f>
        <v>7280000000</v>
      </c>
      <c r="CP1156">
        <f t="shared" ref="CP1156:CP1165" si="1539">IF($CN1156="refOK",$BL1156,$BK1156)</f>
        <v>10857500000</v>
      </c>
      <c r="CQ1156">
        <f t="shared" ref="CQ1156:CQ1165" si="1540">IF($CN1156="refOK",$BO1156,-$BO1156)</f>
        <v>3577500000</v>
      </c>
      <c r="CR1156">
        <f t="shared" ref="CR1156:CR1165" si="1541">IF($CN1156="refOK",$BS1156,$BT1156)*IF($BP1156="Emissions positive",-1,1)</f>
        <v>9.8000000000000007</v>
      </c>
      <c r="CS1156">
        <f t="shared" ref="CS1156:CS1165" si="1542">IF($CN1156="refOK",$BT1156,$BS1156)*IF($BP1156="Emissions positive",-1,1)</f>
        <v>4.3</v>
      </c>
      <c r="CT1156">
        <f t="shared" ref="CT1156:CT1165" si="1543">IF($CN1156="refNeedCorrection",-BX1156,BX1156)*IF($BP1156="Emissions positive",-1,1)</f>
        <v>-20185000000.000004</v>
      </c>
      <c r="CU1156">
        <f t="shared" ref="CU1156:CU1165" si="1544">IFERROR(CT1156/CQ1156,"")</f>
        <v>-5.6422082459818323</v>
      </c>
      <c r="CV1156" s="2">
        <f t="shared" ref="CV1156:CV1165" si="1545">IFERROR((CS1156-CR1156)/ABS(CR1156),"")</f>
        <v>-0.56122448979591844</v>
      </c>
      <c r="CW1156" s="1" t="s">
        <v>1198</v>
      </c>
      <c r="CX1156" t="str">
        <f t="shared" ref="CX1156:CX1165" si="1546">IF(OR($CW1156="prd",$CW1156="std",$CW1156="cit"),"loc",IF(OR($CW1156="eur",$CW1156="reg",$CW1156="coy"),"reg",$CW1156))</f>
        <v>reg</v>
      </c>
      <c r="CY1156" t="s">
        <v>2109</v>
      </c>
      <c r="CZ1156">
        <v>2000</v>
      </c>
      <c r="DA1156">
        <v>2050</v>
      </c>
      <c r="DB1156">
        <v>50</v>
      </c>
      <c r="DC1156" t="str">
        <f t="shared" ref="DC1156:DC1165" si="1547">IF(DB1156=0,"0",IF(AND(DB1156&gt;=1,DB1156&lt;=30),"1-30",IF(AND(DB1156&gt;30,DB1156&lt;=70),"31-70",IF(AND(DB1156&gt;70,DB1156&lt;=100),"71-100",IF(DB1156&gt;100,"+100")))))</f>
        <v>31-70</v>
      </c>
      <c r="DD1156">
        <v>1</v>
      </c>
      <c r="DE1156">
        <v>0</v>
      </c>
      <c r="DF1156">
        <v>0</v>
      </c>
      <c r="DG1156">
        <v>0</v>
      </c>
      <c r="DI1156">
        <f t="shared" ref="DI1156:DI1165" si="1548">SUM(DD1156:DG1156)</f>
        <v>1</v>
      </c>
      <c r="DJ1156" t="str">
        <f t="shared" ref="DJ1156:DJ1165" si="1549">IF(DI1156=1,INDEX($DD$7:$DG$7,MATCH(1,$DD1156:$DG1156,0)),"mixedProduct")</f>
        <v>UpstreamInput</v>
      </c>
      <c r="DK1156" t="str">
        <f t="shared" ref="DK1156:DK1165" si="1550">IF(DD1156=1,DK$7,0)</f>
        <v>Upstream</v>
      </c>
      <c r="DL1156">
        <f t="shared" ref="DL1156:DL1165" si="1551">IF(DE1156=1,DL$7,0)</f>
        <v>0</v>
      </c>
      <c r="DM1156">
        <f t="shared" ref="DM1156:DM1165" si="1552">IF(DF1156=1,DM$7,0)</f>
        <v>0</v>
      </c>
      <c r="DN1156">
        <f t="shared" ref="DN1156:DN1165" si="1553">IF(DG1156=1,DN$7,0)</f>
        <v>0</v>
      </c>
      <c r="DO1156">
        <v>0</v>
      </c>
      <c r="DP1156">
        <v>0</v>
      </c>
      <c r="DQ1156">
        <v>0</v>
      </c>
      <c r="DR1156">
        <v>0</v>
      </c>
      <c r="DS1156">
        <v>0</v>
      </c>
      <c r="DT1156">
        <f t="shared" ref="DT1156:DT1165" si="1554">SUM(DO1156:DP1156)</f>
        <v>0</v>
      </c>
      <c r="DU1156" s="143" t="str">
        <f t="shared" ref="DU1156:DU1165" si="1555">IF(DO1156=1,"self-calculated DF",IF(DP1156=1,"external DF used","explicit C balance"))</f>
        <v>explicit C balance</v>
      </c>
      <c r="DV1156">
        <v>0</v>
      </c>
      <c r="DW1156">
        <v>0</v>
      </c>
      <c r="DX1156">
        <v>1</v>
      </c>
      <c r="DY1156">
        <v>1</v>
      </c>
      <c r="DZ1156">
        <v>1</v>
      </c>
      <c r="EA1156" s="143">
        <v>0</v>
      </c>
      <c r="EB1156">
        <v>0</v>
      </c>
      <c r="EC1156">
        <v>0</v>
      </c>
      <c r="ED1156">
        <v>0</v>
      </c>
      <c r="EE1156">
        <v>0</v>
      </c>
      <c r="EF1156">
        <v>0</v>
      </c>
      <c r="EG1156" s="143">
        <v>0</v>
      </c>
      <c r="EH1156" s="143">
        <v>1</v>
      </c>
      <c r="EI1156" s="2">
        <v>0</v>
      </c>
      <c r="EK1156" t="str">
        <f t="shared" ref="EK1156:EK1165" si="1556">IF(AND(AND(AND(OR($DX1156=1,$DW1156=1),OR($EC1156=1,$EA1156=1)),SUM($DV1156:$DZ1156,$EF1156)&gt;=4),SUM($EA1156:$EE1156)&gt;=2),"Whole sector","")</f>
        <v/>
      </c>
      <c r="EL1156" t="str">
        <f t="shared" ref="EL1156:EL1165" si="1557">IF(AND(AND(OR($DX1156=1,$DW1156=1),AND($EC1156=0,$EA1156=0)),SUM($DV1156:$DZ1156,$EF1156)&gt;=4),"Ecosystem approach","")</f>
        <v/>
      </c>
      <c r="EM1156" s="2" t="str">
        <f t="shared" si="1525"/>
        <v/>
      </c>
      <c r="EP1156" t="str">
        <f>IF(ISNUMBER(BU1156),IF(ABS(BU1156-[2]QC_indicators!$B$2)&gt;3*[2]QC_indicators!$C$2,"C ratio",IF(ISNUMBER(BY1156),IF(ABS(BY1156-[2]QC_indicators!$B$1)&gt;3*[2]QC_indicators!$C$1,"DF","no"))),IF(ISNUMBER(BY1156),IF(ABS(BY1156-[2]QC_indicators!$B$1)&gt;3*[2]QC_indicators!$C$1,"DF","no")))</f>
        <v>no</v>
      </c>
      <c r="ET1156" s="264" t="s">
        <v>3270</v>
      </c>
      <c r="EU1156" s="264"/>
    </row>
    <row r="1157" spans="1:151" ht="15" hidden="1" customHeight="1">
      <c r="A1157" s="1" t="s">
        <v>1359</v>
      </c>
      <c r="B1157" t="s">
        <v>2097</v>
      </c>
      <c r="C1157" t="s">
        <v>2098</v>
      </c>
      <c r="D1157" t="s">
        <v>2099</v>
      </c>
      <c r="E1157" t="s">
        <v>2100</v>
      </c>
      <c r="F1157" t="s">
        <v>2101</v>
      </c>
      <c r="G1157" t="s">
        <v>1365</v>
      </c>
      <c r="H1157" t="s">
        <v>1627</v>
      </c>
      <c r="I1157">
        <v>2004</v>
      </c>
      <c r="J1157">
        <v>53</v>
      </c>
      <c r="K1157" t="s">
        <v>2102</v>
      </c>
      <c r="M1157" t="str">
        <f t="shared" si="1527"/>
        <v>Phat_2004</v>
      </c>
      <c r="N1157" t="s">
        <v>222</v>
      </c>
      <c r="O1157" s="171" t="s">
        <v>513</v>
      </c>
      <c r="P1157" s="141" t="s">
        <v>225</v>
      </c>
      <c r="Q1157" t="s">
        <v>389</v>
      </c>
      <c r="R1157" s="2" t="s">
        <v>274</v>
      </c>
      <c r="S1157" s="1" t="s">
        <v>2103</v>
      </c>
      <c r="T1157" t="s">
        <v>2104</v>
      </c>
      <c r="U1157" t="s">
        <v>2105</v>
      </c>
      <c r="V1157">
        <v>0</v>
      </c>
      <c r="W1157">
        <v>0</v>
      </c>
      <c r="X1157">
        <v>0</v>
      </c>
      <c r="Y1157">
        <v>1</v>
      </c>
      <c r="Z1157">
        <v>0</v>
      </c>
      <c r="AA1157">
        <v>0</v>
      </c>
      <c r="AB1157">
        <v>0</v>
      </c>
      <c r="AC1157">
        <v>0</v>
      </c>
      <c r="AD1157">
        <v>1</v>
      </c>
      <c r="AE1157">
        <v>0</v>
      </c>
      <c r="AF1157">
        <v>0</v>
      </c>
      <c r="AG1157">
        <v>0</v>
      </c>
      <c r="AH1157">
        <v>0</v>
      </c>
      <c r="AI1157">
        <v>0</v>
      </c>
      <c r="AK1157">
        <v>0</v>
      </c>
      <c r="AL1157">
        <v>0</v>
      </c>
      <c r="AM1157">
        <v>0</v>
      </c>
      <c r="AN1157">
        <v>0</v>
      </c>
      <c r="AO1157">
        <v>0</v>
      </c>
      <c r="AP1157">
        <v>0</v>
      </c>
      <c r="AQ1157">
        <v>0</v>
      </c>
      <c r="AR1157">
        <v>0</v>
      </c>
      <c r="AS1157">
        <v>0</v>
      </c>
      <c r="AT1157">
        <v>0</v>
      </c>
      <c r="AU1157">
        <v>0</v>
      </c>
      <c r="AV1157">
        <v>0</v>
      </c>
      <c r="AW1157">
        <v>0</v>
      </c>
      <c r="AX1157" s="141">
        <f t="shared" si="1528"/>
        <v>3</v>
      </c>
      <c r="AY1157" s="141">
        <f t="shared" si="1529"/>
        <v>3</v>
      </c>
      <c r="AZ1157">
        <f t="shared" si="1530"/>
        <v>1</v>
      </c>
      <c r="BA1157">
        <f t="shared" si="1531"/>
        <v>1</v>
      </c>
      <c r="BB1157">
        <f t="shared" si="1532"/>
        <v>1</v>
      </c>
      <c r="BC1157">
        <f t="shared" si="1533"/>
        <v>0</v>
      </c>
      <c r="BD1157">
        <f t="shared" si="1534"/>
        <v>0</v>
      </c>
      <c r="BE1157" t="str">
        <f t="array" ref="BE1157">IF(AY1157=1,INDEX($V$7:$AL$7,MATCH(TRUE,INDEX($V1157:$AW1157&lt;&gt;0,),0)),IF(AY1157=0,INDEX($AM$7:$AW$7,MATCH(1,$AM1157:$AW1157,0)),IF(BF1157="Multiple strategies","mixed drivers",IF(BF1157="Supply chain","multiple supply","multiple silviculture"))))</f>
        <v>mixed drivers</v>
      </c>
      <c r="BF1157" s="2" t="str" cm="1">
        <f t="array" ref="BF1157">IF(COUNTIF(AZ1157:BB1157,"&lt;&gt;0")=1,INDEX($V$4:$AW$4,MATCH(TRUE,INDEX($V1157:$AW1157&lt;&gt;0,),0)),IF(COUNTIF(AZ1157:BB1157,"&lt;&gt;0")=0,INDEX($AM$4:$AW$4,MATCH(1,$AM1157:$AW1157,0)),"Multiple strategies"))</f>
        <v>Multiple strategies</v>
      </c>
      <c r="BG1157" s="142" t="s">
        <v>321</v>
      </c>
      <c r="BH1157" t="s">
        <v>2106</v>
      </c>
      <c r="BI1157" t="s">
        <v>2107</v>
      </c>
      <c r="BJ1157" t="s">
        <v>498</v>
      </c>
      <c r="BK1157">
        <v>5865000000</v>
      </c>
      <c r="BL1157">
        <v>10857500000</v>
      </c>
      <c r="BM1157">
        <f t="shared" si="1535"/>
        <v>1.851236146632566</v>
      </c>
      <c r="BN1157">
        <f t="shared" si="1536"/>
        <v>4992500000</v>
      </c>
      <c r="BO1157">
        <f>BL1157-BK1157</f>
        <v>4992500000</v>
      </c>
      <c r="BP1157" t="s">
        <v>232</v>
      </c>
      <c r="BQ1157" s="264" t="s">
        <v>2112</v>
      </c>
      <c r="BR1157" t="s">
        <v>2108</v>
      </c>
      <c r="BS1157">
        <v>8.9</v>
      </c>
      <c r="BT1157">
        <v>4.3</v>
      </c>
      <c r="BU1157" s="144"/>
      <c r="BV1157">
        <f>(BT1157-BS1157)*1000000000</f>
        <v>-4600000000.000001</v>
      </c>
      <c r="BX1157">
        <f>BV1157*C_to_CO2</f>
        <v>-16882000000.000004</v>
      </c>
      <c r="BY1157">
        <f t="shared" si="1524"/>
        <v>-3.3814722083124695</v>
      </c>
      <c r="BZ1157">
        <v>0</v>
      </c>
      <c r="CA1157">
        <v>0</v>
      </c>
      <c r="CB1157">
        <v>0</v>
      </c>
      <c r="CC1157">
        <v>0</v>
      </c>
      <c r="CD1157">
        <v>0</v>
      </c>
      <c r="CE1157">
        <v>0</v>
      </c>
      <c r="CF1157">
        <v>0</v>
      </c>
      <c r="CG1157">
        <v>0</v>
      </c>
      <c r="CH1157">
        <v>0</v>
      </c>
      <c r="CI1157">
        <v>0</v>
      </c>
      <c r="CJ1157">
        <v>0</v>
      </c>
      <c r="CK1157">
        <v>0</v>
      </c>
      <c r="CL1157">
        <v>0</v>
      </c>
      <c r="CM1157">
        <v>0</v>
      </c>
      <c r="CN1157" t="str">
        <f t="shared" si="1537"/>
        <v>refOK</v>
      </c>
      <c r="CO1157">
        <f t="shared" si="1538"/>
        <v>5865000000</v>
      </c>
      <c r="CP1157">
        <f t="shared" si="1539"/>
        <v>10857500000</v>
      </c>
      <c r="CQ1157">
        <f t="shared" si="1540"/>
        <v>4992500000</v>
      </c>
      <c r="CR1157">
        <f t="shared" si="1541"/>
        <v>8.9</v>
      </c>
      <c r="CS1157">
        <f t="shared" si="1542"/>
        <v>4.3</v>
      </c>
      <c r="CT1157">
        <f t="shared" si="1543"/>
        <v>-16882000000.000004</v>
      </c>
      <c r="CU1157">
        <f t="shared" si="1544"/>
        <v>-3.3814722083124695</v>
      </c>
      <c r="CV1157" s="2">
        <f t="shared" si="1545"/>
        <v>-0.5168539325842697</v>
      </c>
      <c r="CW1157" s="1" t="s">
        <v>1198</v>
      </c>
      <c r="CX1157" t="str">
        <f t="shared" si="1546"/>
        <v>reg</v>
      </c>
      <c r="CY1157" t="s">
        <v>2109</v>
      </c>
      <c r="CZ1157">
        <v>2000</v>
      </c>
      <c r="DA1157">
        <v>2050</v>
      </c>
      <c r="DB1157">
        <v>50</v>
      </c>
      <c r="DC1157" t="str">
        <f t="shared" si="1547"/>
        <v>31-70</v>
      </c>
      <c r="DD1157">
        <v>1</v>
      </c>
      <c r="DE1157">
        <v>0</v>
      </c>
      <c r="DF1157">
        <v>0</v>
      </c>
      <c r="DG1157">
        <v>0</v>
      </c>
      <c r="DI1157">
        <f t="shared" si="1548"/>
        <v>1</v>
      </c>
      <c r="DJ1157" t="str">
        <f t="shared" si="1549"/>
        <v>UpstreamInput</v>
      </c>
      <c r="DK1157" t="str">
        <f t="shared" si="1550"/>
        <v>Upstream</v>
      </c>
      <c r="DL1157">
        <f t="shared" si="1551"/>
        <v>0</v>
      </c>
      <c r="DM1157">
        <f t="shared" si="1552"/>
        <v>0</v>
      </c>
      <c r="DN1157">
        <f t="shared" si="1553"/>
        <v>0</v>
      </c>
      <c r="DO1157">
        <v>0</v>
      </c>
      <c r="DP1157">
        <v>0</v>
      </c>
      <c r="DQ1157">
        <v>0</v>
      </c>
      <c r="DR1157">
        <v>0</v>
      </c>
      <c r="DS1157">
        <v>0</v>
      </c>
      <c r="DT1157">
        <f t="shared" si="1554"/>
        <v>0</v>
      </c>
      <c r="DU1157" s="143" t="str">
        <f t="shared" si="1555"/>
        <v>explicit C balance</v>
      </c>
      <c r="DV1157">
        <v>0</v>
      </c>
      <c r="DW1157">
        <v>0</v>
      </c>
      <c r="DX1157">
        <v>1</v>
      </c>
      <c r="DY1157">
        <v>1</v>
      </c>
      <c r="DZ1157">
        <v>1</v>
      </c>
      <c r="EA1157" s="143">
        <v>0</v>
      </c>
      <c r="EB1157">
        <v>0</v>
      </c>
      <c r="EC1157">
        <v>0</v>
      </c>
      <c r="ED1157">
        <v>0</v>
      </c>
      <c r="EE1157">
        <v>0</v>
      </c>
      <c r="EF1157">
        <v>0</v>
      </c>
      <c r="EG1157" s="143">
        <v>0</v>
      </c>
      <c r="EH1157" s="143">
        <v>1</v>
      </c>
      <c r="EI1157" s="2">
        <v>0</v>
      </c>
      <c r="EK1157" t="str">
        <f t="shared" si="1556"/>
        <v/>
      </c>
      <c r="EL1157" t="str">
        <f t="shared" si="1557"/>
        <v/>
      </c>
      <c r="EM1157" s="2" t="str">
        <f t="shared" si="1525"/>
        <v/>
      </c>
      <c r="EP1157" t="str">
        <f>IF(ISNUMBER(BU1157),IF(ABS(BU1157-[2]QC_indicators!$B$2)&gt;3*[2]QC_indicators!$C$2,"C ratio",IF(ISNUMBER(BY1157),IF(ABS(BY1157-[2]QC_indicators!$B$1)&gt;3*[2]QC_indicators!$C$1,"DF","no"))),IF(ISNUMBER(BY1157),IF(ABS(BY1157-[2]QC_indicators!$B$1)&gt;3*[2]QC_indicators!$C$1,"DF","no")))</f>
        <v>no</v>
      </c>
      <c r="ET1157" s="264" t="s">
        <v>3270</v>
      </c>
      <c r="EU1157" s="264"/>
    </row>
    <row r="1158" spans="1:151" ht="15" hidden="1" customHeight="1">
      <c r="A1158" s="1" t="s">
        <v>247</v>
      </c>
      <c r="B1158" t="s">
        <v>1027</v>
      </c>
      <c r="C1158" t="s">
        <v>1028</v>
      </c>
      <c r="D1158" t="s">
        <v>1029</v>
      </c>
      <c r="E1158" t="s">
        <v>1030</v>
      </c>
      <c r="F1158" t="s">
        <v>1031</v>
      </c>
      <c r="G1158" t="s">
        <v>253</v>
      </c>
      <c r="H1158" t="s">
        <v>254</v>
      </c>
      <c r="I1158">
        <v>2021</v>
      </c>
      <c r="J1158">
        <v>0</v>
      </c>
      <c r="K1158" t="s">
        <v>1032</v>
      </c>
      <c r="M1158" t="str">
        <f t="shared" si="1527"/>
        <v>Piccardo_2021</v>
      </c>
      <c r="N1158" t="s">
        <v>222</v>
      </c>
      <c r="O1158" s="171" t="s">
        <v>513</v>
      </c>
      <c r="P1158" s="141" t="s">
        <v>225</v>
      </c>
      <c r="Q1158" t="s">
        <v>389</v>
      </c>
      <c r="R1158" s="262" t="s">
        <v>223</v>
      </c>
      <c r="S1158" s="1" t="s">
        <v>1040</v>
      </c>
      <c r="T1158" s="264" t="s">
        <v>3213</v>
      </c>
      <c r="U1158" s="264" t="s">
        <v>3218</v>
      </c>
      <c r="V1158">
        <v>0</v>
      </c>
      <c r="W1158">
        <v>0</v>
      </c>
      <c r="X1158">
        <v>0</v>
      </c>
      <c r="Y1158">
        <v>0</v>
      </c>
      <c r="Z1158">
        <v>0</v>
      </c>
      <c r="AA1158">
        <v>0</v>
      </c>
      <c r="AB1158">
        <v>0</v>
      </c>
      <c r="AC1158">
        <v>0</v>
      </c>
      <c r="AD1158">
        <v>0</v>
      </c>
      <c r="AE1158">
        <v>0</v>
      </c>
      <c r="AF1158">
        <v>0</v>
      </c>
      <c r="AG1158">
        <v>0</v>
      </c>
      <c r="AH1158">
        <v>0</v>
      </c>
      <c r="AI1158">
        <v>0</v>
      </c>
      <c r="AJ1158">
        <v>0</v>
      </c>
      <c r="AK1158">
        <v>1</v>
      </c>
      <c r="AL1158">
        <v>0</v>
      </c>
      <c r="AM1158">
        <v>0</v>
      </c>
      <c r="AN1158">
        <v>0</v>
      </c>
      <c r="AO1158">
        <v>0</v>
      </c>
      <c r="AP1158">
        <v>0</v>
      </c>
      <c r="AQ1158">
        <v>0</v>
      </c>
      <c r="AR1158">
        <v>0</v>
      </c>
      <c r="AS1158">
        <v>0</v>
      </c>
      <c r="AT1158">
        <v>0</v>
      </c>
      <c r="AU1158">
        <v>0</v>
      </c>
      <c r="AV1158">
        <v>0</v>
      </c>
      <c r="AW1158">
        <v>0</v>
      </c>
      <c r="AX1158" s="141">
        <f t="shared" si="1528"/>
        <v>1</v>
      </c>
      <c r="AY1158" s="141">
        <f t="shared" si="1529"/>
        <v>1</v>
      </c>
      <c r="AZ1158">
        <f t="shared" si="1530"/>
        <v>0</v>
      </c>
      <c r="BA1158">
        <f t="shared" si="1531"/>
        <v>0</v>
      </c>
      <c r="BB1158">
        <f t="shared" si="1532"/>
        <v>1</v>
      </c>
      <c r="BC1158">
        <f t="shared" si="1533"/>
        <v>0</v>
      </c>
      <c r="BD1158">
        <f t="shared" si="1534"/>
        <v>0</v>
      </c>
      <c r="BE1158" t="str">
        <f t="array" ref="BE1158">IF(AY1158=1,INDEX($V$7:$AL$7,MATCH(TRUE,INDEX($V1158:$AW1158&lt;&gt;0,),0)),IF(AY1158=0,INDEX($AM$7:$AW$7,MATCH(1,$AM1158:$AW1158,0)),IF(BF1158="Multiple strategies","mixed drivers",IF(BF1158="Supply chain","multiple supply","multiple silviculture"))))</f>
        <v>technologies/design switch</v>
      </c>
      <c r="BF1158" s="2" t="str" cm="1">
        <f t="array" ref="BF1158">IF(COUNTIF(AZ1158:BB1158,"&lt;&gt;0")=1,INDEX($V$4:$AW$4,MATCH(TRUE,INDEX($V1158:$AW1158&lt;&gt;0,),0)),IF(COUNTIF(AZ1158:BB1158,"&lt;&gt;0")=0,INDEX($AM$4:$AW$4,MATCH(1,$AM1158:$AW1158,0)),"Multiple strategies"))</f>
        <v>Technology</v>
      </c>
      <c r="BG1158" s="142" t="s">
        <v>229</v>
      </c>
      <c r="BH1158" t="s">
        <v>1034</v>
      </c>
      <c r="BI1158" t="s">
        <v>1035</v>
      </c>
      <c r="BJ1158" t="s">
        <v>1036</v>
      </c>
      <c r="BK1158">
        <f t="shared" ref="BK1158:BK1163" si="1558">35+3+20+8+8</f>
        <v>74</v>
      </c>
      <c r="BL1158">
        <f>8+103+26+23+35+3+8+8</f>
        <v>214</v>
      </c>
      <c r="BM1158">
        <f t="shared" si="1535"/>
        <v>2.8918918918918921</v>
      </c>
      <c r="BN1158">
        <f t="shared" si="1536"/>
        <v>140</v>
      </c>
      <c r="BO1158">
        <f t="shared" ref="BO1158:BO1165" si="1559">BN1158*t_to_m3</f>
        <v>285.71428571428572</v>
      </c>
      <c r="BP1158" t="s">
        <v>395</v>
      </c>
      <c r="BQ1158" t="s">
        <v>1037</v>
      </c>
      <c r="BR1158" t="s">
        <v>1038</v>
      </c>
      <c r="BS1158">
        <v>99</v>
      </c>
      <c r="BT1158">
        <v>-747</v>
      </c>
      <c r="BU1158" s="144"/>
      <c r="BV1158">
        <f t="shared" ref="BV1158:BV1165" si="1560">(BT1158-BS1158)</f>
        <v>-846</v>
      </c>
      <c r="BX1158">
        <f t="shared" ref="BX1158:BX1165" si="1561">BV1158</f>
        <v>-846</v>
      </c>
      <c r="BY1158">
        <f t="shared" si="1524"/>
        <v>-2.9609999999999999</v>
      </c>
      <c r="BZ1158">
        <v>0</v>
      </c>
      <c r="CA1158">
        <v>0</v>
      </c>
      <c r="CB1158">
        <v>0</v>
      </c>
      <c r="CC1158">
        <v>0</v>
      </c>
      <c r="CD1158">
        <v>0</v>
      </c>
      <c r="CE1158">
        <v>0</v>
      </c>
      <c r="CF1158">
        <v>0</v>
      </c>
      <c r="CG1158">
        <v>0</v>
      </c>
      <c r="CH1158">
        <v>0</v>
      </c>
      <c r="CI1158">
        <v>0</v>
      </c>
      <c r="CJ1158">
        <v>0</v>
      </c>
      <c r="CK1158">
        <v>0</v>
      </c>
      <c r="CL1158">
        <v>0</v>
      </c>
      <c r="CM1158">
        <v>0</v>
      </c>
      <c r="CN1158" t="str">
        <f t="shared" si="1537"/>
        <v>refOK</v>
      </c>
      <c r="CO1158">
        <f t="shared" si="1538"/>
        <v>74</v>
      </c>
      <c r="CP1158">
        <f t="shared" si="1539"/>
        <v>214</v>
      </c>
      <c r="CQ1158">
        <f t="shared" si="1540"/>
        <v>285.71428571428572</v>
      </c>
      <c r="CR1158">
        <f t="shared" si="1541"/>
        <v>-99</v>
      </c>
      <c r="CS1158">
        <f t="shared" si="1542"/>
        <v>747</v>
      </c>
      <c r="CT1158">
        <f t="shared" si="1543"/>
        <v>846</v>
      </c>
      <c r="CU1158">
        <f t="shared" si="1544"/>
        <v>2.9609999999999999</v>
      </c>
      <c r="CV1158" s="2">
        <f t="shared" si="1545"/>
        <v>8.545454545454545</v>
      </c>
      <c r="CW1158" s="1" t="s">
        <v>263</v>
      </c>
      <c r="CX1158" t="str">
        <f t="shared" si="1546"/>
        <v>loc</v>
      </c>
      <c r="CY1158" t="s">
        <v>743</v>
      </c>
      <c r="DB1158">
        <v>50</v>
      </c>
      <c r="DC1158" t="str">
        <f t="shared" si="1547"/>
        <v>31-70</v>
      </c>
      <c r="DD1158">
        <v>0</v>
      </c>
      <c r="DE1158">
        <v>0</v>
      </c>
      <c r="DF1158">
        <v>1</v>
      </c>
      <c r="DG1158">
        <v>1</v>
      </c>
      <c r="DI1158">
        <f t="shared" si="1548"/>
        <v>2</v>
      </c>
      <c r="DJ1158" t="str">
        <f t="shared" si="1549"/>
        <v>mixedProduct</v>
      </c>
      <c r="DK1158">
        <f t="shared" si="1550"/>
        <v>0</v>
      </c>
      <c r="DL1158">
        <f t="shared" si="1551"/>
        <v>0</v>
      </c>
      <c r="DM1158" t="str">
        <f t="shared" si="1552"/>
        <v>Pulp/Paper</v>
      </c>
      <c r="DN1158" t="str">
        <f t="shared" si="1553"/>
        <v>Timber</v>
      </c>
      <c r="DO1158">
        <v>1</v>
      </c>
      <c r="DP1158">
        <v>0</v>
      </c>
      <c r="DQ1158">
        <v>0</v>
      </c>
      <c r="DR1158">
        <v>0</v>
      </c>
      <c r="DS1158">
        <v>0</v>
      </c>
      <c r="DT1158">
        <f t="shared" si="1554"/>
        <v>1</v>
      </c>
      <c r="DU1158" s="143" t="str">
        <f t="shared" si="1555"/>
        <v>self-calculated DF</v>
      </c>
      <c r="DV1158">
        <v>0</v>
      </c>
      <c r="DW1158">
        <v>0</v>
      </c>
      <c r="DX1158">
        <v>0</v>
      </c>
      <c r="DY1158">
        <v>1</v>
      </c>
      <c r="DZ1158">
        <v>1</v>
      </c>
      <c r="EA1158">
        <v>1</v>
      </c>
      <c r="EB1158">
        <v>0</v>
      </c>
      <c r="EC1158">
        <v>1</v>
      </c>
      <c r="ED1158">
        <v>1</v>
      </c>
      <c r="EE1158">
        <v>1</v>
      </c>
      <c r="EF1158">
        <v>0</v>
      </c>
      <c r="EG1158" s="143">
        <v>0</v>
      </c>
      <c r="EH1158" s="143">
        <v>0</v>
      </c>
      <c r="EI1158" s="2">
        <v>0</v>
      </c>
      <c r="EK1158" t="str">
        <f t="shared" si="1556"/>
        <v/>
      </c>
      <c r="EL1158" t="str">
        <f t="shared" si="1557"/>
        <v/>
      </c>
      <c r="EM1158" s="2" t="str">
        <f t="shared" si="1525"/>
        <v>Technology approach</v>
      </c>
      <c r="EP1158" t="str">
        <f>IF(ISNUMBER(BU1158),IF(ABS(BU1158-[3]QC_indicators!$B$2)&gt;3*[3]QC_indicators!$C$2,"C ratio",IF(ISNUMBER(BY1158),IF(ABS(BY1158-[3]QC_indicators!$B$1)&gt;3*[3]QC_indicators!$C$1,"DF","no"))),IF(ISNUMBER(BY1158),IF(ABS(BY1158-[3]QC_indicators!$B$1)&gt;3*[3]QC_indicators!$C$1,"DF","no")))</f>
        <v>no</v>
      </c>
      <c r="ET1158" s="264" t="s">
        <v>3215</v>
      </c>
    </row>
    <row r="1159" spans="1:151" ht="15" hidden="1" customHeight="1">
      <c r="A1159" s="1" t="s">
        <v>247</v>
      </c>
      <c r="B1159" t="s">
        <v>1027</v>
      </c>
      <c r="C1159" t="s">
        <v>1028</v>
      </c>
      <c r="D1159" t="s">
        <v>1029</v>
      </c>
      <c r="E1159" t="s">
        <v>1030</v>
      </c>
      <c r="F1159" t="s">
        <v>1031</v>
      </c>
      <c r="G1159" t="s">
        <v>253</v>
      </c>
      <c r="H1159" t="s">
        <v>254</v>
      </c>
      <c r="I1159">
        <v>2021</v>
      </c>
      <c r="J1159">
        <v>0</v>
      </c>
      <c r="K1159" t="s">
        <v>1032</v>
      </c>
      <c r="M1159" t="str">
        <f t="shared" si="1527"/>
        <v>Piccardo_2021</v>
      </c>
      <c r="N1159" t="s">
        <v>222</v>
      </c>
      <c r="O1159" s="171" t="s">
        <v>513</v>
      </c>
      <c r="P1159" s="141" t="s">
        <v>225</v>
      </c>
      <c r="Q1159" t="s">
        <v>389</v>
      </c>
      <c r="R1159" s="262" t="s">
        <v>223</v>
      </c>
      <c r="S1159" s="1" t="s">
        <v>1040</v>
      </c>
      <c r="T1159" s="264" t="s">
        <v>3213</v>
      </c>
      <c r="U1159" s="264" t="s">
        <v>3216</v>
      </c>
      <c r="V1159">
        <v>0</v>
      </c>
      <c r="W1159">
        <v>0</v>
      </c>
      <c r="X1159">
        <v>0</v>
      </c>
      <c r="Y1159">
        <v>0</v>
      </c>
      <c r="Z1159">
        <v>0</v>
      </c>
      <c r="AA1159">
        <v>0</v>
      </c>
      <c r="AB1159">
        <v>0</v>
      </c>
      <c r="AC1159">
        <v>0</v>
      </c>
      <c r="AD1159">
        <v>0</v>
      </c>
      <c r="AE1159">
        <v>0</v>
      </c>
      <c r="AF1159">
        <v>0</v>
      </c>
      <c r="AG1159">
        <v>0</v>
      </c>
      <c r="AH1159">
        <v>0</v>
      </c>
      <c r="AI1159">
        <v>0</v>
      </c>
      <c r="AJ1159">
        <v>0</v>
      </c>
      <c r="AK1159">
        <v>1</v>
      </c>
      <c r="AL1159">
        <v>0</v>
      </c>
      <c r="AM1159">
        <v>0</v>
      </c>
      <c r="AN1159">
        <v>0</v>
      </c>
      <c r="AO1159">
        <v>0</v>
      </c>
      <c r="AP1159">
        <v>0</v>
      </c>
      <c r="AQ1159">
        <v>0</v>
      </c>
      <c r="AR1159">
        <v>0</v>
      </c>
      <c r="AS1159">
        <v>0</v>
      </c>
      <c r="AT1159">
        <v>0</v>
      </c>
      <c r="AU1159">
        <v>0</v>
      </c>
      <c r="AV1159">
        <v>0</v>
      </c>
      <c r="AW1159">
        <v>0</v>
      </c>
      <c r="AX1159" s="141">
        <f t="shared" si="1528"/>
        <v>1</v>
      </c>
      <c r="AY1159" s="141">
        <f t="shared" si="1529"/>
        <v>1</v>
      </c>
      <c r="AZ1159">
        <f t="shared" si="1530"/>
        <v>0</v>
      </c>
      <c r="BA1159">
        <f t="shared" si="1531"/>
        <v>0</v>
      </c>
      <c r="BB1159">
        <f t="shared" si="1532"/>
        <v>1</v>
      </c>
      <c r="BC1159">
        <f t="shared" si="1533"/>
        <v>0</v>
      </c>
      <c r="BD1159">
        <f t="shared" si="1534"/>
        <v>0</v>
      </c>
      <c r="BE1159" t="str">
        <f t="array" ref="BE1159">IF(AY1159=1,INDEX($V$7:$AL$7,MATCH(TRUE,INDEX($V1159:$AW1159&lt;&gt;0,),0)),IF(AY1159=0,INDEX($AM$7:$AW$7,MATCH(1,$AM1159:$AW1159,0)),IF(BF1159="Multiple strategies","mixed drivers",IF(BF1159="Supply chain","multiple supply","multiple silviculture"))))</f>
        <v>technologies/design switch</v>
      </c>
      <c r="BF1159" s="2" t="str" cm="1">
        <f t="array" ref="BF1159">IF(COUNTIF(AZ1159:BB1159,"&lt;&gt;0")=1,INDEX($V$4:$AW$4,MATCH(TRUE,INDEX($V1159:$AW1159&lt;&gt;0,),0)),IF(COUNTIF(AZ1159:BB1159,"&lt;&gt;0")=0,INDEX($AM$4:$AW$4,MATCH(1,$AM1159:$AW1159,0)),"Multiple strategies"))</f>
        <v>Technology</v>
      </c>
      <c r="BG1159" s="142" t="s">
        <v>229</v>
      </c>
      <c r="BH1159" t="s">
        <v>1034</v>
      </c>
      <c r="BI1159" t="s">
        <v>1035</v>
      </c>
      <c r="BJ1159" t="s">
        <v>1036</v>
      </c>
      <c r="BK1159">
        <f t="shared" si="1558"/>
        <v>74</v>
      </c>
      <c r="BL1159">
        <f>175+40+77+18+35+3+8+8</f>
        <v>364</v>
      </c>
      <c r="BM1159">
        <f t="shared" si="1535"/>
        <v>4.9189189189189193</v>
      </c>
      <c r="BN1159">
        <f t="shared" si="1536"/>
        <v>290</v>
      </c>
      <c r="BO1159">
        <f t="shared" si="1559"/>
        <v>591.83673469387759</v>
      </c>
      <c r="BP1159" t="s">
        <v>395</v>
      </c>
      <c r="BQ1159" t="s">
        <v>1037</v>
      </c>
      <c r="BR1159" t="s">
        <v>1038</v>
      </c>
      <c r="BS1159">
        <v>99</v>
      </c>
      <c r="BT1159">
        <v>-1415</v>
      </c>
      <c r="BU1159" s="144"/>
      <c r="BV1159">
        <f t="shared" si="1560"/>
        <v>-1514</v>
      </c>
      <c r="BX1159">
        <f t="shared" si="1561"/>
        <v>-1514</v>
      </c>
      <c r="BY1159">
        <f t="shared" si="1524"/>
        <v>-2.5581379310344827</v>
      </c>
      <c r="BZ1159">
        <v>0</v>
      </c>
      <c r="CA1159">
        <v>0</v>
      </c>
      <c r="CB1159">
        <v>0</v>
      </c>
      <c r="CC1159">
        <v>0</v>
      </c>
      <c r="CD1159">
        <v>0</v>
      </c>
      <c r="CE1159">
        <v>0</v>
      </c>
      <c r="CF1159">
        <v>0</v>
      </c>
      <c r="CG1159">
        <v>0</v>
      </c>
      <c r="CH1159">
        <v>0</v>
      </c>
      <c r="CI1159">
        <v>0</v>
      </c>
      <c r="CJ1159">
        <v>0</v>
      </c>
      <c r="CK1159">
        <v>0</v>
      </c>
      <c r="CL1159">
        <v>0</v>
      </c>
      <c r="CM1159">
        <v>0</v>
      </c>
      <c r="CN1159" t="str">
        <f t="shared" si="1537"/>
        <v>refOK</v>
      </c>
      <c r="CO1159">
        <f t="shared" si="1538"/>
        <v>74</v>
      </c>
      <c r="CP1159">
        <f t="shared" si="1539"/>
        <v>364</v>
      </c>
      <c r="CQ1159">
        <f t="shared" si="1540"/>
        <v>591.83673469387759</v>
      </c>
      <c r="CR1159">
        <f t="shared" si="1541"/>
        <v>-99</v>
      </c>
      <c r="CS1159">
        <f t="shared" si="1542"/>
        <v>1415</v>
      </c>
      <c r="CT1159">
        <f t="shared" si="1543"/>
        <v>1514</v>
      </c>
      <c r="CU1159">
        <f t="shared" si="1544"/>
        <v>2.5581379310344827</v>
      </c>
      <c r="CV1159" s="2">
        <f t="shared" si="1545"/>
        <v>15.292929292929292</v>
      </c>
      <c r="CW1159" s="1" t="s">
        <v>263</v>
      </c>
      <c r="CX1159" t="str">
        <f t="shared" si="1546"/>
        <v>loc</v>
      </c>
      <c r="CY1159" t="s">
        <v>743</v>
      </c>
      <c r="DB1159">
        <v>50</v>
      </c>
      <c r="DC1159" t="str">
        <f t="shared" si="1547"/>
        <v>31-70</v>
      </c>
      <c r="DD1159">
        <v>0</v>
      </c>
      <c r="DE1159">
        <v>0</v>
      </c>
      <c r="DF1159">
        <v>1</v>
      </c>
      <c r="DG1159">
        <v>1</v>
      </c>
      <c r="DI1159">
        <f t="shared" si="1548"/>
        <v>2</v>
      </c>
      <c r="DJ1159" t="str">
        <f t="shared" si="1549"/>
        <v>mixedProduct</v>
      </c>
      <c r="DK1159">
        <f t="shared" si="1550"/>
        <v>0</v>
      </c>
      <c r="DL1159">
        <f t="shared" si="1551"/>
        <v>0</v>
      </c>
      <c r="DM1159" t="str">
        <f t="shared" si="1552"/>
        <v>Pulp/Paper</v>
      </c>
      <c r="DN1159" t="str">
        <f t="shared" si="1553"/>
        <v>Timber</v>
      </c>
      <c r="DO1159">
        <v>1</v>
      </c>
      <c r="DP1159">
        <v>0</v>
      </c>
      <c r="DQ1159">
        <v>0</v>
      </c>
      <c r="DR1159">
        <v>0</v>
      </c>
      <c r="DS1159">
        <v>0</v>
      </c>
      <c r="DT1159">
        <f t="shared" si="1554"/>
        <v>1</v>
      </c>
      <c r="DU1159" s="143" t="str">
        <f t="shared" si="1555"/>
        <v>self-calculated DF</v>
      </c>
      <c r="DV1159">
        <v>0</v>
      </c>
      <c r="DW1159">
        <v>0</v>
      </c>
      <c r="DX1159">
        <v>0</v>
      </c>
      <c r="DY1159">
        <v>1</v>
      </c>
      <c r="DZ1159">
        <v>1</v>
      </c>
      <c r="EA1159">
        <v>1</v>
      </c>
      <c r="EB1159">
        <v>0</v>
      </c>
      <c r="EC1159">
        <v>1</v>
      </c>
      <c r="ED1159">
        <v>1</v>
      </c>
      <c r="EE1159">
        <v>1</v>
      </c>
      <c r="EF1159">
        <v>0</v>
      </c>
      <c r="EG1159" s="143">
        <v>0</v>
      </c>
      <c r="EH1159" s="143">
        <v>0</v>
      </c>
      <c r="EI1159" s="2">
        <v>0</v>
      </c>
      <c r="EK1159" t="str">
        <f t="shared" si="1556"/>
        <v/>
      </c>
      <c r="EL1159" t="str">
        <f t="shared" si="1557"/>
        <v/>
      </c>
      <c r="EM1159" s="2" t="str">
        <f t="shared" si="1525"/>
        <v>Technology approach</v>
      </c>
      <c r="EP1159" t="str">
        <f>IF(ISNUMBER(BU1159),IF(ABS(BU1159-[3]QC_indicators!$B$2)&gt;3*[3]QC_indicators!$C$2,"C ratio",IF(ISNUMBER(BY1159),IF(ABS(BY1159-[3]QC_indicators!$B$1)&gt;3*[3]QC_indicators!$C$1,"DF","no"))),IF(ISNUMBER(BY1159),IF(ABS(BY1159-[3]QC_indicators!$B$1)&gt;3*[3]QC_indicators!$C$1,"DF","no")))</f>
        <v>no</v>
      </c>
      <c r="ET1159" s="264" t="s">
        <v>3215</v>
      </c>
    </row>
    <row r="1160" spans="1:151" ht="15" hidden="1" customHeight="1">
      <c r="A1160" s="1" t="s">
        <v>247</v>
      </c>
      <c r="B1160" t="s">
        <v>1027</v>
      </c>
      <c r="C1160" t="s">
        <v>1028</v>
      </c>
      <c r="D1160" t="s">
        <v>1029</v>
      </c>
      <c r="E1160" t="s">
        <v>1030</v>
      </c>
      <c r="F1160" t="s">
        <v>1031</v>
      </c>
      <c r="G1160" t="s">
        <v>253</v>
      </c>
      <c r="H1160" t="s">
        <v>254</v>
      </c>
      <c r="I1160">
        <v>2021</v>
      </c>
      <c r="J1160">
        <v>0</v>
      </c>
      <c r="K1160" t="s">
        <v>1032</v>
      </c>
      <c r="M1160" t="str">
        <f t="shared" si="1527"/>
        <v>Piccardo_2021</v>
      </c>
      <c r="N1160" t="s">
        <v>222</v>
      </c>
      <c r="O1160" s="171" t="s">
        <v>513</v>
      </c>
      <c r="P1160" s="141" t="s">
        <v>225</v>
      </c>
      <c r="Q1160" t="s">
        <v>389</v>
      </c>
      <c r="R1160" s="262" t="s">
        <v>223</v>
      </c>
      <c r="S1160" s="1" t="s">
        <v>1040</v>
      </c>
      <c r="T1160" s="264" t="s">
        <v>3220</v>
      </c>
      <c r="U1160" s="264" t="s">
        <v>1039</v>
      </c>
      <c r="V1160">
        <v>0</v>
      </c>
      <c r="W1160">
        <v>0</v>
      </c>
      <c r="X1160">
        <v>0</v>
      </c>
      <c r="Y1160">
        <v>0</v>
      </c>
      <c r="Z1160">
        <v>0</v>
      </c>
      <c r="AA1160">
        <v>0</v>
      </c>
      <c r="AB1160">
        <v>0</v>
      </c>
      <c r="AC1160">
        <v>0</v>
      </c>
      <c r="AD1160">
        <v>0</v>
      </c>
      <c r="AE1160">
        <v>0</v>
      </c>
      <c r="AF1160">
        <v>0</v>
      </c>
      <c r="AG1160">
        <v>0</v>
      </c>
      <c r="AH1160">
        <v>0</v>
      </c>
      <c r="AI1160">
        <v>0</v>
      </c>
      <c r="AJ1160">
        <v>0</v>
      </c>
      <c r="AK1160">
        <v>1</v>
      </c>
      <c r="AL1160">
        <v>0</v>
      </c>
      <c r="AM1160">
        <v>0</v>
      </c>
      <c r="AN1160">
        <v>0</v>
      </c>
      <c r="AO1160">
        <v>0</v>
      </c>
      <c r="AP1160">
        <v>0</v>
      </c>
      <c r="AQ1160">
        <v>0</v>
      </c>
      <c r="AR1160">
        <v>0</v>
      </c>
      <c r="AS1160">
        <v>0</v>
      </c>
      <c r="AT1160">
        <v>0</v>
      </c>
      <c r="AU1160">
        <v>0</v>
      </c>
      <c r="AV1160">
        <v>0</v>
      </c>
      <c r="AW1160">
        <v>0</v>
      </c>
      <c r="AX1160" s="141">
        <f t="shared" si="1528"/>
        <v>1</v>
      </c>
      <c r="AY1160" s="141">
        <f t="shared" si="1529"/>
        <v>1</v>
      </c>
      <c r="AZ1160">
        <f t="shared" si="1530"/>
        <v>0</v>
      </c>
      <c r="BA1160">
        <f t="shared" si="1531"/>
        <v>0</v>
      </c>
      <c r="BB1160">
        <f t="shared" si="1532"/>
        <v>1</v>
      </c>
      <c r="BC1160">
        <f t="shared" si="1533"/>
        <v>0</v>
      </c>
      <c r="BD1160">
        <f t="shared" si="1534"/>
        <v>0</v>
      </c>
      <c r="BE1160" t="str">
        <f t="array" ref="BE1160">IF(AY1160=1,INDEX($V$7:$AL$7,MATCH(TRUE,INDEX($V1160:$AW1160&lt;&gt;0,),0)),IF(AY1160=0,INDEX($AM$7:$AW$7,MATCH(1,$AM1160:$AW1160,0)),IF(BF1160="Multiple strategies","mixed drivers",IF(BF1160="Supply chain","multiple supply","multiple silviculture"))))</f>
        <v>technologies/design switch</v>
      </c>
      <c r="BF1160" s="2" t="str" cm="1">
        <f t="array" ref="BF1160">IF(COUNTIF(AZ1160:BB1160,"&lt;&gt;0")=1,INDEX($V$4:$AW$4,MATCH(TRUE,INDEX($V1160:$AW1160&lt;&gt;0,),0)),IF(COUNTIF(AZ1160:BB1160,"&lt;&gt;0")=0,INDEX($AM$4:$AW$4,MATCH(1,$AM1160:$AW1160,0)),"Multiple strategies"))</f>
        <v>Technology</v>
      </c>
      <c r="BG1160" s="142" t="s">
        <v>229</v>
      </c>
      <c r="BH1160" t="s">
        <v>1034</v>
      </c>
      <c r="BI1160" t="s">
        <v>1035</v>
      </c>
      <c r="BJ1160" t="s">
        <v>1036</v>
      </c>
      <c r="BK1160">
        <f t="shared" si="1558"/>
        <v>74</v>
      </c>
      <c r="BL1160">
        <f>8+103+26+23+35+3+8+8</f>
        <v>214</v>
      </c>
      <c r="BM1160">
        <f t="shared" si="1535"/>
        <v>2.8918918918918921</v>
      </c>
      <c r="BN1160">
        <f t="shared" si="1536"/>
        <v>140</v>
      </c>
      <c r="BO1160">
        <f t="shared" si="1559"/>
        <v>285.71428571428572</v>
      </c>
      <c r="BP1160" t="s">
        <v>395</v>
      </c>
      <c r="BQ1160" t="s">
        <v>1037</v>
      </c>
      <c r="BR1160" t="s">
        <v>1038</v>
      </c>
      <c r="BS1160">
        <f>669-126</f>
        <v>543</v>
      </c>
      <c r="BT1160">
        <f>303-378</f>
        <v>-75</v>
      </c>
      <c r="BU1160" s="144"/>
      <c r="BV1160">
        <f t="shared" si="1560"/>
        <v>-618</v>
      </c>
      <c r="BX1160">
        <f t="shared" si="1561"/>
        <v>-618</v>
      </c>
      <c r="BY1160">
        <f t="shared" si="1524"/>
        <v>-2.1629999999999998</v>
      </c>
      <c r="BZ1160">
        <v>0</v>
      </c>
      <c r="CA1160">
        <v>0</v>
      </c>
      <c r="CB1160">
        <v>0</v>
      </c>
      <c r="CC1160">
        <v>0</v>
      </c>
      <c r="CD1160">
        <v>0</v>
      </c>
      <c r="CE1160">
        <v>0</v>
      </c>
      <c r="CF1160">
        <v>0</v>
      </c>
      <c r="CG1160">
        <v>0</v>
      </c>
      <c r="CH1160">
        <v>0</v>
      </c>
      <c r="CI1160">
        <v>0</v>
      </c>
      <c r="CJ1160">
        <v>0</v>
      </c>
      <c r="CK1160">
        <v>0</v>
      </c>
      <c r="CL1160">
        <v>0</v>
      </c>
      <c r="CM1160">
        <v>0</v>
      </c>
      <c r="CN1160" t="str">
        <f t="shared" si="1537"/>
        <v>refOK</v>
      </c>
      <c r="CO1160">
        <f t="shared" si="1538"/>
        <v>74</v>
      </c>
      <c r="CP1160">
        <f t="shared" si="1539"/>
        <v>214</v>
      </c>
      <c r="CQ1160">
        <f t="shared" si="1540"/>
        <v>285.71428571428572</v>
      </c>
      <c r="CR1160">
        <f t="shared" si="1541"/>
        <v>-543</v>
      </c>
      <c r="CS1160">
        <f t="shared" si="1542"/>
        <v>75</v>
      </c>
      <c r="CT1160">
        <f t="shared" si="1543"/>
        <v>618</v>
      </c>
      <c r="CU1160">
        <f t="shared" si="1544"/>
        <v>2.1629999999999998</v>
      </c>
      <c r="CV1160" s="2">
        <f t="shared" si="1545"/>
        <v>1.1381215469613259</v>
      </c>
      <c r="CW1160" s="1" t="s">
        <v>263</v>
      </c>
      <c r="CX1160" t="str">
        <f t="shared" si="1546"/>
        <v>loc</v>
      </c>
      <c r="CY1160" t="s">
        <v>743</v>
      </c>
      <c r="DB1160">
        <v>50</v>
      </c>
      <c r="DC1160" t="str">
        <f t="shared" si="1547"/>
        <v>31-70</v>
      </c>
      <c r="DD1160">
        <v>0</v>
      </c>
      <c r="DE1160">
        <v>0</v>
      </c>
      <c r="DF1160">
        <v>1</v>
      </c>
      <c r="DG1160">
        <v>1</v>
      </c>
      <c r="DI1160">
        <f t="shared" si="1548"/>
        <v>2</v>
      </c>
      <c r="DJ1160" t="str">
        <f t="shared" si="1549"/>
        <v>mixedProduct</v>
      </c>
      <c r="DK1160">
        <f t="shared" si="1550"/>
        <v>0</v>
      </c>
      <c r="DL1160">
        <f t="shared" si="1551"/>
        <v>0</v>
      </c>
      <c r="DM1160" t="str">
        <f t="shared" si="1552"/>
        <v>Pulp/Paper</v>
      </c>
      <c r="DN1160" t="str">
        <f t="shared" si="1553"/>
        <v>Timber</v>
      </c>
      <c r="DO1160">
        <v>1</v>
      </c>
      <c r="DP1160">
        <v>0</v>
      </c>
      <c r="DQ1160">
        <v>0</v>
      </c>
      <c r="DR1160">
        <v>0</v>
      </c>
      <c r="DS1160">
        <v>0</v>
      </c>
      <c r="DT1160">
        <f t="shared" si="1554"/>
        <v>1</v>
      </c>
      <c r="DU1160" s="143" t="str">
        <f t="shared" si="1555"/>
        <v>self-calculated DF</v>
      </c>
      <c r="DV1160">
        <v>0</v>
      </c>
      <c r="DW1160">
        <v>0</v>
      </c>
      <c r="DX1160">
        <v>0</v>
      </c>
      <c r="DY1160">
        <v>1</v>
      </c>
      <c r="DZ1160">
        <v>1</v>
      </c>
      <c r="EA1160">
        <v>0</v>
      </c>
      <c r="EB1160">
        <v>0</v>
      </c>
      <c r="EC1160">
        <v>1</v>
      </c>
      <c r="ED1160">
        <v>0</v>
      </c>
      <c r="EE1160">
        <v>0</v>
      </c>
      <c r="EF1160">
        <v>0</v>
      </c>
      <c r="EG1160" s="143">
        <v>0</v>
      </c>
      <c r="EH1160" s="143">
        <v>0</v>
      </c>
      <c r="EI1160" s="2">
        <v>0</v>
      </c>
      <c r="EK1160" t="str">
        <f t="shared" si="1556"/>
        <v/>
      </c>
      <c r="EL1160" t="str">
        <f t="shared" si="1557"/>
        <v/>
      </c>
      <c r="EM1160" s="2" t="str">
        <f t="shared" si="1525"/>
        <v/>
      </c>
      <c r="EP1160" t="str">
        <f>IF(ISNUMBER(BU1160),IF(ABS(BU1160-[3]QC_indicators!$B$2)&gt;3*[3]QC_indicators!$C$2,"C ratio",IF(ISNUMBER(BY1160),IF(ABS(BY1160-[3]QC_indicators!$B$1)&gt;3*[3]QC_indicators!$C$1,"DF","no"))),IF(ISNUMBER(BY1160),IF(ABS(BY1160-[3]QC_indicators!$B$1)&gt;3*[3]QC_indicators!$C$1,"DF","no")))</f>
        <v>no</v>
      </c>
      <c r="ET1160" s="264" t="s">
        <v>3215</v>
      </c>
    </row>
    <row r="1161" spans="1:151" ht="15" hidden="1" customHeight="1">
      <c r="A1161" s="1" t="s">
        <v>247</v>
      </c>
      <c r="B1161" t="s">
        <v>1027</v>
      </c>
      <c r="C1161" t="s">
        <v>1028</v>
      </c>
      <c r="D1161" t="s">
        <v>1029</v>
      </c>
      <c r="E1161" t="s">
        <v>1030</v>
      </c>
      <c r="F1161" t="s">
        <v>1031</v>
      </c>
      <c r="G1161" t="s">
        <v>253</v>
      </c>
      <c r="H1161" t="s">
        <v>254</v>
      </c>
      <c r="I1161">
        <v>2021</v>
      </c>
      <c r="J1161">
        <v>0</v>
      </c>
      <c r="K1161" t="s">
        <v>1032</v>
      </c>
      <c r="M1161" t="str">
        <f t="shared" si="1527"/>
        <v>Piccardo_2021</v>
      </c>
      <c r="N1161" t="s">
        <v>222</v>
      </c>
      <c r="O1161" s="171" t="s">
        <v>513</v>
      </c>
      <c r="P1161" s="141" t="s">
        <v>225</v>
      </c>
      <c r="Q1161" t="s">
        <v>389</v>
      </c>
      <c r="R1161" s="262" t="s">
        <v>223</v>
      </c>
      <c r="S1161" s="1" t="s">
        <v>1040</v>
      </c>
      <c r="T1161" s="264" t="s">
        <v>3220</v>
      </c>
      <c r="U1161" s="264" t="s">
        <v>3221</v>
      </c>
      <c r="V1161">
        <v>0</v>
      </c>
      <c r="W1161">
        <v>0</v>
      </c>
      <c r="X1161">
        <v>0</v>
      </c>
      <c r="Y1161">
        <v>0</v>
      </c>
      <c r="Z1161">
        <v>0</v>
      </c>
      <c r="AA1161">
        <v>0</v>
      </c>
      <c r="AB1161">
        <v>0</v>
      </c>
      <c r="AC1161">
        <v>0</v>
      </c>
      <c r="AD1161">
        <v>0</v>
      </c>
      <c r="AE1161">
        <v>0</v>
      </c>
      <c r="AF1161">
        <v>0</v>
      </c>
      <c r="AG1161">
        <v>0</v>
      </c>
      <c r="AH1161">
        <v>0</v>
      </c>
      <c r="AI1161">
        <v>0</v>
      </c>
      <c r="AJ1161">
        <v>0</v>
      </c>
      <c r="AK1161">
        <v>1</v>
      </c>
      <c r="AL1161">
        <v>0</v>
      </c>
      <c r="AM1161">
        <v>0</v>
      </c>
      <c r="AN1161">
        <v>0</v>
      </c>
      <c r="AO1161">
        <v>0</v>
      </c>
      <c r="AP1161">
        <v>0</v>
      </c>
      <c r="AQ1161">
        <v>0</v>
      </c>
      <c r="AR1161">
        <v>0</v>
      </c>
      <c r="AS1161">
        <v>0</v>
      </c>
      <c r="AT1161">
        <v>0</v>
      </c>
      <c r="AU1161">
        <v>0</v>
      </c>
      <c r="AV1161">
        <v>0</v>
      </c>
      <c r="AW1161">
        <v>0</v>
      </c>
      <c r="AX1161" s="141">
        <f t="shared" si="1528"/>
        <v>1</v>
      </c>
      <c r="AY1161" s="141">
        <f t="shared" si="1529"/>
        <v>1</v>
      </c>
      <c r="AZ1161">
        <f t="shared" si="1530"/>
        <v>0</v>
      </c>
      <c r="BA1161">
        <f t="shared" si="1531"/>
        <v>0</v>
      </c>
      <c r="BB1161">
        <f t="shared" si="1532"/>
        <v>1</v>
      </c>
      <c r="BC1161">
        <f t="shared" si="1533"/>
        <v>0</v>
      </c>
      <c r="BD1161">
        <f t="shared" si="1534"/>
        <v>0</v>
      </c>
      <c r="BE1161" t="str">
        <f t="array" ref="BE1161">IF(AY1161=1,INDEX($V$7:$AL$7,MATCH(TRUE,INDEX($V1161:$AW1161&lt;&gt;0,),0)),IF(AY1161=0,INDEX($AM$7:$AW$7,MATCH(1,$AM1161:$AW1161,0)),IF(BF1161="Multiple strategies","mixed drivers",IF(BF1161="Supply chain","multiple supply","multiple silviculture"))))</f>
        <v>technologies/design switch</v>
      </c>
      <c r="BF1161" s="2" t="str" cm="1">
        <f t="array" ref="BF1161">IF(COUNTIF(AZ1161:BB1161,"&lt;&gt;0")=1,INDEX($V$4:$AW$4,MATCH(TRUE,INDEX($V1161:$AW1161&lt;&gt;0,),0)),IF(COUNTIF(AZ1161:BB1161,"&lt;&gt;0")=0,INDEX($AM$4:$AW$4,MATCH(1,$AM1161:$AW1161,0)),"Multiple strategies"))</f>
        <v>Technology</v>
      </c>
      <c r="BG1161" s="142" t="s">
        <v>229</v>
      </c>
      <c r="BH1161" t="s">
        <v>1034</v>
      </c>
      <c r="BI1161" t="s">
        <v>1035</v>
      </c>
      <c r="BJ1161" t="s">
        <v>1036</v>
      </c>
      <c r="BK1161">
        <f t="shared" si="1558"/>
        <v>74</v>
      </c>
      <c r="BL1161">
        <f>175+40+77+18+35+3+8+8</f>
        <v>364</v>
      </c>
      <c r="BM1161">
        <f t="shared" si="1535"/>
        <v>4.9189189189189193</v>
      </c>
      <c r="BN1161">
        <f t="shared" si="1536"/>
        <v>290</v>
      </c>
      <c r="BO1161">
        <f t="shared" si="1559"/>
        <v>591.83673469387759</v>
      </c>
      <c r="BP1161" t="s">
        <v>395</v>
      </c>
      <c r="BQ1161" t="s">
        <v>1037</v>
      </c>
      <c r="BR1161" t="s">
        <v>1038</v>
      </c>
      <c r="BS1161">
        <f>669-126</f>
        <v>543</v>
      </c>
      <c r="BT1161">
        <f>357-622</f>
        <v>-265</v>
      </c>
      <c r="BU1161" s="144"/>
      <c r="BV1161">
        <f t="shared" si="1560"/>
        <v>-808</v>
      </c>
      <c r="BX1161">
        <f t="shared" si="1561"/>
        <v>-808</v>
      </c>
      <c r="BY1161">
        <f t="shared" si="1524"/>
        <v>-1.3652413793103448</v>
      </c>
      <c r="BZ1161">
        <v>0</v>
      </c>
      <c r="CA1161">
        <v>0</v>
      </c>
      <c r="CB1161">
        <v>0</v>
      </c>
      <c r="CC1161">
        <v>0</v>
      </c>
      <c r="CD1161">
        <v>0</v>
      </c>
      <c r="CE1161">
        <v>0</v>
      </c>
      <c r="CF1161">
        <v>0</v>
      </c>
      <c r="CG1161">
        <v>0</v>
      </c>
      <c r="CH1161">
        <v>0</v>
      </c>
      <c r="CI1161">
        <v>0</v>
      </c>
      <c r="CJ1161">
        <v>0</v>
      </c>
      <c r="CK1161">
        <v>0</v>
      </c>
      <c r="CL1161">
        <v>0</v>
      </c>
      <c r="CM1161">
        <v>0</v>
      </c>
      <c r="CN1161" t="str">
        <f t="shared" si="1537"/>
        <v>refOK</v>
      </c>
      <c r="CO1161">
        <f t="shared" si="1538"/>
        <v>74</v>
      </c>
      <c r="CP1161">
        <f t="shared" si="1539"/>
        <v>364</v>
      </c>
      <c r="CQ1161">
        <f t="shared" si="1540"/>
        <v>591.83673469387759</v>
      </c>
      <c r="CR1161">
        <f t="shared" si="1541"/>
        <v>-543</v>
      </c>
      <c r="CS1161">
        <f t="shared" si="1542"/>
        <v>265</v>
      </c>
      <c r="CT1161">
        <f t="shared" si="1543"/>
        <v>808</v>
      </c>
      <c r="CU1161">
        <f t="shared" si="1544"/>
        <v>1.3652413793103448</v>
      </c>
      <c r="CV1161" s="2">
        <f t="shared" si="1545"/>
        <v>1.4880294659300184</v>
      </c>
      <c r="CW1161" s="1" t="s">
        <v>263</v>
      </c>
      <c r="CX1161" t="str">
        <f t="shared" si="1546"/>
        <v>loc</v>
      </c>
      <c r="CY1161" t="s">
        <v>743</v>
      </c>
      <c r="DB1161">
        <v>50</v>
      </c>
      <c r="DC1161" t="str">
        <f t="shared" si="1547"/>
        <v>31-70</v>
      </c>
      <c r="DD1161">
        <v>0</v>
      </c>
      <c r="DE1161">
        <v>0</v>
      </c>
      <c r="DF1161">
        <v>1</v>
      </c>
      <c r="DG1161">
        <v>1</v>
      </c>
      <c r="DI1161">
        <f t="shared" si="1548"/>
        <v>2</v>
      </c>
      <c r="DJ1161" t="str">
        <f t="shared" si="1549"/>
        <v>mixedProduct</v>
      </c>
      <c r="DK1161">
        <f t="shared" si="1550"/>
        <v>0</v>
      </c>
      <c r="DL1161">
        <f t="shared" si="1551"/>
        <v>0</v>
      </c>
      <c r="DM1161" t="str">
        <f t="shared" si="1552"/>
        <v>Pulp/Paper</v>
      </c>
      <c r="DN1161" t="str">
        <f t="shared" si="1553"/>
        <v>Timber</v>
      </c>
      <c r="DO1161">
        <v>1</v>
      </c>
      <c r="DP1161">
        <v>0</v>
      </c>
      <c r="DQ1161">
        <v>0</v>
      </c>
      <c r="DR1161">
        <v>0</v>
      </c>
      <c r="DS1161">
        <v>0</v>
      </c>
      <c r="DT1161">
        <f t="shared" si="1554"/>
        <v>1</v>
      </c>
      <c r="DU1161" s="143" t="str">
        <f t="shared" si="1555"/>
        <v>self-calculated DF</v>
      </c>
      <c r="DV1161">
        <v>0</v>
      </c>
      <c r="DW1161">
        <v>0</v>
      </c>
      <c r="DX1161">
        <v>0</v>
      </c>
      <c r="DY1161">
        <v>1</v>
      </c>
      <c r="DZ1161">
        <v>1</v>
      </c>
      <c r="EA1161">
        <v>0</v>
      </c>
      <c r="EB1161">
        <v>0</v>
      </c>
      <c r="EC1161">
        <v>1</v>
      </c>
      <c r="ED1161">
        <v>0</v>
      </c>
      <c r="EE1161">
        <v>0</v>
      </c>
      <c r="EF1161">
        <v>0</v>
      </c>
      <c r="EG1161" s="143">
        <v>0</v>
      </c>
      <c r="EH1161" s="143">
        <v>0</v>
      </c>
      <c r="EI1161" s="2">
        <v>0</v>
      </c>
      <c r="EK1161" t="str">
        <f t="shared" si="1556"/>
        <v/>
      </c>
      <c r="EL1161" t="str">
        <f t="shared" si="1557"/>
        <v/>
      </c>
      <c r="EM1161" s="2" t="str">
        <f t="shared" si="1525"/>
        <v/>
      </c>
      <c r="EP1161" t="str">
        <f>IF(ISNUMBER(BU1161),IF(ABS(BU1161-[3]QC_indicators!$B$2)&gt;3*[3]QC_indicators!$C$2,"C ratio",IF(ISNUMBER(BY1161),IF(ABS(BY1161-[3]QC_indicators!$B$1)&gt;3*[3]QC_indicators!$C$1,"DF","no"))),IF(ISNUMBER(BY1161),IF(ABS(BY1161-[3]QC_indicators!$B$1)&gt;3*[3]QC_indicators!$C$1,"DF","no")))</f>
        <v>no</v>
      </c>
      <c r="ET1161" s="264" t="s">
        <v>3215</v>
      </c>
    </row>
    <row r="1162" spans="1:151" ht="15" hidden="1" customHeight="1">
      <c r="A1162" s="1" t="s">
        <v>247</v>
      </c>
      <c r="B1162" t="s">
        <v>1027</v>
      </c>
      <c r="C1162" t="s">
        <v>1028</v>
      </c>
      <c r="D1162" t="s">
        <v>1029</v>
      </c>
      <c r="E1162" t="s">
        <v>1030</v>
      </c>
      <c r="F1162" t="s">
        <v>1031</v>
      </c>
      <c r="G1162" t="s">
        <v>253</v>
      </c>
      <c r="H1162" t="s">
        <v>254</v>
      </c>
      <c r="I1162">
        <v>2021</v>
      </c>
      <c r="J1162">
        <v>0</v>
      </c>
      <c r="K1162" t="s">
        <v>1032</v>
      </c>
      <c r="M1162" t="str">
        <f t="shared" si="1527"/>
        <v>Piccardo_2021</v>
      </c>
      <c r="N1162" t="s">
        <v>222</v>
      </c>
      <c r="O1162" s="171" t="s">
        <v>513</v>
      </c>
      <c r="P1162" s="141" t="s">
        <v>225</v>
      </c>
      <c r="Q1162" t="s">
        <v>389</v>
      </c>
      <c r="R1162" s="262" t="s">
        <v>223</v>
      </c>
      <c r="S1162" s="1" t="s">
        <v>1041</v>
      </c>
      <c r="T1162" s="264" t="s">
        <v>3219</v>
      </c>
      <c r="U1162" s="264" t="s">
        <v>3217</v>
      </c>
      <c r="V1162">
        <v>0</v>
      </c>
      <c r="W1162">
        <v>0</v>
      </c>
      <c r="X1162">
        <v>0</v>
      </c>
      <c r="Y1162">
        <v>0</v>
      </c>
      <c r="Z1162">
        <v>0</v>
      </c>
      <c r="AA1162">
        <v>0</v>
      </c>
      <c r="AB1162">
        <v>0</v>
      </c>
      <c r="AC1162">
        <v>0</v>
      </c>
      <c r="AD1162">
        <v>0</v>
      </c>
      <c r="AE1162">
        <v>0</v>
      </c>
      <c r="AF1162">
        <v>0</v>
      </c>
      <c r="AG1162">
        <v>0</v>
      </c>
      <c r="AH1162">
        <v>0</v>
      </c>
      <c r="AI1162">
        <v>0</v>
      </c>
      <c r="AJ1162">
        <v>0</v>
      </c>
      <c r="AK1162">
        <v>1</v>
      </c>
      <c r="AL1162">
        <v>0</v>
      </c>
      <c r="AM1162">
        <v>0</v>
      </c>
      <c r="AN1162">
        <v>0</v>
      </c>
      <c r="AO1162">
        <v>0</v>
      </c>
      <c r="AP1162">
        <v>0</v>
      </c>
      <c r="AQ1162">
        <v>0</v>
      </c>
      <c r="AR1162">
        <v>0</v>
      </c>
      <c r="AS1162">
        <v>0</v>
      </c>
      <c r="AT1162">
        <v>0</v>
      </c>
      <c r="AU1162">
        <v>0</v>
      </c>
      <c r="AV1162">
        <v>0</v>
      </c>
      <c r="AW1162">
        <v>0</v>
      </c>
      <c r="AX1162" s="141">
        <f t="shared" si="1528"/>
        <v>1</v>
      </c>
      <c r="AY1162" s="141">
        <f t="shared" si="1529"/>
        <v>1</v>
      </c>
      <c r="AZ1162">
        <f t="shared" si="1530"/>
        <v>0</v>
      </c>
      <c r="BA1162">
        <f t="shared" si="1531"/>
        <v>0</v>
      </c>
      <c r="BB1162">
        <f t="shared" si="1532"/>
        <v>1</v>
      </c>
      <c r="BC1162">
        <f t="shared" si="1533"/>
        <v>0</v>
      </c>
      <c r="BD1162">
        <f t="shared" si="1534"/>
        <v>0</v>
      </c>
      <c r="BE1162" t="str">
        <f t="array" ref="BE1162">IF(AY1162=1,INDEX($V$7:$AL$7,MATCH(TRUE,INDEX($V1162:$AW1162&lt;&gt;0,),0)),IF(AY1162=0,INDEX($AM$7:$AW$7,MATCH(1,$AM1162:$AW1162,0)),IF(BF1162="Multiple strategies","mixed drivers",IF(BF1162="Supply chain","multiple supply","multiple silviculture"))))</f>
        <v>technologies/design switch</v>
      </c>
      <c r="BF1162" s="2" t="str" cm="1">
        <f t="array" ref="BF1162">IF(COUNTIF(AZ1162:BB1162,"&lt;&gt;0")=1,INDEX($V$4:$AW$4,MATCH(TRUE,INDEX($V1162:$AW1162&lt;&gt;0,),0)),IF(COUNTIF(AZ1162:BB1162,"&lt;&gt;0")=0,INDEX($AM$4:$AW$4,MATCH(1,$AM1162:$AW1162,0)),"Multiple strategies"))</f>
        <v>Technology</v>
      </c>
      <c r="BG1162" s="142" t="s">
        <v>229</v>
      </c>
      <c r="BH1162" t="s">
        <v>1034</v>
      </c>
      <c r="BI1162" t="s">
        <v>1035</v>
      </c>
      <c r="BJ1162" t="s">
        <v>1036</v>
      </c>
      <c r="BK1162">
        <f t="shared" si="1558"/>
        <v>74</v>
      </c>
      <c r="BL1162">
        <f>175+40+77+18+35+3+8+8</f>
        <v>364</v>
      </c>
      <c r="BM1162">
        <f t="shared" si="1535"/>
        <v>4.9189189189189193</v>
      </c>
      <c r="BN1162">
        <f t="shared" si="1536"/>
        <v>290</v>
      </c>
      <c r="BO1162">
        <f t="shared" si="1559"/>
        <v>591.83673469387759</v>
      </c>
      <c r="BP1162" t="s">
        <v>395</v>
      </c>
      <c r="BQ1162" t="s">
        <v>1037</v>
      </c>
      <c r="BR1162" t="s">
        <v>1038</v>
      </c>
      <c r="BS1162">
        <v>267</v>
      </c>
      <c r="BT1162">
        <v>-370</v>
      </c>
      <c r="BU1162" s="144"/>
      <c r="BV1162">
        <f t="shared" si="1560"/>
        <v>-637</v>
      </c>
      <c r="BX1162">
        <f t="shared" si="1561"/>
        <v>-637</v>
      </c>
      <c r="BY1162">
        <f t="shared" si="1524"/>
        <v>-1.0763103448275861</v>
      </c>
      <c r="BZ1162">
        <v>0</v>
      </c>
      <c r="CA1162">
        <v>0</v>
      </c>
      <c r="CB1162">
        <v>0</v>
      </c>
      <c r="CC1162">
        <v>0</v>
      </c>
      <c r="CD1162">
        <v>0</v>
      </c>
      <c r="CE1162">
        <v>0</v>
      </c>
      <c r="CF1162">
        <v>0</v>
      </c>
      <c r="CG1162">
        <v>0</v>
      </c>
      <c r="CH1162">
        <v>0</v>
      </c>
      <c r="CI1162">
        <v>0</v>
      </c>
      <c r="CJ1162">
        <v>0</v>
      </c>
      <c r="CK1162">
        <v>0</v>
      </c>
      <c r="CL1162">
        <v>0</v>
      </c>
      <c r="CM1162">
        <v>0</v>
      </c>
      <c r="CN1162" t="str">
        <f t="shared" si="1537"/>
        <v>refOK</v>
      </c>
      <c r="CO1162">
        <f t="shared" si="1538"/>
        <v>74</v>
      </c>
      <c r="CP1162">
        <f t="shared" si="1539"/>
        <v>364</v>
      </c>
      <c r="CQ1162">
        <f t="shared" si="1540"/>
        <v>591.83673469387759</v>
      </c>
      <c r="CR1162">
        <f t="shared" si="1541"/>
        <v>-267</v>
      </c>
      <c r="CS1162">
        <f t="shared" si="1542"/>
        <v>370</v>
      </c>
      <c r="CT1162">
        <f t="shared" si="1543"/>
        <v>637</v>
      </c>
      <c r="CU1162">
        <f t="shared" si="1544"/>
        <v>1.0763103448275861</v>
      </c>
      <c r="CV1162" s="2">
        <f t="shared" si="1545"/>
        <v>2.3857677902621721</v>
      </c>
      <c r="CW1162" s="1" t="s">
        <v>263</v>
      </c>
      <c r="CX1162" t="str">
        <f t="shared" si="1546"/>
        <v>loc</v>
      </c>
      <c r="CY1162" t="s">
        <v>743</v>
      </c>
      <c r="DB1162">
        <v>50</v>
      </c>
      <c r="DC1162" t="str">
        <f t="shared" si="1547"/>
        <v>31-70</v>
      </c>
      <c r="DD1162">
        <v>0</v>
      </c>
      <c r="DE1162">
        <v>0</v>
      </c>
      <c r="DF1162">
        <v>1</v>
      </c>
      <c r="DG1162">
        <v>1</v>
      </c>
      <c r="DI1162">
        <f t="shared" si="1548"/>
        <v>2</v>
      </c>
      <c r="DJ1162" t="str">
        <f t="shared" si="1549"/>
        <v>mixedProduct</v>
      </c>
      <c r="DK1162">
        <f t="shared" si="1550"/>
        <v>0</v>
      </c>
      <c r="DL1162">
        <f t="shared" si="1551"/>
        <v>0</v>
      </c>
      <c r="DM1162" t="str">
        <f t="shared" si="1552"/>
        <v>Pulp/Paper</v>
      </c>
      <c r="DN1162" t="str">
        <f t="shared" si="1553"/>
        <v>Timber</v>
      </c>
      <c r="DO1162">
        <v>1</v>
      </c>
      <c r="DP1162">
        <v>0</v>
      </c>
      <c r="DQ1162">
        <v>0</v>
      </c>
      <c r="DR1162">
        <v>0</v>
      </c>
      <c r="DS1162">
        <v>0</v>
      </c>
      <c r="DT1162">
        <f t="shared" si="1554"/>
        <v>1</v>
      </c>
      <c r="DU1162" s="143" t="str">
        <f t="shared" si="1555"/>
        <v>self-calculated DF</v>
      </c>
      <c r="DV1162">
        <v>0</v>
      </c>
      <c r="DW1162">
        <v>0</v>
      </c>
      <c r="DX1162">
        <v>0</v>
      </c>
      <c r="DY1162">
        <v>1</v>
      </c>
      <c r="DZ1162">
        <v>1</v>
      </c>
      <c r="EA1162">
        <v>1</v>
      </c>
      <c r="EB1162">
        <v>0</v>
      </c>
      <c r="EC1162">
        <v>1</v>
      </c>
      <c r="ED1162">
        <v>1</v>
      </c>
      <c r="EE1162">
        <v>1</v>
      </c>
      <c r="EF1162">
        <v>0</v>
      </c>
      <c r="EG1162" s="143">
        <v>0</v>
      </c>
      <c r="EH1162" s="143">
        <v>0</v>
      </c>
      <c r="EI1162" s="2">
        <v>0</v>
      </c>
      <c r="EK1162" t="str">
        <f t="shared" si="1556"/>
        <v/>
      </c>
      <c r="EL1162" t="str">
        <f t="shared" si="1557"/>
        <v/>
      </c>
      <c r="EM1162" s="2" t="str">
        <f t="shared" si="1525"/>
        <v>Technology approach</v>
      </c>
      <c r="EP1162" t="str">
        <f>IF(ISNUMBER(BU1162),IF(ABS(BU1162-[3]QC_indicators!$B$2)&gt;3*[3]QC_indicators!$C$2,"C ratio",IF(ISNUMBER(BY1162),IF(ABS(BY1162-[3]QC_indicators!$B$1)&gt;3*[3]QC_indicators!$C$1,"DF","no"))),IF(ISNUMBER(BY1162),IF(ABS(BY1162-[3]QC_indicators!$B$1)&gt;3*[3]QC_indicators!$C$1,"DF","no")))</f>
        <v>no</v>
      </c>
      <c r="ET1162" s="264" t="s">
        <v>3215</v>
      </c>
    </row>
    <row r="1163" spans="1:151" ht="15" hidden="1" customHeight="1">
      <c r="A1163" s="1" t="s">
        <v>247</v>
      </c>
      <c r="B1163" t="s">
        <v>1027</v>
      </c>
      <c r="C1163" t="s">
        <v>1028</v>
      </c>
      <c r="D1163" t="s">
        <v>1029</v>
      </c>
      <c r="E1163" t="s">
        <v>1030</v>
      </c>
      <c r="F1163" t="s">
        <v>1031</v>
      </c>
      <c r="G1163" t="s">
        <v>253</v>
      </c>
      <c r="H1163" t="s">
        <v>254</v>
      </c>
      <c r="I1163">
        <v>2021</v>
      </c>
      <c r="J1163">
        <v>0</v>
      </c>
      <c r="K1163" t="s">
        <v>1032</v>
      </c>
      <c r="M1163" t="str">
        <f t="shared" si="1527"/>
        <v>Piccardo_2021</v>
      </c>
      <c r="N1163" t="s">
        <v>222</v>
      </c>
      <c r="O1163" s="171" t="s">
        <v>513</v>
      </c>
      <c r="P1163" s="141" t="s">
        <v>225</v>
      </c>
      <c r="Q1163" t="s">
        <v>389</v>
      </c>
      <c r="R1163" s="262" t="s">
        <v>223</v>
      </c>
      <c r="S1163" s="1" t="s">
        <v>1033</v>
      </c>
      <c r="T1163" s="264" t="s">
        <v>3213</v>
      </c>
      <c r="U1163" s="264" t="s">
        <v>3214</v>
      </c>
      <c r="V1163">
        <v>0</v>
      </c>
      <c r="W1163">
        <v>0</v>
      </c>
      <c r="X1163">
        <v>0</v>
      </c>
      <c r="Y1163">
        <v>0</v>
      </c>
      <c r="Z1163">
        <v>0</v>
      </c>
      <c r="AA1163">
        <v>0</v>
      </c>
      <c r="AB1163">
        <v>0</v>
      </c>
      <c r="AC1163">
        <v>0</v>
      </c>
      <c r="AD1163">
        <v>0</v>
      </c>
      <c r="AE1163">
        <v>0</v>
      </c>
      <c r="AF1163">
        <v>0</v>
      </c>
      <c r="AG1163">
        <v>1</v>
      </c>
      <c r="AH1163">
        <v>0</v>
      </c>
      <c r="AI1163">
        <v>0</v>
      </c>
      <c r="AJ1163">
        <v>0</v>
      </c>
      <c r="AK1163">
        <v>0</v>
      </c>
      <c r="AL1163">
        <v>0</v>
      </c>
      <c r="AM1163">
        <v>0</v>
      </c>
      <c r="AN1163">
        <v>0</v>
      </c>
      <c r="AO1163">
        <v>0</v>
      </c>
      <c r="AP1163">
        <v>0</v>
      </c>
      <c r="AQ1163">
        <v>0</v>
      </c>
      <c r="AR1163">
        <v>0</v>
      </c>
      <c r="AS1163">
        <v>0</v>
      </c>
      <c r="AT1163">
        <v>0</v>
      </c>
      <c r="AU1163">
        <v>0</v>
      </c>
      <c r="AV1163">
        <v>0</v>
      </c>
      <c r="AW1163">
        <v>0</v>
      </c>
      <c r="AX1163" s="141">
        <f t="shared" si="1528"/>
        <v>1</v>
      </c>
      <c r="AY1163" s="141">
        <f t="shared" si="1529"/>
        <v>1</v>
      </c>
      <c r="AZ1163">
        <f t="shared" si="1530"/>
        <v>0</v>
      </c>
      <c r="BA1163">
        <f t="shared" si="1531"/>
        <v>1</v>
      </c>
      <c r="BB1163">
        <f t="shared" si="1532"/>
        <v>0</v>
      </c>
      <c r="BC1163">
        <f t="shared" si="1533"/>
        <v>0</v>
      </c>
      <c r="BD1163">
        <f t="shared" si="1534"/>
        <v>0</v>
      </c>
      <c r="BE1163" t="str">
        <f t="array" ref="BE1163">IF(AY1163=1,INDEX($V$7:$AL$7,MATCH(TRUE,INDEX($V1163:$AW1163&lt;&gt;0,),0)),IF(AY1163=0,INDEX($AM$7:$AW$7,MATCH(1,$AM1163:$AW1163,0)),IF(BF1163="Multiple strategies","mixed drivers",IF(BF1163="Supply chain","multiple supply","multiple silviculture"))))</f>
        <v>recycling</v>
      </c>
      <c r="BF1163" s="2" t="str" cm="1">
        <f t="array" ref="BF1163">IF(COUNTIF(AZ1163:BB1163,"&lt;&gt;0")=1,INDEX($V$4:$AW$4,MATCH(TRUE,INDEX($V1163:$AW1163&lt;&gt;0,),0)),IF(COUNTIF(AZ1163:BB1163,"&lt;&gt;0")=0,INDEX($AM$4:$AW$4,MATCH(1,$AM1163:$AW1163,0)),"Multiple strategies"))</f>
        <v>Supply chain</v>
      </c>
      <c r="BG1163" s="142" t="s">
        <v>229</v>
      </c>
      <c r="BH1163" t="s">
        <v>1034</v>
      </c>
      <c r="BI1163" t="s">
        <v>1035</v>
      </c>
      <c r="BJ1163" t="s">
        <v>1036</v>
      </c>
      <c r="BK1163">
        <f t="shared" si="1558"/>
        <v>74</v>
      </c>
      <c r="BL1163">
        <f>35+3+20+8+8</f>
        <v>74</v>
      </c>
      <c r="BM1163">
        <f t="shared" si="1535"/>
        <v>1</v>
      </c>
      <c r="BN1163">
        <f t="shared" si="1536"/>
        <v>0</v>
      </c>
      <c r="BO1163">
        <f t="shared" si="1559"/>
        <v>0</v>
      </c>
      <c r="BP1163" s="264" t="s">
        <v>395</v>
      </c>
      <c r="BQ1163" t="s">
        <v>1037</v>
      </c>
      <c r="BR1163" t="s">
        <v>1038</v>
      </c>
      <c r="BS1163">
        <v>99</v>
      </c>
      <c r="BT1163">
        <v>267</v>
      </c>
      <c r="BU1163" s="144"/>
      <c r="BV1163">
        <f t="shared" si="1560"/>
        <v>168</v>
      </c>
      <c r="BX1163">
        <f t="shared" si="1561"/>
        <v>168</v>
      </c>
      <c r="BY1163" t="str">
        <f t="shared" si="1524"/>
        <v/>
      </c>
      <c r="BZ1163">
        <v>0</v>
      </c>
      <c r="CA1163">
        <v>0</v>
      </c>
      <c r="CB1163">
        <v>0</v>
      </c>
      <c r="CC1163">
        <v>0</v>
      </c>
      <c r="CD1163">
        <v>0</v>
      </c>
      <c r="CE1163">
        <v>0</v>
      </c>
      <c r="CF1163">
        <v>0</v>
      </c>
      <c r="CG1163">
        <v>0</v>
      </c>
      <c r="CH1163">
        <v>0</v>
      </c>
      <c r="CI1163">
        <v>0</v>
      </c>
      <c r="CJ1163">
        <v>0</v>
      </c>
      <c r="CK1163">
        <v>0</v>
      </c>
      <c r="CL1163">
        <v>0</v>
      </c>
      <c r="CM1163">
        <v>0</v>
      </c>
      <c r="CN1163" t="str">
        <f t="shared" si="1537"/>
        <v>refOK</v>
      </c>
      <c r="CO1163">
        <f t="shared" si="1538"/>
        <v>74</v>
      </c>
      <c r="CP1163">
        <f t="shared" si="1539"/>
        <v>74</v>
      </c>
      <c r="CQ1163">
        <f t="shared" si="1540"/>
        <v>0</v>
      </c>
      <c r="CR1163">
        <f t="shared" si="1541"/>
        <v>-99</v>
      </c>
      <c r="CS1163">
        <f t="shared" si="1542"/>
        <v>-267</v>
      </c>
      <c r="CT1163">
        <f t="shared" si="1543"/>
        <v>-168</v>
      </c>
      <c r="CU1163" t="str">
        <f t="shared" si="1544"/>
        <v/>
      </c>
      <c r="CV1163" s="2">
        <f t="shared" si="1545"/>
        <v>-1.696969696969697</v>
      </c>
      <c r="CW1163" s="1" t="s">
        <v>263</v>
      </c>
      <c r="CX1163" t="str">
        <f t="shared" si="1546"/>
        <v>loc</v>
      </c>
      <c r="CY1163" t="s">
        <v>743</v>
      </c>
      <c r="DB1163">
        <v>50</v>
      </c>
      <c r="DC1163" t="str">
        <f t="shared" si="1547"/>
        <v>31-70</v>
      </c>
      <c r="DD1163">
        <v>0</v>
      </c>
      <c r="DE1163">
        <v>1</v>
      </c>
      <c r="DF1163">
        <v>0</v>
      </c>
      <c r="DG1163">
        <v>1</v>
      </c>
      <c r="DI1163">
        <f t="shared" si="1548"/>
        <v>2</v>
      </c>
      <c r="DJ1163" t="str">
        <f t="shared" si="1549"/>
        <v>mixedProduct</v>
      </c>
      <c r="DK1163">
        <f t="shared" si="1550"/>
        <v>0</v>
      </c>
      <c r="DL1163" t="str">
        <f t="shared" si="1551"/>
        <v>Energy</v>
      </c>
      <c r="DM1163">
        <f t="shared" si="1552"/>
        <v>0</v>
      </c>
      <c r="DN1163" t="str">
        <f t="shared" si="1553"/>
        <v>Timber</v>
      </c>
      <c r="DO1163">
        <v>1</v>
      </c>
      <c r="DP1163">
        <v>0</v>
      </c>
      <c r="DQ1163">
        <v>0</v>
      </c>
      <c r="DR1163">
        <v>0</v>
      </c>
      <c r="DS1163">
        <v>0</v>
      </c>
      <c r="DT1163">
        <f t="shared" si="1554"/>
        <v>1</v>
      </c>
      <c r="DU1163" s="143" t="str">
        <f t="shared" si="1555"/>
        <v>self-calculated DF</v>
      </c>
      <c r="DV1163">
        <v>0</v>
      </c>
      <c r="DW1163">
        <v>0</v>
      </c>
      <c r="DX1163">
        <v>0</v>
      </c>
      <c r="DY1163">
        <v>1</v>
      </c>
      <c r="DZ1163">
        <v>1</v>
      </c>
      <c r="EA1163" s="143">
        <v>1</v>
      </c>
      <c r="EB1163">
        <v>0</v>
      </c>
      <c r="EC1163">
        <v>1</v>
      </c>
      <c r="ED1163">
        <v>1</v>
      </c>
      <c r="EE1163">
        <v>1</v>
      </c>
      <c r="EF1163">
        <v>0</v>
      </c>
      <c r="EG1163" s="143">
        <v>0</v>
      </c>
      <c r="EH1163" s="143">
        <v>0</v>
      </c>
      <c r="EI1163" s="2">
        <v>0</v>
      </c>
      <c r="EK1163" t="str">
        <f t="shared" si="1556"/>
        <v/>
      </c>
      <c r="EL1163" t="str">
        <f t="shared" si="1557"/>
        <v/>
      </c>
      <c r="EM1163" s="2" t="str">
        <f t="shared" si="1525"/>
        <v>Technology approach</v>
      </c>
      <c r="EP1163" t="b">
        <f>IF(ISNUMBER(BU1163),IF(ABS(BU1163-[3]QC_indicators!$B$2)&gt;3*[3]QC_indicators!$C$2,"C ratio",IF(ISNUMBER(BY1163),IF(ABS(BY1163-[3]QC_indicators!$B$1)&gt;3*[3]QC_indicators!$C$1,"DF","no"))),IF(ISNUMBER(BY1163),IF(ABS(BY1163-[3]QC_indicators!$B$1)&gt;3*[3]QC_indicators!$C$1,"DF","no")))</f>
        <v>0</v>
      </c>
      <c r="ET1163" s="264" t="s">
        <v>3215</v>
      </c>
    </row>
    <row r="1164" spans="1:151" ht="15" hidden="1" customHeight="1">
      <c r="A1164" s="1" t="s">
        <v>247</v>
      </c>
      <c r="B1164" t="s">
        <v>1027</v>
      </c>
      <c r="C1164" t="s">
        <v>1028</v>
      </c>
      <c r="D1164" t="s">
        <v>1029</v>
      </c>
      <c r="E1164" t="s">
        <v>1030</v>
      </c>
      <c r="F1164" t="s">
        <v>1031</v>
      </c>
      <c r="G1164" t="s">
        <v>253</v>
      </c>
      <c r="H1164" t="s">
        <v>254</v>
      </c>
      <c r="I1164">
        <v>2021</v>
      </c>
      <c r="J1164">
        <v>0</v>
      </c>
      <c r="K1164" t="s">
        <v>1032</v>
      </c>
      <c r="M1164" t="str">
        <f t="shared" si="1527"/>
        <v>Piccardo_2021</v>
      </c>
      <c r="N1164" t="s">
        <v>222</v>
      </c>
      <c r="O1164" s="171" t="s">
        <v>513</v>
      </c>
      <c r="P1164" s="141" t="s">
        <v>225</v>
      </c>
      <c r="Q1164" t="s">
        <v>389</v>
      </c>
      <c r="R1164" s="262" t="s">
        <v>223</v>
      </c>
      <c r="S1164" s="1" t="s">
        <v>1033</v>
      </c>
      <c r="T1164" s="264" t="s">
        <v>3216</v>
      </c>
      <c r="U1164" s="264" t="s">
        <v>3217</v>
      </c>
      <c r="V1164">
        <v>0</v>
      </c>
      <c r="W1164">
        <v>0</v>
      </c>
      <c r="X1164">
        <v>0</v>
      </c>
      <c r="Y1164">
        <v>0</v>
      </c>
      <c r="Z1164">
        <v>0</v>
      </c>
      <c r="AA1164">
        <v>0</v>
      </c>
      <c r="AB1164">
        <v>0</v>
      </c>
      <c r="AC1164">
        <v>0</v>
      </c>
      <c r="AD1164">
        <v>0</v>
      </c>
      <c r="AE1164">
        <v>0</v>
      </c>
      <c r="AF1164">
        <v>0</v>
      </c>
      <c r="AG1164">
        <v>1</v>
      </c>
      <c r="AH1164">
        <v>0</v>
      </c>
      <c r="AI1164">
        <v>0</v>
      </c>
      <c r="AJ1164">
        <v>0</v>
      </c>
      <c r="AK1164">
        <v>0</v>
      </c>
      <c r="AL1164">
        <v>0</v>
      </c>
      <c r="AM1164">
        <v>0</v>
      </c>
      <c r="AN1164">
        <v>0</v>
      </c>
      <c r="AO1164">
        <v>0</v>
      </c>
      <c r="AP1164">
        <v>0</v>
      </c>
      <c r="AQ1164">
        <v>0</v>
      </c>
      <c r="AR1164">
        <v>0</v>
      </c>
      <c r="AS1164">
        <v>0</v>
      </c>
      <c r="AT1164">
        <v>0</v>
      </c>
      <c r="AU1164">
        <v>0</v>
      </c>
      <c r="AV1164">
        <v>0</v>
      </c>
      <c r="AW1164">
        <v>0</v>
      </c>
      <c r="AX1164" s="141">
        <f t="shared" si="1528"/>
        <v>1</v>
      </c>
      <c r="AY1164" s="141">
        <f t="shared" si="1529"/>
        <v>1</v>
      </c>
      <c r="AZ1164">
        <f t="shared" si="1530"/>
        <v>0</v>
      </c>
      <c r="BA1164">
        <f t="shared" si="1531"/>
        <v>1</v>
      </c>
      <c r="BB1164">
        <f t="shared" si="1532"/>
        <v>0</v>
      </c>
      <c r="BC1164">
        <f t="shared" si="1533"/>
        <v>0</v>
      </c>
      <c r="BD1164">
        <f t="shared" si="1534"/>
        <v>0</v>
      </c>
      <c r="BE1164" t="str">
        <f t="array" ref="BE1164">IF(AY1164=1,INDEX($V$7:$AL$7,MATCH(TRUE,INDEX($V1164:$AW1164&lt;&gt;0,),0)),IF(AY1164=0,INDEX($AM$7:$AW$7,MATCH(1,$AM1164:$AW1164,0)),IF(BF1164="Multiple strategies","mixed drivers",IF(BF1164="Supply chain","multiple supply","multiple silviculture"))))</f>
        <v>recycling</v>
      </c>
      <c r="BF1164" s="2" t="str" cm="1">
        <f t="array" ref="BF1164">IF(COUNTIF(AZ1164:BB1164,"&lt;&gt;0")=1,INDEX($V$4:$AW$4,MATCH(TRUE,INDEX($V1164:$AW1164&lt;&gt;0,),0)),IF(COUNTIF(AZ1164:BB1164,"&lt;&gt;0")=0,INDEX($AM$4:$AW$4,MATCH(1,$AM1164:$AW1164,0)),"Multiple strategies"))</f>
        <v>Supply chain</v>
      </c>
      <c r="BG1164" s="142" t="s">
        <v>229</v>
      </c>
      <c r="BH1164" t="s">
        <v>1034</v>
      </c>
      <c r="BI1164" t="s">
        <v>1035</v>
      </c>
      <c r="BJ1164" t="s">
        <v>1036</v>
      </c>
      <c r="BK1164">
        <f>175+40+77+18+35+3+8+8</f>
        <v>364</v>
      </c>
      <c r="BL1164">
        <f>175+40+77+18+35+3+8+8</f>
        <v>364</v>
      </c>
      <c r="BM1164">
        <f t="shared" si="1535"/>
        <v>1</v>
      </c>
      <c r="BN1164">
        <f t="shared" si="1536"/>
        <v>0</v>
      </c>
      <c r="BO1164">
        <f t="shared" si="1559"/>
        <v>0</v>
      </c>
      <c r="BP1164" s="264" t="s">
        <v>395</v>
      </c>
      <c r="BQ1164" t="s">
        <v>1037</v>
      </c>
      <c r="BR1164" t="s">
        <v>1038</v>
      </c>
      <c r="BS1164">
        <v>-1415</v>
      </c>
      <c r="BT1164">
        <v>-370</v>
      </c>
      <c r="BU1164" s="144"/>
      <c r="BV1164">
        <f t="shared" si="1560"/>
        <v>1045</v>
      </c>
      <c r="BX1164">
        <f t="shared" si="1561"/>
        <v>1045</v>
      </c>
      <c r="BY1164" t="str">
        <f t="shared" si="1524"/>
        <v/>
      </c>
      <c r="BZ1164">
        <v>0</v>
      </c>
      <c r="CA1164">
        <v>0</v>
      </c>
      <c r="CB1164">
        <v>0</v>
      </c>
      <c r="CC1164">
        <v>0</v>
      </c>
      <c r="CD1164">
        <v>0</v>
      </c>
      <c r="CE1164">
        <v>0</v>
      </c>
      <c r="CF1164">
        <v>0</v>
      </c>
      <c r="CG1164">
        <v>0</v>
      </c>
      <c r="CH1164">
        <v>0</v>
      </c>
      <c r="CI1164">
        <v>0</v>
      </c>
      <c r="CJ1164">
        <v>0</v>
      </c>
      <c r="CK1164">
        <v>0</v>
      </c>
      <c r="CL1164">
        <v>0</v>
      </c>
      <c r="CM1164">
        <v>0</v>
      </c>
      <c r="CN1164" t="str">
        <f t="shared" si="1537"/>
        <v>refOK</v>
      </c>
      <c r="CO1164">
        <f t="shared" si="1538"/>
        <v>364</v>
      </c>
      <c r="CP1164">
        <f t="shared" si="1539"/>
        <v>364</v>
      </c>
      <c r="CQ1164">
        <f t="shared" si="1540"/>
        <v>0</v>
      </c>
      <c r="CR1164">
        <f t="shared" si="1541"/>
        <v>1415</v>
      </c>
      <c r="CS1164">
        <f t="shared" si="1542"/>
        <v>370</v>
      </c>
      <c r="CT1164">
        <f t="shared" si="1543"/>
        <v>-1045</v>
      </c>
      <c r="CU1164" t="str">
        <f t="shared" si="1544"/>
        <v/>
      </c>
      <c r="CV1164" s="2">
        <f t="shared" si="1545"/>
        <v>-0.7385159010600707</v>
      </c>
      <c r="CW1164" s="1" t="s">
        <v>263</v>
      </c>
      <c r="CX1164" t="str">
        <f t="shared" si="1546"/>
        <v>loc</v>
      </c>
      <c r="CY1164" t="s">
        <v>743</v>
      </c>
      <c r="DB1164">
        <v>50</v>
      </c>
      <c r="DC1164" t="str">
        <f t="shared" si="1547"/>
        <v>31-70</v>
      </c>
      <c r="DD1164">
        <v>0</v>
      </c>
      <c r="DE1164">
        <v>1</v>
      </c>
      <c r="DF1164">
        <v>0</v>
      </c>
      <c r="DG1164">
        <v>1</v>
      </c>
      <c r="DI1164">
        <f t="shared" si="1548"/>
        <v>2</v>
      </c>
      <c r="DJ1164" t="str">
        <f t="shared" si="1549"/>
        <v>mixedProduct</v>
      </c>
      <c r="DK1164">
        <f t="shared" si="1550"/>
        <v>0</v>
      </c>
      <c r="DL1164" t="str">
        <f t="shared" si="1551"/>
        <v>Energy</v>
      </c>
      <c r="DM1164">
        <f t="shared" si="1552"/>
        <v>0</v>
      </c>
      <c r="DN1164" t="str">
        <f t="shared" si="1553"/>
        <v>Timber</v>
      </c>
      <c r="DO1164">
        <v>1</v>
      </c>
      <c r="DP1164">
        <v>0</v>
      </c>
      <c r="DQ1164">
        <v>0</v>
      </c>
      <c r="DR1164">
        <v>0</v>
      </c>
      <c r="DS1164">
        <v>0</v>
      </c>
      <c r="DT1164">
        <f t="shared" si="1554"/>
        <v>1</v>
      </c>
      <c r="DU1164" s="143" t="str">
        <f t="shared" si="1555"/>
        <v>self-calculated DF</v>
      </c>
      <c r="DV1164">
        <v>0</v>
      </c>
      <c r="DW1164">
        <v>0</v>
      </c>
      <c r="DX1164">
        <v>0</v>
      </c>
      <c r="DY1164">
        <v>1</v>
      </c>
      <c r="DZ1164">
        <v>1</v>
      </c>
      <c r="EA1164" s="143">
        <v>1</v>
      </c>
      <c r="EB1164">
        <v>0</v>
      </c>
      <c r="EC1164">
        <v>1</v>
      </c>
      <c r="ED1164">
        <v>1</v>
      </c>
      <c r="EE1164">
        <v>1</v>
      </c>
      <c r="EF1164">
        <v>0</v>
      </c>
      <c r="EG1164" s="143">
        <v>0</v>
      </c>
      <c r="EH1164" s="143">
        <v>0</v>
      </c>
      <c r="EI1164" s="2">
        <v>0</v>
      </c>
      <c r="EK1164" t="str">
        <f t="shared" si="1556"/>
        <v/>
      </c>
      <c r="EL1164" t="str">
        <f t="shared" si="1557"/>
        <v/>
      </c>
      <c r="EM1164" s="2" t="str">
        <f t="shared" si="1525"/>
        <v>Technology approach</v>
      </c>
      <c r="EP1164" t="b">
        <f>IF(ISNUMBER(BU1164),IF(ABS(BU1164-[3]QC_indicators!$B$2)&gt;3*[3]QC_indicators!$C$2,"C ratio",IF(ISNUMBER(BY1164),IF(ABS(BY1164-[3]QC_indicators!$B$1)&gt;3*[3]QC_indicators!$C$1,"DF","no"))),IF(ISNUMBER(BY1164),IF(ABS(BY1164-[3]QC_indicators!$B$1)&gt;3*[3]QC_indicators!$C$1,"DF","no")))</f>
        <v>0</v>
      </c>
      <c r="ET1164" s="264" t="s">
        <v>3215</v>
      </c>
    </row>
    <row r="1165" spans="1:151" ht="15" hidden="1" customHeight="1">
      <c r="A1165" s="1" t="s">
        <v>247</v>
      </c>
      <c r="B1165" t="s">
        <v>1027</v>
      </c>
      <c r="C1165" t="s">
        <v>1028</v>
      </c>
      <c r="D1165" t="s">
        <v>1029</v>
      </c>
      <c r="E1165" t="s">
        <v>1030</v>
      </c>
      <c r="F1165" t="s">
        <v>1031</v>
      </c>
      <c r="G1165" t="s">
        <v>253</v>
      </c>
      <c r="H1165" t="s">
        <v>254</v>
      </c>
      <c r="I1165">
        <v>2021</v>
      </c>
      <c r="J1165">
        <v>0</v>
      </c>
      <c r="K1165" t="s">
        <v>1032</v>
      </c>
      <c r="M1165" t="str">
        <f t="shared" si="1527"/>
        <v>Piccardo_2021</v>
      </c>
      <c r="N1165" t="s">
        <v>222</v>
      </c>
      <c r="O1165" s="171" t="s">
        <v>513</v>
      </c>
      <c r="P1165" s="141" t="s">
        <v>225</v>
      </c>
      <c r="Q1165" t="s">
        <v>389</v>
      </c>
      <c r="R1165" s="262" t="s">
        <v>223</v>
      </c>
      <c r="S1165" s="1" t="s">
        <v>1033</v>
      </c>
      <c r="T1165" s="264" t="s">
        <v>3218</v>
      </c>
      <c r="U1165" t="s">
        <v>1039</v>
      </c>
      <c r="V1165">
        <v>0</v>
      </c>
      <c r="W1165">
        <v>0</v>
      </c>
      <c r="X1165">
        <v>0</v>
      </c>
      <c r="Y1165">
        <v>0</v>
      </c>
      <c r="Z1165">
        <v>0</v>
      </c>
      <c r="AA1165">
        <v>0</v>
      </c>
      <c r="AB1165">
        <v>0</v>
      </c>
      <c r="AC1165">
        <v>0</v>
      </c>
      <c r="AD1165">
        <v>0</v>
      </c>
      <c r="AE1165">
        <v>0</v>
      </c>
      <c r="AF1165">
        <v>0</v>
      </c>
      <c r="AG1165">
        <v>1</v>
      </c>
      <c r="AH1165">
        <v>0</v>
      </c>
      <c r="AI1165">
        <v>0</v>
      </c>
      <c r="AJ1165">
        <v>0</v>
      </c>
      <c r="AK1165">
        <v>0</v>
      </c>
      <c r="AL1165">
        <v>0</v>
      </c>
      <c r="AM1165">
        <v>0</v>
      </c>
      <c r="AN1165">
        <v>0</v>
      </c>
      <c r="AO1165">
        <v>0</v>
      </c>
      <c r="AP1165">
        <v>0</v>
      </c>
      <c r="AQ1165">
        <v>0</v>
      </c>
      <c r="AR1165">
        <v>0</v>
      </c>
      <c r="AS1165">
        <v>0</v>
      </c>
      <c r="AT1165">
        <v>0</v>
      </c>
      <c r="AU1165">
        <v>0</v>
      </c>
      <c r="AV1165">
        <v>0</v>
      </c>
      <c r="AW1165">
        <v>0</v>
      </c>
      <c r="AX1165" s="141">
        <f t="shared" si="1528"/>
        <v>1</v>
      </c>
      <c r="AY1165" s="141">
        <f t="shared" si="1529"/>
        <v>1</v>
      </c>
      <c r="AZ1165">
        <f t="shared" si="1530"/>
        <v>0</v>
      </c>
      <c r="BA1165">
        <f t="shared" si="1531"/>
        <v>1</v>
      </c>
      <c r="BB1165">
        <f t="shared" si="1532"/>
        <v>0</v>
      </c>
      <c r="BC1165">
        <f t="shared" si="1533"/>
        <v>0</v>
      </c>
      <c r="BD1165">
        <f t="shared" si="1534"/>
        <v>0</v>
      </c>
      <c r="BE1165" t="str">
        <f t="array" ref="BE1165">IF(AY1165=1,INDEX($V$7:$AL$7,MATCH(TRUE,INDEX($V1165:$AW1165&lt;&gt;0,),0)),IF(AY1165=0,INDEX($AM$7:$AW$7,MATCH(1,$AM1165:$AW1165,0)),IF(BF1165="Multiple strategies","mixed drivers",IF(BF1165="Supply chain","multiple supply","multiple silviculture"))))</f>
        <v>recycling</v>
      </c>
      <c r="BF1165" s="2" t="str" cm="1">
        <f t="array" ref="BF1165">IF(COUNTIF(AZ1165:BB1165,"&lt;&gt;0")=1,INDEX($V$4:$AW$4,MATCH(TRUE,INDEX($V1165:$AW1165&lt;&gt;0,),0)),IF(COUNTIF(AZ1165:BB1165,"&lt;&gt;0")=0,INDEX($AM$4:$AW$4,MATCH(1,$AM1165:$AW1165,0)),"Multiple strategies"))</f>
        <v>Supply chain</v>
      </c>
      <c r="BG1165" s="142" t="s">
        <v>229</v>
      </c>
      <c r="BH1165" t="s">
        <v>1034</v>
      </c>
      <c r="BI1165" t="s">
        <v>1035</v>
      </c>
      <c r="BJ1165" t="s">
        <v>1036</v>
      </c>
      <c r="BK1165">
        <f>8+103+26+23+35+3+8+8</f>
        <v>214</v>
      </c>
      <c r="BL1165">
        <f>8+103+26+23+35+3+8+8</f>
        <v>214</v>
      </c>
      <c r="BM1165">
        <f t="shared" si="1535"/>
        <v>1</v>
      </c>
      <c r="BN1165">
        <f t="shared" si="1536"/>
        <v>0</v>
      </c>
      <c r="BO1165">
        <f t="shared" si="1559"/>
        <v>0</v>
      </c>
      <c r="BP1165" s="264" t="s">
        <v>395</v>
      </c>
      <c r="BQ1165" t="s">
        <v>1037</v>
      </c>
      <c r="BR1165" t="s">
        <v>1038</v>
      </c>
      <c r="BS1165">
        <v>-747</v>
      </c>
      <c r="BT1165">
        <v>-161</v>
      </c>
      <c r="BU1165" s="144"/>
      <c r="BV1165">
        <f t="shared" si="1560"/>
        <v>586</v>
      </c>
      <c r="BX1165">
        <f t="shared" si="1561"/>
        <v>586</v>
      </c>
      <c r="BY1165" t="str">
        <f t="shared" si="1524"/>
        <v/>
      </c>
      <c r="BZ1165">
        <v>0</v>
      </c>
      <c r="CA1165">
        <v>0</v>
      </c>
      <c r="CB1165">
        <v>0</v>
      </c>
      <c r="CC1165">
        <v>0</v>
      </c>
      <c r="CD1165">
        <v>0</v>
      </c>
      <c r="CE1165">
        <v>0</v>
      </c>
      <c r="CF1165">
        <v>0</v>
      </c>
      <c r="CG1165">
        <v>0</v>
      </c>
      <c r="CH1165">
        <v>0</v>
      </c>
      <c r="CI1165">
        <v>0</v>
      </c>
      <c r="CJ1165">
        <v>0</v>
      </c>
      <c r="CK1165">
        <v>0</v>
      </c>
      <c r="CL1165">
        <v>0</v>
      </c>
      <c r="CM1165">
        <v>0</v>
      </c>
      <c r="CN1165" t="str">
        <f t="shared" si="1537"/>
        <v>refOK</v>
      </c>
      <c r="CO1165">
        <f t="shared" si="1538"/>
        <v>214</v>
      </c>
      <c r="CP1165">
        <f t="shared" si="1539"/>
        <v>214</v>
      </c>
      <c r="CQ1165">
        <f t="shared" si="1540"/>
        <v>0</v>
      </c>
      <c r="CR1165">
        <f t="shared" si="1541"/>
        <v>747</v>
      </c>
      <c r="CS1165">
        <f t="shared" si="1542"/>
        <v>161</v>
      </c>
      <c r="CT1165">
        <f t="shared" si="1543"/>
        <v>-586</v>
      </c>
      <c r="CU1165" t="str">
        <f t="shared" si="1544"/>
        <v/>
      </c>
      <c r="CV1165" s="2">
        <f t="shared" si="1545"/>
        <v>-0.78447121820615795</v>
      </c>
      <c r="CW1165" s="1" t="s">
        <v>263</v>
      </c>
      <c r="CX1165" t="str">
        <f t="shared" si="1546"/>
        <v>loc</v>
      </c>
      <c r="CY1165" t="s">
        <v>743</v>
      </c>
      <c r="DB1165">
        <v>50</v>
      </c>
      <c r="DC1165" t="str">
        <f t="shared" si="1547"/>
        <v>31-70</v>
      </c>
      <c r="DD1165">
        <v>0</v>
      </c>
      <c r="DE1165">
        <v>1</v>
      </c>
      <c r="DF1165">
        <v>0</v>
      </c>
      <c r="DG1165">
        <v>1</v>
      </c>
      <c r="DI1165">
        <f t="shared" si="1548"/>
        <v>2</v>
      </c>
      <c r="DJ1165" t="str">
        <f t="shared" si="1549"/>
        <v>mixedProduct</v>
      </c>
      <c r="DK1165">
        <f t="shared" si="1550"/>
        <v>0</v>
      </c>
      <c r="DL1165" t="str">
        <f t="shared" si="1551"/>
        <v>Energy</v>
      </c>
      <c r="DM1165">
        <f t="shared" si="1552"/>
        <v>0</v>
      </c>
      <c r="DN1165" t="str">
        <f t="shared" si="1553"/>
        <v>Timber</v>
      </c>
      <c r="DO1165">
        <v>1</v>
      </c>
      <c r="DP1165">
        <v>0</v>
      </c>
      <c r="DQ1165">
        <v>0</v>
      </c>
      <c r="DR1165">
        <v>0</v>
      </c>
      <c r="DS1165">
        <v>0</v>
      </c>
      <c r="DT1165">
        <f t="shared" si="1554"/>
        <v>1</v>
      </c>
      <c r="DU1165" s="143" t="str">
        <f t="shared" si="1555"/>
        <v>self-calculated DF</v>
      </c>
      <c r="DV1165">
        <v>0</v>
      </c>
      <c r="DW1165">
        <v>0</v>
      </c>
      <c r="DX1165">
        <v>0</v>
      </c>
      <c r="DY1165">
        <v>1</v>
      </c>
      <c r="DZ1165">
        <v>1</v>
      </c>
      <c r="EA1165" s="143">
        <v>1</v>
      </c>
      <c r="EB1165">
        <v>0</v>
      </c>
      <c r="EC1165">
        <v>1</v>
      </c>
      <c r="ED1165">
        <v>1</v>
      </c>
      <c r="EE1165">
        <v>1</v>
      </c>
      <c r="EF1165">
        <v>0</v>
      </c>
      <c r="EG1165" s="143">
        <v>0</v>
      </c>
      <c r="EH1165" s="143">
        <v>0</v>
      </c>
      <c r="EI1165" s="2">
        <v>0</v>
      </c>
      <c r="EK1165" t="str">
        <f t="shared" si="1556"/>
        <v/>
      </c>
      <c r="EL1165" t="str">
        <f t="shared" si="1557"/>
        <v/>
      </c>
      <c r="EM1165" s="2" t="str">
        <f t="shared" si="1525"/>
        <v>Technology approach</v>
      </c>
      <c r="EP1165" t="b">
        <f>IF(ISNUMBER(BU1165),IF(ABS(BU1165-[3]QC_indicators!$B$2)&gt;3*[3]QC_indicators!$C$2,"C ratio",IF(ISNUMBER(BY1165),IF(ABS(BY1165-[3]QC_indicators!$B$1)&gt;3*[3]QC_indicators!$C$1,"DF","no"))),IF(ISNUMBER(BY1165),IF(ABS(BY1165-[3]QC_indicators!$B$1)&gt;3*[3]QC_indicators!$C$1,"DF","no")))</f>
        <v>0</v>
      </c>
      <c r="ET1165" s="264" t="s">
        <v>3215</v>
      </c>
    </row>
    <row r="1166" spans="1:151" ht="15" hidden="1" customHeight="1">
      <c r="A1166" s="1" t="s">
        <v>4632</v>
      </c>
      <c r="B1166" t="s">
        <v>4633</v>
      </c>
      <c r="C1166" t="s">
        <v>4634</v>
      </c>
      <c r="D1166" t="s">
        <v>4635</v>
      </c>
      <c r="E1166" t="s">
        <v>4636</v>
      </c>
      <c r="F1166" t="s">
        <v>4637</v>
      </c>
      <c r="G1166" t="s">
        <v>4638</v>
      </c>
      <c r="H1166" t="s">
        <v>254</v>
      </c>
      <c r="I1166">
        <v>2012</v>
      </c>
      <c r="J1166">
        <v>6</v>
      </c>
      <c r="K1166" t="s">
        <v>4639</v>
      </c>
      <c r="M1166" t="str">
        <f t="shared" si="1527"/>
        <v>Piemonte_2012</v>
      </c>
      <c r="N1166" t="s">
        <v>2582</v>
      </c>
      <c r="O1166" s="171" t="s">
        <v>513</v>
      </c>
      <c r="P1166" t="s">
        <v>341</v>
      </c>
      <c r="Q1166" s="311" t="s">
        <v>389</v>
      </c>
      <c r="R1166" s="312"/>
      <c r="AX1166" s="141"/>
      <c r="AY1166" s="141"/>
      <c r="BE1166"/>
      <c r="BF1166" s="2"/>
      <c r="BG1166" s="142"/>
      <c r="BJ1166" s="143"/>
      <c r="BL1166" s="143"/>
      <c r="BN1166" s="158"/>
      <c r="BO1166" s="143"/>
      <c r="BU1166" s="144"/>
      <c r="BY1166" t="str">
        <f t="shared" si="1524"/>
        <v/>
      </c>
      <c r="CN1166"/>
      <c r="CO1166"/>
      <c r="CP1166"/>
      <c r="CQ1166"/>
      <c r="CR1166"/>
      <c r="CS1166"/>
      <c r="CT1166"/>
      <c r="CU1166"/>
      <c r="CV1166" s="2"/>
      <c r="CX1166"/>
      <c r="DA1166" s="143"/>
      <c r="DB1166" s="143"/>
      <c r="DC1166"/>
      <c r="DI1166"/>
      <c r="DJ1166"/>
      <c r="DK1166"/>
      <c r="DL1166"/>
      <c r="DM1166"/>
      <c r="DN1166"/>
      <c r="DT1166"/>
      <c r="DU1166" s="143"/>
      <c r="DV1166" s="143"/>
      <c r="DW1166" s="143"/>
      <c r="DX1166" s="143"/>
      <c r="DY1166" s="143"/>
      <c r="EB1166" s="143"/>
      <c r="EC1166" s="143"/>
      <c r="ED1166" s="143"/>
      <c r="EG1166" s="143"/>
      <c r="EK1166" t="str">
        <f t="shared" ref="EK1166:EK1202" si="1562">IF(AND(AND(AND(OR($DX1166=1,$DW1166=1),OR($EC1166=1,$EA1166=1)),SUM($DV1166:$DZ1166,$EF1166)&gt;=3),SUM($EA1166:$EE1166)&gt;=2),"Whole sector","")</f>
        <v/>
      </c>
      <c r="EL1166" t="str">
        <f t="shared" ref="EL1166:EL1202" si="1563">IF(AND(AND(OR($DX1166=1,$DW1166=1),AND($EC1166=0,$EA1166=0)),SUM($DV1166:$DZ1166,$EF1166)&gt;=3),"Ecosystem approach","")</f>
        <v/>
      </c>
      <c r="EM1166" s="2" t="str">
        <f t="shared" si="1525"/>
        <v/>
      </c>
      <c r="EP1166" t="b">
        <f>IF(ISNUMBER(BU1166),IF(ABS(BU1166-[1]QC_indicators!$B$2)&gt;3*[1]QC_indicators!$C$2,"C ratio",IF(ISNUMBER(BY1166),IF(ABS(BY1166-[1]QC_indicators!$B$1)&gt;3*[1]QC_indicators!$C$1,"DF","no"))),IF(ISNUMBER(BY1166),IF(ABS(BY1166-[1]QC_indicators!$B$1)&gt;3*[1]QC_indicators!$C$1,"DF","no")))</f>
        <v>0</v>
      </c>
    </row>
    <row r="1167" spans="1:151" ht="15" hidden="1" customHeight="1">
      <c r="A1167" s="1" t="s">
        <v>1971</v>
      </c>
      <c r="B1167" t="s">
        <v>4865</v>
      </c>
      <c r="C1167" t="s">
        <v>544</v>
      </c>
      <c r="D1167" t="s">
        <v>4866</v>
      </c>
      <c r="E1167" t="s">
        <v>4867</v>
      </c>
      <c r="F1167" t="s">
        <v>4868</v>
      </c>
      <c r="G1167" t="s">
        <v>1977</v>
      </c>
      <c r="H1167" t="s">
        <v>254</v>
      </c>
      <c r="I1167">
        <v>2016</v>
      </c>
      <c r="J1167">
        <v>11</v>
      </c>
      <c r="K1167" t="s">
        <v>4869</v>
      </c>
      <c r="M1167" t="str">
        <f t="shared" si="1527"/>
        <v>Pilli_2016</v>
      </c>
      <c r="N1167" t="s">
        <v>1351</v>
      </c>
      <c r="O1167" s="171" t="s">
        <v>513</v>
      </c>
      <c r="P1167" t="s">
        <v>341</v>
      </c>
      <c r="Q1167" s="311" t="s">
        <v>389</v>
      </c>
      <c r="R1167" s="312"/>
      <c r="AX1167" s="141"/>
      <c r="AY1167" s="141"/>
      <c r="BE1167"/>
      <c r="BF1167" s="2"/>
      <c r="BG1167" s="142"/>
      <c r="BJ1167" s="143"/>
      <c r="BL1167" s="143"/>
      <c r="BN1167" s="158"/>
      <c r="BO1167" s="143"/>
      <c r="BU1167" s="144"/>
      <c r="BY1167" t="str">
        <f t="shared" si="1524"/>
        <v/>
      </c>
      <c r="CN1167"/>
      <c r="CO1167"/>
      <c r="CP1167"/>
      <c r="CQ1167"/>
      <c r="CR1167"/>
      <c r="CS1167"/>
      <c r="CT1167"/>
      <c r="CU1167"/>
      <c r="CV1167" s="2"/>
      <c r="CX1167"/>
      <c r="DA1167" s="143"/>
      <c r="DB1167" s="143"/>
      <c r="DC1167"/>
      <c r="DI1167"/>
      <c r="DJ1167"/>
      <c r="DK1167"/>
      <c r="DL1167"/>
      <c r="DM1167"/>
      <c r="DN1167"/>
      <c r="DT1167"/>
      <c r="DU1167" s="143"/>
      <c r="DV1167" s="143"/>
      <c r="DW1167" s="143"/>
      <c r="DX1167" s="143"/>
      <c r="DY1167" s="143"/>
      <c r="EB1167" s="143"/>
      <c r="EC1167" s="143"/>
      <c r="ED1167" s="143"/>
      <c r="EG1167" s="143"/>
      <c r="EK1167" t="str">
        <f t="shared" si="1562"/>
        <v/>
      </c>
      <c r="EL1167" t="str">
        <f t="shared" si="1563"/>
        <v/>
      </c>
      <c r="EM1167" s="2" t="str">
        <f t="shared" si="1525"/>
        <v/>
      </c>
      <c r="EP1167" t="b">
        <f>IF(ISNUMBER(BU1167),IF(ABS(BU1167-[1]QC_indicators!$B$2)&gt;3*[1]QC_indicators!$C$2,"C ratio",IF(ISNUMBER(BY1167),IF(ABS(BY1167-[1]QC_indicators!$B$1)&gt;3*[1]QC_indicators!$C$1,"DF","no"))),IF(ISNUMBER(BY1167),IF(ABS(BY1167-[1]QC_indicators!$B$1)&gt;3*[1]QC_indicators!$C$1,"DF","no")))</f>
        <v>0</v>
      </c>
    </row>
    <row r="1168" spans="1:151" ht="15" hidden="1" customHeight="1">
      <c r="A1168" s="1" t="s">
        <v>2113</v>
      </c>
      <c r="B1168" t="s">
        <v>544</v>
      </c>
      <c r="C1168" t="s">
        <v>3927</v>
      </c>
      <c r="D1168" t="s">
        <v>3928</v>
      </c>
      <c r="E1168" t="s">
        <v>3929</v>
      </c>
      <c r="F1168" t="s">
        <v>3930</v>
      </c>
      <c r="G1168" t="s">
        <v>2114</v>
      </c>
      <c r="H1168" t="s">
        <v>254</v>
      </c>
      <c r="I1168">
        <v>2017</v>
      </c>
      <c r="J1168">
        <v>25</v>
      </c>
      <c r="K1168" t="s">
        <v>3931</v>
      </c>
      <c r="M1168" t="str">
        <f t="shared" si="1527"/>
        <v>Pilli_2017</v>
      </c>
      <c r="N1168" s="311" t="s">
        <v>4382</v>
      </c>
      <c r="O1168" s="171" t="s">
        <v>513</v>
      </c>
      <c r="P1168" t="s">
        <v>341</v>
      </c>
      <c r="Q1168" s="311" t="s">
        <v>389</v>
      </c>
      <c r="R1168" s="312"/>
      <c r="S1168" s="1" t="s">
        <v>3932</v>
      </c>
      <c r="T1168" t="s">
        <v>3933</v>
      </c>
      <c r="U1168" t="s">
        <v>3934</v>
      </c>
      <c r="V1168">
        <v>0</v>
      </c>
      <c r="W1168">
        <v>1</v>
      </c>
      <c r="X1168">
        <v>0</v>
      </c>
      <c r="Y1168">
        <v>0</v>
      </c>
      <c r="Z1168">
        <v>0</v>
      </c>
      <c r="AA1168">
        <v>0</v>
      </c>
      <c r="AB1168">
        <v>0</v>
      </c>
      <c r="AC1168">
        <v>0</v>
      </c>
      <c r="AD1168">
        <v>0</v>
      </c>
      <c r="AE1168">
        <v>0</v>
      </c>
      <c r="AF1168">
        <v>0</v>
      </c>
      <c r="AG1168">
        <v>0</v>
      </c>
      <c r="AH1168">
        <v>0</v>
      </c>
      <c r="AI1168">
        <v>0</v>
      </c>
      <c r="AJ1168">
        <v>0</v>
      </c>
      <c r="AK1168">
        <v>0</v>
      </c>
      <c r="AL1168">
        <v>0</v>
      </c>
      <c r="AM1168">
        <v>0</v>
      </c>
      <c r="AN1168">
        <v>0</v>
      </c>
      <c r="AO1168">
        <v>0</v>
      </c>
      <c r="AP1168">
        <v>0</v>
      </c>
      <c r="AQ1168">
        <v>0</v>
      </c>
      <c r="AR1168">
        <v>0</v>
      </c>
      <c r="AS1168">
        <v>0</v>
      </c>
      <c r="AT1168">
        <v>0</v>
      </c>
      <c r="AU1168">
        <v>0</v>
      </c>
      <c r="AV1168">
        <v>0</v>
      </c>
      <c r="AW1168">
        <v>0</v>
      </c>
      <c r="AX1168" s="141">
        <f t="shared" ref="AX1168:AX1199" si="1564">COUNTIF(V1168:AW1168,"&lt;&gt;0")</f>
        <v>1</v>
      </c>
      <c r="AY1168" s="141">
        <f t="shared" ref="AY1168:AY1199" si="1565">COUNTIF(V1168:AL1168,"&lt;&gt;0")</f>
        <v>1</v>
      </c>
      <c r="AZ1168">
        <f t="shared" ref="AZ1168:AZ1199" si="1566">COUNTIF(V1168:AC1168,"&lt;&gt;0")</f>
        <v>1</v>
      </c>
      <c r="BA1168">
        <f t="shared" ref="BA1168:BA1199" si="1567">COUNTIF(AD1168:AI1168,"&lt;&gt;0")</f>
        <v>0</v>
      </c>
      <c r="BB1168">
        <f t="shared" ref="BB1168:BB1199" si="1568">COUNTIF(AJ1168:AL1168,"&lt;&gt;0")</f>
        <v>0</v>
      </c>
      <c r="BC1168">
        <f t="shared" ref="BC1168:BC1199" si="1569">COUNTIF(AS1168:AW1168,"&lt;&gt;0")</f>
        <v>0</v>
      </c>
      <c r="BD1168">
        <f t="shared" ref="BD1168:BD1199" si="1570">COUNTIF(AM1168:AR1168,"&lt;&gt;0")</f>
        <v>0</v>
      </c>
      <c r="BE1168" t="str" cm="1">
        <f t="array" ref="BE1168">IF(AY1168=1,INDEX($V$7:$AL$7,MATCH(TRUE,INDEX($V1168:$AW1168&lt;&gt;0,),0)),IF(AY1168=0,INDEX($AM$7:$AW$7,MATCH(1,$AM1168:$AW1168,0)),IF(BF1168="Multiple strategies","mixed drivers",IF(BF1168="Supply chain","multiple supply","multiple silviculture"))))</f>
        <v>unspecified harvest increase</v>
      </c>
      <c r="BF1168" s="2" t="str" cm="1">
        <f t="array" ref="BF1168">IF(COUNTIF(AZ1168:BB1168,"&lt;&gt;0")=1,INDEX($V$4:$AW$4,MATCH(TRUE,INDEX($V1168:$AW1168&lt;&gt;0,),0)),IF(COUNTIF(AZ1168:BB1168,"&lt;&gt;0")=0,INDEX($AM$4:$AW$4,MATCH(1,$AM1168:$AW1168,0)),"Multiple strategies"))</f>
        <v>Silviculture for removals</v>
      </c>
      <c r="BM1168" t="str">
        <f>IFERROR(BL1168/BK1168,"")</f>
        <v/>
      </c>
      <c r="BN1168" s="158"/>
      <c r="BO1168" s="143"/>
      <c r="BP1168" t="s">
        <v>232</v>
      </c>
      <c r="BR1168" t="s">
        <v>3935</v>
      </c>
      <c r="BS1168">
        <v>126</v>
      </c>
      <c r="BT1168">
        <v>101</v>
      </c>
      <c r="BU1168" s="144"/>
      <c r="BV1168">
        <f t="shared" ref="BV1168:BV1193" si="1571">BT1168-BS1168</f>
        <v>-25</v>
      </c>
      <c r="BY1168" t="str">
        <f t="shared" si="1524"/>
        <v/>
      </c>
      <c r="BZ1168">
        <v>0</v>
      </c>
      <c r="CA1168">
        <v>0</v>
      </c>
      <c r="CB1168">
        <v>0</v>
      </c>
      <c r="CC1168">
        <v>0</v>
      </c>
      <c r="CD1168">
        <v>0</v>
      </c>
      <c r="CE1168">
        <v>0</v>
      </c>
      <c r="CF1168">
        <v>0</v>
      </c>
      <c r="CG1168">
        <v>0</v>
      </c>
      <c r="CH1168">
        <v>0</v>
      </c>
      <c r="CI1168">
        <v>0</v>
      </c>
      <c r="CJ1168">
        <v>0</v>
      </c>
      <c r="CK1168">
        <v>0</v>
      </c>
      <c r="CL1168">
        <v>0</v>
      </c>
      <c r="CM1168">
        <v>0</v>
      </c>
      <c r="CN1168" t="str">
        <f t="shared" ref="CN1168:CN1199" si="1572">IF($BL1168&lt;$BK1168,"refNeedCorrection","refOK")</f>
        <v>refOK</v>
      </c>
      <c r="CO1168"/>
      <c r="CP1168"/>
      <c r="CQ1168"/>
      <c r="CR1168">
        <f t="shared" ref="CR1168:CR1199" si="1573">IF($CN1168="refOK",$BS1168,$BT1168)*IF($BP1168="Emissions positive",-1,1)</f>
        <v>126</v>
      </c>
      <c r="CS1168">
        <f t="shared" ref="CS1168:CS1199" si="1574">IF($CN1168="refOK",$BT1168,$BS1168)*IF($BP1168="Emissions positive",-1,1)</f>
        <v>101</v>
      </c>
      <c r="CT1168">
        <f t="shared" ref="CT1168:CT1199" si="1575">IF($CN1168="refNeedCorrection",-BX1168,BX1168)*IF($BP1168="Emissions positive",-1,1)</f>
        <v>0</v>
      </c>
      <c r="CU1168" t="str">
        <f t="shared" ref="CU1168:CU1199" si="1576">IFERROR(CT1168/CQ1168,"")</f>
        <v/>
      </c>
      <c r="CV1168" s="2">
        <f t="shared" ref="CV1168:CV1199" si="1577">IFERROR((CS1168-CR1168)/ABS(CR1168),"")</f>
        <v>-0.1984126984126984</v>
      </c>
      <c r="CW1168" s="1" t="s">
        <v>1230</v>
      </c>
      <c r="CX1168" s="311" t="str">
        <f t="shared" ref="CX1168:CX1199" si="1578">IF(OR($CW1168="prd",$CW1168="std",$CW1168="cit"),"loc",IF(OR($CW1168="eur",$CW1168="reg",$CW1168="coy"),"reg",$CW1168))</f>
        <v>reg</v>
      </c>
      <c r="CY1168" s="311" t="s">
        <v>743</v>
      </c>
      <c r="CZ1168">
        <v>2012</v>
      </c>
      <c r="DA1168" s="143">
        <v>2030</v>
      </c>
      <c r="DB1168" s="143">
        <v>18</v>
      </c>
      <c r="DC1168" t="str">
        <f t="shared" ref="DC1168:DC1199" si="1579">IF(DB1168=0,"0",IF(AND(DB1168&gt;=1,DB1168&lt;=30),"1-30",IF(AND(DB1168&gt;30,DB1168&lt;=70),"31-70",IF(AND(DB1168&gt;70,DB1168&lt;=100),"71-100",IF(DB1168&gt;100,"+100")))))</f>
        <v>1-30</v>
      </c>
      <c r="DD1168">
        <v>0</v>
      </c>
      <c r="DE1168">
        <v>1</v>
      </c>
      <c r="DF1168">
        <v>1</v>
      </c>
      <c r="DG1168">
        <v>1</v>
      </c>
      <c r="DH1168">
        <v>0</v>
      </c>
      <c r="DI1168">
        <f t="shared" ref="DI1168:DI1179" si="1580">SUM(DD1168:DH1168)</f>
        <v>3</v>
      </c>
      <c r="DJ1168" t="str">
        <f t="shared" ref="DJ1168:DJ1199" si="1581">IF(DI1168=1,INDEX($DD$7:$DG$7,MATCH(1,$DD1168:$DG1168,0)),"mixedProduct")</f>
        <v>mixedProduct</v>
      </c>
      <c r="DK1168">
        <f t="shared" ref="DK1168:DK1211" si="1582">IF(DD1168=1,DK$7,0)</f>
        <v>0</v>
      </c>
      <c r="DL1168" t="str">
        <f t="shared" ref="DL1168:DL1211" si="1583">IF(DE1168=1,DL$7,0)</f>
        <v>Energy</v>
      </c>
      <c r="DM1168" t="str">
        <f t="shared" ref="DM1168:DM1211" si="1584">IF(DF1168=1,DM$7,0)</f>
        <v>Pulp/Paper</v>
      </c>
      <c r="DN1168" t="str">
        <f t="shared" ref="DN1168:DN1211" si="1585">IF(DG1168=1,DN$7,0)</f>
        <v>Timber</v>
      </c>
      <c r="DO1168">
        <v>0</v>
      </c>
      <c r="DP1168">
        <v>0</v>
      </c>
      <c r="DQ1168">
        <v>0</v>
      </c>
      <c r="DR1168">
        <v>0</v>
      </c>
      <c r="DS1168">
        <v>0</v>
      </c>
      <c r="DT1168">
        <f t="shared" ref="DT1168:DT1202" si="1586">SUM(DO1168:DP1168)</f>
        <v>0</v>
      </c>
      <c r="DU1168" s="143" t="str">
        <f t="shared" ref="DU1168:DU1179" si="1587">IF(DO1168=1,"self-calculated DF",IF(DP1168=1,"external DF used","explicit C balance"))</f>
        <v>explicit C balance</v>
      </c>
      <c r="DV1168" s="143">
        <v>1</v>
      </c>
      <c r="DW1168" s="143">
        <v>1</v>
      </c>
      <c r="DX1168" s="143">
        <v>1</v>
      </c>
      <c r="DY1168" s="143">
        <v>1</v>
      </c>
      <c r="DZ1168">
        <v>0</v>
      </c>
      <c r="EA1168" s="143">
        <v>0</v>
      </c>
      <c r="EB1168" s="143">
        <v>0</v>
      </c>
      <c r="EC1168" s="143">
        <v>0</v>
      </c>
      <c r="ED1168" s="143">
        <v>0</v>
      </c>
      <c r="EE1168">
        <v>0</v>
      </c>
      <c r="EF1168">
        <v>1</v>
      </c>
      <c r="EG1168" s="143">
        <v>0</v>
      </c>
      <c r="EH1168">
        <v>1</v>
      </c>
      <c r="EI1168" s="2">
        <v>0</v>
      </c>
      <c r="EK1168" t="str">
        <f t="shared" si="1562"/>
        <v/>
      </c>
      <c r="EL1168" t="str">
        <f t="shared" si="1563"/>
        <v>Ecosystem approach</v>
      </c>
      <c r="EM1168" s="2" t="str">
        <f t="shared" si="1525"/>
        <v/>
      </c>
      <c r="EP1168" t="b">
        <f>IF(ISNUMBER(BU1168),IF(ABS(BU1168-[1]QC_indicators!$B$2)&gt;3*[1]QC_indicators!$C$2,"C ratio",IF(ISNUMBER(BY1168),IF(ABS(BY1168-[1]QC_indicators!$B$1)&gt;3*[1]QC_indicators!$C$1,"DF","no"))),IF(ISNUMBER(BY1168),IF(ABS(BY1168-[1]QC_indicators!$B$1)&gt;3*[1]QC_indicators!$C$1,"DF","no")))</f>
        <v>0</v>
      </c>
    </row>
    <row r="1169" spans="1:146" ht="15" hidden="1" customHeight="1">
      <c r="A1169" s="1" t="s">
        <v>2113</v>
      </c>
      <c r="B1169" t="s">
        <v>544</v>
      </c>
      <c r="C1169" t="s">
        <v>3927</v>
      </c>
      <c r="D1169" t="s">
        <v>3928</v>
      </c>
      <c r="E1169" s="311" t="s">
        <v>3929</v>
      </c>
      <c r="F1169" t="s">
        <v>3930</v>
      </c>
      <c r="G1169" t="s">
        <v>2114</v>
      </c>
      <c r="H1169" t="s">
        <v>254</v>
      </c>
      <c r="I1169">
        <v>2017</v>
      </c>
      <c r="J1169">
        <v>25</v>
      </c>
      <c r="K1169" t="s">
        <v>3931</v>
      </c>
      <c r="M1169" t="str">
        <f t="shared" si="1527"/>
        <v>Pilli_2017</v>
      </c>
      <c r="N1169" s="311" t="s">
        <v>4382</v>
      </c>
      <c r="O1169" s="171" t="s">
        <v>513</v>
      </c>
      <c r="P1169" t="s">
        <v>341</v>
      </c>
      <c r="Q1169" s="311" t="s">
        <v>389</v>
      </c>
      <c r="R1169" s="312"/>
      <c r="S1169" s="1" t="s">
        <v>3932</v>
      </c>
      <c r="T1169" t="s">
        <v>3933</v>
      </c>
      <c r="U1169" t="s">
        <v>3936</v>
      </c>
      <c r="V1169">
        <v>0</v>
      </c>
      <c r="W1169">
        <v>1</v>
      </c>
      <c r="X1169">
        <v>0</v>
      </c>
      <c r="Y1169">
        <v>0</v>
      </c>
      <c r="Z1169">
        <v>0</v>
      </c>
      <c r="AA1169">
        <v>0</v>
      </c>
      <c r="AB1169">
        <v>0</v>
      </c>
      <c r="AC1169">
        <v>0</v>
      </c>
      <c r="AD1169">
        <v>0</v>
      </c>
      <c r="AE1169">
        <v>0</v>
      </c>
      <c r="AF1169">
        <v>0</v>
      </c>
      <c r="AG1169">
        <v>0</v>
      </c>
      <c r="AH1169">
        <v>0</v>
      </c>
      <c r="AI1169">
        <v>0</v>
      </c>
      <c r="AJ1169">
        <v>0</v>
      </c>
      <c r="AK1169">
        <v>0</v>
      </c>
      <c r="AL1169">
        <v>0</v>
      </c>
      <c r="AM1169">
        <v>0</v>
      </c>
      <c r="AN1169">
        <v>0</v>
      </c>
      <c r="AO1169">
        <v>0</v>
      </c>
      <c r="AP1169">
        <v>0</v>
      </c>
      <c r="AQ1169">
        <v>0</v>
      </c>
      <c r="AR1169">
        <v>0</v>
      </c>
      <c r="AS1169">
        <v>0</v>
      </c>
      <c r="AT1169">
        <v>0</v>
      </c>
      <c r="AU1169">
        <v>0</v>
      </c>
      <c r="AV1169">
        <v>0</v>
      </c>
      <c r="AW1169">
        <v>0</v>
      </c>
      <c r="AX1169" s="141">
        <f t="shared" si="1564"/>
        <v>1</v>
      </c>
      <c r="AY1169" s="141">
        <f t="shared" si="1565"/>
        <v>1</v>
      </c>
      <c r="AZ1169">
        <f t="shared" si="1566"/>
        <v>1</v>
      </c>
      <c r="BA1169">
        <f t="shared" si="1567"/>
        <v>0</v>
      </c>
      <c r="BB1169">
        <f t="shared" si="1568"/>
        <v>0</v>
      </c>
      <c r="BC1169">
        <f t="shared" si="1569"/>
        <v>0</v>
      </c>
      <c r="BD1169">
        <f t="shared" si="1570"/>
        <v>0</v>
      </c>
      <c r="BE1169" t="str" cm="1">
        <f t="array" ref="BE1169">IF(AY1169=1,INDEX($V$7:$AL$7,MATCH(TRUE,INDEX($V1169:$AW1169&lt;&gt;0,),0)),IF(AY1169=0,INDEX($AM$7:$AW$7,MATCH(1,$AM1169:$AW1169,0)),IF(BF1169="Multiple strategies","mixed drivers",IF(BF1169="Supply chain","multiple supply","multiple silviculture"))))</f>
        <v>unspecified harvest increase</v>
      </c>
      <c r="BF1169" s="2" t="str" cm="1">
        <f t="array" ref="BF1169">IF(COUNTIF(AZ1169:BB1169,"&lt;&gt;0")=1,INDEX($V$4:$AW$4,MATCH(TRUE,INDEX($V1169:$AW1169&lt;&gt;0,),0)),IF(COUNTIF(AZ1169:BB1169,"&lt;&gt;0")=0,INDEX($AM$4:$AW$4,MATCH(1,$AM1169:$AW1169,0)),"Multiple strategies"))</f>
        <v>Silviculture for removals</v>
      </c>
      <c r="BN1169" s="158"/>
      <c r="BO1169" s="143"/>
      <c r="BP1169" t="s">
        <v>232</v>
      </c>
      <c r="BR1169" t="s">
        <v>3935</v>
      </c>
      <c r="BS1169">
        <v>126</v>
      </c>
      <c r="BT1169">
        <v>151</v>
      </c>
      <c r="BU1169" s="144"/>
      <c r="BV1169">
        <f t="shared" si="1571"/>
        <v>25</v>
      </c>
      <c r="BY1169" t="str">
        <f t="shared" si="1524"/>
        <v/>
      </c>
      <c r="BZ1169">
        <v>0</v>
      </c>
      <c r="CA1169">
        <v>0</v>
      </c>
      <c r="CB1169">
        <v>0</v>
      </c>
      <c r="CC1169">
        <v>0</v>
      </c>
      <c r="CD1169">
        <v>0</v>
      </c>
      <c r="CE1169">
        <v>0</v>
      </c>
      <c r="CF1169">
        <v>0</v>
      </c>
      <c r="CG1169">
        <v>0</v>
      </c>
      <c r="CH1169">
        <v>0</v>
      </c>
      <c r="CI1169">
        <v>0</v>
      </c>
      <c r="CJ1169">
        <v>0</v>
      </c>
      <c r="CK1169">
        <v>0</v>
      </c>
      <c r="CL1169">
        <v>0</v>
      </c>
      <c r="CM1169">
        <v>0</v>
      </c>
      <c r="CN1169" t="str">
        <f t="shared" si="1572"/>
        <v>refOK</v>
      </c>
      <c r="CO1169"/>
      <c r="CP1169"/>
      <c r="CQ1169"/>
      <c r="CR1169">
        <f t="shared" si="1573"/>
        <v>126</v>
      </c>
      <c r="CS1169">
        <f t="shared" si="1574"/>
        <v>151</v>
      </c>
      <c r="CT1169">
        <f t="shared" si="1575"/>
        <v>0</v>
      </c>
      <c r="CU1169" t="str">
        <f t="shared" si="1576"/>
        <v/>
      </c>
      <c r="CV1169" s="2">
        <f t="shared" si="1577"/>
        <v>0.1984126984126984</v>
      </c>
      <c r="CW1169" s="1" t="s">
        <v>1230</v>
      </c>
      <c r="CX1169" s="311" t="str">
        <f t="shared" si="1578"/>
        <v>reg</v>
      </c>
      <c r="CY1169" s="311" t="s">
        <v>743</v>
      </c>
      <c r="CZ1169">
        <v>2012</v>
      </c>
      <c r="DA1169" s="143">
        <v>2030</v>
      </c>
      <c r="DB1169" s="143">
        <v>18</v>
      </c>
      <c r="DC1169" t="str">
        <f t="shared" si="1579"/>
        <v>1-30</v>
      </c>
      <c r="DD1169">
        <v>0</v>
      </c>
      <c r="DE1169">
        <v>1</v>
      </c>
      <c r="DF1169">
        <v>1</v>
      </c>
      <c r="DG1169">
        <v>1</v>
      </c>
      <c r="DH1169">
        <v>0</v>
      </c>
      <c r="DI1169">
        <f t="shared" si="1580"/>
        <v>3</v>
      </c>
      <c r="DJ1169" t="str">
        <f t="shared" si="1581"/>
        <v>mixedProduct</v>
      </c>
      <c r="DK1169">
        <f t="shared" si="1582"/>
        <v>0</v>
      </c>
      <c r="DL1169" t="str">
        <f t="shared" si="1583"/>
        <v>Energy</v>
      </c>
      <c r="DM1169" t="str">
        <f t="shared" si="1584"/>
        <v>Pulp/Paper</v>
      </c>
      <c r="DN1169" t="str">
        <f t="shared" si="1585"/>
        <v>Timber</v>
      </c>
      <c r="DO1169">
        <v>0</v>
      </c>
      <c r="DP1169">
        <v>0</v>
      </c>
      <c r="DQ1169">
        <v>0</v>
      </c>
      <c r="DR1169">
        <v>0</v>
      </c>
      <c r="DS1169">
        <v>0</v>
      </c>
      <c r="DT1169">
        <f t="shared" si="1586"/>
        <v>0</v>
      </c>
      <c r="DU1169" s="143" t="str">
        <f t="shared" si="1587"/>
        <v>explicit C balance</v>
      </c>
      <c r="DV1169" s="143">
        <v>1</v>
      </c>
      <c r="DW1169" s="143">
        <v>1</v>
      </c>
      <c r="DX1169" s="143">
        <v>1</v>
      </c>
      <c r="DY1169" s="143">
        <v>1</v>
      </c>
      <c r="DZ1169">
        <v>0</v>
      </c>
      <c r="EA1169" s="143">
        <v>0</v>
      </c>
      <c r="EB1169" s="143">
        <v>0</v>
      </c>
      <c r="EC1169" s="143">
        <v>0</v>
      </c>
      <c r="ED1169" s="143">
        <v>0</v>
      </c>
      <c r="EE1169">
        <v>0</v>
      </c>
      <c r="EF1169">
        <v>1</v>
      </c>
      <c r="EG1169" s="143">
        <v>0</v>
      </c>
      <c r="EH1169">
        <v>1</v>
      </c>
      <c r="EI1169" s="2">
        <v>0</v>
      </c>
      <c r="EK1169" t="str">
        <f t="shared" si="1562"/>
        <v/>
      </c>
      <c r="EL1169" t="str">
        <f t="shared" si="1563"/>
        <v>Ecosystem approach</v>
      </c>
      <c r="EM1169" s="2" t="str">
        <f t="shared" si="1525"/>
        <v/>
      </c>
      <c r="EP1169" t="b">
        <f>IF(ISNUMBER(BU1169),IF(ABS(BU1169-[1]QC_indicators!$B$2)&gt;3*[1]QC_indicators!$C$2,"C ratio",IF(ISNUMBER(BY1169),IF(ABS(BY1169-[1]QC_indicators!$B$1)&gt;3*[1]QC_indicators!$C$1,"DF","no"))),IF(ISNUMBER(BY1169),IF(ABS(BY1169-[1]QC_indicators!$B$1)&gt;3*[1]QC_indicators!$C$1,"DF","no")))</f>
        <v>0</v>
      </c>
    </row>
    <row r="1170" spans="1:146" ht="15" hidden="1" customHeight="1">
      <c r="A1170" s="1" t="s">
        <v>333</v>
      </c>
      <c r="B1170" t="s">
        <v>3937</v>
      </c>
      <c r="C1170" t="s">
        <v>3938</v>
      </c>
      <c r="D1170" t="s">
        <v>3939</v>
      </c>
      <c r="E1170" t="s">
        <v>3940</v>
      </c>
      <c r="F1170" t="s">
        <v>3941</v>
      </c>
      <c r="G1170" t="s">
        <v>339</v>
      </c>
      <c r="H1170" t="s">
        <v>254</v>
      </c>
      <c r="I1170">
        <v>2018</v>
      </c>
      <c r="J1170">
        <v>62</v>
      </c>
      <c r="K1170" t="s">
        <v>3942</v>
      </c>
      <c r="M1170" t="str">
        <f t="shared" si="1527"/>
        <v>Pittau_2018</v>
      </c>
      <c r="N1170" s="311" t="s">
        <v>4382</v>
      </c>
      <c r="O1170" s="171" t="s">
        <v>513</v>
      </c>
      <c r="P1170" t="s">
        <v>341</v>
      </c>
      <c r="Q1170" s="311" t="s">
        <v>389</v>
      </c>
      <c r="R1170" s="312"/>
      <c r="S1170" s="1" t="s">
        <v>3943</v>
      </c>
      <c r="T1170" t="s">
        <v>3944</v>
      </c>
      <c r="V1170">
        <v>0</v>
      </c>
      <c r="W1170">
        <v>1</v>
      </c>
      <c r="X1170">
        <v>0</v>
      </c>
      <c r="Y1170">
        <v>0</v>
      </c>
      <c r="Z1170">
        <v>0</v>
      </c>
      <c r="AA1170">
        <v>0</v>
      </c>
      <c r="AB1170">
        <v>0</v>
      </c>
      <c r="AC1170">
        <v>0</v>
      </c>
      <c r="AD1170">
        <v>0</v>
      </c>
      <c r="AE1170">
        <v>0</v>
      </c>
      <c r="AF1170">
        <v>1</v>
      </c>
      <c r="AG1170">
        <v>1</v>
      </c>
      <c r="AH1170">
        <v>1</v>
      </c>
      <c r="AI1170">
        <v>1</v>
      </c>
      <c r="AJ1170">
        <v>0</v>
      </c>
      <c r="AK1170">
        <v>0</v>
      </c>
      <c r="AL1170">
        <v>0</v>
      </c>
      <c r="AM1170">
        <v>0</v>
      </c>
      <c r="AN1170">
        <v>0</v>
      </c>
      <c r="AO1170">
        <v>0</v>
      </c>
      <c r="AP1170">
        <v>0</v>
      </c>
      <c r="AQ1170">
        <v>0</v>
      </c>
      <c r="AR1170">
        <v>0</v>
      </c>
      <c r="AS1170">
        <v>0</v>
      </c>
      <c r="AT1170">
        <v>0</v>
      </c>
      <c r="AU1170">
        <v>0</v>
      </c>
      <c r="AV1170">
        <v>0</v>
      </c>
      <c r="AW1170">
        <v>0</v>
      </c>
      <c r="AX1170" s="141">
        <f t="shared" si="1564"/>
        <v>5</v>
      </c>
      <c r="AY1170" s="141">
        <f t="shared" si="1565"/>
        <v>5</v>
      </c>
      <c r="AZ1170">
        <f t="shared" si="1566"/>
        <v>1</v>
      </c>
      <c r="BA1170">
        <f t="shared" si="1567"/>
        <v>4</v>
      </c>
      <c r="BB1170">
        <f t="shared" si="1568"/>
        <v>0</v>
      </c>
      <c r="BC1170">
        <f t="shared" si="1569"/>
        <v>0</v>
      </c>
      <c r="BD1170">
        <f t="shared" si="1570"/>
        <v>0</v>
      </c>
      <c r="BE1170" t="str" cm="1">
        <f t="array" ref="BE1170">IF(AY1170=1,INDEX($V$7:$AL$7,MATCH(TRUE,INDEX($V1170:$AW1170&lt;&gt;0,),0)),IF(AY1170=0,INDEX($AM$7:$AW$7,MATCH(1,$AM1170:$AW1170,0)),IF(BF1170="Multiple strategies","mixed drivers",IF(BF1170="Supply chain","multiple supply","multiple silviculture"))))</f>
        <v>mixed drivers</v>
      </c>
      <c r="BF1170" s="2" t="str" cm="1">
        <f t="array" ref="BF1170">IF(COUNTIF(AZ1170:BB1170,"&lt;&gt;0")=1,INDEX($V$4:$AW$4,MATCH(TRUE,INDEX($V1170:$AW1170&lt;&gt;0,),0)),IF(COUNTIF(AZ1170:BB1170,"&lt;&gt;0")=0,INDEX($AM$4:$AW$4,MATCH(1,$AM1170:$AW1170,0)),"Multiple strategies"))</f>
        <v>Multiple strategies</v>
      </c>
      <c r="BG1170" s="142"/>
      <c r="BJ1170" s="143"/>
      <c r="BL1170" s="143"/>
      <c r="BM1170" t="str">
        <f>IFERROR(BL1170/BK1170,"")</f>
        <v/>
      </c>
      <c r="BN1170" s="158"/>
      <c r="BO1170" s="143"/>
      <c r="BP1170" t="s">
        <v>395</v>
      </c>
      <c r="BR1170" t="s">
        <v>3945</v>
      </c>
      <c r="BS1170">
        <v>173.61053100000004</v>
      </c>
      <c r="BT1170">
        <v>-79.87</v>
      </c>
      <c r="BU1170" s="144"/>
      <c r="BV1170">
        <f t="shared" si="1571"/>
        <v>-253.48053100000004</v>
      </c>
      <c r="BY1170" t="str">
        <f t="shared" si="1524"/>
        <v/>
      </c>
      <c r="BZ1170">
        <v>0</v>
      </c>
      <c r="CA1170">
        <v>1</v>
      </c>
      <c r="CB1170">
        <v>0</v>
      </c>
      <c r="CC1170">
        <v>0</v>
      </c>
      <c r="CD1170">
        <v>0</v>
      </c>
      <c r="CE1170">
        <v>0</v>
      </c>
      <c r="CF1170">
        <v>0</v>
      </c>
      <c r="CG1170">
        <v>0</v>
      </c>
      <c r="CH1170">
        <v>0</v>
      </c>
      <c r="CI1170">
        <v>0</v>
      </c>
      <c r="CJ1170">
        <v>0</v>
      </c>
      <c r="CK1170">
        <v>0</v>
      </c>
      <c r="CL1170">
        <v>0</v>
      </c>
      <c r="CM1170">
        <v>0</v>
      </c>
      <c r="CN1170" t="str">
        <f t="shared" si="1572"/>
        <v>refOK</v>
      </c>
      <c r="CO1170"/>
      <c r="CP1170"/>
      <c r="CQ1170"/>
      <c r="CR1170">
        <f t="shared" si="1573"/>
        <v>-173.61053100000004</v>
      </c>
      <c r="CS1170">
        <f t="shared" si="1574"/>
        <v>79.87</v>
      </c>
      <c r="CT1170">
        <f t="shared" si="1575"/>
        <v>0</v>
      </c>
      <c r="CU1170" t="str">
        <f t="shared" si="1576"/>
        <v/>
      </c>
      <c r="CV1170" s="2">
        <f t="shared" si="1577"/>
        <v>1.4600527372386183</v>
      </c>
      <c r="CW1170" s="1" t="s">
        <v>973</v>
      </c>
      <c r="CX1170" s="311" t="str">
        <f t="shared" si="1578"/>
        <v>loc</v>
      </c>
      <c r="CY1170" t="s">
        <v>639</v>
      </c>
      <c r="DA1170" s="143"/>
      <c r="DB1170" s="143">
        <v>200</v>
      </c>
      <c r="DC1170" t="str">
        <f t="shared" si="1579"/>
        <v>+100</v>
      </c>
      <c r="DD1170">
        <v>0</v>
      </c>
      <c r="DE1170">
        <v>0</v>
      </c>
      <c r="DF1170">
        <v>0</v>
      </c>
      <c r="DG1170">
        <v>1</v>
      </c>
      <c r="DH1170">
        <v>0</v>
      </c>
      <c r="DI1170">
        <f t="shared" si="1580"/>
        <v>1</v>
      </c>
      <c r="DJ1170" t="str">
        <f t="shared" si="1581"/>
        <v>TimberInput</v>
      </c>
      <c r="DK1170">
        <f t="shared" si="1582"/>
        <v>0</v>
      </c>
      <c r="DL1170">
        <f t="shared" si="1583"/>
        <v>0</v>
      </c>
      <c r="DM1170">
        <f t="shared" si="1584"/>
        <v>0</v>
      </c>
      <c r="DN1170" t="str">
        <f t="shared" si="1585"/>
        <v>Timber</v>
      </c>
      <c r="DO1170">
        <v>1</v>
      </c>
      <c r="DP1170" s="143">
        <v>0</v>
      </c>
      <c r="DQ1170" s="143">
        <v>0</v>
      </c>
      <c r="DR1170">
        <v>0</v>
      </c>
      <c r="DS1170" s="143">
        <v>0</v>
      </c>
      <c r="DT1170">
        <f t="shared" si="1586"/>
        <v>1</v>
      </c>
      <c r="DU1170" s="143" t="str">
        <f t="shared" si="1587"/>
        <v>self-calculated DF</v>
      </c>
      <c r="DV1170" s="143">
        <v>0</v>
      </c>
      <c r="DW1170" s="143">
        <v>0</v>
      </c>
      <c r="DX1170" s="143">
        <v>1</v>
      </c>
      <c r="DY1170" s="143">
        <v>1</v>
      </c>
      <c r="DZ1170">
        <v>1</v>
      </c>
      <c r="EA1170" s="143">
        <v>1</v>
      </c>
      <c r="EB1170" s="143">
        <v>1</v>
      </c>
      <c r="EC1170" s="143">
        <v>1</v>
      </c>
      <c r="ED1170" s="143">
        <v>1</v>
      </c>
      <c r="EE1170">
        <v>1</v>
      </c>
      <c r="EF1170">
        <v>1</v>
      </c>
      <c r="EG1170" s="143">
        <v>1</v>
      </c>
      <c r="EH1170">
        <v>1</v>
      </c>
      <c r="EI1170" s="2">
        <v>0</v>
      </c>
      <c r="EK1170" t="str">
        <f t="shared" si="1562"/>
        <v>Whole sector</v>
      </c>
      <c r="EL1170" t="str">
        <f t="shared" si="1563"/>
        <v/>
      </c>
      <c r="EM1170" s="2" t="str">
        <f t="shared" si="1525"/>
        <v/>
      </c>
      <c r="EP1170" t="b">
        <f>IF(ISNUMBER(BU1170),IF(ABS(BU1170-[1]QC_indicators!$B$2)&gt;3*[1]QC_indicators!$C$2,"C ratio",IF(ISNUMBER(BY1170),IF(ABS(BY1170-[1]QC_indicators!$B$1)&gt;3*[1]QC_indicators!$C$1,"DF","no"))),IF(ISNUMBER(BY1170),IF(ABS(BY1170-[1]QC_indicators!$B$1)&gt;3*[1]QC_indicators!$C$1,"DF","no")))</f>
        <v>0</v>
      </c>
    </row>
    <row r="1171" spans="1:146" ht="15" hidden="1" customHeight="1">
      <c r="A1171" s="1" t="s">
        <v>333</v>
      </c>
      <c r="B1171" t="s">
        <v>3937</v>
      </c>
      <c r="C1171" t="s">
        <v>3938</v>
      </c>
      <c r="D1171" t="s">
        <v>3939</v>
      </c>
      <c r="E1171" t="s">
        <v>3940</v>
      </c>
      <c r="F1171" t="s">
        <v>3941</v>
      </c>
      <c r="G1171" t="s">
        <v>339</v>
      </c>
      <c r="H1171" t="s">
        <v>254</v>
      </c>
      <c r="I1171">
        <v>2018</v>
      </c>
      <c r="J1171">
        <v>62</v>
      </c>
      <c r="K1171" t="s">
        <v>3942</v>
      </c>
      <c r="M1171" t="str">
        <f t="shared" si="1527"/>
        <v>Pittau_2018</v>
      </c>
      <c r="N1171" s="311" t="s">
        <v>4382</v>
      </c>
      <c r="O1171" s="171" t="s">
        <v>513</v>
      </c>
      <c r="P1171" t="s">
        <v>341</v>
      </c>
      <c r="Q1171" s="311" t="s">
        <v>389</v>
      </c>
      <c r="R1171" s="312"/>
      <c r="S1171" s="1" t="s">
        <v>3946</v>
      </c>
      <c r="T1171" t="s">
        <v>3944</v>
      </c>
      <c r="V1171">
        <v>0</v>
      </c>
      <c r="W1171">
        <v>1</v>
      </c>
      <c r="X1171">
        <v>0</v>
      </c>
      <c r="Y1171">
        <v>0</v>
      </c>
      <c r="Z1171">
        <v>0</v>
      </c>
      <c r="AA1171">
        <v>0</v>
      </c>
      <c r="AB1171">
        <v>0</v>
      </c>
      <c r="AC1171">
        <v>0</v>
      </c>
      <c r="AD1171">
        <v>0</v>
      </c>
      <c r="AE1171">
        <v>0</v>
      </c>
      <c r="AF1171">
        <v>1</v>
      </c>
      <c r="AG1171">
        <v>1</v>
      </c>
      <c r="AH1171">
        <v>1</v>
      </c>
      <c r="AI1171">
        <v>1</v>
      </c>
      <c r="AJ1171">
        <v>0</v>
      </c>
      <c r="AK1171">
        <v>0</v>
      </c>
      <c r="AL1171">
        <v>0</v>
      </c>
      <c r="AM1171">
        <v>0</v>
      </c>
      <c r="AN1171">
        <v>0</v>
      </c>
      <c r="AO1171">
        <v>0</v>
      </c>
      <c r="AP1171">
        <v>0</v>
      </c>
      <c r="AQ1171">
        <v>0</v>
      </c>
      <c r="AR1171">
        <v>0</v>
      </c>
      <c r="AS1171">
        <v>0</v>
      </c>
      <c r="AT1171">
        <v>0</v>
      </c>
      <c r="AU1171">
        <v>0</v>
      </c>
      <c r="AV1171">
        <v>0</v>
      </c>
      <c r="AW1171">
        <v>0</v>
      </c>
      <c r="AX1171" s="141">
        <f t="shared" si="1564"/>
        <v>5</v>
      </c>
      <c r="AY1171" s="141">
        <f t="shared" si="1565"/>
        <v>5</v>
      </c>
      <c r="AZ1171">
        <f t="shared" si="1566"/>
        <v>1</v>
      </c>
      <c r="BA1171">
        <f t="shared" si="1567"/>
        <v>4</v>
      </c>
      <c r="BB1171">
        <f t="shared" si="1568"/>
        <v>0</v>
      </c>
      <c r="BC1171">
        <f t="shared" si="1569"/>
        <v>0</v>
      </c>
      <c r="BD1171">
        <f t="shared" si="1570"/>
        <v>0</v>
      </c>
      <c r="BE1171" t="str" cm="1">
        <f t="array" ref="BE1171">IF(AY1171=1,INDEX($V$7:$AL$7,MATCH(TRUE,INDEX($V1171:$AW1171&lt;&gt;0,),0)),IF(AY1171=0,INDEX($AM$7:$AW$7,MATCH(1,$AM1171:$AW1171,0)),IF(BF1171="Multiple strategies","mixed drivers",IF(BF1171="Supply chain","multiple supply","multiple silviculture"))))</f>
        <v>mixed drivers</v>
      </c>
      <c r="BF1171" s="2" t="str" cm="1">
        <f t="array" ref="BF1171">IF(COUNTIF(AZ1171:BB1171,"&lt;&gt;0")=1,INDEX($V$4:$AW$4,MATCH(TRUE,INDEX($V1171:$AW1171&lt;&gt;0,),0)),IF(COUNTIF(AZ1171:BB1171,"&lt;&gt;0")=0,INDEX($AM$4:$AW$4,MATCH(1,$AM1171:$AW1171,0)),"Multiple strategies"))</f>
        <v>Multiple strategies</v>
      </c>
      <c r="BG1171" s="142"/>
      <c r="BJ1171" s="143"/>
      <c r="BL1171" s="143"/>
      <c r="BM1171" t="str">
        <f>IFERROR(BL1171/BK1171,"")</f>
        <v/>
      </c>
      <c r="BN1171" s="158"/>
      <c r="BO1171" s="143"/>
      <c r="BP1171" t="s">
        <v>395</v>
      </c>
      <c r="BR1171" t="s">
        <v>3945</v>
      </c>
      <c r="BS1171">
        <v>173.61053100000004</v>
      </c>
      <c r="BT1171">
        <v>-56.19</v>
      </c>
      <c r="BU1171" s="144"/>
      <c r="BV1171">
        <f t="shared" si="1571"/>
        <v>-229.80053100000003</v>
      </c>
      <c r="BY1171" t="str">
        <f t="shared" si="1524"/>
        <v/>
      </c>
      <c r="BZ1171">
        <v>0</v>
      </c>
      <c r="CA1171">
        <v>1</v>
      </c>
      <c r="CB1171">
        <v>0</v>
      </c>
      <c r="CC1171">
        <v>0</v>
      </c>
      <c r="CD1171">
        <v>0</v>
      </c>
      <c r="CE1171">
        <v>0</v>
      </c>
      <c r="CF1171">
        <v>0</v>
      </c>
      <c r="CG1171">
        <v>0</v>
      </c>
      <c r="CH1171">
        <v>0</v>
      </c>
      <c r="CI1171">
        <v>0</v>
      </c>
      <c r="CJ1171">
        <v>0</v>
      </c>
      <c r="CK1171">
        <v>0</v>
      </c>
      <c r="CL1171">
        <v>0</v>
      </c>
      <c r="CM1171">
        <v>0</v>
      </c>
      <c r="CN1171" t="str">
        <f t="shared" si="1572"/>
        <v>refOK</v>
      </c>
      <c r="CO1171"/>
      <c r="CP1171"/>
      <c r="CQ1171"/>
      <c r="CR1171">
        <f t="shared" si="1573"/>
        <v>-173.61053100000004</v>
      </c>
      <c r="CS1171">
        <f t="shared" si="1574"/>
        <v>56.19</v>
      </c>
      <c r="CT1171">
        <f t="shared" si="1575"/>
        <v>0</v>
      </c>
      <c r="CU1171" t="str">
        <f t="shared" si="1576"/>
        <v/>
      </c>
      <c r="CV1171" s="2">
        <f t="shared" si="1577"/>
        <v>1.323655481475372</v>
      </c>
      <c r="CW1171" s="1" t="s">
        <v>973</v>
      </c>
      <c r="CX1171" s="311" t="str">
        <f t="shared" si="1578"/>
        <v>loc</v>
      </c>
      <c r="CY1171" t="s">
        <v>639</v>
      </c>
      <c r="DA1171" s="143"/>
      <c r="DB1171" s="143">
        <v>200</v>
      </c>
      <c r="DC1171" t="str">
        <f t="shared" si="1579"/>
        <v>+100</v>
      </c>
      <c r="DD1171">
        <v>0</v>
      </c>
      <c r="DE1171">
        <v>0</v>
      </c>
      <c r="DF1171">
        <v>0</v>
      </c>
      <c r="DG1171">
        <v>1</v>
      </c>
      <c r="DH1171">
        <v>0</v>
      </c>
      <c r="DI1171">
        <f t="shared" si="1580"/>
        <v>1</v>
      </c>
      <c r="DJ1171" t="str">
        <f t="shared" si="1581"/>
        <v>TimberInput</v>
      </c>
      <c r="DK1171">
        <f t="shared" si="1582"/>
        <v>0</v>
      </c>
      <c r="DL1171">
        <f t="shared" si="1583"/>
        <v>0</v>
      </c>
      <c r="DM1171">
        <f t="shared" si="1584"/>
        <v>0</v>
      </c>
      <c r="DN1171" t="str">
        <f t="shared" si="1585"/>
        <v>Timber</v>
      </c>
      <c r="DO1171">
        <v>1</v>
      </c>
      <c r="DP1171" s="143">
        <v>0</v>
      </c>
      <c r="DQ1171" s="143">
        <v>0</v>
      </c>
      <c r="DR1171">
        <v>0</v>
      </c>
      <c r="DS1171" s="143">
        <v>0</v>
      </c>
      <c r="DT1171">
        <f t="shared" si="1586"/>
        <v>1</v>
      </c>
      <c r="DU1171" s="143" t="str">
        <f t="shared" si="1587"/>
        <v>self-calculated DF</v>
      </c>
      <c r="DV1171" s="143">
        <v>0</v>
      </c>
      <c r="DW1171" s="143">
        <v>0</v>
      </c>
      <c r="DX1171" s="143">
        <v>1</v>
      </c>
      <c r="DY1171" s="143">
        <v>1</v>
      </c>
      <c r="DZ1171">
        <v>1</v>
      </c>
      <c r="EA1171" s="143">
        <v>1</v>
      </c>
      <c r="EB1171" s="143">
        <v>1</v>
      </c>
      <c r="EC1171" s="143">
        <v>1</v>
      </c>
      <c r="ED1171" s="143">
        <v>1</v>
      </c>
      <c r="EE1171">
        <v>1</v>
      </c>
      <c r="EF1171">
        <v>1</v>
      </c>
      <c r="EG1171" s="143">
        <v>1</v>
      </c>
      <c r="EH1171">
        <v>1</v>
      </c>
      <c r="EI1171" s="2">
        <v>0</v>
      </c>
      <c r="EK1171" t="str">
        <f t="shared" si="1562"/>
        <v>Whole sector</v>
      </c>
      <c r="EL1171" t="str">
        <f t="shared" si="1563"/>
        <v/>
      </c>
      <c r="EM1171" s="2" t="str">
        <f t="shared" si="1525"/>
        <v/>
      </c>
      <c r="EP1171" t="b">
        <f>IF(ISNUMBER(BU1171),IF(ABS(BU1171-[1]QC_indicators!$B$2)&gt;3*[1]QC_indicators!$C$2,"C ratio",IF(ISNUMBER(BY1171),IF(ABS(BY1171-[1]QC_indicators!$B$1)&gt;3*[1]QC_indicators!$C$1,"DF","no"))),IF(ISNUMBER(BY1171),IF(ABS(BY1171-[1]QC_indicators!$B$1)&gt;3*[1]QC_indicators!$C$1,"DF","no")))</f>
        <v>0</v>
      </c>
    </row>
    <row r="1172" spans="1:146" ht="15" hidden="1" customHeight="1">
      <c r="A1172" s="1" t="s">
        <v>333</v>
      </c>
      <c r="B1172" t="s">
        <v>3937</v>
      </c>
      <c r="C1172" t="s">
        <v>3938</v>
      </c>
      <c r="D1172" t="s">
        <v>3939</v>
      </c>
      <c r="E1172" t="s">
        <v>3940</v>
      </c>
      <c r="F1172" t="s">
        <v>3941</v>
      </c>
      <c r="G1172" t="s">
        <v>339</v>
      </c>
      <c r="H1172" t="s">
        <v>254</v>
      </c>
      <c r="I1172">
        <v>2018</v>
      </c>
      <c r="J1172">
        <v>62</v>
      </c>
      <c r="K1172" t="s">
        <v>3942</v>
      </c>
      <c r="M1172" t="str">
        <f t="shared" si="1527"/>
        <v>Pittau_2018</v>
      </c>
      <c r="N1172" s="311" t="s">
        <v>4382</v>
      </c>
      <c r="O1172" s="171" t="s">
        <v>513</v>
      </c>
      <c r="P1172" t="s">
        <v>341</v>
      </c>
      <c r="Q1172" s="311" t="s">
        <v>389</v>
      </c>
      <c r="R1172" s="312"/>
      <c r="S1172" s="1" t="s">
        <v>3947</v>
      </c>
      <c r="T1172" t="s">
        <v>3944</v>
      </c>
      <c r="V1172">
        <v>0</v>
      </c>
      <c r="W1172">
        <v>1</v>
      </c>
      <c r="X1172">
        <v>0</v>
      </c>
      <c r="Y1172">
        <v>0</v>
      </c>
      <c r="Z1172">
        <v>0</v>
      </c>
      <c r="AA1172">
        <v>0</v>
      </c>
      <c r="AB1172">
        <v>0</v>
      </c>
      <c r="AC1172">
        <v>0</v>
      </c>
      <c r="AD1172">
        <v>0</v>
      </c>
      <c r="AE1172">
        <v>0</v>
      </c>
      <c r="AF1172">
        <v>1</v>
      </c>
      <c r="AG1172">
        <v>1</v>
      </c>
      <c r="AH1172">
        <v>1</v>
      </c>
      <c r="AI1172">
        <v>1</v>
      </c>
      <c r="AJ1172">
        <v>0</v>
      </c>
      <c r="AK1172">
        <v>0</v>
      </c>
      <c r="AL1172">
        <v>0</v>
      </c>
      <c r="AM1172">
        <v>0</v>
      </c>
      <c r="AN1172">
        <v>0</v>
      </c>
      <c r="AO1172">
        <v>0</v>
      </c>
      <c r="AP1172">
        <v>0</v>
      </c>
      <c r="AQ1172">
        <v>0</v>
      </c>
      <c r="AR1172">
        <v>0</v>
      </c>
      <c r="AS1172">
        <v>0</v>
      </c>
      <c r="AT1172">
        <v>0</v>
      </c>
      <c r="AU1172">
        <v>0</v>
      </c>
      <c r="AV1172">
        <v>0</v>
      </c>
      <c r="AW1172">
        <v>0</v>
      </c>
      <c r="AX1172" s="141">
        <f t="shared" si="1564"/>
        <v>5</v>
      </c>
      <c r="AY1172" s="141">
        <f t="shared" si="1565"/>
        <v>5</v>
      </c>
      <c r="AZ1172">
        <f t="shared" si="1566"/>
        <v>1</v>
      </c>
      <c r="BA1172">
        <f t="shared" si="1567"/>
        <v>4</v>
      </c>
      <c r="BB1172">
        <f t="shared" si="1568"/>
        <v>0</v>
      </c>
      <c r="BC1172">
        <f t="shared" si="1569"/>
        <v>0</v>
      </c>
      <c r="BD1172">
        <f t="shared" si="1570"/>
        <v>0</v>
      </c>
      <c r="BE1172" t="str" cm="1">
        <f t="array" ref="BE1172">IF(AY1172=1,INDEX($V$7:$AL$7,MATCH(TRUE,INDEX($V1172:$AW1172&lt;&gt;0,),0)),IF(AY1172=0,INDEX($AM$7:$AW$7,MATCH(1,$AM1172:$AW1172,0)),IF(BF1172="Multiple strategies","mixed drivers",IF(BF1172="Supply chain","multiple supply","multiple silviculture"))))</f>
        <v>mixed drivers</v>
      </c>
      <c r="BF1172" s="2" t="str" cm="1">
        <f t="array" ref="BF1172">IF(COUNTIF(AZ1172:BB1172,"&lt;&gt;0")=1,INDEX($V$4:$AW$4,MATCH(TRUE,INDEX($V1172:$AW1172&lt;&gt;0,),0)),IF(COUNTIF(AZ1172:BB1172,"&lt;&gt;0")=0,INDEX($AM$4:$AW$4,MATCH(1,$AM1172:$AW1172,0)),"Multiple strategies"))</f>
        <v>Multiple strategies</v>
      </c>
      <c r="BG1172" s="142"/>
      <c r="BJ1172" s="143"/>
      <c r="BL1172" s="143"/>
      <c r="BM1172" t="str">
        <f>IFERROR(BL1172/BK1172,"")</f>
        <v/>
      </c>
      <c r="BN1172" s="158"/>
      <c r="BO1172" s="143"/>
      <c r="BP1172" t="s">
        <v>395</v>
      </c>
      <c r="BR1172" t="s">
        <v>3945</v>
      </c>
      <c r="BS1172">
        <v>173.61053100000004</v>
      </c>
      <c r="BT1172">
        <v>33.75</v>
      </c>
      <c r="BU1172" s="144"/>
      <c r="BV1172">
        <f t="shared" si="1571"/>
        <v>-139.86053100000004</v>
      </c>
      <c r="BY1172" t="str">
        <f t="shared" si="1524"/>
        <v/>
      </c>
      <c r="BZ1172">
        <v>0</v>
      </c>
      <c r="CA1172">
        <v>1</v>
      </c>
      <c r="CB1172">
        <v>0</v>
      </c>
      <c r="CC1172">
        <v>0</v>
      </c>
      <c r="CD1172">
        <v>0</v>
      </c>
      <c r="CE1172">
        <v>0</v>
      </c>
      <c r="CF1172">
        <v>0</v>
      </c>
      <c r="CG1172">
        <v>0</v>
      </c>
      <c r="CH1172">
        <v>0</v>
      </c>
      <c r="CI1172">
        <v>0</v>
      </c>
      <c r="CJ1172">
        <v>0</v>
      </c>
      <c r="CK1172">
        <v>0</v>
      </c>
      <c r="CL1172">
        <v>0</v>
      </c>
      <c r="CM1172">
        <v>0</v>
      </c>
      <c r="CN1172" t="str">
        <f t="shared" si="1572"/>
        <v>refOK</v>
      </c>
      <c r="CO1172"/>
      <c r="CP1172"/>
      <c r="CQ1172"/>
      <c r="CR1172">
        <f t="shared" si="1573"/>
        <v>-173.61053100000004</v>
      </c>
      <c r="CS1172">
        <f t="shared" si="1574"/>
        <v>-33.75</v>
      </c>
      <c r="CT1172">
        <f t="shared" si="1575"/>
        <v>0</v>
      </c>
      <c r="CU1172" t="str">
        <f t="shared" si="1576"/>
        <v/>
      </c>
      <c r="CV1172" s="2">
        <f t="shared" si="1577"/>
        <v>0.80559935042189357</v>
      </c>
      <c r="CW1172" s="1" t="s">
        <v>973</v>
      </c>
      <c r="CX1172" s="311" t="str">
        <f t="shared" si="1578"/>
        <v>loc</v>
      </c>
      <c r="CY1172" t="s">
        <v>639</v>
      </c>
      <c r="DA1172" s="143"/>
      <c r="DB1172" s="143">
        <v>200</v>
      </c>
      <c r="DC1172" t="str">
        <f t="shared" si="1579"/>
        <v>+100</v>
      </c>
      <c r="DD1172">
        <v>0</v>
      </c>
      <c r="DE1172">
        <v>0</v>
      </c>
      <c r="DF1172">
        <v>0</v>
      </c>
      <c r="DG1172">
        <v>1</v>
      </c>
      <c r="DH1172">
        <v>0</v>
      </c>
      <c r="DI1172">
        <f t="shared" si="1580"/>
        <v>1</v>
      </c>
      <c r="DJ1172" t="str">
        <f t="shared" si="1581"/>
        <v>TimberInput</v>
      </c>
      <c r="DK1172">
        <f t="shared" si="1582"/>
        <v>0</v>
      </c>
      <c r="DL1172">
        <f t="shared" si="1583"/>
        <v>0</v>
      </c>
      <c r="DM1172">
        <f t="shared" si="1584"/>
        <v>0</v>
      </c>
      <c r="DN1172" t="str">
        <f t="shared" si="1585"/>
        <v>Timber</v>
      </c>
      <c r="DO1172">
        <v>1</v>
      </c>
      <c r="DP1172" s="143">
        <v>0</v>
      </c>
      <c r="DQ1172" s="143">
        <v>0</v>
      </c>
      <c r="DR1172">
        <v>0</v>
      </c>
      <c r="DS1172" s="143">
        <v>0</v>
      </c>
      <c r="DT1172">
        <f t="shared" si="1586"/>
        <v>1</v>
      </c>
      <c r="DU1172" s="143" t="str">
        <f t="shared" si="1587"/>
        <v>self-calculated DF</v>
      </c>
      <c r="DV1172" s="143">
        <v>0</v>
      </c>
      <c r="DW1172" s="143">
        <v>0</v>
      </c>
      <c r="DX1172" s="143">
        <v>1</v>
      </c>
      <c r="DY1172" s="143">
        <v>1</v>
      </c>
      <c r="DZ1172">
        <v>1</v>
      </c>
      <c r="EA1172" s="143">
        <v>1</v>
      </c>
      <c r="EB1172" s="143">
        <v>1</v>
      </c>
      <c r="EC1172" s="143">
        <v>1</v>
      </c>
      <c r="ED1172" s="143">
        <v>1</v>
      </c>
      <c r="EE1172">
        <v>1</v>
      </c>
      <c r="EF1172">
        <v>1</v>
      </c>
      <c r="EG1172" s="143">
        <v>1</v>
      </c>
      <c r="EH1172">
        <v>1</v>
      </c>
      <c r="EI1172" s="2">
        <v>0</v>
      </c>
      <c r="EK1172" t="str">
        <f t="shared" si="1562"/>
        <v>Whole sector</v>
      </c>
      <c r="EL1172" t="str">
        <f t="shared" si="1563"/>
        <v/>
      </c>
      <c r="EM1172" s="2" t="str">
        <f t="shared" si="1525"/>
        <v/>
      </c>
      <c r="EP1172" t="b">
        <f>IF(ISNUMBER(BU1172),IF(ABS(BU1172-[1]QC_indicators!$B$2)&gt;3*[1]QC_indicators!$C$2,"C ratio",IF(ISNUMBER(BY1172),IF(ABS(BY1172-[1]QC_indicators!$B$1)&gt;3*[1]QC_indicators!$C$1,"DF","no"))),IF(ISNUMBER(BY1172),IF(ABS(BY1172-[1]QC_indicators!$B$1)&gt;3*[1]QC_indicators!$C$1,"DF","no")))</f>
        <v>0</v>
      </c>
    </row>
    <row r="1173" spans="1:146" ht="15" hidden="1" customHeight="1">
      <c r="A1173" s="1" t="s">
        <v>333</v>
      </c>
      <c r="B1173" t="s">
        <v>3937</v>
      </c>
      <c r="C1173" t="s">
        <v>3938</v>
      </c>
      <c r="D1173" t="s">
        <v>3939</v>
      </c>
      <c r="E1173" t="s">
        <v>3940</v>
      </c>
      <c r="F1173" t="s">
        <v>3941</v>
      </c>
      <c r="G1173" t="s">
        <v>339</v>
      </c>
      <c r="H1173" t="s">
        <v>254</v>
      </c>
      <c r="I1173">
        <v>2018</v>
      </c>
      <c r="J1173">
        <v>62</v>
      </c>
      <c r="K1173" t="s">
        <v>3942</v>
      </c>
      <c r="M1173" t="str">
        <f t="shared" si="1527"/>
        <v>Pittau_2018</v>
      </c>
      <c r="N1173" s="311" t="s">
        <v>4382</v>
      </c>
      <c r="O1173" s="171" t="s">
        <v>513</v>
      </c>
      <c r="P1173" t="s">
        <v>341</v>
      </c>
      <c r="Q1173" s="311" t="s">
        <v>389</v>
      </c>
      <c r="R1173" s="312"/>
      <c r="S1173" s="1" t="s">
        <v>3948</v>
      </c>
      <c r="T1173" t="s">
        <v>3944</v>
      </c>
      <c r="V1173">
        <v>0</v>
      </c>
      <c r="W1173">
        <v>1</v>
      </c>
      <c r="X1173">
        <v>0</v>
      </c>
      <c r="Y1173">
        <v>0</v>
      </c>
      <c r="Z1173">
        <v>0</v>
      </c>
      <c r="AA1173">
        <v>0</v>
      </c>
      <c r="AB1173">
        <v>0</v>
      </c>
      <c r="AC1173">
        <v>0</v>
      </c>
      <c r="AD1173">
        <v>0</v>
      </c>
      <c r="AE1173">
        <v>0</v>
      </c>
      <c r="AF1173">
        <v>1</v>
      </c>
      <c r="AG1173">
        <v>1</v>
      </c>
      <c r="AH1173">
        <v>1</v>
      </c>
      <c r="AI1173">
        <v>1</v>
      </c>
      <c r="AJ1173">
        <v>0</v>
      </c>
      <c r="AK1173">
        <v>0</v>
      </c>
      <c r="AL1173">
        <v>0</v>
      </c>
      <c r="AM1173">
        <v>0</v>
      </c>
      <c r="AN1173">
        <v>0</v>
      </c>
      <c r="AO1173">
        <v>0</v>
      </c>
      <c r="AP1173">
        <v>0</v>
      </c>
      <c r="AQ1173">
        <v>0</v>
      </c>
      <c r="AR1173">
        <v>0</v>
      </c>
      <c r="AS1173">
        <v>0</v>
      </c>
      <c r="AT1173">
        <v>0</v>
      </c>
      <c r="AU1173">
        <v>0</v>
      </c>
      <c r="AV1173">
        <v>0</v>
      </c>
      <c r="AW1173">
        <v>0</v>
      </c>
      <c r="AX1173" s="141">
        <f t="shared" si="1564"/>
        <v>5</v>
      </c>
      <c r="AY1173" s="141">
        <f t="shared" si="1565"/>
        <v>5</v>
      </c>
      <c r="AZ1173">
        <f t="shared" si="1566"/>
        <v>1</v>
      </c>
      <c r="BA1173">
        <f t="shared" si="1567"/>
        <v>4</v>
      </c>
      <c r="BB1173">
        <f t="shared" si="1568"/>
        <v>0</v>
      </c>
      <c r="BC1173">
        <f t="shared" si="1569"/>
        <v>0</v>
      </c>
      <c r="BD1173">
        <f t="shared" si="1570"/>
        <v>0</v>
      </c>
      <c r="BE1173" t="str" cm="1">
        <f t="array" ref="BE1173">IF(AY1173=1,INDEX($V$7:$AL$7,MATCH(TRUE,INDEX($V1173:$AW1173&lt;&gt;0,),0)),IF(AY1173=0,INDEX($AM$7:$AW$7,MATCH(1,$AM1173:$AW1173,0)),IF(BF1173="Multiple strategies","mixed drivers",IF(BF1173="Supply chain","multiple supply","multiple silviculture"))))</f>
        <v>mixed drivers</v>
      </c>
      <c r="BF1173" s="2" t="str" cm="1">
        <f t="array" ref="BF1173">IF(COUNTIF(AZ1173:BB1173,"&lt;&gt;0")=1,INDEX($V$4:$AW$4,MATCH(TRUE,INDEX($V1173:$AW1173&lt;&gt;0,),0)),IF(COUNTIF(AZ1173:BB1173,"&lt;&gt;0")=0,INDEX($AM$4:$AW$4,MATCH(1,$AM1173:$AW1173,0)),"Multiple strategies"))</f>
        <v>Multiple strategies</v>
      </c>
      <c r="BG1173" s="142"/>
      <c r="BJ1173" s="143"/>
      <c r="BL1173" s="143"/>
      <c r="BM1173" t="str">
        <f>IFERROR(BL1173/BK1173,"")</f>
        <v/>
      </c>
      <c r="BN1173" s="158"/>
      <c r="BO1173" s="143"/>
      <c r="BP1173" t="s">
        <v>395</v>
      </c>
      <c r="BR1173" t="s">
        <v>3945</v>
      </c>
      <c r="BS1173">
        <v>173.61053100000004</v>
      </c>
      <c r="BT1173">
        <v>96.35</v>
      </c>
      <c r="BU1173" s="144"/>
      <c r="BV1173">
        <f t="shared" si="1571"/>
        <v>-77.260531000000043</v>
      </c>
      <c r="BY1173" t="str">
        <f t="shared" si="1524"/>
        <v/>
      </c>
      <c r="BZ1173">
        <v>0</v>
      </c>
      <c r="CA1173">
        <v>1</v>
      </c>
      <c r="CB1173">
        <v>0</v>
      </c>
      <c r="CC1173">
        <v>0</v>
      </c>
      <c r="CD1173">
        <v>0</v>
      </c>
      <c r="CE1173">
        <v>0</v>
      </c>
      <c r="CF1173">
        <v>0</v>
      </c>
      <c r="CG1173">
        <v>0</v>
      </c>
      <c r="CH1173">
        <v>0</v>
      </c>
      <c r="CI1173">
        <v>0</v>
      </c>
      <c r="CJ1173">
        <v>0</v>
      </c>
      <c r="CK1173">
        <v>0</v>
      </c>
      <c r="CL1173">
        <v>0</v>
      </c>
      <c r="CM1173">
        <v>0</v>
      </c>
      <c r="CN1173" t="str">
        <f t="shared" si="1572"/>
        <v>refOK</v>
      </c>
      <c r="CO1173"/>
      <c r="CP1173"/>
      <c r="CQ1173"/>
      <c r="CR1173">
        <f t="shared" si="1573"/>
        <v>-173.61053100000004</v>
      </c>
      <c r="CS1173">
        <f t="shared" si="1574"/>
        <v>-96.35</v>
      </c>
      <c r="CT1173">
        <f t="shared" si="1575"/>
        <v>0</v>
      </c>
      <c r="CU1173" t="str">
        <f t="shared" si="1576"/>
        <v/>
      </c>
      <c r="CV1173" s="2">
        <f t="shared" si="1577"/>
        <v>0.44502214557479824</v>
      </c>
      <c r="CW1173" s="1" t="s">
        <v>973</v>
      </c>
      <c r="CX1173" s="311" t="str">
        <f t="shared" si="1578"/>
        <v>loc</v>
      </c>
      <c r="CY1173" t="s">
        <v>639</v>
      </c>
      <c r="DA1173" s="143"/>
      <c r="DB1173" s="143">
        <v>200</v>
      </c>
      <c r="DC1173" t="str">
        <f t="shared" si="1579"/>
        <v>+100</v>
      </c>
      <c r="DD1173">
        <v>0</v>
      </c>
      <c r="DE1173">
        <v>0</v>
      </c>
      <c r="DF1173">
        <v>0</v>
      </c>
      <c r="DG1173">
        <v>1</v>
      </c>
      <c r="DH1173">
        <v>0</v>
      </c>
      <c r="DI1173">
        <f t="shared" si="1580"/>
        <v>1</v>
      </c>
      <c r="DJ1173" t="str">
        <f t="shared" si="1581"/>
        <v>TimberInput</v>
      </c>
      <c r="DK1173">
        <f t="shared" si="1582"/>
        <v>0</v>
      </c>
      <c r="DL1173">
        <f t="shared" si="1583"/>
        <v>0</v>
      </c>
      <c r="DM1173">
        <f t="shared" si="1584"/>
        <v>0</v>
      </c>
      <c r="DN1173" t="str">
        <f t="shared" si="1585"/>
        <v>Timber</v>
      </c>
      <c r="DO1173">
        <v>1</v>
      </c>
      <c r="DP1173" s="143">
        <v>0</v>
      </c>
      <c r="DQ1173" s="143">
        <v>0</v>
      </c>
      <c r="DR1173">
        <v>0</v>
      </c>
      <c r="DS1173" s="143">
        <v>0</v>
      </c>
      <c r="DT1173">
        <f t="shared" si="1586"/>
        <v>1</v>
      </c>
      <c r="DU1173" s="143" t="str">
        <f t="shared" si="1587"/>
        <v>self-calculated DF</v>
      </c>
      <c r="DV1173" s="143">
        <v>0</v>
      </c>
      <c r="DW1173" s="143">
        <v>0</v>
      </c>
      <c r="DX1173" s="143">
        <v>1</v>
      </c>
      <c r="DY1173" s="143">
        <v>1</v>
      </c>
      <c r="DZ1173">
        <v>1</v>
      </c>
      <c r="EA1173" s="143">
        <v>1</v>
      </c>
      <c r="EB1173" s="143">
        <v>1</v>
      </c>
      <c r="EC1173" s="143">
        <v>1</v>
      </c>
      <c r="ED1173" s="143">
        <v>1</v>
      </c>
      <c r="EE1173">
        <v>1</v>
      </c>
      <c r="EF1173">
        <v>1</v>
      </c>
      <c r="EG1173" s="143">
        <v>1</v>
      </c>
      <c r="EH1173">
        <v>1</v>
      </c>
      <c r="EI1173" s="2">
        <v>0</v>
      </c>
      <c r="EK1173" t="str">
        <f t="shared" si="1562"/>
        <v>Whole sector</v>
      </c>
      <c r="EL1173" t="str">
        <f t="shared" si="1563"/>
        <v/>
      </c>
      <c r="EM1173" s="2" t="str">
        <f t="shared" si="1525"/>
        <v/>
      </c>
      <c r="EP1173" t="b">
        <f>IF(ISNUMBER(BU1173),IF(ABS(BU1173-[1]QC_indicators!$B$2)&gt;3*[1]QC_indicators!$C$2,"C ratio",IF(ISNUMBER(BY1173),IF(ABS(BY1173-[1]QC_indicators!$B$1)&gt;3*[1]QC_indicators!$C$1,"DF","no"))),IF(ISNUMBER(BY1173),IF(ABS(BY1173-[1]QC_indicators!$B$1)&gt;3*[1]QC_indicators!$C$1,"DF","no")))</f>
        <v>0</v>
      </c>
    </row>
    <row r="1174" spans="1:146" ht="15" hidden="1" customHeight="1">
      <c r="A1174" s="1" t="s">
        <v>333</v>
      </c>
      <c r="B1174" t="s">
        <v>3937</v>
      </c>
      <c r="C1174" t="s">
        <v>3938</v>
      </c>
      <c r="D1174" t="s">
        <v>3939</v>
      </c>
      <c r="E1174" t="s">
        <v>3940</v>
      </c>
      <c r="F1174" t="s">
        <v>3941</v>
      </c>
      <c r="G1174" t="s">
        <v>339</v>
      </c>
      <c r="H1174" t="s">
        <v>254</v>
      </c>
      <c r="I1174">
        <v>2018</v>
      </c>
      <c r="J1174">
        <v>62</v>
      </c>
      <c r="K1174" t="s">
        <v>3942</v>
      </c>
      <c r="M1174" t="str">
        <f t="shared" si="1527"/>
        <v>Pittau_2018</v>
      </c>
      <c r="N1174" s="311" t="s">
        <v>4382</v>
      </c>
      <c r="O1174" s="171" t="s">
        <v>513</v>
      </c>
      <c r="P1174" t="s">
        <v>341</v>
      </c>
      <c r="Q1174" s="311" t="s">
        <v>389</v>
      </c>
      <c r="R1174" s="312"/>
      <c r="S1174" s="1" t="s">
        <v>3949</v>
      </c>
      <c r="T1174" t="s">
        <v>3944</v>
      </c>
      <c r="V1174">
        <v>0</v>
      </c>
      <c r="W1174">
        <v>1</v>
      </c>
      <c r="X1174">
        <v>0</v>
      </c>
      <c r="Y1174">
        <v>0</v>
      </c>
      <c r="Z1174">
        <v>0</v>
      </c>
      <c r="AA1174">
        <v>0</v>
      </c>
      <c r="AB1174">
        <v>0</v>
      </c>
      <c r="AC1174">
        <v>0</v>
      </c>
      <c r="AD1174">
        <v>0</v>
      </c>
      <c r="AE1174">
        <v>0</v>
      </c>
      <c r="AF1174">
        <v>1</v>
      </c>
      <c r="AG1174">
        <v>1</v>
      </c>
      <c r="AH1174">
        <v>1</v>
      </c>
      <c r="AI1174">
        <v>1</v>
      </c>
      <c r="AJ1174">
        <v>0</v>
      </c>
      <c r="AK1174">
        <v>0</v>
      </c>
      <c r="AL1174">
        <v>0</v>
      </c>
      <c r="AM1174">
        <v>0</v>
      </c>
      <c r="AN1174">
        <v>0</v>
      </c>
      <c r="AO1174">
        <v>0</v>
      </c>
      <c r="AP1174">
        <v>0</v>
      </c>
      <c r="AQ1174">
        <v>0</v>
      </c>
      <c r="AR1174">
        <v>0</v>
      </c>
      <c r="AS1174">
        <v>0</v>
      </c>
      <c r="AT1174">
        <v>0</v>
      </c>
      <c r="AU1174">
        <v>0</v>
      </c>
      <c r="AV1174">
        <v>0</v>
      </c>
      <c r="AW1174">
        <v>0</v>
      </c>
      <c r="AX1174" s="141">
        <f t="shared" si="1564"/>
        <v>5</v>
      </c>
      <c r="AY1174" s="141">
        <f t="shared" si="1565"/>
        <v>5</v>
      </c>
      <c r="AZ1174">
        <f t="shared" si="1566"/>
        <v>1</v>
      </c>
      <c r="BA1174">
        <f t="shared" si="1567"/>
        <v>4</v>
      </c>
      <c r="BB1174">
        <f t="shared" si="1568"/>
        <v>0</v>
      </c>
      <c r="BC1174">
        <f t="shared" si="1569"/>
        <v>0</v>
      </c>
      <c r="BD1174">
        <f t="shared" si="1570"/>
        <v>0</v>
      </c>
      <c r="BE1174" t="str" cm="1">
        <f t="array" ref="BE1174">IF(AY1174=1,INDEX($V$7:$AL$7,MATCH(TRUE,INDEX($V1174:$AW1174&lt;&gt;0,),0)),IF(AY1174=0,INDEX($AM$7:$AW$7,MATCH(1,$AM1174:$AW1174,0)),IF(BF1174="Multiple strategies","mixed drivers",IF(BF1174="Supply chain","multiple supply","multiple silviculture"))))</f>
        <v>mixed drivers</v>
      </c>
      <c r="BF1174" s="2" t="str" cm="1">
        <f t="array" ref="BF1174">IF(COUNTIF(AZ1174:BB1174,"&lt;&gt;0")=1,INDEX($V$4:$AW$4,MATCH(TRUE,INDEX($V1174:$AW1174&lt;&gt;0,),0)),IF(COUNTIF(AZ1174:BB1174,"&lt;&gt;0")=0,INDEX($AM$4:$AW$4,MATCH(1,$AM1174:$AW1174,0)),"Multiple strategies"))</f>
        <v>Multiple strategies</v>
      </c>
      <c r="BG1174" s="142"/>
      <c r="BJ1174" s="143"/>
      <c r="BL1174" s="143"/>
      <c r="BN1174" s="158"/>
      <c r="BO1174" s="143"/>
      <c r="BP1174" t="s">
        <v>395</v>
      </c>
      <c r="BR1174" t="s">
        <v>3945</v>
      </c>
      <c r="BS1174">
        <v>173.61053100000004</v>
      </c>
      <c r="BT1174">
        <v>-108.71</v>
      </c>
      <c r="BU1174" s="144"/>
      <c r="BV1174">
        <f t="shared" si="1571"/>
        <v>-282.32053100000002</v>
      </c>
      <c r="BY1174" t="str">
        <f t="shared" si="1524"/>
        <v/>
      </c>
      <c r="CA1174">
        <v>1</v>
      </c>
      <c r="CB1174">
        <v>0</v>
      </c>
      <c r="CC1174">
        <v>0</v>
      </c>
      <c r="CD1174">
        <v>0</v>
      </c>
      <c r="CE1174">
        <v>0</v>
      </c>
      <c r="CF1174">
        <v>0</v>
      </c>
      <c r="CG1174">
        <v>0</v>
      </c>
      <c r="CH1174">
        <v>0</v>
      </c>
      <c r="CI1174">
        <v>0</v>
      </c>
      <c r="CJ1174">
        <v>0</v>
      </c>
      <c r="CK1174">
        <v>0</v>
      </c>
      <c r="CL1174">
        <v>0</v>
      </c>
      <c r="CM1174">
        <v>0</v>
      </c>
      <c r="CN1174" t="str">
        <f t="shared" si="1572"/>
        <v>refOK</v>
      </c>
      <c r="CO1174"/>
      <c r="CP1174"/>
      <c r="CQ1174"/>
      <c r="CR1174">
        <f t="shared" si="1573"/>
        <v>-173.61053100000004</v>
      </c>
      <c r="CS1174">
        <f t="shared" si="1574"/>
        <v>108.71</v>
      </c>
      <c r="CT1174">
        <f t="shared" si="1575"/>
        <v>0</v>
      </c>
      <c r="CU1174" t="str">
        <f t="shared" si="1576"/>
        <v/>
      </c>
      <c r="CV1174" s="2">
        <f t="shared" si="1577"/>
        <v>1.6261716923151392</v>
      </c>
      <c r="CW1174" s="1" t="s">
        <v>973</v>
      </c>
      <c r="CX1174" s="311" t="str">
        <f t="shared" si="1578"/>
        <v>loc</v>
      </c>
      <c r="CY1174" t="s">
        <v>639</v>
      </c>
      <c r="DA1174" s="143"/>
      <c r="DB1174" s="143">
        <v>200</v>
      </c>
      <c r="DC1174" t="str">
        <f t="shared" si="1579"/>
        <v>+100</v>
      </c>
      <c r="DD1174">
        <v>0</v>
      </c>
      <c r="DE1174">
        <v>0</v>
      </c>
      <c r="DF1174">
        <v>0</v>
      </c>
      <c r="DG1174">
        <v>1</v>
      </c>
      <c r="DH1174">
        <v>0</v>
      </c>
      <c r="DI1174">
        <f t="shared" si="1580"/>
        <v>1</v>
      </c>
      <c r="DJ1174" t="str">
        <f t="shared" si="1581"/>
        <v>TimberInput</v>
      </c>
      <c r="DK1174">
        <f t="shared" si="1582"/>
        <v>0</v>
      </c>
      <c r="DL1174">
        <f t="shared" si="1583"/>
        <v>0</v>
      </c>
      <c r="DM1174">
        <f t="shared" si="1584"/>
        <v>0</v>
      </c>
      <c r="DN1174" t="str">
        <f t="shared" si="1585"/>
        <v>Timber</v>
      </c>
      <c r="DO1174">
        <v>1</v>
      </c>
      <c r="DP1174" s="143">
        <v>0</v>
      </c>
      <c r="DQ1174" s="143">
        <v>0</v>
      </c>
      <c r="DR1174">
        <v>0</v>
      </c>
      <c r="DS1174" s="143">
        <v>0</v>
      </c>
      <c r="DT1174">
        <f t="shared" si="1586"/>
        <v>1</v>
      </c>
      <c r="DU1174" s="143" t="str">
        <f t="shared" si="1587"/>
        <v>self-calculated DF</v>
      </c>
      <c r="DV1174" s="143">
        <v>0</v>
      </c>
      <c r="DW1174" s="143">
        <v>0</v>
      </c>
      <c r="DX1174" s="143">
        <v>1</v>
      </c>
      <c r="DY1174" s="143">
        <v>1</v>
      </c>
      <c r="DZ1174">
        <v>1</v>
      </c>
      <c r="EA1174" s="143">
        <v>1</v>
      </c>
      <c r="EB1174" s="143">
        <v>1</v>
      </c>
      <c r="EC1174" s="143">
        <v>1</v>
      </c>
      <c r="ED1174" s="143">
        <v>1</v>
      </c>
      <c r="EE1174">
        <v>1</v>
      </c>
      <c r="EF1174">
        <v>1</v>
      </c>
      <c r="EG1174" s="143">
        <v>1</v>
      </c>
      <c r="EH1174">
        <v>1</v>
      </c>
      <c r="EI1174" s="2">
        <v>0</v>
      </c>
      <c r="EK1174" t="str">
        <f t="shared" si="1562"/>
        <v>Whole sector</v>
      </c>
      <c r="EL1174" t="str">
        <f t="shared" si="1563"/>
        <v/>
      </c>
      <c r="EM1174" s="2" t="str">
        <f t="shared" si="1525"/>
        <v/>
      </c>
      <c r="EP1174" t="b">
        <f>IF(ISNUMBER(BU1174),IF(ABS(BU1174-[1]QC_indicators!$B$2)&gt;3*[1]QC_indicators!$C$2,"C ratio",IF(ISNUMBER(BY1174),IF(ABS(BY1174-[1]QC_indicators!$B$1)&gt;3*[1]QC_indicators!$C$1,"DF","no"))),IF(ISNUMBER(BY1174),IF(ABS(BY1174-[1]QC_indicators!$B$1)&gt;3*[1]QC_indicators!$C$1,"DF","no")))</f>
        <v>0</v>
      </c>
    </row>
    <row r="1175" spans="1:146" ht="15" hidden="1" customHeight="1">
      <c r="A1175" s="1" t="s">
        <v>333</v>
      </c>
      <c r="B1175" t="s">
        <v>3937</v>
      </c>
      <c r="C1175" t="s">
        <v>3938</v>
      </c>
      <c r="D1175" t="s">
        <v>3939</v>
      </c>
      <c r="E1175" t="s">
        <v>3940</v>
      </c>
      <c r="F1175" t="s">
        <v>3941</v>
      </c>
      <c r="G1175" t="s">
        <v>339</v>
      </c>
      <c r="H1175" t="s">
        <v>254</v>
      </c>
      <c r="I1175">
        <v>2018</v>
      </c>
      <c r="J1175">
        <v>62</v>
      </c>
      <c r="K1175" t="s">
        <v>3942</v>
      </c>
      <c r="M1175" t="str">
        <f t="shared" si="1527"/>
        <v>Pittau_2018</v>
      </c>
      <c r="N1175" s="311" t="s">
        <v>4382</v>
      </c>
      <c r="O1175" s="171" t="s">
        <v>513</v>
      </c>
      <c r="P1175" t="s">
        <v>341</v>
      </c>
      <c r="Q1175" s="311" t="s">
        <v>389</v>
      </c>
      <c r="R1175" s="312"/>
      <c r="S1175" s="1" t="s">
        <v>3950</v>
      </c>
      <c r="T1175" t="s">
        <v>3944</v>
      </c>
      <c r="V1175">
        <v>0</v>
      </c>
      <c r="W1175">
        <v>1</v>
      </c>
      <c r="X1175">
        <v>0</v>
      </c>
      <c r="Y1175">
        <v>0</v>
      </c>
      <c r="Z1175">
        <v>0</v>
      </c>
      <c r="AA1175">
        <v>0</v>
      </c>
      <c r="AB1175">
        <v>0</v>
      </c>
      <c r="AC1175">
        <v>0</v>
      </c>
      <c r="AD1175">
        <v>0</v>
      </c>
      <c r="AE1175">
        <v>0</v>
      </c>
      <c r="AF1175">
        <v>1</v>
      </c>
      <c r="AG1175">
        <v>1</v>
      </c>
      <c r="AH1175">
        <v>1</v>
      </c>
      <c r="AI1175">
        <v>1</v>
      </c>
      <c r="AJ1175">
        <v>0</v>
      </c>
      <c r="AK1175">
        <v>0</v>
      </c>
      <c r="AL1175">
        <v>0</v>
      </c>
      <c r="AM1175">
        <v>0</v>
      </c>
      <c r="AN1175">
        <v>0</v>
      </c>
      <c r="AO1175">
        <v>0</v>
      </c>
      <c r="AP1175">
        <v>0</v>
      </c>
      <c r="AQ1175">
        <v>0</v>
      </c>
      <c r="AR1175">
        <v>0</v>
      </c>
      <c r="AS1175">
        <v>0</v>
      </c>
      <c r="AT1175">
        <v>0</v>
      </c>
      <c r="AU1175">
        <v>0</v>
      </c>
      <c r="AV1175">
        <v>0</v>
      </c>
      <c r="AW1175">
        <v>0</v>
      </c>
      <c r="AX1175" s="141">
        <f t="shared" si="1564"/>
        <v>5</v>
      </c>
      <c r="AY1175" s="141">
        <f t="shared" si="1565"/>
        <v>5</v>
      </c>
      <c r="AZ1175">
        <f t="shared" si="1566"/>
        <v>1</v>
      </c>
      <c r="BA1175">
        <f t="shared" si="1567"/>
        <v>4</v>
      </c>
      <c r="BB1175">
        <f t="shared" si="1568"/>
        <v>0</v>
      </c>
      <c r="BC1175">
        <f t="shared" si="1569"/>
        <v>0</v>
      </c>
      <c r="BD1175">
        <f t="shared" si="1570"/>
        <v>0</v>
      </c>
      <c r="BE1175" t="str" cm="1">
        <f t="array" ref="BE1175">IF(AY1175=1,INDEX($V$7:$AL$7,MATCH(TRUE,INDEX($V1175:$AW1175&lt;&gt;0,),0)),IF(AY1175=0,INDEX($AM$7:$AW$7,MATCH(1,$AM1175:$AW1175,0)),IF(BF1175="Multiple strategies","mixed drivers",IF(BF1175="Supply chain","multiple supply","multiple silviculture"))))</f>
        <v>mixed drivers</v>
      </c>
      <c r="BF1175" s="2" t="str" cm="1">
        <f t="array" ref="BF1175">IF(COUNTIF(AZ1175:BB1175,"&lt;&gt;0")=1,INDEX($V$4:$AW$4,MATCH(TRUE,INDEX($V1175:$AW1175&lt;&gt;0,),0)),IF(COUNTIF(AZ1175:BB1175,"&lt;&gt;0")=0,INDEX($AM$4:$AW$4,MATCH(1,$AM1175:$AW1175,0)),"Multiple strategies"))</f>
        <v>Multiple strategies</v>
      </c>
      <c r="BG1175" s="142"/>
      <c r="BJ1175" s="143"/>
      <c r="BL1175" s="143"/>
      <c r="BN1175" s="158"/>
      <c r="BO1175" s="143"/>
      <c r="BP1175" t="s">
        <v>395</v>
      </c>
      <c r="BR1175" t="s">
        <v>3945</v>
      </c>
      <c r="BS1175">
        <v>173.61053100000004</v>
      </c>
      <c r="BT1175">
        <v>-96.38</v>
      </c>
      <c r="BU1175" s="144"/>
      <c r="BV1175">
        <f t="shared" si="1571"/>
        <v>-269.99053100000003</v>
      </c>
      <c r="BY1175" t="str">
        <f t="shared" si="1524"/>
        <v/>
      </c>
      <c r="CA1175">
        <v>1</v>
      </c>
      <c r="CB1175">
        <v>0</v>
      </c>
      <c r="CC1175">
        <v>0</v>
      </c>
      <c r="CD1175">
        <v>0</v>
      </c>
      <c r="CE1175">
        <v>0</v>
      </c>
      <c r="CF1175">
        <v>0</v>
      </c>
      <c r="CG1175">
        <v>0</v>
      </c>
      <c r="CH1175">
        <v>0</v>
      </c>
      <c r="CI1175">
        <v>0</v>
      </c>
      <c r="CJ1175">
        <v>0</v>
      </c>
      <c r="CK1175">
        <v>0</v>
      </c>
      <c r="CL1175">
        <v>0</v>
      </c>
      <c r="CM1175">
        <v>0</v>
      </c>
      <c r="CN1175" t="str">
        <f t="shared" si="1572"/>
        <v>refOK</v>
      </c>
      <c r="CO1175"/>
      <c r="CP1175"/>
      <c r="CQ1175"/>
      <c r="CR1175">
        <f t="shared" si="1573"/>
        <v>-173.61053100000004</v>
      </c>
      <c r="CS1175">
        <f t="shared" si="1574"/>
        <v>96.38</v>
      </c>
      <c r="CT1175">
        <f t="shared" si="1575"/>
        <v>0</v>
      </c>
      <c r="CU1175" t="str">
        <f t="shared" si="1576"/>
        <v/>
      </c>
      <c r="CV1175" s="2">
        <f t="shared" si="1577"/>
        <v>1.5551506550026044</v>
      </c>
      <c r="CW1175" s="1" t="s">
        <v>973</v>
      </c>
      <c r="CX1175" s="311" t="str">
        <f t="shared" si="1578"/>
        <v>loc</v>
      </c>
      <c r="CY1175" t="s">
        <v>639</v>
      </c>
      <c r="DA1175" s="143"/>
      <c r="DB1175" s="143">
        <v>200</v>
      </c>
      <c r="DC1175" t="str">
        <f t="shared" si="1579"/>
        <v>+100</v>
      </c>
      <c r="DD1175">
        <v>0</v>
      </c>
      <c r="DE1175">
        <v>0</v>
      </c>
      <c r="DF1175">
        <v>0</v>
      </c>
      <c r="DG1175">
        <v>1</v>
      </c>
      <c r="DH1175">
        <v>0</v>
      </c>
      <c r="DI1175">
        <f t="shared" si="1580"/>
        <v>1</v>
      </c>
      <c r="DJ1175" t="str">
        <f t="shared" si="1581"/>
        <v>TimberInput</v>
      </c>
      <c r="DK1175">
        <f t="shared" si="1582"/>
        <v>0</v>
      </c>
      <c r="DL1175">
        <f t="shared" si="1583"/>
        <v>0</v>
      </c>
      <c r="DM1175">
        <f t="shared" si="1584"/>
        <v>0</v>
      </c>
      <c r="DN1175" t="str">
        <f t="shared" si="1585"/>
        <v>Timber</v>
      </c>
      <c r="DO1175">
        <v>1</v>
      </c>
      <c r="DP1175" s="143">
        <v>0</v>
      </c>
      <c r="DQ1175" s="143">
        <v>0</v>
      </c>
      <c r="DR1175">
        <v>0</v>
      </c>
      <c r="DS1175" s="143">
        <v>0</v>
      </c>
      <c r="DT1175">
        <f t="shared" si="1586"/>
        <v>1</v>
      </c>
      <c r="DU1175" s="143" t="str">
        <f t="shared" si="1587"/>
        <v>self-calculated DF</v>
      </c>
      <c r="DV1175" s="143">
        <v>0</v>
      </c>
      <c r="DW1175" s="143">
        <v>0</v>
      </c>
      <c r="DX1175" s="143">
        <v>1</v>
      </c>
      <c r="DY1175" s="143">
        <v>1</v>
      </c>
      <c r="DZ1175">
        <v>1</v>
      </c>
      <c r="EA1175" s="143">
        <v>1</v>
      </c>
      <c r="EB1175" s="143">
        <v>1</v>
      </c>
      <c r="EC1175" s="143">
        <v>1</v>
      </c>
      <c r="ED1175" s="143">
        <v>1</v>
      </c>
      <c r="EE1175">
        <v>1</v>
      </c>
      <c r="EF1175">
        <v>1</v>
      </c>
      <c r="EG1175" s="143">
        <v>1</v>
      </c>
      <c r="EH1175">
        <v>1</v>
      </c>
      <c r="EI1175" s="2">
        <v>0</v>
      </c>
      <c r="EK1175" t="str">
        <f t="shared" si="1562"/>
        <v>Whole sector</v>
      </c>
      <c r="EL1175" t="str">
        <f t="shared" si="1563"/>
        <v/>
      </c>
      <c r="EM1175" s="2" t="str">
        <f t="shared" si="1525"/>
        <v/>
      </c>
      <c r="EP1175" t="b">
        <f>IF(ISNUMBER(BU1175),IF(ABS(BU1175-[1]QC_indicators!$B$2)&gt;3*[1]QC_indicators!$C$2,"C ratio",IF(ISNUMBER(BY1175),IF(ABS(BY1175-[1]QC_indicators!$B$1)&gt;3*[1]QC_indicators!$C$1,"DF","no"))),IF(ISNUMBER(BY1175),IF(ABS(BY1175-[1]QC_indicators!$B$1)&gt;3*[1]QC_indicators!$C$1,"DF","no")))</f>
        <v>0</v>
      </c>
    </row>
    <row r="1176" spans="1:146" ht="15" hidden="1" customHeight="1">
      <c r="A1176" s="1" t="s">
        <v>333</v>
      </c>
      <c r="B1176" t="s">
        <v>3937</v>
      </c>
      <c r="C1176" t="s">
        <v>3938</v>
      </c>
      <c r="D1176" t="s">
        <v>3939</v>
      </c>
      <c r="E1176" t="s">
        <v>3940</v>
      </c>
      <c r="F1176" t="s">
        <v>3941</v>
      </c>
      <c r="G1176" t="s">
        <v>339</v>
      </c>
      <c r="H1176" t="s">
        <v>254</v>
      </c>
      <c r="I1176">
        <v>2018</v>
      </c>
      <c r="J1176">
        <v>62</v>
      </c>
      <c r="K1176" t="s">
        <v>3942</v>
      </c>
      <c r="M1176" t="str">
        <f t="shared" si="1527"/>
        <v>Pittau_2018</v>
      </c>
      <c r="N1176" s="311" t="s">
        <v>4382</v>
      </c>
      <c r="O1176" s="171" t="s">
        <v>513</v>
      </c>
      <c r="P1176" t="s">
        <v>341</v>
      </c>
      <c r="Q1176" s="311" t="s">
        <v>389</v>
      </c>
      <c r="R1176" s="312"/>
      <c r="S1176" s="1" t="s">
        <v>3951</v>
      </c>
      <c r="T1176" t="s">
        <v>3944</v>
      </c>
      <c r="V1176">
        <v>0</v>
      </c>
      <c r="W1176">
        <v>1</v>
      </c>
      <c r="X1176">
        <v>0</v>
      </c>
      <c r="Y1176">
        <v>0</v>
      </c>
      <c r="Z1176">
        <v>0</v>
      </c>
      <c r="AA1176">
        <v>0</v>
      </c>
      <c r="AB1176">
        <v>0</v>
      </c>
      <c r="AC1176">
        <v>0</v>
      </c>
      <c r="AD1176">
        <v>0</v>
      </c>
      <c r="AE1176">
        <v>0</v>
      </c>
      <c r="AF1176">
        <v>1</v>
      </c>
      <c r="AG1176">
        <v>1</v>
      </c>
      <c r="AH1176">
        <v>1</v>
      </c>
      <c r="AI1176">
        <v>1</v>
      </c>
      <c r="AJ1176">
        <v>0</v>
      </c>
      <c r="AK1176">
        <v>0</v>
      </c>
      <c r="AL1176">
        <v>0</v>
      </c>
      <c r="AM1176">
        <v>0</v>
      </c>
      <c r="AN1176">
        <v>0</v>
      </c>
      <c r="AO1176">
        <v>0</v>
      </c>
      <c r="AP1176">
        <v>0</v>
      </c>
      <c r="AQ1176">
        <v>0</v>
      </c>
      <c r="AR1176">
        <v>0</v>
      </c>
      <c r="AS1176">
        <v>0</v>
      </c>
      <c r="AT1176">
        <v>0</v>
      </c>
      <c r="AU1176">
        <v>0</v>
      </c>
      <c r="AV1176">
        <v>0</v>
      </c>
      <c r="AW1176">
        <v>0</v>
      </c>
      <c r="AX1176" s="141">
        <f t="shared" si="1564"/>
        <v>5</v>
      </c>
      <c r="AY1176" s="141">
        <f t="shared" si="1565"/>
        <v>5</v>
      </c>
      <c r="AZ1176">
        <f t="shared" si="1566"/>
        <v>1</v>
      </c>
      <c r="BA1176">
        <f t="shared" si="1567"/>
        <v>4</v>
      </c>
      <c r="BB1176">
        <f t="shared" si="1568"/>
        <v>0</v>
      </c>
      <c r="BC1176">
        <f t="shared" si="1569"/>
        <v>0</v>
      </c>
      <c r="BD1176">
        <f t="shared" si="1570"/>
        <v>0</v>
      </c>
      <c r="BE1176" t="str" cm="1">
        <f t="array" ref="BE1176">IF(AY1176=1,INDEX($V$7:$AL$7,MATCH(TRUE,INDEX($V1176:$AW1176&lt;&gt;0,),0)),IF(AY1176=0,INDEX($AM$7:$AW$7,MATCH(1,$AM1176:$AW1176,0)),IF(BF1176="Multiple strategies","mixed drivers",IF(BF1176="Supply chain","multiple supply","multiple silviculture"))))</f>
        <v>mixed drivers</v>
      </c>
      <c r="BF1176" s="2" t="str" cm="1">
        <f t="array" ref="BF1176">IF(COUNTIF(AZ1176:BB1176,"&lt;&gt;0")=1,INDEX($V$4:$AW$4,MATCH(TRUE,INDEX($V1176:$AW1176&lt;&gt;0,),0)),IF(COUNTIF(AZ1176:BB1176,"&lt;&gt;0")=0,INDEX($AM$4:$AW$4,MATCH(1,$AM1176:$AW1176,0)),"Multiple strategies"))</f>
        <v>Multiple strategies</v>
      </c>
      <c r="BG1176" s="142"/>
      <c r="BJ1176" s="143"/>
      <c r="BL1176" s="143"/>
      <c r="BN1176" s="158"/>
      <c r="BO1176" s="143"/>
      <c r="BP1176" t="s">
        <v>395</v>
      </c>
      <c r="BR1176" t="s">
        <v>3945</v>
      </c>
      <c r="BS1176">
        <v>173.61053100000004</v>
      </c>
      <c r="BT1176">
        <v>-83.96</v>
      </c>
      <c r="BU1176" s="144"/>
      <c r="BV1176">
        <f t="shared" si="1571"/>
        <v>-257.57053100000002</v>
      </c>
      <c r="BY1176" t="str">
        <f t="shared" si="1524"/>
        <v/>
      </c>
      <c r="CA1176">
        <v>1</v>
      </c>
      <c r="CB1176">
        <v>0</v>
      </c>
      <c r="CC1176">
        <v>0</v>
      </c>
      <c r="CD1176">
        <v>0</v>
      </c>
      <c r="CE1176">
        <v>0</v>
      </c>
      <c r="CF1176">
        <v>0</v>
      </c>
      <c r="CG1176">
        <v>0</v>
      </c>
      <c r="CH1176">
        <v>0</v>
      </c>
      <c r="CI1176">
        <v>0</v>
      </c>
      <c r="CJ1176">
        <v>0</v>
      </c>
      <c r="CK1176">
        <v>0</v>
      </c>
      <c r="CL1176">
        <v>0</v>
      </c>
      <c r="CM1176">
        <v>0</v>
      </c>
      <c r="CN1176" t="str">
        <f t="shared" si="1572"/>
        <v>refOK</v>
      </c>
      <c r="CO1176"/>
      <c r="CP1176"/>
      <c r="CQ1176"/>
      <c r="CR1176">
        <f t="shared" si="1573"/>
        <v>-173.61053100000004</v>
      </c>
      <c r="CS1176">
        <f t="shared" si="1574"/>
        <v>83.96</v>
      </c>
      <c r="CT1176">
        <f t="shared" si="1575"/>
        <v>0</v>
      </c>
      <c r="CU1176" t="str">
        <f t="shared" si="1576"/>
        <v/>
      </c>
      <c r="CV1176" s="2">
        <f t="shared" si="1577"/>
        <v>1.4836112159578612</v>
      </c>
      <c r="CW1176" s="1" t="s">
        <v>973</v>
      </c>
      <c r="CX1176" s="311" t="str">
        <f t="shared" si="1578"/>
        <v>loc</v>
      </c>
      <c r="CY1176" t="s">
        <v>639</v>
      </c>
      <c r="DA1176" s="143"/>
      <c r="DB1176" s="143">
        <v>200</v>
      </c>
      <c r="DC1176" t="str">
        <f t="shared" si="1579"/>
        <v>+100</v>
      </c>
      <c r="DD1176">
        <v>0</v>
      </c>
      <c r="DE1176">
        <v>0</v>
      </c>
      <c r="DF1176">
        <v>0</v>
      </c>
      <c r="DG1176">
        <v>1</v>
      </c>
      <c r="DH1176">
        <v>0</v>
      </c>
      <c r="DI1176">
        <f t="shared" si="1580"/>
        <v>1</v>
      </c>
      <c r="DJ1176" t="str">
        <f t="shared" si="1581"/>
        <v>TimberInput</v>
      </c>
      <c r="DK1176">
        <f t="shared" si="1582"/>
        <v>0</v>
      </c>
      <c r="DL1176">
        <f t="shared" si="1583"/>
        <v>0</v>
      </c>
      <c r="DM1176">
        <f t="shared" si="1584"/>
        <v>0</v>
      </c>
      <c r="DN1176" t="str">
        <f t="shared" si="1585"/>
        <v>Timber</v>
      </c>
      <c r="DO1176">
        <v>1</v>
      </c>
      <c r="DP1176" s="143">
        <v>0</v>
      </c>
      <c r="DQ1176" s="143">
        <v>0</v>
      </c>
      <c r="DR1176">
        <v>0</v>
      </c>
      <c r="DS1176" s="143">
        <v>0</v>
      </c>
      <c r="DT1176">
        <f t="shared" si="1586"/>
        <v>1</v>
      </c>
      <c r="DU1176" s="143" t="str">
        <f t="shared" si="1587"/>
        <v>self-calculated DF</v>
      </c>
      <c r="DV1176" s="143">
        <v>0</v>
      </c>
      <c r="DW1176" s="143">
        <v>0</v>
      </c>
      <c r="DX1176" s="143">
        <v>1</v>
      </c>
      <c r="DY1176" s="143">
        <v>1</v>
      </c>
      <c r="DZ1176">
        <v>1</v>
      </c>
      <c r="EA1176" s="143">
        <v>1</v>
      </c>
      <c r="EB1176" s="143">
        <v>1</v>
      </c>
      <c r="EC1176" s="143">
        <v>1</v>
      </c>
      <c r="ED1176" s="143">
        <v>1</v>
      </c>
      <c r="EE1176">
        <v>1</v>
      </c>
      <c r="EF1176">
        <v>1</v>
      </c>
      <c r="EG1176" s="143">
        <v>1</v>
      </c>
      <c r="EH1176">
        <v>1</v>
      </c>
      <c r="EI1176" s="2">
        <v>0</v>
      </c>
      <c r="EK1176" t="str">
        <f t="shared" si="1562"/>
        <v>Whole sector</v>
      </c>
      <c r="EL1176" t="str">
        <f t="shared" si="1563"/>
        <v/>
      </c>
      <c r="EM1176" s="2" t="str">
        <f t="shared" si="1525"/>
        <v/>
      </c>
      <c r="EP1176" t="b">
        <f>IF(ISNUMBER(BU1176),IF(ABS(BU1176-[1]QC_indicators!$B$2)&gt;3*[1]QC_indicators!$C$2,"C ratio",IF(ISNUMBER(BY1176),IF(ABS(BY1176-[1]QC_indicators!$B$1)&gt;3*[1]QC_indicators!$C$1,"DF","no"))),IF(ISNUMBER(BY1176),IF(ABS(BY1176-[1]QC_indicators!$B$1)&gt;3*[1]QC_indicators!$C$1,"DF","no")))</f>
        <v>0</v>
      </c>
    </row>
    <row r="1177" spans="1:146" ht="15" hidden="1" customHeight="1">
      <c r="A1177" s="1" t="s">
        <v>333</v>
      </c>
      <c r="B1177" t="s">
        <v>3937</v>
      </c>
      <c r="C1177" t="s">
        <v>3938</v>
      </c>
      <c r="D1177" t="s">
        <v>3939</v>
      </c>
      <c r="E1177" t="s">
        <v>3940</v>
      </c>
      <c r="F1177" t="s">
        <v>3941</v>
      </c>
      <c r="G1177" t="s">
        <v>339</v>
      </c>
      <c r="H1177" t="s">
        <v>254</v>
      </c>
      <c r="I1177">
        <v>2018</v>
      </c>
      <c r="J1177">
        <v>62</v>
      </c>
      <c r="K1177" t="s">
        <v>3942</v>
      </c>
      <c r="M1177" t="str">
        <f t="shared" si="1527"/>
        <v>Pittau_2018</v>
      </c>
      <c r="N1177" s="311" t="s">
        <v>4382</v>
      </c>
      <c r="O1177" s="171" t="s">
        <v>513</v>
      </c>
      <c r="P1177" t="s">
        <v>341</v>
      </c>
      <c r="Q1177" s="311" t="s">
        <v>389</v>
      </c>
      <c r="R1177" s="312"/>
      <c r="S1177" s="1" t="s">
        <v>3952</v>
      </c>
      <c r="T1177" t="s">
        <v>3944</v>
      </c>
      <c r="V1177">
        <v>0</v>
      </c>
      <c r="W1177">
        <v>1</v>
      </c>
      <c r="X1177">
        <v>0</v>
      </c>
      <c r="Y1177">
        <v>0</v>
      </c>
      <c r="Z1177">
        <v>0</v>
      </c>
      <c r="AA1177">
        <v>0</v>
      </c>
      <c r="AB1177">
        <v>0</v>
      </c>
      <c r="AC1177">
        <v>0</v>
      </c>
      <c r="AD1177">
        <v>0</v>
      </c>
      <c r="AE1177">
        <v>0</v>
      </c>
      <c r="AF1177">
        <v>1</v>
      </c>
      <c r="AG1177">
        <v>1</v>
      </c>
      <c r="AH1177">
        <v>1</v>
      </c>
      <c r="AI1177">
        <v>1</v>
      </c>
      <c r="AJ1177">
        <v>0</v>
      </c>
      <c r="AK1177">
        <v>0</v>
      </c>
      <c r="AL1177">
        <v>0</v>
      </c>
      <c r="AM1177">
        <v>0</v>
      </c>
      <c r="AN1177">
        <v>0</v>
      </c>
      <c r="AO1177">
        <v>0</v>
      </c>
      <c r="AP1177">
        <v>0</v>
      </c>
      <c r="AQ1177">
        <v>0</v>
      </c>
      <c r="AR1177">
        <v>0</v>
      </c>
      <c r="AS1177">
        <v>0</v>
      </c>
      <c r="AT1177">
        <v>0</v>
      </c>
      <c r="AU1177">
        <v>0</v>
      </c>
      <c r="AV1177">
        <v>0</v>
      </c>
      <c r="AW1177">
        <v>0</v>
      </c>
      <c r="AX1177" s="141">
        <f t="shared" si="1564"/>
        <v>5</v>
      </c>
      <c r="AY1177" s="141">
        <f t="shared" si="1565"/>
        <v>5</v>
      </c>
      <c r="AZ1177">
        <f t="shared" si="1566"/>
        <v>1</v>
      </c>
      <c r="BA1177">
        <f t="shared" si="1567"/>
        <v>4</v>
      </c>
      <c r="BB1177">
        <f t="shared" si="1568"/>
        <v>0</v>
      </c>
      <c r="BC1177">
        <f t="shared" si="1569"/>
        <v>0</v>
      </c>
      <c r="BD1177">
        <f t="shared" si="1570"/>
        <v>0</v>
      </c>
      <c r="BE1177" t="str" cm="1">
        <f t="array" ref="BE1177">IF(AY1177=1,INDEX($V$7:$AL$7,MATCH(TRUE,INDEX($V1177:$AW1177&lt;&gt;0,),0)),IF(AY1177=0,INDEX($AM$7:$AW$7,MATCH(1,$AM1177:$AW1177,0)),IF(BF1177="Multiple strategies","mixed drivers",IF(BF1177="Supply chain","multiple supply","multiple silviculture"))))</f>
        <v>mixed drivers</v>
      </c>
      <c r="BF1177" s="2" t="str" cm="1">
        <f t="array" ref="BF1177">IF(COUNTIF(AZ1177:BB1177,"&lt;&gt;0")=1,INDEX($V$4:$AW$4,MATCH(TRUE,INDEX($V1177:$AW1177&lt;&gt;0,),0)),IF(COUNTIF(AZ1177:BB1177,"&lt;&gt;0")=0,INDEX($AM$4:$AW$4,MATCH(1,$AM1177:$AW1177,0)),"Multiple strategies"))</f>
        <v>Multiple strategies</v>
      </c>
      <c r="BG1177" s="142"/>
      <c r="BJ1177" s="143"/>
      <c r="BL1177" s="143"/>
      <c r="BN1177" s="158"/>
      <c r="BO1177" s="143"/>
      <c r="BP1177" t="s">
        <v>395</v>
      </c>
      <c r="BR1177" t="s">
        <v>3945</v>
      </c>
      <c r="BS1177">
        <v>173.61053100000004</v>
      </c>
      <c r="BT1177">
        <v>-73.069999999999993</v>
      </c>
      <c r="BU1177" s="144"/>
      <c r="BV1177">
        <f t="shared" si="1571"/>
        <v>-246.68053100000003</v>
      </c>
      <c r="BY1177" t="str">
        <f t="shared" si="1524"/>
        <v/>
      </c>
      <c r="CA1177">
        <v>1</v>
      </c>
      <c r="CB1177">
        <v>0</v>
      </c>
      <c r="CC1177">
        <v>0</v>
      </c>
      <c r="CD1177">
        <v>0</v>
      </c>
      <c r="CE1177">
        <v>0</v>
      </c>
      <c r="CF1177">
        <v>0</v>
      </c>
      <c r="CG1177">
        <v>0</v>
      </c>
      <c r="CH1177">
        <v>0</v>
      </c>
      <c r="CI1177">
        <v>0</v>
      </c>
      <c r="CJ1177">
        <v>0</v>
      </c>
      <c r="CK1177">
        <v>0</v>
      </c>
      <c r="CL1177">
        <v>0</v>
      </c>
      <c r="CM1177">
        <v>0</v>
      </c>
      <c r="CN1177" t="str">
        <f t="shared" si="1572"/>
        <v>refOK</v>
      </c>
      <c r="CO1177"/>
      <c r="CP1177"/>
      <c r="CQ1177"/>
      <c r="CR1177">
        <f t="shared" si="1573"/>
        <v>-173.61053100000004</v>
      </c>
      <c r="CS1177">
        <f t="shared" si="1574"/>
        <v>73.069999999999993</v>
      </c>
      <c r="CT1177">
        <f t="shared" si="1575"/>
        <v>0</v>
      </c>
      <c r="CU1177" t="str">
        <f t="shared" si="1576"/>
        <v/>
      </c>
      <c r="CV1177" s="2">
        <f t="shared" si="1577"/>
        <v>1.4208846063606591</v>
      </c>
      <c r="CW1177" s="1" t="s">
        <v>973</v>
      </c>
      <c r="CX1177" s="311" t="str">
        <f t="shared" si="1578"/>
        <v>loc</v>
      </c>
      <c r="CY1177" t="s">
        <v>639</v>
      </c>
      <c r="DA1177" s="143"/>
      <c r="DB1177" s="143">
        <v>200</v>
      </c>
      <c r="DC1177" t="str">
        <f t="shared" si="1579"/>
        <v>+100</v>
      </c>
      <c r="DD1177">
        <v>0</v>
      </c>
      <c r="DE1177">
        <v>0</v>
      </c>
      <c r="DF1177">
        <v>0</v>
      </c>
      <c r="DG1177">
        <v>1</v>
      </c>
      <c r="DH1177">
        <v>0</v>
      </c>
      <c r="DI1177">
        <f t="shared" si="1580"/>
        <v>1</v>
      </c>
      <c r="DJ1177" t="str">
        <f t="shared" si="1581"/>
        <v>TimberInput</v>
      </c>
      <c r="DK1177">
        <f t="shared" si="1582"/>
        <v>0</v>
      </c>
      <c r="DL1177">
        <f t="shared" si="1583"/>
        <v>0</v>
      </c>
      <c r="DM1177">
        <f t="shared" si="1584"/>
        <v>0</v>
      </c>
      <c r="DN1177" t="str">
        <f t="shared" si="1585"/>
        <v>Timber</v>
      </c>
      <c r="DO1177">
        <v>1</v>
      </c>
      <c r="DP1177" s="143">
        <v>0</v>
      </c>
      <c r="DQ1177" s="143">
        <v>0</v>
      </c>
      <c r="DR1177">
        <v>0</v>
      </c>
      <c r="DS1177" s="143">
        <v>0</v>
      </c>
      <c r="DT1177">
        <f t="shared" si="1586"/>
        <v>1</v>
      </c>
      <c r="DU1177" s="143" t="str">
        <f t="shared" si="1587"/>
        <v>self-calculated DF</v>
      </c>
      <c r="DV1177" s="143">
        <v>0</v>
      </c>
      <c r="DW1177" s="143">
        <v>0</v>
      </c>
      <c r="DX1177" s="143">
        <v>1</v>
      </c>
      <c r="DY1177" s="143">
        <v>1</v>
      </c>
      <c r="DZ1177">
        <v>1</v>
      </c>
      <c r="EA1177" s="143">
        <v>1</v>
      </c>
      <c r="EB1177" s="143">
        <v>1</v>
      </c>
      <c r="EC1177" s="143">
        <v>1</v>
      </c>
      <c r="ED1177" s="143">
        <v>1</v>
      </c>
      <c r="EE1177">
        <v>1</v>
      </c>
      <c r="EF1177">
        <v>1</v>
      </c>
      <c r="EG1177" s="143">
        <v>1</v>
      </c>
      <c r="EH1177">
        <v>1</v>
      </c>
      <c r="EI1177" s="2">
        <v>0</v>
      </c>
      <c r="EK1177" t="str">
        <f t="shared" si="1562"/>
        <v>Whole sector</v>
      </c>
      <c r="EL1177" t="str">
        <f t="shared" si="1563"/>
        <v/>
      </c>
      <c r="EM1177" s="2" t="str">
        <f t="shared" si="1525"/>
        <v/>
      </c>
      <c r="EP1177" t="b">
        <f>IF(ISNUMBER(BU1177),IF(ABS(BU1177-[1]QC_indicators!$B$2)&gt;3*[1]QC_indicators!$C$2,"C ratio",IF(ISNUMBER(BY1177),IF(ABS(BY1177-[1]QC_indicators!$B$1)&gt;3*[1]QC_indicators!$C$1,"DF","no"))),IF(ISNUMBER(BY1177),IF(ABS(BY1177-[1]QC_indicators!$B$1)&gt;3*[1]QC_indicators!$C$1,"DF","no")))</f>
        <v>0</v>
      </c>
    </row>
    <row r="1178" spans="1:146" ht="15" hidden="1" customHeight="1">
      <c r="A1178" s="1" t="s">
        <v>333</v>
      </c>
      <c r="B1178" t="s">
        <v>3937</v>
      </c>
      <c r="C1178" t="s">
        <v>3938</v>
      </c>
      <c r="D1178" t="s">
        <v>3939</v>
      </c>
      <c r="E1178" t="s">
        <v>3940</v>
      </c>
      <c r="F1178" t="s">
        <v>3941</v>
      </c>
      <c r="G1178" t="s">
        <v>339</v>
      </c>
      <c r="H1178" t="s">
        <v>254</v>
      </c>
      <c r="I1178">
        <v>2018</v>
      </c>
      <c r="J1178">
        <v>62</v>
      </c>
      <c r="K1178" t="s">
        <v>3942</v>
      </c>
      <c r="M1178" t="str">
        <f t="shared" si="1527"/>
        <v>Pittau_2018</v>
      </c>
      <c r="N1178" s="311" t="s">
        <v>4382</v>
      </c>
      <c r="O1178" s="171" t="s">
        <v>513</v>
      </c>
      <c r="P1178" t="s">
        <v>341</v>
      </c>
      <c r="Q1178" s="311" t="s">
        <v>389</v>
      </c>
      <c r="R1178" s="312"/>
      <c r="S1178" s="1" t="s">
        <v>3953</v>
      </c>
      <c r="T1178" t="s">
        <v>3944</v>
      </c>
      <c r="V1178">
        <v>0</v>
      </c>
      <c r="W1178">
        <v>1</v>
      </c>
      <c r="X1178">
        <v>0</v>
      </c>
      <c r="Y1178">
        <v>0</v>
      </c>
      <c r="Z1178">
        <v>0</v>
      </c>
      <c r="AA1178">
        <v>0</v>
      </c>
      <c r="AB1178">
        <v>0</v>
      </c>
      <c r="AC1178">
        <v>0</v>
      </c>
      <c r="AD1178">
        <v>0</v>
      </c>
      <c r="AE1178">
        <v>0</v>
      </c>
      <c r="AF1178">
        <v>1</v>
      </c>
      <c r="AG1178">
        <v>1</v>
      </c>
      <c r="AH1178">
        <v>1</v>
      </c>
      <c r="AI1178">
        <v>1</v>
      </c>
      <c r="AJ1178">
        <v>0</v>
      </c>
      <c r="AK1178">
        <v>0</v>
      </c>
      <c r="AL1178">
        <v>0</v>
      </c>
      <c r="AM1178">
        <v>0</v>
      </c>
      <c r="AN1178">
        <v>0</v>
      </c>
      <c r="AO1178">
        <v>0</v>
      </c>
      <c r="AP1178">
        <v>0</v>
      </c>
      <c r="AQ1178">
        <v>0</v>
      </c>
      <c r="AR1178">
        <v>0</v>
      </c>
      <c r="AS1178">
        <v>0</v>
      </c>
      <c r="AT1178">
        <v>0</v>
      </c>
      <c r="AU1178">
        <v>0</v>
      </c>
      <c r="AV1178">
        <v>0</v>
      </c>
      <c r="AW1178">
        <v>0</v>
      </c>
      <c r="AX1178" s="141">
        <f t="shared" si="1564"/>
        <v>5</v>
      </c>
      <c r="AY1178" s="141">
        <f t="shared" si="1565"/>
        <v>5</v>
      </c>
      <c r="AZ1178">
        <f t="shared" si="1566"/>
        <v>1</v>
      </c>
      <c r="BA1178">
        <f t="shared" si="1567"/>
        <v>4</v>
      </c>
      <c r="BB1178">
        <f t="shared" si="1568"/>
        <v>0</v>
      </c>
      <c r="BC1178">
        <f t="shared" si="1569"/>
        <v>0</v>
      </c>
      <c r="BD1178">
        <f t="shared" si="1570"/>
        <v>0</v>
      </c>
      <c r="BE1178" t="str" cm="1">
        <f t="array" ref="BE1178">IF(AY1178=1,INDEX($V$7:$AL$7,MATCH(TRUE,INDEX($V1178:$AW1178&lt;&gt;0,),0)),IF(AY1178=0,INDEX($AM$7:$AW$7,MATCH(1,$AM1178:$AW1178,0)),IF(BF1178="Multiple strategies","mixed drivers",IF(BF1178="Supply chain","multiple supply","multiple silviculture"))))</f>
        <v>mixed drivers</v>
      </c>
      <c r="BF1178" s="2" t="str" cm="1">
        <f t="array" ref="BF1178">IF(COUNTIF(AZ1178:BB1178,"&lt;&gt;0")=1,INDEX($V$4:$AW$4,MATCH(TRUE,INDEX($V1178:$AW1178&lt;&gt;0,),0)),IF(COUNTIF(AZ1178:BB1178,"&lt;&gt;0")=0,INDEX($AM$4:$AW$4,MATCH(1,$AM1178:$AW1178,0)),"Multiple strategies"))</f>
        <v>Multiple strategies</v>
      </c>
      <c r="BG1178" s="142"/>
      <c r="BJ1178" s="143"/>
      <c r="BL1178" s="143"/>
      <c r="BN1178" s="158"/>
      <c r="BO1178" s="143"/>
      <c r="BP1178" t="s">
        <v>395</v>
      </c>
      <c r="BR1178" t="s">
        <v>3945</v>
      </c>
      <c r="BS1178">
        <v>173.61053100000004</v>
      </c>
      <c r="BT1178">
        <v>-1.91</v>
      </c>
      <c r="BU1178" s="144"/>
      <c r="BV1178">
        <f t="shared" si="1571"/>
        <v>-175.52053100000003</v>
      </c>
      <c r="BY1178" t="str">
        <f t="shared" si="1524"/>
        <v/>
      </c>
      <c r="CA1178">
        <v>1</v>
      </c>
      <c r="CB1178">
        <v>0</v>
      </c>
      <c r="CC1178">
        <v>0</v>
      </c>
      <c r="CD1178">
        <v>0</v>
      </c>
      <c r="CE1178">
        <v>0</v>
      </c>
      <c r="CF1178">
        <v>0</v>
      </c>
      <c r="CG1178">
        <v>0</v>
      </c>
      <c r="CH1178">
        <v>0</v>
      </c>
      <c r="CI1178">
        <v>0</v>
      </c>
      <c r="CJ1178">
        <v>0</v>
      </c>
      <c r="CK1178">
        <v>0</v>
      </c>
      <c r="CL1178">
        <v>0</v>
      </c>
      <c r="CM1178">
        <v>0</v>
      </c>
      <c r="CN1178" t="str">
        <f t="shared" si="1572"/>
        <v>refOK</v>
      </c>
      <c r="CO1178"/>
      <c r="CP1178"/>
      <c r="CQ1178"/>
      <c r="CR1178">
        <f t="shared" si="1573"/>
        <v>-173.61053100000004</v>
      </c>
      <c r="CS1178">
        <f t="shared" si="1574"/>
        <v>1.91</v>
      </c>
      <c r="CT1178">
        <f t="shared" si="1575"/>
        <v>0</v>
      </c>
      <c r="CU1178" t="str">
        <f t="shared" si="1576"/>
        <v/>
      </c>
      <c r="CV1178" s="2">
        <f t="shared" si="1577"/>
        <v>1.0110016367613091</v>
      </c>
      <c r="CW1178" s="1" t="s">
        <v>973</v>
      </c>
      <c r="CX1178" s="311" t="str">
        <f t="shared" si="1578"/>
        <v>loc</v>
      </c>
      <c r="CY1178" t="s">
        <v>639</v>
      </c>
      <c r="DA1178" s="143"/>
      <c r="DB1178" s="143">
        <v>200</v>
      </c>
      <c r="DC1178" t="str">
        <f t="shared" si="1579"/>
        <v>+100</v>
      </c>
      <c r="DD1178">
        <v>0</v>
      </c>
      <c r="DE1178">
        <v>0</v>
      </c>
      <c r="DF1178">
        <v>0</v>
      </c>
      <c r="DG1178">
        <v>1</v>
      </c>
      <c r="DH1178">
        <v>0</v>
      </c>
      <c r="DI1178">
        <f t="shared" si="1580"/>
        <v>1</v>
      </c>
      <c r="DJ1178" t="str">
        <f t="shared" si="1581"/>
        <v>TimberInput</v>
      </c>
      <c r="DK1178">
        <f t="shared" si="1582"/>
        <v>0</v>
      </c>
      <c r="DL1178">
        <f t="shared" si="1583"/>
        <v>0</v>
      </c>
      <c r="DM1178">
        <f t="shared" si="1584"/>
        <v>0</v>
      </c>
      <c r="DN1178" t="str">
        <f t="shared" si="1585"/>
        <v>Timber</v>
      </c>
      <c r="DO1178">
        <v>1</v>
      </c>
      <c r="DP1178" s="143">
        <v>0</v>
      </c>
      <c r="DQ1178" s="143">
        <v>0</v>
      </c>
      <c r="DR1178">
        <v>0</v>
      </c>
      <c r="DS1178" s="143">
        <v>0</v>
      </c>
      <c r="DT1178">
        <f t="shared" si="1586"/>
        <v>1</v>
      </c>
      <c r="DU1178" s="143" t="str">
        <f t="shared" si="1587"/>
        <v>self-calculated DF</v>
      </c>
      <c r="DV1178" s="143">
        <v>0</v>
      </c>
      <c r="DW1178" s="143">
        <v>0</v>
      </c>
      <c r="DX1178" s="143">
        <v>1</v>
      </c>
      <c r="DY1178" s="143">
        <v>1</v>
      </c>
      <c r="DZ1178">
        <v>1</v>
      </c>
      <c r="EA1178" s="143">
        <v>1</v>
      </c>
      <c r="EB1178" s="143">
        <v>1</v>
      </c>
      <c r="EC1178" s="143">
        <v>1</v>
      </c>
      <c r="ED1178" s="143">
        <v>1</v>
      </c>
      <c r="EE1178">
        <v>1</v>
      </c>
      <c r="EF1178">
        <v>1</v>
      </c>
      <c r="EG1178" s="143">
        <v>1</v>
      </c>
      <c r="EH1178">
        <v>1</v>
      </c>
      <c r="EI1178" s="2">
        <v>0</v>
      </c>
      <c r="EK1178" t="str">
        <f t="shared" si="1562"/>
        <v>Whole sector</v>
      </c>
      <c r="EL1178" t="str">
        <f t="shared" si="1563"/>
        <v/>
      </c>
      <c r="EM1178" s="2" t="str">
        <f t="shared" si="1525"/>
        <v/>
      </c>
      <c r="EP1178" t="b">
        <f>IF(ISNUMBER(BU1178),IF(ABS(BU1178-[1]QC_indicators!$B$2)&gt;3*[1]QC_indicators!$C$2,"C ratio",IF(ISNUMBER(BY1178),IF(ABS(BY1178-[1]QC_indicators!$B$1)&gt;3*[1]QC_indicators!$C$1,"DF","no"))),IF(ISNUMBER(BY1178),IF(ABS(BY1178-[1]QC_indicators!$B$1)&gt;3*[1]QC_indicators!$C$1,"DF","no")))</f>
        <v>0</v>
      </c>
    </row>
    <row r="1179" spans="1:146" ht="15" hidden="1" customHeight="1">
      <c r="A1179" s="1" t="s">
        <v>333</v>
      </c>
      <c r="B1179" t="s">
        <v>3937</v>
      </c>
      <c r="C1179" t="s">
        <v>3938</v>
      </c>
      <c r="D1179" t="s">
        <v>3939</v>
      </c>
      <c r="E1179" t="s">
        <v>3940</v>
      </c>
      <c r="F1179" t="s">
        <v>3941</v>
      </c>
      <c r="G1179" t="s">
        <v>339</v>
      </c>
      <c r="H1179" t="s">
        <v>254</v>
      </c>
      <c r="I1179">
        <v>2018</v>
      </c>
      <c r="J1179">
        <v>62</v>
      </c>
      <c r="K1179" t="s">
        <v>3942</v>
      </c>
      <c r="M1179" t="str">
        <f t="shared" si="1527"/>
        <v>Pittau_2018</v>
      </c>
      <c r="N1179" s="311" t="s">
        <v>4382</v>
      </c>
      <c r="O1179" s="171" t="s">
        <v>513</v>
      </c>
      <c r="P1179" t="s">
        <v>341</v>
      </c>
      <c r="Q1179" s="311" t="s">
        <v>389</v>
      </c>
      <c r="R1179" s="312"/>
      <c r="S1179" s="1" t="s">
        <v>3954</v>
      </c>
      <c r="T1179" t="s">
        <v>3944</v>
      </c>
      <c r="V1179">
        <v>0</v>
      </c>
      <c r="W1179">
        <v>1</v>
      </c>
      <c r="X1179">
        <v>0</v>
      </c>
      <c r="Y1179">
        <v>0</v>
      </c>
      <c r="Z1179">
        <v>0</v>
      </c>
      <c r="AA1179">
        <v>0</v>
      </c>
      <c r="AB1179">
        <v>0</v>
      </c>
      <c r="AC1179">
        <v>0</v>
      </c>
      <c r="AD1179">
        <v>0</v>
      </c>
      <c r="AE1179">
        <v>0</v>
      </c>
      <c r="AF1179">
        <v>1</v>
      </c>
      <c r="AG1179">
        <v>1</v>
      </c>
      <c r="AH1179">
        <v>1</v>
      </c>
      <c r="AI1179">
        <v>1</v>
      </c>
      <c r="AJ1179">
        <v>0</v>
      </c>
      <c r="AK1179">
        <v>0</v>
      </c>
      <c r="AL1179">
        <v>0</v>
      </c>
      <c r="AM1179">
        <v>0</v>
      </c>
      <c r="AN1179">
        <v>0</v>
      </c>
      <c r="AO1179">
        <v>0</v>
      </c>
      <c r="AP1179">
        <v>0</v>
      </c>
      <c r="AQ1179">
        <v>0</v>
      </c>
      <c r="AR1179">
        <v>0</v>
      </c>
      <c r="AS1179">
        <v>0</v>
      </c>
      <c r="AT1179">
        <v>0</v>
      </c>
      <c r="AU1179">
        <v>0</v>
      </c>
      <c r="AV1179">
        <v>0</v>
      </c>
      <c r="AW1179">
        <v>0</v>
      </c>
      <c r="AX1179" s="141">
        <f t="shared" si="1564"/>
        <v>5</v>
      </c>
      <c r="AY1179" s="141">
        <f t="shared" si="1565"/>
        <v>5</v>
      </c>
      <c r="AZ1179">
        <f t="shared" si="1566"/>
        <v>1</v>
      </c>
      <c r="BA1179">
        <f t="shared" si="1567"/>
        <v>4</v>
      </c>
      <c r="BB1179">
        <f t="shared" si="1568"/>
        <v>0</v>
      </c>
      <c r="BC1179">
        <f t="shared" si="1569"/>
        <v>0</v>
      </c>
      <c r="BD1179">
        <f t="shared" si="1570"/>
        <v>0</v>
      </c>
      <c r="BE1179" t="str" cm="1">
        <f t="array" ref="BE1179">IF(AY1179=1,INDEX($V$7:$AL$7,MATCH(TRUE,INDEX($V1179:$AW1179&lt;&gt;0,),0)),IF(AY1179=0,INDEX($AM$7:$AW$7,MATCH(1,$AM1179:$AW1179,0)),IF(BF1179="Multiple strategies","mixed drivers",IF(BF1179="Supply chain","multiple supply","multiple silviculture"))))</f>
        <v>mixed drivers</v>
      </c>
      <c r="BF1179" s="2" t="str" cm="1">
        <f t="array" ref="BF1179">IF(COUNTIF(AZ1179:BB1179,"&lt;&gt;0")=1,INDEX($V$4:$AW$4,MATCH(TRUE,INDEX($V1179:$AW1179&lt;&gt;0,),0)),IF(COUNTIF(AZ1179:BB1179,"&lt;&gt;0")=0,INDEX($AM$4:$AW$4,MATCH(1,$AM1179:$AW1179,0)),"Multiple strategies"))</f>
        <v>Multiple strategies</v>
      </c>
      <c r="BG1179" s="142"/>
      <c r="BJ1179" s="143"/>
      <c r="BL1179" s="143"/>
      <c r="BN1179" s="158"/>
      <c r="BO1179" s="143"/>
      <c r="BP1179" t="s">
        <v>395</v>
      </c>
      <c r="BR1179" t="s">
        <v>3945</v>
      </c>
      <c r="BS1179">
        <v>173.61053100000004</v>
      </c>
      <c r="BT1179">
        <v>14.45</v>
      </c>
      <c r="BU1179" s="144"/>
      <c r="BV1179">
        <f t="shared" si="1571"/>
        <v>-159.16053100000005</v>
      </c>
      <c r="BY1179" t="str">
        <f t="shared" si="1524"/>
        <v/>
      </c>
      <c r="CA1179">
        <v>1</v>
      </c>
      <c r="CB1179">
        <v>0</v>
      </c>
      <c r="CC1179">
        <v>0</v>
      </c>
      <c r="CD1179">
        <v>0</v>
      </c>
      <c r="CE1179">
        <v>0</v>
      </c>
      <c r="CF1179">
        <v>0</v>
      </c>
      <c r="CG1179">
        <v>0</v>
      </c>
      <c r="CH1179">
        <v>0</v>
      </c>
      <c r="CI1179">
        <v>0</v>
      </c>
      <c r="CJ1179">
        <v>0</v>
      </c>
      <c r="CK1179">
        <v>0</v>
      </c>
      <c r="CL1179">
        <v>0</v>
      </c>
      <c r="CM1179">
        <v>0</v>
      </c>
      <c r="CN1179" t="str">
        <f t="shared" si="1572"/>
        <v>refOK</v>
      </c>
      <c r="CO1179"/>
      <c r="CP1179"/>
      <c r="CQ1179"/>
      <c r="CR1179">
        <f t="shared" si="1573"/>
        <v>-173.61053100000004</v>
      </c>
      <c r="CS1179">
        <f t="shared" si="1574"/>
        <v>-14.45</v>
      </c>
      <c r="CT1179">
        <f t="shared" si="1575"/>
        <v>0</v>
      </c>
      <c r="CU1179" t="str">
        <f t="shared" si="1576"/>
        <v/>
      </c>
      <c r="CV1179" s="2">
        <f t="shared" si="1577"/>
        <v>0.91676772188433675</v>
      </c>
      <c r="CW1179" s="1" t="s">
        <v>973</v>
      </c>
      <c r="CX1179" s="311" t="str">
        <f t="shared" si="1578"/>
        <v>loc</v>
      </c>
      <c r="CY1179" t="s">
        <v>639</v>
      </c>
      <c r="DA1179" s="143"/>
      <c r="DB1179" s="143">
        <v>200</v>
      </c>
      <c r="DC1179" t="str">
        <f t="shared" si="1579"/>
        <v>+100</v>
      </c>
      <c r="DD1179">
        <v>0</v>
      </c>
      <c r="DE1179">
        <v>0</v>
      </c>
      <c r="DF1179">
        <v>0</v>
      </c>
      <c r="DG1179">
        <v>1</v>
      </c>
      <c r="DH1179">
        <v>0</v>
      </c>
      <c r="DI1179">
        <f t="shared" si="1580"/>
        <v>1</v>
      </c>
      <c r="DJ1179" t="str">
        <f t="shared" si="1581"/>
        <v>TimberInput</v>
      </c>
      <c r="DK1179">
        <f t="shared" si="1582"/>
        <v>0</v>
      </c>
      <c r="DL1179">
        <f t="shared" si="1583"/>
        <v>0</v>
      </c>
      <c r="DM1179">
        <f t="shared" si="1584"/>
        <v>0</v>
      </c>
      <c r="DN1179" t="str">
        <f t="shared" si="1585"/>
        <v>Timber</v>
      </c>
      <c r="DO1179">
        <v>1</v>
      </c>
      <c r="DP1179" s="143">
        <v>0</v>
      </c>
      <c r="DQ1179" s="143">
        <v>0</v>
      </c>
      <c r="DR1179">
        <v>0</v>
      </c>
      <c r="DS1179" s="143">
        <v>0</v>
      </c>
      <c r="DT1179">
        <f t="shared" si="1586"/>
        <v>1</v>
      </c>
      <c r="DU1179" s="143" t="str">
        <f t="shared" si="1587"/>
        <v>self-calculated DF</v>
      </c>
      <c r="DV1179" s="143">
        <v>0</v>
      </c>
      <c r="DW1179" s="143">
        <v>0</v>
      </c>
      <c r="DX1179" s="143">
        <v>1</v>
      </c>
      <c r="DY1179" s="143">
        <v>1</v>
      </c>
      <c r="DZ1179">
        <v>1</v>
      </c>
      <c r="EA1179" s="143">
        <v>1</v>
      </c>
      <c r="EB1179" s="143">
        <v>1</v>
      </c>
      <c r="EC1179" s="143">
        <v>1</v>
      </c>
      <c r="ED1179" s="143">
        <v>1</v>
      </c>
      <c r="EE1179">
        <v>1</v>
      </c>
      <c r="EF1179">
        <v>1</v>
      </c>
      <c r="EG1179" s="143">
        <v>1</v>
      </c>
      <c r="EH1179">
        <v>1</v>
      </c>
      <c r="EI1179" s="2">
        <v>0</v>
      </c>
      <c r="EK1179" t="str">
        <f t="shared" si="1562"/>
        <v>Whole sector</v>
      </c>
      <c r="EL1179" t="str">
        <f t="shared" si="1563"/>
        <v/>
      </c>
      <c r="EM1179" s="2" t="str">
        <f t="shared" si="1525"/>
        <v/>
      </c>
      <c r="EP1179" t="b">
        <f>IF(ISNUMBER(BU1179),IF(ABS(BU1179-[1]QC_indicators!$B$2)&gt;3*[1]QC_indicators!$C$2,"C ratio",IF(ISNUMBER(BY1179),IF(ABS(BY1179-[1]QC_indicators!$B$1)&gt;3*[1]QC_indicators!$C$1,"DF","no"))),IF(ISNUMBER(BY1179),IF(ABS(BY1179-[1]QC_indicators!$B$1)&gt;3*[1]QC_indicators!$C$1,"DF","no")))</f>
        <v>0</v>
      </c>
    </row>
    <row r="1180" spans="1:146" ht="15" hidden="1" customHeight="1">
      <c r="A1180" s="1" t="s">
        <v>333</v>
      </c>
      <c r="B1180" t="s">
        <v>3937</v>
      </c>
      <c r="C1180" t="s">
        <v>3938</v>
      </c>
      <c r="D1180" t="s">
        <v>3939</v>
      </c>
      <c r="E1180" t="s">
        <v>3940</v>
      </c>
      <c r="F1180" t="s">
        <v>3941</v>
      </c>
      <c r="G1180" t="s">
        <v>339</v>
      </c>
      <c r="H1180" t="s">
        <v>254</v>
      </c>
      <c r="I1180">
        <v>2018</v>
      </c>
      <c r="J1180">
        <v>62</v>
      </c>
      <c r="K1180" t="s">
        <v>3942</v>
      </c>
      <c r="M1180" t="str">
        <f t="shared" si="1527"/>
        <v>Pittau_2018</v>
      </c>
      <c r="N1180" s="311" t="s">
        <v>4382</v>
      </c>
      <c r="O1180" s="171" t="s">
        <v>513</v>
      </c>
      <c r="P1180" t="s">
        <v>341</v>
      </c>
      <c r="Q1180" s="311" t="s">
        <v>389</v>
      </c>
      <c r="R1180" s="312"/>
      <c r="S1180" s="1" t="s">
        <v>3955</v>
      </c>
      <c r="T1180" t="s">
        <v>3944</v>
      </c>
      <c r="V1180">
        <v>0</v>
      </c>
      <c r="W1180">
        <v>1</v>
      </c>
      <c r="X1180">
        <v>0</v>
      </c>
      <c r="Y1180">
        <v>0</v>
      </c>
      <c r="Z1180">
        <v>0</v>
      </c>
      <c r="AA1180">
        <v>0</v>
      </c>
      <c r="AB1180">
        <v>0</v>
      </c>
      <c r="AC1180">
        <v>0</v>
      </c>
      <c r="AD1180">
        <v>0</v>
      </c>
      <c r="AE1180">
        <v>0</v>
      </c>
      <c r="AF1180">
        <v>1</v>
      </c>
      <c r="AG1180">
        <v>1</v>
      </c>
      <c r="AH1180">
        <v>1</v>
      </c>
      <c r="AI1180">
        <v>1</v>
      </c>
      <c r="AJ1180">
        <v>0</v>
      </c>
      <c r="AK1180">
        <v>0</v>
      </c>
      <c r="AL1180">
        <v>0</v>
      </c>
      <c r="AM1180">
        <v>0</v>
      </c>
      <c r="AN1180">
        <v>0</v>
      </c>
      <c r="AO1180">
        <v>0</v>
      </c>
      <c r="AP1180">
        <v>0</v>
      </c>
      <c r="AQ1180">
        <v>0</v>
      </c>
      <c r="AR1180">
        <v>0</v>
      </c>
      <c r="AS1180">
        <v>0</v>
      </c>
      <c r="AT1180">
        <v>0</v>
      </c>
      <c r="AU1180">
        <v>0</v>
      </c>
      <c r="AV1180">
        <v>0</v>
      </c>
      <c r="AW1180">
        <v>0</v>
      </c>
      <c r="AX1180" s="141">
        <f t="shared" si="1564"/>
        <v>5</v>
      </c>
      <c r="AY1180" s="141">
        <f t="shared" si="1565"/>
        <v>5</v>
      </c>
      <c r="AZ1180">
        <f t="shared" si="1566"/>
        <v>1</v>
      </c>
      <c r="BA1180">
        <f t="shared" si="1567"/>
        <v>4</v>
      </c>
      <c r="BB1180">
        <f t="shared" si="1568"/>
        <v>0</v>
      </c>
      <c r="BC1180">
        <f t="shared" si="1569"/>
        <v>0</v>
      </c>
      <c r="BD1180">
        <f t="shared" si="1570"/>
        <v>0</v>
      </c>
      <c r="BE1180" t="str" cm="1">
        <f t="array" ref="BE1180">IF(AY1180=1,INDEX($V$7:$AL$7,MATCH(TRUE,INDEX($V1180:$AW1180&lt;&gt;0,),0)),IF(AY1180=0,INDEX($AM$7:$AW$7,MATCH(1,$AM1180:$AW1180,0)),IF(BF1180="Multiple strategies","mixed drivers",IF(BF1180="Supply chain","multiple supply","multiple silviculture"))))</f>
        <v>mixed drivers</v>
      </c>
      <c r="BF1180" s="2" t="str" cm="1">
        <f t="array" ref="BF1180">IF(COUNTIF(AZ1180:BB1180,"&lt;&gt;0")=1,INDEX($V$4:$AW$4,MATCH(TRUE,INDEX($V1180:$AW1180&lt;&gt;0,),0)),IF(COUNTIF(AZ1180:BB1180,"&lt;&gt;0")=0,INDEX($AM$4:$AW$4,MATCH(1,$AM1180:$AW1180,0)),"Multiple strategies"))</f>
        <v>Multiple strategies</v>
      </c>
      <c r="BP1180" t="s">
        <v>395</v>
      </c>
      <c r="BR1180" t="s">
        <v>3945</v>
      </c>
      <c r="BS1180">
        <v>173.61053100000004</v>
      </c>
      <c r="BT1180">
        <v>105.92</v>
      </c>
      <c r="BV1180">
        <f t="shared" si="1571"/>
        <v>-67.690531000000036</v>
      </c>
      <c r="BY1180" t="str">
        <f t="shared" si="1524"/>
        <v/>
      </c>
      <c r="CA1180">
        <v>1</v>
      </c>
      <c r="CB1180">
        <v>0</v>
      </c>
      <c r="CC1180">
        <v>0</v>
      </c>
      <c r="CD1180">
        <v>0</v>
      </c>
      <c r="CE1180">
        <v>0</v>
      </c>
      <c r="CF1180">
        <v>0</v>
      </c>
      <c r="CG1180">
        <v>0</v>
      </c>
      <c r="CH1180">
        <v>0</v>
      </c>
      <c r="CI1180">
        <v>0</v>
      </c>
      <c r="CJ1180">
        <v>0</v>
      </c>
      <c r="CK1180">
        <v>0</v>
      </c>
      <c r="CL1180">
        <v>0</v>
      </c>
      <c r="CM1180">
        <v>0</v>
      </c>
      <c r="CN1180" t="str">
        <f t="shared" si="1572"/>
        <v>refOK</v>
      </c>
      <c r="CO1180"/>
      <c r="CP1180"/>
      <c r="CQ1180"/>
      <c r="CR1180">
        <f t="shared" si="1573"/>
        <v>-173.61053100000004</v>
      </c>
      <c r="CS1180">
        <f t="shared" si="1574"/>
        <v>-105.92</v>
      </c>
      <c r="CT1180">
        <f t="shared" si="1575"/>
        <v>0</v>
      </c>
      <c r="CU1180" t="str">
        <f t="shared" si="1576"/>
        <v/>
      </c>
      <c r="CV1180" s="2">
        <f t="shared" si="1577"/>
        <v>0.38989876138331736</v>
      </c>
      <c r="CW1180" s="1" t="s">
        <v>973</v>
      </c>
      <c r="CX1180" s="311" t="str">
        <f t="shared" si="1578"/>
        <v>loc</v>
      </c>
      <c r="CY1180" t="s">
        <v>639</v>
      </c>
      <c r="DA1180" s="143"/>
      <c r="DB1180" s="143">
        <v>200</v>
      </c>
      <c r="DC1180" t="str">
        <f t="shared" si="1579"/>
        <v>+100</v>
      </c>
      <c r="DD1180">
        <v>0</v>
      </c>
      <c r="DE1180">
        <v>0</v>
      </c>
      <c r="DF1180">
        <v>0</v>
      </c>
      <c r="DG1180">
        <v>1</v>
      </c>
      <c r="DH1180">
        <v>0</v>
      </c>
      <c r="DI1180">
        <v>1</v>
      </c>
      <c r="DJ1180" t="str">
        <f t="shared" si="1581"/>
        <v>TimberInput</v>
      </c>
      <c r="DK1180">
        <f t="shared" si="1582"/>
        <v>0</v>
      </c>
      <c r="DL1180">
        <f t="shared" si="1583"/>
        <v>0</v>
      </c>
      <c r="DM1180">
        <f t="shared" si="1584"/>
        <v>0</v>
      </c>
      <c r="DN1180" t="str">
        <f t="shared" si="1585"/>
        <v>Timber</v>
      </c>
      <c r="DO1180">
        <v>1</v>
      </c>
      <c r="DP1180" s="143">
        <v>0</v>
      </c>
      <c r="DQ1180" s="143">
        <v>0</v>
      </c>
      <c r="DR1180">
        <v>0</v>
      </c>
      <c r="DS1180" s="143">
        <v>0</v>
      </c>
      <c r="DT1180">
        <f t="shared" si="1586"/>
        <v>1</v>
      </c>
      <c r="DU1180" s="143" t="s">
        <v>183</v>
      </c>
      <c r="DV1180" s="143">
        <v>0</v>
      </c>
      <c r="DW1180" s="143">
        <v>0</v>
      </c>
      <c r="DX1180" s="143">
        <v>1</v>
      </c>
      <c r="DY1180" s="143">
        <v>1</v>
      </c>
      <c r="DZ1180">
        <v>1</v>
      </c>
      <c r="EA1180" s="143">
        <v>1</v>
      </c>
      <c r="EB1180" s="143">
        <v>1</v>
      </c>
      <c r="EC1180" s="143">
        <v>1</v>
      </c>
      <c r="ED1180" s="143">
        <v>1</v>
      </c>
      <c r="EE1180">
        <v>1</v>
      </c>
      <c r="EF1180">
        <v>1</v>
      </c>
      <c r="EG1180" s="143">
        <v>1</v>
      </c>
      <c r="EH1180">
        <v>1</v>
      </c>
      <c r="EI1180" s="2">
        <v>0</v>
      </c>
      <c r="EK1180" t="str">
        <f t="shared" si="1562"/>
        <v>Whole sector</v>
      </c>
      <c r="EL1180" t="str">
        <f t="shared" si="1563"/>
        <v/>
      </c>
      <c r="EM1180" s="2" t="str">
        <f t="shared" si="1525"/>
        <v/>
      </c>
      <c r="EP1180" t="b">
        <f>IF(ISNUMBER(BU1180),IF(ABS(BU1180-[1]QC_indicators!$B$2)&gt;3*[1]QC_indicators!$C$2,"C ratio",IF(ISNUMBER(BY1180),IF(ABS(BY1180-[1]QC_indicators!$B$1)&gt;3*[1]QC_indicators!$C$1,"DF","no"))),IF(ISNUMBER(BY1180),IF(ABS(BY1180-[1]QC_indicators!$B$1)&gt;3*[1]QC_indicators!$C$1,"DF","no")))</f>
        <v>0</v>
      </c>
    </row>
    <row r="1181" spans="1:146" ht="15" hidden="1" customHeight="1">
      <c r="A1181" s="1" t="s">
        <v>333</v>
      </c>
      <c r="B1181" t="s">
        <v>3937</v>
      </c>
      <c r="C1181" t="s">
        <v>3938</v>
      </c>
      <c r="D1181" t="s">
        <v>3939</v>
      </c>
      <c r="E1181" t="s">
        <v>3940</v>
      </c>
      <c r="F1181" t="s">
        <v>3941</v>
      </c>
      <c r="G1181" t="s">
        <v>339</v>
      </c>
      <c r="H1181" t="s">
        <v>254</v>
      </c>
      <c r="I1181">
        <v>2018</v>
      </c>
      <c r="J1181">
        <v>62</v>
      </c>
      <c r="K1181" t="s">
        <v>3942</v>
      </c>
      <c r="M1181" t="str">
        <f t="shared" si="1527"/>
        <v>Pittau_2018</v>
      </c>
      <c r="N1181" s="311" t="s">
        <v>4382</v>
      </c>
      <c r="O1181" s="171" t="s">
        <v>513</v>
      </c>
      <c r="P1181" t="s">
        <v>341</v>
      </c>
      <c r="Q1181" s="311" t="s">
        <v>389</v>
      </c>
      <c r="R1181" s="312"/>
      <c r="S1181" s="1" t="s">
        <v>3956</v>
      </c>
      <c r="T1181" t="s">
        <v>3944</v>
      </c>
      <c r="V1181">
        <v>0</v>
      </c>
      <c r="W1181">
        <v>1</v>
      </c>
      <c r="X1181">
        <v>0</v>
      </c>
      <c r="Y1181">
        <v>0</v>
      </c>
      <c r="Z1181">
        <v>0</v>
      </c>
      <c r="AA1181">
        <v>0</v>
      </c>
      <c r="AB1181">
        <v>0</v>
      </c>
      <c r="AC1181">
        <v>0</v>
      </c>
      <c r="AD1181">
        <v>0</v>
      </c>
      <c r="AE1181">
        <v>0</v>
      </c>
      <c r="AF1181">
        <v>1</v>
      </c>
      <c r="AG1181">
        <v>1</v>
      </c>
      <c r="AH1181">
        <v>1</v>
      </c>
      <c r="AI1181">
        <v>1</v>
      </c>
      <c r="AJ1181">
        <v>0</v>
      </c>
      <c r="AK1181">
        <v>0</v>
      </c>
      <c r="AL1181">
        <v>0</v>
      </c>
      <c r="AM1181">
        <v>0</v>
      </c>
      <c r="AN1181">
        <v>0</v>
      </c>
      <c r="AO1181">
        <v>0</v>
      </c>
      <c r="AP1181">
        <v>0</v>
      </c>
      <c r="AQ1181">
        <v>0</v>
      </c>
      <c r="AR1181">
        <v>0</v>
      </c>
      <c r="AS1181">
        <v>0</v>
      </c>
      <c r="AT1181">
        <v>0</v>
      </c>
      <c r="AU1181">
        <v>0</v>
      </c>
      <c r="AV1181">
        <v>0</v>
      </c>
      <c r="AW1181">
        <v>0</v>
      </c>
      <c r="AX1181" s="141">
        <f t="shared" si="1564"/>
        <v>5</v>
      </c>
      <c r="AY1181" s="141">
        <f t="shared" si="1565"/>
        <v>5</v>
      </c>
      <c r="AZ1181">
        <f t="shared" si="1566"/>
        <v>1</v>
      </c>
      <c r="BA1181">
        <f t="shared" si="1567"/>
        <v>4</v>
      </c>
      <c r="BB1181">
        <f t="shared" si="1568"/>
        <v>0</v>
      </c>
      <c r="BC1181">
        <f t="shared" si="1569"/>
        <v>0</v>
      </c>
      <c r="BD1181">
        <f t="shared" si="1570"/>
        <v>0</v>
      </c>
      <c r="BE1181" t="str" cm="1">
        <f t="array" ref="BE1181">IF(AY1181=1,INDEX($V$7:$AL$7,MATCH(TRUE,INDEX($V1181:$AW1181&lt;&gt;0,),0)),IF(AY1181=0,INDEX($AM$7:$AW$7,MATCH(1,$AM1181:$AW1181,0)),IF(BF1181="Multiple strategies","mixed drivers",IF(BF1181="Supply chain","multiple supply","multiple silviculture"))))</f>
        <v>mixed drivers</v>
      </c>
      <c r="BF1181" s="2" t="str" cm="1">
        <f t="array" ref="BF1181">IF(COUNTIF(AZ1181:BB1181,"&lt;&gt;0")=1,INDEX($V$4:$AW$4,MATCH(TRUE,INDEX($V1181:$AW1181&lt;&gt;0,),0)),IF(COUNTIF(AZ1181:BB1181,"&lt;&gt;0")=0,INDEX($AM$4:$AW$4,MATCH(1,$AM1181:$AW1181,0)),"Multiple strategies"))</f>
        <v>Multiple strategies</v>
      </c>
      <c r="BP1181" t="s">
        <v>395</v>
      </c>
      <c r="BR1181" t="s">
        <v>3945</v>
      </c>
      <c r="BS1181">
        <v>173.61053100000004</v>
      </c>
      <c r="BT1181">
        <v>118.32</v>
      </c>
      <c r="BV1181">
        <f t="shared" si="1571"/>
        <v>-55.290531000000044</v>
      </c>
      <c r="BY1181" t="str">
        <f t="shared" si="1524"/>
        <v/>
      </c>
      <c r="CA1181">
        <v>1</v>
      </c>
      <c r="CB1181">
        <v>0</v>
      </c>
      <c r="CC1181">
        <v>0</v>
      </c>
      <c r="CD1181">
        <v>0</v>
      </c>
      <c r="CE1181">
        <v>0</v>
      </c>
      <c r="CF1181">
        <v>0</v>
      </c>
      <c r="CG1181">
        <v>0</v>
      </c>
      <c r="CH1181">
        <v>0</v>
      </c>
      <c r="CI1181">
        <v>0</v>
      </c>
      <c r="CJ1181">
        <v>0</v>
      </c>
      <c r="CK1181">
        <v>0</v>
      </c>
      <c r="CL1181">
        <v>0</v>
      </c>
      <c r="CM1181">
        <v>0</v>
      </c>
      <c r="CN1181" t="str">
        <f t="shared" si="1572"/>
        <v>refOK</v>
      </c>
      <c r="CO1181"/>
      <c r="CP1181"/>
      <c r="CQ1181"/>
      <c r="CR1181">
        <f t="shared" si="1573"/>
        <v>-173.61053100000004</v>
      </c>
      <c r="CS1181">
        <f t="shared" si="1574"/>
        <v>-118.32</v>
      </c>
      <c r="CT1181">
        <f t="shared" si="1575"/>
        <v>0</v>
      </c>
      <c r="CU1181" t="str">
        <f t="shared" si="1576"/>
        <v/>
      </c>
      <c r="CV1181" s="2">
        <f t="shared" si="1577"/>
        <v>0.3184745227235094</v>
      </c>
      <c r="CW1181" s="1" t="s">
        <v>973</v>
      </c>
      <c r="CX1181" s="311" t="str">
        <f t="shared" si="1578"/>
        <v>loc</v>
      </c>
      <c r="CY1181" t="s">
        <v>639</v>
      </c>
      <c r="DA1181" s="143"/>
      <c r="DB1181" s="143">
        <v>200</v>
      </c>
      <c r="DC1181" t="str">
        <f t="shared" si="1579"/>
        <v>+100</v>
      </c>
      <c r="DD1181">
        <v>0</v>
      </c>
      <c r="DE1181">
        <v>0</v>
      </c>
      <c r="DF1181">
        <v>0</v>
      </c>
      <c r="DG1181">
        <v>1</v>
      </c>
      <c r="DH1181">
        <v>0</v>
      </c>
      <c r="DI1181">
        <v>1</v>
      </c>
      <c r="DJ1181" t="str">
        <f t="shared" si="1581"/>
        <v>TimberInput</v>
      </c>
      <c r="DK1181">
        <f t="shared" si="1582"/>
        <v>0</v>
      </c>
      <c r="DL1181">
        <f t="shared" si="1583"/>
        <v>0</v>
      </c>
      <c r="DM1181">
        <f t="shared" si="1584"/>
        <v>0</v>
      </c>
      <c r="DN1181" t="str">
        <f t="shared" si="1585"/>
        <v>Timber</v>
      </c>
      <c r="DO1181">
        <v>1</v>
      </c>
      <c r="DP1181" s="143">
        <v>0</v>
      </c>
      <c r="DQ1181" s="143">
        <v>0</v>
      </c>
      <c r="DR1181">
        <v>0</v>
      </c>
      <c r="DS1181" s="143">
        <v>0</v>
      </c>
      <c r="DT1181">
        <f t="shared" si="1586"/>
        <v>1</v>
      </c>
      <c r="DU1181" s="143" t="s">
        <v>183</v>
      </c>
      <c r="DV1181" s="143">
        <v>0</v>
      </c>
      <c r="DW1181" s="143">
        <v>0</v>
      </c>
      <c r="DX1181" s="143">
        <v>1</v>
      </c>
      <c r="DY1181" s="143">
        <v>1</v>
      </c>
      <c r="DZ1181">
        <v>1</v>
      </c>
      <c r="EA1181" s="143">
        <v>1</v>
      </c>
      <c r="EB1181" s="143">
        <v>1</v>
      </c>
      <c r="EC1181" s="143">
        <v>1</v>
      </c>
      <c r="ED1181" s="143">
        <v>1</v>
      </c>
      <c r="EE1181">
        <v>1</v>
      </c>
      <c r="EF1181">
        <v>1</v>
      </c>
      <c r="EG1181" s="143">
        <v>1</v>
      </c>
      <c r="EH1181">
        <v>1</v>
      </c>
      <c r="EI1181" s="2">
        <v>0</v>
      </c>
      <c r="EK1181" t="str">
        <f t="shared" si="1562"/>
        <v>Whole sector</v>
      </c>
      <c r="EL1181" t="str">
        <f t="shared" si="1563"/>
        <v/>
      </c>
      <c r="EM1181" s="2" t="str">
        <f t="shared" si="1525"/>
        <v/>
      </c>
      <c r="EP1181" t="b">
        <f>IF(ISNUMBER(BU1181),IF(ABS(BU1181-[1]QC_indicators!$B$2)&gt;3*[1]QC_indicators!$C$2,"C ratio",IF(ISNUMBER(BY1181),IF(ABS(BY1181-[1]QC_indicators!$B$1)&gt;3*[1]QC_indicators!$C$1,"DF","no"))),IF(ISNUMBER(BY1181),IF(ABS(BY1181-[1]QC_indicators!$B$1)&gt;3*[1]QC_indicators!$C$1,"DF","no")))</f>
        <v>0</v>
      </c>
    </row>
    <row r="1182" spans="1:146" ht="15" hidden="1" customHeight="1">
      <c r="A1182" s="1" t="s">
        <v>333</v>
      </c>
      <c r="B1182" t="s">
        <v>3937</v>
      </c>
      <c r="C1182" t="s">
        <v>3938</v>
      </c>
      <c r="D1182" t="s">
        <v>3939</v>
      </c>
      <c r="E1182" t="s">
        <v>3940</v>
      </c>
      <c r="F1182" t="s">
        <v>3941</v>
      </c>
      <c r="G1182" t="s">
        <v>339</v>
      </c>
      <c r="H1182" t="s">
        <v>254</v>
      </c>
      <c r="I1182">
        <v>2018</v>
      </c>
      <c r="J1182">
        <v>62</v>
      </c>
      <c r="K1182" t="s">
        <v>3942</v>
      </c>
      <c r="M1182" t="str">
        <f t="shared" si="1527"/>
        <v>Pittau_2018</v>
      </c>
      <c r="N1182" s="311" t="s">
        <v>4382</v>
      </c>
      <c r="O1182" s="171" t="s">
        <v>513</v>
      </c>
      <c r="P1182" t="s">
        <v>341</v>
      </c>
      <c r="Q1182" s="311" t="s">
        <v>389</v>
      </c>
      <c r="R1182" s="312"/>
      <c r="S1182" s="1" t="s">
        <v>3957</v>
      </c>
      <c r="T1182" t="s">
        <v>3944</v>
      </c>
      <c r="V1182">
        <v>0</v>
      </c>
      <c r="W1182">
        <v>1</v>
      </c>
      <c r="X1182">
        <v>0</v>
      </c>
      <c r="Y1182">
        <v>0</v>
      </c>
      <c r="Z1182">
        <v>0</v>
      </c>
      <c r="AA1182">
        <v>0</v>
      </c>
      <c r="AB1182">
        <v>0</v>
      </c>
      <c r="AC1182">
        <v>0</v>
      </c>
      <c r="AD1182">
        <v>0</v>
      </c>
      <c r="AE1182">
        <v>0</v>
      </c>
      <c r="AF1182">
        <v>1</v>
      </c>
      <c r="AG1182">
        <v>1</v>
      </c>
      <c r="AH1182">
        <v>1</v>
      </c>
      <c r="AI1182">
        <v>1</v>
      </c>
      <c r="AJ1182">
        <v>0</v>
      </c>
      <c r="AK1182">
        <v>0</v>
      </c>
      <c r="AL1182">
        <v>0</v>
      </c>
      <c r="AM1182">
        <v>0</v>
      </c>
      <c r="AN1182">
        <v>0</v>
      </c>
      <c r="AO1182">
        <v>0</v>
      </c>
      <c r="AP1182">
        <v>0</v>
      </c>
      <c r="AQ1182">
        <v>0</v>
      </c>
      <c r="AR1182">
        <v>0</v>
      </c>
      <c r="AS1182">
        <v>0</v>
      </c>
      <c r="AT1182">
        <v>0</v>
      </c>
      <c r="AU1182">
        <v>0</v>
      </c>
      <c r="AV1182">
        <v>0</v>
      </c>
      <c r="AW1182">
        <v>0</v>
      </c>
      <c r="AX1182" s="141">
        <f t="shared" si="1564"/>
        <v>5</v>
      </c>
      <c r="AY1182" s="141">
        <f t="shared" si="1565"/>
        <v>5</v>
      </c>
      <c r="AZ1182">
        <f t="shared" si="1566"/>
        <v>1</v>
      </c>
      <c r="BA1182">
        <f t="shared" si="1567"/>
        <v>4</v>
      </c>
      <c r="BB1182">
        <f t="shared" si="1568"/>
        <v>0</v>
      </c>
      <c r="BC1182">
        <f t="shared" si="1569"/>
        <v>0</v>
      </c>
      <c r="BD1182">
        <f t="shared" si="1570"/>
        <v>0</v>
      </c>
      <c r="BE1182" t="str" cm="1">
        <f t="array" ref="BE1182">IF(AY1182=1,INDEX($V$7:$AL$7,MATCH(TRUE,INDEX($V1182:$AW1182&lt;&gt;0,),0)),IF(AY1182=0,INDEX($AM$7:$AW$7,MATCH(1,$AM1182:$AW1182,0)),IF(BF1182="Multiple strategies","mixed drivers",IF(BF1182="Supply chain","multiple supply","multiple silviculture"))))</f>
        <v>mixed drivers</v>
      </c>
      <c r="BF1182" s="2" t="str" cm="1">
        <f t="array" ref="BF1182">IF(COUNTIF(AZ1182:BB1182,"&lt;&gt;0")=1,INDEX($V$4:$AW$4,MATCH(TRUE,INDEX($V1182:$AW1182&lt;&gt;0,),0)),IF(COUNTIF(AZ1182:BB1182,"&lt;&gt;0")=0,INDEX($AM$4:$AW$4,MATCH(1,$AM1182:$AW1182,0)),"Multiple strategies"))</f>
        <v>Multiple strategies</v>
      </c>
      <c r="BP1182" t="s">
        <v>395</v>
      </c>
      <c r="BR1182" t="s">
        <v>3945</v>
      </c>
      <c r="BS1182">
        <v>173.61053100000004</v>
      </c>
      <c r="BT1182">
        <v>119.43</v>
      </c>
      <c r="BV1182">
        <f t="shared" si="1571"/>
        <v>-54.18053100000003</v>
      </c>
      <c r="BY1182" t="str">
        <f t="shared" si="1524"/>
        <v/>
      </c>
      <c r="CA1182">
        <v>1</v>
      </c>
      <c r="CB1182">
        <v>0</v>
      </c>
      <c r="CC1182">
        <v>0</v>
      </c>
      <c r="CD1182">
        <v>0</v>
      </c>
      <c r="CE1182">
        <v>0</v>
      </c>
      <c r="CF1182">
        <v>0</v>
      </c>
      <c r="CG1182">
        <v>0</v>
      </c>
      <c r="CH1182">
        <v>0</v>
      </c>
      <c r="CI1182">
        <v>0</v>
      </c>
      <c r="CJ1182">
        <v>0</v>
      </c>
      <c r="CK1182">
        <v>0</v>
      </c>
      <c r="CL1182">
        <v>0</v>
      </c>
      <c r="CM1182">
        <v>0</v>
      </c>
      <c r="CN1182" t="str">
        <f t="shared" si="1572"/>
        <v>refOK</v>
      </c>
      <c r="CO1182"/>
      <c r="CP1182"/>
      <c r="CQ1182"/>
      <c r="CR1182">
        <f t="shared" si="1573"/>
        <v>-173.61053100000004</v>
      </c>
      <c r="CS1182">
        <f t="shared" si="1574"/>
        <v>-119.43</v>
      </c>
      <c r="CT1182">
        <f t="shared" si="1575"/>
        <v>0</v>
      </c>
      <c r="CU1182" t="str">
        <f t="shared" si="1576"/>
        <v/>
      </c>
      <c r="CV1182" s="2">
        <f t="shared" si="1577"/>
        <v>0.31208090135960714</v>
      </c>
      <c r="CW1182" s="1" t="s">
        <v>973</v>
      </c>
      <c r="CX1182" s="311" t="str">
        <f t="shared" si="1578"/>
        <v>loc</v>
      </c>
      <c r="CY1182" t="s">
        <v>639</v>
      </c>
      <c r="DA1182" s="143"/>
      <c r="DB1182" s="143">
        <v>200</v>
      </c>
      <c r="DC1182" t="str">
        <f t="shared" si="1579"/>
        <v>+100</v>
      </c>
      <c r="DD1182">
        <v>0</v>
      </c>
      <c r="DE1182">
        <v>0</v>
      </c>
      <c r="DF1182">
        <v>0</v>
      </c>
      <c r="DG1182">
        <v>1</v>
      </c>
      <c r="DH1182">
        <v>0</v>
      </c>
      <c r="DI1182">
        <f t="shared" ref="DI1182:DI1200" si="1588">SUM(DD1182:DH1182)</f>
        <v>1</v>
      </c>
      <c r="DJ1182" t="str">
        <f t="shared" si="1581"/>
        <v>TimberInput</v>
      </c>
      <c r="DK1182">
        <f t="shared" si="1582"/>
        <v>0</v>
      </c>
      <c r="DL1182">
        <f t="shared" si="1583"/>
        <v>0</v>
      </c>
      <c r="DM1182">
        <f t="shared" si="1584"/>
        <v>0</v>
      </c>
      <c r="DN1182" t="str">
        <f t="shared" si="1585"/>
        <v>Timber</v>
      </c>
      <c r="DO1182">
        <v>1</v>
      </c>
      <c r="DP1182" s="143">
        <v>0</v>
      </c>
      <c r="DQ1182" s="143">
        <v>0</v>
      </c>
      <c r="DR1182">
        <v>0</v>
      </c>
      <c r="DS1182" s="143">
        <v>0</v>
      </c>
      <c r="DT1182">
        <f t="shared" si="1586"/>
        <v>1</v>
      </c>
      <c r="DU1182" s="143" t="str">
        <f t="shared" ref="DU1182:DU1213" si="1589">IF(DO1182=1,"self-calculated DF",IF(DP1182=1,"external DF used","explicit C balance"))</f>
        <v>self-calculated DF</v>
      </c>
      <c r="DV1182" s="143">
        <v>0</v>
      </c>
      <c r="DW1182" s="143">
        <v>0</v>
      </c>
      <c r="DX1182" s="143">
        <v>1</v>
      </c>
      <c r="DY1182" s="143">
        <v>1</v>
      </c>
      <c r="DZ1182">
        <v>1</v>
      </c>
      <c r="EA1182" s="143">
        <v>1</v>
      </c>
      <c r="EB1182" s="143">
        <v>1</v>
      </c>
      <c r="EC1182" s="143">
        <v>1</v>
      </c>
      <c r="ED1182" s="143">
        <v>1</v>
      </c>
      <c r="EE1182">
        <v>1</v>
      </c>
      <c r="EF1182">
        <v>1</v>
      </c>
      <c r="EG1182" s="143">
        <v>1</v>
      </c>
      <c r="EH1182">
        <v>1</v>
      </c>
      <c r="EI1182" s="2">
        <v>0</v>
      </c>
      <c r="EK1182" t="str">
        <f t="shared" si="1562"/>
        <v>Whole sector</v>
      </c>
      <c r="EL1182" t="str">
        <f t="shared" si="1563"/>
        <v/>
      </c>
      <c r="EM1182" s="2" t="str">
        <f t="shared" si="1525"/>
        <v/>
      </c>
      <c r="EP1182" t="b">
        <f>IF(ISNUMBER(BU1182),IF(ABS(BU1182-[1]QC_indicators!$B$2)&gt;3*[1]QC_indicators!$C$2,"C ratio",IF(ISNUMBER(BY1182),IF(ABS(BY1182-[1]QC_indicators!$B$1)&gt;3*[1]QC_indicators!$C$1,"DF","no"))),IF(ISNUMBER(BY1182),IF(ABS(BY1182-[1]QC_indicators!$B$1)&gt;3*[1]QC_indicators!$C$1,"DF","no")))</f>
        <v>0</v>
      </c>
    </row>
    <row r="1183" spans="1:146" ht="15" hidden="1" customHeight="1">
      <c r="A1183" s="1" t="s">
        <v>333</v>
      </c>
      <c r="B1183" t="s">
        <v>3937</v>
      </c>
      <c r="C1183" t="s">
        <v>3938</v>
      </c>
      <c r="D1183" t="s">
        <v>3939</v>
      </c>
      <c r="E1183" t="s">
        <v>3940</v>
      </c>
      <c r="F1183" t="s">
        <v>3941</v>
      </c>
      <c r="G1183" t="s">
        <v>339</v>
      </c>
      <c r="H1183" t="s">
        <v>254</v>
      </c>
      <c r="I1183">
        <v>2018</v>
      </c>
      <c r="J1183">
        <v>62</v>
      </c>
      <c r="K1183" t="s">
        <v>3942</v>
      </c>
      <c r="M1183" t="str">
        <f t="shared" si="1527"/>
        <v>Pittau_2018</v>
      </c>
      <c r="N1183" s="311" t="s">
        <v>4382</v>
      </c>
      <c r="O1183" s="171" t="s">
        <v>513</v>
      </c>
      <c r="P1183" t="s">
        <v>341</v>
      </c>
      <c r="Q1183" s="311" t="s">
        <v>389</v>
      </c>
      <c r="R1183" s="312"/>
      <c r="S1183" s="1" t="s">
        <v>3958</v>
      </c>
      <c r="T1183" t="s">
        <v>3944</v>
      </c>
      <c r="V1183">
        <v>0</v>
      </c>
      <c r="W1183">
        <v>1</v>
      </c>
      <c r="X1183">
        <v>0</v>
      </c>
      <c r="Y1183">
        <v>0</v>
      </c>
      <c r="Z1183">
        <v>0</v>
      </c>
      <c r="AA1183">
        <v>0</v>
      </c>
      <c r="AB1183">
        <v>0</v>
      </c>
      <c r="AC1183">
        <v>0</v>
      </c>
      <c r="AD1183">
        <v>0</v>
      </c>
      <c r="AE1183">
        <v>0</v>
      </c>
      <c r="AF1183">
        <v>1</v>
      </c>
      <c r="AG1183">
        <v>1</v>
      </c>
      <c r="AH1183">
        <v>1</v>
      </c>
      <c r="AI1183">
        <v>1</v>
      </c>
      <c r="AJ1183">
        <v>0</v>
      </c>
      <c r="AK1183">
        <v>0</v>
      </c>
      <c r="AL1183">
        <v>0</v>
      </c>
      <c r="AM1183">
        <v>0</v>
      </c>
      <c r="AN1183">
        <v>0</v>
      </c>
      <c r="AO1183">
        <v>0</v>
      </c>
      <c r="AP1183">
        <v>0</v>
      </c>
      <c r="AQ1183">
        <v>0</v>
      </c>
      <c r="AR1183">
        <v>0</v>
      </c>
      <c r="AS1183">
        <v>0</v>
      </c>
      <c r="AT1183">
        <v>0</v>
      </c>
      <c r="AU1183">
        <v>0</v>
      </c>
      <c r="AV1183">
        <v>0</v>
      </c>
      <c r="AW1183">
        <v>0</v>
      </c>
      <c r="AX1183" s="141">
        <f t="shared" si="1564"/>
        <v>5</v>
      </c>
      <c r="AY1183" s="141">
        <f t="shared" si="1565"/>
        <v>5</v>
      </c>
      <c r="AZ1183">
        <f t="shared" si="1566"/>
        <v>1</v>
      </c>
      <c r="BA1183">
        <f t="shared" si="1567"/>
        <v>4</v>
      </c>
      <c r="BB1183">
        <f t="shared" si="1568"/>
        <v>0</v>
      </c>
      <c r="BC1183">
        <f t="shared" si="1569"/>
        <v>0</v>
      </c>
      <c r="BD1183">
        <f t="shared" si="1570"/>
        <v>0</v>
      </c>
      <c r="BE1183" t="str" cm="1">
        <f t="array" ref="BE1183">IF(AY1183=1,INDEX($V$7:$AL$7,MATCH(TRUE,INDEX($V1183:$AW1183&lt;&gt;0,),0)),IF(AY1183=0,INDEX($AM$7:$AW$7,MATCH(1,$AM1183:$AW1183,0)),IF(BF1183="Multiple strategies","mixed drivers",IF(BF1183="Supply chain","multiple supply","multiple silviculture"))))</f>
        <v>mixed drivers</v>
      </c>
      <c r="BF1183" s="2" t="str" cm="1">
        <f t="array" ref="BF1183">IF(COUNTIF(AZ1183:BB1183,"&lt;&gt;0")=1,INDEX($V$4:$AW$4,MATCH(TRUE,INDEX($V1183:$AW1183&lt;&gt;0,),0)),IF(COUNTIF(AZ1183:BB1183,"&lt;&gt;0")=0,INDEX($AM$4:$AW$4,MATCH(1,$AM1183:$AW1183,0)),"Multiple strategies"))</f>
        <v>Multiple strategies</v>
      </c>
      <c r="BG1183" s="142"/>
      <c r="BJ1183" s="143"/>
      <c r="BL1183" s="143"/>
      <c r="BN1183" s="158"/>
      <c r="BO1183" s="143"/>
      <c r="BP1183" t="s">
        <v>395</v>
      </c>
      <c r="BR1183" t="s">
        <v>3945</v>
      </c>
      <c r="BS1183">
        <v>173.61053100000004</v>
      </c>
      <c r="BT1183">
        <v>121.37</v>
      </c>
      <c r="BU1183" s="144"/>
      <c r="BV1183">
        <f t="shared" si="1571"/>
        <v>-52.240531000000033</v>
      </c>
      <c r="BY1183" t="str">
        <f t="shared" si="1524"/>
        <v/>
      </c>
      <c r="CA1183">
        <v>1</v>
      </c>
      <c r="CB1183">
        <v>0</v>
      </c>
      <c r="CC1183">
        <v>0</v>
      </c>
      <c r="CD1183">
        <v>0</v>
      </c>
      <c r="CE1183">
        <v>0</v>
      </c>
      <c r="CF1183">
        <v>0</v>
      </c>
      <c r="CG1183">
        <v>0</v>
      </c>
      <c r="CH1183">
        <v>0</v>
      </c>
      <c r="CI1183">
        <v>0</v>
      </c>
      <c r="CJ1183">
        <v>0</v>
      </c>
      <c r="CK1183">
        <v>0</v>
      </c>
      <c r="CL1183">
        <v>0</v>
      </c>
      <c r="CM1183">
        <v>0</v>
      </c>
      <c r="CN1183" t="str">
        <f t="shared" si="1572"/>
        <v>refOK</v>
      </c>
      <c r="CO1183"/>
      <c r="CP1183"/>
      <c r="CQ1183"/>
      <c r="CR1183">
        <f t="shared" si="1573"/>
        <v>-173.61053100000004</v>
      </c>
      <c r="CS1183">
        <f t="shared" si="1574"/>
        <v>-121.37</v>
      </c>
      <c r="CT1183">
        <f t="shared" si="1575"/>
        <v>0</v>
      </c>
      <c r="CU1183" t="str">
        <f t="shared" si="1576"/>
        <v/>
      </c>
      <c r="CV1183" s="2">
        <f t="shared" si="1577"/>
        <v>0.30090646402089527</v>
      </c>
      <c r="CW1183" s="1" t="s">
        <v>973</v>
      </c>
      <c r="CX1183" s="311" t="str">
        <f t="shared" si="1578"/>
        <v>loc</v>
      </c>
      <c r="CY1183" t="s">
        <v>639</v>
      </c>
      <c r="DA1183" s="143"/>
      <c r="DB1183" s="143">
        <v>200</v>
      </c>
      <c r="DC1183" t="str">
        <f t="shared" si="1579"/>
        <v>+100</v>
      </c>
      <c r="DD1183">
        <v>0</v>
      </c>
      <c r="DE1183">
        <v>0</v>
      </c>
      <c r="DF1183">
        <v>0</v>
      </c>
      <c r="DG1183">
        <v>1</v>
      </c>
      <c r="DH1183">
        <v>0</v>
      </c>
      <c r="DI1183">
        <f t="shared" si="1588"/>
        <v>1</v>
      </c>
      <c r="DJ1183" t="str">
        <f t="shared" si="1581"/>
        <v>TimberInput</v>
      </c>
      <c r="DK1183">
        <f t="shared" si="1582"/>
        <v>0</v>
      </c>
      <c r="DL1183">
        <f t="shared" si="1583"/>
        <v>0</v>
      </c>
      <c r="DM1183">
        <f t="shared" si="1584"/>
        <v>0</v>
      </c>
      <c r="DN1183" t="str">
        <f t="shared" si="1585"/>
        <v>Timber</v>
      </c>
      <c r="DO1183">
        <v>1</v>
      </c>
      <c r="DP1183" s="143">
        <v>0</v>
      </c>
      <c r="DQ1183" s="143">
        <v>0</v>
      </c>
      <c r="DR1183">
        <v>0</v>
      </c>
      <c r="DS1183" s="143">
        <v>0</v>
      </c>
      <c r="DT1183">
        <f t="shared" si="1586"/>
        <v>1</v>
      </c>
      <c r="DU1183" s="143" t="str">
        <f t="shared" si="1589"/>
        <v>self-calculated DF</v>
      </c>
      <c r="DV1183" s="143">
        <v>0</v>
      </c>
      <c r="DW1183" s="143">
        <v>0</v>
      </c>
      <c r="DX1183" s="143">
        <v>1</v>
      </c>
      <c r="DY1183" s="143">
        <v>1</v>
      </c>
      <c r="DZ1183">
        <v>1</v>
      </c>
      <c r="EA1183" s="143">
        <v>1</v>
      </c>
      <c r="EB1183" s="143">
        <v>1</v>
      </c>
      <c r="EC1183" s="143">
        <v>1</v>
      </c>
      <c r="ED1183" s="143">
        <v>1</v>
      </c>
      <c r="EE1183">
        <v>1</v>
      </c>
      <c r="EF1183">
        <v>1</v>
      </c>
      <c r="EG1183" s="143">
        <v>1</v>
      </c>
      <c r="EH1183">
        <v>1</v>
      </c>
      <c r="EI1183" s="2">
        <v>0</v>
      </c>
      <c r="EK1183" t="str">
        <f t="shared" si="1562"/>
        <v>Whole sector</v>
      </c>
      <c r="EL1183" t="str">
        <f t="shared" si="1563"/>
        <v/>
      </c>
      <c r="EM1183" s="2" t="str">
        <f t="shared" si="1525"/>
        <v/>
      </c>
      <c r="EP1183" t="b">
        <f>IF(ISNUMBER(BU1183),IF(ABS(BU1183-[1]QC_indicators!$B$2)&gt;3*[1]QC_indicators!$C$2,"C ratio",IF(ISNUMBER(BY1183),IF(ABS(BY1183-[1]QC_indicators!$B$1)&gt;3*[1]QC_indicators!$C$1,"DF","no"))),IF(ISNUMBER(BY1183),IF(ABS(BY1183-[1]QC_indicators!$B$1)&gt;3*[1]QC_indicators!$C$1,"DF","no")))</f>
        <v>0</v>
      </c>
    </row>
    <row r="1184" spans="1:146" ht="15" hidden="1" customHeight="1">
      <c r="A1184" s="1" t="s">
        <v>3959</v>
      </c>
      <c r="B1184" t="s">
        <v>544</v>
      </c>
      <c r="C1184" t="s">
        <v>544</v>
      </c>
      <c r="D1184" t="s">
        <v>3960</v>
      </c>
      <c r="E1184" t="s">
        <v>3961</v>
      </c>
      <c r="F1184" t="s">
        <v>3962</v>
      </c>
      <c r="G1184" t="s">
        <v>3963</v>
      </c>
      <c r="H1184" t="s">
        <v>3964</v>
      </c>
      <c r="I1184">
        <v>2019</v>
      </c>
      <c r="J1184">
        <v>4</v>
      </c>
      <c r="K1184" t="s">
        <v>3965</v>
      </c>
      <c r="M1184" t="str">
        <f t="shared" si="1527"/>
        <v>Pittau_2019</v>
      </c>
      <c r="N1184" s="311" t="s">
        <v>4382</v>
      </c>
      <c r="O1184" s="171" t="s">
        <v>513</v>
      </c>
      <c r="P1184" t="s">
        <v>341</v>
      </c>
      <c r="Q1184" s="311" t="s">
        <v>389</v>
      </c>
      <c r="R1184" s="312"/>
      <c r="S1184" s="1" t="s">
        <v>3966</v>
      </c>
      <c r="T1184" t="s">
        <v>665</v>
      </c>
      <c r="U1184" t="s">
        <v>3967</v>
      </c>
      <c r="V1184">
        <v>0</v>
      </c>
      <c r="W1184">
        <v>0</v>
      </c>
      <c r="X1184">
        <v>0</v>
      </c>
      <c r="Y1184">
        <v>0</v>
      </c>
      <c r="Z1184">
        <v>0</v>
      </c>
      <c r="AA1184">
        <v>0</v>
      </c>
      <c r="AB1184">
        <v>0</v>
      </c>
      <c r="AC1184">
        <v>0</v>
      </c>
      <c r="AD1184">
        <v>0</v>
      </c>
      <c r="AE1184">
        <v>0</v>
      </c>
      <c r="AF1184">
        <v>0</v>
      </c>
      <c r="AG1184">
        <v>0</v>
      </c>
      <c r="AH1184">
        <v>0</v>
      </c>
      <c r="AI1184">
        <v>0</v>
      </c>
      <c r="AJ1184">
        <v>0</v>
      </c>
      <c r="AK1184">
        <v>1</v>
      </c>
      <c r="AL1184">
        <v>0</v>
      </c>
      <c r="AM1184">
        <v>0</v>
      </c>
      <c r="AN1184">
        <v>0</v>
      </c>
      <c r="AO1184">
        <v>0</v>
      </c>
      <c r="AP1184">
        <v>0</v>
      </c>
      <c r="AQ1184">
        <v>0</v>
      </c>
      <c r="AR1184">
        <v>0</v>
      </c>
      <c r="AS1184">
        <v>0</v>
      </c>
      <c r="AT1184">
        <v>0</v>
      </c>
      <c r="AU1184">
        <v>0</v>
      </c>
      <c r="AV1184">
        <v>0</v>
      </c>
      <c r="AW1184">
        <v>0</v>
      </c>
      <c r="AX1184" s="141">
        <f t="shared" si="1564"/>
        <v>1</v>
      </c>
      <c r="AY1184" s="141">
        <f t="shared" si="1565"/>
        <v>1</v>
      </c>
      <c r="AZ1184">
        <f t="shared" si="1566"/>
        <v>0</v>
      </c>
      <c r="BA1184">
        <f t="shared" si="1567"/>
        <v>0</v>
      </c>
      <c r="BB1184">
        <f t="shared" si="1568"/>
        <v>1</v>
      </c>
      <c r="BC1184">
        <f t="shared" si="1569"/>
        <v>0</v>
      </c>
      <c r="BD1184">
        <f t="shared" si="1570"/>
        <v>0</v>
      </c>
      <c r="BE1184" t="str" cm="1">
        <f t="array" ref="BE1184">IF(AY1184=1,INDEX($V$7:$AL$7,MATCH(TRUE,INDEX($V1184:$AW1184&lt;&gt;0,),0)),IF(AY1184=0,INDEX($AM$7:$AW$7,MATCH(1,$AM1184:$AW1184,0)),IF(BF1184="Multiple strategies","mixed drivers",IF(BF1184="Supply chain","multiple supply","multiple silviculture"))))</f>
        <v>technologies/design switch</v>
      </c>
      <c r="BF1184" s="2" t="str" cm="1">
        <f t="array" ref="BF1184">IF(COUNTIF(AZ1184:BB1184,"&lt;&gt;0")=1,INDEX($V$4:$AW$4,MATCH(TRUE,INDEX($V1184:$AW1184&lt;&gt;0,),0)),IF(COUNTIF(AZ1184:BB1184,"&lt;&gt;0")=0,INDEX($AM$4:$AW$4,MATCH(1,$AM1184:$AW1184,0)),"Multiple strategies"))</f>
        <v>Technology</v>
      </c>
      <c r="BG1184" s="142"/>
      <c r="BJ1184" s="143"/>
      <c r="BL1184" s="143"/>
      <c r="BM1184" t="str">
        <f>IFERROR(BL1184/BK1184,"")</f>
        <v/>
      </c>
      <c r="BN1184" s="158"/>
      <c r="BO1184" s="143"/>
      <c r="BP1184" t="s">
        <v>395</v>
      </c>
      <c r="BR1184" t="s">
        <v>397</v>
      </c>
      <c r="BS1184">
        <v>34600</v>
      </c>
      <c r="BT1184">
        <v>22400</v>
      </c>
      <c r="BU1184" s="144"/>
      <c r="BV1184">
        <f t="shared" si="1571"/>
        <v>-12200</v>
      </c>
      <c r="BY1184" t="str">
        <f t="shared" si="1524"/>
        <v/>
      </c>
      <c r="BZ1184">
        <v>1</v>
      </c>
      <c r="CA1184">
        <v>0</v>
      </c>
      <c r="CB1184">
        <v>0</v>
      </c>
      <c r="CC1184">
        <v>0</v>
      </c>
      <c r="CD1184">
        <v>0</v>
      </c>
      <c r="CE1184">
        <v>0</v>
      </c>
      <c r="CF1184">
        <v>1</v>
      </c>
      <c r="CG1184">
        <v>0</v>
      </c>
      <c r="CH1184">
        <v>0</v>
      </c>
      <c r="CI1184">
        <v>1</v>
      </c>
      <c r="CJ1184">
        <v>1</v>
      </c>
      <c r="CK1184">
        <v>0</v>
      </c>
      <c r="CL1184">
        <v>0</v>
      </c>
      <c r="CM1184">
        <v>0</v>
      </c>
      <c r="CN1184" t="str">
        <f t="shared" si="1572"/>
        <v>refOK</v>
      </c>
      <c r="CO1184"/>
      <c r="CP1184"/>
      <c r="CQ1184"/>
      <c r="CR1184">
        <f t="shared" si="1573"/>
        <v>-34600</v>
      </c>
      <c r="CS1184">
        <f t="shared" si="1574"/>
        <v>-22400</v>
      </c>
      <c r="CT1184">
        <f t="shared" si="1575"/>
        <v>0</v>
      </c>
      <c r="CU1184" t="str">
        <f t="shared" si="1576"/>
        <v/>
      </c>
      <c r="CV1184" s="2">
        <f t="shared" si="1577"/>
        <v>0.35260115606936415</v>
      </c>
      <c r="CW1184" s="1" t="s">
        <v>263</v>
      </c>
      <c r="CX1184" s="311" t="str">
        <f t="shared" si="1578"/>
        <v>loc</v>
      </c>
      <c r="CY1184" t="s">
        <v>732</v>
      </c>
      <c r="DA1184" s="143"/>
      <c r="DB1184">
        <v>0</v>
      </c>
      <c r="DC1184" t="str">
        <f t="shared" si="1579"/>
        <v>0</v>
      </c>
      <c r="DD1184">
        <v>0</v>
      </c>
      <c r="DE1184">
        <v>0</v>
      </c>
      <c r="DF1184">
        <v>0</v>
      </c>
      <c r="DG1184">
        <v>1</v>
      </c>
      <c r="DH1184">
        <v>0</v>
      </c>
      <c r="DI1184">
        <f t="shared" si="1588"/>
        <v>1</v>
      </c>
      <c r="DJ1184" t="str">
        <f t="shared" si="1581"/>
        <v>TimberInput</v>
      </c>
      <c r="DK1184">
        <f t="shared" si="1582"/>
        <v>0</v>
      </c>
      <c r="DL1184">
        <f t="shared" si="1583"/>
        <v>0</v>
      </c>
      <c r="DM1184">
        <f t="shared" si="1584"/>
        <v>0</v>
      </c>
      <c r="DN1184" t="str">
        <f t="shared" si="1585"/>
        <v>Timber</v>
      </c>
      <c r="DO1184">
        <v>0</v>
      </c>
      <c r="DP1184" s="143">
        <v>1</v>
      </c>
      <c r="DQ1184" s="143" t="s">
        <v>3968</v>
      </c>
      <c r="DR1184" t="s">
        <v>3968</v>
      </c>
      <c r="DS1184" s="143" t="s">
        <v>3968</v>
      </c>
      <c r="DT1184">
        <f t="shared" si="1586"/>
        <v>1</v>
      </c>
      <c r="DU1184" s="143" t="str">
        <f t="shared" si="1589"/>
        <v>external DF used</v>
      </c>
      <c r="DV1184" s="143">
        <v>0</v>
      </c>
      <c r="DW1184" s="143">
        <v>0</v>
      </c>
      <c r="DX1184" s="143">
        <v>0</v>
      </c>
      <c r="DY1184" s="143">
        <v>1</v>
      </c>
      <c r="DZ1184">
        <v>1</v>
      </c>
      <c r="EA1184" s="143">
        <v>0</v>
      </c>
      <c r="EB1184" s="143">
        <v>0</v>
      </c>
      <c r="EC1184" s="143">
        <v>1</v>
      </c>
      <c r="ED1184" s="143">
        <v>1</v>
      </c>
      <c r="EE1184">
        <v>1</v>
      </c>
      <c r="EF1184">
        <v>0</v>
      </c>
      <c r="EG1184" s="143">
        <v>0</v>
      </c>
      <c r="EH1184">
        <v>0</v>
      </c>
      <c r="EI1184" s="2">
        <v>0</v>
      </c>
      <c r="EK1184" t="str">
        <f t="shared" si="1562"/>
        <v/>
      </c>
      <c r="EL1184" t="str">
        <f t="shared" si="1563"/>
        <v/>
      </c>
      <c r="EM1184" s="2" t="str">
        <f t="shared" si="1525"/>
        <v>Technology approach</v>
      </c>
      <c r="EP1184" t="b">
        <f>IF(ISNUMBER(BU1184),IF(ABS(BU1184-[1]QC_indicators!$B$2)&gt;3*[1]QC_indicators!$C$2,"C ratio",IF(ISNUMBER(BY1184),IF(ABS(BY1184-[1]QC_indicators!$B$1)&gt;3*[1]QC_indicators!$C$1,"DF","no"))),IF(ISNUMBER(BY1184),IF(ABS(BY1184-[1]QC_indicators!$B$1)&gt;3*[1]QC_indicators!$C$1,"DF","no")))</f>
        <v>0</v>
      </c>
    </row>
    <row r="1185" spans="1:146" ht="15" hidden="1" customHeight="1">
      <c r="A1185" s="1" t="s">
        <v>1042</v>
      </c>
      <c r="B1185" t="s">
        <v>3969</v>
      </c>
      <c r="C1185" t="s">
        <v>3970</v>
      </c>
      <c r="D1185" t="s">
        <v>3971</v>
      </c>
      <c r="E1185" t="s">
        <v>3972</v>
      </c>
      <c r="F1185" t="s">
        <v>3973</v>
      </c>
      <c r="G1185" t="s">
        <v>3974</v>
      </c>
      <c r="H1185" t="s">
        <v>254</v>
      </c>
      <c r="I1185">
        <v>2020</v>
      </c>
      <c r="J1185">
        <v>2</v>
      </c>
      <c r="K1185" t="s">
        <v>3975</v>
      </c>
      <c r="M1185" t="str">
        <f t="shared" si="1527"/>
        <v>Pittau_2020</v>
      </c>
      <c r="N1185" s="311" t="s">
        <v>4382</v>
      </c>
      <c r="O1185" s="171" t="s">
        <v>513</v>
      </c>
      <c r="P1185" t="s">
        <v>341</v>
      </c>
      <c r="Q1185" s="311" t="s">
        <v>389</v>
      </c>
      <c r="R1185" s="312"/>
      <c r="S1185" s="1" t="s">
        <v>3976</v>
      </c>
      <c r="T1185" t="s">
        <v>3977</v>
      </c>
      <c r="U1185" t="s">
        <v>3978</v>
      </c>
      <c r="V1185">
        <v>0</v>
      </c>
      <c r="W1185">
        <v>0</v>
      </c>
      <c r="X1185">
        <v>0</v>
      </c>
      <c r="Y1185">
        <v>0</v>
      </c>
      <c r="Z1185">
        <v>0</v>
      </c>
      <c r="AA1185">
        <v>0</v>
      </c>
      <c r="AB1185">
        <v>0</v>
      </c>
      <c r="AC1185">
        <v>0</v>
      </c>
      <c r="AD1185">
        <v>0</v>
      </c>
      <c r="AE1185">
        <v>0</v>
      </c>
      <c r="AF1185">
        <v>0</v>
      </c>
      <c r="AG1185">
        <v>0</v>
      </c>
      <c r="AH1185">
        <v>1</v>
      </c>
      <c r="AI1185">
        <v>0</v>
      </c>
      <c r="AJ1185">
        <v>0</v>
      </c>
      <c r="AK1185">
        <v>1</v>
      </c>
      <c r="AL1185">
        <v>0</v>
      </c>
      <c r="AM1185">
        <v>0</v>
      </c>
      <c r="AN1185">
        <v>0</v>
      </c>
      <c r="AO1185">
        <v>0</v>
      </c>
      <c r="AP1185">
        <v>0</v>
      </c>
      <c r="AQ1185">
        <v>0</v>
      </c>
      <c r="AR1185">
        <v>0</v>
      </c>
      <c r="AS1185">
        <v>0</v>
      </c>
      <c r="AT1185">
        <v>0</v>
      </c>
      <c r="AU1185">
        <v>0</v>
      </c>
      <c r="AV1185">
        <v>0</v>
      </c>
      <c r="AW1185">
        <v>0</v>
      </c>
      <c r="AX1185" s="141">
        <f t="shared" si="1564"/>
        <v>2</v>
      </c>
      <c r="AY1185" s="141">
        <f t="shared" si="1565"/>
        <v>2</v>
      </c>
      <c r="AZ1185">
        <f t="shared" si="1566"/>
        <v>0</v>
      </c>
      <c r="BA1185">
        <f t="shared" si="1567"/>
        <v>1</v>
      </c>
      <c r="BB1185">
        <f t="shared" si="1568"/>
        <v>1</v>
      </c>
      <c r="BC1185">
        <f t="shared" si="1569"/>
        <v>0</v>
      </c>
      <c r="BD1185">
        <f t="shared" si="1570"/>
        <v>0</v>
      </c>
      <c r="BE1185" t="str" cm="1">
        <f t="array" ref="BE1185">IF(AY1185=1,INDEX($V$7:$AL$7,MATCH(TRUE,INDEX($V1185:$AW1185&lt;&gt;0,),0)),IF(AY1185=0,INDEX($AM$7:$AW$7,MATCH(1,$AM1185:$AW1185,0)),IF(BF1185="Multiple strategies","mixed drivers",IF(BF1185="Supply chain","multiple supply","multiple silviculture"))))</f>
        <v>mixed drivers</v>
      </c>
      <c r="BF1185" s="2" t="str" cm="1">
        <f t="array" ref="BF1185">IF(COUNTIF(AZ1185:BB1185,"&lt;&gt;0")=1,INDEX($V$4:$AW$4,MATCH(TRUE,INDEX($V1185:$AW1185&lt;&gt;0,),0)),IF(COUNTIF(AZ1185:BB1185,"&lt;&gt;0")=0,INDEX($AM$4:$AW$4,MATCH(1,$AM1185:$AW1185,0)),"Multiple strategies"))</f>
        <v>Multiple strategies</v>
      </c>
      <c r="BM1185" t="str">
        <f>IFERROR(BL1185/BK1185,"")</f>
        <v/>
      </c>
      <c r="BP1185" t="s">
        <v>395</v>
      </c>
      <c r="BR1185" t="s">
        <v>397</v>
      </c>
      <c r="BS1185">
        <v>519</v>
      </c>
      <c r="BT1185">
        <v>49.162011173184304</v>
      </c>
      <c r="BU1185" s="144"/>
      <c r="BV1185">
        <f t="shared" si="1571"/>
        <v>-469.83798882681572</v>
      </c>
      <c r="BY1185" t="str">
        <f t="shared" si="1524"/>
        <v/>
      </c>
      <c r="BZ1185">
        <v>1</v>
      </c>
      <c r="CA1185">
        <v>0</v>
      </c>
      <c r="CB1185">
        <v>0</v>
      </c>
      <c r="CC1185">
        <v>0</v>
      </c>
      <c r="CD1185">
        <v>0</v>
      </c>
      <c r="CE1185">
        <v>0</v>
      </c>
      <c r="CF1185">
        <v>1</v>
      </c>
      <c r="CG1185">
        <v>0</v>
      </c>
      <c r="CH1185">
        <v>0</v>
      </c>
      <c r="CI1185">
        <v>0</v>
      </c>
      <c r="CJ1185">
        <v>1</v>
      </c>
      <c r="CK1185">
        <v>0</v>
      </c>
      <c r="CL1185">
        <v>0</v>
      </c>
      <c r="CM1185">
        <v>0</v>
      </c>
      <c r="CN1185" t="str">
        <f t="shared" si="1572"/>
        <v>refOK</v>
      </c>
      <c r="CO1185"/>
      <c r="CP1185"/>
      <c r="CQ1185"/>
      <c r="CR1185">
        <f t="shared" si="1573"/>
        <v>-519</v>
      </c>
      <c r="CS1185">
        <f t="shared" si="1574"/>
        <v>-49.162011173184304</v>
      </c>
      <c r="CT1185">
        <f t="shared" si="1575"/>
        <v>0</v>
      </c>
      <c r="CU1185" t="str">
        <f t="shared" si="1576"/>
        <v/>
      </c>
      <c r="CV1185" s="2">
        <f t="shared" si="1577"/>
        <v>0.90527550833683179</v>
      </c>
      <c r="CW1185" s="1" t="s">
        <v>973</v>
      </c>
      <c r="CX1185" s="311" t="str">
        <f t="shared" si="1578"/>
        <v>loc</v>
      </c>
      <c r="CY1185" t="s">
        <v>732</v>
      </c>
      <c r="DB1185">
        <v>0</v>
      </c>
      <c r="DC1185" t="str">
        <f t="shared" si="1579"/>
        <v>0</v>
      </c>
      <c r="DD1185">
        <v>0</v>
      </c>
      <c r="DE1185">
        <v>0</v>
      </c>
      <c r="DF1185">
        <v>0</v>
      </c>
      <c r="DG1185">
        <v>1</v>
      </c>
      <c r="DH1185">
        <v>0</v>
      </c>
      <c r="DI1185">
        <f t="shared" si="1588"/>
        <v>1</v>
      </c>
      <c r="DJ1185" t="str">
        <f t="shared" si="1581"/>
        <v>TimberInput</v>
      </c>
      <c r="DK1185">
        <f t="shared" si="1582"/>
        <v>0</v>
      </c>
      <c r="DL1185">
        <f t="shared" si="1583"/>
        <v>0</v>
      </c>
      <c r="DM1185">
        <f t="shared" si="1584"/>
        <v>0</v>
      </c>
      <c r="DN1185" t="str">
        <f t="shared" si="1585"/>
        <v>Timber</v>
      </c>
      <c r="DO1185">
        <v>0</v>
      </c>
      <c r="DP1185" s="143">
        <v>1</v>
      </c>
      <c r="DQ1185" s="143" t="s">
        <v>3968</v>
      </c>
      <c r="DR1185" t="s">
        <v>3968</v>
      </c>
      <c r="DS1185" s="143" t="s">
        <v>3968</v>
      </c>
      <c r="DT1185">
        <f t="shared" si="1586"/>
        <v>1</v>
      </c>
      <c r="DU1185" s="143" t="str">
        <f t="shared" si="1589"/>
        <v>external DF used</v>
      </c>
      <c r="DV1185">
        <v>0</v>
      </c>
      <c r="DW1185">
        <v>0</v>
      </c>
      <c r="DX1185">
        <v>0</v>
      </c>
      <c r="DY1185">
        <v>1</v>
      </c>
      <c r="DZ1185">
        <v>1</v>
      </c>
      <c r="EA1185" s="143">
        <v>1</v>
      </c>
      <c r="EB1185">
        <v>0</v>
      </c>
      <c r="EC1185">
        <v>1</v>
      </c>
      <c r="ED1185">
        <v>1</v>
      </c>
      <c r="EE1185">
        <v>1</v>
      </c>
      <c r="EF1185">
        <v>0</v>
      </c>
      <c r="EG1185">
        <v>0</v>
      </c>
      <c r="EH1185">
        <v>0</v>
      </c>
      <c r="EI1185" s="2">
        <v>0</v>
      </c>
      <c r="EK1185" t="str">
        <f t="shared" si="1562"/>
        <v/>
      </c>
      <c r="EL1185" t="str">
        <f t="shared" si="1563"/>
        <v/>
      </c>
      <c r="EM1185" s="2" t="str">
        <f t="shared" si="1525"/>
        <v>Technology approach</v>
      </c>
      <c r="EP1185" t="b">
        <f>IF(ISNUMBER(BU1185),IF(ABS(BU1185-[1]QC_indicators!$B$2)&gt;3*[1]QC_indicators!$C$2,"C ratio",IF(ISNUMBER(BY1185),IF(ABS(BY1185-[1]QC_indicators!$B$1)&gt;3*[1]QC_indicators!$C$1,"DF","no"))),IF(ISNUMBER(BY1185),IF(ABS(BY1185-[1]QC_indicators!$B$1)&gt;3*[1]QC_indicators!$C$1,"DF","no")))</f>
        <v>0</v>
      </c>
    </row>
    <row r="1186" spans="1:146" ht="15" hidden="1" customHeight="1">
      <c r="A1186" s="1" t="s">
        <v>1042</v>
      </c>
      <c r="B1186" t="s">
        <v>3969</v>
      </c>
      <c r="C1186" t="s">
        <v>3970</v>
      </c>
      <c r="D1186" t="s">
        <v>3971</v>
      </c>
      <c r="E1186" t="s">
        <v>3972</v>
      </c>
      <c r="F1186" t="s">
        <v>3973</v>
      </c>
      <c r="G1186" t="s">
        <v>3974</v>
      </c>
      <c r="H1186" t="s">
        <v>254</v>
      </c>
      <c r="I1186">
        <v>2020</v>
      </c>
      <c r="J1186">
        <v>2</v>
      </c>
      <c r="K1186" t="s">
        <v>3975</v>
      </c>
      <c r="M1186" t="str">
        <f t="shared" si="1527"/>
        <v>Pittau_2020</v>
      </c>
      <c r="N1186" s="311" t="s">
        <v>4382</v>
      </c>
      <c r="O1186" s="171" t="s">
        <v>513</v>
      </c>
      <c r="P1186" t="s">
        <v>341</v>
      </c>
      <c r="Q1186" s="311" t="s">
        <v>389</v>
      </c>
      <c r="R1186" s="312"/>
      <c r="S1186" s="1" t="s">
        <v>3979</v>
      </c>
      <c r="T1186" t="s">
        <v>3977</v>
      </c>
      <c r="U1186" t="s">
        <v>3980</v>
      </c>
      <c r="V1186">
        <v>0</v>
      </c>
      <c r="W1186">
        <v>0</v>
      </c>
      <c r="X1186">
        <v>0</v>
      </c>
      <c r="Y1186">
        <v>0</v>
      </c>
      <c r="Z1186">
        <v>0</v>
      </c>
      <c r="AA1186">
        <v>0</v>
      </c>
      <c r="AB1186">
        <v>0</v>
      </c>
      <c r="AC1186">
        <v>0</v>
      </c>
      <c r="AD1186">
        <v>0</v>
      </c>
      <c r="AE1186">
        <v>0</v>
      </c>
      <c r="AF1186">
        <v>0</v>
      </c>
      <c r="AG1186">
        <v>0</v>
      </c>
      <c r="AH1186">
        <v>1</v>
      </c>
      <c r="AI1186">
        <v>0</v>
      </c>
      <c r="AJ1186">
        <v>0</v>
      </c>
      <c r="AK1186">
        <v>1</v>
      </c>
      <c r="AL1186">
        <v>0</v>
      </c>
      <c r="AM1186">
        <v>0</v>
      </c>
      <c r="AN1186">
        <v>0</v>
      </c>
      <c r="AO1186">
        <v>0</v>
      </c>
      <c r="AP1186">
        <v>0</v>
      </c>
      <c r="AQ1186">
        <v>0</v>
      </c>
      <c r="AR1186">
        <v>0</v>
      </c>
      <c r="AS1186">
        <v>0</v>
      </c>
      <c r="AT1186">
        <v>0</v>
      </c>
      <c r="AU1186">
        <v>0</v>
      </c>
      <c r="AV1186">
        <v>0</v>
      </c>
      <c r="AW1186">
        <v>0</v>
      </c>
      <c r="AX1186" s="141">
        <f t="shared" si="1564"/>
        <v>2</v>
      </c>
      <c r="AY1186" s="141">
        <f t="shared" si="1565"/>
        <v>2</v>
      </c>
      <c r="AZ1186">
        <f t="shared" si="1566"/>
        <v>0</v>
      </c>
      <c r="BA1186">
        <f t="shared" si="1567"/>
        <v>1</v>
      </c>
      <c r="BB1186">
        <f t="shared" si="1568"/>
        <v>1</v>
      </c>
      <c r="BC1186">
        <f t="shared" si="1569"/>
        <v>0</v>
      </c>
      <c r="BD1186">
        <f t="shared" si="1570"/>
        <v>0</v>
      </c>
      <c r="BE1186" t="str" cm="1">
        <f t="array" ref="BE1186">IF(AY1186=1,INDEX($V$7:$AL$7,MATCH(TRUE,INDEX($V1186:$AW1186&lt;&gt;0,),0)),IF(AY1186=0,INDEX($AM$7:$AW$7,MATCH(1,$AM1186:$AW1186,0)),IF(BF1186="Multiple strategies","mixed drivers",IF(BF1186="Supply chain","multiple supply","multiple silviculture"))))</f>
        <v>mixed drivers</v>
      </c>
      <c r="BF1186" s="2" t="str" cm="1">
        <f t="array" ref="BF1186">IF(COUNTIF(AZ1186:BB1186,"&lt;&gt;0")=1,INDEX($V$4:$AW$4,MATCH(TRUE,INDEX($V1186:$AW1186&lt;&gt;0,),0)),IF(COUNTIF(AZ1186:BB1186,"&lt;&gt;0")=0,INDEX($AM$4:$AW$4,MATCH(1,$AM1186:$AW1186,0)),"Multiple strategies"))</f>
        <v>Multiple strategies</v>
      </c>
      <c r="BM1186" t="str">
        <f>IFERROR(BL1186/BK1186,"")</f>
        <v/>
      </c>
      <c r="BP1186" t="s">
        <v>395</v>
      </c>
      <c r="BR1186" t="s">
        <v>397</v>
      </c>
      <c r="BS1186">
        <v>519</v>
      </c>
      <c r="BT1186">
        <v>61.452513966480296</v>
      </c>
      <c r="BU1186" s="144"/>
      <c r="BV1186">
        <f t="shared" si="1571"/>
        <v>-457.5474860335197</v>
      </c>
      <c r="BY1186" t="str">
        <f t="shared" si="1524"/>
        <v/>
      </c>
      <c r="BZ1186">
        <v>1</v>
      </c>
      <c r="CA1186">
        <v>0</v>
      </c>
      <c r="CB1186">
        <v>0</v>
      </c>
      <c r="CC1186">
        <v>0</v>
      </c>
      <c r="CD1186">
        <v>0</v>
      </c>
      <c r="CE1186">
        <v>0</v>
      </c>
      <c r="CF1186">
        <v>1</v>
      </c>
      <c r="CG1186">
        <v>0</v>
      </c>
      <c r="CH1186">
        <v>0</v>
      </c>
      <c r="CI1186">
        <v>0</v>
      </c>
      <c r="CJ1186">
        <v>1</v>
      </c>
      <c r="CK1186">
        <v>0</v>
      </c>
      <c r="CL1186">
        <v>0</v>
      </c>
      <c r="CM1186">
        <v>0</v>
      </c>
      <c r="CN1186" t="str">
        <f t="shared" si="1572"/>
        <v>refOK</v>
      </c>
      <c r="CO1186"/>
      <c r="CP1186"/>
      <c r="CQ1186"/>
      <c r="CR1186">
        <f t="shared" si="1573"/>
        <v>-519</v>
      </c>
      <c r="CS1186">
        <f t="shared" si="1574"/>
        <v>-61.452513966480296</v>
      </c>
      <c r="CT1186">
        <f t="shared" si="1575"/>
        <v>0</v>
      </c>
      <c r="CU1186" t="str">
        <f t="shared" si="1576"/>
        <v/>
      </c>
      <c r="CV1186" s="2">
        <f t="shared" si="1577"/>
        <v>0.88159438542103985</v>
      </c>
      <c r="CW1186" s="1" t="s">
        <v>973</v>
      </c>
      <c r="CX1186" s="311" t="str">
        <f t="shared" si="1578"/>
        <v>loc</v>
      </c>
      <c r="CY1186" t="s">
        <v>732</v>
      </c>
      <c r="DB1186">
        <v>0</v>
      </c>
      <c r="DC1186" t="str">
        <f t="shared" si="1579"/>
        <v>0</v>
      </c>
      <c r="DD1186">
        <v>0</v>
      </c>
      <c r="DE1186">
        <v>0</v>
      </c>
      <c r="DF1186">
        <v>0</v>
      </c>
      <c r="DG1186">
        <v>1</v>
      </c>
      <c r="DH1186">
        <v>0</v>
      </c>
      <c r="DI1186">
        <f t="shared" si="1588"/>
        <v>1</v>
      </c>
      <c r="DJ1186" t="str">
        <f t="shared" si="1581"/>
        <v>TimberInput</v>
      </c>
      <c r="DK1186">
        <f t="shared" si="1582"/>
        <v>0</v>
      </c>
      <c r="DL1186">
        <f t="shared" si="1583"/>
        <v>0</v>
      </c>
      <c r="DM1186">
        <f t="shared" si="1584"/>
        <v>0</v>
      </c>
      <c r="DN1186" t="str">
        <f t="shared" si="1585"/>
        <v>Timber</v>
      </c>
      <c r="DO1186">
        <v>0</v>
      </c>
      <c r="DP1186" s="143">
        <v>1</v>
      </c>
      <c r="DQ1186" s="143" t="s">
        <v>3968</v>
      </c>
      <c r="DR1186" t="s">
        <v>3968</v>
      </c>
      <c r="DS1186" s="143" t="s">
        <v>3968</v>
      </c>
      <c r="DT1186">
        <f t="shared" si="1586"/>
        <v>1</v>
      </c>
      <c r="DU1186" s="143" t="str">
        <f t="shared" si="1589"/>
        <v>external DF used</v>
      </c>
      <c r="DV1186">
        <v>0</v>
      </c>
      <c r="DW1186">
        <v>0</v>
      </c>
      <c r="DX1186">
        <v>0</v>
      </c>
      <c r="DY1186">
        <v>1</v>
      </c>
      <c r="DZ1186">
        <v>1</v>
      </c>
      <c r="EA1186" s="143">
        <v>1</v>
      </c>
      <c r="EB1186">
        <v>0</v>
      </c>
      <c r="EC1186">
        <v>1</v>
      </c>
      <c r="ED1186">
        <v>1</v>
      </c>
      <c r="EE1186">
        <v>1</v>
      </c>
      <c r="EF1186">
        <v>0</v>
      </c>
      <c r="EG1186">
        <v>0</v>
      </c>
      <c r="EH1186">
        <v>0</v>
      </c>
      <c r="EI1186" s="2">
        <v>0</v>
      </c>
      <c r="EK1186" t="str">
        <f t="shared" si="1562"/>
        <v/>
      </c>
      <c r="EL1186" t="str">
        <f t="shared" si="1563"/>
        <v/>
      </c>
      <c r="EM1186" s="2" t="str">
        <f t="shared" si="1525"/>
        <v>Technology approach</v>
      </c>
      <c r="EP1186" t="b">
        <f>IF(ISNUMBER(BU1186),IF(ABS(BU1186-[1]QC_indicators!$B$2)&gt;3*[1]QC_indicators!$C$2,"C ratio",IF(ISNUMBER(BY1186),IF(ABS(BY1186-[1]QC_indicators!$B$1)&gt;3*[1]QC_indicators!$C$1,"DF","no"))),IF(ISNUMBER(BY1186),IF(ABS(BY1186-[1]QC_indicators!$B$1)&gt;3*[1]QC_indicators!$C$1,"DF","no")))</f>
        <v>0</v>
      </c>
    </row>
    <row r="1187" spans="1:146" ht="15" hidden="1" customHeight="1">
      <c r="A1187" s="1" t="s">
        <v>1042</v>
      </c>
      <c r="B1187" t="s">
        <v>3969</v>
      </c>
      <c r="C1187" t="s">
        <v>3970</v>
      </c>
      <c r="D1187" t="s">
        <v>3971</v>
      </c>
      <c r="E1187" t="s">
        <v>3972</v>
      </c>
      <c r="F1187" t="s">
        <v>3973</v>
      </c>
      <c r="G1187" t="s">
        <v>3974</v>
      </c>
      <c r="H1187" t="s">
        <v>254</v>
      </c>
      <c r="I1187">
        <v>2020</v>
      </c>
      <c r="J1187">
        <v>2</v>
      </c>
      <c r="K1187" t="s">
        <v>3975</v>
      </c>
      <c r="M1187" t="str">
        <f t="shared" si="1527"/>
        <v>Pittau_2020</v>
      </c>
      <c r="N1187" s="311" t="s">
        <v>4382</v>
      </c>
      <c r="O1187" s="171" t="s">
        <v>513</v>
      </c>
      <c r="P1187" t="s">
        <v>341</v>
      </c>
      <c r="Q1187" s="311" t="s">
        <v>389</v>
      </c>
      <c r="R1187" s="312"/>
      <c r="S1187" s="1" t="s">
        <v>3981</v>
      </c>
      <c r="T1187" t="s">
        <v>3977</v>
      </c>
      <c r="U1187" t="s">
        <v>3982</v>
      </c>
      <c r="V1187">
        <v>0</v>
      </c>
      <c r="W1187">
        <v>0</v>
      </c>
      <c r="X1187">
        <v>0</v>
      </c>
      <c r="Y1187">
        <v>0</v>
      </c>
      <c r="Z1187">
        <v>0</v>
      </c>
      <c r="AA1187">
        <v>0</v>
      </c>
      <c r="AB1187">
        <v>0</v>
      </c>
      <c r="AC1187">
        <v>0</v>
      </c>
      <c r="AD1187">
        <v>0</v>
      </c>
      <c r="AE1187">
        <v>0</v>
      </c>
      <c r="AF1187">
        <v>0</v>
      </c>
      <c r="AG1187">
        <v>0</v>
      </c>
      <c r="AH1187">
        <v>1</v>
      </c>
      <c r="AI1187">
        <v>0</v>
      </c>
      <c r="AJ1187">
        <v>0</v>
      </c>
      <c r="AK1187">
        <v>1</v>
      </c>
      <c r="AL1187">
        <v>0</v>
      </c>
      <c r="AM1187">
        <v>0</v>
      </c>
      <c r="AN1187">
        <v>0</v>
      </c>
      <c r="AO1187">
        <v>0</v>
      </c>
      <c r="AP1187">
        <v>0</v>
      </c>
      <c r="AQ1187">
        <v>0</v>
      </c>
      <c r="AR1187">
        <v>0</v>
      </c>
      <c r="AS1187">
        <v>0</v>
      </c>
      <c r="AT1187">
        <v>0</v>
      </c>
      <c r="AU1187">
        <v>0</v>
      </c>
      <c r="AV1187">
        <v>0</v>
      </c>
      <c r="AW1187">
        <v>0</v>
      </c>
      <c r="AX1187" s="141">
        <f t="shared" si="1564"/>
        <v>2</v>
      </c>
      <c r="AY1187" s="141">
        <f t="shared" si="1565"/>
        <v>2</v>
      </c>
      <c r="AZ1187">
        <f t="shared" si="1566"/>
        <v>0</v>
      </c>
      <c r="BA1187">
        <f t="shared" si="1567"/>
        <v>1</v>
      </c>
      <c r="BB1187">
        <f t="shared" si="1568"/>
        <v>1</v>
      </c>
      <c r="BC1187">
        <f t="shared" si="1569"/>
        <v>0</v>
      </c>
      <c r="BD1187">
        <f t="shared" si="1570"/>
        <v>0</v>
      </c>
      <c r="BE1187" t="str" cm="1">
        <f t="array" ref="BE1187">IF(AY1187=1,INDEX($V$7:$AL$7,MATCH(TRUE,INDEX($V1187:$AW1187&lt;&gt;0,),0)),IF(AY1187=0,INDEX($AM$7:$AW$7,MATCH(1,$AM1187:$AW1187,0)),IF(BF1187="Multiple strategies","mixed drivers",IF(BF1187="Supply chain","multiple supply","multiple silviculture"))))</f>
        <v>mixed drivers</v>
      </c>
      <c r="BF1187" s="2" t="str" cm="1">
        <f t="array" ref="BF1187">IF(COUNTIF(AZ1187:BB1187,"&lt;&gt;0")=1,INDEX($V$4:$AW$4,MATCH(TRUE,INDEX($V1187:$AW1187&lt;&gt;0,),0)),IF(COUNTIF(AZ1187:BB1187,"&lt;&gt;0")=0,INDEX($AM$4:$AW$4,MATCH(1,$AM1187:$AW1187,0)),"Multiple strategies"))</f>
        <v>Multiple strategies</v>
      </c>
      <c r="BP1187" t="s">
        <v>395</v>
      </c>
      <c r="BR1187" t="s">
        <v>397</v>
      </c>
      <c r="BS1187">
        <v>519</v>
      </c>
      <c r="BT1187">
        <v>82.960893854747695</v>
      </c>
      <c r="BU1187" s="144"/>
      <c r="BV1187">
        <f t="shared" si="1571"/>
        <v>-436.03910614525228</v>
      </c>
      <c r="BY1187" t="str">
        <f t="shared" si="1524"/>
        <v/>
      </c>
      <c r="BZ1187">
        <v>1</v>
      </c>
      <c r="CA1187">
        <v>0</v>
      </c>
      <c r="CB1187">
        <v>0</v>
      </c>
      <c r="CC1187">
        <v>0</v>
      </c>
      <c r="CD1187">
        <v>0</v>
      </c>
      <c r="CE1187">
        <v>0</v>
      </c>
      <c r="CF1187">
        <v>1</v>
      </c>
      <c r="CG1187">
        <v>0</v>
      </c>
      <c r="CH1187">
        <v>0</v>
      </c>
      <c r="CI1187">
        <v>0</v>
      </c>
      <c r="CJ1187">
        <v>1</v>
      </c>
      <c r="CK1187">
        <v>0</v>
      </c>
      <c r="CL1187">
        <v>0</v>
      </c>
      <c r="CM1187">
        <v>0</v>
      </c>
      <c r="CN1187" t="str">
        <f t="shared" si="1572"/>
        <v>refOK</v>
      </c>
      <c r="CO1187"/>
      <c r="CP1187"/>
      <c r="CQ1187"/>
      <c r="CR1187">
        <f t="shared" si="1573"/>
        <v>-519</v>
      </c>
      <c r="CS1187">
        <f t="shared" si="1574"/>
        <v>-82.960893854747695</v>
      </c>
      <c r="CT1187">
        <f t="shared" si="1575"/>
        <v>0</v>
      </c>
      <c r="CU1187" t="str">
        <f t="shared" si="1576"/>
        <v/>
      </c>
      <c r="CV1187" s="2">
        <f t="shared" si="1577"/>
        <v>0.8401524203184052</v>
      </c>
      <c r="CW1187" s="1" t="s">
        <v>973</v>
      </c>
      <c r="CX1187" s="311" t="str">
        <f t="shared" si="1578"/>
        <v>loc</v>
      </c>
      <c r="CY1187" t="s">
        <v>732</v>
      </c>
      <c r="DB1187">
        <v>0</v>
      </c>
      <c r="DC1187" t="str">
        <f t="shared" si="1579"/>
        <v>0</v>
      </c>
      <c r="DD1187">
        <v>0</v>
      </c>
      <c r="DE1187">
        <v>0</v>
      </c>
      <c r="DF1187">
        <v>0</v>
      </c>
      <c r="DG1187">
        <v>1</v>
      </c>
      <c r="DH1187">
        <v>0</v>
      </c>
      <c r="DI1187">
        <f t="shared" si="1588"/>
        <v>1</v>
      </c>
      <c r="DJ1187" t="str">
        <f t="shared" si="1581"/>
        <v>TimberInput</v>
      </c>
      <c r="DK1187">
        <f t="shared" si="1582"/>
        <v>0</v>
      </c>
      <c r="DL1187">
        <f t="shared" si="1583"/>
        <v>0</v>
      </c>
      <c r="DM1187">
        <f t="shared" si="1584"/>
        <v>0</v>
      </c>
      <c r="DN1187" t="str">
        <f t="shared" si="1585"/>
        <v>Timber</v>
      </c>
      <c r="DO1187">
        <v>0</v>
      </c>
      <c r="DP1187" s="143">
        <v>1</v>
      </c>
      <c r="DQ1187" s="143" t="s">
        <v>3968</v>
      </c>
      <c r="DR1187" t="s">
        <v>3968</v>
      </c>
      <c r="DS1187" s="143" t="s">
        <v>3968</v>
      </c>
      <c r="DT1187">
        <f t="shared" si="1586"/>
        <v>1</v>
      </c>
      <c r="DU1187" s="143" t="str">
        <f t="shared" si="1589"/>
        <v>external DF used</v>
      </c>
      <c r="DV1187">
        <v>0</v>
      </c>
      <c r="DW1187">
        <v>0</v>
      </c>
      <c r="DX1187">
        <v>0</v>
      </c>
      <c r="DY1187">
        <v>1</v>
      </c>
      <c r="DZ1187">
        <v>1</v>
      </c>
      <c r="EA1187" s="143">
        <v>1</v>
      </c>
      <c r="EB1187">
        <v>0</v>
      </c>
      <c r="EC1187">
        <v>1</v>
      </c>
      <c r="ED1187">
        <v>1</v>
      </c>
      <c r="EE1187">
        <v>1</v>
      </c>
      <c r="EF1187">
        <v>0</v>
      </c>
      <c r="EG1187">
        <v>0</v>
      </c>
      <c r="EH1187">
        <v>0</v>
      </c>
      <c r="EI1187" s="2">
        <v>0</v>
      </c>
      <c r="EK1187" t="str">
        <f t="shared" si="1562"/>
        <v/>
      </c>
      <c r="EL1187" t="str">
        <f t="shared" si="1563"/>
        <v/>
      </c>
      <c r="EM1187" s="2" t="str">
        <f t="shared" si="1525"/>
        <v>Technology approach</v>
      </c>
      <c r="EP1187" t="b">
        <f>IF(ISNUMBER(BU1187),IF(ABS(BU1187-[1]QC_indicators!$B$2)&gt;3*[1]QC_indicators!$C$2,"C ratio",IF(ISNUMBER(BY1187),IF(ABS(BY1187-[1]QC_indicators!$B$1)&gt;3*[1]QC_indicators!$C$1,"DF","no"))),IF(ISNUMBER(BY1187),IF(ABS(BY1187-[1]QC_indicators!$B$1)&gt;3*[1]QC_indicators!$C$1,"DF","no")))</f>
        <v>0</v>
      </c>
    </row>
    <row r="1188" spans="1:146" ht="15" hidden="1" customHeight="1">
      <c r="A1188" s="1" t="s">
        <v>1042</v>
      </c>
      <c r="B1188" t="s">
        <v>3969</v>
      </c>
      <c r="C1188" t="s">
        <v>3970</v>
      </c>
      <c r="D1188" t="s">
        <v>3971</v>
      </c>
      <c r="E1188" t="s">
        <v>3972</v>
      </c>
      <c r="F1188" t="s">
        <v>3973</v>
      </c>
      <c r="G1188" t="s">
        <v>3974</v>
      </c>
      <c r="H1188" t="s">
        <v>254</v>
      </c>
      <c r="I1188">
        <v>2020</v>
      </c>
      <c r="J1188">
        <v>2</v>
      </c>
      <c r="K1188" t="s">
        <v>3975</v>
      </c>
      <c r="M1188" t="str">
        <f t="shared" si="1527"/>
        <v>Pittau_2020</v>
      </c>
      <c r="N1188" s="311" t="s">
        <v>4382</v>
      </c>
      <c r="O1188" s="171" t="s">
        <v>513</v>
      </c>
      <c r="P1188" t="s">
        <v>341</v>
      </c>
      <c r="Q1188" s="311" t="s">
        <v>389</v>
      </c>
      <c r="R1188" s="312"/>
      <c r="S1188" s="1" t="s">
        <v>3983</v>
      </c>
      <c r="T1188" t="s">
        <v>3977</v>
      </c>
      <c r="U1188" t="s">
        <v>3984</v>
      </c>
      <c r="V1188">
        <v>0</v>
      </c>
      <c r="W1188">
        <v>0</v>
      </c>
      <c r="X1188">
        <v>0</v>
      </c>
      <c r="Y1188">
        <v>0</v>
      </c>
      <c r="Z1188">
        <v>0</v>
      </c>
      <c r="AA1188">
        <v>0</v>
      </c>
      <c r="AB1188">
        <v>0</v>
      </c>
      <c r="AC1188">
        <v>0</v>
      </c>
      <c r="AD1188">
        <v>0</v>
      </c>
      <c r="AE1188">
        <v>0</v>
      </c>
      <c r="AF1188">
        <v>0</v>
      </c>
      <c r="AG1188">
        <v>0</v>
      </c>
      <c r="AH1188">
        <v>1</v>
      </c>
      <c r="AI1188">
        <v>0</v>
      </c>
      <c r="AJ1188">
        <v>0</v>
      </c>
      <c r="AK1188">
        <v>1</v>
      </c>
      <c r="AL1188">
        <v>0</v>
      </c>
      <c r="AM1188">
        <v>0</v>
      </c>
      <c r="AN1188">
        <v>0</v>
      </c>
      <c r="AO1188">
        <v>0</v>
      </c>
      <c r="AP1188">
        <v>0</v>
      </c>
      <c r="AQ1188">
        <v>0</v>
      </c>
      <c r="AR1188">
        <v>0</v>
      </c>
      <c r="AS1188">
        <v>0</v>
      </c>
      <c r="AT1188">
        <v>0</v>
      </c>
      <c r="AU1188">
        <v>0</v>
      </c>
      <c r="AV1188">
        <v>0</v>
      </c>
      <c r="AW1188">
        <v>0</v>
      </c>
      <c r="AX1188" s="141">
        <f t="shared" si="1564"/>
        <v>2</v>
      </c>
      <c r="AY1188" s="141">
        <f t="shared" si="1565"/>
        <v>2</v>
      </c>
      <c r="AZ1188">
        <f t="shared" si="1566"/>
        <v>0</v>
      </c>
      <c r="BA1188">
        <f t="shared" si="1567"/>
        <v>1</v>
      </c>
      <c r="BB1188">
        <f t="shared" si="1568"/>
        <v>1</v>
      </c>
      <c r="BC1188">
        <f t="shared" si="1569"/>
        <v>0</v>
      </c>
      <c r="BD1188">
        <f t="shared" si="1570"/>
        <v>0</v>
      </c>
      <c r="BE1188" t="str" cm="1">
        <f t="array" ref="BE1188">IF(AY1188=1,INDEX($V$7:$AL$7,MATCH(TRUE,INDEX($V1188:$AW1188&lt;&gt;0,),0)),IF(AY1188=0,INDEX($AM$7:$AW$7,MATCH(1,$AM1188:$AW1188,0)),IF(BF1188="Multiple strategies","mixed drivers",IF(BF1188="Supply chain","multiple supply","multiple silviculture"))))</f>
        <v>mixed drivers</v>
      </c>
      <c r="BF1188" s="2" t="str" cm="1">
        <f t="array" ref="BF1188">IF(COUNTIF(AZ1188:BB1188,"&lt;&gt;0")=1,INDEX($V$4:$AW$4,MATCH(TRUE,INDEX($V1188:$AW1188&lt;&gt;0,),0)),IF(COUNTIF(AZ1188:BB1188,"&lt;&gt;0")=0,INDEX($AM$4:$AW$4,MATCH(1,$AM1188:$AW1188,0)),"Multiple strategies"))</f>
        <v>Multiple strategies</v>
      </c>
      <c r="BP1188" t="s">
        <v>395</v>
      </c>
      <c r="BR1188" t="s">
        <v>397</v>
      </c>
      <c r="BS1188">
        <v>519</v>
      </c>
      <c r="BT1188">
        <v>374.86033519553069</v>
      </c>
      <c r="BU1188" s="144"/>
      <c r="BV1188">
        <f t="shared" si="1571"/>
        <v>-144.13966480446931</v>
      </c>
      <c r="BY1188" t="str">
        <f t="shared" si="1524"/>
        <v/>
      </c>
      <c r="BZ1188">
        <v>1</v>
      </c>
      <c r="CA1188">
        <v>0</v>
      </c>
      <c r="CB1188">
        <v>0</v>
      </c>
      <c r="CC1188">
        <v>0</v>
      </c>
      <c r="CD1188">
        <v>0</v>
      </c>
      <c r="CE1188">
        <v>0</v>
      </c>
      <c r="CF1188">
        <v>1</v>
      </c>
      <c r="CG1188">
        <v>0</v>
      </c>
      <c r="CH1188">
        <v>0</v>
      </c>
      <c r="CI1188">
        <v>0</v>
      </c>
      <c r="CJ1188">
        <v>1</v>
      </c>
      <c r="CK1188">
        <v>0</v>
      </c>
      <c r="CL1188">
        <v>0</v>
      </c>
      <c r="CM1188">
        <v>0</v>
      </c>
      <c r="CN1188" t="str">
        <f t="shared" si="1572"/>
        <v>refOK</v>
      </c>
      <c r="CO1188"/>
      <c r="CP1188"/>
      <c r="CQ1188"/>
      <c r="CR1188">
        <f t="shared" si="1573"/>
        <v>-519</v>
      </c>
      <c r="CS1188">
        <f t="shared" si="1574"/>
        <v>-374.86033519553069</v>
      </c>
      <c r="CT1188">
        <f t="shared" si="1575"/>
        <v>0</v>
      </c>
      <c r="CU1188" t="str">
        <f t="shared" si="1576"/>
        <v/>
      </c>
      <c r="CV1188" s="2">
        <f t="shared" si="1577"/>
        <v>0.27772575106834163</v>
      </c>
      <c r="CW1188" s="1" t="s">
        <v>973</v>
      </c>
      <c r="CX1188" s="311" t="str">
        <f t="shared" si="1578"/>
        <v>loc</v>
      </c>
      <c r="CY1188" t="s">
        <v>732</v>
      </c>
      <c r="DB1188">
        <v>0</v>
      </c>
      <c r="DC1188" t="str">
        <f t="shared" si="1579"/>
        <v>0</v>
      </c>
      <c r="DD1188">
        <v>0</v>
      </c>
      <c r="DE1188">
        <v>0</v>
      </c>
      <c r="DF1188">
        <v>0</v>
      </c>
      <c r="DG1188">
        <v>1</v>
      </c>
      <c r="DH1188">
        <v>0</v>
      </c>
      <c r="DI1188">
        <f t="shared" si="1588"/>
        <v>1</v>
      </c>
      <c r="DJ1188" t="str">
        <f t="shared" si="1581"/>
        <v>TimberInput</v>
      </c>
      <c r="DK1188">
        <f t="shared" si="1582"/>
        <v>0</v>
      </c>
      <c r="DL1188">
        <f t="shared" si="1583"/>
        <v>0</v>
      </c>
      <c r="DM1188">
        <f t="shared" si="1584"/>
        <v>0</v>
      </c>
      <c r="DN1188" t="str">
        <f t="shared" si="1585"/>
        <v>Timber</v>
      </c>
      <c r="DO1188">
        <v>0</v>
      </c>
      <c r="DP1188" s="143">
        <v>1</v>
      </c>
      <c r="DQ1188" s="143" t="s">
        <v>3968</v>
      </c>
      <c r="DR1188" t="s">
        <v>3968</v>
      </c>
      <c r="DS1188" s="143" t="s">
        <v>3968</v>
      </c>
      <c r="DT1188">
        <f t="shared" si="1586"/>
        <v>1</v>
      </c>
      <c r="DU1188" s="143" t="str">
        <f t="shared" si="1589"/>
        <v>external DF used</v>
      </c>
      <c r="DV1188">
        <v>0</v>
      </c>
      <c r="DW1188">
        <v>0</v>
      </c>
      <c r="DX1188">
        <v>0</v>
      </c>
      <c r="DY1188">
        <v>1</v>
      </c>
      <c r="DZ1188">
        <v>1</v>
      </c>
      <c r="EA1188" s="143">
        <v>1</v>
      </c>
      <c r="EB1188">
        <v>0</v>
      </c>
      <c r="EC1188">
        <v>1</v>
      </c>
      <c r="ED1188">
        <v>1</v>
      </c>
      <c r="EE1188">
        <v>1</v>
      </c>
      <c r="EF1188">
        <v>0</v>
      </c>
      <c r="EG1188">
        <v>0</v>
      </c>
      <c r="EH1188">
        <v>0</v>
      </c>
      <c r="EI1188" s="2">
        <v>0</v>
      </c>
      <c r="EK1188" t="str">
        <f t="shared" si="1562"/>
        <v/>
      </c>
      <c r="EL1188" t="str">
        <f t="shared" si="1563"/>
        <v/>
      </c>
      <c r="EM1188" s="2" t="str">
        <f t="shared" si="1525"/>
        <v>Technology approach</v>
      </c>
      <c r="EP1188" t="b">
        <f>IF(ISNUMBER(BU1188),IF(ABS(BU1188-[1]QC_indicators!$B$2)&gt;3*[1]QC_indicators!$C$2,"C ratio",IF(ISNUMBER(BY1188),IF(ABS(BY1188-[1]QC_indicators!$B$1)&gt;3*[1]QC_indicators!$C$1,"DF","no"))),IF(ISNUMBER(BY1188),IF(ABS(BY1188-[1]QC_indicators!$B$1)&gt;3*[1]QC_indicators!$C$1,"DF","no")))</f>
        <v>0</v>
      </c>
    </row>
    <row r="1189" spans="1:146" ht="15" hidden="1" customHeight="1">
      <c r="A1189" s="1" t="s">
        <v>1042</v>
      </c>
      <c r="B1189" t="s">
        <v>3969</v>
      </c>
      <c r="C1189" t="s">
        <v>3970</v>
      </c>
      <c r="D1189" t="s">
        <v>3971</v>
      </c>
      <c r="E1189" s="311" t="s">
        <v>3972</v>
      </c>
      <c r="F1189" t="s">
        <v>3973</v>
      </c>
      <c r="G1189" t="s">
        <v>3974</v>
      </c>
      <c r="H1189" t="s">
        <v>254</v>
      </c>
      <c r="I1189">
        <v>2020</v>
      </c>
      <c r="J1189">
        <v>2</v>
      </c>
      <c r="K1189" t="s">
        <v>3975</v>
      </c>
      <c r="M1189" t="str">
        <f t="shared" si="1527"/>
        <v>Pittau_2020</v>
      </c>
      <c r="N1189" s="311" t="s">
        <v>4382</v>
      </c>
      <c r="O1189" s="171" t="s">
        <v>513</v>
      </c>
      <c r="P1189" t="s">
        <v>341</v>
      </c>
      <c r="Q1189" s="311" t="s">
        <v>389</v>
      </c>
      <c r="R1189" s="312"/>
      <c r="S1189" s="1" t="s">
        <v>3985</v>
      </c>
      <c r="T1189" t="s">
        <v>3977</v>
      </c>
      <c r="U1189" t="s">
        <v>3986</v>
      </c>
      <c r="V1189">
        <v>0</v>
      </c>
      <c r="W1189">
        <v>0</v>
      </c>
      <c r="X1189">
        <v>0</v>
      </c>
      <c r="Y1189">
        <v>0</v>
      </c>
      <c r="Z1189">
        <v>0</v>
      </c>
      <c r="AA1189">
        <v>0</v>
      </c>
      <c r="AB1189">
        <v>0</v>
      </c>
      <c r="AC1189">
        <v>0</v>
      </c>
      <c r="AD1189">
        <v>0</v>
      </c>
      <c r="AE1189">
        <v>0</v>
      </c>
      <c r="AF1189">
        <v>0</v>
      </c>
      <c r="AG1189">
        <v>0</v>
      </c>
      <c r="AH1189">
        <v>1</v>
      </c>
      <c r="AI1189">
        <v>0</v>
      </c>
      <c r="AJ1189">
        <v>0</v>
      </c>
      <c r="AK1189">
        <v>1</v>
      </c>
      <c r="AL1189">
        <v>0</v>
      </c>
      <c r="AM1189">
        <v>0</v>
      </c>
      <c r="AN1189">
        <v>0</v>
      </c>
      <c r="AO1189">
        <v>0</v>
      </c>
      <c r="AP1189">
        <v>0</v>
      </c>
      <c r="AQ1189">
        <v>0</v>
      </c>
      <c r="AR1189">
        <v>0</v>
      </c>
      <c r="AS1189">
        <v>0</v>
      </c>
      <c r="AT1189">
        <v>0</v>
      </c>
      <c r="AU1189">
        <v>0</v>
      </c>
      <c r="AV1189">
        <v>0</v>
      </c>
      <c r="AW1189">
        <v>0</v>
      </c>
      <c r="AX1189" s="141">
        <f t="shared" si="1564"/>
        <v>2</v>
      </c>
      <c r="AY1189" s="141">
        <f t="shared" si="1565"/>
        <v>2</v>
      </c>
      <c r="AZ1189">
        <f t="shared" si="1566"/>
        <v>0</v>
      </c>
      <c r="BA1189">
        <f t="shared" si="1567"/>
        <v>1</v>
      </c>
      <c r="BB1189">
        <f t="shared" si="1568"/>
        <v>1</v>
      </c>
      <c r="BC1189">
        <f t="shared" si="1569"/>
        <v>0</v>
      </c>
      <c r="BD1189">
        <f t="shared" si="1570"/>
        <v>0</v>
      </c>
      <c r="BE1189" t="str" cm="1">
        <f t="array" ref="BE1189">IF(AY1189=1,INDEX($V$7:$AL$7,MATCH(TRUE,INDEX($V1189:$AW1189&lt;&gt;0,),0)),IF(AY1189=0,INDEX($AM$7:$AW$7,MATCH(1,$AM1189:$AW1189,0)),IF(BF1189="Multiple strategies","mixed drivers",IF(BF1189="Supply chain","multiple supply","multiple silviculture"))))</f>
        <v>mixed drivers</v>
      </c>
      <c r="BF1189" s="2" t="str" cm="1">
        <f t="array" ref="BF1189">IF(COUNTIF(AZ1189:BB1189,"&lt;&gt;0")=1,INDEX($V$4:$AW$4,MATCH(TRUE,INDEX($V1189:$AW1189&lt;&gt;0,),0)),IF(COUNTIF(AZ1189:BB1189,"&lt;&gt;0")=0,INDEX($AM$4:$AW$4,MATCH(1,$AM1189:$AW1189,0)),"Multiple strategies"))</f>
        <v>Multiple strategies</v>
      </c>
      <c r="BP1189" t="s">
        <v>395</v>
      </c>
      <c r="BR1189" t="s">
        <v>397</v>
      </c>
      <c r="BS1189">
        <v>519</v>
      </c>
      <c r="BT1189">
        <v>405.58659217877067</v>
      </c>
      <c r="BU1189" s="144"/>
      <c r="BV1189">
        <f t="shared" si="1571"/>
        <v>-113.41340782122933</v>
      </c>
      <c r="BY1189" t="str">
        <f t="shared" si="1524"/>
        <v/>
      </c>
      <c r="BZ1189">
        <v>1</v>
      </c>
      <c r="CA1189">
        <v>0</v>
      </c>
      <c r="CB1189">
        <v>0</v>
      </c>
      <c r="CC1189">
        <v>0</v>
      </c>
      <c r="CD1189">
        <v>0</v>
      </c>
      <c r="CE1189">
        <v>0</v>
      </c>
      <c r="CF1189">
        <v>1</v>
      </c>
      <c r="CG1189">
        <v>0</v>
      </c>
      <c r="CH1189">
        <v>0</v>
      </c>
      <c r="CI1189">
        <v>0</v>
      </c>
      <c r="CJ1189">
        <v>1</v>
      </c>
      <c r="CK1189">
        <v>0</v>
      </c>
      <c r="CL1189">
        <v>0</v>
      </c>
      <c r="CM1189">
        <v>0</v>
      </c>
      <c r="CN1189" t="str">
        <f t="shared" si="1572"/>
        <v>refOK</v>
      </c>
      <c r="CO1189"/>
      <c r="CP1189"/>
      <c r="CQ1189"/>
      <c r="CR1189">
        <f t="shared" si="1573"/>
        <v>-519</v>
      </c>
      <c r="CS1189">
        <f t="shared" si="1574"/>
        <v>-405.58659217877067</v>
      </c>
      <c r="CT1189">
        <f t="shared" si="1575"/>
        <v>0</v>
      </c>
      <c r="CU1189" t="str">
        <f t="shared" si="1576"/>
        <v/>
      </c>
      <c r="CV1189" s="2">
        <f t="shared" si="1577"/>
        <v>0.21852294377886189</v>
      </c>
      <c r="CW1189" s="1" t="s">
        <v>973</v>
      </c>
      <c r="CX1189" s="311" t="str">
        <f t="shared" si="1578"/>
        <v>loc</v>
      </c>
      <c r="CY1189" t="s">
        <v>732</v>
      </c>
      <c r="DB1189">
        <v>0</v>
      </c>
      <c r="DC1189" t="str">
        <f t="shared" si="1579"/>
        <v>0</v>
      </c>
      <c r="DD1189">
        <v>0</v>
      </c>
      <c r="DE1189">
        <v>0</v>
      </c>
      <c r="DF1189">
        <v>0</v>
      </c>
      <c r="DG1189">
        <v>1</v>
      </c>
      <c r="DH1189">
        <v>0</v>
      </c>
      <c r="DI1189">
        <f t="shared" si="1588"/>
        <v>1</v>
      </c>
      <c r="DJ1189" t="str">
        <f t="shared" si="1581"/>
        <v>TimberInput</v>
      </c>
      <c r="DK1189">
        <f t="shared" si="1582"/>
        <v>0</v>
      </c>
      <c r="DL1189">
        <f t="shared" si="1583"/>
        <v>0</v>
      </c>
      <c r="DM1189">
        <f t="shared" si="1584"/>
        <v>0</v>
      </c>
      <c r="DN1189" t="str">
        <f t="shared" si="1585"/>
        <v>Timber</v>
      </c>
      <c r="DO1189">
        <v>0</v>
      </c>
      <c r="DP1189" s="143">
        <v>1</v>
      </c>
      <c r="DQ1189" s="143" t="s">
        <v>3968</v>
      </c>
      <c r="DR1189" t="s">
        <v>3968</v>
      </c>
      <c r="DS1189" s="143" t="s">
        <v>3968</v>
      </c>
      <c r="DT1189">
        <f t="shared" si="1586"/>
        <v>1</v>
      </c>
      <c r="DU1189" s="143" t="str">
        <f t="shared" si="1589"/>
        <v>external DF used</v>
      </c>
      <c r="DV1189">
        <v>0</v>
      </c>
      <c r="DW1189">
        <v>0</v>
      </c>
      <c r="DX1189">
        <v>0</v>
      </c>
      <c r="DY1189">
        <v>1</v>
      </c>
      <c r="DZ1189">
        <v>1</v>
      </c>
      <c r="EA1189" s="143">
        <v>1</v>
      </c>
      <c r="EB1189">
        <v>0</v>
      </c>
      <c r="EC1189">
        <v>1</v>
      </c>
      <c r="ED1189">
        <v>1</v>
      </c>
      <c r="EE1189">
        <v>1</v>
      </c>
      <c r="EF1189">
        <v>0</v>
      </c>
      <c r="EG1189">
        <v>0</v>
      </c>
      <c r="EH1189">
        <v>0</v>
      </c>
      <c r="EI1189" s="2">
        <v>0</v>
      </c>
      <c r="EK1189" t="str">
        <f t="shared" si="1562"/>
        <v/>
      </c>
      <c r="EL1189" t="str">
        <f t="shared" si="1563"/>
        <v/>
      </c>
      <c r="EM1189" s="2" t="str">
        <f t="shared" si="1525"/>
        <v>Technology approach</v>
      </c>
      <c r="EP1189" t="b">
        <f>IF(ISNUMBER(BU1189),IF(ABS(BU1189-[1]QC_indicators!$B$2)&gt;3*[1]QC_indicators!$C$2,"C ratio",IF(ISNUMBER(BY1189),IF(ABS(BY1189-[1]QC_indicators!$B$1)&gt;3*[1]QC_indicators!$C$1,"DF","no"))),IF(ISNUMBER(BY1189),IF(ABS(BY1189-[1]QC_indicators!$B$1)&gt;3*[1]QC_indicators!$C$1,"DF","no")))</f>
        <v>0</v>
      </c>
    </row>
    <row r="1190" spans="1:146" ht="15" hidden="1" customHeight="1">
      <c r="A1190" s="1" t="s">
        <v>1042</v>
      </c>
      <c r="B1190" t="s">
        <v>3969</v>
      </c>
      <c r="C1190" t="s">
        <v>3970</v>
      </c>
      <c r="D1190" t="s">
        <v>3971</v>
      </c>
      <c r="E1190" t="s">
        <v>3972</v>
      </c>
      <c r="F1190" t="s">
        <v>3973</v>
      </c>
      <c r="G1190" t="s">
        <v>3974</v>
      </c>
      <c r="H1190" t="s">
        <v>254</v>
      </c>
      <c r="I1190">
        <v>2020</v>
      </c>
      <c r="J1190">
        <v>2</v>
      </c>
      <c r="K1190" t="s">
        <v>3975</v>
      </c>
      <c r="M1190" t="str">
        <f t="shared" si="1527"/>
        <v>Pittau_2020</v>
      </c>
      <c r="N1190" s="311" t="s">
        <v>4382</v>
      </c>
      <c r="O1190" s="171" t="s">
        <v>513</v>
      </c>
      <c r="P1190" t="s">
        <v>341</v>
      </c>
      <c r="Q1190" s="311" t="s">
        <v>389</v>
      </c>
      <c r="R1190" s="312"/>
      <c r="S1190" s="1" t="s">
        <v>3987</v>
      </c>
      <c r="T1190" t="s">
        <v>3977</v>
      </c>
      <c r="U1190" t="s">
        <v>3988</v>
      </c>
      <c r="V1190">
        <v>0</v>
      </c>
      <c r="W1190">
        <v>0</v>
      </c>
      <c r="X1190">
        <v>0</v>
      </c>
      <c r="Y1190">
        <v>0</v>
      </c>
      <c r="Z1190">
        <v>0</v>
      </c>
      <c r="AA1190">
        <v>0</v>
      </c>
      <c r="AB1190">
        <v>0</v>
      </c>
      <c r="AC1190">
        <v>0</v>
      </c>
      <c r="AD1190">
        <v>0</v>
      </c>
      <c r="AE1190">
        <v>0</v>
      </c>
      <c r="AF1190">
        <v>0</v>
      </c>
      <c r="AG1190">
        <v>0</v>
      </c>
      <c r="AH1190">
        <v>1</v>
      </c>
      <c r="AI1190">
        <v>0</v>
      </c>
      <c r="AJ1190">
        <v>0</v>
      </c>
      <c r="AK1190">
        <v>1</v>
      </c>
      <c r="AL1190">
        <v>0</v>
      </c>
      <c r="AM1190">
        <v>0</v>
      </c>
      <c r="AN1190">
        <v>0</v>
      </c>
      <c r="AO1190">
        <v>0</v>
      </c>
      <c r="AP1190">
        <v>0</v>
      </c>
      <c r="AQ1190">
        <v>0</v>
      </c>
      <c r="AR1190">
        <v>0</v>
      </c>
      <c r="AS1190">
        <v>0</v>
      </c>
      <c r="AT1190">
        <v>0</v>
      </c>
      <c r="AU1190">
        <v>0</v>
      </c>
      <c r="AV1190">
        <v>0</v>
      </c>
      <c r="AW1190">
        <v>0</v>
      </c>
      <c r="AX1190" s="141">
        <f t="shared" si="1564"/>
        <v>2</v>
      </c>
      <c r="AY1190" s="141">
        <f t="shared" si="1565"/>
        <v>2</v>
      </c>
      <c r="AZ1190">
        <f t="shared" si="1566"/>
        <v>0</v>
      </c>
      <c r="BA1190">
        <f t="shared" si="1567"/>
        <v>1</v>
      </c>
      <c r="BB1190">
        <f t="shared" si="1568"/>
        <v>1</v>
      </c>
      <c r="BC1190">
        <f t="shared" si="1569"/>
        <v>0</v>
      </c>
      <c r="BD1190">
        <f t="shared" si="1570"/>
        <v>0</v>
      </c>
      <c r="BE1190" t="str" cm="1">
        <f t="array" ref="BE1190">IF(AY1190=1,INDEX($V$7:$AL$7,MATCH(TRUE,INDEX($V1190:$AW1190&lt;&gt;0,),0)),IF(AY1190=0,INDEX($AM$7:$AW$7,MATCH(1,$AM1190:$AW1190,0)),IF(BF1190="Multiple strategies","mixed drivers",IF(BF1190="Supply chain","multiple supply","multiple silviculture"))))</f>
        <v>mixed drivers</v>
      </c>
      <c r="BF1190" s="2" t="str" cm="1">
        <f t="array" ref="BF1190">IF(COUNTIF(AZ1190:BB1190,"&lt;&gt;0")=1,INDEX($V$4:$AW$4,MATCH(TRUE,INDEX($V1190:$AW1190&lt;&gt;0,),0)),IF(COUNTIF(AZ1190:BB1190,"&lt;&gt;0")=0,INDEX($AM$4:$AW$4,MATCH(1,$AM1190:$AW1190,0)),"Multiple strategies"))</f>
        <v>Multiple strategies</v>
      </c>
      <c r="BP1190" t="s">
        <v>395</v>
      </c>
      <c r="BR1190" t="s">
        <v>397</v>
      </c>
      <c r="BS1190">
        <v>519</v>
      </c>
      <c r="BT1190">
        <v>64.5251396648043</v>
      </c>
      <c r="BU1190" s="144"/>
      <c r="BV1190">
        <f t="shared" si="1571"/>
        <v>-454.47486033519567</v>
      </c>
      <c r="BY1190" t="str">
        <f t="shared" si="1524"/>
        <v/>
      </c>
      <c r="BZ1190">
        <v>1</v>
      </c>
      <c r="CA1190">
        <v>0</v>
      </c>
      <c r="CB1190">
        <v>0</v>
      </c>
      <c r="CC1190">
        <v>0</v>
      </c>
      <c r="CD1190">
        <v>0</v>
      </c>
      <c r="CE1190">
        <v>0</v>
      </c>
      <c r="CF1190">
        <v>1</v>
      </c>
      <c r="CG1190">
        <v>0</v>
      </c>
      <c r="CH1190">
        <v>0</v>
      </c>
      <c r="CI1190">
        <v>0</v>
      </c>
      <c r="CJ1190">
        <v>1</v>
      </c>
      <c r="CK1190">
        <v>0</v>
      </c>
      <c r="CL1190">
        <v>0</v>
      </c>
      <c r="CM1190">
        <v>0</v>
      </c>
      <c r="CN1190" t="str">
        <f t="shared" si="1572"/>
        <v>refOK</v>
      </c>
      <c r="CO1190"/>
      <c r="CP1190"/>
      <c r="CQ1190"/>
      <c r="CR1190">
        <f t="shared" si="1573"/>
        <v>-519</v>
      </c>
      <c r="CS1190">
        <f t="shared" si="1574"/>
        <v>-64.5251396648043</v>
      </c>
      <c r="CT1190">
        <f t="shared" si="1575"/>
        <v>0</v>
      </c>
      <c r="CU1190" t="str">
        <f t="shared" si="1576"/>
        <v/>
      </c>
      <c r="CV1190" s="2">
        <f t="shared" si="1577"/>
        <v>0.87567410469209184</v>
      </c>
      <c r="CW1190" s="1" t="s">
        <v>973</v>
      </c>
      <c r="CX1190" s="311" t="str">
        <f t="shared" si="1578"/>
        <v>loc</v>
      </c>
      <c r="CY1190" t="s">
        <v>732</v>
      </c>
      <c r="DB1190">
        <v>0</v>
      </c>
      <c r="DC1190" t="str">
        <f t="shared" si="1579"/>
        <v>0</v>
      </c>
      <c r="DD1190">
        <v>0</v>
      </c>
      <c r="DE1190">
        <v>0</v>
      </c>
      <c r="DF1190">
        <v>0</v>
      </c>
      <c r="DG1190">
        <v>1</v>
      </c>
      <c r="DH1190">
        <v>0</v>
      </c>
      <c r="DI1190">
        <f t="shared" si="1588"/>
        <v>1</v>
      </c>
      <c r="DJ1190" t="str">
        <f t="shared" si="1581"/>
        <v>TimberInput</v>
      </c>
      <c r="DK1190">
        <f t="shared" si="1582"/>
        <v>0</v>
      </c>
      <c r="DL1190">
        <f t="shared" si="1583"/>
        <v>0</v>
      </c>
      <c r="DM1190">
        <f t="shared" si="1584"/>
        <v>0</v>
      </c>
      <c r="DN1190" t="str">
        <f t="shared" si="1585"/>
        <v>Timber</v>
      </c>
      <c r="DO1190">
        <v>0</v>
      </c>
      <c r="DP1190" s="143">
        <v>1</v>
      </c>
      <c r="DQ1190" s="143" t="s">
        <v>3968</v>
      </c>
      <c r="DR1190" t="s">
        <v>3968</v>
      </c>
      <c r="DS1190" s="143" t="s">
        <v>3968</v>
      </c>
      <c r="DT1190">
        <f t="shared" si="1586"/>
        <v>1</v>
      </c>
      <c r="DU1190" s="143" t="str">
        <f t="shared" si="1589"/>
        <v>external DF used</v>
      </c>
      <c r="DV1190">
        <v>0</v>
      </c>
      <c r="DW1190">
        <v>0</v>
      </c>
      <c r="DX1190">
        <v>0</v>
      </c>
      <c r="DY1190">
        <v>1</v>
      </c>
      <c r="DZ1190">
        <v>1</v>
      </c>
      <c r="EA1190" s="143">
        <v>1</v>
      </c>
      <c r="EB1190">
        <v>0</v>
      </c>
      <c r="EC1190">
        <v>1</v>
      </c>
      <c r="ED1190">
        <v>1</v>
      </c>
      <c r="EE1190">
        <v>1</v>
      </c>
      <c r="EF1190">
        <v>0</v>
      </c>
      <c r="EG1190">
        <v>0</v>
      </c>
      <c r="EH1190">
        <v>0</v>
      </c>
      <c r="EI1190" s="2">
        <v>0</v>
      </c>
      <c r="EK1190" t="str">
        <f t="shared" si="1562"/>
        <v/>
      </c>
      <c r="EL1190" t="str">
        <f t="shared" si="1563"/>
        <v/>
      </c>
      <c r="EM1190" s="2" t="str">
        <f t="shared" si="1525"/>
        <v>Technology approach</v>
      </c>
      <c r="EP1190" t="b">
        <f>IF(ISNUMBER(BU1190),IF(ABS(BU1190-[1]QC_indicators!$B$2)&gt;3*[1]QC_indicators!$C$2,"C ratio",IF(ISNUMBER(BY1190),IF(ABS(BY1190-[1]QC_indicators!$B$1)&gt;3*[1]QC_indicators!$C$1,"DF","no"))),IF(ISNUMBER(BY1190),IF(ABS(BY1190-[1]QC_indicators!$B$1)&gt;3*[1]QC_indicators!$C$1,"DF","no")))</f>
        <v>0</v>
      </c>
    </row>
    <row r="1191" spans="1:146" ht="15" hidden="1" customHeight="1">
      <c r="A1191" s="1" t="s">
        <v>1042</v>
      </c>
      <c r="B1191" t="s">
        <v>3969</v>
      </c>
      <c r="C1191" t="s">
        <v>3970</v>
      </c>
      <c r="D1191" t="s">
        <v>3971</v>
      </c>
      <c r="E1191" t="s">
        <v>3972</v>
      </c>
      <c r="F1191" t="s">
        <v>3973</v>
      </c>
      <c r="G1191" t="s">
        <v>3974</v>
      </c>
      <c r="H1191" t="s">
        <v>254</v>
      </c>
      <c r="I1191">
        <v>2020</v>
      </c>
      <c r="J1191">
        <v>2</v>
      </c>
      <c r="K1191" t="s">
        <v>3975</v>
      </c>
      <c r="M1191" t="str">
        <f t="shared" si="1527"/>
        <v>Pittau_2020</v>
      </c>
      <c r="N1191" s="311" t="s">
        <v>4382</v>
      </c>
      <c r="O1191" s="171" t="s">
        <v>513</v>
      </c>
      <c r="P1191" t="s">
        <v>341</v>
      </c>
      <c r="Q1191" s="311" t="s">
        <v>389</v>
      </c>
      <c r="R1191" s="312"/>
      <c r="S1191" s="1" t="s">
        <v>3989</v>
      </c>
      <c r="T1191" t="s">
        <v>3977</v>
      </c>
      <c r="U1191" t="s">
        <v>3990</v>
      </c>
      <c r="V1191">
        <v>0</v>
      </c>
      <c r="W1191">
        <v>0</v>
      </c>
      <c r="X1191">
        <v>0</v>
      </c>
      <c r="Y1191">
        <v>0</v>
      </c>
      <c r="Z1191">
        <v>0</v>
      </c>
      <c r="AA1191">
        <v>0</v>
      </c>
      <c r="AB1191">
        <v>0</v>
      </c>
      <c r="AC1191">
        <v>0</v>
      </c>
      <c r="AD1191">
        <v>0</v>
      </c>
      <c r="AE1191">
        <v>0</v>
      </c>
      <c r="AF1191">
        <v>0</v>
      </c>
      <c r="AG1191">
        <v>0</v>
      </c>
      <c r="AH1191">
        <v>1</v>
      </c>
      <c r="AI1191">
        <v>0</v>
      </c>
      <c r="AJ1191">
        <v>0</v>
      </c>
      <c r="AK1191">
        <v>1</v>
      </c>
      <c r="AL1191">
        <v>0</v>
      </c>
      <c r="AM1191">
        <v>0</v>
      </c>
      <c r="AN1191">
        <v>0</v>
      </c>
      <c r="AO1191">
        <v>0</v>
      </c>
      <c r="AP1191">
        <v>0</v>
      </c>
      <c r="AQ1191">
        <v>0</v>
      </c>
      <c r="AR1191">
        <v>0</v>
      </c>
      <c r="AS1191">
        <v>0</v>
      </c>
      <c r="AT1191">
        <v>0</v>
      </c>
      <c r="AU1191">
        <v>0</v>
      </c>
      <c r="AV1191">
        <v>0</v>
      </c>
      <c r="AW1191">
        <v>0</v>
      </c>
      <c r="AX1191" s="141">
        <f t="shared" si="1564"/>
        <v>2</v>
      </c>
      <c r="AY1191" s="141">
        <f t="shared" si="1565"/>
        <v>2</v>
      </c>
      <c r="AZ1191">
        <f t="shared" si="1566"/>
        <v>0</v>
      </c>
      <c r="BA1191">
        <f t="shared" si="1567"/>
        <v>1</v>
      </c>
      <c r="BB1191">
        <f t="shared" si="1568"/>
        <v>1</v>
      </c>
      <c r="BC1191">
        <f t="shared" si="1569"/>
        <v>0</v>
      </c>
      <c r="BD1191">
        <f t="shared" si="1570"/>
        <v>0</v>
      </c>
      <c r="BE1191" t="str" cm="1">
        <f t="array" ref="BE1191">IF(AY1191=1,INDEX($V$7:$AL$7,MATCH(TRUE,INDEX($V1191:$AW1191&lt;&gt;0,),0)),IF(AY1191=0,INDEX($AM$7:$AW$7,MATCH(1,$AM1191:$AW1191,0)),IF(BF1191="Multiple strategies","mixed drivers",IF(BF1191="Supply chain","multiple supply","multiple silviculture"))))</f>
        <v>mixed drivers</v>
      </c>
      <c r="BF1191" s="2" t="str" cm="1">
        <f t="array" ref="BF1191">IF(COUNTIF(AZ1191:BB1191,"&lt;&gt;0")=1,INDEX($V$4:$AW$4,MATCH(TRUE,INDEX($V1191:$AW1191&lt;&gt;0,),0)),IF(COUNTIF(AZ1191:BB1191,"&lt;&gt;0")=0,INDEX($AM$4:$AW$4,MATCH(1,$AM1191:$AW1191,0)),"Multiple strategies"))</f>
        <v>Multiple strategies</v>
      </c>
      <c r="BP1191" t="s">
        <v>395</v>
      </c>
      <c r="BR1191" t="s">
        <v>397</v>
      </c>
      <c r="BS1191">
        <v>519</v>
      </c>
      <c r="BT1191">
        <v>61.452513966480296</v>
      </c>
      <c r="BU1191" s="144"/>
      <c r="BV1191">
        <f t="shared" si="1571"/>
        <v>-457.5474860335197</v>
      </c>
      <c r="BY1191" t="str">
        <f t="shared" si="1524"/>
        <v/>
      </c>
      <c r="BZ1191">
        <v>1</v>
      </c>
      <c r="CA1191">
        <v>0</v>
      </c>
      <c r="CB1191">
        <v>0</v>
      </c>
      <c r="CC1191">
        <v>0</v>
      </c>
      <c r="CD1191">
        <v>0</v>
      </c>
      <c r="CE1191">
        <v>0</v>
      </c>
      <c r="CF1191">
        <v>1</v>
      </c>
      <c r="CG1191">
        <v>0</v>
      </c>
      <c r="CH1191">
        <v>0</v>
      </c>
      <c r="CI1191">
        <v>0</v>
      </c>
      <c r="CJ1191">
        <v>1</v>
      </c>
      <c r="CK1191">
        <v>0</v>
      </c>
      <c r="CL1191">
        <v>0</v>
      </c>
      <c r="CM1191">
        <v>0</v>
      </c>
      <c r="CN1191" t="str">
        <f t="shared" si="1572"/>
        <v>refOK</v>
      </c>
      <c r="CO1191"/>
      <c r="CP1191"/>
      <c r="CQ1191"/>
      <c r="CR1191">
        <f t="shared" si="1573"/>
        <v>-519</v>
      </c>
      <c r="CS1191">
        <f t="shared" si="1574"/>
        <v>-61.452513966480296</v>
      </c>
      <c r="CT1191">
        <f t="shared" si="1575"/>
        <v>0</v>
      </c>
      <c r="CU1191" t="str">
        <f t="shared" si="1576"/>
        <v/>
      </c>
      <c r="CV1191" s="2">
        <f t="shared" si="1577"/>
        <v>0.88159438542103985</v>
      </c>
      <c r="CW1191" s="1" t="s">
        <v>973</v>
      </c>
      <c r="CX1191" s="311" t="str">
        <f t="shared" si="1578"/>
        <v>loc</v>
      </c>
      <c r="CY1191" t="s">
        <v>732</v>
      </c>
      <c r="DB1191">
        <v>0</v>
      </c>
      <c r="DC1191" t="str">
        <f t="shared" si="1579"/>
        <v>0</v>
      </c>
      <c r="DD1191">
        <v>0</v>
      </c>
      <c r="DE1191">
        <v>0</v>
      </c>
      <c r="DF1191">
        <v>0</v>
      </c>
      <c r="DG1191">
        <v>1</v>
      </c>
      <c r="DH1191">
        <v>0</v>
      </c>
      <c r="DI1191">
        <f t="shared" si="1588"/>
        <v>1</v>
      </c>
      <c r="DJ1191" t="str">
        <f t="shared" si="1581"/>
        <v>TimberInput</v>
      </c>
      <c r="DK1191">
        <f t="shared" si="1582"/>
        <v>0</v>
      </c>
      <c r="DL1191">
        <f t="shared" si="1583"/>
        <v>0</v>
      </c>
      <c r="DM1191">
        <f t="shared" si="1584"/>
        <v>0</v>
      </c>
      <c r="DN1191" t="str">
        <f t="shared" si="1585"/>
        <v>Timber</v>
      </c>
      <c r="DO1191">
        <v>0</v>
      </c>
      <c r="DP1191" s="143">
        <v>1</v>
      </c>
      <c r="DQ1191" s="143" t="s">
        <v>3968</v>
      </c>
      <c r="DR1191" t="s">
        <v>3968</v>
      </c>
      <c r="DS1191" s="143" t="s">
        <v>3968</v>
      </c>
      <c r="DT1191">
        <f t="shared" si="1586"/>
        <v>1</v>
      </c>
      <c r="DU1191" s="143" t="str">
        <f t="shared" si="1589"/>
        <v>external DF used</v>
      </c>
      <c r="DV1191">
        <v>0</v>
      </c>
      <c r="DW1191">
        <v>0</v>
      </c>
      <c r="DX1191">
        <v>0</v>
      </c>
      <c r="DY1191">
        <v>1</v>
      </c>
      <c r="DZ1191">
        <v>1</v>
      </c>
      <c r="EA1191" s="143">
        <v>1</v>
      </c>
      <c r="EB1191">
        <v>0</v>
      </c>
      <c r="EC1191">
        <v>1</v>
      </c>
      <c r="ED1191">
        <v>1</v>
      </c>
      <c r="EE1191">
        <v>1</v>
      </c>
      <c r="EF1191">
        <v>0</v>
      </c>
      <c r="EG1191">
        <v>0</v>
      </c>
      <c r="EH1191">
        <v>0</v>
      </c>
      <c r="EI1191" s="2">
        <v>0</v>
      </c>
      <c r="EK1191" t="str">
        <f t="shared" si="1562"/>
        <v/>
      </c>
      <c r="EL1191" t="str">
        <f t="shared" si="1563"/>
        <v/>
      </c>
      <c r="EM1191" s="2" t="str">
        <f t="shared" si="1525"/>
        <v>Technology approach</v>
      </c>
      <c r="EP1191" t="b">
        <f>IF(ISNUMBER(BU1191),IF(ABS(BU1191-[1]QC_indicators!$B$2)&gt;3*[1]QC_indicators!$C$2,"C ratio",IF(ISNUMBER(BY1191),IF(ABS(BY1191-[1]QC_indicators!$B$1)&gt;3*[1]QC_indicators!$C$1,"DF","no"))),IF(ISNUMBER(BY1191),IF(ABS(BY1191-[1]QC_indicators!$B$1)&gt;3*[1]QC_indicators!$C$1,"DF","no")))</f>
        <v>0</v>
      </c>
    </row>
    <row r="1192" spans="1:146" ht="15" hidden="1" customHeight="1">
      <c r="A1192" s="1" t="s">
        <v>1042</v>
      </c>
      <c r="B1192" t="s">
        <v>3969</v>
      </c>
      <c r="C1192" t="s">
        <v>3970</v>
      </c>
      <c r="D1192" t="s">
        <v>3971</v>
      </c>
      <c r="E1192" t="s">
        <v>3972</v>
      </c>
      <c r="F1192" t="s">
        <v>3973</v>
      </c>
      <c r="G1192" t="s">
        <v>3974</v>
      </c>
      <c r="H1192" t="s">
        <v>254</v>
      </c>
      <c r="I1192">
        <v>2020</v>
      </c>
      <c r="J1192">
        <v>2</v>
      </c>
      <c r="K1192" t="s">
        <v>3975</v>
      </c>
      <c r="M1192" t="str">
        <f t="shared" si="1527"/>
        <v>Pittau_2020</v>
      </c>
      <c r="N1192" s="311" t="s">
        <v>4382</v>
      </c>
      <c r="O1192" s="171" t="s">
        <v>513</v>
      </c>
      <c r="P1192" t="s">
        <v>341</v>
      </c>
      <c r="Q1192" s="311" t="s">
        <v>389</v>
      </c>
      <c r="R1192" s="312"/>
      <c r="S1192" s="1" t="s">
        <v>3991</v>
      </c>
      <c r="T1192" t="s">
        <v>3977</v>
      </c>
      <c r="U1192" t="s">
        <v>3992</v>
      </c>
      <c r="V1192">
        <v>0</v>
      </c>
      <c r="W1192">
        <v>0</v>
      </c>
      <c r="X1192">
        <v>0</v>
      </c>
      <c r="Y1192">
        <v>0</v>
      </c>
      <c r="Z1192">
        <v>0</v>
      </c>
      <c r="AA1192">
        <v>0</v>
      </c>
      <c r="AB1192">
        <v>0</v>
      </c>
      <c r="AC1192">
        <v>0</v>
      </c>
      <c r="AD1192">
        <v>0</v>
      </c>
      <c r="AE1192">
        <v>0</v>
      </c>
      <c r="AF1192">
        <v>0</v>
      </c>
      <c r="AG1192">
        <v>0</v>
      </c>
      <c r="AH1192">
        <v>1</v>
      </c>
      <c r="AI1192">
        <v>0</v>
      </c>
      <c r="AJ1192">
        <v>0</v>
      </c>
      <c r="AK1192">
        <v>1</v>
      </c>
      <c r="AL1192">
        <v>0</v>
      </c>
      <c r="AM1192">
        <v>0</v>
      </c>
      <c r="AN1192">
        <v>0</v>
      </c>
      <c r="AO1192">
        <v>0</v>
      </c>
      <c r="AP1192">
        <v>0</v>
      </c>
      <c r="AQ1192">
        <v>0</v>
      </c>
      <c r="AR1192">
        <v>0</v>
      </c>
      <c r="AS1192">
        <v>0</v>
      </c>
      <c r="AT1192">
        <v>0</v>
      </c>
      <c r="AU1192">
        <v>0</v>
      </c>
      <c r="AV1192">
        <v>0</v>
      </c>
      <c r="AW1192">
        <v>0</v>
      </c>
      <c r="AX1192" s="141">
        <f t="shared" si="1564"/>
        <v>2</v>
      </c>
      <c r="AY1192" s="141">
        <f t="shared" si="1565"/>
        <v>2</v>
      </c>
      <c r="AZ1192">
        <f t="shared" si="1566"/>
        <v>0</v>
      </c>
      <c r="BA1192">
        <f t="shared" si="1567"/>
        <v>1</v>
      </c>
      <c r="BB1192">
        <f t="shared" si="1568"/>
        <v>1</v>
      </c>
      <c r="BC1192">
        <f t="shared" si="1569"/>
        <v>0</v>
      </c>
      <c r="BD1192">
        <f t="shared" si="1570"/>
        <v>0</v>
      </c>
      <c r="BE1192" t="str" cm="1">
        <f t="array" ref="BE1192">IF(AY1192=1,INDEX($V$7:$AL$7,MATCH(TRUE,INDEX($V1192:$AW1192&lt;&gt;0,),0)),IF(AY1192=0,INDEX($AM$7:$AW$7,MATCH(1,$AM1192:$AW1192,0)),IF(BF1192="Multiple strategies","mixed drivers",IF(BF1192="Supply chain","multiple supply","multiple silviculture"))))</f>
        <v>mixed drivers</v>
      </c>
      <c r="BF1192" s="2" t="str" cm="1">
        <f t="array" ref="BF1192">IF(COUNTIF(AZ1192:BB1192,"&lt;&gt;0")=1,INDEX($V$4:$AW$4,MATCH(TRUE,INDEX($V1192:$AW1192&lt;&gt;0,),0)),IF(COUNTIF(AZ1192:BB1192,"&lt;&gt;0")=0,INDEX($AM$4:$AW$4,MATCH(1,$AM1192:$AW1192,0)),"Multiple strategies"))</f>
        <v>Multiple strategies</v>
      </c>
      <c r="BP1192" t="s">
        <v>395</v>
      </c>
      <c r="BR1192" t="s">
        <v>397</v>
      </c>
      <c r="BS1192">
        <v>519</v>
      </c>
      <c r="BT1192">
        <v>36.871508379888198</v>
      </c>
      <c r="BU1192" s="144"/>
      <c r="BV1192">
        <f t="shared" si="1571"/>
        <v>-482.12849162011179</v>
      </c>
      <c r="BY1192" t="str">
        <f t="shared" si="1524"/>
        <v/>
      </c>
      <c r="BZ1192">
        <v>1</v>
      </c>
      <c r="CA1192">
        <v>0</v>
      </c>
      <c r="CB1192">
        <v>0</v>
      </c>
      <c r="CC1192">
        <v>0</v>
      </c>
      <c r="CD1192">
        <v>0</v>
      </c>
      <c r="CE1192">
        <v>0</v>
      </c>
      <c r="CF1192">
        <v>1</v>
      </c>
      <c r="CG1192">
        <v>0</v>
      </c>
      <c r="CH1192">
        <v>0</v>
      </c>
      <c r="CI1192">
        <v>0</v>
      </c>
      <c r="CJ1192">
        <v>1</v>
      </c>
      <c r="CK1192">
        <v>0</v>
      </c>
      <c r="CL1192">
        <v>0</v>
      </c>
      <c r="CM1192">
        <v>0</v>
      </c>
      <c r="CN1192" t="str">
        <f t="shared" si="1572"/>
        <v>refOK</v>
      </c>
      <c r="CO1192"/>
      <c r="CP1192"/>
      <c r="CQ1192"/>
      <c r="CR1192">
        <f t="shared" si="1573"/>
        <v>-519</v>
      </c>
      <c r="CS1192">
        <f t="shared" si="1574"/>
        <v>-36.871508379888198</v>
      </c>
      <c r="CT1192">
        <f t="shared" si="1575"/>
        <v>0</v>
      </c>
      <c r="CU1192" t="str">
        <f t="shared" si="1576"/>
        <v/>
      </c>
      <c r="CV1192" s="2">
        <f t="shared" si="1577"/>
        <v>0.92895663125262384</v>
      </c>
      <c r="CW1192" s="1" t="s">
        <v>973</v>
      </c>
      <c r="CX1192" s="311" t="str">
        <f t="shared" si="1578"/>
        <v>loc</v>
      </c>
      <c r="CY1192" t="s">
        <v>732</v>
      </c>
      <c r="DB1192">
        <v>0</v>
      </c>
      <c r="DC1192" t="str">
        <f t="shared" si="1579"/>
        <v>0</v>
      </c>
      <c r="DD1192">
        <v>0</v>
      </c>
      <c r="DE1192">
        <v>0</v>
      </c>
      <c r="DF1192">
        <v>0</v>
      </c>
      <c r="DG1192">
        <v>1</v>
      </c>
      <c r="DH1192">
        <v>0</v>
      </c>
      <c r="DI1192">
        <f t="shared" si="1588"/>
        <v>1</v>
      </c>
      <c r="DJ1192" t="str">
        <f t="shared" si="1581"/>
        <v>TimberInput</v>
      </c>
      <c r="DK1192">
        <f t="shared" si="1582"/>
        <v>0</v>
      </c>
      <c r="DL1192">
        <f t="shared" si="1583"/>
        <v>0</v>
      </c>
      <c r="DM1192">
        <f t="shared" si="1584"/>
        <v>0</v>
      </c>
      <c r="DN1192" t="str">
        <f t="shared" si="1585"/>
        <v>Timber</v>
      </c>
      <c r="DO1192">
        <v>0</v>
      </c>
      <c r="DP1192" s="143">
        <v>1</v>
      </c>
      <c r="DQ1192" s="143" t="s">
        <v>3968</v>
      </c>
      <c r="DR1192" t="s">
        <v>3968</v>
      </c>
      <c r="DS1192" s="143" t="s">
        <v>3968</v>
      </c>
      <c r="DT1192">
        <f t="shared" si="1586"/>
        <v>1</v>
      </c>
      <c r="DU1192" s="143" t="str">
        <f t="shared" si="1589"/>
        <v>external DF used</v>
      </c>
      <c r="DV1192">
        <v>0</v>
      </c>
      <c r="DW1192">
        <v>0</v>
      </c>
      <c r="DX1192">
        <v>0</v>
      </c>
      <c r="DY1192">
        <v>1</v>
      </c>
      <c r="DZ1192">
        <v>1</v>
      </c>
      <c r="EA1192" s="143">
        <v>1</v>
      </c>
      <c r="EB1192">
        <v>0</v>
      </c>
      <c r="EC1192">
        <v>1</v>
      </c>
      <c r="ED1192">
        <v>1</v>
      </c>
      <c r="EE1192">
        <v>1</v>
      </c>
      <c r="EF1192">
        <v>0</v>
      </c>
      <c r="EG1192">
        <v>0</v>
      </c>
      <c r="EH1192">
        <v>0</v>
      </c>
      <c r="EI1192" s="2">
        <v>0</v>
      </c>
      <c r="EK1192" t="str">
        <f t="shared" si="1562"/>
        <v/>
      </c>
      <c r="EL1192" t="str">
        <f t="shared" si="1563"/>
        <v/>
      </c>
      <c r="EM1192" s="2" t="str">
        <f t="shared" si="1525"/>
        <v>Technology approach</v>
      </c>
      <c r="EP1192" t="b">
        <f>IF(ISNUMBER(BU1192),IF(ABS(BU1192-[1]QC_indicators!$B$2)&gt;3*[1]QC_indicators!$C$2,"C ratio",IF(ISNUMBER(BY1192),IF(ABS(BY1192-[1]QC_indicators!$B$1)&gt;3*[1]QC_indicators!$C$1,"DF","no"))),IF(ISNUMBER(BY1192),IF(ABS(BY1192-[1]QC_indicators!$B$1)&gt;3*[1]QC_indicators!$C$1,"DF","no")))</f>
        <v>0</v>
      </c>
    </row>
    <row r="1193" spans="1:146" ht="15" hidden="1" customHeight="1">
      <c r="A1193" s="1" t="s">
        <v>1042</v>
      </c>
      <c r="B1193" t="s">
        <v>3969</v>
      </c>
      <c r="C1193" t="s">
        <v>3970</v>
      </c>
      <c r="D1193" t="s">
        <v>3971</v>
      </c>
      <c r="E1193" t="s">
        <v>3972</v>
      </c>
      <c r="F1193" t="s">
        <v>3973</v>
      </c>
      <c r="G1193" t="s">
        <v>3974</v>
      </c>
      <c r="H1193" t="s">
        <v>254</v>
      </c>
      <c r="I1193">
        <v>2020</v>
      </c>
      <c r="J1193">
        <v>2</v>
      </c>
      <c r="K1193" t="s">
        <v>3975</v>
      </c>
      <c r="M1193" t="str">
        <f t="shared" si="1527"/>
        <v>Pittau_2020</v>
      </c>
      <c r="N1193" s="311" t="s">
        <v>4382</v>
      </c>
      <c r="O1193" s="171" t="s">
        <v>513</v>
      </c>
      <c r="P1193" t="s">
        <v>341</v>
      </c>
      <c r="Q1193" s="311" t="s">
        <v>389</v>
      </c>
      <c r="R1193" s="312"/>
      <c r="S1193" s="1" t="s">
        <v>3993</v>
      </c>
      <c r="T1193" t="s">
        <v>3977</v>
      </c>
      <c r="U1193" t="s">
        <v>3994</v>
      </c>
      <c r="V1193">
        <v>0</v>
      </c>
      <c r="W1193">
        <v>0</v>
      </c>
      <c r="X1193">
        <v>0</v>
      </c>
      <c r="Y1193">
        <v>0</v>
      </c>
      <c r="Z1193">
        <v>0</v>
      </c>
      <c r="AA1193">
        <v>0</v>
      </c>
      <c r="AB1193">
        <v>0</v>
      </c>
      <c r="AC1193">
        <v>0</v>
      </c>
      <c r="AD1193">
        <v>0</v>
      </c>
      <c r="AE1193">
        <v>0</v>
      </c>
      <c r="AF1193">
        <v>0</v>
      </c>
      <c r="AG1193">
        <v>0</v>
      </c>
      <c r="AH1193">
        <v>1</v>
      </c>
      <c r="AI1193">
        <v>0</v>
      </c>
      <c r="AJ1193">
        <v>0</v>
      </c>
      <c r="AK1193">
        <v>1</v>
      </c>
      <c r="AL1193">
        <v>0</v>
      </c>
      <c r="AM1193">
        <v>0</v>
      </c>
      <c r="AN1193">
        <v>0</v>
      </c>
      <c r="AO1193">
        <v>0</v>
      </c>
      <c r="AP1193">
        <v>0</v>
      </c>
      <c r="AQ1193">
        <v>0</v>
      </c>
      <c r="AR1193">
        <v>0</v>
      </c>
      <c r="AS1193">
        <v>0</v>
      </c>
      <c r="AT1193">
        <v>0</v>
      </c>
      <c r="AU1193">
        <v>0</v>
      </c>
      <c r="AV1193">
        <v>0</v>
      </c>
      <c r="AW1193">
        <v>0</v>
      </c>
      <c r="AX1193" s="141">
        <f t="shared" si="1564"/>
        <v>2</v>
      </c>
      <c r="AY1193" s="141">
        <f t="shared" si="1565"/>
        <v>2</v>
      </c>
      <c r="AZ1193">
        <f t="shared" si="1566"/>
        <v>0</v>
      </c>
      <c r="BA1193">
        <f t="shared" si="1567"/>
        <v>1</v>
      </c>
      <c r="BB1193">
        <f t="shared" si="1568"/>
        <v>1</v>
      </c>
      <c r="BC1193">
        <f t="shared" si="1569"/>
        <v>0</v>
      </c>
      <c r="BD1193">
        <f t="shared" si="1570"/>
        <v>0</v>
      </c>
      <c r="BE1193" t="str" cm="1">
        <f t="array" ref="BE1193">IF(AY1193=1,INDEX($V$7:$AL$7,MATCH(TRUE,INDEX($V1193:$AW1193&lt;&gt;0,),0)),IF(AY1193=0,INDEX($AM$7:$AW$7,MATCH(1,$AM1193:$AW1193,0)),IF(BF1193="Multiple strategies","mixed drivers",IF(BF1193="Supply chain","multiple supply","multiple silviculture"))))</f>
        <v>mixed drivers</v>
      </c>
      <c r="BF1193" s="2" t="str" cm="1">
        <f t="array" ref="BF1193">IF(COUNTIF(AZ1193:BB1193,"&lt;&gt;0")=1,INDEX($V$4:$AW$4,MATCH(TRUE,INDEX($V1193:$AW1193&lt;&gt;0,),0)),IF(COUNTIF(AZ1193:BB1193,"&lt;&gt;0")=0,INDEX($AM$4:$AW$4,MATCH(1,$AM1193:$AW1193,0)),"Multiple strategies"))</f>
        <v>Multiple strategies</v>
      </c>
      <c r="BP1193" t="s">
        <v>395</v>
      </c>
      <c r="BR1193" t="s">
        <v>397</v>
      </c>
      <c r="BS1193">
        <v>519</v>
      </c>
      <c r="BT1193">
        <v>43.016759776536205</v>
      </c>
      <c r="BU1193" s="144"/>
      <c r="BV1193">
        <f t="shared" si="1571"/>
        <v>-475.98324022346378</v>
      </c>
      <c r="BY1193" t="str">
        <f t="shared" si="1524"/>
        <v/>
      </c>
      <c r="BZ1193">
        <v>1</v>
      </c>
      <c r="CA1193">
        <v>0</v>
      </c>
      <c r="CB1193">
        <v>0</v>
      </c>
      <c r="CC1193">
        <v>0</v>
      </c>
      <c r="CD1193">
        <v>0</v>
      </c>
      <c r="CE1193">
        <v>0</v>
      </c>
      <c r="CF1193">
        <v>1</v>
      </c>
      <c r="CG1193">
        <v>0</v>
      </c>
      <c r="CH1193">
        <v>0</v>
      </c>
      <c r="CI1193">
        <v>0</v>
      </c>
      <c r="CJ1193">
        <v>1</v>
      </c>
      <c r="CK1193">
        <v>0</v>
      </c>
      <c r="CL1193">
        <v>0</v>
      </c>
      <c r="CM1193">
        <v>0</v>
      </c>
      <c r="CN1193" t="str">
        <f t="shared" si="1572"/>
        <v>refOK</v>
      </c>
      <c r="CO1193"/>
      <c r="CP1193"/>
      <c r="CQ1193"/>
      <c r="CR1193">
        <f t="shared" si="1573"/>
        <v>-519</v>
      </c>
      <c r="CS1193">
        <f t="shared" si="1574"/>
        <v>-43.016759776536205</v>
      </c>
      <c r="CT1193">
        <f t="shared" si="1575"/>
        <v>0</v>
      </c>
      <c r="CU1193" t="str">
        <f t="shared" si="1576"/>
        <v/>
      </c>
      <c r="CV1193" s="2">
        <f t="shared" si="1577"/>
        <v>0.91711606979472793</v>
      </c>
      <c r="CW1193" s="1" t="s">
        <v>973</v>
      </c>
      <c r="CX1193" s="311" t="str">
        <f t="shared" si="1578"/>
        <v>loc</v>
      </c>
      <c r="CY1193" t="s">
        <v>732</v>
      </c>
      <c r="DB1193">
        <v>0</v>
      </c>
      <c r="DC1193" t="str">
        <f t="shared" si="1579"/>
        <v>0</v>
      </c>
      <c r="DD1193">
        <v>0</v>
      </c>
      <c r="DE1193">
        <v>0</v>
      </c>
      <c r="DF1193">
        <v>0</v>
      </c>
      <c r="DG1193">
        <v>1</v>
      </c>
      <c r="DH1193">
        <v>0</v>
      </c>
      <c r="DI1193">
        <f t="shared" si="1588"/>
        <v>1</v>
      </c>
      <c r="DJ1193" t="str">
        <f t="shared" si="1581"/>
        <v>TimberInput</v>
      </c>
      <c r="DK1193">
        <f t="shared" si="1582"/>
        <v>0</v>
      </c>
      <c r="DL1193">
        <f t="shared" si="1583"/>
        <v>0</v>
      </c>
      <c r="DM1193">
        <f t="shared" si="1584"/>
        <v>0</v>
      </c>
      <c r="DN1193" t="str">
        <f t="shared" si="1585"/>
        <v>Timber</v>
      </c>
      <c r="DO1193">
        <v>0</v>
      </c>
      <c r="DP1193" s="143">
        <v>1</v>
      </c>
      <c r="DQ1193" s="143" t="s">
        <v>3968</v>
      </c>
      <c r="DR1193" t="s">
        <v>3968</v>
      </c>
      <c r="DS1193" s="143" t="s">
        <v>3968</v>
      </c>
      <c r="DT1193">
        <f t="shared" si="1586"/>
        <v>1</v>
      </c>
      <c r="DU1193" s="143" t="str">
        <f t="shared" si="1589"/>
        <v>external DF used</v>
      </c>
      <c r="DV1193">
        <v>0</v>
      </c>
      <c r="DW1193">
        <v>0</v>
      </c>
      <c r="DX1193">
        <v>0</v>
      </c>
      <c r="DY1193">
        <v>1</v>
      </c>
      <c r="DZ1193">
        <v>1</v>
      </c>
      <c r="EA1193" s="143">
        <v>1</v>
      </c>
      <c r="EB1193">
        <v>0</v>
      </c>
      <c r="EC1193">
        <v>1</v>
      </c>
      <c r="ED1193">
        <v>1</v>
      </c>
      <c r="EE1193">
        <v>1</v>
      </c>
      <c r="EF1193">
        <v>0</v>
      </c>
      <c r="EG1193">
        <v>0</v>
      </c>
      <c r="EH1193">
        <v>0</v>
      </c>
      <c r="EI1193" s="2">
        <v>0</v>
      </c>
      <c r="EK1193" t="str">
        <f t="shared" si="1562"/>
        <v/>
      </c>
      <c r="EL1193" t="str">
        <f t="shared" si="1563"/>
        <v/>
      </c>
      <c r="EM1193" s="2" t="str">
        <f t="shared" si="1525"/>
        <v>Technology approach</v>
      </c>
      <c r="EP1193" t="b">
        <f>IF(ISNUMBER(BU1193),IF(ABS(BU1193-[1]QC_indicators!$B$2)&gt;3*[1]QC_indicators!$C$2,"C ratio",IF(ISNUMBER(BY1193),IF(ABS(BY1193-[1]QC_indicators!$B$1)&gt;3*[1]QC_indicators!$C$1,"DF","no"))),IF(ISNUMBER(BY1193),IF(ABS(BY1193-[1]QC_indicators!$B$1)&gt;3*[1]QC_indicators!$C$1,"DF","no")))</f>
        <v>0</v>
      </c>
    </row>
    <row r="1194" spans="1:146" ht="15" hidden="1" customHeight="1">
      <c r="A1194" s="1" t="s">
        <v>3995</v>
      </c>
      <c r="B1194" t="s">
        <v>544</v>
      </c>
      <c r="C1194" t="s">
        <v>3996</v>
      </c>
      <c r="D1194" t="s">
        <v>3997</v>
      </c>
      <c r="E1194" t="s">
        <v>3998</v>
      </c>
      <c r="F1194" t="s">
        <v>3999</v>
      </c>
      <c r="G1194" t="s">
        <v>3963</v>
      </c>
      <c r="H1194" t="s">
        <v>3964</v>
      </c>
      <c r="I1194">
        <v>2016</v>
      </c>
      <c r="J1194">
        <v>1</v>
      </c>
      <c r="K1194" t="s">
        <v>4000</v>
      </c>
      <c r="M1194" t="str">
        <f t="shared" si="1527"/>
        <v>Plch_2016</v>
      </c>
      <c r="N1194" s="311" t="s">
        <v>4382</v>
      </c>
      <c r="O1194" s="171" t="s">
        <v>225</v>
      </c>
      <c r="P1194" t="s">
        <v>341</v>
      </c>
      <c r="Q1194" s="311" t="s">
        <v>389</v>
      </c>
      <c r="R1194" s="312"/>
      <c r="S1194" s="1" t="s">
        <v>4001</v>
      </c>
      <c r="T1194" t="s">
        <v>4002</v>
      </c>
      <c r="U1194" t="s">
        <v>4003</v>
      </c>
      <c r="V1194">
        <v>0</v>
      </c>
      <c r="W1194">
        <v>0</v>
      </c>
      <c r="X1194">
        <v>0</v>
      </c>
      <c r="Y1194">
        <v>0</v>
      </c>
      <c r="Z1194">
        <v>0</v>
      </c>
      <c r="AA1194">
        <v>0</v>
      </c>
      <c r="AB1194">
        <v>0</v>
      </c>
      <c r="AC1194">
        <v>0</v>
      </c>
      <c r="AD1194">
        <v>1</v>
      </c>
      <c r="AE1194">
        <v>0</v>
      </c>
      <c r="AF1194">
        <v>0</v>
      </c>
      <c r="AG1194">
        <v>0</v>
      </c>
      <c r="AH1194">
        <v>0</v>
      </c>
      <c r="AI1194">
        <v>0</v>
      </c>
      <c r="AJ1194">
        <v>1</v>
      </c>
      <c r="AK1194">
        <v>0</v>
      </c>
      <c r="AL1194">
        <v>0</v>
      </c>
      <c r="AM1194">
        <v>0</v>
      </c>
      <c r="AN1194">
        <v>0</v>
      </c>
      <c r="AO1194">
        <v>0</v>
      </c>
      <c r="AP1194">
        <v>0</v>
      </c>
      <c r="AQ1194">
        <v>0</v>
      </c>
      <c r="AR1194">
        <v>0</v>
      </c>
      <c r="AS1194">
        <v>0</v>
      </c>
      <c r="AT1194">
        <v>0</v>
      </c>
      <c r="AU1194">
        <v>1</v>
      </c>
      <c r="AV1194">
        <v>0</v>
      </c>
      <c r="AW1194">
        <v>0</v>
      </c>
      <c r="AX1194" s="141">
        <f t="shared" si="1564"/>
        <v>3</v>
      </c>
      <c r="AY1194" s="141">
        <f t="shared" si="1565"/>
        <v>2</v>
      </c>
      <c r="AZ1194">
        <f t="shared" si="1566"/>
        <v>0</v>
      </c>
      <c r="BA1194">
        <f t="shared" si="1567"/>
        <v>1</v>
      </c>
      <c r="BB1194">
        <f t="shared" si="1568"/>
        <v>1</v>
      </c>
      <c r="BC1194">
        <f t="shared" si="1569"/>
        <v>1</v>
      </c>
      <c r="BD1194">
        <f t="shared" si="1570"/>
        <v>0</v>
      </c>
      <c r="BE1194" t="str" cm="1">
        <f t="array" ref="BE1194">IF(AY1194=1,INDEX($V$7:$AL$7,MATCH(TRUE,INDEX($V1194:$AW1194&lt;&gt;0,),0)),IF(AY1194=0,INDEX($AM$7:$AW$7,MATCH(1,$AM1194:$AW1194,0)),IF(BF1194="Multiple strategies","mixed drivers",IF(BF1194="Supply chain","multiple supply","multiple silviculture"))))</f>
        <v>mixed drivers</v>
      </c>
      <c r="BF1194" s="2" t="str" cm="1">
        <f t="array" ref="BF1194">IF(COUNTIF(AZ1194:BB1194,"&lt;&gt;0")=1,INDEX($V$4:$AW$4,MATCH(TRUE,INDEX($V1194:$AW1194&lt;&gt;0,),0)),IF(COUNTIF(AZ1194:BB1194,"&lt;&gt;0")=0,INDEX($AM$4:$AW$4,MATCH(1,$AM1194:$AW1194,0)),"Multiple strategies"))</f>
        <v>Multiple strategies</v>
      </c>
      <c r="BM1194" t="str">
        <f>IFERROR(BL1194/BK1194,"")</f>
        <v/>
      </c>
      <c r="BP1194" t="s">
        <v>232</v>
      </c>
      <c r="BR1194" t="s">
        <v>4004</v>
      </c>
      <c r="BS1194">
        <v>16.100000000000001</v>
      </c>
      <c r="BT1194">
        <v>9.4</v>
      </c>
      <c r="BU1194" s="144"/>
      <c r="BV1194">
        <f t="shared" ref="BV1194:BV1200" si="1590">BS1194-BT1194</f>
        <v>6.7000000000000011</v>
      </c>
      <c r="BY1194" t="str">
        <f t="shared" ref="BY1194:BY1257" si="1591">IFERROR(BX1194/BO1194,"")</f>
        <v/>
      </c>
      <c r="BZ1194">
        <v>0</v>
      </c>
      <c r="CA1194">
        <v>0</v>
      </c>
      <c r="CB1194">
        <v>0</v>
      </c>
      <c r="CC1194">
        <v>0</v>
      </c>
      <c r="CD1194">
        <v>0</v>
      </c>
      <c r="CE1194">
        <v>0</v>
      </c>
      <c r="CF1194">
        <v>0</v>
      </c>
      <c r="CG1194">
        <v>0</v>
      </c>
      <c r="CH1194">
        <v>0</v>
      </c>
      <c r="CI1194">
        <v>0</v>
      </c>
      <c r="CJ1194">
        <v>0</v>
      </c>
      <c r="CK1194">
        <v>0</v>
      </c>
      <c r="CL1194">
        <v>0</v>
      </c>
      <c r="CM1194">
        <v>0</v>
      </c>
      <c r="CN1194" t="str">
        <f t="shared" si="1572"/>
        <v>refOK</v>
      </c>
      <c r="CO1194"/>
      <c r="CP1194"/>
      <c r="CQ1194"/>
      <c r="CR1194">
        <f t="shared" si="1573"/>
        <v>16.100000000000001</v>
      </c>
      <c r="CS1194">
        <f t="shared" si="1574"/>
        <v>9.4</v>
      </c>
      <c r="CT1194">
        <f t="shared" si="1575"/>
        <v>0</v>
      </c>
      <c r="CU1194" t="str">
        <f t="shared" si="1576"/>
        <v/>
      </c>
      <c r="CV1194" s="2">
        <f t="shared" si="1577"/>
        <v>-0.41614906832298137</v>
      </c>
      <c r="CW1194" s="1" t="s">
        <v>4005</v>
      </c>
      <c r="CX1194" s="311" t="str">
        <f t="shared" si="1578"/>
        <v>loc</v>
      </c>
      <c r="CY1194" t="s">
        <v>4006</v>
      </c>
      <c r="DB1194">
        <v>100</v>
      </c>
      <c r="DC1194" t="str">
        <f t="shared" si="1579"/>
        <v>71-100</v>
      </c>
      <c r="DD1194">
        <v>1</v>
      </c>
      <c r="DE1194">
        <v>1</v>
      </c>
      <c r="DF1194">
        <v>1</v>
      </c>
      <c r="DG1194">
        <v>1</v>
      </c>
      <c r="DH1194">
        <v>0</v>
      </c>
      <c r="DI1194">
        <f t="shared" si="1588"/>
        <v>4</v>
      </c>
      <c r="DJ1194" t="str">
        <f t="shared" si="1581"/>
        <v>mixedProduct</v>
      </c>
      <c r="DK1194" t="str">
        <f t="shared" si="1582"/>
        <v>Upstream</v>
      </c>
      <c r="DL1194" t="str">
        <f t="shared" si="1583"/>
        <v>Energy</v>
      </c>
      <c r="DM1194" t="str">
        <f t="shared" si="1584"/>
        <v>Pulp/Paper</v>
      </c>
      <c r="DN1194" t="str">
        <f t="shared" si="1585"/>
        <v>Timber</v>
      </c>
      <c r="DO1194">
        <v>0</v>
      </c>
      <c r="DP1194" s="143">
        <v>0</v>
      </c>
      <c r="DQ1194" s="143">
        <v>0</v>
      </c>
      <c r="DR1194">
        <v>0</v>
      </c>
      <c r="DS1194" s="143">
        <v>0</v>
      </c>
      <c r="DT1194">
        <f t="shared" si="1586"/>
        <v>0</v>
      </c>
      <c r="DU1194" s="143" t="str">
        <f t="shared" si="1589"/>
        <v>explicit C balance</v>
      </c>
      <c r="DV1194">
        <v>0</v>
      </c>
      <c r="DW1194">
        <v>0</v>
      </c>
      <c r="DX1194">
        <v>1</v>
      </c>
      <c r="DY1194">
        <v>0</v>
      </c>
      <c r="DZ1194">
        <v>0</v>
      </c>
      <c r="EA1194" s="143">
        <v>0</v>
      </c>
      <c r="EB1194">
        <v>1</v>
      </c>
      <c r="EC1194">
        <v>1</v>
      </c>
      <c r="ED1194">
        <v>0</v>
      </c>
      <c r="EE1194">
        <v>0</v>
      </c>
      <c r="EF1194">
        <v>1</v>
      </c>
      <c r="EG1194">
        <v>1</v>
      </c>
      <c r="EH1194">
        <v>0</v>
      </c>
      <c r="EI1194" s="2">
        <v>0</v>
      </c>
      <c r="EK1194" t="str">
        <f t="shared" si="1562"/>
        <v/>
      </c>
      <c r="EL1194" t="str">
        <f t="shared" si="1563"/>
        <v/>
      </c>
      <c r="EM1194" s="2" t="str">
        <f t="shared" si="1525"/>
        <v/>
      </c>
      <c r="EP1194" t="b">
        <f>IF(ISNUMBER(BU1194),IF(ABS(BU1194-[1]QC_indicators!$B$2)&gt;3*[1]QC_indicators!$C$2,"C ratio",IF(ISNUMBER(BY1194),IF(ABS(BY1194-[1]QC_indicators!$B$1)&gt;3*[1]QC_indicators!$C$1,"DF","no"))),IF(ISNUMBER(BY1194),IF(ABS(BY1194-[1]QC_indicators!$B$1)&gt;3*[1]QC_indicators!$C$1,"DF","no")))</f>
        <v>0</v>
      </c>
    </row>
    <row r="1195" spans="1:146" ht="15" hidden="1" customHeight="1">
      <c r="A1195" s="1" t="s">
        <v>333</v>
      </c>
      <c r="B1195" t="s">
        <v>4007</v>
      </c>
      <c r="C1195" t="s">
        <v>4008</v>
      </c>
      <c r="D1195" t="s">
        <v>4009</v>
      </c>
      <c r="E1195" t="s">
        <v>4010</v>
      </c>
      <c r="F1195" t="s">
        <v>4011</v>
      </c>
      <c r="G1195" t="s">
        <v>339</v>
      </c>
      <c r="H1195" t="s">
        <v>254</v>
      </c>
      <c r="I1195">
        <v>2017</v>
      </c>
      <c r="J1195">
        <v>8</v>
      </c>
      <c r="K1195" t="s">
        <v>4012</v>
      </c>
      <c r="M1195" t="str">
        <f t="shared" si="1527"/>
        <v>Pomponi_2017</v>
      </c>
      <c r="N1195" s="311" t="s">
        <v>4382</v>
      </c>
      <c r="O1195" s="171" t="s">
        <v>225</v>
      </c>
      <c r="P1195" t="s">
        <v>341</v>
      </c>
      <c r="Q1195" s="311" t="s">
        <v>389</v>
      </c>
      <c r="R1195" s="312"/>
      <c r="S1195" s="1" t="s">
        <v>4013</v>
      </c>
      <c r="T1195" t="s">
        <v>4014</v>
      </c>
      <c r="U1195" t="s">
        <v>4015</v>
      </c>
      <c r="V1195">
        <v>0</v>
      </c>
      <c r="W1195">
        <v>0</v>
      </c>
      <c r="X1195">
        <v>0</v>
      </c>
      <c r="Y1195">
        <v>0</v>
      </c>
      <c r="Z1195">
        <v>0</v>
      </c>
      <c r="AA1195">
        <v>0</v>
      </c>
      <c r="AB1195">
        <v>0</v>
      </c>
      <c r="AC1195">
        <v>0</v>
      </c>
      <c r="AD1195">
        <v>0</v>
      </c>
      <c r="AE1195">
        <v>0</v>
      </c>
      <c r="AF1195">
        <v>0</v>
      </c>
      <c r="AG1195">
        <v>0</v>
      </c>
      <c r="AH1195">
        <v>0</v>
      </c>
      <c r="AI1195">
        <v>0</v>
      </c>
      <c r="AJ1195">
        <v>0</v>
      </c>
      <c r="AK1195">
        <v>1</v>
      </c>
      <c r="AL1195">
        <v>0</v>
      </c>
      <c r="AM1195">
        <v>0</v>
      </c>
      <c r="AN1195">
        <v>0</v>
      </c>
      <c r="AO1195">
        <v>0</v>
      </c>
      <c r="AP1195">
        <v>0</v>
      </c>
      <c r="AQ1195">
        <v>0</v>
      </c>
      <c r="AR1195">
        <v>0</v>
      </c>
      <c r="AS1195">
        <v>0</v>
      </c>
      <c r="AT1195">
        <v>0</v>
      </c>
      <c r="AU1195">
        <v>0</v>
      </c>
      <c r="AV1195">
        <v>0</v>
      </c>
      <c r="AW1195">
        <v>0</v>
      </c>
      <c r="AX1195" s="141">
        <f t="shared" si="1564"/>
        <v>1</v>
      </c>
      <c r="AY1195" s="141">
        <f t="shared" si="1565"/>
        <v>1</v>
      </c>
      <c r="AZ1195">
        <f t="shared" si="1566"/>
        <v>0</v>
      </c>
      <c r="BA1195">
        <f t="shared" si="1567"/>
        <v>0</v>
      </c>
      <c r="BB1195">
        <f t="shared" si="1568"/>
        <v>1</v>
      </c>
      <c r="BC1195">
        <f t="shared" si="1569"/>
        <v>0</v>
      </c>
      <c r="BD1195">
        <f t="shared" si="1570"/>
        <v>0</v>
      </c>
      <c r="BE1195" t="str" cm="1">
        <f t="array" ref="BE1195">IF(AY1195=1,INDEX($V$7:$AL$7,MATCH(TRUE,INDEX($V1195:$AW1195&lt;&gt;0,),0)),IF(AY1195=0,INDEX($AM$7:$AW$7,MATCH(1,$AM1195:$AW1195,0)),IF(BF1195="Multiple strategies","mixed drivers",IF(BF1195="Supply chain","multiple supply","multiple silviculture"))))</f>
        <v>technologies/design switch</v>
      </c>
      <c r="BF1195" s="2" t="str" cm="1">
        <f t="array" ref="BF1195">IF(COUNTIF(AZ1195:BB1195,"&lt;&gt;0")=1,INDEX($V$4:$AW$4,MATCH(TRUE,INDEX($V1195:$AW1195&lt;&gt;0,),0)),IF(COUNTIF(AZ1195:BB1195,"&lt;&gt;0")=0,INDEX($AM$4:$AW$4,MATCH(1,$AM1195:$AW1195,0)),"Multiple strategies"))</f>
        <v>Technology</v>
      </c>
      <c r="BM1195" t="str">
        <f>IFERROR(BL1195/BK1195,"")</f>
        <v/>
      </c>
      <c r="BP1195" t="s">
        <v>232</v>
      </c>
      <c r="BR1195" t="s">
        <v>4016</v>
      </c>
      <c r="BS1195">
        <v>1100</v>
      </c>
      <c r="BT1195">
        <v>1284</v>
      </c>
      <c r="BU1195" s="144"/>
      <c r="BV1195">
        <f t="shared" si="1590"/>
        <v>-184</v>
      </c>
      <c r="BY1195" t="str">
        <f t="shared" si="1591"/>
        <v/>
      </c>
      <c r="BZ1195">
        <v>0</v>
      </c>
      <c r="CA1195">
        <v>0</v>
      </c>
      <c r="CB1195">
        <v>0</v>
      </c>
      <c r="CC1195">
        <v>0</v>
      </c>
      <c r="CD1195">
        <v>0</v>
      </c>
      <c r="CE1195">
        <v>0</v>
      </c>
      <c r="CF1195">
        <v>0</v>
      </c>
      <c r="CG1195">
        <v>0</v>
      </c>
      <c r="CH1195">
        <v>0</v>
      </c>
      <c r="CI1195">
        <v>0</v>
      </c>
      <c r="CJ1195">
        <v>0</v>
      </c>
      <c r="CK1195">
        <v>0</v>
      </c>
      <c r="CL1195">
        <v>0</v>
      </c>
      <c r="CM1195">
        <v>0</v>
      </c>
      <c r="CN1195" t="str">
        <f t="shared" si="1572"/>
        <v>refOK</v>
      </c>
      <c r="CO1195"/>
      <c r="CP1195"/>
      <c r="CQ1195"/>
      <c r="CR1195">
        <f t="shared" si="1573"/>
        <v>1100</v>
      </c>
      <c r="CS1195">
        <f t="shared" si="1574"/>
        <v>1284</v>
      </c>
      <c r="CT1195">
        <f t="shared" si="1575"/>
        <v>0</v>
      </c>
      <c r="CU1195" t="str">
        <f t="shared" si="1576"/>
        <v/>
      </c>
      <c r="CV1195" s="2">
        <f t="shared" si="1577"/>
        <v>0.16727272727272727</v>
      </c>
      <c r="CW1195" s="1" t="s">
        <v>973</v>
      </c>
      <c r="CX1195" s="311" t="str">
        <f t="shared" si="1578"/>
        <v>loc</v>
      </c>
      <c r="CY1195" t="s">
        <v>3493</v>
      </c>
      <c r="DB1195">
        <v>25</v>
      </c>
      <c r="DC1195" t="str">
        <f t="shared" si="1579"/>
        <v>1-30</v>
      </c>
      <c r="DD1195">
        <v>0</v>
      </c>
      <c r="DE1195">
        <v>0</v>
      </c>
      <c r="DF1195">
        <v>0</v>
      </c>
      <c r="DG1195">
        <v>1</v>
      </c>
      <c r="DH1195">
        <v>0</v>
      </c>
      <c r="DI1195">
        <f t="shared" si="1588"/>
        <v>1</v>
      </c>
      <c r="DJ1195" t="str">
        <f t="shared" si="1581"/>
        <v>TimberInput</v>
      </c>
      <c r="DK1195">
        <f t="shared" si="1582"/>
        <v>0</v>
      </c>
      <c r="DL1195">
        <f t="shared" si="1583"/>
        <v>0</v>
      </c>
      <c r="DM1195">
        <f t="shared" si="1584"/>
        <v>0</v>
      </c>
      <c r="DN1195" t="str">
        <f t="shared" si="1585"/>
        <v>Timber</v>
      </c>
      <c r="DO1195">
        <v>0</v>
      </c>
      <c r="DP1195">
        <v>1</v>
      </c>
      <c r="DQ1195" t="s">
        <v>4017</v>
      </c>
      <c r="DR1195" t="s">
        <v>4018</v>
      </c>
      <c r="DS1195" t="s">
        <v>4018</v>
      </c>
      <c r="DT1195">
        <f t="shared" si="1586"/>
        <v>1</v>
      </c>
      <c r="DU1195" s="143" t="str">
        <f t="shared" si="1589"/>
        <v>external DF used</v>
      </c>
      <c r="DV1195">
        <v>0</v>
      </c>
      <c r="DW1195">
        <v>0</v>
      </c>
      <c r="DX1195">
        <v>0</v>
      </c>
      <c r="DY1195">
        <v>1</v>
      </c>
      <c r="DZ1195">
        <v>1</v>
      </c>
      <c r="EA1195">
        <v>0</v>
      </c>
      <c r="EB1195">
        <v>0</v>
      </c>
      <c r="EC1195">
        <v>1</v>
      </c>
      <c r="ED1195">
        <v>0</v>
      </c>
      <c r="EE1195">
        <v>1</v>
      </c>
      <c r="EF1195">
        <v>0</v>
      </c>
      <c r="EG1195">
        <v>1</v>
      </c>
      <c r="EH1195">
        <v>0</v>
      </c>
      <c r="EI1195" s="2">
        <v>0</v>
      </c>
      <c r="EK1195" t="str">
        <f t="shared" si="1562"/>
        <v/>
      </c>
      <c r="EL1195" t="str">
        <f t="shared" si="1563"/>
        <v/>
      </c>
      <c r="EM1195" s="2" t="str">
        <f t="shared" si="1525"/>
        <v>Technology approach</v>
      </c>
      <c r="EP1195" t="b">
        <f>IF(ISNUMBER(BU1195),IF(ABS(BU1195-[1]QC_indicators!$B$2)&gt;3*[1]QC_indicators!$C$2,"C ratio",IF(ISNUMBER(BY1195),IF(ABS(BY1195-[1]QC_indicators!$B$1)&gt;3*[1]QC_indicators!$C$1,"DF","no"))),IF(ISNUMBER(BY1195),IF(ABS(BY1195-[1]QC_indicators!$B$1)&gt;3*[1]QC_indicators!$C$1,"DF","no")))</f>
        <v>0</v>
      </c>
    </row>
    <row r="1196" spans="1:146" ht="15" hidden="1" customHeight="1">
      <c r="A1196" s="1" t="s">
        <v>333</v>
      </c>
      <c r="B1196" t="s">
        <v>4007</v>
      </c>
      <c r="C1196" t="s">
        <v>4008</v>
      </c>
      <c r="D1196" t="s">
        <v>4009</v>
      </c>
      <c r="E1196" t="s">
        <v>4010</v>
      </c>
      <c r="F1196" t="s">
        <v>4011</v>
      </c>
      <c r="G1196" t="s">
        <v>339</v>
      </c>
      <c r="H1196" t="s">
        <v>254</v>
      </c>
      <c r="I1196">
        <v>2017</v>
      </c>
      <c r="J1196">
        <v>8</v>
      </c>
      <c r="K1196" t="s">
        <v>4012</v>
      </c>
      <c r="M1196" t="str">
        <f t="shared" si="1527"/>
        <v>Pomponi_2017</v>
      </c>
      <c r="N1196" s="311" t="s">
        <v>4382</v>
      </c>
      <c r="O1196" s="171" t="s">
        <v>225</v>
      </c>
      <c r="P1196" t="s">
        <v>341</v>
      </c>
      <c r="Q1196" s="311" t="s">
        <v>389</v>
      </c>
      <c r="R1196" s="312"/>
      <c r="S1196" s="1" t="s">
        <v>4019</v>
      </c>
      <c r="T1196" t="s">
        <v>1043</v>
      </c>
      <c r="U1196" t="s">
        <v>4015</v>
      </c>
      <c r="V1196">
        <v>0</v>
      </c>
      <c r="W1196">
        <v>0</v>
      </c>
      <c r="X1196">
        <v>0</v>
      </c>
      <c r="Y1196">
        <v>0</v>
      </c>
      <c r="Z1196">
        <v>0</v>
      </c>
      <c r="AA1196">
        <v>0</v>
      </c>
      <c r="AB1196">
        <v>0</v>
      </c>
      <c r="AC1196">
        <v>0</v>
      </c>
      <c r="AD1196">
        <v>0</v>
      </c>
      <c r="AE1196">
        <v>0</v>
      </c>
      <c r="AF1196">
        <v>0</v>
      </c>
      <c r="AG1196">
        <v>0</v>
      </c>
      <c r="AH1196">
        <v>0</v>
      </c>
      <c r="AI1196">
        <v>0</v>
      </c>
      <c r="AJ1196">
        <v>0</v>
      </c>
      <c r="AK1196">
        <v>1</v>
      </c>
      <c r="AL1196">
        <v>0</v>
      </c>
      <c r="AM1196">
        <v>0</v>
      </c>
      <c r="AN1196">
        <v>0</v>
      </c>
      <c r="AO1196">
        <v>0</v>
      </c>
      <c r="AP1196">
        <v>0</v>
      </c>
      <c r="AQ1196">
        <v>0</v>
      </c>
      <c r="AR1196">
        <v>0</v>
      </c>
      <c r="AS1196">
        <v>0</v>
      </c>
      <c r="AT1196">
        <v>0</v>
      </c>
      <c r="AU1196">
        <v>0</v>
      </c>
      <c r="AV1196">
        <v>0</v>
      </c>
      <c r="AW1196">
        <v>0</v>
      </c>
      <c r="AX1196" s="141">
        <f t="shared" si="1564"/>
        <v>1</v>
      </c>
      <c r="AY1196" s="141">
        <f t="shared" si="1565"/>
        <v>1</v>
      </c>
      <c r="AZ1196">
        <f t="shared" si="1566"/>
        <v>0</v>
      </c>
      <c r="BA1196">
        <f t="shared" si="1567"/>
        <v>0</v>
      </c>
      <c r="BB1196">
        <f t="shared" si="1568"/>
        <v>1</v>
      </c>
      <c r="BC1196">
        <f t="shared" si="1569"/>
        <v>0</v>
      </c>
      <c r="BD1196">
        <f t="shared" si="1570"/>
        <v>0</v>
      </c>
      <c r="BE1196" t="str" cm="1">
        <f t="array" ref="BE1196">IF(AY1196=1,INDEX($V$7:$AL$7,MATCH(TRUE,INDEX($V1196:$AW1196&lt;&gt;0,),0)),IF(AY1196=0,INDEX($AM$7:$AW$7,MATCH(1,$AM1196:$AW1196,0)),IF(BF1196="Multiple strategies","mixed drivers",IF(BF1196="Supply chain","multiple supply","multiple silviculture"))))</f>
        <v>technologies/design switch</v>
      </c>
      <c r="BF1196" s="2" t="str" cm="1">
        <f t="array" ref="BF1196">IF(COUNTIF(AZ1196:BB1196,"&lt;&gt;0")=1,INDEX($V$4:$AW$4,MATCH(TRUE,INDEX($V1196:$AW1196&lt;&gt;0,),0)),IF(COUNTIF(AZ1196:BB1196,"&lt;&gt;0")=0,INDEX($AM$4:$AW$4,MATCH(1,$AM1196:$AW1196,0)),"Multiple strategies"))</f>
        <v>Technology</v>
      </c>
      <c r="BM1196" t="str">
        <f>IFERROR(BL1196/BK1196,"")</f>
        <v/>
      </c>
      <c r="BO1196" s="311"/>
      <c r="BP1196" t="s">
        <v>232</v>
      </c>
      <c r="BR1196" t="s">
        <v>4016</v>
      </c>
      <c r="BS1196">
        <v>1500</v>
      </c>
      <c r="BT1196">
        <v>1284</v>
      </c>
      <c r="BU1196" s="144"/>
      <c r="BV1196">
        <f t="shared" si="1590"/>
        <v>216</v>
      </c>
      <c r="BY1196" t="str">
        <f t="shared" si="1591"/>
        <v/>
      </c>
      <c r="BZ1196">
        <v>0</v>
      </c>
      <c r="CA1196">
        <v>0</v>
      </c>
      <c r="CB1196">
        <v>0</v>
      </c>
      <c r="CC1196">
        <v>0</v>
      </c>
      <c r="CD1196">
        <v>0</v>
      </c>
      <c r="CE1196">
        <v>0</v>
      </c>
      <c r="CF1196">
        <v>0</v>
      </c>
      <c r="CG1196">
        <v>0</v>
      </c>
      <c r="CH1196">
        <v>0</v>
      </c>
      <c r="CI1196">
        <v>0</v>
      </c>
      <c r="CJ1196">
        <v>0</v>
      </c>
      <c r="CK1196">
        <v>0</v>
      </c>
      <c r="CL1196">
        <v>0</v>
      </c>
      <c r="CM1196">
        <v>0</v>
      </c>
      <c r="CN1196" t="str">
        <f t="shared" si="1572"/>
        <v>refOK</v>
      </c>
      <c r="CO1196"/>
      <c r="CP1196"/>
      <c r="CQ1196"/>
      <c r="CR1196">
        <f t="shared" si="1573"/>
        <v>1500</v>
      </c>
      <c r="CS1196">
        <f t="shared" si="1574"/>
        <v>1284</v>
      </c>
      <c r="CT1196">
        <f t="shared" si="1575"/>
        <v>0</v>
      </c>
      <c r="CU1196" t="str">
        <f t="shared" si="1576"/>
        <v/>
      </c>
      <c r="CV1196" s="2">
        <f t="shared" si="1577"/>
        <v>-0.14399999999999999</v>
      </c>
      <c r="CW1196" s="1" t="s">
        <v>973</v>
      </c>
      <c r="CX1196" s="311" t="str">
        <f t="shared" si="1578"/>
        <v>loc</v>
      </c>
      <c r="CY1196" t="s">
        <v>3493</v>
      </c>
      <c r="DB1196">
        <v>25</v>
      </c>
      <c r="DC1196" t="str">
        <f t="shared" si="1579"/>
        <v>1-30</v>
      </c>
      <c r="DD1196">
        <v>0</v>
      </c>
      <c r="DE1196">
        <v>0</v>
      </c>
      <c r="DF1196">
        <v>0</v>
      </c>
      <c r="DG1196">
        <v>1</v>
      </c>
      <c r="DH1196">
        <v>0</v>
      </c>
      <c r="DI1196">
        <f t="shared" si="1588"/>
        <v>1</v>
      </c>
      <c r="DJ1196" t="str">
        <f t="shared" si="1581"/>
        <v>TimberInput</v>
      </c>
      <c r="DK1196">
        <f t="shared" si="1582"/>
        <v>0</v>
      </c>
      <c r="DL1196">
        <f t="shared" si="1583"/>
        <v>0</v>
      </c>
      <c r="DM1196">
        <f t="shared" si="1584"/>
        <v>0</v>
      </c>
      <c r="DN1196" t="str">
        <f t="shared" si="1585"/>
        <v>Timber</v>
      </c>
      <c r="DO1196">
        <v>0</v>
      </c>
      <c r="DP1196">
        <v>1</v>
      </c>
      <c r="DQ1196" t="s">
        <v>4017</v>
      </c>
      <c r="DR1196" t="s">
        <v>4018</v>
      </c>
      <c r="DS1196" t="s">
        <v>4018</v>
      </c>
      <c r="DT1196">
        <f t="shared" si="1586"/>
        <v>1</v>
      </c>
      <c r="DU1196" s="143" t="str">
        <f t="shared" si="1589"/>
        <v>external DF used</v>
      </c>
      <c r="DV1196">
        <v>0</v>
      </c>
      <c r="DW1196">
        <v>0</v>
      </c>
      <c r="DX1196">
        <v>0</v>
      </c>
      <c r="DY1196">
        <v>1</v>
      </c>
      <c r="DZ1196">
        <v>1</v>
      </c>
      <c r="EA1196">
        <v>0</v>
      </c>
      <c r="EB1196">
        <v>0</v>
      </c>
      <c r="EC1196">
        <v>1</v>
      </c>
      <c r="ED1196">
        <v>0</v>
      </c>
      <c r="EE1196">
        <v>1</v>
      </c>
      <c r="EF1196">
        <v>0</v>
      </c>
      <c r="EG1196">
        <v>1</v>
      </c>
      <c r="EH1196">
        <v>0</v>
      </c>
      <c r="EI1196" s="2">
        <v>0</v>
      </c>
      <c r="EK1196" t="str">
        <f t="shared" si="1562"/>
        <v/>
      </c>
      <c r="EL1196" t="str">
        <f t="shared" si="1563"/>
        <v/>
      </c>
      <c r="EM1196" s="2" t="str">
        <f t="shared" ref="EM1196:EM1259" si="1592">IF(AND(AND(AND($DX1196=0,$DW1196=0),OR($EC1196=1,$EA1196=1)),SUM($EB1196:$EE1196)&gt;=2),"Technology approach","")</f>
        <v>Technology approach</v>
      </c>
      <c r="EP1196" t="b">
        <f>IF(ISNUMBER(BU1196),IF(ABS(BU1196-[1]QC_indicators!$B$2)&gt;3*[1]QC_indicators!$C$2,"C ratio",IF(ISNUMBER(BY1196),IF(ABS(BY1196-[1]QC_indicators!$B$1)&gt;3*[1]QC_indicators!$C$1,"DF","no"))),IF(ISNUMBER(BY1196),IF(ABS(BY1196-[1]QC_indicators!$B$1)&gt;3*[1]QC_indicators!$C$1,"DF","no")))</f>
        <v>0</v>
      </c>
    </row>
    <row r="1197" spans="1:146" ht="15" hidden="1" customHeight="1">
      <c r="A1197" s="1" t="s">
        <v>333</v>
      </c>
      <c r="B1197" t="s">
        <v>4007</v>
      </c>
      <c r="C1197" t="s">
        <v>4008</v>
      </c>
      <c r="D1197" t="s">
        <v>4009</v>
      </c>
      <c r="E1197" t="s">
        <v>4010</v>
      </c>
      <c r="F1197" t="s">
        <v>4011</v>
      </c>
      <c r="G1197" t="s">
        <v>339</v>
      </c>
      <c r="H1197" t="s">
        <v>254</v>
      </c>
      <c r="I1197">
        <v>2017</v>
      </c>
      <c r="J1197">
        <v>8</v>
      </c>
      <c r="K1197" t="s">
        <v>4012</v>
      </c>
      <c r="M1197" t="str">
        <f t="shared" si="1527"/>
        <v>Pomponi_2017</v>
      </c>
      <c r="N1197" s="311" t="s">
        <v>4382</v>
      </c>
      <c r="O1197" s="171" t="s">
        <v>225</v>
      </c>
      <c r="P1197" t="s">
        <v>341</v>
      </c>
      <c r="Q1197" s="311" t="s">
        <v>389</v>
      </c>
      <c r="R1197" s="312"/>
      <c r="S1197" s="1" t="s">
        <v>4013</v>
      </c>
      <c r="T1197" t="s">
        <v>4014</v>
      </c>
      <c r="U1197" t="s">
        <v>4020</v>
      </c>
      <c r="V1197">
        <v>0</v>
      </c>
      <c r="W1197">
        <v>0</v>
      </c>
      <c r="X1197">
        <v>0</v>
      </c>
      <c r="Y1197">
        <v>0</v>
      </c>
      <c r="Z1197">
        <v>0</v>
      </c>
      <c r="AA1197">
        <v>0</v>
      </c>
      <c r="AB1197">
        <v>0</v>
      </c>
      <c r="AC1197">
        <v>0</v>
      </c>
      <c r="AD1197">
        <v>0</v>
      </c>
      <c r="AE1197">
        <v>0</v>
      </c>
      <c r="AF1197">
        <v>0</v>
      </c>
      <c r="AG1197">
        <v>0</v>
      </c>
      <c r="AH1197">
        <v>0</v>
      </c>
      <c r="AI1197">
        <v>0</v>
      </c>
      <c r="AJ1197">
        <v>0</v>
      </c>
      <c r="AK1197">
        <v>1</v>
      </c>
      <c r="AL1197">
        <v>0</v>
      </c>
      <c r="AM1197">
        <v>0</v>
      </c>
      <c r="AN1197">
        <v>0</v>
      </c>
      <c r="AO1197">
        <v>0</v>
      </c>
      <c r="AP1197">
        <v>0</v>
      </c>
      <c r="AQ1197">
        <v>0</v>
      </c>
      <c r="AR1197">
        <v>0</v>
      </c>
      <c r="AS1197">
        <v>0</v>
      </c>
      <c r="AT1197">
        <v>0</v>
      </c>
      <c r="AU1197">
        <v>0</v>
      </c>
      <c r="AV1197">
        <v>0</v>
      </c>
      <c r="AW1197">
        <v>0</v>
      </c>
      <c r="AX1197" s="141">
        <f t="shared" si="1564"/>
        <v>1</v>
      </c>
      <c r="AY1197" s="141">
        <f t="shared" si="1565"/>
        <v>1</v>
      </c>
      <c r="AZ1197">
        <f t="shared" si="1566"/>
        <v>0</v>
      </c>
      <c r="BA1197">
        <f t="shared" si="1567"/>
        <v>0</v>
      </c>
      <c r="BB1197">
        <f t="shared" si="1568"/>
        <v>1</v>
      </c>
      <c r="BC1197">
        <f t="shared" si="1569"/>
        <v>0</v>
      </c>
      <c r="BD1197">
        <f t="shared" si="1570"/>
        <v>0</v>
      </c>
      <c r="BE1197" t="str" cm="1">
        <f t="array" ref="BE1197">IF(AY1197=1,INDEX($V$7:$AL$7,MATCH(TRUE,INDEX($V1197:$AW1197&lt;&gt;0,),0)),IF(AY1197=0,INDEX($AM$7:$AW$7,MATCH(1,$AM1197:$AW1197,0)),IF(BF1197="Multiple strategies","mixed drivers",IF(BF1197="Supply chain","multiple supply","multiple silviculture"))))</f>
        <v>technologies/design switch</v>
      </c>
      <c r="BF1197" s="2" t="str" cm="1">
        <f t="array" ref="BF1197">IF(COUNTIF(AZ1197:BB1197,"&lt;&gt;0")=1,INDEX($V$4:$AW$4,MATCH(TRUE,INDEX($V1197:$AW1197&lt;&gt;0,),0)),IF(COUNTIF(AZ1197:BB1197,"&lt;&gt;0")=0,INDEX($AM$4:$AW$4,MATCH(1,$AM1197:$AW1197,0)),"Multiple strategies"))</f>
        <v>Technology</v>
      </c>
      <c r="BP1197" t="s">
        <v>232</v>
      </c>
      <c r="BR1197" t="s">
        <v>4016</v>
      </c>
      <c r="BS1197">
        <v>1100</v>
      </c>
      <c r="BT1197">
        <v>1279</v>
      </c>
      <c r="BU1197" s="144"/>
      <c r="BV1197">
        <f t="shared" si="1590"/>
        <v>-179</v>
      </c>
      <c r="BY1197" t="str">
        <f t="shared" si="1591"/>
        <v/>
      </c>
      <c r="BZ1197">
        <v>0</v>
      </c>
      <c r="CA1197">
        <v>0</v>
      </c>
      <c r="CB1197">
        <v>0</v>
      </c>
      <c r="CC1197">
        <v>0</v>
      </c>
      <c r="CD1197">
        <v>0</v>
      </c>
      <c r="CE1197">
        <v>0</v>
      </c>
      <c r="CF1197">
        <v>0</v>
      </c>
      <c r="CG1197">
        <v>0</v>
      </c>
      <c r="CH1197">
        <v>0</v>
      </c>
      <c r="CI1197">
        <v>0</v>
      </c>
      <c r="CJ1197">
        <v>0</v>
      </c>
      <c r="CK1197">
        <v>0</v>
      </c>
      <c r="CL1197">
        <v>0</v>
      </c>
      <c r="CM1197">
        <v>0</v>
      </c>
      <c r="CN1197" t="str">
        <f t="shared" si="1572"/>
        <v>refOK</v>
      </c>
      <c r="CO1197"/>
      <c r="CP1197"/>
      <c r="CQ1197"/>
      <c r="CR1197">
        <f t="shared" si="1573"/>
        <v>1100</v>
      </c>
      <c r="CS1197">
        <f t="shared" si="1574"/>
        <v>1279</v>
      </c>
      <c r="CT1197">
        <f t="shared" si="1575"/>
        <v>0</v>
      </c>
      <c r="CU1197" t="str">
        <f t="shared" si="1576"/>
        <v/>
      </c>
      <c r="CV1197" s="2">
        <f t="shared" si="1577"/>
        <v>0.16272727272727272</v>
      </c>
      <c r="CW1197" s="1" t="s">
        <v>973</v>
      </c>
      <c r="CX1197" s="311" t="str">
        <f t="shared" si="1578"/>
        <v>loc</v>
      </c>
      <c r="CY1197" t="s">
        <v>3493</v>
      </c>
      <c r="DB1197">
        <v>25</v>
      </c>
      <c r="DC1197" t="str">
        <f t="shared" si="1579"/>
        <v>1-30</v>
      </c>
      <c r="DD1197">
        <v>0</v>
      </c>
      <c r="DE1197">
        <v>0</v>
      </c>
      <c r="DF1197">
        <v>0</v>
      </c>
      <c r="DG1197">
        <v>1</v>
      </c>
      <c r="DH1197">
        <v>0</v>
      </c>
      <c r="DI1197">
        <f t="shared" si="1588"/>
        <v>1</v>
      </c>
      <c r="DJ1197" t="str">
        <f t="shared" si="1581"/>
        <v>TimberInput</v>
      </c>
      <c r="DK1197">
        <f t="shared" si="1582"/>
        <v>0</v>
      </c>
      <c r="DL1197">
        <f t="shared" si="1583"/>
        <v>0</v>
      </c>
      <c r="DM1197">
        <f t="shared" si="1584"/>
        <v>0</v>
      </c>
      <c r="DN1197" t="str">
        <f t="shared" si="1585"/>
        <v>Timber</v>
      </c>
      <c r="DO1197">
        <v>0</v>
      </c>
      <c r="DP1197">
        <v>1</v>
      </c>
      <c r="DQ1197" t="s">
        <v>4017</v>
      </c>
      <c r="DR1197" t="s">
        <v>4018</v>
      </c>
      <c r="DS1197" t="s">
        <v>4018</v>
      </c>
      <c r="DT1197">
        <f t="shared" si="1586"/>
        <v>1</v>
      </c>
      <c r="DU1197" s="143" t="str">
        <f t="shared" si="1589"/>
        <v>external DF used</v>
      </c>
      <c r="DV1197">
        <v>0</v>
      </c>
      <c r="DW1197">
        <v>0</v>
      </c>
      <c r="DX1197">
        <v>0</v>
      </c>
      <c r="DY1197">
        <v>1</v>
      </c>
      <c r="DZ1197">
        <v>1</v>
      </c>
      <c r="EA1197">
        <v>0</v>
      </c>
      <c r="EB1197">
        <v>0</v>
      </c>
      <c r="EC1197">
        <v>1</v>
      </c>
      <c r="ED1197">
        <v>0</v>
      </c>
      <c r="EE1197">
        <v>1</v>
      </c>
      <c r="EF1197">
        <v>0</v>
      </c>
      <c r="EG1197">
        <v>1</v>
      </c>
      <c r="EH1197">
        <v>0</v>
      </c>
      <c r="EI1197" s="2">
        <v>0</v>
      </c>
      <c r="EK1197" t="str">
        <f t="shared" si="1562"/>
        <v/>
      </c>
      <c r="EL1197" t="str">
        <f t="shared" si="1563"/>
        <v/>
      </c>
      <c r="EM1197" s="2" t="str">
        <f t="shared" si="1592"/>
        <v>Technology approach</v>
      </c>
      <c r="EP1197" t="b">
        <f>IF(ISNUMBER(BU1197),IF(ABS(BU1197-[1]QC_indicators!$B$2)&gt;3*[1]QC_indicators!$C$2,"C ratio",IF(ISNUMBER(BY1197),IF(ABS(BY1197-[1]QC_indicators!$B$1)&gt;3*[1]QC_indicators!$C$1,"DF","no"))),IF(ISNUMBER(BY1197),IF(ABS(BY1197-[1]QC_indicators!$B$1)&gt;3*[1]QC_indicators!$C$1,"DF","no")))</f>
        <v>0</v>
      </c>
    </row>
    <row r="1198" spans="1:146" ht="15" hidden="1" customHeight="1">
      <c r="A1198" s="1" t="s">
        <v>333</v>
      </c>
      <c r="B1198" t="s">
        <v>4007</v>
      </c>
      <c r="C1198" t="s">
        <v>4008</v>
      </c>
      <c r="D1198" t="s">
        <v>4009</v>
      </c>
      <c r="E1198" t="s">
        <v>4010</v>
      </c>
      <c r="F1198" t="s">
        <v>4011</v>
      </c>
      <c r="G1198" t="s">
        <v>339</v>
      </c>
      <c r="H1198" t="s">
        <v>254</v>
      </c>
      <c r="I1198">
        <v>2017</v>
      </c>
      <c r="J1198">
        <v>8</v>
      </c>
      <c r="K1198" t="s">
        <v>4012</v>
      </c>
      <c r="M1198" t="str">
        <f t="shared" si="1527"/>
        <v>Pomponi_2017</v>
      </c>
      <c r="N1198" s="311" t="s">
        <v>4382</v>
      </c>
      <c r="O1198" s="171" t="s">
        <v>225</v>
      </c>
      <c r="P1198" t="s">
        <v>341</v>
      </c>
      <c r="Q1198" s="311" t="s">
        <v>389</v>
      </c>
      <c r="R1198" s="312"/>
      <c r="S1198" s="1" t="s">
        <v>4019</v>
      </c>
      <c r="T1198" t="s">
        <v>1043</v>
      </c>
      <c r="U1198" t="s">
        <v>4020</v>
      </c>
      <c r="V1198">
        <v>0</v>
      </c>
      <c r="W1198">
        <v>0</v>
      </c>
      <c r="X1198">
        <v>0</v>
      </c>
      <c r="Y1198">
        <v>0</v>
      </c>
      <c r="Z1198">
        <v>0</v>
      </c>
      <c r="AA1198">
        <v>0</v>
      </c>
      <c r="AB1198">
        <v>0</v>
      </c>
      <c r="AC1198">
        <v>0</v>
      </c>
      <c r="AD1198">
        <v>0</v>
      </c>
      <c r="AE1198">
        <v>0</v>
      </c>
      <c r="AF1198">
        <v>0</v>
      </c>
      <c r="AG1198">
        <v>0</v>
      </c>
      <c r="AH1198">
        <v>0</v>
      </c>
      <c r="AI1198">
        <v>0</v>
      </c>
      <c r="AJ1198">
        <v>0</v>
      </c>
      <c r="AK1198">
        <v>1</v>
      </c>
      <c r="AL1198">
        <v>0</v>
      </c>
      <c r="AM1198">
        <v>0</v>
      </c>
      <c r="AN1198">
        <v>0</v>
      </c>
      <c r="AO1198">
        <v>0</v>
      </c>
      <c r="AP1198">
        <v>0</v>
      </c>
      <c r="AQ1198">
        <v>0</v>
      </c>
      <c r="AR1198">
        <v>0</v>
      </c>
      <c r="AS1198">
        <v>0</v>
      </c>
      <c r="AT1198">
        <v>0</v>
      </c>
      <c r="AU1198">
        <v>0</v>
      </c>
      <c r="AV1198">
        <v>0</v>
      </c>
      <c r="AW1198">
        <v>0</v>
      </c>
      <c r="AX1198" s="141">
        <f t="shared" si="1564"/>
        <v>1</v>
      </c>
      <c r="AY1198" s="141">
        <f t="shared" si="1565"/>
        <v>1</v>
      </c>
      <c r="AZ1198">
        <f t="shared" si="1566"/>
        <v>0</v>
      </c>
      <c r="BA1198">
        <f t="shared" si="1567"/>
        <v>0</v>
      </c>
      <c r="BB1198">
        <f t="shared" si="1568"/>
        <v>1</v>
      </c>
      <c r="BC1198">
        <f t="shared" si="1569"/>
        <v>0</v>
      </c>
      <c r="BD1198">
        <f t="shared" si="1570"/>
        <v>0</v>
      </c>
      <c r="BE1198" t="str" cm="1">
        <f t="array" ref="BE1198">IF(AY1198=1,INDEX($V$7:$AL$7,MATCH(TRUE,INDEX($V1198:$AW1198&lt;&gt;0,),0)),IF(AY1198=0,INDEX($AM$7:$AW$7,MATCH(1,$AM1198:$AW1198,0)),IF(BF1198="Multiple strategies","mixed drivers",IF(BF1198="Supply chain","multiple supply","multiple silviculture"))))</f>
        <v>technologies/design switch</v>
      </c>
      <c r="BF1198" s="2" t="str" cm="1">
        <f t="array" ref="BF1198">IF(COUNTIF(AZ1198:BB1198,"&lt;&gt;0")=1,INDEX($V$4:$AW$4,MATCH(TRUE,INDEX($V1198:$AW1198&lt;&gt;0,),0)),IF(COUNTIF(AZ1198:BB1198,"&lt;&gt;0")=0,INDEX($AM$4:$AW$4,MATCH(1,$AM1198:$AW1198,0)),"Multiple strategies"))</f>
        <v>Technology</v>
      </c>
      <c r="BO1198" s="311"/>
      <c r="BP1198" t="s">
        <v>232</v>
      </c>
      <c r="BR1198" t="s">
        <v>4016</v>
      </c>
      <c r="BS1198">
        <v>1500</v>
      </c>
      <c r="BT1198">
        <v>1279</v>
      </c>
      <c r="BU1198" s="144"/>
      <c r="BV1198">
        <f t="shared" si="1590"/>
        <v>221</v>
      </c>
      <c r="BY1198" t="str">
        <f t="shared" si="1591"/>
        <v/>
      </c>
      <c r="BZ1198">
        <v>0</v>
      </c>
      <c r="CA1198">
        <v>0</v>
      </c>
      <c r="CB1198">
        <v>0</v>
      </c>
      <c r="CC1198">
        <v>0</v>
      </c>
      <c r="CD1198">
        <v>0</v>
      </c>
      <c r="CE1198">
        <v>0</v>
      </c>
      <c r="CF1198">
        <v>0</v>
      </c>
      <c r="CG1198">
        <v>0</v>
      </c>
      <c r="CH1198">
        <v>0</v>
      </c>
      <c r="CI1198">
        <v>0</v>
      </c>
      <c r="CJ1198">
        <v>0</v>
      </c>
      <c r="CK1198">
        <v>0</v>
      </c>
      <c r="CL1198">
        <v>0</v>
      </c>
      <c r="CM1198">
        <v>0</v>
      </c>
      <c r="CN1198" t="str">
        <f t="shared" si="1572"/>
        <v>refOK</v>
      </c>
      <c r="CO1198"/>
      <c r="CP1198"/>
      <c r="CQ1198"/>
      <c r="CR1198">
        <f t="shared" si="1573"/>
        <v>1500</v>
      </c>
      <c r="CS1198">
        <f t="shared" si="1574"/>
        <v>1279</v>
      </c>
      <c r="CT1198">
        <f t="shared" si="1575"/>
        <v>0</v>
      </c>
      <c r="CU1198" t="str">
        <f t="shared" si="1576"/>
        <v/>
      </c>
      <c r="CV1198" s="2">
        <f t="shared" si="1577"/>
        <v>-0.14733333333333334</v>
      </c>
      <c r="CW1198" s="1" t="s">
        <v>973</v>
      </c>
      <c r="CX1198" s="311" t="str">
        <f t="shared" si="1578"/>
        <v>loc</v>
      </c>
      <c r="CY1198" t="s">
        <v>3493</v>
      </c>
      <c r="DB1198">
        <v>25</v>
      </c>
      <c r="DC1198" t="str">
        <f t="shared" si="1579"/>
        <v>1-30</v>
      </c>
      <c r="DD1198">
        <v>0</v>
      </c>
      <c r="DE1198">
        <v>0</v>
      </c>
      <c r="DF1198">
        <v>0</v>
      </c>
      <c r="DG1198">
        <v>1</v>
      </c>
      <c r="DH1198">
        <v>0</v>
      </c>
      <c r="DI1198">
        <f t="shared" si="1588"/>
        <v>1</v>
      </c>
      <c r="DJ1198" t="str">
        <f t="shared" si="1581"/>
        <v>TimberInput</v>
      </c>
      <c r="DK1198">
        <f t="shared" si="1582"/>
        <v>0</v>
      </c>
      <c r="DL1198">
        <f t="shared" si="1583"/>
        <v>0</v>
      </c>
      <c r="DM1198">
        <f t="shared" si="1584"/>
        <v>0</v>
      </c>
      <c r="DN1198" t="str">
        <f t="shared" si="1585"/>
        <v>Timber</v>
      </c>
      <c r="DO1198">
        <v>0</v>
      </c>
      <c r="DP1198">
        <v>1</v>
      </c>
      <c r="DQ1198" t="s">
        <v>4017</v>
      </c>
      <c r="DR1198" t="s">
        <v>4018</v>
      </c>
      <c r="DS1198" t="s">
        <v>4018</v>
      </c>
      <c r="DT1198">
        <f t="shared" si="1586"/>
        <v>1</v>
      </c>
      <c r="DU1198" s="143" t="str">
        <f t="shared" si="1589"/>
        <v>external DF used</v>
      </c>
      <c r="DV1198">
        <v>0</v>
      </c>
      <c r="DW1198">
        <v>0</v>
      </c>
      <c r="DX1198">
        <v>0</v>
      </c>
      <c r="DY1198">
        <v>1</v>
      </c>
      <c r="DZ1198">
        <v>1</v>
      </c>
      <c r="EA1198">
        <v>0</v>
      </c>
      <c r="EB1198">
        <v>0</v>
      </c>
      <c r="EC1198">
        <v>1</v>
      </c>
      <c r="ED1198">
        <v>0</v>
      </c>
      <c r="EE1198">
        <v>1</v>
      </c>
      <c r="EF1198">
        <v>0</v>
      </c>
      <c r="EG1198">
        <v>1</v>
      </c>
      <c r="EH1198">
        <v>0</v>
      </c>
      <c r="EI1198" s="2">
        <v>0</v>
      </c>
      <c r="EK1198" t="str">
        <f t="shared" si="1562"/>
        <v/>
      </c>
      <c r="EL1198" t="str">
        <f t="shared" si="1563"/>
        <v/>
      </c>
      <c r="EM1198" s="2" t="str">
        <f t="shared" si="1592"/>
        <v>Technology approach</v>
      </c>
      <c r="EP1198" t="b">
        <f>IF(ISNUMBER(BU1198),IF(ABS(BU1198-[1]QC_indicators!$B$2)&gt;3*[1]QC_indicators!$C$2,"C ratio",IF(ISNUMBER(BY1198),IF(ABS(BY1198-[1]QC_indicators!$B$1)&gt;3*[1]QC_indicators!$C$1,"DF","no"))),IF(ISNUMBER(BY1198),IF(ABS(BY1198-[1]QC_indicators!$B$1)&gt;3*[1]QC_indicators!$C$1,"DF","no")))</f>
        <v>0</v>
      </c>
    </row>
    <row r="1199" spans="1:146" ht="15" hidden="1" customHeight="1">
      <c r="A1199" s="1" t="s">
        <v>333</v>
      </c>
      <c r="B1199" t="s">
        <v>4007</v>
      </c>
      <c r="C1199" t="s">
        <v>4008</v>
      </c>
      <c r="D1199" t="s">
        <v>4009</v>
      </c>
      <c r="E1199" t="s">
        <v>4010</v>
      </c>
      <c r="F1199" t="s">
        <v>4011</v>
      </c>
      <c r="G1199" t="s">
        <v>339</v>
      </c>
      <c r="H1199" t="s">
        <v>254</v>
      </c>
      <c r="I1199">
        <v>2017</v>
      </c>
      <c r="J1199">
        <v>8</v>
      </c>
      <c r="K1199" t="s">
        <v>4012</v>
      </c>
      <c r="M1199" t="str">
        <f t="shared" si="1527"/>
        <v>Pomponi_2017</v>
      </c>
      <c r="N1199" s="311" t="s">
        <v>4382</v>
      </c>
      <c r="O1199" s="171" t="s">
        <v>225</v>
      </c>
      <c r="P1199" t="s">
        <v>341</v>
      </c>
      <c r="Q1199" s="311" t="s">
        <v>389</v>
      </c>
      <c r="R1199" s="312"/>
      <c r="S1199" s="1" t="s">
        <v>4013</v>
      </c>
      <c r="T1199" t="s">
        <v>4014</v>
      </c>
      <c r="U1199" t="s">
        <v>4021</v>
      </c>
      <c r="V1199">
        <v>0</v>
      </c>
      <c r="W1199">
        <v>0</v>
      </c>
      <c r="X1199">
        <v>0</v>
      </c>
      <c r="Y1199">
        <v>0</v>
      </c>
      <c r="Z1199">
        <v>0</v>
      </c>
      <c r="AA1199">
        <v>0</v>
      </c>
      <c r="AB1199">
        <v>0</v>
      </c>
      <c r="AC1199">
        <v>0</v>
      </c>
      <c r="AD1199">
        <v>0</v>
      </c>
      <c r="AE1199">
        <v>0</v>
      </c>
      <c r="AF1199">
        <v>0</v>
      </c>
      <c r="AG1199">
        <v>0</v>
      </c>
      <c r="AH1199">
        <v>0</v>
      </c>
      <c r="AI1199">
        <v>0</v>
      </c>
      <c r="AJ1199">
        <v>0</v>
      </c>
      <c r="AK1199">
        <v>1</v>
      </c>
      <c r="AL1199">
        <v>0</v>
      </c>
      <c r="AM1199">
        <v>0</v>
      </c>
      <c r="AN1199">
        <v>0</v>
      </c>
      <c r="AO1199">
        <v>0</v>
      </c>
      <c r="AP1199">
        <v>0</v>
      </c>
      <c r="AQ1199">
        <v>0</v>
      </c>
      <c r="AR1199">
        <v>0</v>
      </c>
      <c r="AS1199">
        <v>0</v>
      </c>
      <c r="AT1199">
        <v>0</v>
      </c>
      <c r="AU1199">
        <v>0</v>
      </c>
      <c r="AV1199">
        <v>0</v>
      </c>
      <c r="AW1199">
        <v>0</v>
      </c>
      <c r="AX1199" s="141">
        <f t="shared" si="1564"/>
        <v>1</v>
      </c>
      <c r="AY1199" s="141">
        <f t="shared" si="1565"/>
        <v>1</v>
      </c>
      <c r="AZ1199">
        <f t="shared" si="1566"/>
        <v>0</v>
      </c>
      <c r="BA1199">
        <f t="shared" si="1567"/>
        <v>0</v>
      </c>
      <c r="BB1199">
        <f t="shared" si="1568"/>
        <v>1</v>
      </c>
      <c r="BC1199">
        <f t="shared" si="1569"/>
        <v>0</v>
      </c>
      <c r="BD1199">
        <f t="shared" si="1570"/>
        <v>0</v>
      </c>
      <c r="BE1199" t="str" cm="1">
        <f t="array" ref="BE1199">IF(AY1199=1,INDEX($V$7:$AL$7,MATCH(TRUE,INDEX($V1199:$AW1199&lt;&gt;0,),0)),IF(AY1199=0,INDEX($AM$7:$AW$7,MATCH(1,$AM1199:$AW1199,0)),IF(BF1199="Multiple strategies","mixed drivers",IF(BF1199="Supply chain","multiple supply","multiple silviculture"))))</f>
        <v>technologies/design switch</v>
      </c>
      <c r="BF1199" s="2" t="str" cm="1">
        <f t="array" ref="BF1199">IF(COUNTIF(AZ1199:BB1199,"&lt;&gt;0")=1,INDEX($V$4:$AW$4,MATCH(TRUE,INDEX($V1199:$AW1199&lt;&gt;0,),0)),IF(COUNTIF(AZ1199:BB1199,"&lt;&gt;0")=0,INDEX($AM$4:$AW$4,MATCH(1,$AM1199:$AW1199,0)),"Multiple strategies"))</f>
        <v>Technology</v>
      </c>
      <c r="BP1199" t="s">
        <v>232</v>
      </c>
      <c r="BR1199" t="s">
        <v>4016</v>
      </c>
      <c r="BS1199">
        <v>1100</v>
      </c>
      <c r="BT1199">
        <v>1285</v>
      </c>
      <c r="BU1199" s="144"/>
      <c r="BV1199">
        <f t="shared" si="1590"/>
        <v>-185</v>
      </c>
      <c r="BY1199" t="str">
        <f t="shared" si="1591"/>
        <v/>
      </c>
      <c r="BZ1199">
        <v>0</v>
      </c>
      <c r="CA1199">
        <v>0</v>
      </c>
      <c r="CB1199">
        <v>0</v>
      </c>
      <c r="CC1199">
        <v>0</v>
      </c>
      <c r="CD1199">
        <v>0</v>
      </c>
      <c r="CE1199">
        <v>0</v>
      </c>
      <c r="CF1199">
        <v>0</v>
      </c>
      <c r="CG1199">
        <v>0</v>
      </c>
      <c r="CH1199">
        <v>0</v>
      </c>
      <c r="CI1199">
        <v>0</v>
      </c>
      <c r="CJ1199">
        <v>0</v>
      </c>
      <c r="CK1199">
        <v>0</v>
      </c>
      <c r="CL1199">
        <v>0</v>
      </c>
      <c r="CM1199">
        <v>0</v>
      </c>
      <c r="CN1199" t="str">
        <f t="shared" si="1572"/>
        <v>refOK</v>
      </c>
      <c r="CO1199"/>
      <c r="CP1199"/>
      <c r="CQ1199"/>
      <c r="CR1199">
        <f t="shared" si="1573"/>
        <v>1100</v>
      </c>
      <c r="CS1199">
        <f t="shared" si="1574"/>
        <v>1285</v>
      </c>
      <c r="CT1199">
        <f t="shared" si="1575"/>
        <v>0</v>
      </c>
      <c r="CU1199" t="str">
        <f t="shared" si="1576"/>
        <v/>
      </c>
      <c r="CV1199" s="2">
        <f t="shared" si="1577"/>
        <v>0.16818181818181818</v>
      </c>
      <c r="CW1199" s="1" t="s">
        <v>973</v>
      </c>
      <c r="CX1199" s="311" t="str">
        <f t="shared" si="1578"/>
        <v>loc</v>
      </c>
      <c r="CY1199" t="s">
        <v>3493</v>
      </c>
      <c r="DB1199">
        <v>25</v>
      </c>
      <c r="DC1199" t="str">
        <f t="shared" si="1579"/>
        <v>1-30</v>
      </c>
      <c r="DD1199">
        <v>0</v>
      </c>
      <c r="DE1199">
        <v>0</v>
      </c>
      <c r="DF1199">
        <v>0</v>
      </c>
      <c r="DG1199">
        <v>1</v>
      </c>
      <c r="DH1199">
        <v>0</v>
      </c>
      <c r="DI1199">
        <f t="shared" si="1588"/>
        <v>1</v>
      </c>
      <c r="DJ1199" t="str">
        <f t="shared" si="1581"/>
        <v>TimberInput</v>
      </c>
      <c r="DK1199">
        <f t="shared" si="1582"/>
        <v>0</v>
      </c>
      <c r="DL1199">
        <f t="shared" si="1583"/>
        <v>0</v>
      </c>
      <c r="DM1199">
        <f t="shared" si="1584"/>
        <v>0</v>
      </c>
      <c r="DN1199" t="str">
        <f t="shared" si="1585"/>
        <v>Timber</v>
      </c>
      <c r="DO1199">
        <v>0</v>
      </c>
      <c r="DP1199">
        <v>1</v>
      </c>
      <c r="DQ1199" t="s">
        <v>4017</v>
      </c>
      <c r="DR1199" t="s">
        <v>4018</v>
      </c>
      <c r="DS1199" t="s">
        <v>4018</v>
      </c>
      <c r="DT1199">
        <f t="shared" si="1586"/>
        <v>1</v>
      </c>
      <c r="DU1199" s="143" t="str">
        <f t="shared" si="1589"/>
        <v>external DF used</v>
      </c>
      <c r="DV1199">
        <v>0</v>
      </c>
      <c r="DW1199">
        <v>0</v>
      </c>
      <c r="DX1199">
        <v>0</v>
      </c>
      <c r="DY1199">
        <v>1</v>
      </c>
      <c r="DZ1199">
        <v>1</v>
      </c>
      <c r="EA1199">
        <v>0</v>
      </c>
      <c r="EB1199">
        <v>0</v>
      </c>
      <c r="EC1199">
        <v>1</v>
      </c>
      <c r="ED1199">
        <v>0</v>
      </c>
      <c r="EE1199">
        <v>1</v>
      </c>
      <c r="EF1199">
        <v>0</v>
      </c>
      <c r="EG1199">
        <v>1</v>
      </c>
      <c r="EH1199">
        <v>0</v>
      </c>
      <c r="EI1199" s="2">
        <v>0</v>
      </c>
      <c r="EK1199" t="str">
        <f t="shared" si="1562"/>
        <v/>
      </c>
      <c r="EL1199" t="str">
        <f t="shared" si="1563"/>
        <v/>
      </c>
      <c r="EM1199" s="2" t="str">
        <f t="shared" si="1592"/>
        <v>Technology approach</v>
      </c>
      <c r="EP1199" t="b">
        <f>IF(ISNUMBER(BU1199),IF(ABS(BU1199-[1]QC_indicators!$B$2)&gt;3*[1]QC_indicators!$C$2,"C ratio",IF(ISNUMBER(BY1199),IF(ABS(BY1199-[1]QC_indicators!$B$1)&gt;3*[1]QC_indicators!$C$1,"DF","no"))),IF(ISNUMBER(BY1199),IF(ABS(BY1199-[1]QC_indicators!$B$1)&gt;3*[1]QC_indicators!$C$1,"DF","no")))</f>
        <v>0</v>
      </c>
    </row>
    <row r="1200" spans="1:146" ht="15" hidden="1" customHeight="1">
      <c r="A1200" s="1" t="s">
        <v>333</v>
      </c>
      <c r="B1200" t="s">
        <v>4007</v>
      </c>
      <c r="C1200" t="s">
        <v>4008</v>
      </c>
      <c r="D1200" t="s">
        <v>4009</v>
      </c>
      <c r="E1200" t="s">
        <v>4010</v>
      </c>
      <c r="F1200" t="s">
        <v>4011</v>
      </c>
      <c r="G1200" t="s">
        <v>339</v>
      </c>
      <c r="H1200" t="s">
        <v>254</v>
      </c>
      <c r="I1200">
        <v>2017</v>
      </c>
      <c r="J1200">
        <v>8</v>
      </c>
      <c r="K1200" t="s">
        <v>4012</v>
      </c>
      <c r="M1200" t="str">
        <f t="shared" si="1527"/>
        <v>Pomponi_2017</v>
      </c>
      <c r="N1200" s="311" t="s">
        <v>4382</v>
      </c>
      <c r="O1200" s="171" t="s">
        <v>225</v>
      </c>
      <c r="P1200" t="s">
        <v>341</v>
      </c>
      <c r="Q1200" s="311" t="s">
        <v>389</v>
      </c>
      <c r="R1200" s="312"/>
      <c r="S1200" s="1" t="s">
        <v>4019</v>
      </c>
      <c r="T1200" t="s">
        <v>1043</v>
      </c>
      <c r="U1200" t="s">
        <v>4021</v>
      </c>
      <c r="V1200">
        <v>0</v>
      </c>
      <c r="W1200">
        <v>0</v>
      </c>
      <c r="X1200">
        <v>0</v>
      </c>
      <c r="Y1200">
        <v>0</v>
      </c>
      <c r="Z1200">
        <v>0</v>
      </c>
      <c r="AA1200">
        <v>0</v>
      </c>
      <c r="AB1200">
        <v>0</v>
      </c>
      <c r="AC1200">
        <v>0</v>
      </c>
      <c r="AD1200">
        <v>0</v>
      </c>
      <c r="AE1200">
        <v>0</v>
      </c>
      <c r="AF1200">
        <v>0</v>
      </c>
      <c r="AG1200">
        <v>0</v>
      </c>
      <c r="AH1200">
        <v>0</v>
      </c>
      <c r="AI1200">
        <v>0</v>
      </c>
      <c r="AJ1200">
        <v>0</v>
      </c>
      <c r="AK1200">
        <v>1</v>
      </c>
      <c r="AL1200">
        <v>0</v>
      </c>
      <c r="AM1200">
        <v>0</v>
      </c>
      <c r="AN1200">
        <v>0</v>
      </c>
      <c r="AO1200">
        <v>0</v>
      </c>
      <c r="AP1200">
        <v>0</v>
      </c>
      <c r="AQ1200">
        <v>0</v>
      </c>
      <c r="AR1200">
        <v>0</v>
      </c>
      <c r="AS1200">
        <v>0</v>
      </c>
      <c r="AT1200">
        <v>0</v>
      </c>
      <c r="AU1200">
        <v>0</v>
      </c>
      <c r="AV1200">
        <v>0</v>
      </c>
      <c r="AW1200">
        <v>0</v>
      </c>
      <c r="AX1200" s="141">
        <f t="shared" ref="AX1200:AX1231" si="1593">COUNTIF(V1200:AW1200,"&lt;&gt;0")</f>
        <v>1</v>
      </c>
      <c r="AY1200" s="141">
        <f t="shared" ref="AY1200:AY1231" si="1594">COUNTIF(V1200:AL1200,"&lt;&gt;0")</f>
        <v>1</v>
      </c>
      <c r="AZ1200">
        <f t="shared" ref="AZ1200:AZ1231" si="1595">COUNTIF(V1200:AC1200,"&lt;&gt;0")</f>
        <v>0</v>
      </c>
      <c r="BA1200">
        <f t="shared" ref="BA1200:BA1231" si="1596">COUNTIF(AD1200:AI1200,"&lt;&gt;0")</f>
        <v>0</v>
      </c>
      <c r="BB1200">
        <f t="shared" ref="BB1200:BB1231" si="1597">COUNTIF(AJ1200:AL1200,"&lt;&gt;0")</f>
        <v>1</v>
      </c>
      <c r="BC1200">
        <f t="shared" ref="BC1200:BC1231" si="1598">COUNTIF(AS1200:AW1200,"&lt;&gt;0")</f>
        <v>0</v>
      </c>
      <c r="BD1200">
        <f t="shared" ref="BD1200:BD1231" si="1599">COUNTIF(AM1200:AR1200,"&lt;&gt;0")</f>
        <v>0</v>
      </c>
      <c r="BE1200" t="str" cm="1">
        <f t="array" ref="BE1200">IF(AY1200=1,INDEX($V$7:$AL$7,MATCH(TRUE,INDEX($V1200:$AW1200&lt;&gt;0,),0)),IF(AY1200=0,INDEX($AM$7:$AW$7,MATCH(1,$AM1200:$AW1200,0)),IF(BF1200="Multiple strategies","mixed drivers",IF(BF1200="Supply chain","multiple supply","multiple silviculture"))))</f>
        <v>technologies/design switch</v>
      </c>
      <c r="BF1200" s="2" t="str" cm="1">
        <f t="array" ref="BF1200">IF(COUNTIF(AZ1200:BB1200,"&lt;&gt;0")=1,INDEX($V$4:$AW$4,MATCH(TRUE,INDEX($V1200:$AW1200&lt;&gt;0,),0)),IF(COUNTIF(AZ1200:BB1200,"&lt;&gt;0")=0,INDEX($AM$4:$AW$4,MATCH(1,$AM1200:$AW1200,0)),"Multiple strategies"))</f>
        <v>Technology</v>
      </c>
      <c r="BO1200" s="311"/>
      <c r="BP1200" t="s">
        <v>232</v>
      </c>
      <c r="BR1200" t="s">
        <v>4016</v>
      </c>
      <c r="BS1200">
        <v>1500</v>
      </c>
      <c r="BT1200">
        <v>1285</v>
      </c>
      <c r="BU1200" s="144"/>
      <c r="BV1200">
        <f t="shared" si="1590"/>
        <v>215</v>
      </c>
      <c r="BY1200" t="str">
        <f t="shared" si="1591"/>
        <v/>
      </c>
      <c r="BZ1200">
        <v>0</v>
      </c>
      <c r="CA1200">
        <v>0</v>
      </c>
      <c r="CB1200">
        <v>0</v>
      </c>
      <c r="CC1200">
        <v>0</v>
      </c>
      <c r="CD1200">
        <v>0</v>
      </c>
      <c r="CE1200">
        <v>0</v>
      </c>
      <c r="CF1200">
        <v>0</v>
      </c>
      <c r="CG1200">
        <v>0</v>
      </c>
      <c r="CH1200">
        <v>0</v>
      </c>
      <c r="CI1200">
        <v>0</v>
      </c>
      <c r="CJ1200">
        <v>0</v>
      </c>
      <c r="CK1200">
        <v>0</v>
      </c>
      <c r="CL1200">
        <v>0</v>
      </c>
      <c r="CM1200">
        <v>0</v>
      </c>
      <c r="CN1200" t="str">
        <f t="shared" ref="CN1200:CN1231" si="1600">IF($BL1200&lt;$BK1200,"refNeedCorrection","refOK")</f>
        <v>refOK</v>
      </c>
      <c r="CO1200"/>
      <c r="CP1200"/>
      <c r="CQ1200"/>
      <c r="CR1200">
        <f t="shared" ref="CR1200:CR1231" si="1601">IF($CN1200="refOK",$BS1200,$BT1200)*IF($BP1200="Emissions positive",-1,1)</f>
        <v>1500</v>
      </c>
      <c r="CS1200">
        <f t="shared" ref="CS1200:CS1231" si="1602">IF($CN1200="refOK",$BT1200,$BS1200)*IF($BP1200="Emissions positive",-1,1)</f>
        <v>1285</v>
      </c>
      <c r="CT1200">
        <f t="shared" ref="CT1200:CT1231" si="1603">IF($CN1200="refNeedCorrection",-BX1200,BX1200)*IF($BP1200="Emissions positive",-1,1)</f>
        <v>0</v>
      </c>
      <c r="CU1200" t="str">
        <f t="shared" ref="CU1200:CU1231" si="1604">IFERROR(CT1200/CQ1200,"")</f>
        <v/>
      </c>
      <c r="CV1200" s="2">
        <f t="shared" ref="CV1200:CV1231" si="1605">IFERROR((CS1200-CR1200)/ABS(CR1200),"")</f>
        <v>-0.14333333333333334</v>
      </c>
      <c r="CW1200" s="1" t="s">
        <v>973</v>
      </c>
      <c r="CX1200" s="311" t="str">
        <f t="shared" ref="CX1200:CX1231" si="1606">IF(OR($CW1200="prd",$CW1200="std",$CW1200="cit"),"loc",IF(OR($CW1200="eur",$CW1200="reg",$CW1200="coy"),"reg",$CW1200))</f>
        <v>loc</v>
      </c>
      <c r="CY1200" t="s">
        <v>3493</v>
      </c>
      <c r="DB1200">
        <v>25</v>
      </c>
      <c r="DC1200" t="str">
        <f t="shared" ref="DC1200:DC1231" si="1607">IF(DB1200=0,"0",IF(AND(DB1200&gt;=1,DB1200&lt;=30),"1-30",IF(AND(DB1200&gt;30,DB1200&lt;=70),"31-70",IF(AND(DB1200&gt;70,DB1200&lt;=100),"71-100",IF(DB1200&gt;100,"+100")))))</f>
        <v>1-30</v>
      </c>
      <c r="DD1200">
        <v>0</v>
      </c>
      <c r="DE1200">
        <v>0</v>
      </c>
      <c r="DF1200">
        <v>0</v>
      </c>
      <c r="DG1200">
        <v>1</v>
      </c>
      <c r="DH1200">
        <v>0</v>
      </c>
      <c r="DI1200">
        <f t="shared" si="1588"/>
        <v>1</v>
      </c>
      <c r="DJ1200" t="str">
        <f t="shared" ref="DJ1200:DJ1231" si="1608">IF(DI1200=1,INDEX($DD$7:$DG$7,MATCH(1,$DD1200:$DG1200,0)),"mixedProduct")</f>
        <v>TimberInput</v>
      </c>
      <c r="DK1200">
        <f t="shared" si="1582"/>
        <v>0</v>
      </c>
      <c r="DL1200">
        <f t="shared" si="1583"/>
        <v>0</v>
      </c>
      <c r="DM1200">
        <f t="shared" si="1584"/>
        <v>0</v>
      </c>
      <c r="DN1200" t="str">
        <f t="shared" si="1585"/>
        <v>Timber</v>
      </c>
      <c r="DO1200">
        <v>0</v>
      </c>
      <c r="DP1200">
        <v>1</v>
      </c>
      <c r="DQ1200" t="s">
        <v>4017</v>
      </c>
      <c r="DR1200" t="s">
        <v>4018</v>
      </c>
      <c r="DS1200" t="s">
        <v>4018</v>
      </c>
      <c r="DT1200">
        <f t="shared" si="1586"/>
        <v>1</v>
      </c>
      <c r="DU1200" s="143" t="str">
        <f t="shared" si="1589"/>
        <v>external DF used</v>
      </c>
      <c r="DV1200">
        <v>0</v>
      </c>
      <c r="DW1200">
        <v>0</v>
      </c>
      <c r="DX1200">
        <v>0</v>
      </c>
      <c r="DY1200">
        <v>1</v>
      </c>
      <c r="DZ1200">
        <v>1</v>
      </c>
      <c r="EA1200">
        <v>0</v>
      </c>
      <c r="EB1200">
        <v>0</v>
      </c>
      <c r="EC1200">
        <v>1</v>
      </c>
      <c r="ED1200">
        <v>0</v>
      </c>
      <c r="EE1200">
        <v>1</v>
      </c>
      <c r="EF1200">
        <v>0</v>
      </c>
      <c r="EG1200">
        <v>1</v>
      </c>
      <c r="EH1200">
        <v>0</v>
      </c>
      <c r="EI1200" s="2">
        <v>0</v>
      </c>
      <c r="EK1200" t="str">
        <f t="shared" si="1562"/>
        <v/>
      </c>
      <c r="EL1200" t="str">
        <f t="shared" si="1563"/>
        <v/>
      </c>
      <c r="EM1200" s="2" t="str">
        <f t="shared" si="1592"/>
        <v>Technology approach</v>
      </c>
      <c r="EP1200" t="b">
        <f>IF(ISNUMBER(BU1200),IF(ABS(BU1200-[1]QC_indicators!$B$2)&gt;3*[1]QC_indicators!$C$2,"C ratio",IF(ISNUMBER(BY1200),IF(ABS(BY1200-[1]QC_indicators!$B$1)&gt;3*[1]QC_indicators!$C$1,"DF","no"))),IF(ISNUMBER(BY1200),IF(ABS(BY1200-[1]QC_indicators!$B$1)&gt;3*[1]QC_indicators!$C$1,"DF","no")))</f>
        <v>0</v>
      </c>
    </row>
    <row r="1201" spans="1:150" ht="15" hidden="1" customHeight="1">
      <c r="A1201" s="1" t="s">
        <v>4022</v>
      </c>
      <c r="B1201" t="s">
        <v>4023</v>
      </c>
      <c r="C1201" t="s">
        <v>4024</v>
      </c>
      <c r="D1201" t="s">
        <v>4025</v>
      </c>
      <c r="E1201" t="s">
        <v>4026</v>
      </c>
      <c r="F1201" t="s">
        <v>4027</v>
      </c>
      <c r="G1201" t="s">
        <v>4028</v>
      </c>
      <c r="H1201" t="s">
        <v>254</v>
      </c>
      <c r="I1201">
        <v>2018</v>
      </c>
      <c r="J1201">
        <v>0</v>
      </c>
      <c r="K1201" s="295" t="s">
        <v>4029</v>
      </c>
      <c r="M1201" t="str">
        <f t="shared" si="1527"/>
        <v>Portugal_2018</v>
      </c>
      <c r="N1201" s="311" t="s">
        <v>4382</v>
      </c>
      <c r="O1201" s="145" t="s">
        <v>341</v>
      </c>
      <c r="Q1201" s="311" t="s">
        <v>256</v>
      </c>
      <c r="R1201" s="312"/>
      <c r="S1201" s="1" t="s">
        <v>4030</v>
      </c>
      <c r="T1201" t="s">
        <v>4031</v>
      </c>
      <c r="U1201" t="s">
        <v>4032</v>
      </c>
      <c r="V1201">
        <v>0</v>
      </c>
      <c r="W1201">
        <v>2</v>
      </c>
      <c r="X1201">
        <v>0</v>
      </c>
      <c r="Y1201">
        <v>0</v>
      </c>
      <c r="Z1201">
        <v>0</v>
      </c>
      <c r="AA1201">
        <v>0</v>
      </c>
      <c r="AB1201">
        <v>0</v>
      </c>
      <c r="AC1201">
        <v>0</v>
      </c>
      <c r="AD1201">
        <v>0</v>
      </c>
      <c r="AE1201">
        <v>0</v>
      </c>
      <c r="AF1201">
        <v>1</v>
      </c>
      <c r="AG1201">
        <v>0</v>
      </c>
      <c r="AH1201">
        <v>0</v>
      </c>
      <c r="AI1201">
        <v>0</v>
      </c>
      <c r="AJ1201">
        <v>0</v>
      </c>
      <c r="AK1201">
        <v>0</v>
      </c>
      <c r="AL1201">
        <v>0</v>
      </c>
      <c r="AM1201">
        <v>0</v>
      </c>
      <c r="AN1201">
        <v>0</v>
      </c>
      <c r="AO1201">
        <v>0</v>
      </c>
      <c r="AP1201">
        <v>0</v>
      </c>
      <c r="AQ1201">
        <v>0</v>
      </c>
      <c r="AR1201">
        <v>0</v>
      </c>
      <c r="AS1201">
        <v>2</v>
      </c>
      <c r="AT1201">
        <v>0</v>
      </c>
      <c r="AU1201">
        <v>0</v>
      </c>
      <c r="AV1201">
        <v>0</v>
      </c>
      <c r="AW1201">
        <v>0</v>
      </c>
      <c r="AX1201" s="141">
        <f t="shared" si="1593"/>
        <v>3</v>
      </c>
      <c r="AY1201" s="141">
        <f t="shared" si="1594"/>
        <v>2</v>
      </c>
      <c r="AZ1201">
        <f t="shared" si="1595"/>
        <v>1</v>
      </c>
      <c r="BA1201">
        <f t="shared" si="1596"/>
        <v>1</v>
      </c>
      <c r="BB1201">
        <f t="shared" si="1597"/>
        <v>0</v>
      </c>
      <c r="BC1201">
        <f t="shared" si="1598"/>
        <v>1</v>
      </c>
      <c r="BD1201">
        <f t="shared" si="1599"/>
        <v>0</v>
      </c>
      <c r="BE1201" t="str" cm="1">
        <f t="array" ref="BE1201">IF(AY1201=1,INDEX($V$7:$AL$7,MATCH(TRUE,INDEX($V1201:$AW1201&lt;&gt;0,),0)),IF(AY1201=0,INDEX($AM$7:$AW$7,MATCH(1,$AM1201:$AW1201,0)),IF(BF1201="Multiple strategies","mixed drivers",IF(BF1201="Supply chain","multiple supply","multiple silviculture"))))</f>
        <v>mixed drivers</v>
      </c>
      <c r="BF1201" s="2" t="str" cm="1">
        <f t="array" ref="BF1201">IF(COUNTIF(AZ1201:BB1201,"&lt;&gt;0")=1,INDEX($V$4:$AW$4,MATCH(TRUE,INDEX($V1201:$AW1201&lt;&gt;0,),0)),IF(COUNTIF(AZ1201:BB1201,"&lt;&gt;0")=0,INDEX($AM$4:$AW$4,MATCH(1,$AM1201:$AW1201,0)),"Multiple strategies"))</f>
        <v>Multiple strategies</v>
      </c>
      <c r="BG1201" s="1" t="s">
        <v>229</v>
      </c>
      <c r="BP1201" s="311" t="s">
        <v>232</v>
      </c>
      <c r="BQ1201" s="311"/>
      <c r="BR1201" t="s">
        <v>346</v>
      </c>
      <c r="BS1201">
        <v>-785.1</v>
      </c>
      <c r="BT1201">
        <v>-584</v>
      </c>
      <c r="BU1201" s="144">
        <v>0.74385428607820658</v>
      </c>
      <c r="BV1201">
        <v>201.10000000000002</v>
      </c>
      <c r="BX1201">
        <f>BV1201*10^3</f>
        <v>201100.00000000003</v>
      </c>
      <c r="BY1201" t="str">
        <f t="shared" si="1591"/>
        <v/>
      </c>
      <c r="BZ1201">
        <v>0</v>
      </c>
      <c r="CA1201">
        <v>0</v>
      </c>
      <c r="CB1201">
        <v>0</v>
      </c>
      <c r="CC1201">
        <v>0</v>
      </c>
      <c r="CD1201">
        <v>0</v>
      </c>
      <c r="CE1201">
        <v>0</v>
      </c>
      <c r="CF1201">
        <v>0</v>
      </c>
      <c r="CG1201">
        <v>0</v>
      </c>
      <c r="CH1201">
        <v>0</v>
      </c>
      <c r="CI1201">
        <v>0</v>
      </c>
      <c r="CJ1201">
        <v>0</v>
      </c>
      <c r="CK1201">
        <v>0</v>
      </c>
      <c r="CL1201">
        <v>0</v>
      </c>
      <c r="CM1201">
        <v>0</v>
      </c>
      <c r="CN1201" t="str">
        <f t="shared" si="1600"/>
        <v>refOK</v>
      </c>
      <c r="CO1201">
        <f>IF($CN1201="refOK",$BK1201,$BL1201)</f>
        <v>0</v>
      </c>
      <c r="CP1201">
        <f>IF($CN1201="refOK",$BL1201,$BK1201)</f>
        <v>0</v>
      </c>
      <c r="CQ1201">
        <f>IF($CN1201="refOK",$BO1201,-$BO1201)</f>
        <v>0</v>
      </c>
      <c r="CR1201">
        <f t="shared" si="1601"/>
        <v>-785.1</v>
      </c>
      <c r="CS1201">
        <f t="shared" si="1602"/>
        <v>-584</v>
      </c>
      <c r="CT1201">
        <f t="shared" si="1603"/>
        <v>201100.00000000003</v>
      </c>
      <c r="CU1201" t="str">
        <f t="shared" si="1604"/>
        <v/>
      </c>
      <c r="CV1201" s="2">
        <f t="shared" si="1605"/>
        <v>0.25614571392179342</v>
      </c>
      <c r="CW1201" s="1" t="s">
        <v>347</v>
      </c>
      <c r="CX1201" s="311" t="str">
        <f t="shared" si="1606"/>
        <v>loc</v>
      </c>
      <c r="CY1201" t="s">
        <v>428</v>
      </c>
      <c r="DB1201">
        <v>0</v>
      </c>
      <c r="DC1201" t="str">
        <f t="shared" si="1607"/>
        <v>0</v>
      </c>
      <c r="DD1201">
        <v>0</v>
      </c>
      <c r="DE1201">
        <v>0</v>
      </c>
      <c r="DF1201">
        <v>0</v>
      </c>
      <c r="DG1201">
        <v>1</v>
      </c>
      <c r="DH1201">
        <v>1</v>
      </c>
      <c r="DI1201">
        <f>SUM(DD1201:DG1201)</f>
        <v>1</v>
      </c>
      <c r="DJ1201" t="str">
        <f t="shared" si="1608"/>
        <v>TimberInput</v>
      </c>
      <c r="DK1201">
        <f t="shared" si="1582"/>
        <v>0</v>
      </c>
      <c r="DL1201">
        <f t="shared" si="1583"/>
        <v>0</v>
      </c>
      <c r="DM1201">
        <f t="shared" si="1584"/>
        <v>0</v>
      </c>
      <c r="DN1201" t="str">
        <f t="shared" si="1585"/>
        <v>Timber</v>
      </c>
      <c r="DO1201">
        <v>1</v>
      </c>
      <c r="DP1201">
        <v>0</v>
      </c>
      <c r="DQ1201">
        <v>0</v>
      </c>
      <c r="DR1201">
        <v>0</v>
      </c>
      <c r="DS1201">
        <v>0</v>
      </c>
      <c r="DT1201">
        <f t="shared" si="1586"/>
        <v>1</v>
      </c>
      <c r="DU1201" s="143" t="str">
        <f t="shared" si="1589"/>
        <v>self-calculated DF</v>
      </c>
      <c r="DV1201">
        <v>0</v>
      </c>
      <c r="DW1201">
        <v>0</v>
      </c>
      <c r="DX1201">
        <v>0</v>
      </c>
      <c r="DY1201">
        <v>1</v>
      </c>
      <c r="DZ1201">
        <v>0</v>
      </c>
      <c r="EA1201" s="143">
        <v>0</v>
      </c>
      <c r="EB1201">
        <v>1</v>
      </c>
      <c r="EC1201">
        <v>1</v>
      </c>
      <c r="ED1201">
        <v>1</v>
      </c>
      <c r="EE1201">
        <v>0</v>
      </c>
      <c r="EF1201">
        <v>0</v>
      </c>
      <c r="EG1201">
        <v>0</v>
      </c>
      <c r="EH1201">
        <v>0</v>
      </c>
      <c r="EI1201" s="2">
        <v>0</v>
      </c>
      <c r="EK1201" t="str">
        <f t="shared" si="1562"/>
        <v/>
      </c>
      <c r="EL1201" t="str">
        <f t="shared" si="1563"/>
        <v/>
      </c>
      <c r="EM1201" s="2" t="str">
        <f t="shared" si="1592"/>
        <v>Technology approach</v>
      </c>
      <c r="EN1201" t="s">
        <v>4033</v>
      </c>
      <c r="EP1201" t="b">
        <f>IF(ISNUMBER(BU1201),IF(ABS(BU1201-[1]QC_indicators!$B$2)&gt;3*[1]QC_indicators!$C$2,"C ratio",IF(ISNUMBER(BY1201),IF(ABS(BY1201-[1]QC_indicators!$B$1)&gt;3*[1]QC_indicators!$C$1,"DF","no"))),IF(ISNUMBER(BY1201),IF(ABS(BY1201-[1]QC_indicators!$B$1)&gt;3*[1]QC_indicators!$C$1,"DF","no")))</f>
        <v>0</v>
      </c>
      <c r="ER1201" s="313" t="s">
        <v>349</v>
      </c>
    </row>
    <row r="1202" spans="1:150" ht="15" hidden="1" customHeight="1">
      <c r="A1202" s="1" t="s">
        <v>214</v>
      </c>
      <c r="B1202" t="s">
        <v>4034</v>
      </c>
      <c r="C1202" t="s">
        <v>4035</v>
      </c>
      <c r="D1202" t="s">
        <v>4036</v>
      </c>
      <c r="E1202" t="s">
        <v>4037</v>
      </c>
      <c r="F1202" t="s">
        <v>4038</v>
      </c>
      <c r="G1202" t="s">
        <v>220</v>
      </c>
      <c r="H1202" t="s">
        <v>254</v>
      </c>
      <c r="I1202">
        <v>2009</v>
      </c>
      <c r="J1202">
        <v>63</v>
      </c>
      <c r="K1202" t="s">
        <v>4039</v>
      </c>
      <c r="M1202" t="str">
        <f t="shared" si="1527"/>
        <v>Profft_2009</v>
      </c>
      <c r="N1202" s="311" t="s">
        <v>4382</v>
      </c>
      <c r="O1202" s="171" t="s">
        <v>225</v>
      </c>
      <c r="P1202" t="s">
        <v>341</v>
      </c>
      <c r="Q1202" s="311" t="s">
        <v>389</v>
      </c>
      <c r="R1202" s="312"/>
      <c r="S1202" s="1" t="s">
        <v>4040</v>
      </c>
      <c r="T1202" t="s">
        <v>4041</v>
      </c>
      <c r="U1202" t="s">
        <v>4042</v>
      </c>
      <c r="V1202">
        <v>0</v>
      </c>
      <c r="W1202">
        <v>0</v>
      </c>
      <c r="X1202">
        <v>0</v>
      </c>
      <c r="Y1202">
        <v>1</v>
      </c>
      <c r="Z1202">
        <v>0</v>
      </c>
      <c r="AA1202">
        <v>0</v>
      </c>
      <c r="AB1202">
        <v>0</v>
      </c>
      <c r="AC1202">
        <v>0</v>
      </c>
      <c r="AD1202">
        <v>0</v>
      </c>
      <c r="AE1202">
        <v>0</v>
      </c>
      <c r="AF1202">
        <v>0</v>
      </c>
      <c r="AG1202">
        <v>0</v>
      </c>
      <c r="AH1202">
        <v>0</v>
      </c>
      <c r="AI1202">
        <v>1</v>
      </c>
      <c r="AJ1202">
        <v>0</v>
      </c>
      <c r="AK1202">
        <v>0</v>
      </c>
      <c r="AL1202">
        <v>0</v>
      </c>
      <c r="AM1202">
        <v>0</v>
      </c>
      <c r="AN1202">
        <v>0</v>
      </c>
      <c r="AO1202">
        <v>0</v>
      </c>
      <c r="AP1202">
        <v>0</v>
      </c>
      <c r="AQ1202">
        <v>0</v>
      </c>
      <c r="AR1202">
        <v>0</v>
      </c>
      <c r="AS1202">
        <v>0</v>
      </c>
      <c r="AT1202">
        <v>0</v>
      </c>
      <c r="AU1202">
        <v>0</v>
      </c>
      <c r="AV1202">
        <v>0</v>
      </c>
      <c r="AW1202">
        <v>0</v>
      </c>
      <c r="AX1202" s="141">
        <f t="shared" si="1593"/>
        <v>2</v>
      </c>
      <c r="AY1202" s="141">
        <f t="shared" si="1594"/>
        <v>2</v>
      </c>
      <c r="AZ1202">
        <f t="shared" si="1595"/>
        <v>1</v>
      </c>
      <c r="BA1202">
        <f t="shared" si="1596"/>
        <v>1</v>
      </c>
      <c r="BB1202">
        <f t="shared" si="1597"/>
        <v>0</v>
      </c>
      <c r="BC1202">
        <f t="shared" si="1598"/>
        <v>0</v>
      </c>
      <c r="BD1202">
        <f t="shared" si="1599"/>
        <v>0</v>
      </c>
      <c r="BE1202" t="str" cm="1">
        <f t="array" ref="BE1202">IF(AY1202=1,INDEX($V$7:$AL$7,MATCH(TRUE,INDEX($V1202:$AW1202&lt;&gt;0,),0)),IF(AY1202=0,INDEX($AM$7:$AW$7,MATCH(1,$AM1202:$AW1202,0)),IF(BF1202="Multiple strategies","mixed drivers",IF(BF1202="Supply chain","multiple supply","multiple silviculture"))))</f>
        <v>mixed drivers</v>
      </c>
      <c r="BF1202" s="2" t="str" cm="1">
        <f t="array" ref="BF1202">IF(COUNTIF(AZ1202:BB1202,"&lt;&gt;0")=1,INDEX($V$4:$AW$4,MATCH(TRUE,INDEX($V1202:$AW1202&lt;&gt;0,),0)),IF(COUNTIF(AZ1202:BB1202,"&lt;&gt;0")=0,INDEX($AM$4:$AW$4,MATCH(1,$AM1202:$AW1202,0)),"Multiple strategies"))</f>
        <v>Multiple strategies</v>
      </c>
      <c r="BM1202" t="str">
        <f t="shared" ref="BM1202:BM1214" si="1609">IFERROR(BL1202/BK1202,"")</f>
        <v/>
      </c>
      <c r="BP1202" t="s">
        <v>232</v>
      </c>
      <c r="BR1202" t="s">
        <v>4043</v>
      </c>
      <c r="BS1202">
        <v>0.6</v>
      </c>
      <c r="BT1202">
        <v>0.51</v>
      </c>
      <c r="BU1202" s="144"/>
      <c r="BV1202">
        <f>BS1202-BT1202</f>
        <v>8.9999999999999969E-2</v>
      </c>
      <c r="BY1202" t="str">
        <f t="shared" si="1591"/>
        <v/>
      </c>
      <c r="BZ1202">
        <v>0</v>
      </c>
      <c r="CA1202">
        <v>0</v>
      </c>
      <c r="CB1202">
        <v>0</v>
      </c>
      <c r="CC1202">
        <v>0</v>
      </c>
      <c r="CD1202">
        <v>0</v>
      </c>
      <c r="CE1202">
        <v>0</v>
      </c>
      <c r="CF1202">
        <v>0</v>
      </c>
      <c r="CG1202">
        <v>0</v>
      </c>
      <c r="CH1202">
        <v>0</v>
      </c>
      <c r="CI1202">
        <v>0</v>
      </c>
      <c r="CJ1202">
        <v>0</v>
      </c>
      <c r="CK1202">
        <v>0</v>
      </c>
      <c r="CL1202">
        <v>0</v>
      </c>
      <c r="CM1202">
        <v>0</v>
      </c>
      <c r="CN1202" t="str">
        <f t="shared" si="1600"/>
        <v>refOK</v>
      </c>
      <c r="CO1202"/>
      <c r="CP1202"/>
      <c r="CQ1202"/>
      <c r="CR1202">
        <f t="shared" si="1601"/>
        <v>0.6</v>
      </c>
      <c r="CS1202">
        <f t="shared" si="1602"/>
        <v>0.51</v>
      </c>
      <c r="CT1202">
        <f t="shared" si="1603"/>
        <v>0</v>
      </c>
      <c r="CU1202" t="str">
        <f t="shared" si="1604"/>
        <v/>
      </c>
      <c r="CV1202" s="2">
        <f t="shared" si="1605"/>
        <v>-0.14999999999999997</v>
      </c>
      <c r="CW1202" s="1" t="s">
        <v>2035</v>
      </c>
      <c r="CX1202" s="311" t="str">
        <f t="shared" si="1606"/>
        <v>reg</v>
      </c>
      <c r="CY1202" t="s">
        <v>1300</v>
      </c>
      <c r="CZ1202">
        <v>1999</v>
      </c>
      <c r="DA1202">
        <v>2009</v>
      </c>
      <c r="DB1202">
        <v>11</v>
      </c>
      <c r="DC1202" t="str">
        <f t="shared" si="1607"/>
        <v>1-30</v>
      </c>
      <c r="DD1202">
        <v>0</v>
      </c>
      <c r="DE1202">
        <v>1</v>
      </c>
      <c r="DF1202">
        <v>1</v>
      </c>
      <c r="DG1202">
        <v>1</v>
      </c>
      <c r="DH1202">
        <v>0</v>
      </c>
      <c r="DI1202">
        <f>SUM(DD1202:DH1202)</f>
        <v>3</v>
      </c>
      <c r="DJ1202" t="str">
        <f t="shared" si="1608"/>
        <v>mixedProduct</v>
      </c>
      <c r="DK1202">
        <f t="shared" si="1582"/>
        <v>0</v>
      </c>
      <c r="DL1202" t="str">
        <f t="shared" si="1583"/>
        <v>Energy</v>
      </c>
      <c r="DM1202" t="str">
        <f t="shared" si="1584"/>
        <v>Pulp/Paper</v>
      </c>
      <c r="DN1202" t="str">
        <f t="shared" si="1585"/>
        <v>Timber</v>
      </c>
      <c r="DO1202">
        <v>0</v>
      </c>
      <c r="DP1202">
        <v>0</v>
      </c>
      <c r="DQ1202">
        <v>0</v>
      </c>
      <c r="DR1202">
        <v>0</v>
      </c>
      <c r="DS1202">
        <v>0</v>
      </c>
      <c r="DT1202">
        <f t="shared" si="1586"/>
        <v>0</v>
      </c>
      <c r="DU1202" s="143" t="str">
        <f t="shared" si="1589"/>
        <v>explicit C balance</v>
      </c>
      <c r="DV1202">
        <v>0</v>
      </c>
      <c r="DW1202">
        <v>0</v>
      </c>
      <c r="DX1202">
        <v>0</v>
      </c>
      <c r="DY1202">
        <v>1</v>
      </c>
      <c r="DZ1202">
        <v>1</v>
      </c>
      <c r="EA1202">
        <v>0</v>
      </c>
      <c r="EB1202">
        <v>0</v>
      </c>
      <c r="EC1202">
        <v>0</v>
      </c>
      <c r="ED1202">
        <v>0</v>
      </c>
      <c r="EE1202">
        <v>0</v>
      </c>
      <c r="EF1202">
        <v>1</v>
      </c>
      <c r="EG1202">
        <v>0</v>
      </c>
      <c r="EH1202">
        <v>0</v>
      </c>
      <c r="EI1202" s="2">
        <v>0</v>
      </c>
      <c r="EK1202" t="str">
        <f t="shared" si="1562"/>
        <v/>
      </c>
      <c r="EL1202" t="str">
        <f t="shared" si="1563"/>
        <v/>
      </c>
      <c r="EM1202" s="2" t="str">
        <f t="shared" si="1592"/>
        <v/>
      </c>
      <c r="EP1202" t="b">
        <f>IF(ISNUMBER(BU1202),IF(ABS(BU1202-[1]QC_indicators!$B$2)&gt;3*[1]QC_indicators!$C$2,"C ratio",IF(ISNUMBER(BY1202),IF(ABS(BY1202-[1]QC_indicators!$B$1)&gt;3*[1]QC_indicators!$C$1,"DF","no"))),IF(ISNUMBER(BY1202),IF(ABS(BY1202-[1]QC_indicators!$B$1)&gt;3*[1]QC_indicators!$C$1,"DF","no")))</f>
        <v>0</v>
      </c>
    </row>
    <row r="1203" spans="1:150" ht="15" hidden="1" customHeight="1">
      <c r="A1203" s="1" t="s">
        <v>1422</v>
      </c>
      <c r="B1203" t="s">
        <v>2115</v>
      </c>
      <c r="C1203" t="s">
        <v>2116</v>
      </c>
      <c r="D1203" t="s">
        <v>2117</v>
      </c>
      <c r="E1203" t="s">
        <v>2118</v>
      </c>
      <c r="F1203" t="s">
        <v>2119</v>
      </c>
      <c r="G1203" t="s">
        <v>1428</v>
      </c>
      <c r="H1203" t="s">
        <v>254</v>
      </c>
      <c r="I1203">
        <v>2014</v>
      </c>
      <c r="J1203">
        <v>45</v>
      </c>
      <c r="K1203" t="s">
        <v>2120</v>
      </c>
      <c r="M1203" t="str">
        <f t="shared" si="1527"/>
        <v>Pukkala_2014</v>
      </c>
      <c r="N1203" t="s">
        <v>222</v>
      </c>
      <c r="O1203" s="171" t="s">
        <v>225</v>
      </c>
      <c r="P1203" t="s">
        <v>1153</v>
      </c>
      <c r="R1203" s="262" t="s">
        <v>223</v>
      </c>
      <c r="S1203" s="1" t="s">
        <v>2121</v>
      </c>
      <c r="T1203" t="s">
        <v>2122</v>
      </c>
      <c r="U1203" t="s">
        <v>2123</v>
      </c>
      <c r="V1203">
        <v>0</v>
      </c>
      <c r="W1203">
        <v>0</v>
      </c>
      <c r="X1203">
        <v>0</v>
      </c>
      <c r="Y1203">
        <v>0</v>
      </c>
      <c r="Z1203">
        <v>0</v>
      </c>
      <c r="AA1203">
        <v>0</v>
      </c>
      <c r="AB1203">
        <v>0</v>
      </c>
      <c r="AC1203">
        <v>0</v>
      </c>
      <c r="AD1203">
        <v>0</v>
      </c>
      <c r="AE1203">
        <v>0</v>
      </c>
      <c r="AF1203">
        <v>1</v>
      </c>
      <c r="AG1203">
        <v>0</v>
      </c>
      <c r="AH1203">
        <v>0</v>
      </c>
      <c r="AI1203">
        <v>0</v>
      </c>
      <c r="AJ1203">
        <v>0</v>
      </c>
      <c r="AK1203">
        <v>0</v>
      </c>
      <c r="AL1203">
        <v>0</v>
      </c>
      <c r="AM1203">
        <v>0</v>
      </c>
      <c r="AN1203">
        <v>0</v>
      </c>
      <c r="AO1203">
        <v>0</v>
      </c>
      <c r="AP1203">
        <v>0</v>
      </c>
      <c r="AQ1203">
        <v>0</v>
      </c>
      <c r="AR1203">
        <v>0</v>
      </c>
      <c r="AS1203">
        <v>0</v>
      </c>
      <c r="AT1203">
        <v>0</v>
      </c>
      <c r="AU1203">
        <v>0</v>
      </c>
      <c r="AV1203">
        <v>0</v>
      </c>
      <c r="AW1203">
        <v>0</v>
      </c>
      <c r="AX1203" s="141">
        <f t="shared" si="1593"/>
        <v>1</v>
      </c>
      <c r="AY1203" s="141">
        <f t="shared" si="1594"/>
        <v>1</v>
      </c>
      <c r="AZ1203">
        <f t="shared" si="1595"/>
        <v>0</v>
      </c>
      <c r="BA1203">
        <f t="shared" si="1596"/>
        <v>1</v>
      </c>
      <c r="BB1203">
        <f t="shared" si="1597"/>
        <v>0</v>
      </c>
      <c r="BC1203">
        <f t="shared" si="1598"/>
        <v>0</v>
      </c>
      <c r="BD1203">
        <f t="shared" si="1599"/>
        <v>0</v>
      </c>
      <c r="BE1203" t="str">
        <f t="array" ref="BE1203">IF(AY1203=1,INDEX($V$7:$AL$7,MATCH(TRUE,INDEX($V1203:$AW1203&lt;&gt;0,),0)),IF(AY1203=0,INDEX($AM$7:$AW$7,MATCH(1,$AM1203:$AW1203,0)),IF(BF1203="Multiple strategies","mixed drivers",IF(BF1203="Supply chain","multiple supply","multiple silviculture"))))</f>
        <v>supply chain organization</v>
      </c>
      <c r="BF1203" s="2" t="str" cm="1">
        <f t="array" ref="BF1203">IF(COUNTIF(AZ1203:BB1203,"&lt;&gt;0")=1,INDEX($V$4:$AW$4,MATCH(TRUE,INDEX($V1203:$AW1203&lt;&gt;0,),0)),IF(COUNTIF(AZ1203:BB1203,"&lt;&gt;0")=0,INDEX($AM$4:$AW$4,MATCH(1,$AM1203:$AW1203,0)),"Multiple strategies"))</f>
        <v>Supply chain</v>
      </c>
      <c r="BG1203" s="1" t="s">
        <v>229</v>
      </c>
      <c r="BH1203" t="s">
        <v>2124</v>
      </c>
      <c r="BI1203" t="s">
        <v>2125</v>
      </c>
      <c r="BJ1203" t="s">
        <v>2126</v>
      </c>
      <c r="BK1203">
        <v>1.004</v>
      </c>
      <c r="BL1203">
        <v>1.0920000000000001</v>
      </c>
      <c r="BM1203">
        <f t="shared" si="1609"/>
        <v>1.0876494023904384</v>
      </c>
      <c r="BN1203">
        <f t="shared" ref="BN1203:BN1234" si="1610">BL1203-BK1203</f>
        <v>8.8000000000000078E-2</v>
      </c>
      <c r="BO1203">
        <f t="shared" ref="BO1203:BO1214" si="1611">+BN1203*tC_to_m3</f>
        <v>0.38211029092488097</v>
      </c>
      <c r="BP1203" t="s">
        <v>232</v>
      </c>
      <c r="BQ1203" t="s">
        <v>2127</v>
      </c>
      <c r="BR1203" t="s">
        <v>2126</v>
      </c>
      <c r="BS1203" s="185">
        <f>0.194-0.202</f>
        <v>-8.0000000000000071E-3</v>
      </c>
      <c r="BT1203">
        <f>0.053-0.243</f>
        <v>-0.19</v>
      </c>
      <c r="BU1203" s="144">
        <f t="shared" ref="BU1203:BU1214" si="1612">BT1203/BS1203</f>
        <v>23.749999999999979</v>
      </c>
      <c r="BV1203">
        <f t="shared" ref="BV1203:BV1234" si="1613">BT1203-BS1203</f>
        <v>-0.182</v>
      </c>
      <c r="BX1203" s="185">
        <f t="shared" ref="BX1203:BX1214" si="1614">BV1203*C_to_CO2</f>
        <v>-0.66793999999999998</v>
      </c>
      <c r="BY1203">
        <f t="shared" si="1591"/>
        <v>-1.748029340909089</v>
      </c>
      <c r="BZ1203">
        <v>0</v>
      </c>
      <c r="CA1203">
        <v>0</v>
      </c>
      <c r="CB1203">
        <v>0</v>
      </c>
      <c r="CC1203">
        <v>0</v>
      </c>
      <c r="CD1203">
        <v>0</v>
      </c>
      <c r="CE1203">
        <v>0</v>
      </c>
      <c r="CF1203">
        <v>0</v>
      </c>
      <c r="CG1203">
        <v>0</v>
      </c>
      <c r="CH1203">
        <v>0</v>
      </c>
      <c r="CI1203">
        <v>0</v>
      </c>
      <c r="CJ1203">
        <v>0</v>
      </c>
      <c r="CK1203">
        <v>0</v>
      </c>
      <c r="CL1203">
        <v>0</v>
      </c>
      <c r="CM1203">
        <v>1</v>
      </c>
      <c r="CN1203" t="str">
        <f t="shared" si="1600"/>
        <v>refOK</v>
      </c>
      <c r="CO1203">
        <f t="shared" ref="CO1203:CO1234" si="1615">IF($CN1203="refOK",$BK1203,$BL1203)</f>
        <v>1.004</v>
      </c>
      <c r="CP1203">
        <f t="shared" ref="CP1203:CP1234" si="1616">IF($CN1203="refOK",$BL1203,$BK1203)</f>
        <v>1.0920000000000001</v>
      </c>
      <c r="CQ1203">
        <f t="shared" ref="CQ1203:CQ1234" si="1617">IF($CN1203="refOK",$BO1203,-$BO1203)</f>
        <v>0.38211029092488097</v>
      </c>
      <c r="CR1203">
        <f t="shared" si="1601"/>
        <v>-8.0000000000000071E-3</v>
      </c>
      <c r="CS1203">
        <f t="shared" si="1602"/>
        <v>-0.19</v>
      </c>
      <c r="CT1203">
        <f t="shared" si="1603"/>
        <v>-0.66793999999999998</v>
      </c>
      <c r="CU1203">
        <f t="shared" si="1604"/>
        <v>-1.748029340909089</v>
      </c>
      <c r="CV1203" s="2">
        <f t="shared" si="1605"/>
        <v>-22.749999999999979</v>
      </c>
      <c r="CW1203" s="1" t="s">
        <v>2035</v>
      </c>
      <c r="CX1203" t="str">
        <f t="shared" si="1606"/>
        <v>reg</v>
      </c>
      <c r="CY1203" t="s">
        <v>235</v>
      </c>
      <c r="DB1203">
        <v>30</v>
      </c>
      <c r="DC1203" t="str">
        <f t="shared" si="1607"/>
        <v>1-30</v>
      </c>
      <c r="DD1203">
        <v>1</v>
      </c>
      <c r="DE1203">
        <v>0</v>
      </c>
      <c r="DF1203">
        <v>0</v>
      </c>
      <c r="DG1203">
        <v>0</v>
      </c>
      <c r="DH1203">
        <v>0</v>
      </c>
      <c r="DI1203">
        <f t="shared" ref="DI1203:DI1211" si="1618">SUM(DD1203:DG1203)</f>
        <v>1</v>
      </c>
      <c r="DJ1203" t="str">
        <f t="shared" si="1608"/>
        <v>UpstreamInput</v>
      </c>
      <c r="DK1203" t="str">
        <f t="shared" si="1582"/>
        <v>Upstream</v>
      </c>
      <c r="DL1203">
        <f t="shared" si="1583"/>
        <v>0</v>
      </c>
      <c r="DM1203">
        <f t="shared" si="1584"/>
        <v>0</v>
      </c>
      <c r="DN1203">
        <f t="shared" si="1585"/>
        <v>0</v>
      </c>
      <c r="DO1203">
        <v>0</v>
      </c>
      <c r="DP1203" s="185">
        <v>0</v>
      </c>
      <c r="DQ1203" s="190"/>
      <c r="DR1203" s="190"/>
      <c r="DS1203" s="184">
        <v>0</v>
      </c>
      <c r="DT1203"/>
      <c r="DU1203" s="143" t="str">
        <f t="shared" si="1589"/>
        <v>explicit C balance</v>
      </c>
      <c r="DV1203">
        <v>1</v>
      </c>
      <c r="DW1203">
        <v>1</v>
      </c>
      <c r="DX1203">
        <v>1</v>
      </c>
      <c r="DY1203">
        <v>0</v>
      </c>
      <c r="DZ1203">
        <v>0</v>
      </c>
      <c r="EA1203" s="185">
        <v>0</v>
      </c>
      <c r="EB1203">
        <v>0</v>
      </c>
      <c r="EC1203">
        <v>0</v>
      </c>
      <c r="ED1203" s="185">
        <v>0</v>
      </c>
      <c r="EE1203">
        <v>0</v>
      </c>
      <c r="EF1203">
        <v>1</v>
      </c>
      <c r="EG1203">
        <v>0</v>
      </c>
      <c r="EH1203">
        <v>0</v>
      </c>
      <c r="EI1203" s="2">
        <v>0</v>
      </c>
      <c r="EK1203" t="str">
        <f t="shared" ref="EK1203:EK1234" si="1619">IF(AND(AND(AND(OR($DX1203=1,$DW1203=1),OR($EC1203=1,$EA1203=1)),SUM($DV1203:$DZ1203,$EF1203)&gt;=4),SUM($EA1203:$EE1203)&gt;=2),"Whole sector","")</f>
        <v/>
      </c>
      <c r="EL1203" t="str">
        <f t="shared" ref="EL1203:EL1234" si="1620">IF(AND(AND(OR($DX1203=1,$DW1203=1),AND($EC1203=0,$EA1203=0)),SUM($DV1203:$DZ1203,$EF1203)&gt;=4),"Ecosystem approach","")</f>
        <v>Ecosystem approach</v>
      </c>
      <c r="EM1203" s="2" t="str">
        <f t="shared" si="1592"/>
        <v/>
      </c>
      <c r="EP1203" t="str">
        <f>IF(ISNUMBER(BU1203),IF(ABS(BU1203-[3]QC_indicators!$B$2)&gt;3*[3]QC_indicators!$C$2,"C ratio",IF(ISNUMBER(BY1203),IF(ABS(BY1203-[3]QC_indicators!$B$1)&gt;3*[3]QC_indicators!$C$1,"DF","no"))),IF(ISNUMBER(BY1203),IF(ABS(BY1203-[3]QC_indicators!$B$1)&gt;3*[3]QC_indicators!$C$1,"DF","no")))</f>
        <v>C ratio</v>
      </c>
      <c r="ET1203" s="264" t="s">
        <v>3222</v>
      </c>
    </row>
    <row r="1204" spans="1:150" ht="15" hidden="1" customHeight="1">
      <c r="A1204" s="1" t="s">
        <v>1422</v>
      </c>
      <c r="B1204" t="s">
        <v>2115</v>
      </c>
      <c r="C1204" t="s">
        <v>2116</v>
      </c>
      <c r="D1204" t="s">
        <v>2117</v>
      </c>
      <c r="E1204" t="s">
        <v>2118</v>
      </c>
      <c r="F1204" t="s">
        <v>2119</v>
      </c>
      <c r="G1204" t="s">
        <v>1428</v>
      </c>
      <c r="H1204" t="s">
        <v>254</v>
      </c>
      <c r="I1204">
        <v>2014</v>
      </c>
      <c r="J1204">
        <v>45</v>
      </c>
      <c r="K1204" t="s">
        <v>2120</v>
      </c>
      <c r="M1204" t="str">
        <f t="shared" si="1527"/>
        <v>Pukkala_2014</v>
      </c>
      <c r="N1204" t="s">
        <v>222</v>
      </c>
      <c r="O1204" s="171" t="s">
        <v>225</v>
      </c>
      <c r="P1204" t="s">
        <v>1153</v>
      </c>
      <c r="R1204" s="262" t="s">
        <v>223</v>
      </c>
      <c r="S1204" s="1" t="s">
        <v>2121</v>
      </c>
      <c r="T1204" t="s">
        <v>2122</v>
      </c>
      <c r="U1204" t="s">
        <v>2123</v>
      </c>
      <c r="V1204">
        <v>0</v>
      </c>
      <c r="W1204">
        <v>0</v>
      </c>
      <c r="X1204">
        <v>0</v>
      </c>
      <c r="Y1204">
        <v>0</v>
      </c>
      <c r="Z1204">
        <v>0</v>
      </c>
      <c r="AA1204">
        <v>0</v>
      </c>
      <c r="AB1204">
        <v>0</v>
      </c>
      <c r="AC1204">
        <v>0</v>
      </c>
      <c r="AD1204">
        <v>0</v>
      </c>
      <c r="AE1204">
        <v>0</v>
      </c>
      <c r="AF1204">
        <v>1</v>
      </c>
      <c r="AG1204">
        <v>0</v>
      </c>
      <c r="AH1204">
        <v>0</v>
      </c>
      <c r="AI1204">
        <v>0</v>
      </c>
      <c r="AJ1204">
        <v>0</v>
      </c>
      <c r="AK1204">
        <v>0</v>
      </c>
      <c r="AL1204">
        <v>0</v>
      </c>
      <c r="AM1204">
        <v>0</v>
      </c>
      <c r="AN1204">
        <v>0</v>
      </c>
      <c r="AO1204">
        <v>0</v>
      </c>
      <c r="AP1204">
        <v>0</v>
      </c>
      <c r="AQ1204">
        <v>0</v>
      </c>
      <c r="AR1204">
        <v>0</v>
      </c>
      <c r="AS1204">
        <v>0</v>
      </c>
      <c r="AT1204">
        <v>0</v>
      </c>
      <c r="AU1204">
        <v>0</v>
      </c>
      <c r="AV1204">
        <v>0</v>
      </c>
      <c r="AW1204">
        <v>0</v>
      </c>
      <c r="AX1204" s="141">
        <f t="shared" si="1593"/>
        <v>1</v>
      </c>
      <c r="AY1204" s="141">
        <f t="shared" si="1594"/>
        <v>1</v>
      </c>
      <c r="AZ1204">
        <f t="shared" si="1595"/>
        <v>0</v>
      </c>
      <c r="BA1204">
        <f t="shared" si="1596"/>
        <v>1</v>
      </c>
      <c r="BB1204">
        <f t="shared" si="1597"/>
        <v>0</v>
      </c>
      <c r="BC1204">
        <f t="shared" si="1598"/>
        <v>0</v>
      </c>
      <c r="BD1204">
        <f t="shared" si="1599"/>
        <v>0</v>
      </c>
      <c r="BE1204" t="str">
        <f t="array" ref="BE1204">IF(AY1204=1,INDEX($V$7:$AL$7,MATCH(TRUE,INDEX($V1204:$AW1204&lt;&gt;0,),0)),IF(AY1204=0,INDEX($AM$7:$AW$7,MATCH(1,$AM1204:$AW1204,0)),IF(BF1204="Multiple strategies","mixed drivers",IF(BF1204="Supply chain","multiple supply","multiple silviculture"))))</f>
        <v>supply chain organization</v>
      </c>
      <c r="BF1204" s="2" t="str" cm="1">
        <f t="array" ref="BF1204">IF(COUNTIF(AZ1204:BB1204,"&lt;&gt;0")=1,INDEX($V$4:$AW$4,MATCH(TRUE,INDEX($V1204:$AW1204&lt;&gt;0,),0)),IF(COUNTIF(AZ1204:BB1204,"&lt;&gt;0")=0,INDEX($AM$4:$AW$4,MATCH(1,$AM1204:$AW1204,0)),"Multiple strategies"))</f>
        <v>Supply chain</v>
      </c>
      <c r="BG1204" s="1" t="s">
        <v>229</v>
      </c>
      <c r="BH1204" t="s">
        <v>2124</v>
      </c>
      <c r="BI1204" t="s">
        <v>2125</v>
      </c>
      <c r="BJ1204" t="s">
        <v>2126</v>
      </c>
      <c r="BK1204">
        <v>1.004</v>
      </c>
      <c r="BL1204">
        <v>1.0920000000000001</v>
      </c>
      <c r="BM1204">
        <f t="shared" si="1609"/>
        <v>1.0876494023904384</v>
      </c>
      <c r="BN1204">
        <f t="shared" si="1610"/>
        <v>8.8000000000000078E-2</v>
      </c>
      <c r="BO1204">
        <f t="shared" si="1611"/>
        <v>0.38211029092488097</v>
      </c>
      <c r="BP1204" t="s">
        <v>232</v>
      </c>
      <c r="BQ1204" t="s">
        <v>2127</v>
      </c>
      <c r="BR1204" t="s">
        <v>2126</v>
      </c>
      <c r="BS1204">
        <v>0.19400000000000001</v>
      </c>
      <c r="BT1204">
        <v>5.2999999999999999E-2</v>
      </c>
      <c r="BU1204" s="144">
        <f t="shared" si="1612"/>
        <v>0.27319587628865977</v>
      </c>
      <c r="BV1204">
        <f t="shared" si="1613"/>
        <v>-0.14100000000000001</v>
      </c>
      <c r="BX1204" s="185">
        <f t="shared" si="1614"/>
        <v>-0.5174700000000001</v>
      </c>
      <c r="BY1204">
        <f t="shared" si="1591"/>
        <v>-1.3542425113636354</v>
      </c>
      <c r="BZ1204">
        <v>0</v>
      </c>
      <c r="CA1204">
        <v>0</v>
      </c>
      <c r="CB1204">
        <v>0</v>
      </c>
      <c r="CC1204">
        <v>0</v>
      </c>
      <c r="CD1204">
        <v>0</v>
      </c>
      <c r="CE1204">
        <v>0</v>
      </c>
      <c r="CF1204">
        <v>0</v>
      </c>
      <c r="CG1204">
        <v>0</v>
      </c>
      <c r="CH1204">
        <v>0</v>
      </c>
      <c r="CI1204">
        <v>0</v>
      </c>
      <c r="CJ1204">
        <v>0</v>
      </c>
      <c r="CK1204">
        <v>0</v>
      </c>
      <c r="CL1204">
        <v>0</v>
      </c>
      <c r="CM1204">
        <v>1</v>
      </c>
      <c r="CN1204" t="str">
        <f t="shared" si="1600"/>
        <v>refOK</v>
      </c>
      <c r="CO1204">
        <f t="shared" si="1615"/>
        <v>1.004</v>
      </c>
      <c r="CP1204">
        <f t="shared" si="1616"/>
        <v>1.0920000000000001</v>
      </c>
      <c r="CQ1204">
        <f t="shared" si="1617"/>
        <v>0.38211029092488097</v>
      </c>
      <c r="CR1204">
        <f t="shared" si="1601"/>
        <v>0.19400000000000001</v>
      </c>
      <c r="CS1204">
        <f t="shared" si="1602"/>
        <v>5.2999999999999999E-2</v>
      </c>
      <c r="CT1204">
        <f t="shared" si="1603"/>
        <v>-0.5174700000000001</v>
      </c>
      <c r="CU1204">
        <f t="shared" si="1604"/>
        <v>-1.3542425113636354</v>
      </c>
      <c r="CV1204" s="2">
        <f t="shared" si="1605"/>
        <v>-0.72680412371134029</v>
      </c>
      <c r="CW1204" s="1" t="s">
        <v>2035</v>
      </c>
      <c r="CX1204" t="str">
        <f t="shared" si="1606"/>
        <v>reg</v>
      </c>
      <c r="CY1204" t="s">
        <v>235</v>
      </c>
      <c r="DB1204">
        <v>30</v>
      </c>
      <c r="DC1204" t="str">
        <f t="shared" si="1607"/>
        <v>1-30</v>
      </c>
      <c r="DD1204">
        <v>1</v>
      </c>
      <c r="DE1204">
        <v>0</v>
      </c>
      <c r="DF1204">
        <v>0</v>
      </c>
      <c r="DG1204">
        <v>0</v>
      </c>
      <c r="DH1204">
        <v>0</v>
      </c>
      <c r="DI1204">
        <f t="shared" si="1618"/>
        <v>1</v>
      </c>
      <c r="DJ1204" t="str">
        <f t="shared" si="1608"/>
        <v>UpstreamInput</v>
      </c>
      <c r="DK1204" t="str">
        <f t="shared" si="1582"/>
        <v>Upstream</v>
      </c>
      <c r="DL1204">
        <f t="shared" si="1583"/>
        <v>0</v>
      </c>
      <c r="DM1204">
        <f t="shared" si="1584"/>
        <v>0</v>
      </c>
      <c r="DN1204">
        <f t="shared" si="1585"/>
        <v>0</v>
      </c>
      <c r="DO1204">
        <v>0</v>
      </c>
      <c r="DP1204" s="185">
        <v>0</v>
      </c>
      <c r="DQ1204" s="190"/>
      <c r="DR1204" s="190"/>
      <c r="DS1204" s="184">
        <v>0</v>
      </c>
      <c r="DT1204"/>
      <c r="DU1204" s="143" t="str">
        <f t="shared" si="1589"/>
        <v>explicit C balance</v>
      </c>
      <c r="DV1204">
        <v>1</v>
      </c>
      <c r="DW1204">
        <v>1</v>
      </c>
      <c r="DX1204">
        <v>1</v>
      </c>
      <c r="DY1204">
        <v>1</v>
      </c>
      <c r="DZ1204">
        <v>1</v>
      </c>
      <c r="EA1204" s="185">
        <v>0</v>
      </c>
      <c r="EB1204">
        <v>0</v>
      </c>
      <c r="EC1204">
        <v>0</v>
      </c>
      <c r="ED1204" s="185">
        <v>0</v>
      </c>
      <c r="EE1204">
        <v>0</v>
      </c>
      <c r="EF1204">
        <v>1</v>
      </c>
      <c r="EG1204">
        <v>0</v>
      </c>
      <c r="EH1204">
        <v>0</v>
      </c>
      <c r="EI1204" s="2">
        <v>0</v>
      </c>
      <c r="EK1204" t="str">
        <f t="shared" si="1619"/>
        <v/>
      </c>
      <c r="EL1204" t="str">
        <f t="shared" si="1620"/>
        <v>Ecosystem approach</v>
      </c>
      <c r="EM1204" s="2" t="str">
        <f t="shared" si="1592"/>
        <v/>
      </c>
      <c r="EP1204" t="str">
        <f>IF(ISNUMBER(BU1204),IF(ABS(BU1204-[3]QC_indicators!$B$2)&gt;3*[3]QC_indicators!$C$2,"C ratio",IF(ISNUMBER(BY1204),IF(ABS(BY1204-[3]QC_indicators!$B$1)&gt;3*[3]QC_indicators!$C$1,"DF","no"))),IF(ISNUMBER(BY1204),IF(ABS(BY1204-[3]QC_indicators!$B$1)&gt;3*[3]QC_indicators!$C$1,"DF","no")))</f>
        <v>no</v>
      </c>
      <c r="ET1204" s="264" t="s">
        <v>3222</v>
      </c>
    </row>
    <row r="1205" spans="1:150" ht="15" hidden="1" customHeight="1">
      <c r="A1205" s="186" t="s">
        <v>1422</v>
      </c>
      <c r="B1205" s="185" t="s">
        <v>2115</v>
      </c>
      <c r="C1205" s="185" t="s">
        <v>2116</v>
      </c>
      <c r="D1205" s="185" t="s">
        <v>2117</v>
      </c>
      <c r="E1205" s="185" t="s">
        <v>2118</v>
      </c>
      <c r="F1205" s="185" t="s">
        <v>2119</v>
      </c>
      <c r="G1205" s="185" t="s">
        <v>1428</v>
      </c>
      <c r="H1205" s="185" t="s">
        <v>254</v>
      </c>
      <c r="I1205" s="185">
        <v>2014</v>
      </c>
      <c r="J1205" s="185">
        <v>45</v>
      </c>
      <c r="K1205" s="185" t="s">
        <v>2120</v>
      </c>
      <c r="L1205" s="185"/>
      <c r="M1205" t="str">
        <f t="shared" si="1527"/>
        <v>Pukkala_2014</v>
      </c>
      <c r="N1205" t="s">
        <v>222</v>
      </c>
      <c r="O1205" s="187" t="s">
        <v>225</v>
      </c>
      <c r="P1205" s="185" t="s">
        <v>1153</v>
      </c>
      <c r="Q1205" s="185"/>
      <c r="R1205" s="262" t="s">
        <v>223</v>
      </c>
      <c r="S1205" s="186" t="s">
        <v>2129</v>
      </c>
      <c r="T1205" s="185" t="s">
        <v>2130</v>
      </c>
      <c r="U1205" s="185" t="s">
        <v>2123</v>
      </c>
      <c r="V1205" s="185">
        <v>0</v>
      </c>
      <c r="W1205" s="185">
        <v>0</v>
      </c>
      <c r="X1205" s="185">
        <v>0</v>
      </c>
      <c r="Y1205" s="185">
        <v>1</v>
      </c>
      <c r="Z1205" s="185">
        <v>0</v>
      </c>
      <c r="AA1205" s="185">
        <v>0</v>
      </c>
      <c r="AB1205" s="185">
        <v>0</v>
      </c>
      <c r="AC1205" s="185">
        <v>0</v>
      </c>
      <c r="AD1205" s="185">
        <v>0</v>
      </c>
      <c r="AE1205" s="185">
        <v>0</v>
      </c>
      <c r="AF1205" s="185">
        <v>0</v>
      </c>
      <c r="AG1205" s="185">
        <v>0</v>
      </c>
      <c r="AH1205" s="185">
        <v>0</v>
      </c>
      <c r="AI1205" s="185">
        <v>0</v>
      </c>
      <c r="AJ1205" s="185">
        <v>0</v>
      </c>
      <c r="AK1205" s="185">
        <v>0</v>
      </c>
      <c r="AL1205" s="185">
        <v>0</v>
      </c>
      <c r="AM1205" s="185">
        <v>0</v>
      </c>
      <c r="AN1205" s="185">
        <v>0</v>
      </c>
      <c r="AO1205" s="185">
        <v>0</v>
      </c>
      <c r="AP1205" s="185">
        <v>0</v>
      </c>
      <c r="AQ1205" s="185">
        <v>0</v>
      </c>
      <c r="AR1205" s="185">
        <v>0</v>
      </c>
      <c r="AS1205" s="185">
        <v>0</v>
      </c>
      <c r="AT1205" s="185">
        <v>0</v>
      </c>
      <c r="AU1205" s="185">
        <v>0</v>
      </c>
      <c r="AV1205" s="185">
        <v>0</v>
      </c>
      <c r="AW1205" s="185">
        <v>0</v>
      </c>
      <c r="AX1205" s="141">
        <f t="shared" si="1593"/>
        <v>1</v>
      </c>
      <c r="AY1205" s="141">
        <f t="shared" si="1594"/>
        <v>1</v>
      </c>
      <c r="AZ1205">
        <f t="shared" si="1595"/>
        <v>1</v>
      </c>
      <c r="BA1205">
        <f t="shared" si="1596"/>
        <v>0</v>
      </c>
      <c r="BB1205">
        <f t="shared" si="1597"/>
        <v>0</v>
      </c>
      <c r="BC1205">
        <f t="shared" si="1598"/>
        <v>0</v>
      </c>
      <c r="BD1205">
        <f t="shared" si="1599"/>
        <v>0</v>
      </c>
      <c r="BE1205" t="str">
        <f t="array" ref="BE1205">IF(AY1205=1,INDEX($V$7:$AL$7,MATCH(TRUE,INDEX($V1205:$AW1205&lt;&gt;0,),0)),IF(AY1205=0,INDEX($AM$7:$AW$7,MATCH(1,$AM1205:$AW1205,0)),IF(BF1205="Multiple strategies","mixed drivers",IF(BF1205="Supply chain","multiple supply","multiple silviculture"))))</f>
        <v xml:space="preserve">cutting intensity </v>
      </c>
      <c r="BF1205" s="2" t="str" cm="1">
        <f t="array" ref="BF1205">IF(COUNTIF(AZ1205:BB1205,"&lt;&gt;0")=1,INDEX($V$4:$AW$4,MATCH(TRUE,INDEX($V1205:$AW1205&lt;&gt;0,),0)),IF(COUNTIF(AZ1205:BB1205,"&lt;&gt;0")=0,INDEX($AM$4:$AW$4,MATCH(1,$AM1205:$AW1205,0)),"Multiple strategies"))</f>
        <v>Silviculture for removals</v>
      </c>
      <c r="BG1205" s="186" t="s">
        <v>229</v>
      </c>
      <c r="BH1205" s="185" t="s">
        <v>2124</v>
      </c>
      <c r="BI1205" s="185" t="s">
        <v>2125</v>
      </c>
      <c r="BJ1205" s="185" t="s">
        <v>2126</v>
      </c>
      <c r="BK1205" s="185">
        <v>0.95599999999999996</v>
      </c>
      <c r="BL1205" s="185">
        <v>1.0920000000000001</v>
      </c>
      <c r="BM1205" s="185">
        <f t="shared" si="1609"/>
        <v>1.1422594142259415</v>
      </c>
      <c r="BN1205" s="185">
        <f t="shared" si="1610"/>
        <v>0.13600000000000012</v>
      </c>
      <c r="BO1205" s="185">
        <f t="shared" si="1611"/>
        <v>0.59053408597481605</v>
      </c>
      <c r="BP1205" s="185" t="s">
        <v>232</v>
      </c>
      <c r="BQ1205" s="185" t="s">
        <v>2127</v>
      </c>
      <c r="BR1205" s="185" t="s">
        <v>2126</v>
      </c>
      <c r="BS1205" s="185">
        <v>-2.2999999999999993E-2</v>
      </c>
      <c r="BT1205">
        <f>0.053-0.243</f>
        <v>-0.19</v>
      </c>
      <c r="BU1205" s="189">
        <f t="shared" si="1612"/>
        <v>8.2608695652173942</v>
      </c>
      <c r="BV1205" s="185">
        <f t="shared" si="1613"/>
        <v>-0.16700000000000001</v>
      </c>
      <c r="BW1205" s="185"/>
      <c r="BX1205" s="185">
        <f t="shared" si="1614"/>
        <v>-0.61289000000000005</v>
      </c>
      <c r="BY1205">
        <f t="shared" si="1591"/>
        <v>-1.0378571102941168</v>
      </c>
      <c r="BZ1205" s="185">
        <v>0</v>
      </c>
      <c r="CA1205" s="185">
        <v>0</v>
      </c>
      <c r="CB1205" s="185">
        <v>0</v>
      </c>
      <c r="CC1205" s="185">
        <v>0</v>
      </c>
      <c r="CD1205" s="185">
        <v>0</v>
      </c>
      <c r="CE1205" s="185">
        <v>0</v>
      </c>
      <c r="CF1205" s="185">
        <v>0</v>
      </c>
      <c r="CG1205" s="185">
        <v>0</v>
      </c>
      <c r="CH1205" s="185">
        <v>0</v>
      </c>
      <c r="CI1205" s="185">
        <v>0</v>
      </c>
      <c r="CJ1205" s="185">
        <v>0</v>
      </c>
      <c r="CK1205" s="185">
        <v>0</v>
      </c>
      <c r="CL1205" s="185">
        <v>0</v>
      </c>
      <c r="CM1205" s="185">
        <v>1</v>
      </c>
      <c r="CN1205" s="185" t="str">
        <f t="shared" si="1600"/>
        <v>refOK</v>
      </c>
      <c r="CO1205" s="185">
        <f t="shared" si="1615"/>
        <v>0.95599999999999996</v>
      </c>
      <c r="CP1205" s="185">
        <f t="shared" si="1616"/>
        <v>1.0920000000000001</v>
      </c>
      <c r="CQ1205" s="185">
        <f t="shared" si="1617"/>
        <v>0.59053408597481605</v>
      </c>
      <c r="CR1205" s="185">
        <f t="shared" si="1601"/>
        <v>-2.2999999999999993E-2</v>
      </c>
      <c r="CS1205" s="185">
        <f t="shared" si="1602"/>
        <v>-0.19</v>
      </c>
      <c r="CT1205" s="185">
        <f t="shared" si="1603"/>
        <v>-0.61289000000000005</v>
      </c>
      <c r="CU1205">
        <f t="shared" si="1604"/>
        <v>-1.0378571102941168</v>
      </c>
      <c r="CV1205" s="188">
        <f t="shared" si="1605"/>
        <v>-7.2608695652173942</v>
      </c>
      <c r="CW1205" s="186" t="s">
        <v>2035</v>
      </c>
      <c r="CX1205" t="str">
        <f t="shared" si="1606"/>
        <v>reg</v>
      </c>
      <c r="CY1205" s="185" t="s">
        <v>235</v>
      </c>
      <c r="CZ1205" s="185"/>
      <c r="DA1205" s="185"/>
      <c r="DB1205" s="185">
        <v>30</v>
      </c>
      <c r="DC1205" t="str">
        <f t="shared" si="1607"/>
        <v>1-30</v>
      </c>
      <c r="DD1205" s="185">
        <v>1</v>
      </c>
      <c r="DE1205" s="185">
        <v>0</v>
      </c>
      <c r="DF1205" s="185">
        <v>0</v>
      </c>
      <c r="DG1205" s="185">
        <v>0</v>
      </c>
      <c r="DH1205" s="185">
        <v>0</v>
      </c>
      <c r="DI1205">
        <f t="shared" si="1618"/>
        <v>1</v>
      </c>
      <c r="DJ1205" t="str">
        <f t="shared" si="1608"/>
        <v>UpstreamInput</v>
      </c>
      <c r="DK1205" t="str">
        <f t="shared" si="1582"/>
        <v>Upstream</v>
      </c>
      <c r="DL1205">
        <f t="shared" si="1583"/>
        <v>0</v>
      </c>
      <c r="DM1205">
        <f t="shared" si="1584"/>
        <v>0</v>
      </c>
      <c r="DN1205">
        <f t="shared" si="1585"/>
        <v>0</v>
      </c>
      <c r="DO1205" s="185">
        <v>0</v>
      </c>
      <c r="DP1205" s="185">
        <v>0</v>
      </c>
      <c r="DQ1205" s="190"/>
      <c r="DR1205" s="190"/>
      <c r="DS1205" s="190">
        <v>0</v>
      </c>
      <c r="DT1205" s="185"/>
      <c r="DU1205" s="191" t="str">
        <f t="shared" si="1589"/>
        <v>explicit C balance</v>
      </c>
      <c r="DV1205" s="185">
        <v>1</v>
      </c>
      <c r="DW1205" s="185">
        <v>1</v>
      </c>
      <c r="DX1205" s="185">
        <v>1</v>
      </c>
      <c r="DY1205" s="185">
        <v>0</v>
      </c>
      <c r="DZ1205" s="185">
        <v>0</v>
      </c>
      <c r="EA1205" s="185">
        <v>0</v>
      </c>
      <c r="EB1205" s="185">
        <v>0</v>
      </c>
      <c r="EC1205" s="185">
        <v>0</v>
      </c>
      <c r="ED1205" s="185">
        <v>0</v>
      </c>
      <c r="EE1205" s="185">
        <v>0</v>
      </c>
      <c r="EF1205" s="185">
        <v>1</v>
      </c>
      <c r="EG1205" s="185">
        <v>0</v>
      </c>
      <c r="EH1205" s="185">
        <v>0</v>
      </c>
      <c r="EI1205" s="188">
        <v>0</v>
      </c>
      <c r="EK1205" t="str">
        <f t="shared" si="1619"/>
        <v/>
      </c>
      <c r="EL1205" t="str">
        <f t="shared" si="1620"/>
        <v>Ecosystem approach</v>
      </c>
      <c r="EM1205" s="2" t="str">
        <f t="shared" si="1592"/>
        <v/>
      </c>
      <c r="EN1205" s="185"/>
      <c r="EO1205" s="185"/>
      <c r="EP1205" t="str">
        <f>IF(ISNUMBER(BU1205),IF(ABS(BU1205-[3]QC_indicators!$B$2)&gt;3*[3]QC_indicators!$C$2,"C ratio",IF(ISNUMBER(BY1205),IF(ABS(BY1205-[3]QC_indicators!$B$1)&gt;3*[3]QC_indicators!$C$1,"DF","no"))),IF(ISNUMBER(BY1205),IF(ABS(BY1205-[3]QC_indicators!$B$1)&gt;3*[3]QC_indicators!$C$1,"DF","no")))</f>
        <v>no</v>
      </c>
      <c r="EQ1205" s="185"/>
      <c r="ER1205" s="185"/>
      <c r="ES1205" s="185"/>
      <c r="ET1205" s="264" t="s">
        <v>3222</v>
      </c>
    </row>
    <row r="1206" spans="1:150" ht="15" hidden="1" customHeight="1">
      <c r="A1206" s="186" t="s">
        <v>1422</v>
      </c>
      <c r="B1206" s="185" t="s">
        <v>2115</v>
      </c>
      <c r="C1206" s="185" t="s">
        <v>2116</v>
      </c>
      <c r="D1206" s="185" t="s">
        <v>2117</v>
      </c>
      <c r="E1206" s="185" t="s">
        <v>2118</v>
      </c>
      <c r="F1206" s="185" t="s">
        <v>2119</v>
      </c>
      <c r="G1206" s="185" t="s">
        <v>1428</v>
      </c>
      <c r="H1206" s="185" t="s">
        <v>254</v>
      </c>
      <c r="I1206" s="185">
        <v>2014</v>
      </c>
      <c r="J1206" s="185">
        <v>45</v>
      </c>
      <c r="K1206" s="185" t="s">
        <v>2120</v>
      </c>
      <c r="L1206" s="185"/>
      <c r="M1206" t="str">
        <f t="shared" si="1527"/>
        <v>Pukkala_2014</v>
      </c>
      <c r="N1206" t="s">
        <v>222</v>
      </c>
      <c r="O1206" s="187" t="s">
        <v>225</v>
      </c>
      <c r="P1206" s="185" t="s">
        <v>1153</v>
      </c>
      <c r="Q1206" s="185"/>
      <c r="R1206" s="262" t="s">
        <v>223</v>
      </c>
      <c r="S1206" s="186" t="s">
        <v>2129</v>
      </c>
      <c r="T1206" s="185" t="s">
        <v>2130</v>
      </c>
      <c r="U1206" s="185" t="s">
        <v>2123</v>
      </c>
      <c r="V1206" s="185">
        <v>0</v>
      </c>
      <c r="W1206" s="185">
        <v>0</v>
      </c>
      <c r="X1206" s="185">
        <v>0</v>
      </c>
      <c r="Y1206" s="185">
        <v>1</v>
      </c>
      <c r="Z1206" s="185">
        <v>0</v>
      </c>
      <c r="AA1206" s="185">
        <v>0</v>
      </c>
      <c r="AB1206" s="185">
        <v>0</v>
      </c>
      <c r="AC1206" s="185">
        <v>0</v>
      </c>
      <c r="AD1206" s="185">
        <v>0</v>
      </c>
      <c r="AE1206" s="185">
        <v>0</v>
      </c>
      <c r="AF1206" s="185">
        <v>0</v>
      </c>
      <c r="AG1206" s="185">
        <v>0</v>
      </c>
      <c r="AH1206" s="185">
        <v>0</v>
      </c>
      <c r="AI1206" s="185">
        <v>0</v>
      </c>
      <c r="AJ1206" s="185">
        <v>0</v>
      </c>
      <c r="AK1206" s="185">
        <v>0</v>
      </c>
      <c r="AL1206" s="185">
        <v>0</v>
      </c>
      <c r="AM1206" s="185">
        <v>0</v>
      </c>
      <c r="AN1206" s="185">
        <v>0</v>
      </c>
      <c r="AO1206" s="185">
        <v>0</v>
      </c>
      <c r="AP1206" s="185">
        <v>0</v>
      </c>
      <c r="AQ1206" s="185">
        <v>0</v>
      </c>
      <c r="AR1206" s="185">
        <v>0</v>
      </c>
      <c r="AS1206" s="185">
        <v>0</v>
      </c>
      <c r="AT1206" s="185">
        <v>0</v>
      </c>
      <c r="AU1206" s="185">
        <v>0</v>
      </c>
      <c r="AV1206" s="185">
        <v>0</v>
      </c>
      <c r="AW1206" s="185">
        <v>0</v>
      </c>
      <c r="AX1206" s="141">
        <f t="shared" si="1593"/>
        <v>1</v>
      </c>
      <c r="AY1206" s="141">
        <f t="shared" si="1594"/>
        <v>1</v>
      </c>
      <c r="AZ1206">
        <f t="shared" si="1595"/>
        <v>1</v>
      </c>
      <c r="BA1206">
        <f t="shared" si="1596"/>
        <v>0</v>
      </c>
      <c r="BB1206">
        <f t="shared" si="1597"/>
        <v>0</v>
      </c>
      <c r="BC1206">
        <f t="shared" si="1598"/>
        <v>0</v>
      </c>
      <c r="BD1206">
        <f t="shared" si="1599"/>
        <v>0</v>
      </c>
      <c r="BE1206" t="str">
        <f t="array" ref="BE1206">IF(AY1206=1,INDEX($V$7:$AL$7,MATCH(TRUE,INDEX($V1206:$AW1206&lt;&gt;0,),0)),IF(AY1206=0,INDEX($AM$7:$AW$7,MATCH(1,$AM1206:$AW1206,0)),IF(BF1206="Multiple strategies","mixed drivers",IF(BF1206="Supply chain","multiple supply","multiple silviculture"))))</f>
        <v xml:space="preserve">cutting intensity </v>
      </c>
      <c r="BF1206" s="2" t="str" cm="1">
        <f t="array" ref="BF1206">IF(COUNTIF(AZ1206:BB1206,"&lt;&gt;0")=1,INDEX($V$4:$AW$4,MATCH(TRUE,INDEX($V1206:$AW1206&lt;&gt;0,),0)),IF(COUNTIF(AZ1206:BB1206,"&lt;&gt;0")=0,INDEX($AM$4:$AW$4,MATCH(1,$AM1206:$AW1206,0)),"Multiple strategies"))</f>
        <v>Silviculture for removals</v>
      </c>
      <c r="BG1206" s="186" t="s">
        <v>229</v>
      </c>
      <c r="BH1206" s="185" t="s">
        <v>2124</v>
      </c>
      <c r="BI1206" s="185" t="s">
        <v>2125</v>
      </c>
      <c r="BJ1206" s="185" t="s">
        <v>2126</v>
      </c>
      <c r="BK1206" s="185">
        <v>0.95599999999999996</v>
      </c>
      <c r="BL1206" s="185">
        <v>1.0920000000000001</v>
      </c>
      <c r="BM1206" s="185">
        <f t="shared" si="1609"/>
        <v>1.1422594142259415</v>
      </c>
      <c r="BN1206" s="185">
        <f t="shared" si="1610"/>
        <v>0.13600000000000012</v>
      </c>
      <c r="BO1206" s="185">
        <f t="shared" si="1611"/>
        <v>0.59053408597481605</v>
      </c>
      <c r="BP1206" s="185" t="s">
        <v>232</v>
      </c>
      <c r="BQ1206" s="185" t="s">
        <v>2127</v>
      </c>
      <c r="BR1206" s="185" t="s">
        <v>2126</v>
      </c>
      <c r="BS1206" s="185">
        <v>0.21299999999999999</v>
      </c>
      <c r="BT1206" s="185">
        <v>5.2999999999999999E-2</v>
      </c>
      <c r="BU1206" s="189">
        <f t="shared" si="1612"/>
        <v>0.24882629107981222</v>
      </c>
      <c r="BV1206" s="185">
        <f t="shared" si="1613"/>
        <v>-0.16</v>
      </c>
      <c r="BW1206" s="185"/>
      <c r="BX1206" s="185">
        <f t="shared" si="1614"/>
        <v>-0.58720000000000006</v>
      </c>
      <c r="BY1206">
        <f t="shared" si="1591"/>
        <v>-0.99435411764705794</v>
      </c>
      <c r="BZ1206" s="185">
        <v>0</v>
      </c>
      <c r="CA1206" s="185">
        <v>0</v>
      </c>
      <c r="CB1206" s="185">
        <v>0</v>
      </c>
      <c r="CC1206" s="185">
        <v>0</v>
      </c>
      <c r="CD1206" s="185">
        <v>0</v>
      </c>
      <c r="CE1206" s="185">
        <v>0</v>
      </c>
      <c r="CF1206" s="185">
        <v>0</v>
      </c>
      <c r="CG1206" s="185">
        <v>0</v>
      </c>
      <c r="CH1206" s="185">
        <v>0</v>
      </c>
      <c r="CI1206" s="185">
        <v>0</v>
      </c>
      <c r="CJ1206" s="185">
        <v>0</v>
      </c>
      <c r="CK1206" s="185">
        <v>0</v>
      </c>
      <c r="CL1206" s="185">
        <v>0</v>
      </c>
      <c r="CM1206" s="185">
        <v>1</v>
      </c>
      <c r="CN1206" s="185" t="str">
        <f t="shared" si="1600"/>
        <v>refOK</v>
      </c>
      <c r="CO1206" s="185">
        <f t="shared" si="1615"/>
        <v>0.95599999999999996</v>
      </c>
      <c r="CP1206" s="185">
        <f t="shared" si="1616"/>
        <v>1.0920000000000001</v>
      </c>
      <c r="CQ1206" s="185">
        <f t="shared" si="1617"/>
        <v>0.59053408597481605</v>
      </c>
      <c r="CR1206" s="185">
        <f t="shared" si="1601"/>
        <v>0.21299999999999999</v>
      </c>
      <c r="CS1206" s="185">
        <f t="shared" si="1602"/>
        <v>5.2999999999999999E-2</v>
      </c>
      <c r="CT1206" s="185">
        <f t="shared" si="1603"/>
        <v>-0.58720000000000006</v>
      </c>
      <c r="CU1206">
        <f t="shared" si="1604"/>
        <v>-0.99435411764705794</v>
      </c>
      <c r="CV1206" s="188">
        <f t="shared" si="1605"/>
        <v>-0.75117370892018787</v>
      </c>
      <c r="CW1206" s="186" t="s">
        <v>2035</v>
      </c>
      <c r="CX1206" t="str">
        <f t="shared" si="1606"/>
        <v>reg</v>
      </c>
      <c r="CY1206" s="185" t="s">
        <v>235</v>
      </c>
      <c r="CZ1206" s="185"/>
      <c r="DA1206" s="185"/>
      <c r="DB1206" s="185">
        <v>30</v>
      </c>
      <c r="DC1206" t="str">
        <f t="shared" si="1607"/>
        <v>1-30</v>
      </c>
      <c r="DD1206" s="185">
        <v>1</v>
      </c>
      <c r="DE1206" s="185">
        <v>0</v>
      </c>
      <c r="DF1206" s="185">
        <v>0</v>
      </c>
      <c r="DG1206" s="185">
        <v>0</v>
      </c>
      <c r="DH1206" s="185">
        <v>0</v>
      </c>
      <c r="DI1206">
        <f t="shared" si="1618"/>
        <v>1</v>
      </c>
      <c r="DJ1206" t="str">
        <f t="shared" si="1608"/>
        <v>UpstreamInput</v>
      </c>
      <c r="DK1206" t="str">
        <f t="shared" si="1582"/>
        <v>Upstream</v>
      </c>
      <c r="DL1206">
        <f t="shared" si="1583"/>
        <v>0</v>
      </c>
      <c r="DM1206">
        <f t="shared" si="1584"/>
        <v>0</v>
      </c>
      <c r="DN1206">
        <f t="shared" si="1585"/>
        <v>0</v>
      </c>
      <c r="DO1206" s="185">
        <v>0</v>
      </c>
      <c r="DP1206" s="185">
        <v>0</v>
      </c>
      <c r="DQ1206" s="190"/>
      <c r="DR1206" s="190"/>
      <c r="DS1206" s="190">
        <v>0</v>
      </c>
      <c r="DT1206" s="185"/>
      <c r="DU1206" s="191" t="str">
        <f t="shared" si="1589"/>
        <v>explicit C balance</v>
      </c>
      <c r="DV1206" s="185">
        <v>1</v>
      </c>
      <c r="DW1206" s="185">
        <v>1</v>
      </c>
      <c r="DX1206" s="185">
        <v>1</v>
      </c>
      <c r="DY1206" s="185">
        <v>1</v>
      </c>
      <c r="DZ1206" s="185">
        <v>1</v>
      </c>
      <c r="EA1206" s="185">
        <v>0</v>
      </c>
      <c r="EB1206" s="185">
        <v>0</v>
      </c>
      <c r="EC1206" s="185">
        <v>0</v>
      </c>
      <c r="ED1206" s="185">
        <v>0</v>
      </c>
      <c r="EE1206" s="185">
        <v>0</v>
      </c>
      <c r="EF1206" s="185">
        <v>1</v>
      </c>
      <c r="EG1206" s="185">
        <v>0</v>
      </c>
      <c r="EH1206" s="185">
        <v>0</v>
      </c>
      <c r="EI1206" s="188">
        <v>0</v>
      </c>
      <c r="EK1206" t="str">
        <f t="shared" si="1619"/>
        <v/>
      </c>
      <c r="EL1206" t="str">
        <f t="shared" si="1620"/>
        <v>Ecosystem approach</v>
      </c>
      <c r="EM1206" s="2" t="str">
        <f t="shared" si="1592"/>
        <v/>
      </c>
      <c r="EN1206" s="185"/>
      <c r="EO1206" s="185"/>
      <c r="EP1206" t="str">
        <f>IF(ISNUMBER(BU1206),IF(ABS(BU1206-[3]QC_indicators!$B$2)&gt;3*[3]QC_indicators!$C$2,"C ratio",IF(ISNUMBER(BY1206),IF(ABS(BY1206-[3]QC_indicators!$B$1)&gt;3*[3]QC_indicators!$C$1,"DF","no"))),IF(ISNUMBER(BY1206),IF(ABS(BY1206-[3]QC_indicators!$B$1)&gt;3*[3]QC_indicators!$C$1,"DF","no")))</f>
        <v>no</v>
      </c>
      <c r="EQ1206" s="185"/>
      <c r="ER1206" s="185"/>
      <c r="ES1206" s="185"/>
      <c r="ET1206" s="264" t="s">
        <v>3222</v>
      </c>
    </row>
    <row r="1207" spans="1:150" ht="15" hidden="1" customHeight="1">
      <c r="A1207" s="1" t="s">
        <v>1422</v>
      </c>
      <c r="B1207" t="s">
        <v>2115</v>
      </c>
      <c r="C1207" t="s">
        <v>2116</v>
      </c>
      <c r="D1207" t="s">
        <v>2117</v>
      </c>
      <c r="E1207" t="s">
        <v>2118</v>
      </c>
      <c r="F1207" t="s">
        <v>2119</v>
      </c>
      <c r="G1207" t="s">
        <v>1428</v>
      </c>
      <c r="H1207" t="s">
        <v>254</v>
      </c>
      <c r="I1207">
        <v>2014</v>
      </c>
      <c r="J1207">
        <v>45</v>
      </c>
      <c r="K1207" t="s">
        <v>2120</v>
      </c>
      <c r="M1207" t="str">
        <f t="shared" si="1527"/>
        <v>Pukkala_2014</v>
      </c>
      <c r="N1207" t="s">
        <v>222</v>
      </c>
      <c r="O1207" s="171" t="s">
        <v>225</v>
      </c>
      <c r="P1207" t="s">
        <v>1153</v>
      </c>
      <c r="R1207" s="262" t="s">
        <v>223</v>
      </c>
      <c r="S1207" s="1" t="s">
        <v>2131</v>
      </c>
      <c r="T1207" t="s">
        <v>2132</v>
      </c>
      <c r="U1207" t="s">
        <v>2123</v>
      </c>
      <c r="V1207">
        <v>0</v>
      </c>
      <c r="W1207">
        <v>0</v>
      </c>
      <c r="X1207">
        <v>0</v>
      </c>
      <c r="Y1207">
        <v>0</v>
      </c>
      <c r="Z1207">
        <v>0</v>
      </c>
      <c r="AA1207">
        <v>0</v>
      </c>
      <c r="AB1207">
        <v>0</v>
      </c>
      <c r="AC1207">
        <v>0</v>
      </c>
      <c r="AD1207">
        <v>0</v>
      </c>
      <c r="AE1207">
        <v>0</v>
      </c>
      <c r="AF1207">
        <v>1</v>
      </c>
      <c r="AG1207">
        <v>0</v>
      </c>
      <c r="AH1207">
        <v>0</v>
      </c>
      <c r="AI1207">
        <v>0</v>
      </c>
      <c r="AJ1207">
        <v>0</v>
      </c>
      <c r="AK1207">
        <v>0</v>
      </c>
      <c r="AL1207">
        <v>0</v>
      </c>
      <c r="AM1207">
        <v>0</v>
      </c>
      <c r="AN1207">
        <v>0</v>
      </c>
      <c r="AO1207">
        <v>0</v>
      </c>
      <c r="AP1207">
        <v>0</v>
      </c>
      <c r="AQ1207">
        <v>0</v>
      </c>
      <c r="AR1207">
        <v>0</v>
      </c>
      <c r="AS1207">
        <v>0</v>
      </c>
      <c r="AT1207">
        <v>0</v>
      </c>
      <c r="AU1207">
        <v>0</v>
      </c>
      <c r="AV1207">
        <v>0</v>
      </c>
      <c r="AW1207">
        <v>0</v>
      </c>
      <c r="AX1207" s="141">
        <f t="shared" si="1593"/>
        <v>1</v>
      </c>
      <c r="AY1207" s="141">
        <f t="shared" si="1594"/>
        <v>1</v>
      </c>
      <c r="AZ1207">
        <f t="shared" si="1595"/>
        <v>0</v>
      </c>
      <c r="BA1207">
        <f t="shared" si="1596"/>
        <v>1</v>
      </c>
      <c r="BB1207">
        <f t="shared" si="1597"/>
        <v>0</v>
      </c>
      <c r="BC1207">
        <f t="shared" si="1598"/>
        <v>0</v>
      </c>
      <c r="BD1207">
        <f t="shared" si="1599"/>
        <v>0</v>
      </c>
      <c r="BE1207" t="str">
        <f t="array" ref="BE1207">IF(AY1207=1,INDEX($V$7:$AL$7,MATCH(TRUE,INDEX($V1207:$AW1207&lt;&gt;0,),0)),IF(AY1207=0,INDEX($AM$7:$AW$7,MATCH(1,$AM1207:$AW1207,0)),IF(BF1207="Multiple strategies","mixed drivers",IF(BF1207="Supply chain","multiple supply","multiple silviculture"))))</f>
        <v>supply chain organization</v>
      </c>
      <c r="BF1207" s="2" t="str" cm="1">
        <f t="array" ref="BF1207">IF(COUNTIF(AZ1207:BB1207,"&lt;&gt;0")=1,INDEX($V$4:$AW$4,MATCH(TRUE,INDEX($V1207:$AW1207&lt;&gt;0,),0)),IF(COUNTIF(AZ1207:BB1207,"&lt;&gt;0")=0,INDEX($AM$4:$AW$4,MATCH(1,$AM1207:$AW1207,0)),"Multiple strategies"))</f>
        <v>Supply chain</v>
      </c>
      <c r="BG1207" s="1" t="s">
        <v>229</v>
      </c>
      <c r="BH1207" t="s">
        <v>2124</v>
      </c>
      <c r="BI1207" t="s">
        <v>2125</v>
      </c>
      <c r="BJ1207" t="s">
        <v>2126</v>
      </c>
      <c r="BK1207">
        <v>1.002</v>
      </c>
      <c r="BL1207">
        <v>1.0920000000000001</v>
      </c>
      <c r="BM1207">
        <f t="shared" si="1609"/>
        <v>1.0898203592814373</v>
      </c>
      <c r="BN1207">
        <f t="shared" si="1610"/>
        <v>9.000000000000008E-2</v>
      </c>
      <c r="BO1207">
        <f t="shared" si="1611"/>
        <v>0.39079461571862822</v>
      </c>
      <c r="BP1207" t="s">
        <v>232</v>
      </c>
      <c r="BQ1207" t="s">
        <v>2127</v>
      </c>
      <c r="BR1207" t="s">
        <v>2126</v>
      </c>
      <c r="BS1207">
        <f>0.078-0.163</f>
        <v>-8.5000000000000006E-2</v>
      </c>
      <c r="BT1207">
        <f>0.053-0.243</f>
        <v>-0.19</v>
      </c>
      <c r="BU1207" s="144">
        <f t="shared" si="1612"/>
        <v>2.2352941176470589</v>
      </c>
      <c r="BV1207">
        <f t="shared" si="1613"/>
        <v>-0.105</v>
      </c>
      <c r="BX1207" s="185">
        <f t="shared" si="1614"/>
        <v>-0.38534999999999997</v>
      </c>
      <c r="BY1207">
        <f t="shared" si="1591"/>
        <v>-0.98606783333333237</v>
      </c>
      <c r="BZ1207">
        <v>0</v>
      </c>
      <c r="CA1207">
        <v>0</v>
      </c>
      <c r="CB1207">
        <v>0</v>
      </c>
      <c r="CC1207">
        <v>0</v>
      </c>
      <c r="CD1207">
        <v>0</v>
      </c>
      <c r="CE1207">
        <v>0</v>
      </c>
      <c r="CF1207">
        <v>0</v>
      </c>
      <c r="CG1207">
        <v>0</v>
      </c>
      <c r="CH1207">
        <v>0</v>
      </c>
      <c r="CI1207">
        <v>0</v>
      </c>
      <c r="CJ1207">
        <v>0</v>
      </c>
      <c r="CK1207">
        <v>0</v>
      </c>
      <c r="CL1207">
        <v>0</v>
      </c>
      <c r="CM1207">
        <v>1</v>
      </c>
      <c r="CN1207" t="str">
        <f t="shared" si="1600"/>
        <v>refOK</v>
      </c>
      <c r="CO1207">
        <f t="shared" si="1615"/>
        <v>1.002</v>
      </c>
      <c r="CP1207">
        <f t="shared" si="1616"/>
        <v>1.0920000000000001</v>
      </c>
      <c r="CQ1207">
        <f t="shared" si="1617"/>
        <v>0.39079461571862822</v>
      </c>
      <c r="CR1207">
        <f t="shared" si="1601"/>
        <v>-8.5000000000000006E-2</v>
      </c>
      <c r="CS1207">
        <f t="shared" si="1602"/>
        <v>-0.19</v>
      </c>
      <c r="CT1207">
        <f t="shared" si="1603"/>
        <v>-0.38534999999999997</v>
      </c>
      <c r="CU1207">
        <f t="shared" si="1604"/>
        <v>-0.98606783333333237</v>
      </c>
      <c r="CV1207" s="2">
        <f t="shared" si="1605"/>
        <v>-1.2352941176470587</v>
      </c>
      <c r="CW1207" s="1" t="s">
        <v>2035</v>
      </c>
      <c r="CX1207" t="str">
        <f t="shared" si="1606"/>
        <v>reg</v>
      </c>
      <c r="CY1207" t="s">
        <v>235</v>
      </c>
      <c r="DB1207">
        <v>30</v>
      </c>
      <c r="DC1207" t="str">
        <f t="shared" si="1607"/>
        <v>1-30</v>
      </c>
      <c r="DD1207">
        <v>1</v>
      </c>
      <c r="DE1207">
        <v>0</v>
      </c>
      <c r="DF1207">
        <v>0</v>
      </c>
      <c r="DG1207">
        <v>0</v>
      </c>
      <c r="DH1207">
        <v>0</v>
      </c>
      <c r="DI1207">
        <f t="shared" si="1618"/>
        <v>1</v>
      </c>
      <c r="DJ1207" t="str">
        <f t="shared" si="1608"/>
        <v>UpstreamInput</v>
      </c>
      <c r="DK1207" t="str">
        <f t="shared" si="1582"/>
        <v>Upstream</v>
      </c>
      <c r="DL1207">
        <f t="shared" si="1583"/>
        <v>0</v>
      </c>
      <c r="DM1207">
        <f t="shared" si="1584"/>
        <v>0</v>
      </c>
      <c r="DN1207">
        <f t="shared" si="1585"/>
        <v>0</v>
      </c>
      <c r="DO1207">
        <v>0</v>
      </c>
      <c r="DP1207" s="185">
        <v>0</v>
      </c>
      <c r="DQ1207" s="190"/>
      <c r="DR1207" s="190"/>
      <c r="DS1207" s="184">
        <v>0</v>
      </c>
      <c r="DT1207"/>
      <c r="DU1207" s="143" t="str">
        <f t="shared" si="1589"/>
        <v>explicit C balance</v>
      </c>
      <c r="DV1207">
        <v>1</v>
      </c>
      <c r="DW1207">
        <v>1</v>
      </c>
      <c r="DX1207">
        <v>1</v>
      </c>
      <c r="DY1207">
        <v>0</v>
      </c>
      <c r="DZ1207">
        <v>0</v>
      </c>
      <c r="EA1207">
        <v>0</v>
      </c>
      <c r="EB1207">
        <v>0</v>
      </c>
      <c r="EC1207">
        <v>0</v>
      </c>
      <c r="ED1207">
        <v>0</v>
      </c>
      <c r="EE1207">
        <v>0</v>
      </c>
      <c r="EF1207">
        <v>1</v>
      </c>
      <c r="EG1207">
        <v>0</v>
      </c>
      <c r="EH1207">
        <v>0</v>
      </c>
      <c r="EI1207" s="2">
        <v>0</v>
      </c>
      <c r="EK1207" t="str">
        <f t="shared" si="1619"/>
        <v/>
      </c>
      <c r="EL1207" t="str">
        <f t="shared" si="1620"/>
        <v>Ecosystem approach</v>
      </c>
      <c r="EM1207" s="2" t="str">
        <f t="shared" si="1592"/>
        <v/>
      </c>
      <c r="EP1207" t="str">
        <f>IF(ISNUMBER(BU1207),IF(ABS(BU1207-[3]QC_indicators!$B$2)&gt;3*[3]QC_indicators!$C$2,"C ratio",IF(ISNUMBER(BY1207),IF(ABS(BY1207-[3]QC_indicators!$B$1)&gt;3*[3]QC_indicators!$C$1,"DF","no"))),IF(ISNUMBER(BY1207),IF(ABS(BY1207-[3]QC_indicators!$B$1)&gt;3*[3]QC_indicators!$C$1,"DF","no")))</f>
        <v>no</v>
      </c>
      <c r="ET1207" s="264" t="s">
        <v>3222</v>
      </c>
    </row>
    <row r="1208" spans="1:150" ht="15" hidden="1" customHeight="1">
      <c r="A1208" s="186" t="s">
        <v>1422</v>
      </c>
      <c r="B1208" s="185" t="s">
        <v>2115</v>
      </c>
      <c r="C1208" s="185" t="s">
        <v>2116</v>
      </c>
      <c r="D1208" s="185" t="s">
        <v>2117</v>
      </c>
      <c r="E1208" s="185" t="s">
        <v>2118</v>
      </c>
      <c r="F1208" s="185" t="s">
        <v>2119</v>
      </c>
      <c r="G1208" s="185" t="s">
        <v>1428</v>
      </c>
      <c r="H1208" s="185" t="s">
        <v>254</v>
      </c>
      <c r="I1208" s="185">
        <v>2014</v>
      </c>
      <c r="J1208" s="185">
        <v>45</v>
      </c>
      <c r="K1208" s="185" t="s">
        <v>2120</v>
      </c>
      <c r="L1208" s="185"/>
      <c r="M1208" t="str">
        <f t="shared" si="1527"/>
        <v>Pukkala_2014</v>
      </c>
      <c r="N1208" t="s">
        <v>222</v>
      </c>
      <c r="O1208" s="187" t="s">
        <v>225</v>
      </c>
      <c r="P1208" s="185" t="s">
        <v>1153</v>
      </c>
      <c r="Q1208" s="185"/>
      <c r="R1208" s="262" t="s">
        <v>223</v>
      </c>
      <c r="S1208" s="186" t="s">
        <v>2129</v>
      </c>
      <c r="T1208" s="185" t="s">
        <v>2130</v>
      </c>
      <c r="U1208" s="185" t="s">
        <v>2123</v>
      </c>
      <c r="V1208" s="185">
        <v>0</v>
      </c>
      <c r="W1208" s="185">
        <v>0</v>
      </c>
      <c r="X1208" s="185">
        <v>0</v>
      </c>
      <c r="Y1208" s="185">
        <v>1</v>
      </c>
      <c r="Z1208" s="185">
        <v>0</v>
      </c>
      <c r="AA1208" s="185">
        <v>0</v>
      </c>
      <c r="AB1208" s="185">
        <v>0</v>
      </c>
      <c r="AC1208" s="185">
        <v>0</v>
      </c>
      <c r="AD1208" s="185">
        <v>0</v>
      </c>
      <c r="AE1208" s="185">
        <v>0</v>
      </c>
      <c r="AF1208" s="185">
        <v>0</v>
      </c>
      <c r="AG1208" s="185">
        <v>0</v>
      </c>
      <c r="AH1208" s="185">
        <v>0</v>
      </c>
      <c r="AI1208" s="185">
        <v>0</v>
      </c>
      <c r="AJ1208" s="185">
        <v>0</v>
      </c>
      <c r="AK1208" s="185">
        <v>0</v>
      </c>
      <c r="AL1208" s="185">
        <v>0</v>
      </c>
      <c r="AM1208" s="185">
        <v>0</v>
      </c>
      <c r="AN1208" s="185">
        <v>0</v>
      </c>
      <c r="AO1208" s="185">
        <v>0</v>
      </c>
      <c r="AP1208" s="185">
        <v>0</v>
      </c>
      <c r="AQ1208" s="185">
        <v>0</v>
      </c>
      <c r="AR1208" s="185">
        <v>0</v>
      </c>
      <c r="AS1208" s="185">
        <v>0</v>
      </c>
      <c r="AT1208" s="185">
        <v>0</v>
      </c>
      <c r="AU1208" s="185">
        <v>0</v>
      </c>
      <c r="AV1208" s="185">
        <v>0</v>
      </c>
      <c r="AW1208" s="185">
        <v>0</v>
      </c>
      <c r="AX1208" s="141">
        <f t="shared" si="1593"/>
        <v>1</v>
      </c>
      <c r="AY1208" s="141">
        <f t="shared" si="1594"/>
        <v>1</v>
      </c>
      <c r="AZ1208">
        <f t="shared" si="1595"/>
        <v>1</v>
      </c>
      <c r="BA1208">
        <f t="shared" si="1596"/>
        <v>0</v>
      </c>
      <c r="BB1208">
        <f t="shared" si="1597"/>
        <v>0</v>
      </c>
      <c r="BC1208">
        <f t="shared" si="1598"/>
        <v>0</v>
      </c>
      <c r="BD1208">
        <f t="shared" si="1599"/>
        <v>0</v>
      </c>
      <c r="BE1208" t="str">
        <f t="array" ref="BE1208">IF(AY1208=1,INDEX($V$7:$AL$7,MATCH(TRUE,INDEX($V1208:$AW1208&lt;&gt;0,),0)),IF(AY1208=0,INDEX($AM$7:$AW$7,MATCH(1,$AM1208:$AW1208,0)),IF(BF1208="Multiple strategies","mixed drivers",IF(BF1208="Supply chain","multiple supply","multiple silviculture"))))</f>
        <v xml:space="preserve">cutting intensity </v>
      </c>
      <c r="BF1208" s="2" t="str" cm="1">
        <f t="array" ref="BF1208">IF(COUNTIF(AZ1208:BB1208,"&lt;&gt;0")=1,INDEX($V$4:$AW$4,MATCH(TRUE,INDEX($V1208:$AW1208&lt;&gt;0,),0)),IF(COUNTIF(AZ1208:BB1208,"&lt;&gt;0")=0,INDEX($AM$4:$AW$4,MATCH(1,$AM1208:$AW1208,0)),"Multiple strategies"))</f>
        <v>Silviculture for removals</v>
      </c>
      <c r="BG1208" s="186" t="s">
        <v>229</v>
      </c>
      <c r="BH1208" s="185" t="s">
        <v>2124</v>
      </c>
      <c r="BI1208" s="185" t="s">
        <v>2125</v>
      </c>
      <c r="BJ1208" s="185" t="s">
        <v>2126</v>
      </c>
      <c r="BK1208" s="185">
        <v>0.95599999999999996</v>
      </c>
      <c r="BL1208" s="185">
        <v>1.0920000000000001</v>
      </c>
      <c r="BM1208" s="185">
        <f t="shared" si="1609"/>
        <v>1.1422594142259415</v>
      </c>
      <c r="BN1208" s="185">
        <f t="shared" si="1610"/>
        <v>0.13600000000000012</v>
      </c>
      <c r="BO1208" s="185">
        <f t="shared" si="1611"/>
        <v>0.59053408597481605</v>
      </c>
      <c r="BP1208" s="185" t="s">
        <v>232</v>
      </c>
      <c r="BQ1208" s="185" t="s">
        <v>2127</v>
      </c>
      <c r="BR1208" s="185" t="s">
        <v>2126</v>
      </c>
      <c r="BS1208" s="185">
        <v>0.77500000000000002</v>
      </c>
      <c r="BT1208" s="185">
        <v>0.63800000000000001</v>
      </c>
      <c r="BU1208" s="189">
        <f t="shared" si="1612"/>
        <v>0.82322580645161292</v>
      </c>
      <c r="BV1208" s="185">
        <f t="shared" si="1613"/>
        <v>-0.13700000000000001</v>
      </c>
      <c r="BW1208" s="185"/>
      <c r="BX1208" s="185">
        <f t="shared" si="1614"/>
        <v>-0.50279000000000007</v>
      </c>
      <c r="BY1208">
        <f t="shared" si="1591"/>
        <v>-0.85141571323529341</v>
      </c>
      <c r="BZ1208" s="185">
        <v>0</v>
      </c>
      <c r="CA1208" s="185">
        <v>0</v>
      </c>
      <c r="CB1208" s="185">
        <v>0</v>
      </c>
      <c r="CC1208" s="185">
        <v>0</v>
      </c>
      <c r="CD1208" s="185">
        <v>0</v>
      </c>
      <c r="CE1208" s="185">
        <v>0</v>
      </c>
      <c r="CF1208" s="185">
        <v>0</v>
      </c>
      <c r="CG1208" s="185">
        <v>0</v>
      </c>
      <c r="CH1208" s="185">
        <v>0</v>
      </c>
      <c r="CI1208" s="185">
        <v>0</v>
      </c>
      <c r="CJ1208" s="185">
        <v>0</v>
      </c>
      <c r="CK1208" s="185">
        <v>0</v>
      </c>
      <c r="CL1208" s="185">
        <v>0</v>
      </c>
      <c r="CM1208" s="185">
        <v>1</v>
      </c>
      <c r="CN1208" s="185" t="str">
        <f t="shared" si="1600"/>
        <v>refOK</v>
      </c>
      <c r="CO1208" s="185">
        <f t="shared" si="1615"/>
        <v>0.95599999999999996</v>
      </c>
      <c r="CP1208" s="185">
        <f t="shared" si="1616"/>
        <v>1.0920000000000001</v>
      </c>
      <c r="CQ1208" s="185">
        <f t="shared" si="1617"/>
        <v>0.59053408597481605</v>
      </c>
      <c r="CR1208" s="185">
        <f t="shared" si="1601"/>
        <v>0.77500000000000002</v>
      </c>
      <c r="CS1208" s="185">
        <f t="shared" si="1602"/>
        <v>0.63800000000000001</v>
      </c>
      <c r="CT1208" s="185">
        <f t="shared" si="1603"/>
        <v>-0.50279000000000007</v>
      </c>
      <c r="CU1208">
        <f t="shared" si="1604"/>
        <v>-0.85141571323529341</v>
      </c>
      <c r="CV1208" s="188">
        <f t="shared" si="1605"/>
        <v>-0.17677419354838711</v>
      </c>
      <c r="CW1208" s="186" t="s">
        <v>2035</v>
      </c>
      <c r="CX1208" t="str">
        <f t="shared" si="1606"/>
        <v>reg</v>
      </c>
      <c r="CY1208" s="185" t="s">
        <v>235</v>
      </c>
      <c r="CZ1208" s="185"/>
      <c r="DA1208" s="185"/>
      <c r="DB1208" s="185">
        <v>30</v>
      </c>
      <c r="DC1208" t="str">
        <f t="shared" si="1607"/>
        <v>1-30</v>
      </c>
      <c r="DD1208">
        <v>1</v>
      </c>
      <c r="DE1208">
        <v>1</v>
      </c>
      <c r="DF1208">
        <v>1</v>
      </c>
      <c r="DG1208">
        <v>1</v>
      </c>
      <c r="DH1208" s="185">
        <v>0</v>
      </c>
      <c r="DI1208">
        <f t="shared" si="1618"/>
        <v>4</v>
      </c>
      <c r="DJ1208" t="str">
        <f t="shared" si="1608"/>
        <v>mixedProduct</v>
      </c>
      <c r="DK1208" t="str">
        <f t="shared" si="1582"/>
        <v>Upstream</v>
      </c>
      <c r="DL1208" t="str">
        <f t="shared" si="1583"/>
        <v>Energy</v>
      </c>
      <c r="DM1208" t="str">
        <f t="shared" si="1584"/>
        <v>Pulp/Paper</v>
      </c>
      <c r="DN1208" t="str">
        <f t="shared" si="1585"/>
        <v>Timber</v>
      </c>
      <c r="DO1208" s="185">
        <v>0</v>
      </c>
      <c r="DP1208" s="185">
        <v>1</v>
      </c>
      <c r="DQ1208" s="190" t="s">
        <v>2128</v>
      </c>
      <c r="DR1208" s="190" t="s">
        <v>2128</v>
      </c>
      <c r="DS1208" s="190">
        <v>0</v>
      </c>
      <c r="DT1208" s="185"/>
      <c r="DU1208" s="191" t="str">
        <f t="shared" si="1589"/>
        <v>external DF used</v>
      </c>
      <c r="DV1208" s="185">
        <v>1</v>
      </c>
      <c r="DW1208" s="185">
        <v>1</v>
      </c>
      <c r="DX1208" s="185">
        <v>1</v>
      </c>
      <c r="DY1208" s="185">
        <v>1</v>
      </c>
      <c r="DZ1208" s="185">
        <v>1</v>
      </c>
      <c r="EA1208" s="185">
        <v>1</v>
      </c>
      <c r="EB1208" s="185">
        <v>1</v>
      </c>
      <c r="EC1208" s="185">
        <v>1</v>
      </c>
      <c r="ED1208" s="185">
        <v>0</v>
      </c>
      <c r="EE1208" s="185">
        <v>0</v>
      </c>
      <c r="EF1208" s="185">
        <v>1</v>
      </c>
      <c r="EG1208" s="185">
        <v>0</v>
      </c>
      <c r="EH1208" s="185">
        <v>0</v>
      </c>
      <c r="EI1208" s="188">
        <v>0</v>
      </c>
      <c r="EK1208" t="str">
        <f t="shared" si="1619"/>
        <v>Whole sector</v>
      </c>
      <c r="EL1208" t="str">
        <f t="shared" si="1620"/>
        <v/>
      </c>
      <c r="EM1208" s="2" t="str">
        <f t="shared" si="1592"/>
        <v/>
      </c>
      <c r="EN1208" s="185"/>
      <c r="EO1208" s="185"/>
      <c r="EP1208" t="str">
        <f>IF(ISNUMBER(BU1208),IF(ABS(BU1208-[3]QC_indicators!$B$2)&gt;3*[3]QC_indicators!$C$2,"C ratio",IF(ISNUMBER(BY1208),IF(ABS(BY1208-[3]QC_indicators!$B$1)&gt;3*[3]QC_indicators!$C$1,"DF","no"))),IF(ISNUMBER(BY1208),IF(ABS(BY1208-[3]QC_indicators!$B$1)&gt;3*[3]QC_indicators!$C$1,"DF","no")))</f>
        <v>no</v>
      </c>
      <c r="EQ1208" s="185"/>
      <c r="ER1208" s="185"/>
      <c r="ES1208" s="185"/>
      <c r="ET1208" s="264" t="s">
        <v>3222</v>
      </c>
    </row>
    <row r="1209" spans="1:150" ht="15" hidden="1" customHeight="1">
      <c r="A1209" s="1" t="s">
        <v>1422</v>
      </c>
      <c r="B1209" t="s">
        <v>2115</v>
      </c>
      <c r="C1209" t="s">
        <v>2116</v>
      </c>
      <c r="D1209" t="s">
        <v>2117</v>
      </c>
      <c r="E1209" t="s">
        <v>2118</v>
      </c>
      <c r="F1209" t="s">
        <v>2119</v>
      </c>
      <c r="G1209" t="s">
        <v>1428</v>
      </c>
      <c r="H1209" t="s">
        <v>254</v>
      </c>
      <c r="I1209">
        <v>2014</v>
      </c>
      <c r="J1209">
        <v>45</v>
      </c>
      <c r="K1209" t="s">
        <v>2120</v>
      </c>
      <c r="M1209" t="str">
        <f t="shared" si="1527"/>
        <v>Pukkala_2014</v>
      </c>
      <c r="N1209" t="s">
        <v>222</v>
      </c>
      <c r="O1209" s="171" t="s">
        <v>225</v>
      </c>
      <c r="P1209" t="s">
        <v>1153</v>
      </c>
      <c r="R1209" s="262" t="s">
        <v>223</v>
      </c>
      <c r="S1209" s="1" t="s">
        <v>2121</v>
      </c>
      <c r="T1209" t="s">
        <v>2122</v>
      </c>
      <c r="U1209" t="s">
        <v>2123</v>
      </c>
      <c r="V1209">
        <v>0</v>
      </c>
      <c r="W1209">
        <v>0</v>
      </c>
      <c r="X1209">
        <v>0</v>
      </c>
      <c r="Y1209">
        <v>0</v>
      </c>
      <c r="Z1209">
        <v>0</v>
      </c>
      <c r="AA1209">
        <v>0</v>
      </c>
      <c r="AB1209">
        <v>0</v>
      </c>
      <c r="AC1209">
        <v>0</v>
      </c>
      <c r="AD1209">
        <v>0</v>
      </c>
      <c r="AE1209">
        <v>0</v>
      </c>
      <c r="AF1209">
        <v>1</v>
      </c>
      <c r="AG1209">
        <v>0</v>
      </c>
      <c r="AH1209">
        <v>0</v>
      </c>
      <c r="AI1209">
        <v>0</v>
      </c>
      <c r="AJ1209">
        <v>0</v>
      </c>
      <c r="AK1209">
        <v>0</v>
      </c>
      <c r="AL1209">
        <v>0</v>
      </c>
      <c r="AM1209">
        <v>0</v>
      </c>
      <c r="AN1209">
        <v>0</v>
      </c>
      <c r="AO1209">
        <v>0</v>
      </c>
      <c r="AP1209">
        <v>0</v>
      </c>
      <c r="AQ1209">
        <v>0</v>
      </c>
      <c r="AR1209">
        <v>0</v>
      </c>
      <c r="AS1209">
        <v>0</v>
      </c>
      <c r="AT1209">
        <v>0</v>
      </c>
      <c r="AU1209">
        <v>0</v>
      </c>
      <c r="AV1209">
        <v>0</v>
      </c>
      <c r="AW1209">
        <v>0</v>
      </c>
      <c r="AX1209" s="141">
        <f t="shared" si="1593"/>
        <v>1</v>
      </c>
      <c r="AY1209" s="141">
        <f t="shared" si="1594"/>
        <v>1</v>
      </c>
      <c r="AZ1209">
        <f t="shared" si="1595"/>
        <v>0</v>
      </c>
      <c r="BA1209">
        <f t="shared" si="1596"/>
        <v>1</v>
      </c>
      <c r="BB1209">
        <f t="shared" si="1597"/>
        <v>0</v>
      </c>
      <c r="BC1209">
        <f t="shared" si="1598"/>
        <v>0</v>
      </c>
      <c r="BD1209">
        <f t="shared" si="1599"/>
        <v>0</v>
      </c>
      <c r="BE1209" t="str">
        <f t="array" ref="BE1209">IF(AY1209=1,INDEX($V$7:$AL$7,MATCH(TRUE,INDEX($V1209:$AW1209&lt;&gt;0,),0)),IF(AY1209=0,INDEX($AM$7:$AW$7,MATCH(1,$AM1209:$AW1209,0)),IF(BF1209="Multiple strategies","mixed drivers",IF(BF1209="Supply chain","multiple supply","multiple silviculture"))))</f>
        <v>supply chain organization</v>
      </c>
      <c r="BF1209" s="2" t="str" cm="1">
        <f t="array" ref="BF1209">IF(COUNTIF(AZ1209:BB1209,"&lt;&gt;0")=1,INDEX($V$4:$AW$4,MATCH(TRUE,INDEX($V1209:$AW1209&lt;&gt;0,),0)),IF(COUNTIF(AZ1209:BB1209,"&lt;&gt;0")=0,INDEX($AM$4:$AW$4,MATCH(1,$AM1209:$AW1209,0)),"Multiple strategies"))</f>
        <v>Supply chain</v>
      </c>
      <c r="BG1209" s="1" t="s">
        <v>229</v>
      </c>
      <c r="BH1209" t="s">
        <v>2124</v>
      </c>
      <c r="BI1209" t="s">
        <v>2125</v>
      </c>
      <c r="BJ1209" t="s">
        <v>2126</v>
      </c>
      <c r="BK1209">
        <v>1.004</v>
      </c>
      <c r="BL1209">
        <v>1.0920000000000001</v>
      </c>
      <c r="BM1209">
        <f t="shared" si="1609"/>
        <v>1.0876494023904384</v>
      </c>
      <c r="BN1209">
        <f t="shared" si="1610"/>
        <v>8.8000000000000078E-2</v>
      </c>
      <c r="BO1209">
        <f t="shared" si="1611"/>
        <v>0.38211029092488097</v>
      </c>
      <c r="BP1209" t="s">
        <v>232</v>
      </c>
      <c r="BQ1209" t="s">
        <v>2127</v>
      </c>
      <c r="BR1209" t="s">
        <v>2126</v>
      </c>
      <c r="BS1209">
        <v>0.72399999999999998</v>
      </c>
      <c r="BT1209">
        <v>0.63800000000000001</v>
      </c>
      <c r="BU1209" s="144">
        <f t="shared" si="1612"/>
        <v>0.88121546961325969</v>
      </c>
      <c r="BV1209">
        <f t="shared" si="1613"/>
        <v>-8.5999999999999965E-2</v>
      </c>
      <c r="BX1209" s="185">
        <f t="shared" si="1614"/>
        <v>-0.31561999999999985</v>
      </c>
      <c r="BY1209">
        <f t="shared" si="1591"/>
        <v>-0.82599188636363519</v>
      </c>
      <c r="BZ1209">
        <v>0</v>
      </c>
      <c r="CA1209">
        <v>0</v>
      </c>
      <c r="CB1209">
        <v>0</v>
      </c>
      <c r="CC1209">
        <v>0</v>
      </c>
      <c r="CD1209">
        <v>0</v>
      </c>
      <c r="CE1209">
        <v>0</v>
      </c>
      <c r="CF1209">
        <v>0</v>
      </c>
      <c r="CG1209">
        <v>0</v>
      </c>
      <c r="CH1209">
        <v>0</v>
      </c>
      <c r="CI1209">
        <v>0</v>
      </c>
      <c r="CJ1209">
        <v>0</v>
      </c>
      <c r="CK1209">
        <v>0</v>
      </c>
      <c r="CL1209">
        <v>0</v>
      </c>
      <c r="CM1209">
        <v>1</v>
      </c>
      <c r="CN1209" t="str">
        <f t="shared" si="1600"/>
        <v>refOK</v>
      </c>
      <c r="CO1209">
        <f t="shared" si="1615"/>
        <v>1.004</v>
      </c>
      <c r="CP1209">
        <f t="shared" si="1616"/>
        <v>1.0920000000000001</v>
      </c>
      <c r="CQ1209">
        <f t="shared" si="1617"/>
        <v>0.38211029092488097</v>
      </c>
      <c r="CR1209">
        <f t="shared" si="1601"/>
        <v>0.72399999999999998</v>
      </c>
      <c r="CS1209">
        <f t="shared" si="1602"/>
        <v>0.63800000000000001</v>
      </c>
      <c r="CT1209">
        <f t="shared" si="1603"/>
        <v>-0.31561999999999985</v>
      </c>
      <c r="CU1209">
        <f t="shared" si="1604"/>
        <v>-0.82599188636363519</v>
      </c>
      <c r="CV1209" s="2">
        <f t="shared" si="1605"/>
        <v>-0.11878453038674029</v>
      </c>
      <c r="CW1209" s="1" t="s">
        <v>2035</v>
      </c>
      <c r="CX1209" t="str">
        <f t="shared" si="1606"/>
        <v>reg</v>
      </c>
      <c r="CY1209" t="s">
        <v>235</v>
      </c>
      <c r="DB1209">
        <v>30</v>
      </c>
      <c r="DC1209" t="str">
        <f t="shared" si="1607"/>
        <v>1-30</v>
      </c>
      <c r="DD1209">
        <v>1</v>
      </c>
      <c r="DE1209">
        <v>1</v>
      </c>
      <c r="DF1209">
        <v>1</v>
      </c>
      <c r="DG1209">
        <v>1</v>
      </c>
      <c r="DH1209">
        <v>0</v>
      </c>
      <c r="DI1209">
        <f t="shared" si="1618"/>
        <v>4</v>
      </c>
      <c r="DJ1209" t="str">
        <f t="shared" si="1608"/>
        <v>mixedProduct</v>
      </c>
      <c r="DK1209" t="str">
        <f t="shared" si="1582"/>
        <v>Upstream</v>
      </c>
      <c r="DL1209" t="str">
        <f t="shared" si="1583"/>
        <v>Energy</v>
      </c>
      <c r="DM1209" t="str">
        <f t="shared" si="1584"/>
        <v>Pulp/Paper</v>
      </c>
      <c r="DN1209" t="str">
        <f t="shared" si="1585"/>
        <v>Timber</v>
      </c>
      <c r="DO1209">
        <v>0</v>
      </c>
      <c r="DP1209">
        <v>1</v>
      </c>
      <c r="DQ1209" s="184" t="s">
        <v>2128</v>
      </c>
      <c r="DR1209" s="184" t="s">
        <v>2128</v>
      </c>
      <c r="DS1209" s="184">
        <v>0</v>
      </c>
      <c r="DT1209"/>
      <c r="DU1209" s="143" t="str">
        <f t="shared" si="1589"/>
        <v>external DF used</v>
      </c>
      <c r="DV1209">
        <v>1</v>
      </c>
      <c r="DW1209">
        <v>1</v>
      </c>
      <c r="DX1209">
        <v>1</v>
      </c>
      <c r="DY1209">
        <v>1</v>
      </c>
      <c r="DZ1209">
        <v>1</v>
      </c>
      <c r="EA1209" s="185">
        <v>1</v>
      </c>
      <c r="EB1209">
        <v>1</v>
      </c>
      <c r="EC1209">
        <v>1</v>
      </c>
      <c r="ED1209" s="185">
        <v>0</v>
      </c>
      <c r="EE1209">
        <v>0</v>
      </c>
      <c r="EF1209">
        <v>1</v>
      </c>
      <c r="EG1209">
        <v>0</v>
      </c>
      <c r="EH1209">
        <v>0</v>
      </c>
      <c r="EI1209" s="2">
        <v>0</v>
      </c>
      <c r="EK1209" t="str">
        <f t="shared" si="1619"/>
        <v>Whole sector</v>
      </c>
      <c r="EL1209" t="str">
        <f t="shared" si="1620"/>
        <v/>
      </c>
      <c r="EM1209" s="2" t="str">
        <f t="shared" si="1592"/>
        <v/>
      </c>
      <c r="EP1209" t="str">
        <f>IF(ISNUMBER(BU1209),IF(ABS(BU1209-[3]QC_indicators!$B$2)&gt;3*[3]QC_indicators!$C$2,"C ratio",IF(ISNUMBER(BY1209),IF(ABS(BY1209-[3]QC_indicators!$B$1)&gt;3*[3]QC_indicators!$C$1,"DF","no"))),IF(ISNUMBER(BY1209),IF(ABS(BY1209-[3]QC_indicators!$B$1)&gt;3*[3]QC_indicators!$C$1,"DF","no")))</f>
        <v>no</v>
      </c>
      <c r="ET1209" s="264" t="s">
        <v>3222</v>
      </c>
    </row>
    <row r="1210" spans="1:150" ht="15" hidden="1" customHeight="1">
      <c r="A1210" s="1" t="s">
        <v>1422</v>
      </c>
      <c r="B1210" t="s">
        <v>2115</v>
      </c>
      <c r="C1210" t="s">
        <v>2116</v>
      </c>
      <c r="D1210" t="s">
        <v>2117</v>
      </c>
      <c r="E1210" t="s">
        <v>2118</v>
      </c>
      <c r="F1210" t="s">
        <v>2119</v>
      </c>
      <c r="G1210" t="s">
        <v>1428</v>
      </c>
      <c r="H1210" t="s">
        <v>254</v>
      </c>
      <c r="I1210">
        <v>2014</v>
      </c>
      <c r="J1210">
        <v>45</v>
      </c>
      <c r="K1210" t="s">
        <v>2120</v>
      </c>
      <c r="M1210" t="str">
        <f t="shared" si="1527"/>
        <v>Pukkala_2014</v>
      </c>
      <c r="N1210" t="s">
        <v>222</v>
      </c>
      <c r="O1210" s="171" t="s">
        <v>225</v>
      </c>
      <c r="P1210" t="s">
        <v>1153</v>
      </c>
      <c r="R1210" s="262" t="s">
        <v>223</v>
      </c>
      <c r="S1210" s="1" t="s">
        <v>2131</v>
      </c>
      <c r="T1210" t="s">
        <v>2132</v>
      </c>
      <c r="U1210" t="s">
        <v>2123</v>
      </c>
      <c r="V1210">
        <v>0</v>
      </c>
      <c r="W1210">
        <v>0</v>
      </c>
      <c r="X1210">
        <v>0</v>
      </c>
      <c r="Y1210">
        <v>0</v>
      </c>
      <c r="Z1210">
        <v>0</v>
      </c>
      <c r="AA1210">
        <v>0</v>
      </c>
      <c r="AB1210">
        <v>0</v>
      </c>
      <c r="AC1210">
        <v>0</v>
      </c>
      <c r="AD1210">
        <v>0</v>
      </c>
      <c r="AE1210">
        <v>0</v>
      </c>
      <c r="AF1210">
        <v>1</v>
      </c>
      <c r="AG1210">
        <v>0</v>
      </c>
      <c r="AH1210">
        <v>0</v>
      </c>
      <c r="AI1210">
        <v>0</v>
      </c>
      <c r="AJ1210">
        <v>0</v>
      </c>
      <c r="AK1210">
        <v>0</v>
      </c>
      <c r="AL1210">
        <v>0</v>
      </c>
      <c r="AM1210">
        <v>0</v>
      </c>
      <c r="AN1210">
        <v>0</v>
      </c>
      <c r="AO1210">
        <v>0</v>
      </c>
      <c r="AP1210">
        <v>0</v>
      </c>
      <c r="AQ1210">
        <v>0</v>
      </c>
      <c r="AR1210">
        <v>0</v>
      </c>
      <c r="AS1210">
        <v>0</v>
      </c>
      <c r="AT1210">
        <v>0</v>
      </c>
      <c r="AU1210">
        <v>0</v>
      </c>
      <c r="AV1210">
        <v>0</v>
      </c>
      <c r="AW1210">
        <v>0</v>
      </c>
      <c r="AX1210" s="141">
        <f t="shared" si="1593"/>
        <v>1</v>
      </c>
      <c r="AY1210" s="141">
        <f t="shared" si="1594"/>
        <v>1</v>
      </c>
      <c r="AZ1210">
        <f t="shared" si="1595"/>
        <v>0</v>
      </c>
      <c r="BA1210">
        <f t="shared" si="1596"/>
        <v>1</v>
      </c>
      <c r="BB1210">
        <f t="shared" si="1597"/>
        <v>0</v>
      </c>
      <c r="BC1210">
        <f t="shared" si="1598"/>
        <v>0</v>
      </c>
      <c r="BD1210">
        <f t="shared" si="1599"/>
        <v>0</v>
      </c>
      <c r="BE1210" t="str">
        <f t="array" ref="BE1210">IF(AY1210=1,INDEX($V$7:$AL$7,MATCH(TRUE,INDEX($V1210:$AW1210&lt;&gt;0,),0)),IF(AY1210=0,INDEX($AM$7:$AW$7,MATCH(1,$AM1210:$AW1210,0)),IF(BF1210="Multiple strategies","mixed drivers",IF(BF1210="Supply chain","multiple supply","multiple silviculture"))))</f>
        <v>supply chain organization</v>
      </c>
      <c r="BF1210" s="2" t="str" cm="1">
        <f t="array" ref="BF1210">IF(COUNTIF(AZ1210:BB1210,"&lt;&gt;0")=1,INDEX($V$4:$AW$4,MATCH(TRUE,INDEX($V1210:$AW1210&lt;&gt;0,),0)),IF(COUNTIF(AZ1210:BB1210,"&lt;&gt;0")=0,INDEX($AM$4:$AW$4,MATCH(1,$AM1210:$AW1210,0)),"Multiple strategies"))</f>
        <v>Supply chain</v>
      </c>
      <c r="BG1210" s="1" t="s">
        <v>229</v>
      </c>
      <c r="BH1210" t="s">
        <v>2124</v>
      </c>
      <c r="BI1210" t="s">
        <v>2125</v>
      </c>
      <c r="BJ1210" t="s">
        <v>2126</v>
      </c>
      <c r="BK1210">
        <v>1.002</v>
      </c>
      <c r="BL1210">
        <v>1.0920000000000001</v>
      </c>
      <c r="BM1210">
        <f t="shared" si="1609"/>
        <v>1.0898203592814373</v>
      </c>
      <c r="BN1210">
        <f t="shared" si="1610"/>
        <v>9.000000000000008E-2</v>
      </c>
      <c r="BO1210">
        <f t="shared" si="1611"/>
        <v>0.39079461571862822</v>
      </c>
      <c r="BP1210" t="s">
        <v>232</v>
      </c>
      <c r="BQ1210" t="s">
        <v>2127</v>
      </c>
      <c r="BR1210" t="s">
        <v>2126</v>
      </c>
      <c r="BS1210">
        <v>7.8E-2</v>
      </c>
      <c r="BT1210">
        <v>5.2999999999999999E-2</v>
      </c>
      <c r="BU1210" s="144">
        <f t="shared" si="1612"/>
        <v>0.67948717948717952</v>
      </c>
      <c r="BV1210">
        <f t="shared" si="1613"/>
        <v>-2.5000000000000001E-2</v>
      </c>
      <c r="BX1210" s="185">
        <f t="shared" si="1614"/>
        <v>-9.1749999999999998E-2</v>
      </c>
      <c r="BY1210">
        <f t="shared" si="1591"/>
        <v>-0.23477805555555534</v>
      </c>
      <c r="BZ1210">
        <v>0</v>
      </c>
      <c r="CA1210">
        <v>0</v>
      </c>
      <c r="CB1210">
        <v>0</v>
      </c>
      <c r="CC1210">
        <v>0</v>
      </c>
      <c r="CD1210">
        <v>0</v>
      </c>
      <c r="CE1210">
        <v>0</v>
      </c>
      <c r="CF1210">
        <v>0</v>
      </c>
      <c r="CG1210">
        <v>0</v>
      </c>
      <c r="CH1210">
        <v>0</v>
      </c>
      <c r="CI1210">
        <v>0</v>
      </c>
      <c r="CJ1210">
        <v>0</v>
      </c>
      <c r="CK1210">
        <v>0</v>
      </c>
      <c r="CL1210">
        <v>0</v>
      </c>
      <c r="CM1210">
        <v>1</v>
      </c>
      <c r="CN1210" t="str">
        <f t="shared" si="1600"/>
        <v>refOK</v>
      </c>
      <c r="CO1210">
        <f t="shared" si="1615"/>
        <v>1.002</v>
      </c>
      <c r="CP1210">
        <f t="shared" si="1616"/>
        <v>1.0920000000000001</v>
      </c>
      <c r="CQ1210">
        <f t="shared" si="1617"/>
        <v>0.39079461571862822</v>
      </c>
      <c r="CR1210">
        <f t="shared" si="1601"/>
        <v>7.8E-2</v>
      </c>
      <c r="CS1210">
        <f t="shared" si="1602"/>
        <v>5.2999999999999999E-2</v>
      </c>
      <c r="CT1210">
        <f t="shared" si="1603"/>
        <v>-9.1749999999999998E-2</v>
      </c>
      <c r="CU1210">
        <f t="shared" si="1604"/>
        <v>-0.23477805555555534</v>
      </c>
      <c r="CV1210" s="2">
        <f t="shared" si="1605"/>
        <v>-0.32051282051282054</v>
      </c>
      <c r="CW1210" s="1" t="s">
        <v>2035</v>
      </c>
      <c r="CX1210" t="str">
        <f t="shared" si="1606"/>
        <v>reg</v>
      </c>
      <c r="CY1210" t="s">
        <v>235</v>
      </c>
      <c r="DB1210">
        <v>30</v>
      </c>
      <c r="DC1210" t="str">
        <f t="shared" si="1607"/>
        <v>1-30</v>
      </c>
      <c r="DD1210">
        <v>1</v>
      </c>
      <c r="DE1210">
        <v>0</v>
      </c>
      <c r="DF1210">
        <v>0</v>
      </c>
      <c r="DG1210">
        <v>0</v>
      </c>
      <c r="DH1210">
        <v>0</v>
      </c>
      <c r="DI1210">
        <f t="shared" si="1618"/>
        <v>1</v>
      </c>
      <c r="DJ1210" t="str">
        <f t="shared" si="1608"/>
        <v>UpstreamInput</v>
      </c>
      <c r="DK1210" t="str">
        <f t="shared" si="1582"/>
        <v>Upstream</v>
      </c>
      <c r="DL1210">
        <f t="shared" si="1583"/>
        <v>0</v>
      </c>
      <c r="DM1210">
        <f t="shared" si="1584"/>
        <v>0</v>
      </c>
      <c r="DN1210">
        <f t="shared" si="1585"/>
        <v>0</v>
      </c>
      <c r="DO1210">
        <v>0</v>
      </c>
      <c r="DP1210" s="185">
        <v>0</v>
      </c>
      <c r="DQ1210" s="190"/>
      <c r="DR1210" s="190"/>
      <c r="DS1210" s="184">
        <v>0</v>
      </c>
      <c r="DT1210"/>
      <c r="DU1210" s="143" t="str">
        <f t="shared" si="1589"/>
        <v>explicit C balance</v>
      </c>
      <c r="DV1210">
        <v>1</v>
      </c>
      <c r="DW1210">
        <v>1</v>
      </c>
      <c r="DX1210">
        <v>1</v>
      </c>
      <c r="DY1210">
        <v>1</v>
      </c>
      <c r="DZ1210">
        <v>1</v>
      </c>
      <c r="EA1210">
        <v>0</v>
      </c>
      <c r="EB1210">
        <v>0</v>
      </c>
      <c r="EC1210">
        <v>0</v>
      </c>
      <c r="ED1210">
        <v>0</v>
      </c>
      <c r="EE1210">
        <v>0</v>
      </c>
      <c r="EF1210">
        <v>1</v>
      </c>
      <c r="EG1210">
        <v>0</v>
      </c>
      <c r="EH1210">
        <v>0</v>
      </c>
      <c r="EI1210" s="2">
        <v>0</v>
      </c>
      <c r="EK1210" t="str">
        <f t="shared" si="1619"/>
        <v/>
      </c>
      <c r="EL1210" t="str">
        <f t="shared" si="1620"/>
        <v>Ecosystem approach</v>
      </c>
      <c r="EM1210" s="2" t="str">
        <f t="shared" si="1592"/>
        <v/>
      </c>
      <c r="EP1210" t="str">
        <f>IF(ISNUMBER(BU1210),IF(ABS(BU1210-[3]QC_indicators!$B$2)&gt;3*[3]QC_indicators!$C$2,"C ratio",IF(ISNUMBER(BY1210),IF(ABS(BY1210-[3]QC_indicators!$B$1)&gt;3*[3]QC_indicators!$C$1,"DF","no"))),IF(ISNUMBER(BY1210),IF(ABS(BY1210-[3]QC_indicators!$B$1)&gt;3*[3]QC_indicators!$C$1,"DF","no")))</f>
        <v>no</v>
      </c>
      <c r="ET1210" s="264" t="s">
        <v>3222</v>
      </c>
    </row>
    <row r="1211" spans="1:150" ht="15" hidden="1" customHeight="1">
      <c r="A1211" s="186" t="s">
        <v>1422</v>
      </c>
      <c r="B1211" s="185" t="s">
        <v>2115</v>
      </c>
      <c r="C1211" s="185" t="s">
        <v>2116</v>
      </c>
      <c r="D1211" s="185" t="s">
        <v>2117</v>
      </c>
      <c r="E1211" s="185" t="s">
        <v>2118</v>
      </c>
      <c r="F1211" s="185" t="s">
        <v>2119</v>
      </c>
      <c r="G1211" s="185" t="s">
        <v>1428</v>
      </c>
      <c r="H1211" s="185" t="s">
        <v>254</v>
      </c>
      <c r="I1211" s="185">
        <v>2014</v>
      </c>
      <c r="J1211" s="185">
        <v>45</v>
      </c>
      <c r="K1211" s="185" t="s">
        <v>2120</v>
      </c>
      <c r="L1211" s="185"/>
      <c r="M1211" t="str">
        <f t="shared" si="1527"/>
        <v>Pukkala_2014</v>
      </c>
      <c r="N1211" t="s">
        <v>222</v>
      </c>
      <c r="O1211" s="187" t="s">
        <v>225</v>
      </c>
      <c r="P1211" s="185" t="s">
        <v>1153</v>
      </c>
      <c r="Q1211" s="185"/>
      <c r="R1211" s="262" t="s">
        <v>223</v>
      </c>
      <c r="S1211" s="186" t="s">
        <v>2129</v>
      </c>
      <c r="T1211" s="185" t="s">
        <v>2122</v>
      </c>
      <c r="U1211" s="185" t="s">
        <v>2133</v>
      </c>
      <c r="V1211" s="185">
        <v>0</v>
      </c>
      <c r="W1211" s="185">
        <v>0</v>
      </c>
      <c r="X1211" s="185">
        <v>0</v>
      </c>
      <c r="Y1211" s="185">
        <v>1</v>
      </c>
      <c r="Z1211" s="185">
        <v>0</v>
      </c>
      <c r="AA1211" s="185">
        <v>0</v>
      </c>
      <c r="AB1211" s="185">
        <v>0</v>
      </c>
      <c r="AC1211" s="185">
        <v>0</v>
      </c>
      <c r="AD1211" s="185">
        <v>0</v>
      </c>
      <c r="AE1211" s="185">
        <v>0</v>
      </c>
      <c r="AF1211" s="185">
        <v>0</v>
      </c>
      <c r="AG1211" s="185">
        <v>0</v>
      </c>
      <c r="AH1211" s="185">
        <v>0</v>
      </c>
      <c r="AI1211" s="185">
        <v>0</v>
      </c>
      <c r="AJ1211" s="185">
        <v>0</v>
      </c>
      <c r="AK1211" s="185">
        <v>0</v>
      </c>
      <c r="AL1211" s="185">
        <v>0</v>
      </c>
      <c r="AM1211" s="185">
        <v>0</v>
      </c>
      <c r="AN1211" s="185">
        <v>0</v>
      </c>
      <c r="AO1211" s="185">
        <v>0</v>
      </c>
      <c r="AP1211" s="185">
        <v>0</v>
      </c>
      <c r="AQ1211" s="185">
        <v>0</v>
      </c>
      <c r="AR1211" s="185">
        <v>0</v>
      </c>
      <c r="AS1211" s="185">
        <v>0</v>
      </c>
      <c r="AT1211" s="185">
        <v>0</v>
      </c>
      <c r="AU1211" s="185">
        <v>0</v>
      </c>
      <c r="AV1211" s="185">
        <v>0</v>
      </c>
      <c r="AW1211" s="185">
        <v>0</v>
      </c>
      <c r="AX1211" s="141">
        <f t="shared" si="1593"/>
        <v>1</v>
      </c>
      <c r="AY1211" s="141">
        <f t="shared" si="1594"/>
        <v>1</v>
      </c>
      <c r="AZ1211">
        <f t="shared" si="1595"/>
        <v>1</v>
      </c>
      <c r="BA1211">
        <f t="shared" si="1596"/>
        <v>0</v>
      </c>
      <c r="BB1211">
        <f t="shared" si="1597"/>
        <v>0</v>
      </c>
      <c r="BC1211">
        <f t="shared" si="1598"/>
        <v>0</v>
      </c>
      <c r="BD1211">
        <f t="shared" si="1599"/>
        <v>0</v>
      </c>
      <c r="BE1211" t="str">
        <f t="array" ref="BE1211">IF(AY1211=1,INDEX($V$7:$AL$7,MATCH(TRUE,INDEX($V1211:$AW1211&lt;&gt;0,),0)),IF(AY1211=0,INDEX($AM$7:$AW$7,MATCH(1,$AM1211:$AW1211,0)),IF(BF1211="Multiple strategies","mixed drivers",IF(BF1211="Supply chain","multiple supply","multiple silviculture"))))</f>
        <v xml:space="preserve">cutting intensity </v>
      </c>
      <c r="BF1211" s="2" t="str" cm="1">
        <f t="array" ref="BF1211">IF(COUNTIF(AZ1211:BB1211,"&lt;&gt;0")=1,INDEX($V$4:$AW$4,MATCH(TRUE,INDEX($V1211:$AW1211&lt;&gt;0,),0)),IF(COUNTIF(AZ1211:BB1211,"&lt;&gt;0")=0,INDEX($AM$4:$AW$4,MATCH(1,$AM1211:$AW1211,0)),"Multiple strategies"))</f>
        <v>Silviculture for removals</v>
      </c>
      <c r="BG1211" s="186" t="s">
        <v>229</v>
      </c>
      <c r="BH1211" s="185" t="s">
        <v>2124</v>
      </c>
      <c r="BI1211" s="185" t="s">
        <v>2125</v>
      </c>
      <c r="BJ1211" s="185" t="s">
        <v>2126</v>
      </c>
      <c r="BK1211" s="185">
        <v>1.004</v>
      </c>
      <c r="BL1211" s="185">
        <v>1.0269999999999999</v>
      </c>
      <c r="BM1211" s="185">
        <f t="shared" si="1609"/>
        <v>1.0229083665338645</v>
      </c>
      <c r="BN1211" s="185">
        <f t="shared" si="1610"/>
        <v>2.2999999999999909E-2</v>
      </c>
      <c r="BO1211" s="185">
        <f t="shared" si="1611"/>
        <v>9.9869735128093398E-2</v>
      </c>
      <c r="BP1211" s="185" t="s">
        <v>232</v>
      </c>
      <c r="BQ1211" s="185" t="s">
        <v>2127</v>
      </c>
      <c r="BR1211" s="185" t="s">
        <v>2126</v>
      </c>
      <c r="BS1211" s="185">
        <f>0.194-0.202</f>
        <v>-8.0000000000000071E-3</v>
      </c>
      <c r="BT1211" s="185">
        <f>0.224-0.221</f>
        <v>3.0000000000000027E-3</v>
      </c>
      <c r="BU1211" s="189">
        <f t="shared" si="1612"/>
        <v>-0.375</v>
      </c>
      <c r="BV1211" s="185">
        <f t="shared" si="1613"/>
        <v>1.100000000000001E-2</v>
      </c>
      <c r="BW1211" s="185"/>
      <c r="BX1211" s="185">
        <f t="shared" si="1614"/>
        <v>4.0370000000000038E-2</v>
      </c>
      <c r="BY1211">
        <f t="shared" si="1591"/>
        <v>0.40422656521739325</v>
      </c>
      <c r="BZ1211" s="185">
        <v>0</v>
      </c>
      <c r="CA1211" s="185">
        <v>0</v>
      </c>
      <c r="CB1211" s="185">
        <v>0</v>
      </c>
      <c r="CC1211" s="185">
        <v>0</v>
      </c>
      <c r="CD1211" s="185">
        <v>0</v>
      </c>
      <c r="CE1211" s="185">
        <v>0</v>
      </c>
      <c r="CF1211" s="185">
        <v>0</v>
      </c>
      <c r="CG1211" s="185">
        <v>0</v>
      </c>
      <c r="CH1211" s="185">
        <v>0</v>
      </c>
      <c r="CI1211" s="185">
        <v>0</v>
      </c>
      <c r="CJ1211" s="185">
        <v>0</v>
      </c>
      <c r="CK1211" s="185">
        <v>0</v>
      </c>
      <c r="CL1211" s="185">
        <v>0</v>
      </c>
      <c r="CM1211" s="185">
        <v>1</v>
      </c>
      <c r="CN1211" s="185" t="str">
        <f t="shared" si="1600"/>
        <v>refOK</v>
      </c>
      <c r="CO1211" s="185">
        <f t="shared" si="1615"/>
        <v>1.004</v>
      </c>
      <c r="CP1211" s="185">
        <f t="shared" si="1616"/>
        <v>1.0269999999999999</v>
      </c>
      <c r="CQ1211" s="185">
        <f t="shared" si="1617"/>
        <v>9.9869735128093398E-2</v>
      </c>
      <c r="CR1211" s="185">
        <f t="shared" si="1601"/>
        <v>-8.0000000000000071E-3</v>
      </c>
      <c r="CS1211" s="185">
        <f t="shared" si="1602"/>
        <v>3.0000000000000027E-3</v>
      </c>
      <c r="CT1211" s="185">
        <f t="shared" si="1603"/>
        <v>4.0370000000000038E-2</v>
      </c>
      <c r="CU1211">
        <f t="shared" si="1604"/>
        <v>0.40422656521739325</v>
      </c>
      <c r="CV1211" s="188">
        <f t="shared" si="1605"/>
        <v>1.375</v>
      </c>
      <c r="CW1211" s="186" t="s">
        <v>2035</v>
      </c>
      <c r="CX1211" t="str">
        <f t="shared" si="1606"/>
        <v>reg</v>
      </c>
      <c r="CY1211" s="185" t="s">
        <v>235</v>
      </c>
      <c r="CZ1211" s="185"/>
      <c r="DA1211" s="185"/>
      <c r="DB1211" s="185">
        <v>30</v>
      </c>
      <c r="DC1211" t="str">
        <f t="shared" si="1607"/>
        <v>1-30</v>
      </c>
      <c r="DD1211" s="185">
        <v>1</v>
      </c>
      <c r="DE1211" s="185">
        <v>0</v>
      </c>
      <c r="DF1211" s="185">
        <v>0</v>
      </c>
      <c r="DG1211" s="185">
        <v>0</v>
      </c>
      <c r="DH1211" s="185">
        <v>0</v>
      </c>
      <c r="DI1211">
        <f t="shared" si="1618"/>
        <v>1</v>
      </c>
      <c r="DJ1211" t="str">
        <f t="shared" si="1608"/>
        <v>UpstreamInput</v>
      </c>
      <c r="DK1211" t="str">
        <f t="shared" si="1582"/>
        <v>Upstream</v>
      </c>
      <c r="DL1211">
        <f t="shared" si="1583"/>
        <v>0</v>
      </c>
      <c r="DM1211">
        <f t="shared" si="1584"/>
        <v>0</v>
      </c>
      <c r="DN1211">
        <f t="shared" si="1585"/>
        <v>0</v>
      </c>
      <c r="DO1211" s="185">
        <v>0</v>
      </c>
      <c r="DP1211" s="185">
        <v>0</v>
      </c>
      <c r="DQ1211" s="190"/>
      <c r="DR1211" s="190"/>
      <c r="DS1211" s="190">
        <v>0</v>
      </c>
      <c r="DT1211" s="185"/>
      <c r="DU1211" s="191" t="str">
        <f t="shared" si="1589"/>
        <v>explicit C balance</v>
      </c>
      <c r="DV1211" s="185">
        <v>1</v>
      </c>
      <c r="DW1211" s="185">
        <v>1</v>
      </c>
      <c r="DX1211" s="185">
        <v>1</v>
      </c>
      <c r="DY1211" s="185">
        <v>0</v>
      </c>
      <c r="DZ1211" s="185">
        <v>0</v>
      </c>
      <c r="EA1211" s="185">
        <v>0</v>
      </c>
      <c r="EB1211" s="185">
        <v>0</v>
      </c>
      <c r="EC1211" s="185">
        <v>0</v>
      </c>
      <c r="ED1211" s="185">
        <v>0</v>
      </c>
      <c r="EE1211" s="185">
        <v>0</v>
      </c>
      <c r="EF1211" s="185">
        <v>1</v>
      </c>
      <c r="EG1211" s="185">
        <v>0</v>
      </c>
      <c r="EH1211" s="185">
        <v>0</v>
      </c>
      <c r="EI1211" s="188">
        <v>0</v>
      </c>
      <c r="EK1211" t="str">
        <f t="shared" si="1619"/>
        <v/>
      </c>
      <c r="EL1211" t="str">
        <f t="shared" si="1620"/>
        <v>Ecosystem approach</v>
      </c>
      <c r="EM1211" s="2" t="str">
        <f t="shared" si="1592"/>
        <v/>
      </c>
      <c r="EN1211" s="185"/>
      <c r="EO1211" s="185"/>
      <c r="EP1211" t="str">
        <f>IF(ISNUMBER(BU1211),IF(ABS(BU1211-[3]QC_indicators!$B$2)&gt;3*[3]QC_indicators!$C$2,"C ratio",IF(ISNUMBER(BY1211),IF(ABS(BY1211-[3]QC_indicators!$B$1)&gt;3*[3]QC_indicators!$C$1,"DF","no"))),IF(ISNUMBER(BY1211),IF(ABS(BY1211-[3]QC_indicators!$B$1)&gt;3*[3]QC_indicators!$C$1,"DF","no")))</f>
        <v>no</v>
      </c>
      <c r="EQ1211" s="185"/>
      <c r="ER1211" s="185"/>
      <c r="ES1211" s="185"/>
      <c r="ET1211" s="264" t="s">
        <v>3222</v>
      </c>
    </row>
    <row r="1212" spans="1:150" ht="15" hidden="1" customHeight="1">
      <c r="A1212" s="1" t="s">
        <v>1422</v>
      </c>
      <c r="B1212" t="s">
        <v>2115</v>
      </c>
      <c r="C1212" t="s">
        <v>2116</v>
      </c>
      <c r="D1212" t="s">
        <v>2117</v>
      </c>
      <c r="E1212" t="s">
        <v>2118</v>
      </c>
      <c r="F1212" t="s">
        <v>2119</v>
      </c>
      <c r="G1212" t="s">
        <v>1428</v>
      </c>
      <c r="H1212" t="s">
        <v>254</v>
      </c>
      <c r="I1212">
        <v>2014</v>
      </c>
      <c r="J1212">
        <v>45</v>
      </c>
      <c r="K1212" t="s">
        <v>2120</v>
      </c>
      <c r="M1212" t="str">
        <f t="shared" si="1527"/>
        <v>Pukkala_2014</v>
      </c>
      <c r="N1212" t="s">
        <v>222</v>
      </c>
      <c r="O1212" s="171" t="s">
        <v>225</v>
      </c>
      <c r="P1212" t="s">
        <v>1153</v>
      </c>
      <c r="R1212" s="262" t="s">
        <v>223</v>
      </c>
      <c r="S1212" s="1" t="s">
        <v>2131</v>
      </c>
      <c r="T1212" t="s">
        <v>2132</v>
      </c>
      <c r="U1212" t="s">
        <v>2123</v>
      </c>
      <c r="V1212">
        <v>0</v>
      </c>
      <c r="W1212">
        <v>0</v>
      </c>
      <c r="X1212">
        <v>0</v>
      </c>
      <c r="Y1212">
        <v>0</v>
      </c>
      <c r="Z1212">
        <v>0</v>
      </c>
      <c r="AA1212">
        <v>0</v>
      </c>
      <c r="AB1212">
        <v>0</v>
      </c>
      <c r="AC1212">
        <v>0</v>
      </c>
      <c r="AD1212">
        <v>0</v>
      </c>
      <c r="AE1212">
        <v>0</v>
      </c>
      <c r="AF1212">
        <v>1</v>
      </c>
      <c r="AG1212">
        <v>0</v>
      </c>
      <c r="AH1212">
        <v>0</v>
      </c>
      <c r="AI1212">
        <v>0</v>
      </c>
      <c r="AJ1212">
        <v>0</v>
      </c>
      <c r="AK1212">
        <v>0</v>
      </c>
      <c r="AL1212">
        <v>0</v>
      </c>
      <c r="AM1212">
        <v>0</v>
      </c>
      <c r="AN1212">
        <v>0</v>
      </c>
      <c r="AO1212">
        <v>0</v>
      </c>
      <c r="AP1212">
        <v>0</v>
      </c>
      <c r="AQ1212">
        <v>0</v>
      </c>
      <c r="AR1212">
        <v>0</v>
      </c>
      <c r="AS1212">
        <v>0</v>
      </c>
      <c r="AT1212">
        <v>0</v>
      </c>
      <c r="AU1212">
        <v>0</v>
      </c>
      <c r="AV1212">
        <v>0</v>
      </c>
      <c r="AW1212">
        <v>0</v>
      </c>
      <c r="AX1212" s="141">
        <f t="shared" si="1593"/>
        <v>1</v>
      </c>
      <c r="AY1212" s="141">
        <f t="shared" si="1594"/>
        <v>1</v>
      </c>
      <c r="AZ1212">
        <f t="shared" si="1595"/>
        <v>0</v>
      </c>
      <c r="BA1212">
        <f t="shared" si="1596"/>
        <v>1</v>
      </c>
      <c r="BB1212">
        <f t="shared" si="1597"/>
        <v>0</v>
      </c>
      <c r="BC1212">
        <f t="shared" si="1598"/>
        <v>0</v>
      </c>
      <c r="BD1212">
        <f t="shared" si="1599"/>
        <v>0</v>
      </c>
      <c r="BE1212" t="str">
        <f t="array" ref="BE1212">IF(AY1212=1,INDEX($V$7:$AL$7,MATCH(TRUE,INDEX($V1212:$AW1212&lt;&gt;0,),0)),IF(AY1212=0,INDEX($AM$7:$AW$7,MATCH(1,$AM1212:$AW1212,0)),IF(BF1212="Multiple strategies","mixed drivers",IF(BF1212="Supply chain","multiple supply","multiple silviculture"))))</f>
        <v>supply chain organization</v>
      </c>
      <c r="BF1212" s="2" t="str" cm="1">
        <f t="array" ref="BF1212">IF(COUNTIF(AZ1212:BB1212,"&lt;&gt;0")=1,INDEX($V$4:$AW$4,MATCH(TRUE,INDEX($V1212:$AW1212&lt;&gt;0,),0)),IF(COUNTIF(AZ1212:BB1212,"&lt;&gt;0")=0,INDEX($AM$4:$AW$4,MATCH(1,$AM1212:$AW1212,0)),"Multiple strategies"))</f>
        <v>Supply chain</v>
      </c>
      <c r="BG1212" s="1" t="s">
        <v>229</v>
      </c>
      <c r="BH1212" t="s">
        <v>2124</v>
      </c>
      <c r="BI1212" t="s">
        <v>2125</v>
      </c>
      <c r="BJ1212" t="s">
        <v>2126</v>
      </c>
      <c r="BK1212">
        <v>1.002</v>
      </c>
      <c r="BL1212">
        <v>1.0920000000000001</v>
      </c>
      <c r="BM1212">
        <f t="shared" si="1609"/>
        <v>1.0898203592814373</v>
      </c>
      <c r="BN1212">
        <f t="shared" si="1610"/>
        <v>9.000000000000008E-2</v>
      </c>
      <c r="BO1212">
        <f t="shared" si="1611"/>
        <v>0.39079461571862822</v>
      </c>
      <c r="BP1212" t="s">
        <v>232</v>
      </c>
      <c r="BQ1212" t="s">
        <v>2127</v>
      </c>
      <c r="BR1212" t="s">
        <v>2126</v>
      </c>
      <c r="BS1212">
        <v>0.59099999999999997</v>
      </c>
      <c r="BT1212">
        <v>0.63800000000000001</v>
      </c>
      <c r="BU1212" s="144">
        <f t="shared" si="1612"/>
        <v>1.0795262267343486</v>
      </c>
      <c r="BV1212">
        <f t="shared" si="1613"/>
        <v>4.7000000000000042E-2</v>
      </c>
      <c r="BX1212" s="185">
        <f t="shared" si="1614"/>
        <v>0.17249000000000014</v>
      </c>
      <c r="BY1212">
        <f t="shared" si="1591"/>
        <v>0.44138274444444442</v>
      </c>
      <c r="BZ1212">
        <v>0</v>
      </c>
      <c r="CA1212">
        <v>0</v>
      </c>
      <c r="CB1212">
        <v>0</v>
      </c>
      <c r="CC1212">
        <v>0</v>
      </c>
      <c r="CD1212">
        <v>0</v>
      </c>
      <c r="CE1212">
        <v>0</v>
      </c>
      <c r="CF1212">
        <v>0</v>
      </c>
      <c r="CG1212">
        <v>0</v>
      </c>
      <c r="CH1212">
        <v>0</v>
      </c>
      <c r="CI1212">
        <v>0</v>
      </c>
      <c r="CJ1212">
        <v>0</v>
      </c>
      <c r="CK1212">
        <v>0</v>
      </c>
      <c r="CL1212">
        <v>0</v>
      </c>
      <c r="CM1212">
        <v>1</v>
      </c>
      <c r="CN1212" t="str">
        <f t="shared" si="1600"/>
        <v>refOK</v>
      </c>
      <c r="CO1212">
        <f t="shared" si="1615"/>
        <v>1.002</v>
      </c>
      <c r="CP1212">
        <f t="shared" si="1616"/>
        <v>1.0920000000000001</v>
      </c>
      <c r="CQ1212">
        <f t="shared" si="1617"/>
        <v>0.39079461571862822</v>
      </c>
      <c r="CR1212">
        <f t="shared" si="1601"/>
        <v>0.59099999999999997</v>
      </c>
      <c r="CS1212">
        <f t="shared" si="1602"/>
        <v>0.63800000000000001</v>
      </c>
      <c r="CT1212">
        <f t="shared" si="1603"/>
        <v>0.17249000000000014</v>
      </c>
      <c r="CU1212">
        <f t="shared" si="1604"/>
        <v>0.44138274444444442</v>
      </c>
      <c r="CV1212" s="2">
        <f t="shared" si="1605"/>
        <v>7.9526226734348643E-2</v>
      </c>
      <c r="CW1212" s="1" t="s">
        <v>2035</v>
      </c>
      <c r="CX1212" t="str">
        <f t="shared" si="1606"/>
        <v>reg</v>
      </c>
      <c r="CY1212" t="s">
        <v>235</v>
      </c>
      <c r="DB1212">
        <v>30</v>
      </c>
      <c r="DC1212" t="str">
        <f t="shared" si="1607"/>
        <v>1-30</v>
      </c>
      <c r="DD1212">
        <v>1</v>
      </c>
      <c r="DE1212">
        <v>1</v>
      </c>
      <c r="DF1212">
        <v>1</v>
      </c>
      <c r="DG1212">
        <v>1</v>
      </c>
      <c r="DH1212">
        <v>0</v>
      </c>
      <c r="DI1212">
        <f>SUM(DD1212:DH1212)</f>
        <v>4</v>
      </c>
      <c r="DJ1212" t="str">
        <f t="shared" si="1608"/>
        <v>mixedProduct</v>
      </c>
      <c r="DK1212" t="str">
        <f>IF(DD1212=1,DJ$7,0)</f>
        <v>singleProduct</v>
      </c>
      <c r="DL1212" t="str">
        <f>IF(DE1212=1,DK$7,0)</f>
        <v>Upstream</v>
      </c>
      <c r="DM1212" t="str">
        <f>IF(DF1212=1,DL$7,0)</f>
        <v>Energy</v>
      </c>
      <c r="DN1212" t="str">
        <f>IF(DG1212=1,DM$7,0)</f>
        <v>Pulp/Paper</v>
      </c>
      <c r="DO1212">
        <v>0</v>
      </c>
      <c r="DP1212">
        <v>1</v>
      </c>
      <c r="DQ1212" s="184" t="s">
        <v>2128</v>
      </c>
      <c r="DR1212" s="184" t="s">
        <v>2128</v>
      </c>
      <c r="DS1212" s="184">
        <v>0</v>
      </c>
      <c r="DT1212"/>
      <c r="DU1212" s="143" t="str">
        <f t="shared" si="1589"/>
        <v>external DF used</v>
      </c>
      <c r="DV1212">
        <v>1</v>
      </c>
      <c r="DW1212">
        <v>1</v>
      </c>
      <c r="DX1212">
        <v>1</v>
      </c>
      <c r="DY1212">
        <v>1</v>
      </c>
      <c r="DZ1212">
        <v>1</v>
      </c>
      <c r="EA1212">
        <v>1</v>
      </c>
      <c r="EB1212">
        <v>1</v>
      </c>
      <c r="EC1212">
        <v>1</v>
      </c>
      <c r="ED1212" s="185">
        <v>0</v>
      </c>
      <c r="EE1212">
        <v>0</v>
      </c>
      <c r="EF1212">
        <v>1</v>
      </c>
      <c r="EG1212">
        <v>0</v>
      </c>
      <c r="EH1212">
        <v>0</v>
      </c>
      <c r="EI1212" s="2">
        <v>0</v>
      </c>
      <c r="EK1212" t="str">
        <f t="shared" si="1619"/>
        <v>Whole sector</v>
      </c>
      <c r="EL1212" t="str">
        <f t="shared" si="1620"/>
        <v/>
      </c>
      <c r="EM1212" s="2" t="str">
        <f t="shared" si="1592"/>
        <v/>
      </c>
      <c r="EP1212" t="str">
        <f>IF(ISNUMBER(BU1212),IF(ABS(BU1212-[3]QC_indicators!$B$2)&gt;3*[3]QC_indicators!$C$2,"C ratio",IF(ISNUMBER(BY1212),IF(ABS(BY1212-[3]QC_indicators!$B$1)&gt;3*[3]QC_indicators!$C$1,"DF","no"))),IF(ISNUMBER(BY1212),IF(ABS(BY1212-[3]QC_indicators!$B$1)&gt;3*[3]QC_indicators!$C$1,"DF","no")))</f>
        <v>no</v>
      </c>
      <c r="ET1212" s="264" t="s">
        <v>3222</v>
      </c>
    </row>
    <row r="1213" spans="1:150" ht="15" hidden="1" customHeight="1">
      <c r="A1213" s="186" t="s">
        <v>1422</v>
      </c>
      <c r="B1213" s="185" t="s">
        <v>2115</v>
      </c>
      <c r="C1213" s="185" t="s">
        <v>2116</v>
      </c>
      <c r="D1213" s="185" t="s">
        <v>2117</v>
      </c>
      <c r="E1213" s="185" t="s">
        <v>2118</v>
      </c>
      <c r="F1213" s="185" t="s">
        <v>2119</v>
      </c>
      <c r="G1213" s="185" t="s">
        <v>1428</v>
      </c>
      <c r="H1213" s="185" t="s">
        <v>254</v>
      </c>
      <c r="I1213" s="185">
        <v>2014</v>
      </c>
      <c r="J1213" s="185">
        <v>45</v>
      </c>
      <c r="K1213" s="185" t="s">
        <v>2120</v>
      </c>
      <c r="L1213" s="185"/>
      <c r="M1213" t="str">
        <f t="shared" si="1527"/>
        <v>Pukkala_2014</v>
      </c>
      <c r="N1213" t="s">
        <v>222</v>
      </c>
      <c r="O1213" s="187" t="s">
        <v>225</v>
      </c>
      <c r="P1213" s="185" t="s">
        <v>1153</v>
      </c>
      <c r="Q1213" s="185"/>
      <c r="R1213" s="262" t="s">
        <v>223</v>
      </c>
      <c r="S1213" s="186" t="s">
        <v>2129</v>
      </c>
      <c r="T1213" s="185" t="s">
        <v>2122</v>
      </c>
      <c r="U1213" s="185" t="s">
        <v>2133</v>
      </c>
      <c r="V1213" s="185">
        <v>0</v>
      </c>
      <c r="W1213" s="185">
        <v>0</v>
      </c>
      <c r="X1213" s="185">
        <v>0</v>
      </c>
      <c r="Y1213" s="185">
        <v>1</v>
      </c>
      <c r="Z1213" s="185">
        <v>0</v>
      </c>
      <c r="AA1213" s="185">
        <v>0</v>
      </c>
      <c r="AB1213" s="185">
        <v>0</v>
      </c>
      <c r="AC1213" s="185">
        <v>0</v>
      </c>
      <c r="AD1213" s="185">
        <v>0</v>
      </c>
      <c r="AE1213" s="185">
        <v>0</v>
      </c>
      <c r="AF1213" s="185">
        <v>0</v>
      </c>
      <c r="AG1213" s="185">
        <v>0</v>
      </c>
      <c r="AH1213" s="185">
        <v>0</v>
      </c>
      <c r="AI1213" s="185">
        <v>0</v>
      </c>
      <c r="AJ1213" s="185">
        <v>0</v>
      </c>
      <c r="AK1213" s="185">
        <v>0</v>
      </c>
      <c r="AL1213" s="185">
        <v>0</v>
      </c>
      <c r="AM1213" s="185">
        <v>0</v>
      </c>
      <c r="AN1213" s="185">
        <v>0</v>
      </c>
      <c r="AO1213" s="185">
        <v>0</v>
      </c>
      <c r="AP1213" s="185">
        <v>0</v>
      </c>
      <c r="AQ1213" s="185">
        <v>0</v>
      </c>
      <c r="AR1213" s="185">
        <v>0</v>
      </c>
      <c r="AS1213" s="185">
        <v>0</v>
      </c>
      <c r="AT1213" s="185">
        <v>0</v>
      </c>
      <c r="AU1213" s="185">
        <v>0</v>
      </c>
      <c r="AV1213" s="185">
        <v>0</v>
      </c>
      <c r="AW1213" s="185">
        <v>0</v>
      </c>
      <c r="AX1213" s="141">
        <f t="shared" si="1593"/>
        <v>1</v>
      </c>
      <c r="AY1213" s="141">
        <f t="shared" si="1594"/>
        <v>1</v>
      </c>
      <c r="AZ1213">
        <f t="shared" si="1595"/>
        <v>1</v>
      </c>
      <c r="BA1213">
        <f t="shared" si="1596"/>
        <v>0</v>
      </c>
      <c r="BB1213">
        <f t="shared" si="1597"/>
        <v>0</v>
      </c>
      <c r="BC1213">
        <f t="shared" si="1598"/>
        <v>0</v>
      </c>
      <c r="BD1213">
        <f t="shared" si="1599"/>
        <v>0</v>
      </c>
      <c r="BE1213" t="str">
        <f t="array" ref="BE1213">IF(AY1213=1,INDEX($V$7:$AL$7,MATCH(TRUE,INDEX($V1213:$AW1213&lt;&gt;0,),0)),IF(AY1213=0,INDEX($AM$7:$AW$7,MATCH(1,$AM1213:$AW1213,0)),IF(BF1213="Multiple strategies","mixed drivers",IF(BF1213="Supply chain","multiple supply","multiple silviculture"))))</f>
        <v xml:space="preserve">cutting intensity </v>
      </c>
      <c r="BF1213" s="2" t="str" cm="1">
        <f t="array" ref="BF1213">IF(COUNTIF(AZ1213:BB1213,"&lt;&gt;0")=1,INDEX($V$4:$AW$4,MATCH(TRUE,INDEX($V1213:$AW1213&lt;&gt;0,),0)),IF(COUNTIF(AZ1213:BB1213,"&lt;&gt;0")=0,INDEX($AM$4:$AW$4,MATCH(1,$AM1213:$AW1213,0)),"Multiple strategies"))</f>
        <v>Silviculture for removals</v>
      </c>
      <c r="BG1213" s="186" t="s">
        <v>229</v>
      </c>
      <c r="BH1213" s="185" t="s">
        <v>2124</v>
      </c>
      <c r="BI1213" s="185" t="s">
        <v>2125</v>
      </c>
      <c r="BJ1213" s="185" t="s">
        <v>2126</v>
      </c>
      <c r="BK1213" s="185">
        <v>1.004</v>
      </c>
      <c r="BL1213" s="185">
        <v>1.0269999999999999</v>
      </c>
      <c r="BM1213" s="185">
        <f t="shared" si="1609"/>
        <v>1.0229083665338645</v>
      </c>
      <c r="BN1213" s="185">
        <f t="shared" si="1610"/>
        <v>2.2999999999999909E-2</v>
      </c>
      <c r="BO1213" s="185">
        <f t="shared" si="1611"/>
        <v>9.9869735128093398E-2</v>
      </c>
      <c r="BP1213" s="185" t="s">
        <v>232</v>
      </c>
      <c r="BQ1213" s="185" t="s">
        <v>2127</v>
      </c>
      <c r="BR1213" s="185" t="s">
        <v>2126</v>
      </c>
      <c r="BS1213" s="185">
        <v>0.19400000000000001</v>
      </c>
      <c r="BT1213" s="185">
        <v>0.224</v>
      </c>
      <c r="BU1213" s="189">
        <f t="shared" si="1612"/>
        <v>1.1546391752577319</v>
      </c>
      <c r="BV1213" s="185">
        <f t="shared" si="1613"/>
        <v>0.03</v>
      </c>
      <c r="BW1213" s="185"/>
      <c r="BX1213" s="185">
        <f t="shared" si="1614"/>
        <v>0.11009999999999999</v>
      </c>
      <c r="BY1213">
        <f t="shared" si="1591"/>
        <v>1.102436086956526</v>
      </c>
      <c r="BZ1213" s="185">
        <v>0</v>
      </c>
      <c r="CA1213" s="185">
        <v>0</v>
      </c>
      <c r="CB1213" s="185">
        <v>0</v>
      </c>
      <c r="CC1213" s="185">
        <v>0</v>
      </c>
      <c r="CD1213" s="185">
        <v>0</v>
      </c>
      <c r="CE1213" s="185">
        <v>0</v>
      </c>
      <c r="CF1213" s="185">
        <v>0</v>
      </c>
      <c r="CG1213" s="185">
        <v>0</v>
      </c>
      <c r="CH1213" s="185">
        <v>0</v>
      </c>
      <c r="CI1213" s="185">
        <v>0</v>
      </c>
      <c r="CJ1213" s="185">
        <v>0</v>
      </c>
      <c r="CK1213" s="185">
        <v>0</v>
      </c>
      <c r="CL1213" s="185">
        <v>0</v>
      </c>
      <c r="CM1213" s="185">
        <v>1</v>
      </c>
      <c r="CN1213" s="185" t="str">
        <f t="shared" si="1600"/>
        <v>refOK</v>
      </c>
      <c r="CO1213" s="185">
        <f t="shared" si="1615"/>
        <v>1.004</v>
      </c>
      <c r="CP1213" s="185">
        <f t="shared" si="1616"/>
        <v>1.0269999999999999</v>
      </c>
      <c r="CQ1213" s="185">
        <f t="shared" si="1617"/>
        <v>9.9869735128093398E-2</v>
      </c>
      <c r="CR1213" s="185">
        <f t="shared" si="1601"/>
        <v>0.19400000000000001</v>
      </c>
      <c r="CS1213" s="185">
        <f t="shared" si="1602"/>
        <v>0.224</v>
      </c>
      <c r="CT1213" s="185">
        <f t="shared" si="1603"/>
        <v>0.11009999999999999</v>
      </c>
      <c r="CU1213">
        <f t="shared" si="1604"/>
        <v>1.102436086956526</v>
      </c>
      <c r="CV1213" s="188">
        <f t="shared" si="1605"/>
        <v>0.15463917525773194</v>
      </c>
      <c r="CW1213" s="186" t="s">
        <v>2035</v>
      </c>
      <c r="CX1213" t="str">
        <f t="shared" si="1606"/>
        <v>reg</v>
      </c>
      <c r="CY1213" s="185" t="s">
        <v>235</v>
      </c>
      <c r="CZ1213" s="185"/>
      <c r="DA1213" s="185"/>
      <c r="DB1213" s="185">
        <v>30</v>
      </c>
      <c r="DC1213" t="str">
        <f t="shared" si="1607"/>
        <v>1-30</v>
      </c>
      <c r="DD1213" s="185">
        <v>1</v>
      </c>
      <c r="DE1213" s="185">
        <v>0</v>
      </c>
      <c r="DF1213" s="185">
        <v>0</v>
      </c>
      <c r="DG1213" s="185">
        <v>0</v>
      </c>
      <c r="DH1213" s="185">
        <v>0</v>
      </c>
      <c r="DI1213">
        <f t="shared" ref="DI1213:DI1244" si="1621">SUM(DD1213:DG1213)</f>
        <v>1</v>
      </c>
      <c r="DJ1213" t="str">
        <f t="shared" si="1608"/>
        <v>UpstreamInput</v>
      </c>
      <c r="DK1213" t="str">
        <f t="shared" ref="DK1213:DK1244" si="1622">IF(DD1213=1,DK$7,0)</f>
        <v>Upstream</v>
      </c>
      <c r="DL1213">
        <f t="shared" ref="DL1213:DL1244" si="1623">IF(DE1213=1,DL$7,0)</f>
        <v>0</v>
      </c>
      <c r="DM1213">
        <f t="shared" ref="DM1213:DM1244" si="1624">IF(DF1213=1,DM$7,0)</f>
        <v>0</v>
      </c>
      <c r="DN1213">
        <f t="shared" ref="DN1213:DN1244" si="1625">IF(DG1213=1,DN$7,0)</f>
        <v>0</v>
      </c>
      <c r="DO1213" s="185">
        <v>0</v>
      </c>
      <c r="DP1213" s="185">
        <v>0</v>
      </c>
      <c r="DQ1213" s="190"/>
      <c r="DR1213" s="190"/>
      <c r="DS1213" s="190">
        <v>0</v>
      </c>
      <c r="DT1213" s="185"/>
      <c r="DU1213" s="191" t="str">
        <f t="shared" si="1589"/>
        <v>explicit C balance</v>
      </c>
      <c r="DV1213" s="185">
        <v>1</v>
      </c>
      <c r="DW1213" s="185">
        <v>1</v>
      </c>
      <c r="DX1213" s="185">
        <v>1</v>
      </c>
      <c r="DY1213" s="185">
        <v>1</v>
      </c>
      <c r="DZ1213" s="185">
        <v>1</v>
      </c>
      <c r="EA1213" s="185">
        <v>0</v>
      </c>
      <c r="EB1213" s="185">
        <v>0</v>
      </c>
      <c r="EC1213" s="185">
        <v>0</v>
      </c>
      <c r="ED1213" s="185">
        <v>0</v>
      </c>
      <c r="EE1213" s="185">
        <v>0</v>
      </c>
      <c r="EF1213" s="185">
        <v>1</v>
      </c>
      <c r="EG1213" s="185">
        <v>0</v>
      </c>
      <c r="EH1213" s="185">
        <v>0</v>
      </c>
      <c r="EI1213" s="188">
        <v>0</v>
      </c>
      <c r="EK1213" t="str">
        <f t="shared" si="1619"/>
        <v/>
      </c>
      <c r="EL1213" t="str">
        <f t="shared" si="1620"/>
        <v>Ecosystem approach</v>
      </c>
      <c r="EM1213" s="2" t="str">
        <f t="shared" si="1592"/>
        <v/>
      </c>
      <c r="EN1213" s="185"/>
      <c r="EO1213" s="185"/>
      <c r="EP1213" t="str">
        <f>IF(ISNUMBER(BU1213),IF(ABS(BU1213-[3]QC_indicators!$B$2)&gt;3*[3]QC_indicators!$C$2,"C ratio",IF(ISNUMBER(BY1213),IF(ABS(BY1213-[3]QC_indicators!$B$1)&gt;3*[3]QC_indicators!$C$1,"DF","no"))),IF(ISNUMBER(BY1213),IF(ABS(BY1213-[3]QC_indicators!$B$1)&gt;3*[3]QC_indicators!$C$1,"DF","no")))</f>
        <v>no</v>
      </c>
      <c r="EQ1213" s="185"/>
      <c r="ER1213" s="185"/>
      <c r="ES1213" s="185"/>
      <c r="ET1213" s="264" t="s">
        <v>3222</v>
      </c>
    </row>
    <row r="1214" spans="1:150" ht="15" hidden="1" customHeight="1">
      <c r="A1214" s="186" t="s">
        <v>1422</v>
      </c>
      <c r="B1214" s="185" t="s">
        <v>2115</v>
      </c>
      <c r="C1214" s="185" t="s">
        <v>2116</v>
      </c>
      <c r="D1214" s="185" t="s">
        <v>2117</v>
      </c>
      <c r="E1214" s="185" t="s">
        <v>2118</v>
      </c>
      <c r="F1214" s="185" t="s">
        <v>2119</v>
      </c>
      <c r="G1214" s="185" t="s">
        <v>1428</v>
      </c>
      <c r="H1214" s="185" t="s">
        <v>254</v>
      </c>
      <c r="I1214" s="185">
        <v>2014</v>
      </c>
      <c r="J1214" s="185">
        <v>45</v>
      </c>
      <c r="K1214" s="185" t="s">
        <v>2120</v>
      </c>
      <c r="L1214" s="185"/>
      <c r="M1214" t="str">
        <f t="shared" si="1527"/>
        <v>Pukkala_2014</v>
      </c>
      <c r="N1214" t="s">
        <v>222</v>
      </c>
      <c r="O1214" s="187" t="s">
        <v>225</v>
      </c>
      <c r="P1214" s="185" t="s">
        <v>1153</v>
      </c>
      <c r="Q1214" s="185"/>
      <c r="R1214" s="262" t="s">
        <v>223</v>
      </c>
      <c r="S1214" s="186" t="s">
        <v>2129</v>
      </c>
      <c r="T1214" s="185" t="s">
        <v>2122</v>
      </c>
      <c r="U1214" s="185" t="s">
        <v>2133</v>
      </c>
      <c r="V1214" s="185">
        <v>0</v>
      </c>
      <c r="W1214" s="185">
        <v>0</v>
      </c>
      <c r="X1214" s="185">
        <v>0</v>
      </c>
      <c r="Y1214" s="185">
        <v>1</v>
      </c>
      <c r="Z1214" s="185">
        <v>0</v>
      </c>
      <c r="AA1214" s="185">
        <v>0</v>
      </c>
      <c r="AB1214" s="185">
        <v>0</v>
      </c>
      <c r="AC1214" s="185">
        <v>0</v>
      </c>
      <c r="AD1214" s="185">
        <v>0</v>
      </c>
      <c r="AE1214" s="185">
        <v>0</v>
      </c>
      <c r="AF1214" s="185">
        <v>0</v>
      </c>
      <c r="AG1214" s="185">
        <v>0</v>
      </c>
      <c r="AH1214" s="185">
        <v>0</v>
      </c>
      <c r="AI1214" s="185">
        <v>0</v>
      </c>
      <c r="AJ1214" s="185">
        <v>0</v>
      </c>
      <c r="AK1214" s="185">
        <v>0</v>
      </c>
      <c r="AL1214" s="185">
        <v>0</v>
      </c>
      <c r="AM1214" s="185">
        <v>0</v>
      </c>
      <c r="AN1214" s="185">
        <v>0</v>
      </c>
      <c r="AO1214" s="185">
        <v>0</v>
      </c>
      <c r="AP1214" s="185">
        <v>0</v>
      </c>
      <c r="AQ1214" s="185">
        <v>0</v>
      </c>
      <c r="AR1214" s="185">
        <v>0</v>
      </c>
      <c r="AS1214" s="185">
        <v>0</v>
      </c>
      <c r="AT1214" s="185">
        <v>0</v>
      </c>
      <c r="AU1214" s="185">
        <v>0</v>
      </c>
      <c r="AV1214" s="185">
        <v>0</v>
      </c>
      <c r="AW1214" s="185">
        <v>0</v>
      </c>
      <c r="AX1214" s="141">
        <f t="shared" si="1593"/>
        <v>1</v>
      </c>
      <c r="AY1214" s="141">
        <f t="shared" si="1594"/>
        <v>1</v>
      </c>
      <c r="AZ1214">
        <f t="shared" si="1595"/>
        <v>1</v>
      </c>
      <c r="BA1214">
        <f t="shared" si="1596"/>
        <v>0</v>
      </c>
      <c r="BB1214">
        <f t="shared" si="1597"/>
        <v>0</v>
      </c>
      <c r="BC1214">
        <f t="shared" si="1598"/>
        <v>0</v>
      </c>
      <c r="BD1214">
        <f t="shared" si="1599"/>
        <v>0</v>
      </c>
      <c r="BE1214" t="str">
        <f t="array" ref="BE1214">IF(AY1214=1,INDEX($V$7:$AL$7,MATCH(TRUE,INDEX($V1214:$AW1214&lt;&gt;0,),0)),IF(AY1214=0,INDEX($AM$7:$AW$7,MATCH(1,$AM1214:$AW1214,0)),IF(BF1214="Multiple strategies","mixed drivers",IF(BF1214="Supply chain","multiple supply","multiple silviculture"))))</f>
        <v xml:space="preserve">cutting intensity </v>
      </c>
      <c r="BF1214" s="2" t="str" cm="1">
        <f t="array" ref="BF1214">IF(COUNTIF(AZ1214:BB1214,"&lt;&gt;0")=1,INDEX($V$4:$AW$4,MATCH(TRUE,INDEX($V1214:$AW1214&lt;&gt;0,),0)),IF(COUNTIF(AZ1214:BB1214,"&lt;&gt;0")=0,INDEX($AM$4:$AW$4,MATCH(1,$AM1214:$AW1214,0)),"Multiple strategies"))</f>
        <v>Silviculture for removals</v>
      </c>
      <c r="BG1214" s="186" t="s">
        <v>229</v>
      </c>
      <c r="BH1214" s="185" t="s">
        <v>2124</v>
      </c>
      <c r="BI1214" s="185" t="s">
        <v>2125</v>
      </c>
      <c r="BJ1214" s="185" t="s">
        <v>2126</v>
      </c>
      <c r="BK1214" s="185">
        <v>1.004</v>
      </c>
      <c r="BL1214" s="185">
        <v>1.0269999999999999</v>
      </c>
      <c r="BM1214" s="185">
        <f t="shared" si="1609"/>
        <v>1.0229083665338645</v>
      </c>
      <c r="BN1214" s="185">
        <f t="shared" si="1610"/>
        <v>2.2999999999999909E-2</v>
      </c>
      <c r="BO1214" s="185">
        <f t="shared" si="1611"/>
        <v>9.9869735128093398E-2</v>
      </c>
      <c r="BP1214" s="185" t="s">
        <v>232</v>
      </c>
      <c r="BQ1214" s="185" t="s">
        <v>2127</v>
      </c>
      <c r="BR1214" s="185" t="s">
        <v>2126</v>
      </c>
      <c r="BS1214" s="185">
        <v>0.72399999999999998</v>
      </c>
      <c r="BT1214" s="185">
        <v>0.77300000000000002</v>
      </c>
      <c r="BU1214" s="189">
        <f t="shared" si="1612"/>
        <v>1.0676795580110499</v>
      </c>
      <c r="BV1214" s="185">
        <f t="shared" si="1613"/>
        <v>4.9000000000000044E-2</v>
      </c>
      <c r="BW1214" s="185"/>
      <c r="BX1214" s="185">
        <f t="shared" si="1614"/>
        <v>0.17983000000000016</v>
      </c>
      <c r="BY1214">
        <f t="shared" si="1591"/>
        <v>1.8006456086956608</v>
      </c>
      <c r="BZ1214" s="185">
        <v>0</v>
      </c>
      <c r="CA1214" s="185">
        <v>0</v>
      </c>
      <c r="CB1214" s="185">
        <v>0</v>
      </c>
      <c r="CC1214" s="185">
        <v>0</v>
      </c>
      <c r="CD1214" s="185">
        <v>0</v>
      </c>
      <c r="CE1214" s="185">
        <v>0</v>
      </c>
      <c r="CF1214" s="185">
        <v>0</v>
      </c>
      <c r="CG1214" s="185">
        <v>0</v>
      </c>
      <c r="CH1214" s="185">
        <v>0</v>
      </c>
      <c r="CI1214" s="185">
        <v>0</v>
      </c>
      <c r="CJ1214" s="185">
        <v>0</v>
      </c>
      <c r="CK1214" s="185">
        <v>0</v>
      </c>
      <c r="CL1214" s="185">
        <v>0</v>
      </c>
      <c r="CM1214" s="185">
        <v>1</v>
      </c>
      <c r="CN1214" s="185" t="str">
        <f t="shared" si="1600"/>
        <v>refOK</v>
      </c>
      <c r="CO1214" s="185">
        <f t="shared" si="1615"/>
        <v>1.004</v>
      </c>
      <c r="CP1214" s="185">
        <f t="shared" si="1616"/>
        <v>1.0269999999999999</v>
      </c>
      <c r="CQ1214" s="185">
        <f t="shared" si="1617"/>
        <v>9.9869735128093398E-2</v>
      </c>
      <c r="CR1214" s="185">
        <f t="shared" si="1601"/>
        <v>0.72399999999999998</v>
      </c>
      <c r="CS1214" s="185">
        <f t="shared" si="1602"/>
        <v>0.77300000000000002</v>
      </c>
      <c r="CT1214" s="185">
        <f t="shared" si="1603"/>
        <v>0.17983000000000016</v>
      </c>
      <c r="CU1214">
        <f t="shared" si="1604"/>
        <v>1.8006456086956608</v>
      </c>
      <c r="CV1214" s="188">
        <f t="shared" si="1605"/>
        <v>6.7679558011049787E-2</v>
      </c>
      <c r="CW1214" s="186" t="s">
        <v>2035</v>
      </c>
      <c r="CX1214" t="str">
        <f t="shared" si="1606"/>
        <v>reg</v>
      </c>
      <c r="CY1214" s="185" t="s">
        <v>235</v>
      </c>
      <c r="CZ1214" s="185"/>
      <c r="DA1214" s="185"/>
      <c r="DB1214" s="185">
        <v>30</v>
      </c>
      <c r="DC1214" t="str">
        <f t="shared" si="1607"/>
        <v>1-30</v>
      </c>
      <c r="DD1214">
        <v>1</v>
      </c>
      <c r="DE1214">
        <v>1</v>
      </c>
      <c r="DF1214">
        <v>1</v>
      </c>
      <c r="DG1214">
        <v>1</v>
      </c>
      <c r="DH1214" s="185">
        <v>0</v>
      </c>
      <c r="DI1214">
        <f t="shared" si="1621"/>
        <v>4</v>
      </c>
      <c r="DJ1214" t="str">
        <f t="shared" si="1608"/>
        <v>mixedProduct</v>
      </c>
      <c r="DK1214" t="str">
        <f t="shared" si="1622"/>
        <v>Upstream</v>
      </c>
      <c r="DL1214" t="str">
        <f t="shared" si="1623"/>
        <v>Energy</v>
      </c>
      <c r="DM1214" t="str">
        <f t="shared" si="1624"/>
        <v>Pulp/Paper</v>
      </c>
      <c r="DN1214" t="str">
        <f t="shared" si="1625"/>
        <v>Timber</v>
      </c>
      <c r="DO1214" s="185">
        <v>0</v>
      </c>
      <c r="DP1214" s="185">
        <v>1</v>
      </c>
      <c r="DQ1214" s="190" t="s">
        <v>2128</v>
      </c>
      <c r="DR1214" s="190" t="s">
        <v>2128</v>
      </c>
      <c r="DS1214" s="190">
        <v>0</v>
      </c>
      <c r="DT1214" s="185"/>
      <c r="DU1214" s="191" t="str">
        <f t="shared" ref="DU1214:DU1245" si="1626">IF(DO1214=1,"self-calculated DF",IF(DP1214=1,"external DF used","explicit C balance"))</f>
        <v>external DF used</v>
      </c>
      <c r="DV1214" s="185">
        <v>1</v>
      </c>
      <c r="DW1214" s="185">
        <v>1</v>
      </c>
      <c r="DX1214" s="185">
        <v>1</v>
      </c>
      <c r="DY1214" s="185">
        <v>1</v>
      </c>
      <c r="DZ1214" s="185">
        <v>1</v>
      </c>
      <c r="EA1214" s="185">
        <v>1</v>
      </c>
      <c r="EB1214" s="185">
        <v>1</v>
      </c>
      <c r="EC1214" s="185">
        <v>1</v>
      </c>
      <c r="ED1214" s="185">
        <v>0</v>
      </c>
      <c r="EE1214" s="185">
        <v>0</v>
      </c>
      <c r="EF1214" s="185">
        <v>1</v>
      </c>
      <c r="EG1214" s="185">
        <v>0</v>
      </c>
      <c r="EH1214" s="185">
        <v>0</v>
      </c>
      <c r="EI1214" s="188">
        <v>0</v>
      </c>
      <c r="EK1214" t="str">
        <f t="shared" si="1619"/>
        <v>Whole sector</v>
      </c>
      <c r="EL1214" t="str">
        <f t="shared" si="1620"/>
        <v/>
      </c>
      <c r="EM1214" s="2" t="str">
        <f t="shared" si="1592"/>
        <v/>
      </c>
      <c r="EN1214" s="185"/>
      <c r="EO1214" s="185"/>
      <c r="EP1214" t="str">
        <f>IF(ISNUMBER(BU1214),IF(ABS(BU1214-[3]QC_indicators!$B$2)&gt;3*[3]QC_indicators!$C$2,"C ratio",IF(ISNUMBER(BY1214),IF(ABS(BY1214-[3]QC_indicators!$B$1)&gt;3*[3]QC_indicators!$C$1,"DF","no"))),IF(ISNUMBER(BY1214),IF(ABS(BY1214-[3]QC_indicators!$B$1)&gt;3*[3]QC_indicators!$C$1,"DF","no")))</f>
        <v>no</v>
      </c>
      <c r="EQ1214" s="185"/>
      <c r="ER1214" s="185"/>
      <c r="ES1214" s="185"/>
      <c r="ET1214" s="264" t="s">
        <v>3222</v>
      </c>
    </row>
    <row r="1215" spans="1:150" ht="15" hidden="1" customHeight="1">
      <c r="A1215" s="1" t="s">
        <v>1359</v>
      </c>
      <c r="B1215" t="s">
        <v>2134</v>
      </c>
      <c r="C1215" t="s">
        <v>2135</v>
      </c>
      <c r="D1215" t="s">
        <v>2136</v>
      </c>
      <c r="E1215" t="s">
        <v>2137</v>
      </c>
      <c r="F1215" t="s">
        <v>2138</v>
      </c>
      <c r="G1215" t="s">
        <v>1365</v>
      </c>
      <c r="H1215" t="s">
        <v>254</v>
      </c>
      <c r="I1215">
        <v>2012</v>
      </c>
      <c r="J1215">
        <v>21</v>
      </c>
      <c r="K1215" t="s">
        <v>2139</v>
      </c>
      <c r="L1215" s="192"/>
      <c r="M1215" t="str">
        <f t="shared" si="1527"/>
        <v>Pyorala_2012</v>
      </c>
      <c r="N1215" t="s">
        <v>222</v>
      </c>
      <c r="O1215" s="145" t="s">
        <v>341</v>
      </c>
      <c r="P1215" s="180" t="s">
        <v>223</v>
      </c>
      <c r="Q1215" s="264" t="s">
        <v>256</v>
      </c>
      <c r="R1215" s="269" t="s">
        <v>1153</v>
      </c>
      <c r="S1215" s="263" t="s">
        <v>2140</v>
      </c>
      <c r="T1215" s="264" t="s">
        <v>2141</v>
      </c>
      <c r="U1215" s="264" t="s">
        <v>2142</v>
      </c>
      <c r="V1215">
        <v>0</v>
      </c>
      <c r="W1215">
        <v>0</v>
      </c>
      <c r="X1215">
        <v>0</v>
      </c>
      <c r="Y1215">
        <v>1</v>
      </c>
      <c r="Z1215">
        <v>0</v>
      </c>
      <c r="AA1215">
        <v>0</v>
      </c>
      <c r="AB1215">
        <v>0</v>
      </c>
      <c r="AC1215">
        <v>0</v>
      </c>
      <c r="AD1215">
        <v>0</v>
      </c>
      <c r="AE1215">
        <v>0</v>
      </c>
      <c r="AF1215">
        <v>0</v>
      </c>
      <c r="AG1215">
        <v>0</v>
      </c>
      <c r="AH1215">
        <v>0</v>
      </c>
      <c r="AI1215">
        <v>0</v>
      </c>
      <c r="AJ1215">
        <v>0</v>
      </c>
      <c r="AK1215">
        <v>0</v>
      </c>
      <c r="AL1215">
        <v>0</v>
      </c>
      <c r="AM1215">
        <v>0</v>
      </c>
      <c r="AN1215">
        <v>0</v>
      </c>
      <c r="AO1215">
        <v>0</v>
      </c>
      <c r="AP1215">
        <v>0</v>
      </c>
      <c r="AQ1215">
        <v>0</v>
      </c>
      <c r="AR1215">
        <v>0</v>
      </c>
      <c r="AS1215">
        <v>0</v>
      </c>
      <c r="AT1215">
        <v>0</v>
      </c>
      <c r="AU1215">
        <v>0</v>
      </c>
      <c r="AV1215">
        <v>0</v>
      </c>
      <c r="AW1215">
        <v>0</v>
      </c>
      <c r="AX1215" s="141">
        <f t="shared" si="1593"/>
        <v>1</v>
      </c>
      <c r="AY1215" s="141">
        <f t="shared" si="1594"/>
        <v>1</v>
      </c>
      <c r="AZ1215">
        <f t="shared" si="1595"/>
        <v>1</v>
      </c>
      <c r="BA1215">
        <f t="shared" si="1596"/>
        <v>0</v>
      </c>
      <c r="BB1215">
        <f t="shared" si="1597"/>
        <v>0</v>
      </c>
      <c r="BC1215">
        <f t="shared" si="1598"/>
        <v>0</v>
      </c>
      <c r="BD1215">
        <f t="shared" si="1599"/>
        <v>0</v>
      </c>
      <c r="BE1215" t="str" cm="1">
        <f t="array" ref="BE1215">IF(AY1215=1,INDEX($V$7:$AL$7,MATCH(TRUE,INDEX($V1215:$AW1215&lt;&gt;0,),0)),IF(AY1215=0,INDEX($AM$7:$AW$7,MATCH(1,$AM1215:$AW1215,0)),IF(BF1215="Multiple strategies","mixed drivers",IF(BF1215="Supply chain","multiple supply","multiple silviculture"))))</f>
        <v xml:space="preserve">cutting intensity </v>
      </c>
      <c r="BF1215" s="2" t="str" cm="1">
        <f t="array" ref="BF1215">IF(COUNTIF(AZ1215:BB1215,"&lt;&gt;0")=1,INDEX($V$4:$AW$4,MATCH(TRUE,INDEX($V1215:$AW1215&lt;&gt;0,),0)),IF(COUNTIF(AZ1215:BB1215,"&lt;&gt;0")=0,INDEX($AM$4:$AW$4,MATCH(1,$AM1215:$AW1215,0)),"Multiple strategies"))</f>
        <v>Silviculture for removals</v>
      </c>
      <c r="BG1215" s="178" t="s">
        <v>321</v>
      </c>
      <c r="BH1215" s="264" t="s">
        <v>2143</v>
      </c>
      <c r="BI1215" s="264" t="s">
        <v>426</v>
      </c>
      <c r="BJ1215" s="160" t="s">
        <v>700</v>
      </c>
      <c r="BK1215">
        <v>8.3000000000000007</v>
      </c>
      <c r="BL1215">
        <v>8.4</v>
      </c>
      <c r="BN1215">
        <f t="shared" si="1610"/>
        <v>9.9999999999999645E-2</v>
      </c>
      <c r="BO1215">
        <f t="shared" ref="BO1215:BO1262" si="1627">BN1215</f>
        <v>9.9999999999999645E-2</v>
      </c>
      <c r="BP1215" s="155" t="s">
        <v>232</v>
      </c>
      <c r="BQ1215" s="264" t="s">
        <v>786</v>
      </c>
      <c r="BR1215" s="270" t="s">
        <v>2144</v>
      </c>
      <c r="BS1215" s="264">
        <f>136.6/80</f>
        <v>1.7075</v>
      </c>
      <c r="BT1215" s="264">
        <f>113.9/80</f>
        <v>1.4237500000000001</v>
      </c>
      <c r="BU1215" s="144"/>
      <c r="BV1215">
        <f t="shared" si="1613"/>
        <v>-0.28374999999999995</v>
      </c>
      <c r="BX1215">
        <f t="shared" ref="BX1215:BX1262" si="1628">BV1215</f>
        <v>-0.28374999999999995</v>
      </c>
      <c r="BY1215">
        <f t="shared" si="1591"/>
        <v>-2.8375000000000097</v>
      </c>
      <c r="BZ1215">
        <v>0</v>
      </c>
      <c r="CA1215">
        <v>0</v>
      </c>
      <c r="CB1215">
        <v>0</v>
      </c>
      <c r="CC1215">
        <v>0</v>
      </c>
      <c r="CD1215">
        <v>0</v>
      </c>
      <c r="CE1215">
        <v>0</v>
      </c>
      <c r="CF1215">
        <v>0</v>
      </c>
      <c r="CG1215">
        <v>0</v>
      </c>
      <c r="CH1215">
        <v>0</v>
      </c>
      <c r="CI1215">
        <v>0</v>
      </c>
      <c r="CJ1215">
        <v>0</v>
      </c>
      <c r="CK1215">
        <v>0</v>
      </c>
      <c r="CL1215">
        <v>0</v>
      </c>
      <c r="CM1215">
        <v>0</v>
      </c>
      <c r="CN1215" t="str">
        <f t="shared" si="1600"/>
        <v>refOK</v>
      </c>
      <c r="CO1215">
        <f t="shared" si="1615"/>
        <v>8.3000000000000007</v>
      </c>
      <c r="CP1215">
        <f t="shared" si="1616"/>
        <v>8.4</v>
      </c>
      <c r="CQ1215">
        <f t="shared" si="1617"/>
        <v>9.9999999999999645E-2</v>
      </c>
      <c r="CR1215">
        <f t="shared" si="1601"/>
        <v>1.7075</v>
      </c>
      <c r="CS1215">
        <f t="shared" si="1602"/>
        <v>1.4237500000000001</v>
      </c>
      <c r="CT1215">
        <f t="shared" si="1603"/>
        <v>-0.28374999999999995</v>
      </c>
      <c r="CU1215">
        <f t="shared" si="1604"/>
        <v>-2.8375000000000097</v>
      </c>
      <c r="CV1215" s="2">
        <f t="shared" si="1605"/>
        <v>-0.16617862371888723</v>
      </c>
      <c r="CW1215" s="1" t="s">
        <v>1198</v>
      </c>
      <c r="CX1215" s="264" t="str">
        <f t="shared" si="1606"/>
        <v>reg</v>
      </c>
      <c r="CY1215" t="s">
        <v>235</v>
      </c>
      <c r="DB1215">
        <v>80</v>
      </c>
      <c r="DC1215" t="str">
        <f t="shared" si="1607"/>
        <v>71-100</v>
      </c>
      <c r="DD1215">
        <v>0</v>
      </c>
      <c r="DE1215">
        <v>1</v>
      </c>
      <c r="DF1215">
        <v>1</v>
      </c>
      <c r="DG1215">
        <v>1</v>
      </c>
      <c r="DI1215">
        <f t="shared" si="1621"/>
        <v>3</v>
      </c>
      <c r="DJ1215" t="str">
        <f t="shared" si="1608"/>
        <v>mixedProduct</v>
      </c>
      <c r="DK1215">
        <f t="shared" si="1622"/>
        <v>0</v>
      </c>
      <c r="DL1215" t="str">
        <f t="shared" si="1623"/>
        <v>Energy</v>
      </c>
      <c r="DM1215" t="str">
        <f t="shared" si="1624"/>
        <v>Pulp/Paper</v>
      </c>
      <c r="DN1215" t="str">
        <f t="shared" si="1625"/>
        <v>Timber</v>
      </c>
      <c r="DO1215">
        <v>0</v>
      </c>
      <c r="DP1215">
        <v>1</v>
      </c>
      <c r="DQ1215" t="s">
        <v>2145</v>
      </c>
      <c r="DR1215">
        <v>0</v>
      </c>
      <c r="DS1215">
        <v>0</v>
      </c>
      <c r="DT1215">
        <f t="shared" ref="DT1215:DT1246" si="1629">SUM(DO1215:DP1215)</f>
        <v>1</v>
      </c>
      <c r="DU1215" s="143" t="str">
        <f t="shared" si="1626"/>
        <v>external DF used</v>
      </c>
      <c r="DV1215">
        <v>1</v>
      </c>
      <c r="DW1215">
        <v>1</v>
      </c>
      <c r="DX1215">
        <v>1</v>
      </c>
      <c r="DY1215">
        <v>0</v>
      </c>
      <c r="DZ1215">
        <v>0</v>
      </c>
      <c r="EA1215" s="143">
        <v>0</v>
      </c>
      <c r="EB1215">
        <v>0</v>
      </c>
      <c r="EC1215">
        <v>0</v>
      </c>
      <c r="ED1215">
        <v>0</v>
      </c>
      <c r="EE1215">
        <v>0</v>
      </c>
      <c r="EF1215">
        <v>1</v>
      </c>
      <c r="EG1215">
        <v>0</v>
      </c>
      <c r="EH1215">
        <v>0</v>
      </c>
      <c r="EI1215" s="2">
        <v>0</v>
      </c>
      <c r="EK1215" t="str">
        <f t="shared" si="1619"/>
        <v/>
      </c>
      <c r="EL1215" t="str">
        <f t="shared" si="1620"/>
        <v>Ecosystem approach</v>
      </c>
      <c r="EM1215" s="2" t="str">
        <f t="shared" si="1592"/>
        <v/>
      </c>
      <c r="EP1215" t="str">
        <f>IF(ISNUMBER(BU1215),IF(ABS(BU1215-[4]QC_indicators!$B$2)&gt;3*[4]QC_indicators!$C$2,"C ratio",IF(ISNUMBER(BY1215),IF(ABS(BY1215-[4]QC_indicators!$B$1)&gt;3*[4]QC_indicators!$C$1,"DF","no"))),IF(ISNUMBER(BY1215),IF(ABS(BY1215-[4]QC_indicators!$B$1)&gt;3*[4]QC_indicators!$C$1,"DF","no")))</f>
        <v>no</v>
      </c>
      <c r="ET1215" s="264" t="s">
        <v>3406</v>
      </c>
    </row>
    <row r="1216" spans="1:150" ht="15" hidden="1" customHeight="1">
      <c r="A1216" s="1" t="s">
        <v>1359</v>
      </c>
      <c r="B1216" t="s">
        <v>2134</v>
      </c>
      <c r="C1216" t="s">
        <v>2135</v>
      </c>
      <c r="D1216" t="s">
        <v>2136</v>
      </c>
      <c r="E1216" t="s">
        <v>2137</v>
      </c>
      <c r="F1216" t="s">
        <v>2138</v>
      </c>
      <c r="G1216" t="s">
        <v>1365</v>
      </c>
      <c r="H1216" t="s">
        <v>254</v>
      </c>
      <c r="I1216">
        <v>2012</v>
      </c>
      <c r="J1216">
        <v>21</v>
      </c>
      <c r="K1216" t="s">
        <v>2139</v>
      </c>
      <c r="L1216" s="192"/>
      <c r="M1216" t="str">
        <f t="shared" si="1527"/>
        <v>Pyorala_2012</v>
      </c>
      <c r="N1216" t="s">
        <v>222</v>
      </c>
      <c r="O1216" s="145" t="s">
        <v>341</v>
      </c>
      <c r="P1216" s="180" t="s">
        <v>223</v>
      </c>
      <c r="Q1216" s="264" t="s">
        <v>256</v>
      </c>
      <c r="R1216" s="269" t="s">
        <v>1153</v>
      </c>
      <c r="S1216" s="263" t="s">
        <v>2146</v>
      </c>
      <c r="T1216" s="264" t="s">
        <v>2141</v>
      </c>
      <c r="U1216" s="264" t="s">
        <v>2142</v>
      </c>
      <c r="V1216">
        <v>0</v>
      </c>
      <c r="W1216">
        <v>0</v>
      </c>
      <c r="X1216">
        <v>0</v>
      </c>
      <c r="Y1216">
        <v>1</v>
      </c>
      <c r="Z1216">
        <v>0</v>
      </c>
      <c r="AA1216">
        <v>0</v>
      </c>
      <c r="AB1216">
        <v>0</v>
      </c>
      <c r="AC1216">
        <v>0</v>
      </c>
      <c r="AD1216">
        <v>0</v>
      </c>
      <c r="AE1216">
        <v>0</v>
      </c>
      <c r="AF1216">
        <v>0</v>
      </c>
      <c r="AG1216">
        <v>0</v>
      </c>
      <c r="AH1216">
        <v>0</v>
      </c>
      <c r="AI1216">
        <v>0</v>
      </c>
      <c r="AJ1216">
        <v>0</v>
      </c>
      <c r="AK1216">
        <v>0</v>
      </c>
      <c r="AL1216">
        <v>0</v>
      </c>
      <c r="AM1216">
        <v>0</v>
      </c>
      <c r="AN1216">
        <v>0</v>
      </c>
      <c r="AO1216">
        <v>0</v>
      </c>
      <c r="AP1216">
        <v>0</v>
      </c>
      <c r="AQ1216">
        <v>0</v>
      </c>
      <c r="AR1216">
        <v>0</v>
      </c>
      <c r="AS1216">
        <v>0</v>
      </c>
      <c r="AT1216">
        <v>0</v>
      </c>
      <c r="AU1216">
        <v>0</v>
      </c>
      <c r="AV1216">
        <v>0</v>
      </c>
      <c r="AW1216">
        <v>0</v>
      </c>
      <c r="AX1216" s="141">
        <f t="shared" si="1593"/>
        <v>1</v>
      </c>
      <c r="AY1216" s="141">
        <f t="shared" si="1594"/>
        <v>1</v>
      </c>
      <c r="AZ1216">
        <f t="shared" si="1595"/>
        <v>1</v>
      </c>
      <c r="BA1216">
        <f t="shared" si="1596"/>
        <v>0</v>
      </c>
      <c r="BB1216">
        <f t="shared" si="1597"/>
        <v>0</v>
      </c>
      <c r="BC1216">
        <f t="shared" si="1598"/>
        <v>0</v>
      </c>
      <c r="BD1216">
        <f t="shared" si="1599"/>
        <v>0</v>
      </c>
      <c r="BE1216" t="str" cm="1">
        <f t="array" ref="BE1216">IF(AY1216=1,INDEX($V$7:$AL$7,MATCH(TRUE,INDEX($V1216:$AW1216&lt;&gt;0,),0)),IF(AY1216=0,INDEX($AM$7:$AW$7,MATCH(1,$AM1216:$AW1216,0)),IF(BF1216="Multiple strategies","mixed drivers",IF(BF1216="Supply chain","multiple supply","multiple silviculture"))))</f>
        <v xml:space="preserve">cutting intensity </v>
      </c>
      <c r="BF1216" s="2" t="str" cm="1">
        <f t="array" ref="BF1216">IF(COUNTIF(AZ1216:BB1216,"&lt;&gt;0")=1,INDEX($V$4:$AW$4,MATCH(TRUE,INDEX($V1216:$AW1216&lt;&gt;0,),0)),IF(COUNTIF(AZ1216:BB1216,"&lt;&gt;0")=0,INDEX($AM$4:$AW$4,MATCH(1,$AM1216:$AW1216,0)),"Multiple strategies"))</f>
        <v>Silviculture for removals</v>
      </c>
      <c r="BG1216" s="178" t="s">
        <v>321</v>
      </c>
      <c r="BH1216" s="264" t="s">
        <v>2143</v>
      </c>
      <c r="BI1216" s="264" t="s">
        <v>701</v>
      </c>
      <c r="BJ1216" s="160" t="s">
        <v>700</v>
      </c>
      <c r="BK1216">
        <v>7.3</v>
      </c>
      <c r="BL1216">
        <v>7.6</v>
      </c>
      <c r="BN1216">
        <f t="shared" si="1610"/>
        <v>0.29999999999999982</v>
      </c>
      <c r="BO1216">
        <f t="shared" si="1627"/>
        <v>0.29999999999999982</v>
      </c>
      <c r="BP1216" s="155" t="s">
        <v>232</v>
      </c>
      <c r="BQ1216" s="264" t="s">
        <v>786</v>
      </c>
      <c r="BR1216" s="270" t="s">
        <v>2144</v>
      </c>
      <c r="BS1216" s="264">
        <f>172.8/50</f>
        <v>3.4560000000000004</v>
      </c>
      <c r="BT1216" s="264">
        <f>147.4/50</f>
        <v>2.948</v>
      </c>
      <c r="BU1216" s="144"/>
      <c r="BV1216">
        <f t="shared" si="1613"/>
        <v>-0.50800000000000045</v>
      </c>
      <c r="BX1216">
        <f t="shared" si="1628"/>
        <v>-0.50800000000000045</v>
      </c>
      <c r="BY1216">
        <f t="shared" si="1591"/>
        <v>-1.6933333333333358</v>
      </c>
      <c r="BZ1216">
        <v>0</v>
      </c>
      <c r="CA1216">
        <v>0</v>
      </c>
      <c r="CB1216">
        <v>0</v>
      </c>
      <c r="CC1216">
        <v>0</v>
      </c>
      <c r="CD1216">
        <v>0</v>
      </c>
      <c r="CE1216">
        <v>0</v>
      </c>
      <c r="CF1216">
        <v>0</v>
      </c>
      <c r="CG1216">
        <v>0</v>
      </c>
      <c r="CH1216">
        <v>0</v>
      </c>
      <c r="CI1216">
        <v>0</v>
      </c>
      <c r="CJ1216">
        <v>0</v>
      </c>
      <c r="CK1216">
        <v>0</v>
      </c>
      <c r="CL1216">
        <v>0</v>
      </c>
      <c r="CM1216">
        <v>0</v>
      </c>
      <c r="CN1216" t="str">
        <f t="shared" si="1600"/>
        <v>refOK</v>
      </c>
      <c r="CO1216">
        <f t="shared" si="1615"/>
        <v>7.3</v>
      </c>
      <c r="CP1216">
        <f t="shared" si="1616"/>
        <v>7.6</v>
      </c>
      <c r="CQ1216">
        <f t="shared" si="1617"/>
        <v>0.29999999999999982</v>
      </c>
      <c r="CR1216">
        <f t="shared" si="1601"/>
        <v>3.4560000000000004</v>
      </c>
      <c r="CS1216">
        <f t="shared" si="1602"/>
        <v>2.948</v>
      </c>
      <c r="CT1216">
        <f t="shared" si="1603"/>
        <v>-0.50800000000000045</v>
      </c>
      <c r="CU1216">
        <f t="shared" si="1604"/>
        <v>-1.6933333333333358</v>
      </c>
      <c r="CV1216" s="2">
        <f t="shared" si="1605"/>
        <v>-0.14699074074074087</v>
      </c>
      <c r="CW1216" s="1" t="s">
        <v>1198</v>
      </c>
      <c r="CX1216" s="264" t="str">
        <f t="shared" si="1606"/>
        <v>reg</v>
      </c>
      <c r="CY1216" t="s">
        <v>235</v>
      </c>
      <c r="DB1216">
        <v>50</v>
      </c>
      <c r="DC1216" t="str">
        <f t="shared" si="1607"/>
        <v>31-70</v>
      </c>
      <c r="DD1216">
        <v>0</v>
      </c>
      <c r="DE1216">
        <v>1</v>
      </c>
      <c r="DF1216">
        <v>1</v>
      </c>
      <c r="DG1216">
        <v>1</v>
      </c>
      <c r="DI1216">
        <f t="shared" si="1621"/>
        <v>3</v>
      </c>
      <c r="DJ1216" t="str">
        <f t="shared" si="1608"/>
        <v>mixedProduct</v>
      </c>
      <c r="DK1216">
        <f t="shared" si="1622"/>
        <v>0</v>
      </c>
      <c r="DL1216" t="str">
        <f t="shared" si="1623"/>
        <v>Energy</v>
      </c>
      <c r="DM1216" t="str">
        <f t="shared" si="1624"/>
        <v>Pulp/Paper</v>
      </c>
      <c r="DN1216" t="str">
        <f t="shared" si="1625"/>
        <v>Timber</v>
      </c>
      <c r="DO1216">
        <v>0</v>
      </c>
      <c r="DP1216">
        <v>1</v>
      </c>
      <c r="DQ1216" t="s">
        <v>2145</v>
      </c>
      <c r="DR1216">
        <v>0</v>
      </c>
      <c r="DS1216">
        <v>0</v>
      </c>
      <c r="DT1216">
        <f t="shared" si="1629"/>
        <v>1</v>
      </c>
      <c r="DU1216" s="143" t="str">
        <f t="shared" si="1626"/>
        <v>external DF used</v>
      </c>
      <c r="DV1216">
        <v>1</v>
      </c>
      <c r="DW1216">
        <v>1</v>
      </c>
      <c r="DX1216">
        <v>1</v>
      </c>
      <c r="DY1216">
        <v>0</v>
      </c>
      <c r="DZ1216">
        <v>0</v>
      </c>
      <c r="EA1216" s="143">
        <v>0</v>
      </c>
      <c r="EB1216">
        <v>0</v>
      </c>
      <c r="EC1216">
        <v>0</v>
      </c>
      <c r="ED1216">
        <v>0</v>
      </c>
      <c r="EE1216">
        <v>0</v>
      </c>
      <c r="EF1216">
        <v>1</v>
      </c>
      <c r="EG1216">
        <v>0</v>
      </c>
      <c r="EH1216">
        <v>0</v>
      </c>
      <c r="EI1216" s="2">
        <v>0</v>
      </c>
      <c r="EK1216" t="str">
        <f t="shared" si="1619"/>
        <v/>
      </c>
      <c r="EL1216" t="str">
        <f t="shared" si="1620"/>
        <v>Ecosystem approach</v>
      </c>
      <c r="EM1216" s="2" t="str">
        <f t="shared" si="1592"/>
        <v/>
      </c>
      <c r="EP1216" t="str">
        <f>IF(ISNUMBER(BU1216),IF(ABS(BU1216-[4]QC_indicators!$B$2)&gt;3*[4]QC_indicators!$C$2,"C ratio",IF(ISNUMBER(BY1216),IF(ABS(BY1216-[4]QC_indicators!$B$1)&gt;3*[4]QC_indicators!$C$1,"DF","no"))),IF(ISNUMBER(BY1216),IF(ABS(BY1216-[4]QC_indicators!$B$1)&gt;3*[4]QC_indicators!$C$1,"DF","no")))</f>
        <v>no</v>
      </c>
      <c r="ET1216" s="264" t="s">
        <v>3406</v>
      </c>
    </row>
    <row r="1217" spans="1:150" ht="15" hidden="1" customHeight="1">
      <c r="A1217" s="1" t="s">
        <v>1359</v>
      </c>
      <c r="B1217" t="s">
        <v>2134</v>
      </c>
      <c r="C1217" t="s">
        <v>2135</v>
      </c>
      <c r="D1217" t="s">
        <v>2136</v>
      </c>
      <c r="E1217" t="s">
        <v>2137</v>
      </c>
      <c r="F1217" t="s">
        <v>2138</v>
      </c>
      <c r="G1217" t="s">
        <v>1365</v>
      </c>
      <c r="H1217" t="s">
        <v>254</v>
      </c>
      <c r="I1217">
        <v>2012</v>
      </c>
      <c r="J1217">
        <v>21</v>
      </c>
      <c r="K1217" t="s">
        <v>2139</v>
      </c>
      <c r="L1217" s="192"/>
      <c r="M1217" t="str">
        <f t="shared" ref="M1217:M1280" si="1630">LEFT($D1217,FIND(",",$D1217)-1)&amp;"_"&amp;I1217&amp;L1217</f>
        <v>Pyorala_2012</v>
      </c>
      <c r="N1217" t="s">
        <v>222</v>
      </c>
      <c r="O1217" s="145" t="s">
        <v>341</v>
      </c>
      <c r="P1217" s="180" t="s">
        <v>223</v>
      </c>
      <c r="Q1217" s="264" t="s">
        <v>256</v>
      </c>
      <c r="R1217" s="269" t="s">
        <v>1153</v>
      </c>
      <c r="S1217" s="263" t="s">
        <v>2140</v>
      </c>
      <c r="T1217" s="264" t="s">
        <v>2147</v>
      </c>
      <c r="U1217" s="264" t="s">
        <v>2142</v>
      </c>
      <c r="V1217">
        <v>0</v>
      </c>
      <c r="W1217">
        <v>0</v>
      </c>
      <c r="X1217">
        <v>0</v>
      </c>
      <c r="Y1217">
        <v>1</v>
      </c>
      <c r="Z1217">
        <v>0</v>
      </c>
      <c r="AA1217">
        <v>0</v>
      </c>
      <c r="AB1217">
        <v>0</v>
      </c>
      <c r="AC1217">
        <v>0</v>
      </c>
      <c r="AD1217">
        <v>0</v>
      </c>
      <c r="AE1217">
        <v>0</v>
      </c>
      <c r="AF1217">
        <v>0</v>
      </c>
      <c r="AG1217">
        <v>0</v>
      </c>
      <c r="AH1217">
        <v>0</v>
      </c>
      <c r="AI1217">
        <v>0</v>
      </c>
      <c r="AJ1217">
        <v>0</v>
      </c>
      <c r="AK1217">
        <v>0</v>
      </c>
      <c r="AL1217">
        <v>0</v>
      </c>
      <c r="AM1217">
        <v>0</v>
      </c>
      <c r="AN1217">
        <v>0</v>
      </c>
      <c r="AO1217">
        <v>0</v>
      </c>
      <c r="AP1217">
        <v>0</v>
      </c>
      <c r="AQ1217">
        <v>0</v>
      </c>
      <c r="AR1217">
        <v>0</v>
      </c>
      <c r="AS1217">
        <v>0</v>
      </c>
      <c r="AT1217">
        <v>0</v>
      </c>
      <c r="AU1217">
        <v>0</v>
      </c>
      <c r="AV1217">
        <v>0</v>
      </c>
      <c r="AW1217">
        <v>0</v>
      </c>
      <c r="AX1217" s="141">
        <f t="shared" si="1593"/>
        <v>1</v>
      </c>
      <c r="AY1217" s="141">
        <f t="shared" si="1594"/>
        <v>1</v>
      </c>
      <c r="AZ1217">
        <f t="shared" si="1595"/>
        <v>1</v>
      </c>
      <c r="BA1217">
        <f t="shared" si="1596"/>
        <v>0</v>
      </c>
      <c r="BB1217">
        <f t="shared" si="1597"/>
        <v>0</v>
      </c>
      <c r="BC1217">
        <f t="shared" si="1598"/>
        <v>0</v>
      </c>
      <c r="BD1217">
        <f t="shared" si="1599"/>
        <v>0</v>
      </c>
      <c r="BE1217" t="str" cm="1">
        <f t="array" ref="BE1217">IF(AY1217=1,INDEX($V$7:$AL$7,MATCH(TRUE,INDEX($V1217:$AW1217&lt;&gt;0,),0)),IF(AY1217=0,INDEX($AM$7:$AW$7,MATCH(1,$AM1217:$AW1217,0)),IF(BF1217="Multiple strategies","mixed drivers",IF(BF1217="Supply chain","multiple supply","multiple silviculture"))))</f>
        <v xml:space="preserve">cutting intensity </v>
      </c>
      <c r="BF1217" s="2" t="str" cm="1">
        <f t="array" ref="BF1217">IF(COUNTIF(AZ1217:BB1217,"&lt;&gt;0")=1,INDEX($V$4:$AW$4,MATCH(TRUE,INDEX($V1217:$AW1217&lt;&gt;0,),0)),IF(COUNTIF(AZ1217:BB1217,"&lt;&gt;0")=0,INDEX($AM$4:$AW$4,MATCH(1,$AM1217:$AW1217,0)),"Multiple strategies"))</f>
        <v>Silviculture for removals</v>
      </c>
      <c r="BG1217" s="178" t="s">
        <v>321</v>
      </c>
      <c r="BH1217" s="264" t="s">
        <v>2143</v>
      </c>
      <c r="BI1217" s="264" t="s">
        <v>701</v>
      </c>
      <c r="BJ1217" s="160" t="s">
        <v>700</v>
      </c>
      <c r="BK1217">
        <v>8.1</v>
      </c>
      <c r="BL1217">
        <v>8.4</v>
      </c>
      <c r="BN1217">
        <f t="shared" si="1610"/>
        <v>0.30000000000000071</v>
      </c>
      <c r="BO1217">
        <f t="shared" si="1627"/>
        <v>0.30000000000000071</v>
      </c>
      <c r="BP1217" s="155" t="s">
        <v>232</v>
      </c>
      <c r="BQ1217" s="264" t="s">
        <v>786</v>
      </c>
      <c r="BR1217" s="270" t="s">
        <v>2144</v>
      </c>
      <c r="BS1217" s="264">
        <f>136.6/80</f>
        <v>1.7075</v>
      </c>
      <c r="BT1217" s="264">
        <f>113.9/80</f>
        <v>1.4237500000000001</v>
      </c>
      <c r="BU1217" s="144"/>
      <c r="BV1217">
        <f t="shared" si="1613"/>
        <v>-0.28374999999999995</v>
      </c>
      <c r="BX1217">
        <f t="shared" si="1628"/>
        <v>-0.28374999999999995</v>
      </c>
      <c r="BY1217">
        <f t="shared" si="1591"/>
        <v>-0.94583333333333086</v>
      </c>
      <c r="BZ1217">
        <v>0</v>
      </c>
      <c r="CA1217">
        <v>0</v>
      </c>
      <c r="CB1217">
        <v>0</v>
      </c>
      <c r="CC1217">
        <v>0</v>
      </c>
      <c r="CD1217">
        <v>0</v>
      </c>
      <c r="CE1217">
        <v>0</v>
      </c>
      <c r="CF1217">
        <v>0</v>
      </c>
      <c r="CG1217">
        <v>0</v>
      </c>
      <c r="CH1217">
        <v>0</v>
      </c>
      <c r="CI1217">
        <v>0</v>
      </c>
      <c r="CJ1217">
        <v>0</v>
      </c>
      <c r="CK1217">
        <v>0</v>
      </c>
      <c r="CL1217">
        <v>0</v>
      </c>
      <c r="CM1217">
        <v>0</v>
      </c>
      <c r="CN1217" t="str">
        <f t="shared" si="1600"/>
        <v>refOK</v>
      </c>
      <c r="CO1217">
        <f t="shared" si="1615"/>
        <v>8.1</v>
      </c>
      <c r="CP1217">
        <f t="shared" si="1616"/>
        <v>8.4</v>
      </c>
      <c r="CQ1217">
        <f t="shared" si="1617"/>
        <v>0.30000000000000071</v>
      </c>
      <c r="CR1217">
        <f t="shared" si="1601"/>
        <v>1.7075</v>
      </c>
      <c r="CS1217">
        <f t="shared" si="1602"/>
        <v>1.4237500000000001</v>
      </c>
      <c r="CT1217">
        <f t="shared" si="1603"/>
        <v>-0.28374999999999995</v>
      </c>
      <c r="CU1217">
        <f t="shared" si="1604"/>
        <v>-0.94583333333333086</v>
      </c>
      <c r="CV1217" s="2">
        <f t="shared" si="1605"/>
        <v>-0.16617862371888723</v>
      </c>
      <c r="CW1217" s="1" t="s">
        <v>1198</v>
      </c>
      <c r="CX1217" s="264" t="str">
        <f t="shared" si="1606"/>
        <v>reg</v>
      </c>
      <c r="CY1217" t="s">
        <v>235</v>
      </c>
      <c r="DB1217">
        <v>80</v>
      </c>
      <c r="DC1217" t="str">
        <f t="shared" si="1607"/>
        <v>71-100</v>
      </c>
      <c r="DD1217">
        <v>0</v>
      </c>
      <c r="DE1217">
        <v>1</v>
      </c>
      <c r="DF1217">
        <v>1</v>
      </c>
      <c r="DG1217">
        <v>1</v>
      </c>
      <c r="DI1217">
        <f t="shared" si="1621"/>
        <v>3</v>
      </c>
      <c r="DJ1217" t="str">
        <f t="shared" si="1608"/>
        <v>mixedProduct</v>
      </c>
      <c r="DK1217">
        <f t="shared" si="1622"/>
        <v>0</v>
      </c>
      <c r="DL1217" t="str">
        <f t="shared" si="1623"/>
        <v>Energy</v>
      </c>
      <c r="DM1217" t="str">
        <f t="shared" si="1624"/>
        <v>Pulp/Paper</v>
      </c>
      <c r="DN1217" t="str">
        <f t="shared" si="1625"/>
        <v>Timber</v>
      </c>
      <c r="DO1217">
        <v>0</v>
      </c>
      <c r="DP1217">
        <v>1</v>
      </c>
      <c r="DQ1217" t="s">
        <v>2145</v>
      </c>
      <c r="DR1217">
        <v>0</v>
      </c>
      <c r="DS1217">
        <v>0</v>
      </c>
      <c r="DT1217">
        <f t="shared" si="1629"/>
        <v>1</v>
      </c>
      <c r="DU1217" s="143" t="str">
        <f t="shared" si="1626"/>
        <v>external DF used</v>
      </c>
      <c r="DV1217">
        <v>1</v>
      </c>
      <c r="DW1217">
        <v>1</v>
      </c>
      <c r="DX1217">
        <v>1</v>
      </c>
      <c r="DY1217">
        <v>0</v>
      </c>
      <c r="DZ1217">
        <v>0</v>
      </c>
      <c r="EA1217" s="143">
        <v>0</v>
      </c>
      <c r="EB1217">
        <v>0</v>
      </c>
      <c r="EC1217">
        <v>0</v>
      </c>
      <c r="ED1217">
        <v>0</v>
      </c>
      <c r="EE1217">
        <v>0</v>
      </c>
      <c r="EF1217">
        <v>1</v>
      </c>
      <c r="EG1217">
        <v>0</v>
      </c>
      <c r="EH1217">
        <v>0</v>
      </c>
      <c r="EI1217" s="2">
        <v>0</v>
      </c>
      <c r="EK1217" t="str">
        <f t="shared" si="1619"/>
        <v/>
      </c>
      <c r="EL1217" t="str">
        <f t="shared" si="1620"/>
        <v>Ecosystem approach</v>
      </c>
      <c r="EM1217" s="2" t="str">
        <f t="shared" si="1592"/>
        <v/>
      </c>
      <c r="EP1217" t="str">
        <f>IF(ISNUMBER(BU1217),IF(ABS(BU1217-[4]QC_indicators!$B$2)&gt;3*[4]QC_indicators!$C$2,"C ratio",IF(ISNUMBER(BY1217),IF(ABS(BY1217-[4]QC_indicators!$B$1)&gt;3*[4]QC_indicators!$C$1,"DF","no"))),IF(ISNUMBER(BY1217),IF(ABS(BY1217-[4]QC_indicators!$B$1)&gt;3*[4]QC_indicators!$C$1,"DF","no")))</f>
        <v>no</v>
      </c>
      <c r="ET1217" s="264" t="s">
        <v>3406</v>
      </c>
    </row>
    <row r="1218" spans="1:150" ht="15" hidden="1" customHeight="1">
      <c r="A1218" s="1" t="s">
        <v>1359</v>
      </c>
      <c r="B1218" t="s">
        <v>2134</v>
      </c>
      <c r="C1218" t="s">
        <v>2135</v>
      </c>
      <c r="D1218" t="s">
        <v>2136</v>
      </c>
      <c r="E1218" t="s">
        <v>2137</v>
      </c>
      <c r="F1218" t="s">
        <v>2138</v>
      </c>
      <c r="G1218" t="s">
        <v>1365</v>
      </c>
      <c r="H1218" t="s">
        <v>254</v>
      </c>
      <c r="I1218">
        <v>2012</v>
      </c>
      <c r="J1218">
        <v>21</v>
      </c>
      <c r="K1218" t="s">
        <v>2139</v>
      </c>
      <c r="L1218" s="192"/>
      <c r="M1218" t="str">
        <f t="shared" si="1630"/>
        <v>Pyorala_2012</v>
      </c>
      <c r="N1218" t="s">
        <v>222</v>
      </c>
      <c r="O1218" s="145" t="s">
        <v>341</v>
      </c>
      <c r="P1218" s="180" t="s">
        <v>223</v>
      </c>
      <c r="Q1218" s="264" t="s">
        <v>256</v>
      </c>
      <c r="R1218" s="269" t="s">
        <v>1153</v>
      </c>
      <c r="S1218" s="263" t="s">
        <v>2146</v>
      </c>
      <c r="T1218" s="264" t="s">
        <v>2142</v>
      </c>
      <c r="U1218" s="264" t="s">
        <v>2147</v>
      </c>
      <c r="V1218">
        <v>0</v>
      </c>
      <c r="W1218">
        <v>0</v>
      </c>
      <c r="X1218">
        <v>0</v>
      </c>
      <c r="Y1218">
        <v>1</v>
      </c>
      <c r="Z1218">
        <v>0</v>
      </c>
      <c r="AA1218">
        <v>0</v>
      </c>
      <c r="AB1218">
        <v>0</v>
      </c>
      <c r="AC1218">
        <v>0</v>
      </c>
      <c r="AD1218">
        <v>0</v>
      </c>
      <c r="AE1218">
        <v>0</v>
      </c>
      <c r="AF1218">
        <v>0</v>
      </c>
      <c r="AG1218">
        <v>0</v>
      </c>
      <c r="AH1218">
        <v>0</v>
      </c>
      <c r="AI1218">
        <v>0</v>
      </c>
      <c r="AJ1218">
        <v>0</v>
      </c>
      <c r="AK1218">
        <v>0</v>
      </c>
      <c r="AL1218">
        <v>0</v>
      </c>
      <c r="AM1218">
        <v>0</v>
      </c>
      <c r="AN1218">
        <v>0</v>
      </c>
      <c r="AO1218">
        <v>0</v>
      </c>
      <c r="AP1218">
        <v>0</v>
      </c>
      <c r="AQ1218">
        <v>0</v>
      </c>
      <c r="AR1218">
        <v>0</v>
      </c>
      <c r="AS1218">
        <v>0</v>
      </c>
      <c r="AT1218">
        <v>0</v>
      </c>
      <c r="AU1218">
        <v>0</v>
      </c>
      <c r="AV1218">
        <v>0</v>
      </c>
      <c r="AW1218">
        <v>0</v>
      </c>
      <c r="AX1218" s="141">
        <f t="shared" si="1593"/>
        <v>1</v>
      </c>
      <c r="AY1218" s="141">
        <f t="shared" si="1594"/>
        <v>1</v>
      </c>
      <c r="AZ1218">
        <f t="shared" si="1595"/>
        <v>1</v>
      </c>
      <c r="BA1218">
        <f t="shared" si="1596"/>
        <v>0</v>
      </c>
      <c r="BB1218">
        <f t="shared" si="1597"/>
        <v>0</v>
      </c>
      <c r="BC1218">
        <f t="shared" si="1598"/>
        <v>0</v>
      </c>
      <c r="BD1218">
        <f t="shared" si="1599"/>
        <v>0</v>
      </c>
      <c r="BE1218" t="str" cm="1">
        <f t="array" ref="BE1218">IF(AY1218=1,INDEX($V$7:$AL$7,MATCH(TRUE,INDEX($V1218:$AW1218&lt;&gt;0,),0)),IF(AY1218=0,INDEX($AM$7:$AW$7,MATCH(1,$AM1218:$AW1218,0)),IF(BF1218="Multiple strategies","mixed drivers",IF(BF1218="Supply chain","multiple supply","multiple silviculture"))))</f>
        <v xml:space="preserve">cutting intensity </v>
      </c>
      <c r="BF1218" s="2" t="str" cm="1">
        <f t="array" ref="BF1218">IF(COUNTIF(AZ1218:BB1218,"&lt;&gt;0")=1,INDEX($V$4:$AW$4,MATCH(TRUE,INDEX($V1218:$AW1218&lt;&gt;0,),0)),IF(COUNTIF(AZ1218:BB1218,"&lt;&gt;0")=0,INDEX($AM$4:$AW$4,MATCH(1,$AM1218:$AW1218,0)),"Multiple strategies"))</f>
        <v>Silviculture for removals</v>
      </c>
      <c r="BG1218" s="178" t="s">
        <v>321</v>
      </c>
      <c r="BH1218" s="264" t="s">
        <v>2143</v>
      </c>
      <c r="BI1218" s="264" t="s">
        <v>701</v>
      </c>
      <c r="BJ1218" s="160" t="s">
        <v>700</v>
      </c>
      <c r="BK1218">
        <v>7.6</v>
      </c>
      <c r="BL1218">
        <v>7.9</v>
      </c>
      <c r="BN1218">
        <f t="shared" si="1610"/>
        <v>0.30000000000000071</v>
      </c>
      <c r="BO1218">
        <f t="shared" si="1627"/>
        <v>0.30000000000000071</v>
      </c>
      <c r="BP1218" s="155" t="s">
        <v>395</v>
      </c>
      <c r="BQ1218" s="264" t="s">
        <v>783</v>
      </c>
      <c r="BR1218" s="155" t="s">
        <v>279</v>
      </c>
      <c r="BS1218">
        <v>0.6</v>
      </c>
      <c r="BT1218">
        <v>0.4</v>
      </c>
      <c r="BU1218" s="144"/>
      <c r="BV1218">
        <f t="shared" si="1613"/>
        <v>-0.19999999999999996</v>
      </c>
      <c r="BX1218">
        <f t="shared" si="1628"/>
        <v>-0.19999999999999996</v>
      </c>
      <c r="BY1218">
        <f t="shared" si="1591"/>
        <v>-0.66666666666666496</v>
      </c>
      <c r="BZ1218">
        <v>0</v>
      </c>
      <c r="CA1218">
        <v>0</v>
      </c>
      <c r="CB1218">
        <v>0</v>
      </c>
      <c r="CC1218">
        <v>0</v>
      </c>
      <c r="CD1218">
        <v>0</v>
      </c>
      <c r="CE1218">
        <v>0</v>
      </c>
      <c r="CF1218">
        <v>0</v>
      </c>
      <c r="CG1218">
        <v>0</v>
      </c>
      <c r="CH1218">
        <v>0</v>
      </c>
      <c r="CI1218">
        <v>0</v>
      </c>
      <c r="CJ1218">
        <v>0</v>
      </c>
      <c r="CK1218">
        <v>0</v>
      </c>
      <c r="CL1218">
        <v>0</v>
      </c>
      <c r="CM1218">
        <v>0</v>
      </c>
      <c r="CN1218" t="str">
        <f t="shared" si="1600"/>
        <v>refOK</v>
      </c>
      <c r="CO1218">
        <f t="shared" si="1615"/>
        <v>7.6</v>
      </c>
      <c r="CP1218">
        <f t="shared" si="1616"/>
        <v>7.9</v>
      </c>
      <c r="CQ1218">
        <f t="shared" si="1617"/>
        <v>0.30000000000000071</v>
      </c>
      <c r="CR1218">
        <f t="shared" si="1601"/>
        <v>-0.6</v>
      </c>
      <c r="CS1218">
        <f t="shared" si="1602"/>
        <v>-0.4</v>
      </c>
      <c r="CT1218">
        <f t="shared" si="1603"/>
        <v>0.19999999999999996</v>
      </c>
      <c r="CU1218">
        <f t="shared" si="1604"/>
        <v>0.66666666666666496</v>
      </c>
      <c r="CV1218" s="2">
        <f t="shared" si="1605"/>
        <v>0.33333333333333326</v>
      </c>
      <c r="CW1218" s="1" t="s">
        <v>1198</v>
      </c>
      <c r="CX1218" s="264" t="str">
        <f t="shared" si="1606"/>
        <v>reg</v>
      </c>
      <c r="CY1218" t="s">
        <v>235</v>
      </c>
      <c r="DB1218">
        <v>50</v>
      </c>
      <c r="DC1218" t="str">
        <f t="shared" si="1607"/>
        <v>31-70</v>
      </c>
      <c r="DD1218">
        <v>0</v>
      </c>
      <c r="DE1218">
        <v>1</v>
      </c>
      <c r="DF1218">
        <v>1</v>
      </c>
      <c r="DG1218">
        <v>1</v>
      </c>
      <c r="DI1218">
        <f t="shared" si="1621"/>
        <v>3</v>
      </c>
      <c r="DJ1218" t="str">
        <f t="shared" si="1608"/>
        <v>mixedProduct</v>
      </c>
      <c r="DK1218">
        <f t="shared" si="1622"/>
        <v>0</v>
      </c>
      <c r="DL1218" t="str">
        <f t="shared" si="1623"/>
        <v>Energy</v>
      </c>
      <c r="DM1218" t="str">
        <f t="shared" si="1624"/>
        <v>Pulp/Paper</v>
      </c>
      <c r="DN1218" t="str">
        <f t="shared" si="1625"/>
        <v>Timber</v>
      </c>
      <c r="DO1218">
        <v>0</v>
      </c>
      <c r="DP1218">
        <v>1</v>
      </c>
      <c r="DQ1218" t="s">
        <v>2145</v>
      </c>
      <c r="DR1218">
        <v>0</v>
      </c>
      <c r="DS1218">
        <v>0</v>
      </c>
      <c r="DT1218">
        <f t="shared" si="1629"/>
        <v>1</v>
      </c>
      <c r="DU1218" s="143" t="str">
        <f t="shared" si="1626"/>
        <v>external DF used</v>
      </c>
      <c r="DV1218">
        <v>1</v>
      </c>
      <c r="DW1218">
        <v>1</v>
      </c>
      <c r="DX1218">
        <v>1</v>
      </c>
      <c r="DY1218">
        <v>0</v>
      </c>
      <c r="DZ1218">
        <v>1</v>
      </c>
      <c r="EA1218">
        <v>0</v>
      </c>
      <c r="EB1218">
        <v>1</v>
      </c>
      <c r="EC1218">
        <v>1</v>
      </c>
      <c r="ED1218">
        <v>0</v>
      </c>
      <c r="EE1218">
        <v>0</v>
      </c>
      <c r="EF1218">
        <v>1</v>
      </c>
      <c r="EG1218">
        <v>0</v>
      </c>
      <c r="EH1218">
        <v>0</v>
      </c>
      <c r="EI1218" s="2">
        <v>0</v>
      </c>
      <c r="EK1218" t="str">
        <f t="shared" si="1619"/>
        <v>Whole sector</v>
      </c>
      <c r="EL1218" t="str">
        <f t="shared" si="1620"/>
        <v/>
      </c>
      <c r="EM1218" s="2" t="str">
        <f t="shared" si="1592"/>
        <v/>
      </c>
      <c r="EP1218" t="str">
        <f>IF(ISNUMBER(BU1218),IF(ABS(BU1218-[4]QC_indicators!$B$2)&gt;3*[4]QC_indicators!$C$2,"C ratio",IF(ISNUMBER(BY1218),IF(ABS(BY1218-[4]QC_indicators!$B$1)&gt;3*[4]QC_indicators!$C$1,"DF","no"))),IF(ISNUMBER(BY1218),IF(ABS(BY1218-[4]QC_indicators!$B$1)&gt;3*[4]QC_indicators!$C$1,"DF","no")))</f>
        <v>no</v>
      </c>
      <c r="ET1218" s="264" t="s">
        <v>3406</v>
      </c>
    </row>
    <row r="1219" spans="1:150" ht="15" hidden="1" customHeight="1">
      <c r="A1219" s="1" t="s">
        <v>1359</v>
      </c>
      <c r="B1219" t="s">
        <v>2134</v>
      </c>
      <c r="C1219" t="s">
        <v>2135</v>
      </c>
      <c r="D1219" t="s">
        <v>2136</v>
      </c>
      <c r="E1219" t="s">
        <v>2137</v>
      </c>
      <c r="F1219" t="s">
        <v>2138</v>
      </c>
      <c r="G1219" t="s">
        <v>1365</v>
      </c>
      <c r="H1219" t="s">
        <v>254</v>
      </c>
      <c r="I1219">
        <v>2012</v>
      </c>
      <c r="J1219">
        <v>21</v>
      </c>
      <c r="K1219" t="s">
        <v>2139</v>
      </c>
      <c r="L1219" s="192"/>
      <c r="M1219" t="str">
        <f t="shared" si="1630"/>
        <v>Pyorala_2012</v>
      </c>
      <c r="N1219" t="s">
        <v>222</v>
      </c>
      <c r="O1219" s="145" t="s">
        <v>341</v>
      </c>
      <c r="P1219" s="180" t="s">
        <v>223</v>
      </c>
      <c r="Q1219" s="264" t="s">
        <v>256</v>
      </c>
      <c r="R1219" s="269" t="s">
        <v>1153</v>
      </c>
      <c r="S1219" s="263" t="s">
        <v>2150</v>
      </c>
      <c r="T1219" s="264" t="s">
        <v>2142</v>
      </c>
      <c r="U1219" s="264" t="s">
        <v>2151</v>
      </c>
      <c r="V1219">
        <v>0</v>
      </c>
      <c r="W1219">
        <v>0</v>
      </c>
      <c r="X1219">
        <v>0</v>
      </c>
      <c r="Y1219">
        <v>0</v>
      </c>
      <c r="Z1219">
        <v>0</v>
      </c>
      <c r="AA1219">
        <v>0</v>
      </c>
      <c r="AB1219">
        <v>1</v>
      </c>
      <c r="AC1219">
        <v>0</v>
      </c>
      <c r="AD1219">
        <v>0</v>
      </c>
      <c r="AE1219">
        <v>0</v>
      </c>
      <c r="AF1219">
        <v>0</v>
      </c>
      <c r="AG1219">
        <v>0</v>
      </c>
      <c r="AH1219">
        <v>0</v>
      </c>
      <c r="AI1219">
        <v>0</v>
      </c>
      <c r="AJ1219">
        <v>0</v>
      </c>
      <c r="AK1219">
        <v>0</v>
      </c>
      <c r="AL1219">
        <v>0</v>
      </c>
      <c r="AM1219">
        <v>0</v>
      </c>
      <c r="AN1219">
        <v>0</v>
      </c>
      <c r="AO1219">
        <v>0</v>
      </c>
      <c r="AP1219">
        <v>0</v>
      </c>
      <c r="AQ1219">
        <v>0</v>
      </c>
      <c r="AR1219">
        <v>0</v>
      </c>
      <c r="AS1219">
        <v>0</v>
      </c>
      <c r="AT1219">
        <v>0</v>
      </c>
      <c r="AU1219">
        <v>0</v>
      </c>
      <c r="AV1219">
        <v>0</v>
      </c>
      <c r="AW1219">
        <v>0</v>
      </c>
      <c r="AX1219" s="141">
        <f t="shared" si="1593"/>
        <v>1</v>
      </c>
      <c r="AY1219" s="141">
        <f t="shared" si="1594"/>
        <v>1</v>
      </c>
      <c r="AZ1219">
        <f t="shared" si="1595"/>
        <v>1</v>
      </c>
      <c r="BA1219">
        <f t="shared" si="1596"/>
        <v>0</v>
      </c>
      <c r="BB1219">
        <f t="shared" si="1597"/>
        <v>0</v>
      </c>
      <c r="BC1219">
        <f t="shared" si="1598"/>
        <v>0</v>
      </c>
      <c r="BD1219">
        <f t="shared" si="1599"/>
        <v>0</v>
      </c>
      <c r="BE1219" t="str" cm="1">
        <f t="array" ref="BE1219">IF(AY1219=1,INDEX($V$7:$AL$7,MATCH(TRUE,INDEX($V1219:$AW1219&lt;&gt;0,),0)),IF(AY1219=0,INDEX($AM$7:$AW$7,MATCH(1,$AM1219:$AW1219,0)),IF(BF1219="Multiple strategies","mixed drivers",IF(BF1219="Supply chain","multiple supply","multiple silviculture"))))</f>
        <v>fertilisation</v>
      </c>
      <c r="BF1219" s="2" t="str" cm="1">
        <f t="array" ref="BF1219">IF(COUNTIF(AZ1219:BB1219,"&lt;&gt;0")=1,INDEX($V$4:$AW$4,MATCH(TRUE,INDEX($V1219:$AW1219&lt;&gt;0,),0)),IF(COUNTIF(AZ1219:BB1219,"&lt;&gt;0")=0,INDEX($AM$4:$AW$4,MATCH(1,$AM1219:$AW1219,0)),"Multiple strategies"))</f>
        <v>Silviculture for productivity</v>
      </c>
      <c r="BG1219" s="178" t="s">
        <v>321</v>
      </c>
      <c r="BH1219" s="264" t="s">
        <v>2143</v>
      </c>
      <c r="BI1219" s="264" t="s">
        <v>426</v>
      </c>
      <c r="BJ1219" s="160" t="s">
        <v>700</v>
      </c>
      <c r="BK1219">
        <v>8.4</v>
      </c>
      <c r="BL1219">
        <v>8.6999999999999993</v>
      </c>
      <c r="BN1219">
        <f t="shared" si="1610"/>
        <v>0.29999999999999893</v>
      </c>
      <c r="BO1219">
        <f t="shared" si="1627"/>
        <v>0.29999999999999893</v>
      </c>
      <c r="BP1219" s="155" t="s">
        <v>395</v>
      </c>
      <c r="BQ1219" s="264" t="s">
        <v>783</v>
      </c>
      <c r="BR1219" s="155" t="s">
        <v>279</v>
      </c>
      <c r="BS1219">
        <v>1.1000000000000001</v>
      </c>
      <c r="BT1219">
        <v>1</v>
      </c>
      <c r="BU1219" s="144"/>
      <c r="BV1219">
        <f t="shared" si="1613"/>
        <v>-0.10000000000000009</v>
      </c>
      <c r="BX1219">
        <f t="shared" si="1628"/>
        <v>-0.10000000000000009</v>
      </c>
      <c r="BY1219">
        <f t="shared" si="1591"/>
        <v>-0.33333333333333481</v>
      </c>
      <c r="BZ1219">
        <v>0</v>
      </c>
      <c r="CA1219">
        <v>0</v>
      </c>
      <c r="CB1219">
        <v>0</v>
      </c>
      <c r="CC1219">
        <v>0</v>
      </c>
      <c r="CD1219">
        <v>0</v>
      </c>
      <c r="CE1219">
        <v>0</v>
      </c>
      <c r="CF1219">
        <v>0</v>
      </c>
      <c r="CG1219">
        <v>0</v>
      </c>
      <c r="CH1219">
        <v>0</v>
      </c>
      <c r="CI1219">
        <v>0</v>
      </c>
      <c r="CJ1219">
        <v>0</v>
      </c>
      <c r="CK1219">
        <v>0</v>
      </c>
      <c r="CL1219">
        <v>0</v>
      </c>
      <c r="CM1219">
        <v>0</v>
      </c>
      <c r="CN1219" t="str">
        <f t="shared" si="1600"/>
        <v>refOK</v>
      </c>
      <c r="CO1219">
        <f t="shared" si="1615"/>
        <v>8.4</v>
      </c>
      <c r="CP1219">
        <f t="shared" si="1616"/>
        <v>8.6999999999999993</v>
      </c>
      <c r="CQ1219">
        <f t="shared" si="1617"/>
        <v>0.29999999999999893</v>
      </c>
      <c r="CR1219">
        <f t="shared" si="1601"/>
        <v>-1.1000000000000001</v>
      </c>
      <c r="CS1219">
        <f t="shared" si="1602"/>
        <v>-1</v>
      </c>
      <c r="CT1219">
        <f t="shared" si="1603"/>
        <v>0.10000000000000009</v>
      </c>
      <c r="CU1219">
        <f t="shared" si="1604"/>
        <v>0.33333333333333481</v>
      </c>
      <c r="CV1219" s="2">
        <f t="shared" si="1605"/>
        <v>9.0909090909090981E-2</v>
      </c>
      <c r="CW1219" s="1" t="s">
        <v>1198</v>
      </c>
      <c r="CX1219" s="264" t="str">
        <f t="shared" si="1606"/>
        <v>reg</v>
      </c>
      <c r="CY1219" t="s">
        <v>235</v>
      </c>
      <c r="DB1219">
        <v>80</v>
      </c>
      <c r="DC1219" t="str">
        <f t="shared" si="1607"/>
        <v>71-100</v>
      </c>
      <c r="DD1219">
        <v>0</v>
      </c>
      <c r="DE1219">
        <v>1</v>
      </c>
      <c r="DF1219">
        <v>1</v>
      </c>
      <c r="DG1219">
        <v>1</v>
      </c>
      <c r="DI1219">
        <f t="shared" si="1621"/>
        <v>3</v>
      </c>
      <c r="DJ1219" t="str">
        <f t="shared" si="1608"/>
        <v>mixedProduct</v>
      </c>
      <c r="DK1219">
        <f t="shared" si="1622"/>
        <v>0</v>
      </c>
      <c r="DL1219" t="str">
        <f t="shared" si="1623"/>
        <v>Energy</v>
      </c>
      <c r="DM1219" t="str">
        <f t="shared" si="1624"/>
        <v>Pulp/Paper</v>
      </c>
      <c r="DN1219" t="str">
        <f t="shared" si="1625"/>
        <v>Timber</v>
      </c>
      <c r="DO1219">
        <v>0</v>
      </c>
      <c r="DP1219">
        <v>1</v>
      </c>
      <c r="DQ1219" t="s">
        <v>2145</v>
      </c>
      <c r="DR1219">
        <v>0</v>
      </c>
      <c r="DS1219">
        <v>0</v>
      </c>
      <c r="DT1219">
        <f t="shared" si="1629"/>
        <v>1</v>
      </c>
      <c r="DU1219" s="143" t="str">
        <f t="shared" si="1626"/>
        <v>external DF used</v>
      </c>
      <c r="DV1219">
        <v>1</v>
      </c>
      <c r="DW1219">
        <v>1</v>
      </c>
      <c r="DX1219">
        <v>1</v>
      </c>
      <c r="DY1219">
        <v>0</v>
      </c>
      <c r="DZ1219">
        <v>1</v>
      </c>
      <c r="EA1219">
        <v>0</v>
      </c>
      <c r="EB1219">
        <v>1</v>
      </c>
      <c r="EC1219">
        <v>1</v>
      </c>
      <c r="ED1219">
        <v>0</v>
      </c>
      <c r="EE1219">
        <v>0</v>
      </c>
      <c r="EF1219">
        <v>1</v>
      </c>
      <c r="EG1219">
        <v>0</v>
      </c>
      <c r="EH1219">
        <v>0</v>
      </c>
      <c r="EI1219" s="2">
        <v>0</v>
      </c>
      <c r="EK1219" t="str">
        <f t="shared" si="1619"/>
        <v>Whole sector</v>
      </c>
      <c r="EL1219" t="str">
        <f t="shared" si="1620"/>
        <v/>
      </c>
      <c r="EM1219" s="2" t="str">
        <f t="shared" si="1592"/>
        <v/>
      </c>
      <c r="EP1219" t="str">
        <f>IF(ISNUMBER(BU1219),IF(ABS(BU1219-[4]QC_indicators!$B$2)&gt;3*[4]QC_indicators!$C$2,"C ratio",IF(ISNUMBER(BY1219),IF(ABS(BY1219-[4]QC_indicators!$B$1)&gt;3*[4]QC_indicators!$C$1,"DF","no"))),IF(ISNUMBER(BY1219),IF(ABS(BY1219-[4]QC_indicators!$B$1)&gt;3*[4]QC_indicators!$C$1,"DF","no")))</f>
        <v>no</v>
      </c>
      <c r="ET1219" s="264" t="s">
        <v>3406</v>
      </c>
    </row>
    <row r="1220" spans="1:150" ht="15" hidden="1" customHeight="1">
      <c r="A1220" s="1" t="s">
        <v>1359</v>
      </c>
      <c r="B1220" t="s">
        <v>2134</v>
      </c>
      <c r="C1220" t="s">
        <v>2135</v>
      </c>
      <c r="D1220" t="s">
        <v>2136</v>
      </c>
      <c r="E1220" t="s">
        <v>2137</v>
      </c>
      <c r="F1220" t="s">
        <v>2138</v>
      </c>
      <c r="G1220" t="s">
        <v>1365</v>
      </c>
      <c r="H1220" t="s">
        <v>254</v>
      </c>
      <c r="I1220">
        <v>2012</v>
      </c>
      <c r="J1220">
        <v>21</v>
      </c>
      <c r="K1220" t="s">
        <v>2139</v>
      </c>
      <c r="L1220" s="192"/>
      <c r="M1220" t="str">
        <f t="shared" si="1630"/>
        <v>Pyorala_2012</v>
      </c>
      <c r="N1220" t="s">
        <v>222</v>
      </c>
      <c r="O1220" s="145" t="s">
        <v>341</v>
      </c>
      <c r="P1220" s="193" t="s">
        <v>223</v>
      </c>
      <c r="Q1220" s="264" t="s">
        <v>256</v>
      </c>
      <c r="R1220" s="269" t="s">
        <v>1153</v>
      </c>
      <c r="S1220" s="263" t="s">
        <v>2148</v>
      </c>
      <c r="T1220" s="264" t="s">
        <v>2142</v>
      </c>
      <c r="U1220" s="264" t="s">
        <v>2147</v>
      </c>
      <c r="V1220">
        <v>0</v>
      </c>
      <c r="W1220">
        <v>0</v>
      </c>
      <c r="X1220">
        <v>0</v>
      </c>
      <c r="Y1220">
        <v>1</v>
      </c>
      <c r="Z1220">
        <v>0</v>
      </c>
      <c r="AA1220">
        <v>0</v>
      </c>
      <c r="AB1220">
        <v>0</v>
      </c>
      <c r="AC1220">
        <v>0</v>
      </c>
      <c r="AD1220">
        <v>0</v>
      </c>
      <c r="AE1220">
        <v>0</v>
      </c>
      <c r="AF1220">
        <v>0</v>
      </c>
      <c r="AG1220">
        <v>0</v>
      </c>
      <c r="AH1220">
        <v>0</v>
      </c>
      <c r="AI1220">
        <v>0</v>
      </c>
      <c r="AJ1220">
        <v>0</v>
      </c>
      <c r="AK1220">
        <v>0</v>
      </c>
      <c r="AL1220">
        <v>0</v>
      </c>
      <c r="AM1220">
        <v>0</v>
      </c>
      <c r="AN1220">
        <v>0</v>
      </c>
      <c r="AO1220">
        <v>0</v>
      </c>
      <c r="AP1220">
        <v>0</v>
      </c>
      <c r="AQ1220">
        <v>0</v>
      </c>
      <c r="AR1220">
        <v>0</v>
      </c>
      <c r="AS1220">
        <v>0</v>
      </c>
      <c r="AT1220">
        <v>0</v>
      </c>
      <c r="AU1220">
        <v>0</v>
      </c>
      <c r="AV1220">
        <v>0</v>
      </c>
      <c r="AW1220">
        <v>0</v>
      </c>
      <c r="AX1220" s="141">
        <f t="shared" si="1593"/>
        <v>1</v>
      </c>
      <c r="AY1220" s="141">
        <f t="shared" si="1594"/>
        <v>1</v>
      </c>
      <c r="AZ1220">
        <f t="shared" si="1595"/>
        <v>1</v>
      </c>
      <c r="BA1220">
        <f t="shared" si="1596"/>
        <v>0</v>
      </c>
      <c r="BB1220">
        <f t="shared" si="1597"/>
        <v>0</v>
      </c>
      <c r="BC1220">
        <f t="shared" si="1598"/>
        <v>0</v>
      </c>
      <c r="BD1220">
        <f t="shared" si="1599"/>
        <v>0</v>
      </c>
      <c r="BE1220" t="str" cm="1">
        <f t="array" ref="BE1220">IF(AY1220=1,INDEX($V$7:$AL$7,MATCH(TRUE,INDEX($V1220:$AW1220&lt;&gt;0,),0)),IF(AY1220=0,INDEX($AM$7:$AW$7,MATCH(1,$AM1220:$AW1220,0)),IF(BF1220="Multiple strategies","mixed drivers",IF(BF1220="Supply chain","multiple supply","multiple silviculture"))))</f>
        <v xml:space="preserve">cutting intensity </v>
      </c>
      <c r="BF1220" s="2" t="str" cm="1">
        <f t="array" ref="BF1220">IF(COUNTIF(AZ1220:BB1220,"&lt;&gt;0")=1,INDEX($V$4:$AW$4,MATCH(TRUE,INDEX($V1220:$AW1220&lt;&gt;0,),0)),IF(COUNTIF(AZ1220:BB1220,"&lt;&gt;0")=0,INDEX($AM$4:$AW$4,MATCH(1,$AM1220:$AW1220,0)),"Multiple strategies"))</f>
        <v>Silviculture for removals</v>
      </c>
      <c r="BG1220" s="194" t="s">
        <v>321</v>
      </c>
      <c r="BH1220" s="264" t="s">
        <v>2143</v>
      </c>
      <c r="BI1220" s="264" t="s">
        <v>701</v>
      </c>
      <c r="BJ1220" s="195" t="s">
        <v>700</v>
      </c>
      <c r="BK1220">
        <v>7.8</v>
      </c>
      <c r="BL1220">
        <v>9</v>
      </c>
      <c r="BN1220">
        <f t="shared" si="1610"/>
        <v>1.2000000000000002</v>
      </c>
      <c r="BO1220">
        <f t="shared" si="1627"/>
        <v>1.2000000000000002</v>
      </c>
      <c r="BP1220" s="149" t="s">
        <v>395</v>
      </c>
      <c r="BQ1220" s="264" t="s">
        <v>783</v>
      </c>
      <c r="BR1220" s="149" t="s">
        <v>279</v>
      </c>
      <c r="BS1220">
        <v>0.6</v>
      </c>
      <c r="BT1220">
        <v>0.3</v>
      </c>
      <c r="BU1220" s="144"/>
      <c r="BV1220">
        <f t="shared" si="1613"/>
        <v>-0.3</v>
      </c>
      <c r="BX1220">
        <f t="shared" si="1628"/>
        <v>-0.3</v>
      </c>
      <c r="BY1220">
        <f t="shared" si="1591"/>
        <v>-0.24999999999999994</v>
      </c>
      <c r="BZ1220">
        <v>0</v>
      </c>
      <c r="CA1220">
        <v>0</v>
      </c>
      <c r="CB1220">
        <v>0</v>
      </c>
      <c r="CC1220">
        <v>0</v>
      </c>
      <c r="CD1220">
        <v>0</v>
      </c>
      <c r="CE1220">
        <v>0</v>
      </c>
      <c r="CF1220">
        <v>0</v>
      </c>
      <c r="CG1220">
        <v>0</v>
      </c>
      <c r="CH1220">
        <v>0</v>
      </c>
      <c r="CI1220">
        <v>0</v>
      </c>
      <c r="CJ1220">
        <v>0</v>
      </c>
      <c r="CK1220">
        <v>0</v>
      </c>
      <c r="CL1220">
        <v>0</v>
      </c>
      <c r="CM1220">
        <v>0</v>
      </c>
      <c r="CN1220" t="str">
        <f t="shared" si="1600"/>
        <v>refOK</v>
      </c>
      <c r="CO1220">
        <f t="shared" si="1615"/>
        <v>7.8</v>
      </c>
      <c r="CP1220">
        <f t="shared" si="1616"/>
        <v>9</v>
      </c>
      <c r="CQ1220">
        <f t="shared" si="1617"/>
        <v>1.2000000000000002</v>
      </c>
      <c r="CR1220">
        <f t="shared" si="1601"/>
        <v>-0.6</v>
      </c>
      <c r="CS1220">
        <f t="shared" si="1602"/>
        <v>-0.3</v>
      </c>
      <c r="CT1220">
        <f t="shared" si="1603"/>
        <v>0.3</v>
      </c>
      <c r="CU1220">
        <f t="shared" si="1604"/>
        <v>0.24999999999999994</v>
      </c>
      <c r="CV1220" s="2">
        <f t="shared" si="1605"/>
        <v>0.5</v>
      </c>
      <c r="CW1220" s="1" t="s">
        <v>1198</v>
      </c>
      <c r="CX1220" s="264" t="str">
        <f t="shared" si="1606"/>
        <v>reg</v>
      </c>
      <c r="CY1220" t="s">
        <v>235</v>
      </c>
      <c r="DB1220">
        <v>50</v>
      </c>
      <c r="DC1220" t="str">
        <f t="shared" si="1607"/>
        <v>31-70</v>
      </c>
      <c r="DD1220">
        <v>0</v>
      </c>
      <c r="DE1220">
        <v>1</v>
      </c>
      <c r="DF1220">
        <v>1</v>
      </c>
      <c r="DG1220">
        <v>1</v>
      </c>
      <c r="DI1220">
        <f t="shared" si="1621"/>
        <v>3</v>
      </c>
      <c r="DJ1220" t="str">
        <f t="shared" si="1608"/>
        <v>mixedProduct</v>
      </c>
      <c r="DK1220">
        <f t="shared" si="1622"/>
        <v>0</v>
      </c>
      <c r="DL1220" t="str">
        <f t="shared" si="1623"/>
        <v>Energy</v>
      </c>
      <c r="DM1220" t="str">
        <f t="shared" si="1624"/>
        <v>Pulp/Paper</v>
      </c>
      <c r="DN1220" t="str">
        <f t="shared" si="1625"/>
        <v>Timber</v>
      </c>
      <c r="DO1220">
        <v>0</v>
      </c>
      <c r="DP1220">
        <v>1</v>
      </c>
      <c r="DQ1220" t="s">
        <v>2145</v>
      </c>
      <c r="DR1220">
        <v>0</v>
      </c>
      <c r="DS1220">
        <v>0</v>
      </c>
      <c r="DT1220">
        <f t="shared" si="1629"/>
        <v>1</v>
      </c>
      <c r="DU1220" s="143" t="str">
        <f t="shared" si="1626"/>
        <v>external DF used</v>
      </c>
      <c r="DV1220">
        <v>1</v>
      </c>
      <c r="DW1220">
        <v>1</v>
      </c>
      <c r="DX1220">
        <v>1</v>
      </c>
      <c r="DY1220">
        <v>0</v>
      </c>
      <c r="DZ1220">
        <v>1</v>
      </c>
      <c r="EA1220">
        <v>0</v>
      </c>
      <c r="EB1220">
        <v>1</v>
      </c>
      <c r="EC1220">
        <v>1</v>
      </c>
      <c r="ED1220">
        <v>0</v>
      </c>
      <c r="EE1220">
        <v>0</v>
      </c>
      <c r="EF1220">
        <v>1</v>
      </c>
      <c r="EG1220">
        <v>0</v>
      </c>
      <c r="EH1220">
        <v>0</v>
      </c>
      <c r="EI1220" s="2">
        <v>0</v>
      </c>
      <c r="EK1220" t="str">
        <f t="shared" si="1619"/>
        <v>Whole sector</v>
      </c>
      <c r="EL1220" t="str">
        <f t="shared" si="1620"/>
        <v/>
      </c>
      <c r="EM1220" s="2" t="str">
        <f t="shared" si="1592"/>
        <v/>
      </c>
      <c r="EP1220" t="str">
        <f>IF(ISNUMBER(BU1220),IF(ABS(BU1220-[4]QC_indicators!$B$2)&gt;3*[4]QC_indicators!$C$2,"C ratio",IF(ISNUMBER(BY1220),IF(ABS(BY1220-[4]QC_indicators!$B$1)&gt;3*[4]QC_indicators!$C$1,"DF","no"))),IF(ISNUMBER(BY1220),IF(ABS(BY1220-[4]QC_indicators!$B$1)&gt;3*[4]QC_indicators!$C$1,"DF","no")))</f>
        <v>no</v>
      </c>
      <c r="ET1220" s="264" t="s">
        <v>3406</v>
      </c>
    </row>
    <row r="1221" spans="1:150" ht="15" hidden="1" customHeight="1">
      <c r="A1221" s="1" t="s">
        <v>1359</v>
      </c>
      <c r="B1221" t="s">
        <v>2134</v>
      </c>
      <c r="C1221" t="s">
        <v>2135</v>
      </c>
      <c r="D1221" t="s">
        <v>2136</v>
      </c>
      <c r="E1221" t="s">
        <v>2137</v>
      </c>
      <c r="F1221" t="s">
        <v>2138</v>
      </c>
      <c r="G1221" t="s">
        <v>1365</v>
      </c>
      <c r="H1221" t="s">
        <v>254</v>
      </c>
      <c r="I1221">
        <v>2012</v>
      </c>
      <c r="J1221">
        <v>21</v>
      </c>
      <c r="K1221" t="s">
        <v>2139</v>
      </c>
      <c r="L1221" s="192"/>
      <c r="M1221" t="str">
        <f t="shared" si="1630"/>
        <v>Pyorala_2012</v>
      </c>
      <c r="N1221" t="s">
        <v>222</v>
      </c>
      <c r="O1221" s="145" t="s">
        <v>341</v>
      </c>
      <c r="P1221" s="180" t="s">
        <v>223</v>
      </c>
      <c r="Q1221" s="264" t="s">
        <v>256</v>
      </c>
      <c r="R1221" s="269" t="s">
        <v>1153</v>
      </c>
      <c r="S1221" s="263" t="s">
        <v>2146</v>
      </c>
      <c r="T1221" s="264" t="s">
        <v>2142</v>
      </c>
      <c r="U1221" s="264" t="s">
        <v>2147</v>
      </c>
      <c r="V1221">
        <v>0</v>
      </c>
      <c r="W1221">
        <v>0</v>
      </c>
      <c r="X1221">
        <v>0</v>
      </c>
      <c r="Y1221">
        <v>1</v>
      </c>
      <c r="Z1221">
        <v>0</v>
      </c>
      <c r="AA1221">
        <v>0</v>
      </c>
      <c r="AB1221">
        <v>0</v>
      </c>
      <c r="AC1221">
        <v>0</v>
      </c>
      <c r="AD1221">
        <v>0</v>
      </c>
      <c r="AE1221">
        <v>0</v>
      </c>
      <c r="AF1221">
        <v>0</v>
      </c>
      <c r="AG1221">
        <v>0</v>
      </c>
      <c r="AH1221">
        <v>0</v>
      </c>
      <c r="AI1221">
        <v>0</v>
      </c>
      <c r="AJ1221">
        <v>0</v>
      </c>
      <c r="AK1221">
        <v>0</v>
      </c>
      <c r="AL1221">
        <v>0</v>
      </c>
      <c r="AM1221">
        <v>0</v>
      </c>
      <c r="AN1221">
        <v>0</v>
      </c>
      <c r="AO1221">
        <v>0</v>
      </c>
      <c r="AP1221">
        <v>0</v>
      </c>
      <c r="AQ1221">
        <v>0</v>
      </c>
      <c r="AR1221">
        <v>0</v>
      </c>
      <c r="AS1221">
        <v>0</v>
      </c>
      <c r="AT1221">
        <v>0</v>
      </c>
      <c r="AU1221">
        <v>0</v>
      </c>
      <c r="AV1221">
        <v>0</v>
      </c>
      <c r="AW1221">
        <v>0</v>
      </c>
      <c r="AX1221" s="141">
        <f t="shared" si="1593"/>
        <v>1</v>
      </c>
      <c r="AY1221" s="141">
        <f t="shared" si="1594"/>
        <v>1</v>
      </c>
      <c r="AZ1221">
        <f t="shared" si="1595"/>
        <v>1</v>
      </c>
      <c r="BA1221">
        <f t="shared" si="1596"/>
        <v>0</v>
      </c>
      <c r="BB1221">
        <f t="shared" si="1597"/>
        <v>0</v>
      </c>
      <c r="BC1221">
        <f t="shared" si="1598"/>
        <v>0</v>
      </c>
      <c r="BD1221">
        <f t="shared" si="1599"/>
        <v>0</v>
      </c>
      <c r="BE1221" t="str" cm="1">
        <f t="array" ref="BE1221">IF(AY1221=1,INDEX($V$7:$AL$7,MATCH(TRUE,INDEX($V1221:$AW1221&lt;&gt;0,),0)),IF(AY1221=0,INDEX($AM$7:$AW$7,MATCH(1,$AM1221:$AW1221,0)),IF(BF1221="Multiple strategies","mixed drivers",IF(BF1221="Supply chain","multiple supply","multiple silviculture"))))</f>
        <v xml:space="preserve">cutting intensity </v>
      </c>
      <c r="BF1221" s="2" t="str" cm="1">
        <f t="array" ref="BF1221">IF(COUNTIF(AZ1221:BB1221,"&lt;&gt;0")=1,INDEX($V$4:$AW$4,MATCH(TRUE,INDEX($V1221:$AW1221&lt;&gt;0,),0)),IF(COUNTIF(AZ1221:BB1221,"&lt;&gt;0")=0,INDEX($AM$4:$AW$4,MATCH(1,$AM1221:$AW1221,0)),"Multiple strategies"))</f>
        <v>Silviculture for removals</v>
      </c>
      <c r="BG1221" s="178" t="s">
        <v>321</v>
      </c>
      <c r="BH1221" s="264" t="s">
        <v>2143</v>
      </c>
      <c r="BI1221" s="264" t="s">
        <v>701</v>
      </c>
      <c r="BJ1221" s="160" t="s">
        <v>700</v>
      </c>
      <c r="BK1221">
        <v>7.6</v>
      </c>
      <c r="BL1221">
        <v>7.9</v>
      </c>
      <c r="BN1221">
        <f t="shared" si="1610"/>
        <v>0.30000000000000071</v>
      </c>
      <c r="BO1221">
        <f t="shared" si="1627"/>
        <v>0.30000000000000071</v>
      </c>
      <c r="BP1221" s="155" t="s">
        <v>395</v>
      </c>
      <c r="BQ1221" s="264" t="s">
        <v>786</v>
      </c>
      <c r="BR1221" s="270" t="s">
        <v>2144</v>
      </c>
      <c r="BS1221">
        <f>-4.1/50</f>
        <v>-8.199999999999999E-2</v>
      </c>
      <c r="BT1221">
        <f>-5.46/50</f>
        <v>-0.10920000000000001</v>
      </c>
      <c r="BU1221" s="144"/>
      <c r="BV1221">
        <f t="shared" si="1613"/>
        <v>-2.7200000000000016E-2</v>
      </c>
      <c r="BX1221">
        <f t="shared" si="1628"/>
        <v>-2.7200000000000016E-2</v>
      </c>
      <c r="BY1221">
        <f t="shared" si="1591"/>
        <v>-9.0666666666666507E-2</v>
      </c>
      <c r="BZ1221">
        <v>0</v>
      </c>
      <c r="CA1221">
        <v>0</v>
      </c>
      <c r="CB1221">
        <v>0</v>
      </c>
      <c r="CC1221">
        <v>0</v>
      </c>
      <c r="CD1221">
        <v>0</v>
      </c>
      <c r="CE1221">
        <v>0</v>
      </c>
      <c r="CF1221">
        <v>0</v>
      </c>
      <c r="CG1221">
        <v>0</v>
      </c>
      <c r="CH1221">
        <v>0</v>
      </c>
      <c r="CI1221">
        <v>0</v>
      </c>
      <c r="CJ1221">
        <v>0</v>
      </c>
      <c r="CK1221">
        <v>0</v>
      </c>
      <c r="CL1221">
        <v>0</v>
      </c>
      <c r="CM1221">
        <v>0</v>
      </c>
      <c r="CN1221" t="str">
        <f t="shared" si="1600"/>
        <v>refOK</v>
      </c>
      <c r="CO1221">
        <f t="shared" si="1615"/>
        <v>7.6</v>
      </c>
      <c r="CP1221">
        <f t="shared" si="1616"/>
        <v>7.9</v>
      </c>
      <c r="CQ1221">
        <f t="shared" si="1617"/>
        <v>0.30000000000000071</v>
      </c>
      <c r="CR1221">
        <f t="shared" si="1601"/>
        <v>8.199999999999999E-2</v>
      </c>
      <c r="CS1221">
        <f t="shared" si="1602"/>
        <v>0.10920000000000001</v>
      </c>
      <c r="CT1221">
        <f t="shared" si="1603"/>
        <v>2.7200000000000016E-2</v>
      </c>
      <c r="CU1221">
        <f t="shared" si="1604"/>
        <v>9.0666666666666507E-2</v>
      </c>
      <c r="CV1221" s="2">
        <f t="shared" si="1605"/>
        <v>0.33170731707317097</v>
      </c>
      <c r="CW1221" s="1" t="s">
        <v>1198</v>
      </c>
      <c r="CX1221" s="264" t="str">
        <f t="shared" si="1606"/>
        <v>reg</v>
      </c>
      <c r="CY1221" t="s">
        <v>235</v>
      </c>
      <c r="DB1221">
        <v>50</v>
      </c>
      <c r="DC1221" t="str">
        <f t="shared" si="1607"/>
        <v>31-70</v>
      </c>
      <c r="DD1221">
        <v>0</v>
      </c>
      <c r="DE1221">
        <v>1</v>
      </c>
      <c r="DF1221">
        <v>1</v>
      </c>
      <c r="DG1221">
        <v>1</v>
      </c>
      <c r="DI1221">
        <f t="shared" si="1621"/>
        <v>3</v>
      </c>
      <c r="DJ1221" t="str">
        <f t="shared" si="1608"/>
        <v>mixedProduct</v>
      </c>
      <c r="DK1221">
        <f t="shared" si="1622"/>
        <v>0</v>
      </c>
      <c r="DL1221" t="str">
        <f t="shared" si="1623"/>
        <v>Energy</v>
      </c>
      <c r="DM1221" t="str">
        <f t="shared" si="1624"/>
        <v>Pulp/Paper</v>
      </c>
      <c r="DN1221" t="str">
        <f t="shared" si="1625"/>
        <v>Timber</v>
      </c>
      <c r="DO1221">
        <v>0</v>
      </c>
      <c r="DP1221">
        <v>1</v>
      </c>
      <c r="DQ1221" t="s">
        <v>2145</v>
      </c>
      <c r="DR1221">
        <v>0</v>
      </c>
      <c r="DS1221">
        <v>0</v>
      </c>
      <c r="DT1221">
        <f t="shared" si="1629"/>
        <v>1</v>
      </c>
      <c r="DU1221" s="143" t="str">
        <f t="shared" si="1626"/>
        <v>external DF used</v>
      </c>
      <c r="DV1221">
        <v>1</v>
      </c>
      <c r="DW1221">
        <v>1</v>
      </c>
      <c r="DX1221">
        <v>1</v>
      </c>
      <c r="DY1221">
        <v>0</v>
      </c>
      <c r="DZ1221">
        <v>0</v>
      </c>
      <c r="EA1221" s="143">
        <v>0</v>
      </c>
      <c r="EB1221">
        <v>1</v>
      </c>
      <c r="EC1221">
        <v>1</v>
      </c>
      <c r="ED1221">
        <v>0</v>
      </c>
      <c r="EE1221">
        <v>0</v>
      </c>
      <c r="EF1221">
        <v>1</v>
      </c>
      <c r="EG1221">
        <v>0</v>
      </c>
      <c r="EH1221">
        <v>0</v>
      </c>
      <c r="EI1221" s="2">
        <v>0</v>
      </c>
      <c r="EK1221" t="str">
        <f t="shared" si="1619"/>
        <v>Whole sector</v>
      </c>
      <c r="EL1221" t="str">
        <f t="shared" si="1620"/>
        <v/>
      </c>
      <c r="EM1221" s="2" t="str">
        <f t="shared" si="1592"/>
        <v/>
      </c>
      <c r="EP1221" t="str">
        <f>IF(ISNUMBER(BU1221),IF(ABS(BU1221-[4]QC_indicators!$B$2)&gt;3*[4]QC_indicators!$C$2,"C ratio",IF(ISNUMBER(BY1221),IF(ABS(BY1221-[4]QC_indicators!$B$1)&gt;3*[4]QC_indicators!$C$1,"DF","no"))),IF(ISNUMBER(BY1221),IF(ABS(BY1221-[4]QC_indicators!$B$1)&gt;3*[4]QC_indicators!$C$1,"DF","no")))</f>
        <v>no</v>
      </c>
      <c r="ET1221" s="264" t="s">
        <v>3406</v>
      </c>
    </row>
    <row r="1222" spans="1:150" ht="15" hidden="1" customHeight="1">
      <c r="A1222" s="1" t="s">
        <v>1359</v>
      </c>
      <c r="B1222" t="s">
        <v>2134</v>
      </c>
      <c r="C1222" t="s">
        <v>2135</v>
      </c>
      <c r="D1222" t="s">
        <v>2136</v>
      </c>
      <c r="E1222" t="s">
        <v>2137</v>
      </c>
      <c r="F1222" t="s">
        <v>2138</v>
      </c>
      <c r="G1222" t="s">
        <v>1365</v>
      </c>
      <c r="H1222" t="s">
        <v>254</v>
      </c>
      <c r="I1222">
        <v>2012</v>
      </c>
      <c r="J1222">
        <v>21</v>
      </c>
      <c r="K1222" t="s">
        <v>2139</v>
      </c>
      <c r="L1222" s="192"/>
      <c r="M1222" t="str">
        <f t="shared" si="1630"/>
        <v>Pyorala_2012</v>
      </c>
      <c r="N1222" t="s">
        <v>222</v>
      </c>
      <c r="O1222" s="145" t="s">
        <v>341</v>
      </c>
      <c r="P1222" s="193" t="s">
        <v>223</v>
      </c>
      <c r="Q1222" s="264" t="s">
        <v>224</v>
      </c>
      <c r="R1222" s="269" t="s">
        <v>1153</v>
      </c>
      <c r="S1222" s="263" t="s">
        <v>2155</v>
      </c>
      <c r="T1222" s="264" t="s">
        <v>2156</v>
      </c>
      <c r="U1222" s="264" t="s">
        <v>2157</v>
      </c>
      <c r="V1222">
        <v>0</v>
      </c>
      <c r="W1222">
        <v>0</v>
      </c>
      <c r="X1222">
        <v>0</v>
      </c>
      <c r="Y1222">
        <v>0</v>
      </c>
      <c r="Z1222">
        <v>0</v>
      </c>
      <c r="AA1222">
        <v>0</v>
      </c>
      <c r="AB1222">
        <v>0</v>
      </c>
      <c r="AC1222">
        <v>1</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s="141">
        <f t="shared" si="1593"/>
        <v>1</v>
      </c>
      <c r="AY1222" s="141">
        <f t="shared" si="1594"/>
        <v>1</v>
      </c>
      <c r="AZ1222">
        <f t="shared" si="1595"/>
        <v>1</v>
      </c>
      <c r="BA1222">
        <f t="shared" si="1596"/>
        <v>0</v>
      </c>
      <c r="BB1222">
        <f t="shared" si="1597"/>
        <v>0</v>
      </c>
      <c r="BC1222">
        <f t="shared" si="1598"/>
        <v>0</v>
      </c>
      <c r="BD1222">
        <f t="shared" si="1599"/>
        <v>0</v>
      </c>
      <c r="BE1222" t="str" cm="1">
        <f t="array" ref="BE1222">IF(AY1222=1,INDEX($V$7:$AL$7,MATCH(TRUE,INDEX($V1222:$AW1222&lt;&gt;0,),0)),IF(AY1222=0,INDEX($AM$7:$AW$7,MATCH(1,$AM1222:$AW1222,0)),IF(BF1222="Multiple strategies","mixed drivers",IF(BF1222="Supply chain","multiple supply","multiple silviculture"))))</f>
        <v>site fertility</v>
      </c>
      <c r="BF1222" s="2" t="str" cm="1">
        <f t="array" ref="BF1222">IF(COUNTIF(AZ1222:BB1222,"&lt;&gt;0")=1,INDEX($V$4:$AW$4,MATCH(TRUE,INDEX($V1222:$AW1222&lt;&gt;0,),0)),IF(COUNTIF(AZ1222:BB1222,"&lt;&gt;0")=0,INDEX($AM$4:$AW$4,MATCH(1,$AM1222:$AW1222,0)),"Multiple strategies"))</f>
        <v>Silviculture for productivity</v>
      </c>
      <c r="BG1222" s="194" t="s">
        <v>321</v>
      </c>
      <c r="BH1222" s="264" t="s">
        <v>2143</v>
      </c>
      <c r="BI1222" s="264" t="s">
        <v>2158</v>
      </c>
      <c r="BJ1222" s="195" t="s">
        <v>700</v>
      </c>
      <c r="BK1222">
        <v>7.4</v>
      </c>
      <c r="BL1222">
        <v>8.8000000000000007</v>
      </c>
      <c r="BN1222">
        <f t="shared" si="1610"/>
        <v>1.4000000000000004</v>
      </c>
      <c r="BO1222">
        <f t="shared" si="1627"/>
        <v>1.4000000000000004</v>
      </c>
      <c r="BP1222" s="149" t="s">
        <v>395</v>
      </c>
      <c r="BQ1222" s="264" t="s">
        <v>783</v>
      </c>
      <c r="BR1222" s="149" t="s">
        <v>279</v>
      </c>
      <c r="BS1222">
        <v>0.9</v>
      </c>
      <c r="BT1222">
        <v>0.8</v>
      </c>
      <c r="BU1222" s="144"/>
      <c r="BV1222">
        <f t="shared" si="1613"/>
        <v>-9.9999999999999978E-2</v>
      </c>
      <c r="BX1222">
        <f t="shared" si="1628"/>
        <v>-9.9999999999999978E-2</v>
      </c>
      <c r="BY1222">
        <f t="shared" si="1591"/>
        <v>-7.1428571428571397E-2</v>
      </c>
      <c r="BZ1222">
        <v>0</v>
      </c>
      <c r="CA1222">
        <v>0</v>
      </c>
      <c r="CB1222">
        <v>0</v>
      </c>
      <c r="CC1222">
        <v>0</v>
      </c>
      <c r="CD1222">
        <v>0</v>
      </c>
      <c r="CE1222">
        <v>0</v>
      </c>
      <c r="CF1222">
        <v>0</v>
      </c>
      <c r="CG1222">
        <v>0</v>
      </c>
      <c r="CH1222">
        <v>0</v>
      </c>
      <c r="CI1222">
        <v>0</v>
      </c>
      <c r="CJ1222">
        <v>0</v>
      </c>
      <c r="CK1222">
        <v>0</v>
      </c>
      <c r="CL1222">
        <v>0</v>
      </c>
      <c r="CM1222">
        <v>0</v>
      </c>
      <c r="CN1222" t="str">
        <f t="shared" si="1600"/>
        <v>refOK</v>
      </c>
      <c r="CO1222">
        <f t="shared" si="1615"/>
        <v>7.4</v>
      </c>
      <c r="CP1222">
        <f t="shared" si="1616"/>
        <v>8.8000000000000007</v>
      </c>
      <c r="CQ1222">
        <f t="shared" si="1617"/>
        <v>1.4000000000000004</v>
      </c>
      <c r="CR1222">
        <f t="shared" si="1601"/>
        <v>-0.9</v>
      </c>
      <c r="CS1222">
        <f t="shared" si="1602"/>
        <v>-0.8</v>
      </c>
      <c r="CT1222">
        <f t="shared" si="1603"/>
        <v>9.9999999999999978E-2</v>
      </c>
      <c r="CU1222">
        <f t="shared" si="1604"/>
        <v>7.1428571428571397E-2</v>
      </c>
      <c r="CV1222" s="2">
        <f t="shared" si="1605"/>
        <v>0.11111111111111108</v>
      </c>
      <c r="CW1222" s="1" t="s">
        <v>1198</v>
      </c>
      <c r="CX1222" s="264" t="str">
        <f t="shared" si="1606"/>
        <v>reg</v>
      </c>
      <c r="CY1222" t="s">
        <v>235</v>
      </c>
      <c r="DB1222">
        <v>80</v>
      </c>
      <c r="DC1222" t="str">
        <f t="shared" si="1607"/>
        <v>71-100</v>
      </c>
      <c r="DD1222">
        <v>0</v>
      </c>
      <c r="DE1222">
        <v>1</v>
      </c>
      <c r="DF1222">
        <v>1</v>
      </c>
      <c r="DG1222">
        <v>1</v>
      </c>
      <c r="DI1222">
        <f t="shared" si="1621"/>
        <v>3</v>
      </c>
      <c r="DJ1222" t="str">
        <f t="shared" si="1608"/>
        <v>mixedProduct</v>
      </c>
      <c r="DK1222">
        <f t="shared" si="1622"/>
        <v>0</v>
      </c>
      <c r="DL1222" t="str">
        <f t="shared" si="1623"/>
        <v>Energy</v>
      </c>
      <c r="DM1222" t="str">
        <f t="shared" si="1624"/>
        <v>Pulp/Paper</v>
      </c>
      <c r="DN1222" t="str">
        <f t="shared" si="1625"/>
        <v>Timber</v>
      </c>
      <c r="DO1222">
        <v>0</v>
      </c>
      <c r="DP1222">
        <v>1</v>
      </c>
      <c r="DQ1222" t="s">
        <v>2145</v>
      </c>
      <c r="DR1222">
        <v>0</v>
      </c>
      <c r="DS1222">
        <v>0</v>
      </c>
      <c r="DT1222">
        <f t="shared" si="1629"/>
        <v>1</v>
      </c>
      <c r="DU1222" s="143" t="str">
        <f t="shared" si="1626"/>
        <v>external DF used</v>
      </c>
      <c r="DV1222">
        <v>1</v>
      </c>
      <c r="DW1222">
        <v>1</v>
      </c>
      <c r="DX1222">
        <v>1</v>
      </c>
      <c r="DY1222">
        <v>0</v>
      </c>
      <c r="DZ1222">
        <v>1</v>
      </c>
      <c r="EA1222">
        <v>0</v>
      </c>
      <c r="EB1222">
        <v>1</v>
      </c>
      <c r="EC1222">
        <v>1</v>
      </c>
      <c r="ED1222">
        <v>0</v>
      </c>
      <c r="EE1222">
        <v>0</v>
      </c>
      <c r="EF1222">
        <v>1</v>
      </c>
      <c r="EG1222">
        <v>0</v>
      </c>
      <c r="EH1222">
        <v>0</v>
      </c>
      <c r="EI1222" s="2">
        <v>0</v>
      </c>
      <c r="EK1222" t="str">
        <f t="shared" si="1619"/>
        <v>Whole sector</v>
      </c>
      <c r="EL1222" t="str">
        <f t="shared" si="1620"/>
        <v/>
      </c>
      <c r="EM1222" s="2" t="str">
        <f t="shared" si="1592"/>
        <v/>
      </c>
      <c r="EP1222" t="str">
        <f>IF(ISNUMBER(BU1222),IF(ABS(BU1222-[4]QC_indicators!$B$2)&gt;3*[4]QC_indicators!$C$2,"C ratio",IF(ISNUMBER(BY1222),IF(ABS(BY1222-[4]QC_indicators!$B$1)&gt;3*[4]QC_indicators!$C$1,"DF","no"))),IF(ISNUMBER(BY1222),IF(ABS(BY1222-[4]QC_indicators!$B$1)&gt;3*[4]QC_indicators!$C$1,"DF","no")))</f>
        <v>no</v>
      </c>
      <c r="ET1222" s="264" t="s">
        <v>3406</v>
      </c>
    </row>
    <row r="1223" spans="1:150" ht="15" hidden="1" customHeight="1">
      <c r="A1223" s="1" t="s">
        <v>1359</v>
      </c>
      <c r="B1223" t="s">
        <v>2134</v>
      </c>
      <c r="C1223" t="s">
        <v>2135</v>
      </c>
      <c r="D1223" t="s">
        <v>2136</v>
      </c>
      <c r="E1223" t="s">
        <v>2137</v>
      </c>
      <c r="F1223" t="s">
        <v>2138</v>
      </c>
      <c r="G1223" t="s">
        <v>1365</v>
      </c>
      <c r="H1223" t="s">
        <v>254</v>
      </c>
      <c r="I1223">
        <v>2012</v>
      </c>
      <c r="J1223">
        <v>21</v>
      </c>
      <c r="K1223" t="s">
        <v>2139</v>
      </c>
      <c r="L1223" s="192"/>
      <c r="M1223" t="str">
        <f t="shared" si="1630"/>
        <v>Pyorala_2012</v>
      </c>
      <c r="N1223" t="s">
        <v>222</v>
      </c>
      <c r="O1223" s="145" t="s">
        <v>341</v>
      </c>
      <c r="P1223" s="180" t="s">
        <v>223</v>
      </c>
      <c r="Q1223" s="264" t="s">
        <v>256</v>
      </c>
      <c r="R1223" s="269" t="s">
        <v>1153</v>
      </c>
      <c r="S1223" s="263" t="s">
        <v>2148</v>
      </c>
      <c r="T1223" s="264" t="s">
        <v>2142</v>
      </c>
      <c r="U1223" s="264" t="s">
        <v>2147</v>
      </c>
      <c r="V1223">
        <v>0</v>
      </c>
      <c r="W1223">
        <v>0</v>
      </c>
      <c r="X1223">
        <v>0</v>
      </c>
      <c r="Y1223">
        <v>1</v>
      </c>
      <c r="Z1223">
        <v>0</v>
      </c>
      <c r="AA1223">
        <v>0</v>
      </c>
      <c r="AB1223">
        <v>0</v>
      </c>
      <c r="AC1223">
        <v>0</v>
      </c>
      <c r="AD1223">
        <v>0</v>
      </c>
      <c r="AE1223">
        <v>0</v>
      </c>
      <c r="AF1223">
        <v>0</v>
      </c>
      <c r="AG1223">
        <v>0</v>
      </c>
      <c r="AH1223">
        <v>0</v>
      </c>
      <c r="AI1223">
        <v>0</v>
      </c>
      <c r="AJ1223">
        <v>0</v>
      </c>
      <c r="AK1223">
        <v>0</v>
      </c>
      <c r="AL1223">
        <v>0</v>
      </c>
      <c r="AM1223">
        <v>0</v>
      </c>
      <c r="AN1223">
        <v>0</v>
      </c>
      <c r="AO1223">
        <v>0</v>
      </c>
      <c r="AP1223">
        <v>0</v>
      </c>
      <c r="AQ1223">
        <v>0</v>
      </c>
      <c r="AR1223">
        <v>0</v>
      </c>
      <c r="AS1223">
        <v>0</v>
      </c>
      <c r="AT1223">
        <v>0</v>
      </c>
      <c r="AU1223">
        <v>0</v>
      </c>
      <c r="AV1223">
        <v>0</v>
      </c>
      <c r="AW1223">
        <v>0</v>
      </c>
      <c r="AX1223" s="141">
        <f t="shared" si="1593"/>
        <v>1</v>
      </c>
      <c r="AY1223" s="141">
        <f t="shared" si="1594"/>
        <v>1</v>
      </c>
      <c r="AZ1223">
        <f t="shared" si="1595"/>
        <v>1</v>
      </c>
      <c r="BA1223">
        <f t="shared" si="1596"/>
        <v>0</v>
      </c>
      <c r="BB1223">
        <f t="shared" si="1597"/>
        <v>0</v>
      </c>
      <c r="BC1223">
        <f t="shared" si="1598"/>
        <v>0</v>
      </c>
      <c r="BD1223">
        <f t="shared" si="1599"/>
        <v>0</v>
      </c>
      <c r="BE1223" t="str" cm="1">
        <f t="array" ref="BE1223">IF(AY1223=1,INDEX($V$7:$AL$7,MATCH(TRUE,INDEX($V1223:$AW1223&lt;&gt;0,),0)),IF(AY1223=0,INDEX($AM$7:$AW$7,MATCH(1,$AM1223:$AW1223,0)),IF(BF1223="Multiple strategies","mixed drivers",IF(BF1223="Supply chain","multiple supply","multiple silviculture"))))</f>
        <v xml:space="preserve">cutting intensity </v>
      </c>
      <c r="BF1223" s="2" t="str" cm="1">
        <f t="array" ref="BF1223">IF(COUNTIF(AZ1223:BB1223,"&lt;&gt;0")=1,INDEX($V$4:$AW$4,MATCH(TRUE,INDEX($V1223:$AW1223&lt;&gt;0,),0)),IF(COUNTIF(AZ1223:BB1223,"&lt;&gt;0")=0,INDEX($AM$4:$AW$4,MATCH(1,$AM1223:$AW1223,0)),"Multiple strategies"))</f>
        <v>Silviculture for removals</v>
      </c>
      <c r="BG1223" s="178" t="s">
        <v>321</v>
      </c>
      <c r="BH1223" s="264" t="s">
        <v>2143</v>
      </c>
      <c r="BI1223" s="264" t="s">
        <v>701</v>
      </c>
      <c r="BJ1223" s="160" t="s">
        <v>700</v>
      </c>
      <c r="BK1223">
        <v>7.8</v>
      </c>
      <c r="BL1223">
        <v>9</v>
      </c>
      <c r="BN1223">
        <f t="shared" si="1610"/>
        <v>1.2000000000000002</v>
      </c>
      <c r="BO1223">
        <f t="shared" si="1627"/>
        <v>1.2000000000000002</v>
      </c>
      <c r="BP1223" s="155" t="s">
        <v>395</v>
      </c>
      <c r="BQ1223" s="264" t="s">
        <v>786</v>
      </c>
      <c r="BR1223" s="270" t="s">
        <v>2144</v>
      </c>
      <c r="BS1223">
        <f>-3.5/50</f>
        <v>-7.0000000000000007E-2</v>
      </c>
      <c r="BT1223">
        <f>-6.6/50</f>
        <v>-0.13200000000000001</v>
      </c>
      <c r="BU1223" s="144"/>
      <c r="BV1223">
        <f t="shared" si="1613"/>
        <v>-6.2E-2</v>
      </c>
      <c r="BX1223">
        <f t="shared" si="1628"/>
        <v>-6.2E-2</v>
      </c>
      <c r="BY1223">
        <f t="shared" si="1591"/>
        <v>-5.1666666666666659E-2</v>
      </c>
      <c r="BZ1223">
        <v>0</v>
      </c>
      <c r="CA1223">
        <v>0</v>
      </c>
      <c r="CB1223">
        <v>0</v>
      </c>
      <c r="CC1223">
        <v>0</v>
      </c>
      <c r="CD1223">
        <v>0</v>
      </c>
      <c r="CE1223">
        <v>0</v>
      </c>
      <c r="CF1223">
        <v>0</v>
      </c>
      <c r="CG1223">
        <v>0</v>
      </c>
      <c r="CH1223">
        <v>0</v>
      </c>
      <c r="CI1223">
        <v>0</v>
      </c>
      <c r="CJ1223">
        <v>0</v>
      </c>
      <c r="CK1223">
        <v>0</v>
      </c>
      <c r="CL1223">
        <v>0</v>
      </c>
      <c r="CM1223">
        <v>0</v>
      </c>
      <c r="CN1223" t="str">
        <f t="shared" si="1600"/>
        <v>refOK</v>
      </c>
      <c r="CO1223">
        <f t="shared" si="1615"/>
        <v>7.8</v>
      </c>
      <c r="CP1223">
        <f t="shared" si="1616"/>
        <v>9</v>
      </c>
      <c r="CQ1223">
        <f t="shared" si="1617"/>
        <v>1.2000000000000002</v>
      </c>
      <c r="CR1223">
        <f t="shared" si="1601"/>
        <v>7.0000000000000007E-2</v>
      </c>
      <c r="CS1223">
        <f t="shared" si="1602"/>
        <v>0.13200000000000001</v>
      </c>
      <c r="CT1223">
        <f t="shared" si="1603"/>
        <v>6.2E-2</v>
      </c>
      <c r="CU1223">
        <f t="shared" si="1604"/>
        <v>5.1666666666666659E-2</v>
      </c>
      <c r="CV1223" s="2">
        <f t="shared" si="1605"/>
        <v>0.88571428571428568</v>
      </c>
      <c r="CW1223" s="1" t="s">
        <v>1198</v>
      </c>
      <c r="CX1223" s="264" t="str">
        <f t="shared" si="1606"/>
        <v>reg</v>
      </c>
      <c r="CY1223" t="s">
        <v>235</v>
      </c>
      <c r="DB1223">
        <v>50</v>
      </c>
      <c r="DC1223" t="str">
        <f t="shared" si="1607"/>
        <v>31-70</v>
      </c>
      <c r="DD1223">
        <v>0</v>
      </c>
      <c r="DE1223">
        <v>1</v>
      </c>
      <c r="DF1223">
        <v>1</v>
      </c>
      <c r="DG1223">
        <v>1</v>
      </c>
      <c r="DI1223">
        <f t="shared" si="1621"/>
        <v>3</v>
      </c>
      <c r="DJ1223" t="str">
        <f t="shared" si="1608"/>
        <v>mixedProduct</v>
      </c>
      <c r="DK1223">
        <f t="shared" si="1622"/>
        <v>0</v>
      </c>
      <c r="DL1223" t="str">
        <f t="shared" si="1623"/>
        <v>Energy</v>
      </c>
      <c r="DM1223" t="str">
        <f t="shared" si="1624"/>
        <v>Pulp/Paper</v>
      </c>
      <c r="DN1223" t="str">
        <f t="shared" si="1625"/>
        <v>Timber</v>
      </c>
      <c r="DO1223">
        <v>0</v>
      </c>
      <c r="DP1223">
        <v>1</v>
      </c>
      <c r="DQ1223" t="s">
        <v>2145</v>
      </c>
      <c r="DR1223">
        <v>0</v>
      </c>
      <c r="DS1223">
        <v>0</v>
      </c>
      <c r="DT1223">
        <f t="shared" si="1629"/>
        <v>1</v>
      </c>
      <c r="DU1223" s="143" t="str">
        <f t="shared" si="1626"/>
        <v>external DF used</v>
      </c>
      <c r="DV1223">
        <v>1</v>
      </c>
      <c r="DW1223">
        <v>1</v>
      </c>
      <c r="DX1223">
        <v>1</v>
      </c>
      <c r="DY1223">
        <v>0</v>
      </c>
      <c r="DZ1223">
        <v>0</v>
      </c>
      <c r="EA1223" s="143">
        <v>0</v>
      </c>
      <c r="EB1223">
        <v>1</v>
      </c>
      <c r="EC1223">
        <v>1</v>
      </c>
      <c r="ED1223">
        <v>0</v>
      </c>
      <c r="EE1223">
        <v>0</v>
      </c>
      <c r="EF1223">
        <v>1</v>
      </c>
      <c r="EG1223">
        <v>0</v>
      </c>
      <c r="EH1223">
        <v>0</v>
      </c>
      <c r="EI1223" s="2">
        <v>0</v>
      </c>
      <c r="EK1223" t="str">
        <f t="shared" si="1619"/>
        <v>Whole sector</v>
      </c>
      <c r="EL1223" t="str">
        <f t="shared" si="1620"/>
        <v/>
      </c>
      <c r="EM1223" s="2" t="str">
        <f t="shared" si="1592"/>
        <v/>
      </c>
      <c r="EP1223" t="str">
        <f>IF(ISNUMBER(BU1223),IF(ABS(BU1223-[4]QC_indicators!$B$2)&gt;3*[4]QC_indicators!$C$2,"C ratio",IF(ISNUMBER(BY1223),IF(ABS(BY1223-[4]QC_indicators!$B$1)&gt;3*[4]QC_indicators!$C$1,"DF","no"))),IF(ISNUMBER(BY1223),IF(ABS(BY1223-[4]QC_indicators!$B$1)&gt;3*[4]QC_indicators!$C$1,"DF","no")))</f>
        <v>no</v>
      </c>
      <c r="ET1223" s="264" t="s">
        <v>3406</v>
      </c>
    </row>
    <row r="1224" spans="1:150" ht="15" hidden="1" customHeight="1">
      <c r="A1224" s="1" t="s">
        <v>1359</v>
      </c>
      <c r="B1224" t="s">
        <v>2134</v>
      </c>
      <c r="C1224" t="s">
        <v>2135</v>
      </c>
      <c r="D1224" t="s">
        <v>2136</v>
      </c>
      <c r="E1224" t="s">
        <v>2137</v>
      </c>
      <c r="F1224" t="s">
        <v>2138</v>
      </c>
      <c r="G1224" t="s">
        <v>1365</v>
      </c>
      <c r="H1224" t="s">
        <v>254</v>
      </c>
      <c r="I1224">
        <v>2012</v>
      </c>
      <c r="J1224">
        <v>21</v>
      </c>
      <c r="K1224" t="s">
        <v>2139</v>
      </c>
      <c r="L1224" s="192"/>
      <c r="M1224" t="str">
        <f t="shared" si="1630"/>
        <v>Pyorala_2012</v>
      </c>
      <c r="N1224" t="s">
        <v>222</v>
      </c>
      <c r="O1224" s="145" t="s">
        <v>341</v>
      </c>
      <c r="P1224" s="180" t="s">
        <v>223</v>
      </c>
      <c r="Q1224" s="264" t="s">
        <v>256</v>
      </c>
      <c r="R1224" s="269" t="s">
        <v>1153</v>
      </c>
      <c r="S1224" s="263" t="s">
        <v>2148</v>
      </c>
      <c r="T1224" s="264" t="s">
        <v>2142</v>
      </c>
      <c r="U1224" s="264" t="s">
        <v>2141</v>
      </c>
      <c r="V1224">
        <v>0</v>
      </c>
      <c r="W1224">
        <v>0</v>
      </c>
      <c r="X1224">
        <v>0</v>
      </c>
      <c r="Y1224">
        <v>1</v>
      </c>
      <c r="Z1224">
        <v>0</v>
      </c>
      <c r="AA1224">
        <v>0</v>
      </c>
      <c r="AB1224">
        <v>0</v>
      </c>
      <c r="AC1224">
        <v>0</v>
      </c>
      <c r="AD1224">
        <v>0</v>
      </c>
      <c r="AE1224">
        <v>0</v>
      </c>
      <c r="AF1224">
        <v>0</v>
      </c>
      <c r="AG1224">
        <v>0</v>
      </c>
      <c r="AH1224">
        <v>0</v>
      </c>
      <c r="AI1224">
        <v>0</v>
      </c>
      <c r="AJ1224">
        <v>0</v>
      </c>
      <c r="AK1224">
        <v>0</v>
      </c>
      <c r="AL1224">
        <v>0</v>
      </c>
      <c r="AM1224">
        <v>0</v>
      </c>
      <c r="AN1224">
        <v>0</v>
      </c>
      <c r="AO1224">
        <v>0</v>
      </c>
      <c r="AP1224">
        <v>0</v>
      </c>
      <c r="AQ1224">
        <v>0</v>
      </c>
      <c r="AR1224">
        <v>0</v>
      </c>
      <c r="AS1224">
        <v>0</v>
      </c>
      <c r="AT1224">
        <v>0</v>
      </c>
      <c r="AU1224">
        <v>0</v>
      </c>
      <c r="AV1224">
        <v>0</v>
      </c>
      <c r="AW1224">
        <v>0</v>
      </c>
      <c r="AX1224" s="141">
        <f t="shared" si="1593"/>
        <v>1</v>
      </c>
      <c r="AY1224" s="141">
        <f t="shared" si="1594"/>
        <v>1</v>
      </c>
      <c r="AZ1224">
        <f t="shared" si="1595"/>
        <v>1</v>
      </c>
      <c r="BA1224">
        <f t="shared" si="1596"/>
        <v>0</v>
      </c>
      <c r="BB1224">
        <f t="shared" si="1597"/>
        <v>0</v>
      </c>
      <c r="BC1224">
        <f t="shared" si="1598"/>
        <v>0</v>
      </c>
      <c r="BD1224">
        <f t="shared" si="1599"/>
        <v>0</v>
      </c>
      <c r="BE1224" t="str" cm="1">
        <f t="array" ref="BE1224">IF(AY1224=1,INDEX($V$7:$AL$7,MATCH(TRUE,INDEX($V1224:$AW1224&lt;&gt;0,),0)),IF(AY1224=0,INDEX($AM$7:$AW$7,MATCH(1,$AM1224:$AW1224,0)),IF(BF1224="Multiple strategies","mixed drivers",IF(BF1224="Supply chain","multiple supply","multiple silviculture"))))</f>
        <v xml:space="preserve">cutting intensity </v>
      </c>
      <c r="BF1224" s="2" t="str" cm="1">
        <f t="array" ref="BF1224">IF(COUNTIF(AZ1224:BB1224,"&lt;&gt;0")=1,INDEX($V$4:$AW$4,MATCH(TRUE,INDEX($V1224:$AW1224&lt;&gt;0,),0)),IF(COUNTIF(AZ1224:BB1224,"&lt;&gt;0")=0,INDEX($AM$4:$AW$4,MATCH(1,$AM1224:$AW1224,0)),"Multiple strategies"))</f>
        <v>Silviculture for removals</v>
      </c>
      <c r="BG1224" s="178" t="s">
        <v>321</v>
      </c>
      <c r="BH1224" s="264" t="s">
        <v>2143</v>
      </c>
      <c r="BI1224" s="264" t="s">
        <v>426</v>
      </c>
      <c r="BJ1224" s="160" t="s">
        <v>700</v>
      </c>
      <c r="BK1224">
        <v>7.8</v>
      </c>
      <c r="BL1224">
        <v>8.6999999999999993</v>
      </c>
      <c r="BN1224">
        <f t="shared" si="1610"/>
        <v>0.89999999999999947</v>
      </c>
      <c r="BO1224">
        <f t="shared" si="1627"/>
        <v>0.89999999999999947</v>
      </c>
      <c r="BP1224" s="155" t="s">
        <v>395</v>
      </c>
      <c r="BQ1224" s="264" t="s">
        <v>786</v>
      </c>
      <c r="BR1224" s="270" t="s">
        <v>2144</v>
      </c>
      <c r="BS1224">
        <f>-3.5/50</f>
        <v>-7.0000000000000007E-2</v>
      </c>
      <c r="BT1224">
        <f>-5.2/50</f>
        <v>-0.10400000000000001</v>
      </c>
      <c r="BU1224" s="144"/>
      <c r="BV1224">
        <f t="shared" si="1613"/>
        <v>-3.4000000000000002E-2</v>
      </c>
      <c r="BX1224">
        <f t="shared" si="1628"/>
        <v>-3.4000000000000002E-2</v>
      </c>
      <c r="BY1224">
        <f t="shared" si="1591"/>
        <v>-3.7777777777777806E-2</v>
      </c>
      <c r="BZ1224">
        <v>0</v>
      </c>
      <c r="CA1224">
        <v>0</v>
      </c>
      <c r="CB1224">
        <v>0</v>
      </c>
      <c r="CC1224">
        <v>0</v>
      </c>
      <c r="CD1224">
        <v>0</v>
      </c>
      <c r="CE1224">
        <v>0</v>
      </c>
      <c r="CF1224">
        <v>0</v>
      </c>
      <c r="CG1224">
        <v>0</v>
      </c>
      <c r="CH1224">
        <v>0</v>
      </c>
      <c r="CI1224">
        <v>0</v>
      </c>
      <c r="CJ1224">
        <v>0</v>
      </c>
      <c r="CK1224">
        <v>0</v>
      </c>
      <c r="CL1224">
        <v>0</v>
      </c>
      <c r="CM1224">
        <v>0</v>
      </c>
      <c r="CN1224" t="str">
        <f t="shared" si="1600"/>
        <v>refOK</v>
      </c>
      <c r="CO1224">
        <f t="shared" si="1615"/>
        <v>7.8</v>
      </c>
      <c r="CP1224">
        <f t="shared" si="1616"/>
        <v>8.6999999999999993</v>
      </c>
      <c r="CQ1224">
        <f t="shared" si="1617"/>
        <v>0.89999999999999947</v>
      </c>
      <c r="CR1224">
        <f t="shared" si="1601"/>
        <v>7.0000000000000007E-2</v>
      </c>
      <c r="CS1224">
        <f t="shared" si="1602"/>
        <v>0.10400000000000001</v>
      </c>
      <c r="CT1224">
        <f t="shared" si="1603"/>
        <v>3.4000000000000002E-2</v>
      </c>
      <c r="CU1224">
        <f t="shared" si="1604"/>
        <v>3.7777777777777806E-2</v>
      </c>
      <c r="CV1224" s="2">
        <f t="shared" si="1605"/>
        <v>0.48571428571428571</v>
      </c>
      <c r="CW1224" s="1" t="s">
        <v>1198</v>
      </c>
      <c r="CX1224" s="264" t="str">
        <f t="shared" si="1606"/>
        <v>reg</v>
      </c>
      <c r="CY1224" t="s">
        <v>235</v>
      </c>
      <c r="DB1224">
        <v>50</v>
      </c>
      <c r="DC1224" t="str">
        <f t="shared" si="1607"/>
        <v>31-70</v>
      </c>
      <c r="DD1224">
        <v>0</v>
      </c>
      <c r="DE1224">
        <v>1</v>
      </c>
      <c r="DF1224">
        <v>1</v>
      </c>
      <c r="DG1224">
        <v>1</v>
      </c>
      <c r="DI1224">
        <f t="shared" si="1621"/>
        <v>3</v>
      </c>
      <c r="DJ1224" t="str">
        <f t="shared" si="1608"/>
        <v>mixedProduct</v>
      </c>
      <c r="DK1224">
        <f t="shared" si="1622"/>
        <v>0</v>
      </c>
      <c r="DL1224" t="str">
        <f t="shared" si="1623"/>
        <v>Energy</v>
      </c>
      <c r="DM1224" t="str">
        <f t="shared" si="1624"/>
        <v>Pulp/Paper</v>
      </c>
      <c r="DN1224" t="str">
        <f t="shared" si="1625"/>
        <v>Timber</v>
      </c>
      <c r="DO1224">
        <v>0</v>
      </c>
      <c r="DP1224">
        <v>1</v>
      </c>
      <c r="DQ1224" t="s">
        <v>2145</v>
      </c>
      <c r="DR1224">
        <v>0</v>
      </c>
      <c r="DS1224">
        <v>0</v>
      </c>
      <c r="DT1224">
        <f t="shared" si="1629"/>
        <v>1</v>
      </c>
      <c r="DU1224" s="143" t="str">
        <f t="shared" si="1626"/>
        <v>external DF used</v>
      </c>
      <c r="DV1224">
        <v>1</v>
      </c>
      <c r="DW1224">
        <v>1</v>
      </c>
      <c r="DX1224">
        <v>1</v>
      </c>
      <c r="DY1224">
        <v>0</v>
      </c>
      <c r="DZ1224">
        <v>0</v>
      </c>
      <c r="EA1224" s="143">
        <v>0</v>
      </c>
      <c r="EB1224">
        <v>1</v>
      </c>
      <c r="EC1224">
        <v>1</v>
      </c>
      <c r="ED1224">
        <v>0</v>
      </c>
      <c r="EE1224">
        <v>0</v>
      </c>
      <c r="EF1224">
        <v>1</v>
      </c>
      <c r="EG1224">
        <v>0</v>
      </c>
      <c r="EH1224">
        <v>0</v>
      </c>
      <c r="EI1224" s="2">
        <v>0</v>
      </c>
      <c r="EK1224" t="str">
        <f t="shared" si="1619"/>
        <v>Whole sector</v>
      </c>
      <c r="EL1224" t="str">
        <f t="shared" si="1620"/>
        <v/>
      </c>
      <c r="EM1224" s="2" t="str">
        <f t="shared" si="1592"/>
        <v/>
      </c>
      <c r="EP1224" t="str">
        <f>IF(ISNUMBER(BU1224),IF(ABS(BU1224-[4]QC_indicators!$B$2)&gt;3*[4]QC_indicators!$C$2,"C ratio",IF(ISNUMBER(BY1224),IF(ABS(BY1224-[4]QC_indicators!$B$1)&gt;3*[4]QC_indicators!$C$1,"DF","no"))),IF(ISNUMBER(BY1224),IF(ABS(BY1224-[4]QC_indicators!$B$1)&gt;3*[4]QC_indicators!$C$1,"DF","no")))</f>
        <v>no</v>
      </c>
      <c r="ET1224" s="264" t="s">
        <v>3406</v>
      </c>
    </row>
    <row r="1225" spans="1:150" ht="15" hidden="1" customHeight="1">
      <c r="A1225" s="1" t="s">
        <v>1359</v>
      </c>
      <c r="B1225" t="s">
        <v>2134</v>
      </c>
      <c r="C1225" t="s">
        <v>2135</v>
      </c>
      <c r="D1225" t="s">
        <v>2136</v>
      </c>
      <c r="E1225" t="s">
        <v>2137</v>
      </c>
      <c r="F1225" t="s">
        <v>2138</v>
      </c>
      <c r="G1225" t="s">
        <v>1365</v>
      </c>
      <c r="H1225" t="s">
        <v>254</v>
      </c>
      <c r="I1225">
        <v>2012</v>
      </c>
      <c r="J1225">
        <v>21</v>
      </c>
      <c r="K1225" t="s">
        <v>2139</v>
      </c>
      <c r="L1225" s="192"/>
      <c r="M1225" t="str">
        <f t="shared" si="1630"/>
        <v>Pyorala_2012</v>
      </c>
      <c r="N1225" t="s">
        <v>222</v>
      </c>
      <c r="O1225" s="145" t="s">
        <v>341</v>
      </c>
      <c r="P1225" s="180" t="s">
        <v>223</v>
      </c>
      <c r="Q1225" s="264" t="s">
        <v>256</v>
      </c>
      <c r="R1225" s="269" t="s">
        <v>1153</v>
      </c>
      <c r="S1225" s="263" t="s">
        <v>2149</v>
      </c>
      <c r="T1225" s="264" t="s">
        <v>2142</v>
      </c>
      <c r="U1225" s="264" t="s">
        <v>2141</v>
      </c>
      <c r="V1225">
        <v>0</v>
      </c>
      <c r="W1225">
        <v>0</v>
      </c>
      <c r="X1225">
        <v>0</v>
      </c>
      <c r="Y1225">
        <v>1</v>
      </c>
      <c r="Z1225">
        <v>0</v>
      </c>
      <c r="AA1225">
        <v>0</v>
      </c>
      <c r="AB1225">
        <v>0</v>
      </c>
      <c r="AC1225">
        <v>0</v>
      </c>
      <c r="AD1225">
        <v>0</v>
      </c>
      <c r="AE1225">
        <v>0</v>
      </c>
      <c r="AF1225">
        <v>0</v>
      </c>
      <c r="AG1225">
        <v>0</v>
      </c>
      <c r="AH1225">
        <v>0</v>
      </c>
      <c r="AI1225">
        <v>0</v>
      </c>
      <c r="AJ1225">
        <v>0</v>
      </c>
      <c r="AK1225">
        <v>0</v>
      </c>
      <c r="AL1225">
        <v>0</v>
      </c>
      <c r="AM1225">
        <v>0</v>
      </c>
      <c r="AN1225">
        <v>0</v>
      </c>
      <c r="AO1225">
        <v>0</v>
      </c>
      <c r="AP1225">
        <v>0</v>
      </c>
      <c r="AQ1225">
        <v>0</v>
      </c>
      <c r="AR1225">
        <v>0</v>
      </c>
      <c r="AS1225">
        <v>0</v>
      </c>
      <c r="AT1225">
        <v>0</v>
      </c>
      <c r="AU1225">
        <v>0</v>
      </c>
      <c r="AV1225">
        <v>0</v>
      </c>
      <c r="AW1225">
        <v>0</v>
      </c>
      <c r="AX1225" s="141">
        <f t="shared" si="1593"/>
        <v>1</v>
      </c>
      <c r="AY1225" s="141">
        <f t="shared" si="1594"/>
        <v>1</v>
      </c>
      <c r="AZ1225">
        <f t="shared" si="1595"/>
        <v>1</v>
      </c>
      <c r="BA1225">
        <f t="shared" si="1596"/>
        <v>0</v>
      </c>
      <c r="BB1225">
        <f t="shared" si="1597"/>
        <v>0</v>
      </c>
      <c r="BC1225">
        <f t="shared" si="1598"/>
        <v>0</v>
      </c>
      <c r="BD1225">
        <f t="shared" si="1599"/>
        <v>0</v>
      </c>
      <c r="BE1225" t="str" cm="1">
        <f t="array" ref="BE1225">IF(AY1225=1,INDEX($V$7:$AL$7,MATCH(TRUE,INDEX($V1225:$AW1225&lt;&gt;0,),0)),IF(AY1225=0,INDEX($AM$7:$AW$7,MATCH(1,$AM1225:$AW1225,0)),IF(BF1225="Multiple strategies","mixed drivers",IF(BF1225="Supply chain","multiple supply","multiple silviculture"))))</f>
        <v xml:space="preserve">cutting intensity </v>
      </c>
      <c r="BF1225" s="2" t="str" cm="1">
        <f t="array" ref="BF1225">IF(COUNTIF(AZ1225:BB1225,"&lt;&gt;0")=1,INDEX($V$4:$AW$4,MATCH(TRUE,INDEX($V1225:$AW1225&lt;&gt;0,),0)),IF(COUNTIF(AZ1225:BB1225,"&lt;&gt;0")=0,INDEX($AM$4:$AW$4,MATCH(1,$AM1225:$AW1225,0)),"Multiple strategies"))</f>
        <v>Silviculture for removals</v>
      </c>
      <c r="BG1225" s="178" t="s">
        <v>321</v>
      </c>
      <c r="BH1225" s="264" t="s">
        <v>2143</v>
      </c>
      <c r="BI1225" s="264" t="s">
        <v>701</v>
      </c>
      <c r="BJ1225" s="160" t="s">
        <v>700</v>
      </c>
      <c r="BK1225">
        <v>6.5</v>
      </c>
      <c r="BL1225">
        <v>6.7</v>
      </c>
      <c r="BN1225">
        <f t="shared" si="1610"/>
        <v>0.20000000000000018</v>
      </c>
      <c r="BO1225">
        <f t="shared" si="1627"/>
        <v>0.20000000000000018</v>
      </c>
      <c r="BP1225" s="155" t="s">
        <v>395</v>
      </c>
      <c r="BQ1225" s="264" t="s">
        <v>786</v>
      </c>
      <c r="BR1225" s="270" t="s">
        <v>2144</v>
      </c>
      <c r="BS1225">
        <f>-2.6/80</f>
        <v>-3.2500000000000001E-2</v>
      </c>
      <c r="BT1225">
        <f>-3.2/80</f>
        <v>-0.04</v>
      </c>
      <c r="BU1225" s="144"/>
      <c r="BV1225">
        <f t="shared" si="1613"/>
        <v>-7.4999999999999997E-3</v>
      </c>
      <c r="BX1225">
        <f t="shared" si="1628"/>
        <v>-7.4999999999999997E-3</v>
      </c>
      <c r="BY1225">
        <f t="shared" si="1591"/>
        <v>-3.7499999999999964E-2</v>
      </c>
      <c r="BZ1225">
        <v>0</v>
      </c>
      <c r="CA1225">
        <v>0</v>
      </c>
      <c r="CB1225">
        <v>0</v>
      </c>
      <c r="CC1225">
        <v>0</v>
      </c>
      <c r="CD1225">
        <v>0</v>
      </c>
      <c r="CE1225">
        <v>0</v>
      </c>
      <c r="CF1225">
        <v>0</v>
      </c>
      <c r="CG1225">
        <v>0</v>
      </c>
      <c r="CH1225">
        <v>0</v>
      </c>
      <c r="CI1225">
        <v>0</v>
      </c>
      <c r="CJ1225">
        <v>0</v>
      </c>
      <c r="CK1225">
        <v>0</v>
      </c>
      <c r="CL1225">
        <v>0</v>
      </c>
      <c r="CM1225">
        <v>0</v>
      </c>
      <c r="CN1225" t="str">
        <f t="shared" si="1600"/>
        <v>refOK</v>
      </c>
      <c r="CO1225">
        <f t="shared" si="1615"/>
        <v>6.5</v>
      </c>
      <c r="CP1225">
        <f t="shared" si="1616"/>
        <v>6.7</v>
      </c>
      <c r="CQ1225">
        <f t="shared" si="1617"/>
        <v>0.20000000000000018</v>
      </c>
      <c r="CR1225">
        <f t="shared" si="1601"/>
        <v>3.2500000000000001E-2</v>
      </c>
      <c r="CS1225">
        <f t="shared" si="1602"/>
        <v>0.04</v>
      </c>
      <c r="CT1225">
        <f t="shared" si="1603"/>
        <v>7.4999999999999997E-3</v>
      </c>
      <c r="CU1225">
        <f t="shared" si="1604"/>
        <v>3.7499999999999964E-2</v>
      </c>
      <c r="CV1225" s="2">
        <f t="shared" si="1605"/>
        <v>0.23076923076923075</v>
      </c>
      <c r="CW1225" s="1" t="s">
        <v>1198</v>
      </c>
      <c r="CX1225" s="264" t="str">
        <f t="shared" si="1606"/>
        <v>reg</v>
      </c>
      <c r="CY1225" t="s">
        <v>235</v>
      </c>
      <c r="DB1225">
        <v>80</v>
      </c>
      <c r="DC1225" t="str">
        <f t="shared" si="1607"/>
        <v>71-100</v>
      </c>
      <c r="DD1225">
        <v>0</v>
      </c>
      <c r="DE1225">
        <v>1</v>
      </c>
      <c r="DF1225">
        <v>1</v>
      </c>
      <c r="DG1225">
        <v>1</v>
      </c>
      <c r="DI1225">
        <f t="shared" si="1621"/>
        <v>3</v>
      </c>
      <c r="DJ1225" t="str">
        <f t="shared" si="1608"/>
        <v>mixedProduct</v>
      </c>
      <c r="DK1225">
        <f t="shared" si="1622"/>
        <v>0</v>
      </c>
      <c r="DL1225" t="str">
        <f t="shared" si="1623"/>
        <v>Energy</v>
      </c>
      <c r="DM1225" t="str">
        <f t="shared" si="1624"/>
        <v>Pulp/Paper</v>
      </c>
      <c r="DN1225" t="str">
        <f t="shared" si="1625"/>
        <v>Timber</v>
      </c>
      <c r="DO1225">
        <v>0</v>
      </c>
      <c r="DP1225">
        <v>1</v>
      </c>
      <c r="DQ1225" t="s">
        <v>2145</v>
      </c>
      <c r="DR1225">
        <v>0</v>
      </c>
      <c r="DS1225">
        <v>0</v>
      </c>
      <c r="DT1225">
        <f t="shared" si="1629"/>
        <v>1</v>
      </c>
      <c r="DU1225" s="143" t="str">
        <f t="shared" si="1626"/>
        <v>external DF used</v>
      </c>
      <c r="DV1225">
        <v>1</v>
      </c>
      <c r="DW1225">
        <v>1</v>
      </c>
      <c r="DX1225">
        <v>1</v>
      </c>
      <c r="DY1225">
        <v>0</v>
      </c>
      <c r="DZ1225">
        <v>0</v>
      </c>
      <c r="EA1225" s="143">
        <v>0</v>
      </c>
      <c r="EB1225">
        <v>1</v>
      </c>
      <c r="EC1225">
        <v>1</v>
      </c>
      <c r="ED1225">
        <v>0</v>
      </c>
      <c r="EE1225">
        <v>0</v>
      </c>
      <c r="EF1225">
        <v>1</v>
      </c>
      <c r="EG1225">
        <v>0</v>
      </c>
      <c r="EH1225">
        <v>0</v>
      </c>
      <c r="EI1225" s="2">
        <v>0</v>
      </c>
      <c r="EK1225" t="str">
        <f t="shared" si="1619"/>
        <v>Whole sector</v>
      </c>
      <c r="EL1225" t="str">
        <f t="shared" si="1620"/>
        <v/>
      </c>
      <c r="EM1225" s="2" t="str">
        <f t="shared" si="1592"/>
        <v/>
      </c>
      <c r="EP1225" t="str">
        <f>IF(ISNUMBER(BU1225),IF(ABS(BU1225-[4]QC_indicators!$B$2)&gt;3*[4]QC_indicators!$C$2,"C ratio",IF(ISNUMBER(BY1225),IF(ABS(BY1225-[4]QC_indicators!$B$1)&gt;3*[4]QC_indicators!$C$1,"DF","no"))),IF(ISNUMBER(BY1225),IF(ABS(BY1225-[4]QC_indicators!$B$1)&gt;3*[4]QC_indicators!$C$1,"DF","no")))</f>
        <v>no</v>
      </c>
      <c r="ET1225" s="264" t="s">
        <v>3406</v>
      </c>
    </row>
    <row r="1226" spans="1:150" ht="15" hidden="1" customHeight="1">
      <c r="A1226" s="1" t="s">
        <v>1359</v>
      </c>
      <c r="B1226" t="s">
        <v>2134</v>
      </c>
      <c r="C1226" t="s">
        <v>2135</v>
      </c>
      <c r="D1226" t="s">
        <v>2136</v>
      </c>
      <c r="E1226" t="s">
        <v>2137</v>
      </c>
      <c r="F1226" t="s">
        <v>2138</v>
      </c>
      <c r="G1226" t="s">
        <v>1365</v>
      </c>
      <c r="H1226" t="s">
        <v>254</v>
      </c>
      <c r="I1226">
        <v>2012</v>
      </c>
      <c r="J1226">
        <v>21</v>
      </c>
      <c r="K1226" t="s">
        <v>2139</v>
      </c>
      <c r="L1226" s="192"/>
      <c r="M1226" t="str">
        <f t="shared" si="1630"/>
        <v>Pyorala_2012</v>
      </c>
      <c r="N1226" t="s">
        <v>222</v>
      </c>
      <c r="O1226" s="145" t="s">
        <v>341</v>
      </c>
      <c r="P1226" s="180" t="s">
        <v>223</v>
      </c>
      <c r="Q1226" s="264" t="s">
        <v>256</v>
      </c>
      <c r="R1226" s="269" t="s">
        <v>1153</v>
      </c>
      <c r="S1226" s="263" t="s">
        <v>2149</v>
      </c>
      <c r="T1226" s="264" t="s">
        <v>2142</v>
      </c>
      <c r="U1226" s="264" t="s">
        <v>2147</v>
      </c>
      <c r="V1226">
        <v>0</v>
      </c>
      <c r="W1226">
        <v>0</v>
      </c>
      <c r="X1226">
        <v>0</v>
      </c>
      <c r="Y1226">
        <v>1</v>
      </c>
      <c r="Z1226">
        <v>0</v>
      </c>
      <c r="AA1226">
        <v>0</v>
      </c>
      <c r="AB1226">
        <v>0</v>
      </c>
      <c r="AC1226">
        <v>0</v>
      </c>
      <c r="AD1226">
        <v>0</v>
      </c>
      <c r="AE1226">
        <v>0</v>
      </c>
      <c r="AF1226">
        <v>0</v>
      </c>
      <c r="AG1226">
        <v>0</v>
      </c>
      <c r="AH1226">
        <v>0</v>
      </c>
      <c r="AI1226">
        <v>0</v>
      </c>
      <c r="AJ1226">
        <v>0</v>
      </c>
      <c r="AK1226">
        <v>0</v>
      </c>
      <c r="AL1226">
        <v>0</v>
      </c>
      <c r="AM1226">
        <v>0</v>
      </c>
      <c r="AN1226">
        <v>0</v>
      </c>
      <c r="AO1226">
        <v>0</v>
      </c>
      <c r="AP1226">
        <v>0</v>
      </c>
      <c r="AQ1226">
        <v>0</v>
      </c>
      <c r="AR1226">
        <v>0</v>
      </c>
      <c r="AS1226">
        <v>0</v>
      </c>
      <c r="AT1226">
        <v>0</v>
      </c>
      <c r="AU1226">
        <v>0</v>
      </c>
      <c r="AV1226">
        <v>0</v>
      </c>
      <c r="AW1226">
        <v>0</v>
      </c>
      <c r="AX1226" s="141">
        <f t="shared" si="1593"/>
        <v>1</v>
      </c>
      <c r="AY1226" s="141">
        <f t="shared" si="1594"/>
        <v>1</v>
      </c>
      <c r="AZ1226">
        <f t="shared" si="1595"/>
        <v>1</v>
      </c>
      <c r="BA1226">
        <f t="shared" si="1596"/>
        <v>0</v>
      </c>
      <c r="BB1226">
        <f t="shared" si="1597"/>
        <v>0</v>
      </c>
      <c r="BC1226">
        <f t="shared" si="1598"/>
        <v>0</v>
      </c>
      <c r="BD1226">
        <f t="shared" si="1599"/>
        <v>0</v>
      </c>
      <c r="BE1226" t="str" cm="1">
        <f t="array" ref="BE1226">IF(AY1226=1,INDEX($V$7:$AL$7,MATCH(TRUE,INDEX($V1226:$AW1226&lt;&gt;0,),0)),IF(AY1226=0,INDEX($AM$7:$AW$7,MATCH(1,$AM1226:$AW1226,0)),IF(BF1226="Multiple strategies","mixed drivers",IF(BF1226="Supply chain","multiple supply","multiple silviculture"))))</f>
        <v xml:space="preserve">cutting intensity </v>
      </c>
      <c r="BF1226" s="2" t="str" cm="1">
        <f t="array" ref="BF1226">IF(COUNTIF(AZ1226:BB1226,"&lt;&gt;0")=1,INDEX($V$4:$AW$4,MATCH(TRUE,INDEX($V1226:$AW1226&lt;&gt;0,),0)),IF(COUNTIF(AZ1226:BB1226,"&lt;&gt;0")=0,INDEX($AM$4:$AW$4,MATCH(1,$AM1226:$AW1226,0)),"Multiple strategies"))</f>
        <v>Silviculture for removals</v>
      </c>
      <c r="BG1226" s="178" t="s">
        <v>321</v>
      </c>
      <c r="BH1226" s="264" t="s">
        <v>2143</v>
      </c>
      <c r="BI1226" s="264" t="s">
        <v>701</v>
      </c>
      <c r="BJ1226" s="160" t="s">
        <v>700</v>
      </c>
      <c r="BK1226">
        <v>6.5</v>
      </c>
      <c r="BL1226">
        <v>6.8</v>
      </c>
      <c r="BN1226">
        <f t="shared" si="1610"/>
        <v>0.29999999999999982</v>
      </c>
      <c r="BO1226">
        <f t="shared" si="1627"/>
        <v>0.29999999999999982</v>
      </c>
      <c r="BP1226" s="155" t="s">
        <v>395</v>
      </c>
      <c r="BQ1226" s="264" t="s">
        <v>786</v>
      </c>
      <c r="BR1226" s="270" t="s">
        <v>2144</v>
      </c>
      <c r="BS1226">
        <f>-2.59/80</f>
        <v>-3.2375000000000001E-2</v>
      </c>
      <c r="BT1226">
        <f>-3.28/80</f>
        <v>-4.0999999999999995E-2</v>
      </c>
      <c r="BU1226" s="144"/>
      <c r="BV1226">
        <f t="shared" si="1613"/>
        <v>-8.6249999999999938E-3</v>
      </c>
      <c r="BX1226">
        <f t="shared" si="1628"/>
        <v>-8.6249999999999938E-3</v>
      </c>
      <c r="BY1226">
        <f t="shared" si="1591"/>
        <v>-2.8749999999999998E-2</v>
      </c>
      <c r="BZ1226">
        <v>0</v>
      </c>
      <c r="CA1226">
        <v>0</v>
      </c>
      <c r="CB1226">
        <v>0</v>
      </c>
      <c r="CC1226">
        <v>0</v>
      </c>
      <c r="CD1226">
        <v>0</v>
      </c>
      <c r="CE1226">
        <v>0</v>
      </c>
      <c r="CF1226">
        <v>0</v>
      </c>
      <c r="CG1226">
        <v>0</v>
      </c>
      <c r="CH1226">
        <v>0</v>
      </c>
      <c r="CI1226">
        <v>0</v>
      </c>
      <c r="CJ1226">
        <v>0</v>
      </c>
      <c r="CK1226">
        <v>0</v>
      </c>
      <c r="CL1226">
        <v>0</v>
      </c>
      <c r="CM1226">
        <v>0</v>
      </c>
      <c r="CN1226" t="str">
        <f t="shared" si="1600"/>
        <v>refOK</v>
      </c>
      <c r="CO1226">
        <f t="shared" si="1615"/>
        <v>6.5</v>
      </c>
      <c r="CP1226">
        <f t="shared" si="1616"/>
        <v>6.8</v>
      </c>
      <c r="CQ1226">
        <f t="shared" si="1617"/>
        <v>0.29999999999999982</v>
      </c>
      <c r="CR1226">
        <f t="shared" si="1601"/>
        <v>3.2375000000000001E-2</v>
      </c>
      <c r="CS1226">
        <f t="shared" si="1602"/>
        <v>4.0999999999999995E-2</v>
      </c>
      <c r="CT1226">
        <f t="shared" si="1603"/>
        <v>8.6249999999999938E-3</v>
      </c>
      <c r="CU1226">
        <f t="shared" si="1604"/>
        <v>2.8749999999999998E-2</v>
      </c>
      <c r="CV1226" s="2">
        <f t="shared" si="1605"/>
        <v>0.26640926640926621</v>
      </c>
      <c r="CW1226" s="1" t="s">
        <v>1198</v>
      </c>
      <c r="CX1226" s="264" t="str">
        <f t="shared" si="1606"/>
        <v>reg</v>
      </c>
      <c r="CY1226" t="s">
        <v>235</v>
      </c>
      <c r="DB1226">
        <v>80</v>
      </c>
      <c r="DC1226" t="str">
        <f t="shared" si="1607"/>
        <v>71-100</v>
      </c>
      <c r="DD1226">
        <v>0</v>
      </c>
      <c r="DE1226">
        <v>1</v>
      </c>
      <c r="DF1226">
        <v>1</v>
      </c>
      <c r="DG1226">
        <v>1</v>
      </c>
      <c r="DI1226">
        <f t="shared" si="1621"/>
        <v>3</v>
      </c>
      <c r="DJ1226" t="str">
        <f t="shared" si="1608"/>
        <v>mixedProduct</v>
      </c>
      <c r="DK1226">
        <f t="shared" si="1622"/>
        <v>0</v>
      </c>
      <c r="DL1226" t="str">
        <f t="shared" si="1623"/>
        <v>Energy</v>
      </c>
      <c r="DM1226" t="str">
        <f t="shared" si="1624"/>
        <v>Pulp/Paper</v>
      </c>
      <c r="DN1226" t="str">
        <f t="shared" si="1625"/>
        <v>Timber</v>
      </c>
      <c r="DO1226">
        <v>0</v>
      </c>
      <c r="DP1226">
        <v>1</v>
      </c>
      <c r="DQ1226" t="s">
        <v>2145</v>
      </c>
      <c r="DR1226">
        <v>0</v>
      </c>
      <c r="DS1226">
        <v>0</v>
      </c>
      <c r="DT1226">
        <f t="shared" si="1629"/>
        <v>1</v>
      </c>
      <c r="DU1226" s="143" t="str">
        <f t="shared" si="1626"/>
        <v>external DF used</v>
      </c>
      <c r="DV1226">
        <v>1</v>
      </c>
      <c r="DW1226">
        <v>1</v>
      </c>
      <c r="DX1226">
        <v>1</v>
      </c>
      <c r="DY1226">
        <v>0</v>
      </c>
      <c r="DZ1226">
        <v>0</v>
      </c>
      <c r="EA1226" s="143">
        <v>0</v>
      </c>
      <c r="EB1226">
        <v>1</v>
      </c>
      <c r="EC1226">
        <v>1</v>
      </c>
      <c r="ED1226">
        <v>0</v>
      </c>
      <c r="EE1226">
        <v>0</v>
      </c>
      <c r="EF1226">
        <v>1</v>
      </c>
      <c r="EG1226">
        <v>0</v>
      </c>
      <c r="EH1226">
        <v>0</v>
      </c>
      <c r="EI1226" s="2">
        <v>0</v>
      </c>
      <c r="EK1226" t="str">
        <f t="shared" si="1619"/>
        <v>Whole sector</v>
      </c>
      <c r="EL1226" t="str">
        <f t="shared" si="1620"/>
        <v/>
      </c>
      <c r="EM1226" s="2" t="str">
        <f t="shared" si="1592"/>
        <v/>
      </c>
      <c r="EP1226" t="str">
        <f>IF(ISNUMBER(BU1226),IF(ABS(BU1226-[4]QC_indicators!$B$2)&gt;3*[4]QC_indicators!$C$2,"C ratio",IF(ISNUMBER(BY1226),IF(ABS(BY1226-[4]QC_indicators!$B$1)&gt;3*[4]QC_indicators!$C$1,"DF","no"))),IF(ISNUMBER(BY1226),IF(ABS(BY1226-[4]QC_indicators!$B$1)&gt;3*[4]QC_indicators!$C$1,"DF","no")))</f>
        <v>no</v>
      </c>
      <c r="ET1226" s="264" t="s">
        <v>3406</v>
      </c>
    </row>
    <row r="1227" spans="1:150" ht="15" hidden="1" customHeight="1">
      <c r="A1227" s="1" t="s">
        <v>1359</v>
      </c>
      <c r="B1227" t="s">
        <v>2134</v>
      </c>
      <c r="C1227" t="s">
        <v>2135</v>
      </c>
      <c r="D1227" t="s">
        <v>2136</v>
      </c>
      <c r="E1227" t="s">
        <v>2137</v>
      </c>
      <c r="F1227" t="s">
        <v>2138</v>
      </c>
      <c r="G1227" t="s">
        <v>1365</v>
      </c>
      <c r="H1227" t="s">
        <v>254</v>
      </c>
      <c r="I1227">
        <v>2012</v>
      </c>
      <c r="J1227">
        <v>21</v>
      </c>
      <c r="K1227" t="s">
        <v>2139</v>
      </c>
      <c r="L1227" s="192"/>
      <c r="M1227" t="str">
        <f t="shared" si="1630"/>
        <v>Pyorala_2012</v>
      </c>
      <c r="N1227" t="s">
        <v>222</v>
      </c>
      <c r="O1227" s="145" t="s">
        <v>341</v>
      </c>
      <c r="P1227" s="180" t="s">
        <v>223</v>
      </c>
      <c r="Q1227" s="264" t="s">
        <v>256</v>
      </c>
      <c r="R1227" s="269" t="s">
        <v>1153</v>
      </c>
      <c r="S1227" s="263" t="s">
        <v>2152</v>
      </c>
      <c r="T1227" s="264" t="s">
        <v>2142</v>
      </c>
      <c r="U1227" s="264" t="s">
        <v>2151</v>
      </c>
      <c r="V1227">
        <v>0</v>
      </c>
      <c r="W1227">
        <v>0</v>
      </c>
      <c r="X1227">
        <v>0</v>
      </c>
      <c r="Y1227">
        <v>0</v>
      </c>
      <c r="Z1227">
        <v>0</v>
      </c>
      <c r="AA1227">
        <v>0</v>
      </c>
      <c r="AB1227">
        <v>1</v>
      </c>
      <c r="AC1227">
        <v>0</v>
      </c>
      <c r="AD1227">
        <v>0</v>
      </c>
      <c r="AE1227">
        <v>0</v>
      </c>
      <c r="AF1227">
        <v>0</v>
      </c>
      <c r="AG1227">
        <v>0</v>
      </c>
      <c r="AH1227">
        <v>0</v>
      </c>
      <c r="AI1227">
        <v>0</v>
      </c>
      <c r="AJ1227">
        <v>0</v>
      </c>
      <c r="AK1227">
        <v>0</v>
      </c>
      <c r="AL1227">
        <v>0</v>
      </c>
      <c r="AM1227">
        <v>0</v>
      </c>
      <c r="AN1227">
        <v>0</v>
      </c>
      <c r="AO1227">
        <v>0</v>
      </c>
      <c r="AP1227">
        <v>0</v>
      </c>
      <c r="AQ1227">
        <v>0</v>
      </c>
      <c r="AR1227">
        <v>0</v>
      </c>
      <c r="AS1227">
        <v>0</v>
      </c>
      <c r="AT1227">
        <v>0</v>
      </c>
      <c r="AU1227">
        <v>0</v>
      </c>
      <c r="AV1227">
        <v>0</v>
      </c>
      <c r="AW1227">
        <v>0</v>
      </c>
      <c r="AX1227" s="141">
        <f t="shared" si="1593"/>
        <v>1</v>
      </c>
      <c r="AY1227" s="141">
        <f t="shared" si="1594"/>
        <v>1</v>
      </c>
      <c r="AZ1227">
        <f t="shared" si="1595"/>
        <v>1</v>
      </c>
      <c r="BA1227">
        <f t="shared" si="1596"/>
        <v>0</v>
      </c>
      <c r="BB1227">
        <f t="shared" si="1597"/>
        <v>0</v>
      </c>
      <c r="BC1227">
        <f t="shared" si="1598"/>
        <v>0</v>
      </c>
      <c r="BD1227">
        <f t="shared" si="1599"/>
        <v>0</v>
      </c>
      <c r="BE1227" t="str" cm="1">
        <f t="array" ref="BE1227">IF(AY1227=1,INDEX($V$7:$AL$7,MATCH(TRUE,INDEX($V1227:$AW1227&lt;&gt;0,),0)),IF(AY1227=0,INDEX($AM$7:$AW$7,MATCH(1,$AM1227:$AW1227,0)),IF(BF1227="Multiple strategies","mixed drivers",IF(BF1227="Supply chain","multiple supply","multiple silviculture"))))</f>
        <v>fertilisation</v>
      </c>
      <c r="BF1227" s="2" t="str" cm="1">
        <f t="array" ref="BF1227">IF(COUNTIF(AZ1227:BB1227,"&lt;&gt;0")=1,INDEX($V$4:$AW$4,MATCH(TRUE,INDEX($V1227:$AW1227&lt;&gt;0,),0)),IF(COUNTIF(AZ1227:BB1227,"&lt;&gt;0")=0,INDEX($AM$4:$AW$4,MATCH(1,$AM1227:$AW1227,0)),"Multiple strategies"))</f>
        <v>Silviculture for productivity</v>
      </c>
      <c r="BG1227" s="178" t="s">
        <v>321</v>
      </c>
      <c r="BH1227" s="264" t="s">
        <v>2143</v>
      </c>
      <c r="BI1227" s="264" t="s">
        <v>701</v>
      </c>
      <c r="BJ1227" s="160" t="s">
        <v>700</v>
      </c>
      <c r="BK1227">
        <v>7.6</v>
      </c>
      <c r="BL1227">
        <v>7.9</v>
      </c>
      <c r="BN1227">
        <f t="shared" si="1610"/>
        <v>0.30000000000000071</v>
      </c>
      <c r="BO1227">
        <f t="shared" si="1627"/>
        <v>0.30000000000000071</v>
      </c>
      <c r="BP1227" s="155" t="s">
        <v>395</v>
      </c>
      <c r="BQ1227" s="264" t="s">
        <v>786</v>
      </c>
      <c r="BR1227" s="270" t="s">
        <v>2144</v>
      </c>
      <c r="BS1227">
        <f>-4.1/50</f>
        <v>-8.199999999999999E-2</v>
      </c>
      <c r="BT1227">
        <f>-4.4/50</f>
        <v>-8.8000000000000009E-2</v>
      </c>
      <c r="BU1227" s="144"/>
      <c r="BV1227">
        <f t="shared" si="1613"/>
        <v>-6.0000000000000192E-3</v>
      </c>
      <c r="BX1227">
        <f t="shared" si="1628"/>
        <v>-6.0000000000000192E-3</v>
      </c>
      <c r="BY1227">
        <f t="shared" si="1591"/>
        <v>-2.0000000000000018E-2</v>
      </c>
      <c r="BZ1227">
        <v>0</v>
      </c>
      <c r="CA1227">
        <v>0</v>
      </c>
      <c r="CB1227">
        <v>0</v>
      </c>
      <c r="CC1227">
        <v>0</v>
      </c>
      <c r="CD1227">
        <v>0</v>
      </c>
      <c r="CE1227">
        <v>0</v>
      </c>
      <c r="CF1227">
        <v>0</v>
      </c>
      <c r="CG1227">
        <v>0</v>
      </c>
      <c r="CH1227">
        <v>0</v>
      </c>
      <c r="CI1227">
        <v>0</v>
      </c>
      <c r="CJ1227">
        <v>0</v>
      </c>
      <c r="CK1227">
        <v>0</v>
      </c>
      <c r="CL1227">
        <v>0</v>
      </c>
      <c r="CM1227">
        <v>0</v>
      </c>
      <c r="CN1227" t="str">
        <f t="shared" si="1600"/>
        <v>refOK</v>
      </c>
      <c r="CO1227">
        <f t="shared" si="1615"/>
        <v>7.6</v>
      </c>
      <c r="CP1227">
        <f t="shared" si="1616"/>
        <v>7.9</v>
      </c>
      <c r="CQ1227">
        <f t="shared" si="1617"/>
        <v>0.30000000000000071</v>
      </c>
      <c r="CR1227">
        <f t="shared" si="1601"/>
        <v>8.199999999999999E-2</v>
      </c>
      <c r="CS1227">
        <f t="shared" si="1602"/>
        <v>8.8000000000000009E-2</v>
      </c>
      <c r="CT1227">
        <f t="shared" si="1603"/>
        <v>6.0000000000000192E-3</v>
      </c>
      <c r="CU1227">
        <f t="shared" si="1604"/>
        <v>2.0000000000000018E-2</v>
      </c>
      <c r="CV1227" s="2">
        <f t="shared" si="1605"/>
        <v>7.3170731707317319E-2</v>
      </c>
      <c r="CW1227" s="1" t="s">
        <v>1198</v>
      </c>
      <c r="CX1227" s="264" t="str">
        <f t="shared" si="1606"/>
        <v>reg</v>
      </c>
      <c r="CY1227" t="s">
        <v>235</v>
      </c>
      <c r="DB1227">
        <v>50</v>
      </c>
      <c r="DC1227" t="str">
        <f t="shared" si="1607"/>
        <v>31-70</v>
      </c>
      <c r="DD1227">
        <v>0</v>
      </c>
      <c r="DE1227">
        <v>1</v>
      </c>
      <c r="DF1227">
        <v>1</v>
      </c>
      <c r="DG1227">
        <v>1</v>
      </c>
      <c r="DI1227">
        <f t="shared" si="1621"/>
        <v>3</v>
      </c>
      <c r="DJ1227" t="str">
        <f t="shared" si="1608"/>
        <v>mixedProduct</v>
      </c>
      <c r="DK1227">
        <f t="shared" si="1622"/>
        <v>0</v>
      </c>
      <c r="DL1227" t="str">
        <f t="shared" si="1623"/>
        <v>Energy</v>
      </c>
      <c r="DM1227" t="str">
        <f t="shared" si="1624"/>
        <v>Pulp/Paper</v>
      </c>
      <c r="DN1227" t="str">
        <f t="shared" si="1625"/>
        <v>Timber</v>
      </c>
      <c r="DO1227">
        <v>0</v>
      </c>
      <c r="DP1227">
        <v>1</v>
      </c>
      <c r="DQ1227" t="s">
        <v>2145</v>
      </c>
      <c r="DR1227">
        <v>0</v>
      </c>
      <c r="DS1227">
        <v>0</v>
      </c>
      <c r="DT1227">
        <f t="shared" si="1629"/>
        <v>1</v>
      </c>
      <c r="DU1227" s="143" t="str">
        <f t="shared" si="1626"/>
        <v>external DF used</v>
      </c>
      <c r="DV1227">
        <v>1</v>
      </c>
      <c r="DW1227">
        <v>1</v>
      </c>
      <c r="DX1227">
        <v>1</v>
      </c>
      <c r="DY1227">
        <v>0</v>
      </c>
      <c r="DZ1227">
        <v>0</v>
      </c>
      <c r="EA1227" s="143">
        <v>0</v>
      </c>
      <c r="EB1227">
        <v>1</v>
      </c>
      <c r="EC1227">
        <v>1</v>
      </c>
      <c r="ED1227">
        <v>0</v>
      </c>
      <c r="EE1227">
        <v>0</v>
      </c>
      <c r="EF1227">
        <v>1</v>
      </c>
      <c r="EG1227">
        <v>0</v>
      </c>
      <c r="EH1227">
        <v>0</v>
      </c>
      <c r="EI1227" s="2">
        <v>0</v>
      </c>
      <c r="EK1227" t="str">
        <f t="shared" si="1619"/>
        <v>Whole sector</v>
      </c>
      <c r="EL1227" t="str">
        <f t="shared" si="1620"/>
        <v/>
      </c>
      <c r="EM1227" s="2" t="str">
        <f t="shared" si="1592"/>
        <v/>
      </c>
      <c r="EP1227" t="str">
        <f>IF(ISNUMBER(BU1227),IF(ABS(BU1227-[4]QC_indicators!$B$2)&gt;3*[4]QC_indicators!$C$2,"C ratio",IF(ISNUMBER(BY1227),IF(ABS(BY1227-[4]QC_indicators!$B$1)&gt;3*[4]QC_indicators!$C$1,"DF","no"))),IF(ISNUMBER(BY1227),IF(ABS(BY1227-[4]QC_indicators!$B$1)&gt;3*[4]QC_indicators!$C$1,"DF","no")))</f>
        <v>no</v>
      </c>
      <c r="ET1227" s="264" t="s">
        <v>3406</v>
      </c>
    </row>
    <row r="1228" spans="1:150" ht="15" hidden="1" customHeight="1">
      <c r="A1228" s="1" t="s">
        <v>1359</v>
      </c>
      <c r="B1228" t="s">
        <v>2134</v>
      </c>
      <c r="C1228" t="s">
        <v>2135</v>
      </c>
      <c r="D1228" t="s">
        <v>2136</v>
      </c>
      <c r="E1228" t="s">
        <v>2137</v>
      </c>
      <c r="F1228" t="s">
        <v>2138</v>
      </c>
      <c r="G1228" t="s">
        <v>1365</v>
      </c>
      <c r="H1228" t="s">
        <v>254</v>
      </c>
      <c r="I1228">
        <v>2012</v>
      </c>
      <c r="J1228">
        <v>21</v>
      </c>
      <c r="K1228" t="s">
        <v>2139</v>
      </c>
      <c r="L1228" s="192"/>
      <c r="M1228" t="str">
        <f t="shared" si="1630"/>
        <v>Pyorala_2012</v>
      </c>
      <c r="N1228" t="s">
        <v>222</v>
      </c>
      <c r="O1228" s="145" t="s">
        <v>341</v>
      </c>
      <c r="P1228" s="180" t="s">
        <v>223</v>
      </c>
      <c r="Q1228" s="264" t="s">
        <v>2159</v>
      </c>
      <c r="R1228" s="269" t="s">
        <v>1153</v>
      </c>
      <c r="S1228" s="263" t="s">
        <v>2160</v>
      </c>
      <c r="T1228" s="264" t="s">
        <v>2156</v>
      </c>
      <c r="U1228" s="264" t="s">
        <v>2157</v>
      </c>
      <c r="V1228">
        <v>0</v>
      </c>
      <c r="W1228">
        <v>0</v>
      </c>
      <c r="X1228">
        <v>0</v>
      </c>
      <c r="Y1228">
        <v>0</v>
      </c>
      <c r="Z1228">
        <v>0</v>
      </c>
      <c r="AA1228">
        <v>0</v>
      </c>
      <c r="AB1228">
        <v>0</v>
      </c>
      <c r="AC1228">
        <v>1</v>
      </c>
      <c r="AD1228">
        <v>0</v>
      </c>
      <c r="AE1228">
        <v>0</v>
      </c>
      <c r="AF1228">
        <v>0</v>
      </c>
      <c r="AG1228">
        <v>0</v>
      </c>
      <c r="AH1228">
        <v>0</v>
      </c>
      <c r="AI1228">
        <v>0</v>
      </c>
      <c r="AJ1228">
        <v>0</v>
      </c>
      <c r="AK1228">
        <v>0</v>
      </c>
      <c r="AL1228">
        <v>0</v>
      </c>
      <c r="AM1228">
        <v>0</v>
      </c>
      <c r="AN1228">
        <v>0</v>
      </c>
      <c r="AO1228">
        <v>0</v>
      </c>
      <c r="AP1228">
        <v>0</v>
      </c>
      <c r="AQ1228">
        <v>0</v>
      </c>
      <c r="AR1228">
        <v>0</v>
      </c>
      <c r="AS1228">
        <v>0</v>
      </c>
      <c r="AT1228">
        <v>0</v>
      </c>
      <c r="AU1228">
        <v>0</v>
      </c>
      <c r="AV1228">
        <v>0</v>
      </c>
      <c r="AW1228">
        <v>0</v>
      </c>
      <c r="AX1228" s="141">
        <f t="shared" si="1593"/>
        <v>1</v>
      </c>
      <c r="AY1228" s="141">
        <f t="shared" si="1594"/>
        <v>1</v>
      </c>
      <c r="AZ1228">
        <f t="shared" si="1595"/>
        <v>1</v>
      </c>
      <c r="BA1228">
        <f t="shared" si="1596"/>
        <v>0</v>
      </c>
      <c r="BB1228">
        <f t="shared" si="1597"/>
        <v>0</v>
      </c>
      <c r="BC1228">
        <f t="shared" si="1598"/>
        <v>0</v>
      </c>
      <c r="BD1228">
        <f t="shared" si="1599"/>
        <v>0</v>
      </c>
      <c r="BE1228" t="str" cm="1">
        <f t="array" ref="BE1228">IF(AY1228=1,INDEX($V$7:$AL$7,MATCH(TRUE,INDEX($V1228:$AW1228&lt;&gt;0,),0)),IF(AY1228=0,INDEX($AM$7:$AW$7,MATCH(1,$AM1228:$AW1228,0)),IF(BF1228="Multiple strategies","mixed drivers",IF(BF1228="Supply chain","multiple supply","multiple silviculture"))))</f>
        <v>site fertility</v>
      </c>
      <c r="BF1228" s="2" t="str" cm="1">
        <f t="array" ref="BF1228">IF(COUNTIF(AZ1228:BB1228,"&lt;&gt;0")=1,INDEX($V$4:$AW$4,MATCH(TRUE,INDEX($V1228:$AW1228&lt;&gt;0,),0)),IF(COUNTIF(AZ1228:BB1228,"&lt;&gt;0")=0,INDEX($AM$4:$AW$4,MATCH(1,$AM1228:$AW1228,0)),"Multiple strategies"))</f>
        <v>Silviculture for productivity</v>
      </c>
      <c r="BG1228" s="178" t="s">
        <v>321</v>
      </c>
      <c r="BH1228" s="264" t="s">
        <v>2143</v>
      </c>
      <c r="BI1228" s="264" t="s">
        <v>2158</v>
      </c>
      <c r="BJ1228" s="160" t="s">
        <v>700</v>
      </c>
      <c r="BK1228">
        <v>8.3000000000000007</v>
      </c>
      <c r="BL1228">
        <v>9.1</v>
      </c>
      <c r="BN1228">
        <f t="shared" si="1610"/>
        <v>0.79999999999999893</v>
      </c>
      <c r="BO1228">
        <f t="shared" si="1627"/>
        <v>0.79999999999999893</v>
      </c>
      <c r="BP1228" s="155" t="s">
        <v>395</v>
      </c>
      <c r="BQ1228" s="264" t="s">
        <v>786</v>
      </c>
      <c r="BR1228" s="270" t="s">
        <v>2144</v>
      </c>
      <c r="BS1228">
        <f>-5.1/50</f>
        <v>-0.10199999999999999</v>
      </c>
      <c r="BT1228">
        <f>-5.7/50</f>
        <v>-0.114</v>
      </c>
      <c r="BU1228" s="144"/>
      <c r="BV1228">
        <f t="shared" si="1613"/>
        <v>-1.2000000000000011E-2</v>
      </c>
      <c r="BX1228">
        <f t="shared" si="1628"/>
        <v>-1.2000000000000011E-2</v>
      </c>
      <c r="BY1228">
        <f t="shared" si="1591"/>
        <v>-1.5000000000000034E-2</v>
      </c>
      <c r="BZ1228">
        <v>0</v>
      </c>
      <c r="CA1228">
        <v>0</v>
      </c>
      <c r="CB1228">
        <v>0</v>
      </c>
      <c r="CC1228">
        <v>0</v>
      </c>
      <c r="CD1228">
        <v>0</v>
      </c>
      <c r="CE1228">
        <v>0</v>
      </c>
      <c r="CF1228">
        <v>0</v>
      </c>
      <c r="CG1228">
        <v>0</v>
      </c>
      <c r="CH1228">
        <v>0</v>
      </c>
      <c r="CI1228">
        <v>0</v>
      </c>
      <c r="CJ1228">
        <v>0</v>
      </c>
      <c r="CK1228">
        <v>0</v>
      </c>
      <c r="CL1228">
        <v>0</v>
      </c>
      <c r="CM1228">
        <v>0</v>
      </c>
      <c r="CN1228" t="str">
        <f t="shared" si="1600"/>
        <v>refOK</v>
      </c>
      <c r="CO1228">
        <f t="shared" si="1615"/>
        <v>8.3000000000000007</v>
      </c>
      <c r="CP1228">
        <f t="shared" si="1616"/>
        <v>9.1</v>
      </c>
      <c r="CQ1228">
        <f t="shared" si="1617"/>
        <v>0.79999999999999893</v>
      </c>
      <c r="CR1228">
        <f t="shared" si="1601"/>
        <v>0.10199999999999999</v>
      </c>
      <c r="CS1228">
        <f t="shared" si="1602"/>
        <v>0.114</v>
      </c>
      <c r="CT1228">
        <f t="shared" si="1603"/>
        <v>1.2000000000000011E-2</v>
      </c>
      <c r="CU1228">
        <f t="shared" si="1604"/>
        <v>1.5000000000000034E-2</v>
      </c>
      <c r="CV1228" s="2">
        <f t="shared" si="1605"/>
        <v>0.11764705882352952</v>
      </c>
      <c r="CW1228" s="1" t="s">
        <v>1198</v>
      </c>
      <c r="CX1228" s="264" t="str">
        <f t="shared" si="1606"/>
        <v>reg</v>
      </c>
      <c r="CY1228" t="s">
        <v>235</v>
      </c>
      <c r="DB1228">
        <v>50</v>
      </c>
      <c r="DC1228" t="str">
        <f t="shared" si="1607"/>
        <v>31-70</v>
      </c>
      <c r="DD1228">
        <v>0</v>
      </c>
      <c r="DE1228">
        <v>1</v>
      </c>
      <c r="DF1228">
        <v>1</v>
      </c>
      <c r="DG1228">
        <v>1</v>
      </c>
      <c r="DI1228">
        <f t="shared" si="1621"/>
        <v>3</v>
      </c>
      <c r="DJ1228" t="str">
        <f t="shared" si="1608"/>
        <v>mixedProduct</v>
      </c>
      <c r="DK1228">
        <f t="shared" si="1622"/>
        <v>0</v>
      </c>
      <c r="DL1228" t="str">
        <f t="shared" si="1623"/>
        <v>Energy</v>
      </c>
      <c r="DM1228" t="str">
        <f t="shared" si="1624"/>
        <v>Pulp/Paper</v>
      </c>
      <c r="DN1228" t="str">
        <f t="shared" si="1625"/>
        <v>Timber</v>
      </c>
      <c r="DO1228">
        <v>0</v>
      </c>
      <c r="DP1228">
        <v>1</v>
      </c>
      <c r="DQ1228" t="s">
        <v>2145</v>
      </c>
      <c r="DR1228">
        <v>0</v>
      </c>
      <c r="DS1228">
        <v>0</v>
      </c>
      <c r="DT1228">
        <f t="shared" si="1629"/>
        <v>1</v>
      </c>
      <c r="DU1228" s="143" t="str">
        <f t="shared" si="1626"/>
        <v>external DF used</v>
      </c>
      <c r="DV1228">
        <v>1</v>
      </c>
      <c r="DW1228">
        <v>1</v>
      </c>
      <c r="DX1228">
        <v>1</v>
      </c>
      <c r="DY1228">
        <v>0</v>
      </c>
      <c r="DZ1228">
        <v>0</v>
      </c>
      <c r="EA1228" s="143">
        <v>0</v>
      </c>
      <c r="EB1228">
        <v>1</v>
      </c>
      <c r="EC1228">
        <v>1</v>
      </c>
      <c r="ED1228">
        <v>0</v>
      </c>
      <c r="EE1228">
        <v>0</v>
      </c>
      <c r="EF1228">
        <v>1</v>
      </c>
      <c r="EG1228">
        <v>0</v>
      </c>
      <c r="EH1228">
        <v>0</v>
      </c>
      <c r="EI1228" s="2">
        <v>0</v>
      </c>
      <c r="EK1228" t="str">
        <f t="shared" si="1619"/>
        <v>Whole sector</v>
      </c>
      <c r="EL1228" t="str">
        <f t="shared" si="1620"/>
        <v/>
      </c>
      <c r="EM1228" s="2" t="str">
        <f t="shared" si="1592"/>
        <v/>
      </c>
      <c r="EP1228" t="str">
        <f>IF(ISNUMBER(BU1228),IF(ABS(BU1228-[4]QC_indicators!$B$2)&gt;3*[4]QC_indicators!$C$2,"C ratio",IF(ISNUMBER(BY1228),IF(ABS(BY1228-[4]QC_indicators!$B$1)&gt;3*[4]QC_indicators!$C$1,"DF","no"))),IF(ISNUMBER(BY1228),IF(ABS(BY1228-[4]QC_indicators!$B$1)&gt;3*[4]QC_indicators!$C$1,"DF","no")))</f>
        <v>no</v>
      </c>
      <c r="ET1228" s="264" t="s">
        <v>3406</v>
      </c>
    </row>
    <row r="1229" spans="1:150" ht="15" hidden="1" customHeight="1">
      <c r="A1229" s="1" t="s">
        <v>1359</v>
      </c>
      <c r="B1229" t="s">
        <v>2134</v>
      </c>
      <c r="C1229" t="s">
        <v>2135</v>
      </c>
      <c r="D1229" t="s">
        <v>2136</v>
      </c>
      <c r="E1229" t="s">
        <v>2137</v>
      </c>
      <c r="F1229" t="s">
        <v>2138</v>
      </c>
      <c r="G1229" t="s">
        <v>1365</v>
      </c>
      <c r="H1229" t="s">
        <v>254</v>
      </c>
      <c r="I1229">
        <v>2012</v>
      </c>
      <c r="J1229">
        <v>21</v>
      </c>
      <c r="K1229" t="s">
        <v>2139</v>
      </c>
      <c r="L1229" s="192"/>
      <c r="M1229" t="str">
        <f t="shared" si="1630"/>
        <v>Pyorala_2012</v>
      </c>
      <c r="N1229" t="s">
        <v>222</v>
      </c>
      <c r="O1229" s="145" t="s">
        <v>341</v>
      </c>
      <c r="P1229" s="180" t="s">
        <v>223</v>
      </c>
      <c r="Q1229" s="264" t="s">
        <v>256</v>
      </c>
      <c r="R1229" s="269" t="s">
        <v>1153</v>
      </c>
      <c r="S1229" s="263" t="s">
        <v>2150</v>
      </c>
      <c r="T1229" s="264" t="s">
        <v>2142</v>
      </c>
      <c r="U1229" s="264" t="s">
        <v>2151</v>
      </c>
      <c r="V1229">
        <v>0</v>
      </c>
      <c r="W1229">
        <v>0</v>
      </c>
      <c r="X1229">
        <v>0</v>
      </c>
      <c r="Y1229">
        <v>0</v>
      </c>
      <c r="Z1229">
        <v>0</v>
      </c>
      <c r="AA1229">
        <v>0</v>
      </c>
      <c r="AB1229">
        <v>1</v>
      </c>
      <c r="AC1229">
        <v>0</v>
      </c>
      <c r="AD1229">
        <v>0</v>
      </c>
      <c r="AE1229">
        <v>0</v>
      </c>
      <c r="AF1229">
        <v>0</v>
      </c>
      <c r="AG1229">
        <v>0</v>
      </c>
      <c r="AH1229">
        <v>0</v>
      </c>
      <c r="AI1229">
        <v>0</v>
      </c>
      <c r="AJ1229">
        <v>0</v>
      </c>
      <c r="AK1229">
        <v>0</v>
      </c>
      <c r="AL1229">
        <v>0</v>
      </c>
      <c r="AM1229">
        <v>0</v>
      </c>
      <c r="AN1229">
        <v>0</v>
      </c>
      <c r="AO1229">
        <v>0</v>
      </c>
      <c r="AP1229">
        <v>0</v>
      </c>
      <c r="AQ1229">
        <v>0</v>
      </c>
      <c r="AR1229">
        <v>0</v>
      </c>
      <c r="AS1229">
        <v>0</v>
      </c>
      <c r="AT1229">
        <v>0</v>
      </c>
      <c r="AU1229">
        <v>0</v>
      </c>
      <c r="AV1229">
        <v>0</v>
      </c>
      <c r="AW1229">
        <v>0</v>
      </c>
      <c r="AX1229" s="141">
        <f t="shared" si="1593"/>
        <v>1</v>
      </c>
      <c r="AY1229" s="141">
        <f t="shared" si="1594"/>
        <v>1</v>
      </c>
      <c r="AZ1229">
        <f t="shared" si="1595"/>
        <v>1</v>
      </c>
      <c r="BA1229">
        <f t="shared" si="1596"/>
        <v>0</v>
      </c>
      <c r="BB1229">
        <f t="shared" si="1597"/>
        <v>0</v>
      </c>
      <c r="BC1229">
        <f t="shared" si="1598"/>
        <v>0</v>
      </c>
      <c r="BD1229">
        <f t="shared" si="1599"/>
        <v>0</v>
      </c>
      <c r="BE1229" t="str" cm="1">
        <f t="array" ref="BE1229">IF(AY1229=1,INDEX($V$7:$AL$7,MATCH(TRUE,INDEX($V1229:$AW1229&lt;&gt;0,),0)),IF(AY1229=0,INDEX($AM$7:$AW$7,MATCH(1,$AM1229:$AW1229,0)),IF(BF1229="Multiple strategies","mixed drivers",IF(BF1229="Supply chain","multiple supply","multiple silviculture"))))</f>
        <v>fertilisation</v>
      </c>
      <c r="BF1229" s="2" t="str" cm="1">
        <f t="array" ref="BF1229">IF(COUNTIF(AZ1229:BB1229,"&lt;&gt;0")=1,INDEX($V$4:$AW$4,MATCH(TRUE,INDEX($V1229:$AW1229&lt;&gt;0,),0)),IF(COUNTIF(AZ1229:BB1229,"&lt;&gt;0")=0,INDEX($AM$4:$AW$4,MATCH(1,$AM1229:$AW1229,0)),"Multiple strategies"))</f>
        <v>Silviculture for productivity</v>
      </c>
      <c r="BG1229" s="178" t="s">
        <v>321</v>
      </c>
      <c r="BH1229" s="264" t="s">
        <v>2143</v>
      </c>
      <c r="BI1229" s="264" t="s">
        <v>426</v>
      </c>
      <c r="BJ1229" s="160" t="s">
        <v>700</v>
      </c>
      <c r="BK1229">
        <v>8.4</v>
      </c>
      <c r="BL1229">
        <v>8.6999999999999993</v>
      </c>
      <c r="BN1229">
        <f t="shared" si="1610"/>
        <v>0.29999999999999893</v>
      </c>
      <c r="BO1229">
        <f t="shared" si="1627"/>
        <v>0.29999999999999893</v>
      </c>
      <c r="BP1229" s="155" t="s">
        <v>395</v>
      </c>
      <c r="BQ1229" s="264" t="s">
        <v>786</v>
      </c>
      <c r="BR1229" s="270" t="s">
        <v>2144</v>
      </c>
      <c r="BS1229">
        <f>-3.8/80</f>
        <v>-4.7500000000000001E-2</v>
      </c>
      <c r="BT1229">
        <f>-4.1/80</f>
        <v>-5.1249999999999997E-2</v>
      </c>
      <c r="BU1229" s="144"/>
      <c r="BV1229">
        <f t="shared" si="1613"/>
        <v>-3.7499999999999964E-3</v>
      </c>
      <c r="BX1229">
        <f t="shared" si="1628"/>
        <v>-3.7499999999999964E-3</v>
      </c>
      <c r="BY1229">
        <f t="shared" si="1591"/>
        <v>-1.2500000000000032E-2</v>
      </c>
      <c r="BZ1229">
        <v>0</v>
      </c>
      <c r="CA1229">
        <v>0</v>
      </c>
      <c r="CB1229">
        <v>0</v>
      </c>
      <c r="CC1229">
        <v>0</v>
      </c>
      <c r="CD1229">
        <v>0</v>
      </c>
      <c r="CE1229">
        <v>0</v>
      </c>
      <c r="CF1229">
        <v>0</v>
      </c>
      <c r="CG1229">
        <v>0</v>
      </c>
      <c r="CH1229">
        <v>0</v>
      </c>
      <c r="CI1229">
        <v>0</v>
      </c>
      <c r="CJ1229">
        <v>0</v>
      </c>
      <c r="CK1229">
        <v>0</v>
      </c>
      <c r="CL1229">
        <v>0</v>
      </c>
      <c r="CM1229">
        <v>0</v>
      </c>
      <c r="CN1229" t="str">
        <f t="shared" si="1600"/>
        <v>refOK</v>
      </c>
      <c r="CO1229">
        <f t="shared" si="1615"/>
        <v>8.4</v>
      </c>
      <c r="CP1229">
        <f t="shared" si="1616"/>
        <v>8.6999999999999993</v>
      </c>
      <c r="CQ1229">
        <f t="shared" si="1617"/>
        <v>0.29999999999999893</v>
      </c>
      <c r="CR1229">
        <f t="shared" si="1601"/>
        <v>4.7500000000000001E-2</v>
      </c>
      <c r="CS1229">
        <f t="shared" si="1602"/>
        <v>5.1249999999999997E-2</v>
      </c>
      <c r="CT1229">
        <f t="shared" si="1603"/>
        <v>3.7499999999999964E-3</v>
      </c>
      <c r="CU1229">
        <f t="shared" si="1604"/>
        <v>1.2500000000000032E-2</v>
      </c>
      <c r="CV1229" s="2">
        <f t="shared" si="1605"/>
        <v>7.8947368421052558E-2</v>
      </c>
      <c r="CW1229" s="1" t="s">
        <v>1198</v>
      </c>
      <c r="CX1229" s="264" t="str">
        <f t="shared" si="1606"/>
        <v>reg</v>
      </c>
      <c r="CY1229" t="s">
        <v>235</v>
      </c>
      <c r="DB1229">
        <v>80</v>
      </c>
      <c r="DC1229" t="str">
        <f t="shared" si="1607"/>
        <v>71-100</v>
      </c>
      <c r="DD1229">
        <v>0</v>
      </c>
      <c r="DE1229">
        <v>1</v>
      </c>
      <c r="DF1229">
        <v>1</v>
      </c>
      <c r="DG1229">
        <v>1</v>
      </c>
      <c r="DI1229">
        <f t="shared" si="1621"/>
        <v>3</v>
      </c>
      <c r="DJ1229" t="str">
        <f t="shared" si="1608"/>
        <v>mixedProduct</v>
      </c>
      <c r="DK1229">
        <f t="shared" si="1622"/>
        <v>0</v>
      </c>
      <c r="DL1229" t="str">
        <f t="shared" si="1623"/>
        <v>Energy</v>
      </c>
      <c r="DM1229" t="str">
        <f t="shared" si="1624"/>
        <v>Pulp/Paper</v>
      </c>
      <c r="DN1229" t="str">
        <f t="shared" si="1625"/>
        <v>Timber</v>
      </c>
      <c r="DO1229">
        <v>0</v>
      </c>
      <c r="DP1229">
        <v>1</v>
      </c>
      <c r="DQ1229" t="s">
        <v>2145</v>
      </c>
      <c r="DR1229">
        <v>0</v>
      </c>
      <c r="DS1229">
        <v>0</v>
      </c>
      <c r="DT1229">
        <f t="shared" si="1629"/>
        <v>1</v>
      </c>
      <c r="DU1229" s="143" t="str">
        <f t="shared" si="1626"/>
        <v>external DF used</v>
      </c>
      <c r="DV1229">
        <v>1</v>
      </c>
      <c r="DW1229">
        <v>1</v>
      </c>
      <c r="DX1229">
        <v>1</v>
      </c>
      <c r="DY1229">
        <v>0</v>
      </c>
      <c r="DZ1229">
        <v>0</v>
      </c>
      <c r="EA1229" s="143">
        <v>0</v>
      </c>
      <c r="EB1229">
        <v>1</v>
      </c>
      <c r="EC1229">
        <v>1</v>
      </c>
      <c r="ED1229">
        <v>0</v>
      </c>
      <c r="EE1229">
        <v>0</v>
      </c>
      <c r="EF1229">
        <v>1</v>
      </c>
      <c r="EG1229">
        <v>0</v>
      </c>
      <c r="EH1229">
        <v>0</v>
      </c>
      <c r="EI1229" s="2">
        <v>0</v>
      </c>
      <c r="EK1229" t="str">
        <f t="shared" si="1619"/>
        <v>Whole sector</v>
      </c>
      <c r="EL1229" t="str">
        <f t="shared" si="1620"/>
        <v/>
      </c>
      <c r="EM1229" s="2" t="str">
        <f t="shared" si="1592"/>
        <v/>
      </c>
      <c r="EP1229" t="str">
        <f>IF(ISNUMBER(BU1229),IF(ABS(BU1229-[4]QC_indicators!$B$2)&gt;3*[4]QC_indicators!$C$2,"C ratio",IF(ISNUMBER(BY1229),IF(ABS(BY1229-[4]QC_indicators!$B$1)&gt;3*[4]QC_indicators!$C$1,"DF","no"))),IF(ISNUMBER(BY1229),IF(ABS(BY1229-[4]QC_indicators!$B$1)&gt;3*[4]QC_indicators!$C$1,"DF","no")))</f>
        <v>no</v>
      </c>
      <c r="ET1229" s="264" t="s">
        <v>3406</v>
      </c>
    </row>
    <row r="1230" spans="1:150" ht="15" hidden="1" customHeight="1">
      <c r="A1230" s="1" t="s">
        <v>1359</v>
      </c>
      <c r="B1230" t="s">
        <v>2134</v>
      </c>
      <c r="C1230" t="s">
        <v>2135</v>
      </c>
      <c r="D1230" t="s">
        <v>2136</v>
      </c>
      <c r="E1230" t="s">
        <v>2137</v>
      </c>
      <c r="F1230" t="s">
        <v>2138</v>
      </c>
      <c r="G1230" t="s">
        <v>1365</v>
      </c>
      <c r="H1230" t="s">
        <v>254</v>
      </c>
      <c r="I1230">
        <v>2012</v>
      </c>
      <c r="J1230">
        <v>21</v>
      </c>
      <c r="K1230" t="s">
        <v>2139</v>
      </c>
      <c r="L1230" s="192"/>
      <c r="M1230" t="str">
        <f t="shared" si="1630"/>
        <v>Pyorala_2012</v>
      </c>
      <c r="N1230" t="s">
        <v>222</v>
      </c>
      <c r="O1230" s="145" t="s">
        <v>341</v>
      </c>
      <c r="P1230" s="180" t="s">
        <v>223</v>
      </c>
      <c r="Q1230" s="264" t="s">
        <v>256</v>
      </c>
      <c r="R1230" s="269" t="s">
        <v>1153</v>
      </c>
      <c r="S1230" s="263" t="s">
        <v>2153</v>
      </c>
      <c r="T1230" s="264" t="s">
        <v>2142</v>
      </c>
      <c r="U1230" s="264" t="s">
        <v>2151</v>
      </c>
      <c r="V1230">
        <v>0</v>
      </c>
      <c r="W1230">
        <v>0</v>
      </c>
      <c r="X1230">
        <v>0</v>
      </c>
      <c r="Y1230">
        <v>0</v>
      </c>
      <c r="Z1230">
        <v>0</v>
      </c>
      <c r="AA1230">
        <v>0</v>
      </c>
      <c r="AB1230">
        <v>1</v>
      </c>
      <c r="AC1230">
        <v>0</v>
      </c>
      <c r="AD1230">
        <v>0</v>
      </c>
      <c r="AE1230">
        <v>0</v>
      </c>
      <c r="AF1230">
        <v>0</v>
      </c>
      <c r="AG1230">
        <v>0</v>
      </c>
      <c r="AH1230">
        <v>0</v>
      </c>
      <c r="AI1230">
        <v>0</v>
      </c>
      <c r="AJ1230">
        <v>0</v>
      </c>
      <c r="AK1230">
        <v>0</v>
      </c>
      <c r="AL1230">
        <v>0</v>
      </c>
      <c r="AM1230">
        <v>0</v>
      </c>
      <c r="AN1230">
        <v>0</v>
      </c>
      <c r="AO1230">
        <v>0</v>
      </c>
      <c r="AP1230">
        <v>0</v>
      </c>
      <c r="AQ1230">
        <v>0</v>
      </c>
      <c r="AR1230">
        <v>0</v>
      </c>
      <c r="AS1230">
        <v>0</v>
      </c>
      <c r="AT1230">
        <v>0</v>
      </c>
      <c r="AU1230">
        <v>0</v>
      </c>
      <c r="AV1230">
        <v>0</v>
      </c>
      <c r="AW1230">
        <v>0</v>
      </c>
      <c r="AX1230" s="141">
        <f t="shared" si="1593"/>
        <v>1</v>
      </c>
      <c r="AY1230" s="141">
        <f t="shared" si="1594"/>
        <v>1</v>
      </c>
      <c r="AZ1230">
        <f t="shared" si="1595"/>
        <v>1</v>
      </c>
      <c r="BA1230">
        <f t="shared" si="1596"/>
        <v>0</v>
      </c>
      <c r="BB1230">
        <f t="shared" si="1597"/>
        <v>0</v>
      </c>
      <c r="BC1230">
        <f t="shared" si="1598"/>
        <v>0</v>
      </c>
      <c r="BD1230">
        <f t="shared" si="1599"/>
        <v>0</v>
      </c>
      <c r="BE1230" t="str" cm="1">
        <f t="array" ref="BE1230">IF(AY1230=1,INDEX($V$7:$AL$7,MATCH(TRUE,INDEX($V1230:$AW1230&lt;&gt;0,),0)),IF(AY1230=0,INDEX($AM$7:$AW$7,MATCH(1,$AM1230:$AW1230,0)),IF(BF1230="Multiple strategies","mixed drivers",IF(BF1230="Supply chain","multiple supply","multiple silviculture"))))</f>
        <v>fertilisation</v>
      </c>
      <c r="BF1230" s="2" t="str" cm="1">
        <f t="array" ref="BF1230">IF(COUNTIF(AZ1230:BB1230,"&lt;&gt;0")=1,INDEX($V$4:$AW$4,MATCH(TRUE,INDEX($V1230:$AW1230&lt;&gt;0,),0)),IF(COUNTIF(AZ1230:BB1230,"&lt;&gt;0")=0,INDEX($AM$4:$AW$4,MATCH(1,$AM1230:$AW1230,0)),"Multiple strategies"))</f>
        <v>Silviculture for productivity</v>
      </c>
      <c r="BG1230" s="178" t="s">
        <v>321</v>
      </c>
      <c r="BH1230" s="264" t="s">
        <v>2143</v>
      </c>
      <c r="BI1230" s="264" t="s">
        <v>426</v>
      </c>
      <c r="BJ1230" s="160" t="s">
        <v>700</v>
      </c>
      <c r="BK1230">
        <v>7.8</v>
      </c>
      <c r="BL1230">
        <v>10.6</v>
      </c>
      <c r="BN1230">
        <f t="shared" si="1610"/>
        <v>2.8</v>
      </c>
      <c r="BO1230">
        <f t="shared" si="1627"/>
        <v>2.8</v>
      </c>
      <c r="BP1230" s="155" t="s">
        <v>395</v>
      </c>
      <c r="BQ1230" s="264" t="s">
        <v>786</v>
      </c>
      <c r="BR1230" s="270" t="s">
        <v>2144</v>
      </c>
      <c r="BS1230">
        <f>-3.5/50</f>
        <v>-7.0000000000000007E-2</v>
      </c>
      <c r="BT1230">
        <f>-5.1/50</f>
        <v>-0.10199999999999999</v>
      </c>
      <c r="BU1230" s="144"/>
      <c r="BV1230">
        <f t="shared" si="1613"/>
        <v>-3.1999999999999987E-2</v>
      </c>
      <c r="BX1230">
        <f t="shared" si="1628"/>
        <v>-3.1999999999999987E-2</v>
      </c>
      <c r="BY1230">
        <f t="shared" si="1591"/>
        <v>-1.1428571428571425E-2</v>
      </c>
      <c r="BZ1230">
        <v>0</v>
      </c>
      <c r="CA1230">
        <v>0</v>
      </c>
      <c r="CB1230">
        <v>0</v>
      </c>
      <c r="CC1230">
        <v>0</v>
      </c>
      <c r="CD1230">
        <v>0</v>
      </c>
      <c r="CE1230">
        <v>0</v>
      </c>
      <c r="CF1230">
        <v>0</v>
      </c>
      <c r="CG1230">
        <v>0</v>
      </c>
      <c r="CH1230">
        <v>0</v>
      </c>
      <c r="CI1230">
        <v>0</v>
      </c>
      <c r="CJ1230">
        <v>0</v>
      </c>
      <c r="CK1230">
        <v>0</v>
      </c>
      <c r="CL1230">
        <v>0</v>
      </c>
      <c r="CM1230">
        <v>0</v>
      </c>
      <c r="CN1230" t="str">
        <f t="shared" si="1600"/>
        <v>refOK</v>
      </c>
      <c r="CO1230">
        <f t="shared" si="1615"/>
        <v>7.8</v>
      </c>
      <c r="CP1230">
        <f t="shared" si="1616"/>
        <v>10.6</v>
      </c>
      <c r="CQ1230">
        <f t="shared" si="1617"/>
        <v>2.8</v>
      </c>
      <c r="CR1230">
        <f t="shared" si="1601"/>
        <v>7.0000000000000007E-2</v>
      </c>
      <c r="CS1230">
        <f t="shared" si="1602"/>
        <v>0.10199999999999999</v>
      </c>
      <c r="CT1230">
        <f t="shared" si="1603"/>
        <v>3.1999999999999987E-2</v>
      </c>
      <c r="CU1230">
        <f t="shared" si="1604"/>
        <v>1.1428571428571425E-2</v>
      </c>
      <c r="CV1230" s="2">
        <f t="shared" si="1605"/>
        <v>0.45714285714285691</v>
      </c>
      <c r="CW1230" s="1" t="s">
        <v>1198</v>
      </c>
      <c r="CX1230" s="264" t="str">
        <f t="shared" si="1606"/>
        <v>reg</v>
      </c>
      <c r="CY1230" t="s">
        <v>235</v>
      </c>
      <c r="DB1230">
        <v>50</v>
      </c>
      <c r="DC1230" t="str">
        <f t="shared" si="1607"/>
        <v>31-70</v>
      </c>
      <c r="DD1230">
        <v>0</v>
      </c>
      <c r="DE1230">
        <v>1</v>
      </c>
      <c r="DF1230">
        <v>1</v>
      </c>
      <c r="DG1230">
        <v>1</v>
      </c>
      <c r="DI1230">
        <f t="shared" si="1621"/>
        <v>3</v>
      </c>
      <c r="DJ1230" t="str">
        <f t="shared" si="1608"/>
        <v>mixedProduct</v>
      </c>
      <c r="DK1230">
        <f t="shared" si="1622"/>
        <v>0</v>
      </c>
      <c r="DL1230" t="str">
        <f t="shared" si="1623"/>
        <v>Energy</v>
      </c>
      <c r="DM1230" t="str">
        <f t="shared" si="1624"/>
        <v>Pulp/Paper</v>
      </c>
      <c r="DN1230" t="str">
        <f t="shared" si="1625"/>
        <v>Timber</v>
      </c>
      <c r="DO1230">
        <v>0</v>
      </c>
      <c r="DP1230">
        <v>1</v>
      </c>
      <c r="DQ1230" t="s">
        <v>2145</v>
      </c>
      <c r="DR1230">
        <v>0</v>
      </c>
      <c r="DS1230">
        <v>0</v>
      </c>
      <c r="DT1230">
        <f t="shared" si="1629"/>
        <v>1</v>
      </c>
      <c r="DU1230" s="143" t="str">
        <f t="shared" si="1626"/>
        <v>external DF used</v>
      </c>
      <c r="DV1230">
        <v>1</v>
      </c>
      <c r="DW1230">
        <v>1</v>
      </c>
      <c r="DX1230">
        <v>1</v>
      </c>
      <c r="DY1230">
        <v>0</v>
      </c>
      <c r="DZ1230">
        <v>0</v>
      </c>
      <c r="EA1230" s="143">
        <v>0</v>
      </c>
      <c r="EB1230">
        <v>1</v>
      </c>
      <c r="EC1230">
        <v>1</v>
      </c>
      <c r="ED1230">
        <v>0</v>
      </c>
      <c r="EE1230">
        <v>0</v>
      </c>
      <c r="EF1230">
        <v>1</v>
      </c>
      <c r="EG1230">
        <v>0</v>
      </c>
      <c r="EH1230">
        <v>0</v>
      </c>
      <c r="EI1230" s="2">
        <v>0</v>
      </c>
      <c r="EK1230" t="str">
        <f t="shared" si="1619"/>
        <v>Whole sector</v>
      </c>
      <c r="EL1230" t="str">
        <f t="shared" si="1620"/>
        <v/>
      </c>
      <c r="EM1230" s="2" t="str">
        <f t="shared" si="1592"/>
        <v/>
      </c>
      <c r="EP1230" t="str">
        <f>IF(ISNUMBER(BU1230),IF(ABS(BU1230-[4]QC_indicators!$B$2)&gt;3*[4]QC_indicators!$C$2,"C ratio",IF(ISNUMBER(BY1230),IF(ABS(BY1230-[4]QC_indicators!$B$1)&gt;3*[4]QC_indicators!$C$1,"DF","no"))),IF(ISNUMBER(BY1230),IF(ABS(BY1230-[4]QC_indicators!$B$1)&gt;3*[4]QC_indicators!$C$1,"DF","no")))</f>
        <v>no</v>
      </c>
      <c r="ET1230" s="264" t="s">
        <v>3406</v>
      </c>
    </row>
    <row r="1231" spans="1:150" ht="15" hidden="1" customHeight="1">
      <c r="A1231" s="1" t="s">
        <v>1359</v>
      </c>
      <c r="B1231" t="s">
        <v>2134</v>
      </c>
      <c r="C1231" t="s">
        <v>2135</v>
      </c>
      <c r="D1231" t="s">
        <v>2136</v>
      </c>
      <c r="E1231" t="s">
        <v>2137</v>
      </c>
      <c r="F1231" t="s">
        <v>2138</v>
      </c>
      <c r="G1231" t="s">
        <v>1365</v>
      </c>
      <c r="H1231" t="s">
        <v>254</v>
      </c>
      <c r="I1231">
        <v>2012</v>
      </c>
      <c r="J1231">
        <v>21</v>
      </c>
      <c r="K1231" t="s">
        <v>2139</v>
      </c>
      <c r="L1231" s="192"/>
      <c r="M1231" t="str">
        <f t="shared" si="1630"/>
        <v>Pyorala_2012</v>
      </c>
      <c r="N1231" t="s">
        <v>222</v>
      </c>
      <c r="O1231" s="145" t="s">
        <v>341</v>
      </c>
      <c r="P1231" s="193" t="s">
        <v>223</v>
      </c>
      <c r="Q1231" s="264" t="s">
        <v>2161</v>
      </c>
      <c r="R1231" s="269" t="s">
        <v>1153</v>
      </c>
      <c r="S1231" s="263" t="s">
        <v>2155</v>
      </c>
      <c r="T1231" s="264" t="s">
        <v>2156</v>
      </c>
      <c r="U1231" s="264" t="s">
        <v>2157</v>
      </c>
      <c r="V1231">
        <v>0</v>
      </c>
      <c r="W1231">
        <v>0</v>
      </c>
      <c r="X1231">
        <v>0</v>
      </c>
      <c r="Y1231">
        <v>0</v>
      </c>
      <c r="Z1231">
        <v>0</v>
      </c>
      <c r="AA1231">
        <v>0</v>
      </c>
      <c r="AB1231">
        <v>0</v>
      </c>
      <c r="AC1231">
        <v>1</v>
      </c>
      <c r="AD1231">
        <v>0</v>
      </c>
      <c r="AE1231">
        <v>0</v>
      </c>
      <c r="AF1231">
        <v>0</v>
      </c>
      <c r="AG1231">
        <v>0</v>
      </c>
      <c r="AH1231">
        <v>0</v>
      </c>
      <c r="AI1231">
        <v>0</v>
      </c>
      <c r="AJ1231">
        <v>0</v>
      </c>
      <c r="AK1231">
        <v>0</v>
      </c>
      <c r="AL1231">
        <v>0</v>
      </c>
      <c r="AM1231">
        <v>0</v>
      </c>
      <c r="AN1231">
        <v>0</v>
      </c>
      <c r="AO1231">
        <v>0</v>
      </c>
      <c r="AP1231">
        <v>0</v>
      </c>
      <c r="AQ1231">
        <v>0</v>
      </c>
      <c r="AR1231">
        <v>0</v>
      </c>
      <c r="AS1231">
        <v>0</v>
      </c>
      <c r="AT1231">
        <v>0</v>
      </c>
      <c r="AU1231">
        <v>0</v>
      </c>
      <c r="AV1231">
        <v>0</v>
      </c>
      <c r="AW1231">
        <v>0</v>
      </c>
      <c r="AX1231" s="141">
        <f t="shared" si="1593"/>
        <v>1</v>
      </c>
      <c r="AY1231" s="141">
        <f t="shared" si="1594"/>
        <v>1</v>
      </c>
      <c r="AZ1231">
        <f t="shared" si="1595"/>
        <v>1</v>
      </c>
      <c r="BA1231">
        <f t="shared" si="1596"/>
        <v>0</v>
      </c>
      <c r="BB1231">
        <f t="shared" si="1597"/>
        <v>0</v>
      </c>
      <c r="BC1231">
        <f t="shared" si="1598"/>
        <v>0</v>
      </c>
      <c r="BD1231">
        <f t="shared" si="1599"/>
        <v>0</v>
      </c>
      <c r="BE1231" t="str" cm="1">
        <f t="array" ref="BE1231">IF(AY1231=1,INDEX($V$7:$AL$7,MATCH(TRUE,INDEX($V1231:$AW1231&lt;&gt;0,),0)),IF(AY1231=0,INDEX($AM$7:$AW$7,MATCH(1,$AM1231:$AW1231,0)),IF(BF1231="Multiple strategies","mixed drivers",IF(BF1231="Supply chain","multiple supply","multiple silviculture"))))</f>
        <v>site fertility</v>
      </c>
      <c r="BF1231" s="2" t="str" cm="1">
        <f t="array" ref="BF1231">IF(COUNTIF(AZ1231:BB1231,"&lt;&gt;0")=1,INDEX($V$4:$AW$4,MATCH(TRUE,INDEX($V1231:$AW1231&lt;&gt;0,),0)),IF(COUNTIF(AZ1231:BB1231,"&lt;&gt;0")=0,INDEX($AM$4:$AW$4,MATCH(1,$AM1231:$AW1231,0)),"Multiple strategies"))</f>
        <v>Silviculture for productivity</v>
      </c>
      <c r="BG1231" s="194" t="s">
        <v>321</v>
      </c>
      <c r="BH1231" s="264" t="s">
        <v>2143</v>
      </c>
      <c r="BI1231" s="264" t="s">
        <v>2158</v>
      </c>
      <c r="BJ1231" s="195" t="s">
        <v>700</v>
      </c>
      <c r="BK1231">
        <v>7.4</v>
      </c>
      <c r="BL1231">
        <v>8.8000000000000007</v>
      </c>
      <c r="BN1231">
        <f t="shared" si="1610"/>
        <v>1.4000000000000004</v>
      </c>
      <c r="BO1231">
        <f t="shared" si="1627"/>
        <v>1.4000000000000004</v>
      </c>
      <c r="BP1231" s="149" t="s">
        <v>395</v>
      </c>
      <c r="BQ1231" s="264" t="s">
        <v>786</v>
      </c>
      <c r="BR1231" s="294" t="s">
        <v>2144</v>
      </c>
      <c r="BS1231">
        <f>-4/80</f>
        <v>-0.05</v>
      </c>
      <c r="BT1231">
        <f>-5.2/80</f>
        <v>-6.5000000000000002E-2</v>
      </c>
      <c r="BU1231" s="144"/>
      <c r="BV1231">
        <f t="shared" si="1613"/>
        <v>-1.4999999999999999E-2</v>
      </c>
      <c r="BX1231">
        <f t="shared" si="1628"/>
        <v>-1.4999999999999999E-2</v>
      </c>
      <c r="BY1231">
        <f t="shared" si="1591"/>
        <v>-1.0714285714285711E-2</v>
      </c>
      <c r="BZ1231">
        <v>0</v>
      </c>
      <c r="CA1231">
        <v>0</v>
      </c>
      <c r="CB1231">
        <v>0</v>
      </c>
      <c r="CC1231">
        <v>0</v>
      </c>
      <c r="CD1231">
        <v>0</v>
      </c>
      <c r="CE1231">
        <v>0</v>
      </c>
      <c r="CF1231">
        <v>0</v>
      </c>
      <c r="CG1231">
        <v>0</v>
      </c>
      <c r="CH1231">
        <v>0</v>
      </c>
      <c r="CI1231">
        <v>0</v>
      </c>
      <c r="CJ1231">
        <v>0</v>
      </c>
      <c r="CK1231">
        <v>0</v>
      </c>
      <c r="CL1231">
        <v>0</v>
      </c>
      <c r="CM1231">
        <v>0</v>
      </c>
      <c r="CN1231" t="str">
        <f t="shared" si="1600"/>
        <v>refOK</v>
      </c>
      <c r="CO1231">
        <f t="shared" si="1615"/>
        <v>7.4</v>
      </c>
      <c r="CP1231">
        <f t="shared" si="1616"/>
        <v>8.8000000000000007</v>
      </c>
      <c r="CQ1231">
        <f t="shared" si="1617"/>
        <v>1.4000000000000004</v>
      </c>
      <c r="CR1231">
        <f t="shared" si="1601"/>
        <v>0.05</v>
      </c>
      <c r="CS1231">
        <f t="shared" si="1602"/>
        <v>6.5000000000000002E-2</v>
      </c>
      <c r="CT1231">
        <f t="shared" si="1603"/>
        <v>1.4999999999999999E-2</v>
      </c>
      <c r="CU1231">
        <f t="shared" si="1604"/>
        <v>1.0714285714285711E-2</v>
      </c>
      <c r="CV1231" s="2">
        <f t="shared" si="1605"/>
        <v>0.3</v>
      </c>
      <c r="CW1231" s="1" t="s">
        <v>1198</v>
      </c>
      <c r="CX1231" s="264" t="str">
        <f t="shared" si="1606"/>
        <v>reg</v>
      </c>
      <c r="CY1231" t="s">
        <v>235</v>
      </c>
      <c r="DB1231">
        <v>80</v>
      </c>
      <c r="DC1231" t="str">
        <f t="shared" si="1607"/>
        <v>71-100</v>
      </c>
      <c r="DD1231">
        <v>0</v>
      </c>
      <c r="DE1231">
        <v>1</v>
      </c>
      <c r="DF1231">
        <v>1</v>
      </c>
      <c r="DG1231">
        <v>1</v>
      </c>
      <c r="DI1231">
        <f t="shared" si="1621"/>
        <v>3</v>
      </c>
      <c r="DJ1231" t="str">
        <f t="shared" si="1608"/>
        <v>mixedProduct</v>
      </c>
      <c r="DK1231">
        <f t="shared" si="1622"/>
        <v>0</v>
      </c>
      <c r="DL1231" t="str">
        <f t="shared" si="1623"/>
        <v>Energy</v>
      </c>
      <c r="DM1231" t="str">
        <f t="shared" si="1624"/>
        <v>Pulp/Paper</v>
      </c>
      <c r="DN1231" t="str">
        <f t="shared" si="1625"/>
        <v>Timber</v>
      </c>
      <c r="DO1231">
        <v>0</v>
      </c>
      <c r="DP1231">
        <v>1</v>
      </c>
      <c r="DQ1231" t="s">
        <v>2145</v>
      </c>
      <c r="DR1231">
        <v>0</v>
      </c>
      <c r="DS1231">
        <v>0</v>
      </c>
      <c r="DT1231">
        <f t="shared" si="1629"/>
        <v>1</v>
      </c>
      <c r="DU1231" s="143" t="str">
        <f t="shared" si="1626"/>
        <v>external DF used</v>
      </c>
      <c r="DV1231">
        <v>1</v>
      </c>
      <c r="DW1231">
        <v>1</v>
      </c>
      <c r="DX1231">
        <v>1</v>
      </c>
      <c r="DY1231">
        <v>0</v>
      </c>
      <c r="DZ1231">
        <v>0</v>
      </c>
      <c r="EA1231" s="143">
        <v>0</v>
      </c>
      <c r="EB1231">
        <v>1</v>
      </c>
      <c r="EC1231">
        <v>1</v>
      </c>
      <c r="ED1231">
        <v>0</v>
      </c>
      <c r="EE1231">
        <v>0</v>
      </c>
      <c r="EF1231">
        <v>1</v>
      </c>
      <c r="EG1231">
        <v>0</v>
      </c>
      <c r="EH1231">
        <v>0</v>
      </c>
      <c r="EI1231" s="2">
        <v>0</v>
      </c>
      <c r="EK1231" t="str">
        <f t="shared" si="1619"/>
        <v>Whole sector</v>
      </c>
      <c r="EL1231" t="str">
        <f t="shared" si="1620"/>
        <v/>
      </c>
      <c r="EM1231" s="2" t="str">
        <f t="shared" si="1592"/>
        <v/>
      </c>
      <c r="EP1231" t="str">
        <f>IF(ISNUMBER(BU1231),IF(ABS(BU1231-[4]QC_indicators!$B$2)&gt;3*[4]QC_indicators!$C$2,"C ratio",IF(ISNUMBER(BY1231),IF(ABS(BY1231-[4]QC_indicators!$B$1)&gt;3*[4]QC_indicators!$C$1,"DF","no"))),IF(ISNUMBER(BY1231),IF(ABS(BY1231-[4]QC_indicators!$B$1)&gt;3*[4]QC_indicators!$C$1,"DF","no")))</f>
        <v>no</v>
      </c>
      <c r="ET1231" s="264" t="s">
        <v>3406</v>
      </c>
    </row>
    <row r="1232" spans="1:150" ht="15" hidden="1" customHeight="1">
      <c r="A1232" s="1" t="s">
        <v>1359</v>
      </c>
      <c r="B1232" t="s">
        <v>2134</v>
      </c>
      <c r="C1232" t="s">
        <v>2135</v>
      </c>
      <c r="D1232" t="s">
        <v>2136</v>
      </c>
      <c r="E1232" t="s">
        <v>2137</v>
      </c>
      <c r="F1232" t="s">
        <v>2138</v>
      </c>
      <c r="G1232" t="s">
        <v>1365</v>
      </c>
      <c r="H1232" t="s">
        <v>254</v>
      </c>
      <c r="I1232">
        <v>2012</v>
      </c>
      <c r="J1232">
        <v>21</v>
      </c>
      <c r="K1232" t="s">
        <v>2139</v>
      </c>
      <c r="L1232" s="192"/>
      <c r="M1232" t="str">
        <f t="shared" si="1630"/>
        <v>Pyorala_2012</v>
      </c>
      <c r="N1232" t="s">
        <v>222</v>
      </c>
      <c r="O1232" s="145" t="s">
        <v>341</v>
      </c>
      <c r="P1232" s="180" t="s">
        <v>223</v>
      </c>
      <c r="Q1232" s="264" t="s">
        <v>256</v>
      </c>
      <c r="R1232" s="269" t="s">
        <v>1153</v>
      </c>
      <c r="S1232" s="263" t="s">
        <v>2154</v>
      </c>
      <c r="T1232" s="264" t="s">
        <v>2142</v>
      </c>
      <c r="U1232" s="264" t="s">
        <v>2151</v>
      </c>
      <c r="V1232">
        <v>0</v>
      </c>
      <c r="W1232">
        <v>0</v>
      </c>
      <c r="X1232">
        <v>0</v>
      </c>
      <c r="Y1232">
        <v>0</v>
      </c>
      <c r="Z1232">
        <v>0</v>
      </c>
      <c r="AA1232">
        <v>0</v>
      </c>
      <c r="AB1232">
        <v>1</v>
      </c>
      <c r="AC1232">
        <v>0</v>
      </c>
      <c r="AD1232">
        <v>0</v>
      </c>
      <c r="AE1232">
        <v>0</v>
      </c>
      <c r="AF1232">
        <v>0</v>
      </c>
      <c r="AG1232">
        <v>0</v>
      </c>
      <c r="AH1232">
        <v>0</v>
      </c>
      <c r="AI1232">
        <v>0</v>
      </c>
      <c r="AJ1232">
        <v>0</v>
      </c>
      <c r="AK1232">
        <v>0</v>
      </c>
      <c r="AL1232">
        <v>0</v>
      </c>
      <c r="AM1232">
        <v>0</v>
      </c>
      <c r="AN1232">
        <v>0</v>
      </c>
      <c r="AO1232">
        <v>0</v>
      </c>
      <c r="AP1232">
        <v>0</v>
      </c>
      <c r="AQ1232">
        <v>0</v>
      </c>
      <c r="AR1232">
        <v>0</v>
      </c>
      <c r="AS1232">
        <v>0</v>
      </c>
      <c r="AT1232">
        <v>0</v>
      </c>
      <c r="AU1232">
        <v>0</v>
      </c>
      <c r="AV1232">
        <v>0</v>
      </c>
      <c r="AW1232">
        <v>0</v>
      </c>
      <c r="AX1232" s="141">
        <f t="shared" ref="AX1232:AX1263" si="1631">COUNTIF(V1232:AW1232,"&lt;&gt;0")</f>
        <v>1</v>
      </c>
      <c r="AY1232" s="141">
        <f t="shared" ref="AY1232:AY1263" si="1632">COUNTIF(V1232:AL1232,"&lt;&gt;0")</f>
        <v>1</v>
      </c>
      <c r="AZ1232">
        <f t="shared" ref="AZ1232:AZ1263" si="1633">COUNTIF(V1232:AC1232,"&lt;&gt;0")</f>
        <v>1</v>
      </c>
      <c r="BA1232">
        <f t="shared" ref="BA1232:BA1263" si="1634">COUNTIF(AD1232:AI1232,"&lt;&gt;0")</f>
        <v>0</v>
      </c>
      <c r="BB1232">
        <f t="shared" ref="BB1232:BB1263" si="1635">COUNTIF(AJ1232:AL1232,"&lt;&gt;0")</f>
        <v>0</v>
      </c>
      <c r="BC1232">
        <f t="shared" ref="BC1232:BC1263" si="1636">COUNTIF(AS1232:AW1232,"&lt;&gt;0")</f>
        <v>0</v>
      </c>
      <c r="BD1232">
        <f t="shared" ref="BD1232:BD1263" si="1637">COUNTIF(AM1232:AR1232,"&lt;&gt;0")</f>
        <v>0</v>
      </c>
      <c r="BE1232" t="str" cm="1">
        <f t="array" ref="BE1232">IF(AY1232=1,INDEX($V$7:$AL$7,MATCH(TRUE,INDEX($V1232:$AW1232&lt;&gt;0,),0)),IF(AY1232=0,INDEX($AM$7:$AW$7,MATCH(1,$AM1232:$AW1232,0)),IF(BF1232="Multiple strategies","mixed drivers",IF(BF1232="Supply chain","multiple supply","multiple silviculture"))))</f>
        <v>fertilisation</v>
      </c>
      <c r="BF1232" s="2" t="str" cm="1">
        <f t="array" ref="BF1232">IF(COUNTIF(AZ1232:BB1232,"&lt;&gt;0")=1,INDEX($V$4:$AW$4,MATCH(TRUE,INDEX($V1232:$AW1232&lt;&gt;0,),0)),IF(COUNTIF(AZ1232:BB1232,"&lt;&gt;0")=0,INDEX($AM$4:$AW$4,MATCH(1,$AM1232:$AW1232,0)),"Multiple strategies"))</f>
        <v>Silviculture for productivity</v>
      </c>
      <c r="BG1232" s="178" t="s">
        <v>321</v>
      </c>
      <c r="BH1232" s="264" t="s">
        <v>2143</v>
      </c>
      <c r="BI1232" s="264" t="s">
        <v>701</v>
      </c>
      <c r="BJ1232" s="160" t="s">
        <v>700</v>
      </c>
      <c r="BK1232">
        <v>6.5</v>
      </c>
      <c r="BL1232">
        <v>7</v>
      </c>
      <c r="BN1232">
        <f t="shared" si="1610"/>
        <v>0.5</v>
      </c>
      <c r="BO1232">
        <f t="shared" si="1627"/>
        <v>0.5</v>
      </c>
      <c r="BP1232" s="155" t="s">
        <v>395</v>
      </c>
      <c r="BQ1232" s="264" t="s">
        <v>786</v>
      </c>
      <c r="BR1232" s="270" t="s">
        <v>2144</v>
      </c>
      <c r="BS1232">
        <f>-2.6/80</f>
        <v>-3.2500000000000001E-2</v>
      </c>
      <c r="BT1232">
        <f>-3/80</f>
        <v>-3.7499999999999999E-2</v>
      </c>
      <c r="BU1232" s="144"/>
      <c r="BV1232">
        <f t="shared" si="1613"/>
        <v>-4.9999999999999975E-3</v>
      </c>
      <c r="BX1232">
        <f t="shared" si="1628"/>
        <v>-4.9999999999999975E-3</v>
      </c>
      <c r="BY1232">
        <f t="shared" si="1591"/>
        <v>-9.999999999999995E-3</v>
      </c>
      <c r="BZ1232">
        <v>0</v>
      </c>
      <c r="CA1232">
        <v>0</v>
      </c>
      <c r="CB1232">
        <v>0</v>
      </c>
      <c r="CC1232">
        <v>0</v>
      </c>
      <c r="CD1232">
        <v>0</v>
      </c>
      <c r="CE1232">
        <v>0</v>
      </c>
      <c r="CF1232">
        <v>0</v>
      </c>
      <c r="CG1232">
        <v>0</v>
      </c>
      <c r="CH1232">
        <v>0</v>
      </c>
      <c r="CI1232">
        <v>0</v>
      </c>
      <c r="CJ1232">
        <v>0</v>
      </c>
      <c r="CK1232">
        <v>0</v>
      </c>
      <c r="CL1232">
        <v>0</v>
      </c>
      <c r="CM1232">
        <v>0</v>
      </c>
      <c r="CN1232" t="str">
        <f t="shared" ref="CN1232:CN1262" si="1638">IF($BL1232&lt;$BK1232,"refNeedCorrection","refOK")</f>
        <v>refOK</v>
      </c>
      <c r="CO1232">
        <f t="shared" si="1615"/>
        <v>6.5</v>
      </c>
      <c r="CP1232">
        <f t="shared" si="1616"/>
        <v>7</v>
      </c>
      <c r="CQ1232">
        <f t="shared" si="1617"/>
        <v>0.5</v>
      </c>
      <c r="CR1232">
        <f t="shared" ref="CR1232:CR1263" si="1639">IF($CN1232="refOK",$BS1232,$BT1232)*IF($BP1232="Emissions positive",-1,1)</f>
        <v>3.2500000000000001E-2</v>
      </c>
      <c r="CS1232">
        <f t="shared" ref="CS1232:CS1263" si="1640">IF($CN1232="refOK",$BT1232,$BS1232)*IF($BP1232="Emissions positive",-1,1)</f>
        <v>3.7499999999999999E-2</v>
      </c>
      <c r="CT1232">
        <f t="shared" ref="CT1232:CT1263" si="1641">IF($CN1232="refNeedCorrection",-BX1232,BX1232)*IF($BP1232="Emissions positive",-1,1)</f>
        <v>4.9999999999999975E-3</v>
      </c>
      <c r="CU1232">
        <f t="shared" ref="CU1232:CU1263" si="1642">IFERROR(CT1232/CQ1232,"")</f>
        <v>9.999999999999995E-3</v>
      </c>
      <c r="CV1232" s="2">
        <f t="shared" ref="CV1232:CV1263" si="1643">IFERROR((CS1232-CR1232)/ABS(CR1232),"")</f>
        <v>0.15384615384615377</v>
      </c>
      <c r="CW1232" s="1" t="s">
        <v>1198</v>
      </c>
      <c r="CX1232" s="264" t="str">
        <f t="shared" ref="CX1232:CX1263" si="1644">IF(OR($CW1232="prd",$CW1232="std",$CW1232="cit"),"loc",IF(OR($CW1232="eur",$CW1232="reg",$CW1232="coy"),"reg",$CW1232))</f>
        <v>reg</v>
      </c>
      <c r="CY1232" t="s">
        <v>235</v>
      </c>
      <c r="DB1232">
        <v>80</v>
      </c>
      <c r="DC1232" t="str">
        <f t="shared" ref="DC1232:DC1263" si="1645">IF(DB1232=0,"0",IF(AND(DB1232&gt;=1,DB1232&lt;=30),"1-30",IF(AND(DB1232&gt;30,DB1232&lt;=70),"31-70",IF(AND(DB1232&gt;70,DB1232&lt;=100),"71-100",IF(DB1232&gt;100,"+100")))))</f>
        <v>71-100</v>
      </c>
      <c r="DD1232">
        <v>0</v>
      </c>
      <c r="DE1232">
        <v>1</v>
      </c>
      <c r="DF1232">
        <v>1</v>
      </c>
      <c r="DG1232">
        <v>1</v>
      </c>
      <c r="DI1232">
        <f t="shared" si="1621"/>
        <v>3</v>
      </c>
      <c r="DJ1232" t="str">
        <f t="shared" ref="DJ1232:DJ1263" si="1646">IF(DI1232=1,INDEX($DD$7:$DG$7,MATCH(1,$DD1232:$DG1232,0)),"mixedProduct")</f>
        <v>mixedProduct</v>
      </c>
      <c r="DK1232">
        <f t="shared" si="1622"/>
        <v>0</v>
      </c>
      <c r="DL1232" t="str">
        <f t="shared" si="1623"/>
        <v>Energy</v>
      </c>
      <c r="DM1232" t="str">
        <f t="shared" si="1624"/>
        <v>Pulp/Paper</v>
      </c>
      <c r="DN1232" t="str">
        <f t="shared" si="1625"/>
        <v>Timber</v>
      </c>
      <c r="DO1232">
        <v>0</v>
      </c>
      <c r="DP1232">
        <v>1</v>
      </c>
      <c r="DQ1232" t="s">
        <v>2145</v>
      </c>
      <c r="DR1232">
        <v>0</v>
      </c>
      <c r="DS1232">
        <v>0</v>
      </c>
      <c r="DT1232">
        <f t="shared" si="1629"/>
        <v>1</v>
      </c>
      <c r="DU1232" s="143" t="str">
        <f t="shared" si="1626"/>
        <v>external DF used</v>
      </c>
      <c r="DV1232">
        <v>1</v>
      </c>
      <c r="DW1232">
        <v>1</v>
      </c>
      <c r="DX1232">
        <v>1</v>
      </c>
      <c r="DY1232">
        <v>0</v>
      </c>
      <c r="DZ1232">
        <v>0</v>
      </c>
      <c r="EA1232" s="143">
        <v>0</v>
      </c>
      <c r="EB1232">
        <v>1</v>
      </c>
      <c r="EC1232">
        <v>1</v>
      </c>
      <c r="ED1232">
        <v>0</v>
      </c>
      <c r="EE1232">
        <v>0</v>
      </c>
      <c r="EF1232">
        <v>1</v>
      </c>
      <c r="EG1232">
        <v>0</v>
      </c>
      <c r="EH1232">
        <v>0</v>
      </c>
      <c r="EI1232" s="2">
        <v>0</v>
      </c>
      <c r="EK1232" t="str">
        <f t="shared" si="1619"/>
        <v>Whole sector</v>
      </c>
      <c r="EL1232" t="str">
        <f t="shared" si="1620"/>
        <v/>
      </c>
      <c r="EM1232" s="2" t="str">
        <f t="shared" si="1592"/>
        <v/>
      </c>
      <c r="EP1232" t="str">
        <f>IF(ISNUMBER(BU1232),IF(ABS(BU1232-[4]QC_indicators!$B$2)&gt;3*[4]QC_indicators!$C$2,"C ratio",IF(ISNUMBER(BY1232),IF(ABS(BY1232-[4]QC_indicators!$B$1)&gt;3*[4]QC_indicators!$C$1,"DF","no"))),IF(ISNUMBER(BY1232),IF(ABS(BY1232-[4]QC_indicators!$B$1)&gt;3*[4]QC_indicators!$C$1,"DF","no")))</f>
        <v>no</v>
      </c>
      <c r="ET1232" s="264" t="s">
        <v>3406</v>
      </c>
    </row>
    <row r="1233" spans="1:150" ht="15" hidden="1" customHeight="1">
      <c r="A1233" s="1" t="s">
        <v>1359</v>
      </c>
      <c r="B1233" t="s">
        <v>2134</v>
      </c>
      <c r="C1233" t="s">
        <v>2135</v>
      </c>
      <c r="D1233" t="s">
        <v>2136</v>
      </c>
      <c r="E1233" t="s">
        <v>2137</v>
      </c>
      <c r="F1233" t="s">
        <v>2138</v>
      </c>
      <c r="G1233" t="s">
        <v>1365</v>
      </c>
      <c r="H1233" t="s">
        <v>254</v>
      </c>
      <c r="I1233">
        <v>2012</v>
      </c>
      <c r="J1233">
        <v>21</v>
      </c>
      <c r="K1233" t="s">
        <v>2139</v>
      </c>
      <c r="L1233" s="192"/>
      <c r="M1233" t="str">
        <f t="shared" si="1630"/>
        <v>Pyorala_2012</v>
      </c>
      <c r="N1233" t="s">
        <v>222</v>
      </c>
      <c r="O1233" s="145" t="s">
        <v>341</v>
      </c>
      <c r="P1233" s="193" t="s">
        <v>223</v>
      </c>
      <c r="Q1233" s="264" t="s">
        <v>224</v>
      </c>
      <c r="R1233" s="269" t="s">
        <v>1153</v>
      </c>
      <c r="S1233" s="263" t="s">
        <v>2162</v>
      </c>
      <c r="T1233" s="264" t="s">
        <v>2156</v>
      </c>
      <c r="U1233" s="264" t="s">
        <v>2157</v>
      </c>
      <c r="V1233">
        <v>0</v>
      </c>
      <c r="W1233">
        <v>0</v>
      </c>
      <c r="X1233">
        <v>0</v>
      </c>
      <c r="Y1233">
        <v>0</v>
      </c>
      <c r="Z1233">
        <v>0</v>
      </c>
      <c r="AA1233">
        <v>0</v>
      </c>
      <c r="AB1233">
        <v>0</v>
      </c>
      <c r="AC1233">
        <v>1</v>
      </c>
      <c r="AD1233">
        <v>0</v>
      </c>
      <c r="AE1233">
        <v>0</v>
      </c>
      <c r="AF1233">
        <v>0</v>
      </c>
      <c r="AG1233">
        <v>0</v>
      </c>
      <c r="AH1233">
        <v>0</v>
      </c>
      <c r="AI1233">
        <v>0</v>
      </c>
      <c r="AJ1233">
        <v>0</v>
      </c>
      <c r="AK1233">
        <v>0</v>
      </c>
      <c r="AL1233">
        <v>0</v>
      </c>
      <c r="AM1233">
        <v>0</v>
      </c>
      <c r="AN1233">
        <v>0</v>
      </c>
      <c r="AO1233">
        <v>0</v>
      </c>
      <c r="AP1233">
        <v>0</v>
      </c>
      <c r="AQ1233">
        <v>0</v>
      </c>
      <c r="AR1233">
        <v>0</v>
      </c>
      <c r="AS1233">
        <v>0</v>
      </c>
      <c r="AT1233">
        <v>0</v>
      </c>
      <c r="AU1233">
        <v>0</v>
      </c>
      <c r="AV1233">
        <v>0</v>
      </c>
      <c r="AW1233">
        <v>0</v>
      </c>
      <c r="AX1233" s="141">
        <f t="shared" si="1631"/>
        <v>1</v>
      </c>
      <c r="AY1233" s="141">
        <f t="shared" si="1632"/>
        <v>1</v>
      </c>
      <c r="AZ1233">
        <f t="shared" si="1633"/>
        <v>1</v>
      </c>
      <c r="BA1233">
        <f t="shared" si="1634"/>
        <v>0</v>
      </c>
      <c r="BB1233">
        <f t="shared" si="1635"/>
        <v>0</v>
      </c>
      <c r="BC1233">
        <f t="shared" si="1636"/>
        <v>0</v>
      </c>
      <c r="BD1233">
        <f t="shared" si="1637"/>
        <v>0</v>
      </c>
      <c r="BE1233" t="str" cm="1">
        <f t="array" ref="BE1233">IF(AY1233=1,INDEX($V$7:$AL$7,MATCH(TRUE,INDEX($V1233:$AW1233&lt;&gt;0,),0)),IF(AY1233=0,INDEX($AM$7:$AW$7,MATCH(1,$AM1233:$AW1233,0)),IF(BF1233="Multiple strategies","mixed drivers",IF(BF1233="Supply chain","multiple supply","multiple silviculture"))))</f>
        <v>site fertility</v>
      </c>
      <c r="BF1233" s="2" t="str" cm="1">
        <f t="array" ref="BF1233">IF(COUNTIF(AZ1233:BB1233,"&lt;&gt;0")=1,INDEX($V$4:$AW$4,MATCH(TRUE,INDEX($V1233:$AW1233&lt;&gt;0,),0)),IF(COUNTIF(AZ1233:BB1233,"&lt;&gt;0")=0,INDEX($AM$4:$AW$4,MATCH(1,$AM1233:$AW1233,0)),"Multiple strategies"))</f>
        <v>Silviculture for productivity</v>
      </c>
      <c r="BG1233" s="194" t="s">
        <v>321</v>
      </c>
      <c r="BH1233" s="264" t="s">
        <v>2143</v>
      </c>
      <c r="BI1233" s="264" t="s">
        <v>2158</v>
      </c>
      <c r="BJ1233" s="195" t="s">
        <v>700</v>
      </c>
      <c r="BK1233">
        <v>6.5</v>
      </c>
      <c r="BL1233">
        <v>8.4</v>
      </c>
      <c r="BN1233">
        <f t="shared" si="1610"/>
        <v>1.9000000000000004</v>
      </c>
      <c r="BO1233">
        <f t="shared" si="1627"/>
        <v>1.9000000000000004</v>
      </c>
      <c r="BP1233" s="149" t="s">
        <v>395</v>
      </c>
      <c r="BQ1233" s="264" t="s">
        <v>786</v>
      </c>
      <c r="BR1233" s="294" t="s">
        <v>2144</v>
      </c>
      <c r="BS1233">
        <f>-2.6/80</f>
        <v>-3.2500000000000001E-2</v>
      </c>
      <c r="BT1233">
        <f>-3.8/80</f>
        <v>-4.7500000000000001E-2</v>
      </c>
      <c r="BU1233" s="144"/>
      <c r="BV1233">
        <f t="shared" si="1613"/>
        <v>-1.4999999999999999E-2</v>
      </c>
      <c r="BX1233">
        <f t="shared" si="1628"/>
        <v>-1.4999999999999999E-2</v>
      </c>
      <c r="BY1233">
        <f t="shared" si="1591"/>
        <v>-7.8947368421052617E-3</v>
      </c>
      <c r="BZ1233">
        <v>0</v>
      </c>
      <c r="CA1233">
        <v>0</v>
      </c>
      <c r="CB1233">
        <v>0</v>
      </c>
      <c r="CC1233">
        <v>0</v>
      </c>
      <c r="CD1233">
        <v>0</v>
      </c>
      <c r="CE1233">
        <v>0</v>
      </c>
      <c r="CF1233">
        <v>0</v>
      </c>
      <c r="CG1233">
        <v>0</v>
      </c>
      <c r="CH1233">
        <v>0</v>
      </c>
      <c r="CI1233">
        <v>0</v>
      </c>
      <c r="CJ1233">
        <v>0</v>
      </c>
      <c r="CK1233">
        <v>0</v>
      </c>
      <c r="CL1233">
        <v>0</v>
      </c>
      <c r="CM1233">
        <v>0</v>
      </c>
      <c r="CN1233" t="str">
        <f t="shared" si="1638"/>
        <v>refOK</v>
      </c>
      <c r="CO1233">
        <f t="shared" si="1615"/>
        <v>6.5</v>
      </c>
      <c r="CP1233">
        <f t="shared" si="1616"/>
        <v>8.4</v>
      </c>
      <c r="CQ1233">
        <f t="shared" si="1617"/>
        <v>1.9000000000000004</v>
      </c>
      <c r="CR1233">
        <f t="shared" si="1639"/>
        <v>3.2500000000000001E-2</v>
      </c>
      <c r="CS1233">
        <f t="shared" si="1640"/>
        <v>4.7500000000000001E-2</v>
      </c>
      <c r="CT1233">
        <f t="shared" si="1641"/>
        <v>1.4999999999999999E-2</v>
      </c>
      <c r="CU1233">
        <f t="shared" si="1642"/>
        <v>7.8947368421052617E-3</v>
      </c>
      <c r="CV1233" s="2">
        <f t="shared" si="1643"/>
        <v>0.46153846153846151</v>
      </c>
      <c r="CW1233" s="1" t="s">
        <v>1198</v>
      </c>
      <c r="CX1233" s="264" t="str">
        <f t="shared" si="1644"/>
        <v>reg</v>
      </c>
      <c r="CY1233" t="s">
        <v>235</v>
      </c>
      <c r="DB1233">
        <v>80</v>
      </c>
      <c r="DC1233" t="str">
        <f t="shared" si="1645"/>
        <v>71-100</v>
      </c>
      <c r="DD1233">
        <v>0</v>
      </c>
      <c r="DE1233">
        <v>1</v>
      </c>
      <c r="DF1233">
        <v>1</v>
      </c>
      <c r="DG1233">
        <v>1</v>
      </c>
      <c r="DI1233">
        <f t="shared" si="1621"/>
        <v>3</v>
      </c>
      <c r="DJ1233" t="str">
        <f t="shared" si="1646"/>
        <v>mixedProduct</v>
      </c>
      <c r="DK1233">
        <f t="shared" si="1622"/>
        <v>0</v>
      </c>
      <c r="DL1233" t="str">
        <f t="shared" si="1623"/>
        <v>Energy</v>
      </c>
      <c r="DM1233" t="str">
        <f t="shared" si="1624"/>
        <v>Pulp/Paper</v>
      </c>
      <c r="DN1233" t="str">
        <f t="shared" si="1625"/>
        <v>Timber</v>
      </c>
      <c r="DO1233">
        <v>0</v>
      </c>
      <c r="DP1233">
        <v>1</v>
      </c>
      <c r="DQ1233" t="s">
        <v>2145</v>
      </c>
      <c r="DR1233">
        <v>0</v>
      </c>
      <c r="DS1233">
        <v>0</v>
      </c>
      <c r="DT1233">
        <f t="shared" si="1629"/>
        <v>1</v>
      </c>
      <c r="DU1233" s="143" t="str">
        <f t="shared" si="1626"/>
        <v>external DF used</v>
      </c>
      <c r="DV1233">
        <v>1</v>
      </c>
      <c r="DW1233">
        <v>1</v>
      </c>
      <c r="DX1233">
        <v>1</v>
      </c>
      <c r="DY1233">
        <v>0</v>
      </c>
      <c r="DZ1233">
        <v>0</v>
      </c>
      <c r="EA1233" s="143">
        <v>0</v>
      </c>
      <c r="EB1233">
        <v>1</v>
      </c>
      <c r="EC1233">
        <v>1</v>
      </c>
      <c r="ED1233">
        <v>0</v>
      </c>
      <c r="EE1233">
        <v>0</v>
      </c>
      <c r="EF1233">
        <v>1</v>
      </c>
      <c r="EG1233">
        <v>0</v>
      </c>
      <c r="EH1233">
        <v>0</v>
      </c>
      <c r="EI1233" s="2">
        <v>0</v>
      </c>
      <c r="EK1233" t="str">
        <f t="shared" si="1619"/>
        <v>Whole sector</v>
      </c>
      <c r="EL1233" t="str">
        <f t="shared" si="1620"/>
        <v/>
      </c>
      <c r="EM1233" s="2" t="str">
        <f t="shared" si="1592"/>
        <v/>
      </c>
      <c r="EP1233" t="str">
        <f>IF(ISNUMBER(BU1233),IF(ABS(BU1233-[4]QC_indicators!$B$2)&gt;3*[4]QC_indicators!$C$2,"C ratio",IF(ISNUMBER(BY1233),IF(ABS(BY1233-[4]QC_indicators!$B$1)&gt;3*[4]QC_indicators!$C$1,"DF","no"))),IF(ISNUMBER(BY1233),IF(ABS(BY1233-[4]QC_indicators!$B$1)&gt;3*[4]QC_indicators!$C$1,"DF","no")))</f>
        <v>no</v>
      </c>
      <c r="ET1233" s="264" t="s">
        <v>3406</v>
      </c>
    </row>
    <row r="1234" spans="1:150" ht="15" hidden="1" customHeight="1">
      <c r="A1234" s="1" t="s">
        <v>1359</v>
      </c>
      <c r="B1234" t="s">
        <v>2134</v>
      </c>
      <c r="C1234" t="s">
        <v>2135</v>
      </c>
      <c r="D1234" t="s">
        <v>2136</v>
      </c>
      <c r="E1234" t="s">
        <v>2137</v>
      </c>
      <c r="F1234" t="s">
        <v>2138</v>
      </c>
      <c r="G1234" t="s">
        <v>1365</v>
      </c>
      <c r="H1234" t="s">
        <v>254</v>
      </c>
      <c r="I1234">
        <v>2012</v>
      </c>
      <c r="J1234">
        <v>21</v>
      </c>
      <c r="K1234" t="s">
        <v>2139</v>
      </c>
      <c r="L1234" s="192"/>
      <c r="M1234" t="str">
        <f t="shared" si="1630"/>
        <v>Pyorala_2012</v>
      </c>
      <c r="N1234" t="s">
        <v>222</v>
      </c>
      <c r="O1234" s="145" t="s">
        <v>341</v>
      </c>
      <c r="P1234" s="180" t="s">
        <v>223</v>
      </c>
      <c r="Q1234" s="264" t="s">
        <v>256</v>
      </c>
      <c r="R1234" s="269" t="s">
        <v>1153</v>
      </c>
      <c r="S1234" s="263" t="s">
        <v>2149</v>
      </c>
      <c r="T1234" s="264" t="s">
        <v>2142</v>
      </c>
      <c r="U1234" s="264" t="s">
        <v>2141</v>
      </c>
      <c r="V1234">
        <v>0</v>
      </c>
      <c r="W1234">
        <v>0</v>
      </c>
      <c r="X1234">
        <v>0</v>
      </c>
      <c r="Y1234">
        <v>1</v>
      </c>
      <c r="Z1234">
        <v>0</v>
      </c>
      <c r="AA1234">
        <v>0</v>
      </c>
      <c r="AB1234">
        <v>0</v>
      </c>
      <c r="AC1234">
        <v>0</v>
      </c>
      <c r="AD1234">
        <v>0</v>
      </c>
      <c r="AE1234">
        <v>0</v>
      </c>
      <c r="AF1234">
        <v>0</v>
      </c>
      <c r="AG1234">
        <v>0</v>
      </c>
      <c r="AH1234">
        <v>0</v>
      </c>
      <c r="AI1234">
        <v>0</v>
      </c>
      <c r="AJ1234">
        <v>0</v>
      </c>
      <c r="AK1234">
        <v>0</v>
      </c>
      <c r="AL1234">
        <v>0</v>
      </c>
      <c r="AM1234">
        <v>0</v>
      </c>
      <c r="AN1234">
        <v>0</v>
      </c>
      <c r="AO1234">
        <v>0</v>
      </c>
      <c r="AP1234">
        <v>0</v>
      </c>
      <c r="AQ1234">
        <v>0</v>
      </c>
      <c r="AR1234">
        <v>0</v>
      </c>
      <c r="AS1234">
        <v>0</v>
      </c>
      <c r="AT1234">
        <v>0</v>
      </c>
      <c r="AU1234">
        <v>0</v>
      </c>
      <c r="AV1234">
        <v>0</v>
      </c>
      <c r="AW1234">
        <v>0</v>
      </c>
      <c r="AX1234" s="141">
        <f t="shared" si="1631"/>
        <v>1</v>
      </c>
      <c r="AY1234" s="141">
        <f t="shared" si="1632"/>
        <v>1</v>
      </c>
      <c r="AZ1234">
        <f t="shared" si="1633"/>
        <v>1</v>
      </c>
      <c r="BA1234">
        <f t="shared" si="1634"/>
        <v>0</v>
      </c>
      <c r="BB1234">
        <f t="shared" si="1635"/>
        <v>0</v>
      </c>
      <c r="BC1234">
        <f t="shared" si="1636"/>
        <v>0</v>
      </c>
      <c r="BD1234">
        <f t="shared" si="1637"/>
        <v>0</v>
      </c>
      <c r="BE1234" t="str" cm="1">
        <f t="array" ref="BE1234">IF(AY1234=1,INDEX($V$7:$AL$7,MATCH(TRUE,INDEX($V1234:$AW1234&lt;&gt;0,),0)),IF(AY1234=0,INDEX($AM$7:$AW$7,MATCH(1,$AM1234:$AW1234,0)),IF(BF1234="Multiple strategies","mixed drivers",IF(BF1234="Supply chain","multiple supply","multiple silviculture"))))</f>
        <v xml:space="preserve">cutting intensity </v>
      </c>
      <c r="BF1234" s="2" t="str" cm="1">
        <f t="array" ref="BF1234">IF(COUNTIF(AZ1234:BB1234,"&lt;&gt;0")=1,INDEX($V$4:$AW$4,MATCH(TRUE,INDEX($V1234:$AW1234&lt;&gt;0,),0)),IF(COUNTIF(AZ1234:BB1234,"&lt;&gt;0")=0,INDEX($AM$4:$AW$4,MATCH(1,$AM1234:$AW1234,0)),"Multiple strategies"))</f>
        <v>Silviculture for removals</v>
      </c>
      <c r="BG1234" s="178" t="s">
        <v>321</v>
      </c>
      <c r="BH1234" s="264" t="s">
        <v>2143</v>
      </c>
      <c r="BI1234" s="264" t="s">
        <v>701</v>
      </c>
      <c r="BJ1234" s="160" t="s">
        <v>700</v>
      </c>
      <c r="BK1234">
        <v>6.5</v>
      </c>
      <c r="BL1234">
        <v>6.7</v>
      </c>
      <c r="BN1234">
        <f t="shared" si="1610"/>
        <v>0.20000000000000018</v>
      </c>
      <c r="BO1234">
        <f t="shared" si="1627"/>
        <v>0.20000000000000018</v>
      </c>
      <c r="BP1234" s="155" t="s">
        <v>395</v>
      </c>
      <c r="BQ1234" s="264" t="s">
        <v>783</v>
      </c>
      <c r="BR1234" s="155" t="s">
        <v>279</v>
      </c>
      <c r="BS1234">
        <v>1</v>
      </c>
      <c r="BT1234">
        <v>1</v>
      </c>
      <c r="BU1234" s="144"/>
      <c r="BV1234">
        <f t="shared" si="1613"/>
        <v>0</v>
      </c>
      <c r="BX1234">
        <f t="shared" si="1628"/>
        <v>0</v>
      </c>
      <c r="BY1234">
        <f t="shared" si="1591"/>
        <v>0</v>
      </c>
      <c r="BZ1234">
        <v>0</v>
      </c>
      <c r="CA1234">
        <v>0</v>
      </c>
      <c r="CB1234">
        <v>0</v>
      </c>
      <c r="CC1234">
        <v>0</v>
      </c>
      <c r="CD1234">
        <v>0</v>
      </c>
      <c r="CE1234">
        <v>0</v>
      </c>
      <c r="CF1234">
        <v>0</v>
      </c>
      <c r="CG1234">
        <v>0</v>
      </c>
      <c r="CH1234">
        <v>0</v>
      </c>
      <c r="CI1234">
        <v>0</v>
      </c>
      <c r="CJ1234">
        <v>0</v>
      </c>
      <c r="CK1234">
        <v>0</v>
      </c>
      <c r="CL1234">
        <v>0</v>
      </c>
      <c r="CM1234">
        <v>0</v>
      </c>
      <c r="CN1234" t="str">
        <f t="shared" si="1638"/>
        <v>refOK</v>
      </c>
      <c r="CO1234">
        <f t="shared" si="1615"/>
        <v>6.5</v>
      </c>
      <c r="CP1234">
        <f t="shared" si="1616"/>
        <v>6.7</v>
      </c>
      <c r="CQ1234">
        <f t="shared" si="1617"/>
        <v>0.20000000000000018</v>
      </c>
      <c r="CR1234">
        <f t="shared" si="1639"/>
        <v>-1</v>
      </c>
      <c r="CS1234">
        <f t="shared" si="1640"/>
        <v>-1</v>
      </c>
      <c r="CT1234">
        <f t="shared" si="1641"/>
        <v>0</v>
      </c>
      <c r="CU1234">
        <f t="shared" si="1642"/>
        <v>0</v>
      </c>
      <c r="CV1234" s="2">
        <f t="shared" si="1643"/>
        <v>0</v>
      </c>
      <c r="CW1234" s="1" t="s">
        <v>1198</v>
      </c>
      <c r="CX1234" s="264" t="str">
        <f t="shared" si="1644"/>
        <v>reg</v>
      </c>
      <c r="CY1234" t="s">
        <v>235</v>
      </c>
      <c r="DB1234">
        <v>80</v>
      </c>
      <c r="DC1234" t="str">
        <f t="shared" si="1645"/>
        <v>71-100</v>
      </c>
      <c r="DD1234">
        <v>0</v>
      </c>
      <c r="DE1234">
        <v>1</v>
      </c>
      <c r="DF1234">
        <v>1</v>
      </c>
      <c r="DG1234">
        <v>1</v>
      </c>
      <c r="DI1234">
        <f t="shared" si="1621"/>
        <v>3</v>
      </c>
      <c r="DJ1234" t="str">
        <f t="shared" si="1646"/>
        <v>mixedProduct</v>
      </c>
      <c r="DK1234">
        <f t="shared" si="1622"/>
        <v>0</v>
      </c>
      <c r="DL1234" t="str">
        <f t="shared" si="1623"/>
        <v>Energy</v>
      </c>
      <c r="DM1234" t="str">
        <f t="shared" si="1624"/>
        <v>Pulp/Paper</v>
      </c>
      <c r="DN1234" t="str">
        <f t="shared" si="1625"/>
        <v>Timber</v>
      </c>
      <c r="DO1234">
        <v>0</v>
      </c>
      <c r="DP1234">
        <v>1</v>
      </c>
      <c r="DQ1234" t="s">
        <v>2145</v>
      </c>
      <c r="DR1234">
        <v>0</v>
      </c>
      <c r="DS1234">
        <v>0</v>
      </c>
      <c r="DT1234">
        <f t="shared" si="1629"/>
        <v>1</v>
      </c>
      <c r="DU1234" s="143" t="str">
        <f t="shared" si="1626"/>
        <v>external DF used</v>
      </c>
      <c r="DV1234">
        <v>1</v>
      </c>
      <c r="DW1234">
        <v>1</v>
      </c>
      <c r="DX1234">
        <v>1</v>
      </c>
      <c r="DY1234">
        <v>0</v>
      </c>
      <c r="DZ1234">
        <v>1</v>
      </c>
      <c r="EA1234">
        <v>0</v>
      </c>
      <c r="EB1234">
        <v>1</v>
      </c>
      <c r="EC1234">
        <v>1</v>
      </c>
      <c r="ED1234">
        <v>0</v>
      </c>
      <c r="EE1234">
        <v>0</v>
      </c>
      <c r="EF1234">
        <v>1</v>
      </c>
      <c r="EG1234">
        <v>0</v>
      </c>
      <c r="EH1234">
        <v>0</v>
      </c>
      <c r="EI1234" s="2">
        <v>0</v>
      </c>
      <c r="EK1234" t="str">
        <f t="shared" si="1619"/>
        <v>Whole sector</v>
      </c>
      <c r="EL1234" t="str">
        <f t="shared" si="1620"/>
        <v/>
      </c>
      <c r="EM1234" s="2" t="str">
        <f t="shared" si="1592"/>
        <v/>
      </c>
      <c r="EP1234" t="str">
        <f>IF(ISNUMBER(BU1234),IF(ABS(BU1234-[4]QC_indicators!$B$2)&gt;3*[4]QC_indicators!$C$2,"C ratio",IF(ISNUMBER(BY1234),IF(ABS(BY1234-[4]QC_indicators!$B$1)&gt;3*[4]QC_indicators!$C$1,"DF","no"))),IF(ISNUMBER(BY1234),IF(ABS(BY1234-[4]QC_indicators!$B$1)&gt;3*[4]QC_indicators!$C$1,"DF","no")))</f>
        <v>no</v>
      </c>
      <c r="ET1234" s="264" t="s">
        <v>3406</v>
      </c>
    </row>
    <row r="1235" spans="1:150" ht="15" hidden="1" customHeight="1">
      <c r="A1235" s="1" t="s">
        <v>1359</v>
      </c>
      <c r="B1235" t="s">
        <v>2134</v>
      </c>
      <c r="C1235" t="s">
        <v>2135</v>
      </c>
      <c r="D1235" t="s">
        <v>2136</v>
      </c>
      <c r="E1235" t="s">
        <v>2137</v>
      </c>
      <c r="F1235" t="s">
        <v>2138</v>
      </c>
      <c r="G1235" t="s">
        <v>1365</v>
      </c>
      <c r="H1235" t="s">
        <v>254</v>
      </c>
      <c r="I1235">
        <v>2012</v>
      </c>
      <c r="J1235">
        <v>21</v>
      </c>
      <c r="K1235" t="s">
        <v>2139</v>
      </c>
      <c r="L1235" s="192"/>
      <c r="M1235" t="str">
        <f t="shared" si="1630"/>
        <v>Pyorala_2012</v>
      </c>
      <c r="N1235" t="s">
        <v>222</v>
      </c>
      <c r="O1235" s="145" t="s">
        <v>341</v>
      </c>
      <c r="P1235" s="180" t="s">
        <v>223</v>
      </c>
      <c r="Q1235" s="264" t="s">
        <v>2163</v>
      </c>
      <c r="R1235" s="269" t="s">
        <v>1153</v>
      </c>
      <c r="S1235" s="263" t="s">
        <v>2164</v>
      </c>
      <c r="T1235" s="264" t="s">
        <v>2156</v>
      </c>
      <c r="U1235" s="264" t="s">
        <v>2157</v>
      </c>
      <c r="V1235">
        <v>0</v>
      </c>
      <c r="W1235">
        <v>0</v>
      </c>
      <c r="X1235">
        <v>0</v>
      </c>
      <c r="Y1235">
        <v>0</v>
      </c>
      <c r="Z1235">
        <v>0</v>
      </c>
      <c r="AA1235">
        <v>0</v>
      </c>
      <c r="AB1235">
        <v>0</v>
      </c>
      <c r="AC1235">
        <v>1</v>
      </c>
      <c r="AD1235">
        <v>0</v>
      </c>
      <c r="AE1235">
        <v>0</v>
      </c>
      <c r="AF1235">
        <v>0</v>
      </c>
      <c r="AG1235">
        <v>0</v>
      </c>
      <c r="AH1235">
        <v>0</v>
      </c>
      <c r="AI1235">
        <v>0</v>
      </c>
      <c r="AJ1235">
        <v>0</v>
      </c>
      <c r="AK1235">
        <v>0</v>
      </c>
      <c r="AL1235">
        <v>0</v>
      </c>
      <c r="AM1235">
        <v>0</v>
      </c>
      <c r="AN1235">
        <v>0</v>
      </c>
      <c r="AO1235">
        <v>0</v>
      </c>
      <c r="AP1235">
        <v>0</v>
      </c>
      <c r="AQ1235">
        <v>0</v>
      </c>
      <c r="AR1235">
        <v>0</v>
      </c>
      <c r="AS1235">
        <v>0</v>
      </c>
      <c r="AT1235">
        <v>0</v>
      </c>
      <c r="AU1235">
        <v>0</v>
      </c>
      <c r="AV1235">
        <v>0</v>
      </c>
      <c r="AW1235">
        <v>0</v>
      </c>
      <c r="AX1235" s="141">
        <f t="shared" si="1631"/>
        <v>1</v>
      </c>
      <c r="AY1235" s="141">
        <f t="shared" si="1632"/>
        <v>1</v>
      </c>
      <c r="AZ1235">
        <f t="shared" si="1633"/>
        <v>1</v>
      </c>
      <c r="BA1235">
        <f t="shared" si="1634"/>
        <v>0</v>
      </c>
      <c r="BB1235">
        <f t="shared" si="1635"/>
        <v>0</v>
      </c>
      <c r="BC1235">
        <f t="shared" si="1636"/>
        <v>0</v>
      </c>
      <c r="BD1235">
        <f t="shared" si="1637"/>
        <v>0</v>
      </c>
      <c r="BE1235" t="str" cm="1">
        <f t="array" ref="BE1235">IF(AY1235=1,INDEX($V$7:$AL$7,MATCH(TRUE,INDEX($V1235:$AW1235&lt;&gt;0,),0)),IF(AY1235=0,INDEX($AM$7:$AW$7,MATCH(1,$AM1235:$AW1235,0)),IF(BF1235="Multiple strategies","mixed drivers",IF(BF1235="Supply chain","multiple supply","multiple silviculture"))))</f>
        <v>site fertility</v>
      </c>
      <c r="BF1235" s="2" t="str" cm="1">
        <f t="array" ref="BF1235">IF(COUNTIF(AZ1235:BB1235,"&lt;&gt;0")=1,INDEX($V$4:$AW$4,MATCH(TRUE,INDEX($V1235:$AW1235&lt;&gt;0,),0)),IF(COUNTIF(AZ1235:BB1235,"&lt;&gt;0")=0,INDEX($AM$4:$AW$4,MATCH(1,$AM1235:$AW1235,0)),"Multiple strategies"))</f>
        <v>Silviculture for productivity</v>
      </c>
      <c r="BG1235" s="178" t="s">
        <v>321</v>
      </c>
      <c r="BH1235" s="264" t="s">
        <v>2143</v>
      </c>
      <c r="BI1235" s="264" t="s">
        <v>2158</v>
      </c>
      <c r="BJ1235" s="160" t="s">
        <v>700</v>
      </c>
      <c r="BK1235">
        <v>7.6</v>
      </c>
      <c r="BL1235">
        <v>7.8</v>
      </c>
      <c r="BN1235">
        <f t="shared" ref="BN1235:BN1262" si="1647">BL1235-BK1235</f>
        <v>0.20000000000000018</v>
      </c>
      <c r="BO1235">
        <f t="shared" si="1627"/>
        <v>0.20000000000000018</v>
      </c>
      <c r="BP1235" s="155" t="s">
        <v>395</v>
      </c>
      <c r="BQ1235" s="264" t="s">
        <v>783</v>
      </c>
      <c r="BR1235" s="155" t="s">
        <v>279</v>
      </c>
      <c r="BS1235">
        <v>0.6</v>
      </c>
      <c r="BT1235">
        <v>0.6</v>
      </c>
      <c r="BU1235" s="144"/>
      <c r="BV1235">
        <f t="shared" ref="BV1235:BV1262" si="1648">BT1235-BS1235</f>
        <v>0</v>
      </c>
      <c r="BX1235">
        <f t="shared" si="1628"/>
        <v>0</v>
      </c>
      <c r="BY1235">
        <f t="shared" si="1591"/>
        <v>0</v>
      </c>
      <c r="BZ1235">
        <v>0</v>
      </c>
      <c r="CA1235">
        <v>0</v>
      </c>
      <c r="CB1235">
        <v>0</v>
      </c>
      <c r="CC1235">
        <v>0</v>
      </c>
      <c r="CD1235">
        <v>0</v>
      </c>
      <c r="CE1235">
        <v>0</v>
      </c>
      <c r="CF1235">
        <v>0</v>
      </c>
      <c r="CG1235">
        <v>0</v>
      </c>
      <c r="CH1235">
        <v>0</v>
      </c>
      <c r="CI1235">
        <v>0</v>
      </c>
      <c r="CJ1235">
        <v>0</v>
      </c>
      <c r="CK1235">
        <v>0</v>
      </c>
      <c r="CL1235">
        <v>0</v>
      </c>
      <c r="CM1235">
        <v>0</v>
      </c>
      <c r="CN1235" t="str">
        <f t="shared" si="1638"/>
        <v>refOK</v>
      </c>
      <c r="CO1235">
        <f t="shared" ref="CO1235:CO1262" si="1649">IF($CN1235="refOK",$BK1235,$BL1235)</f>
        <v>7.6</v>
      </c>
      <c r="CP1235">
        <f t="shared" ref="CP1235:CP1262" si="1650">IF($CN1235="refOK",$BL1235,$BK1235)</f>
        <v>7.8</v>
      </c>
      <c r="CQ1235">
        <f t="shared" ref="CQ1235:CQ1262" si="1651">IF($CN1235="refOK",$BO1235,-$BO1235)</f>
        <v>0.20000000000000018</v>
      </c>
      <c r="CR1235">
        <f t="shared" si="1639"/>
        <v>-0.6</v>
      </c>
      <c r="CS1235">
        <f t="shared" si="1640"/>
        <v>-0.6</v>
      </c>
      <c r="CT1235">
        <f t="shared" si="1641"/>
        <v>0</v>
      </c>
      <c r="CU1235">
        <f t="shared" si="1642"/>
        <v>0</v>
      </c>
      <c r="CV1235" s="2">
        <f t="shared" si="1643"/>
        <v>0</v>
      </c>
      <c r="CW1235" s="1" t="s">
        <v>1198</v>
      </c>
      <c r="CX1235" s="264" t="str">
        <f t="shared" si="1644"/>
        <v>reg</v>
      </c>
      <c r="CY1235" t="s">
        <v>235</v>
      </c>
      <c r="DB1235">
        <v>50</v>
      </c>
      <c r="DC1235" t="str">
        <f t="shared" si="1645"/>
        <v>31-70</v>
      </c>
      <c r="DD1235">
        <v>0</v>
      </c>
      <c r="DE1235">
        <v>1</v>
      </c>
      <c r="DF1235">
        <v>1</v>
      </c>
      <c r="DG1235">
        <v>1</v>
      </c>
      <c r="DI1235">
        <f t="shared" si="1621"/>
        <v>3</v>
      </c>
      <c r="DJ1235" t="str">
        <f t="shared" si="1646"/>
        <v>mixedProduct</v>
      </c>
      <c r="DK1235">
        <f t="shared" si="1622"/>
        <v>0</v>
      </c>
      <c r="DL1235" t="str">
        <f t="shared" si="1623"/>
        <v>Energy</v>
      </c>
      <c r="DM1235" t="str">
        <f t="shared" si="1624"/>
        <v>Pulp/Paper</v>
      </c>
      <c r="DN1235" t="str">
        <f t="shared" si="1625"/>
        <v>Timber</v>
      </c>
      <c r="DO1235">
        <v>0</v>
      </c>
      <c r="DP1235">
        <v>1</v>
      </c>
      <c r="DQ1235" t="s">
        <v>2145</v>
      </c>
      <c r="DR1235">
        <v>0</v>
      </c>
      <c r="DS1235">
        <v>0</v>
      </c>
      <c r="DT1235">
        <f t="shared" si="1629"/>
        <v>1</v>
      </c>
      <c r="DU1235" s="143" t="str">
        <f t="shared" si="1626"/>
        <v>external DF used</v>
      </c>
      <c r="DV1235">
        <v>1</v>
      </c>
      <c r="DW1235">
        <v>1</v>
      </c>
      <c r="DX1235">
        <v>1</v>
      </c>
      <c r="DY1235">
        <v>0</v>
      </c>
      <c r="DZ1235">
        <v>1</v>
      </c>
      <c r="EA1235">
        <v>0</v>
      </c>
      <c r="EB1235">
        <v>1</v>
      </c>
      <c r="EC1235">
        <v>1</v>
      </c>
      <c r="ED1235">
        <v>0</v>
      </c>
      <c r="EE1235">
        <v>0</v>
      </c>
      <c r="EF1235">
        <v>1</v>
      </c>
      <c r="EG1235">
        <v>0</v>
      </c>
      <c r="EH1235">
        <v>0</v>
      </c>
      <c r="EI1235" s="2">
        <v>0</v>
      </c>
      <c r="EK1235" t="str">
        <f t="shared" ref="EK1235:EK1266" si="1652">IF(AND(AND(AND(OR($DX1235=1,$DW1235=1),OR($EC1235=1,$EA1235=1)),SUM($DV1235:$DZ1235,$EF1235)&gt;=4),SUM($EA1235:$EE1235)&gt;=2),"Whole sector","")</f>
        <v>Whole sector</v>
      </c>
      <c r="EL1235" t="str">
        <f t="shared" ref="EL1235:EL1266" si="1653">IF(AND(AND(OR($DX1235=1,$DW1235=1),AND($EC1235=0,$EA1235=0)),SUM($DV1235:$DZ1235,$EF1235)&gt;=4),"Ecosystem approach","")</f>
        <v/>
      </c>
      <c r="EM1235" s="2" t="str">
        <f t="shared" si="1592"/>
        <v/>
      </c>
      <c r="EP1235" t="str">
        <f>IF(ISNUMBER(BU1235),IF(ABS(BU1235-[4]QC_indicators!$B$2)&gt;3*[4]QC_indicators!$C$2,"C ratio",IF(ISNUMBER(BY1235),IF(ABS(BY1235-[4]QC_indicators!$B$1)&gt;3*[4]QC_indicators!$C$1,"DF","no"))),IF(ISNUMBER(BY1235),IF(ABS(BY1235-[4]QC_indicators!$B$1)&gt;3*[4]QC_indicators!$C$1,"DF","no")))</f>
        <v>no</v>
      </c>
      <c r="ET1235" s="264" t="s">
        <v>3406</v>
      </c>
    </row>
    <row r="1236" spans="1:150" ht="15" hidden="1" customHeight="1">
      <c r="A1236" s="1" t="s">
        <v>1359</v>
      </c>
      <c r="B1236" t="s">
        <v>2134</v>
      </c>
      <c r="C1236" t="s">
        <v>2135</v>
      </c>
      <c r="D1236" t="s">
        <v>2136</v>
      </c>
      <c r="E1236" t="s">
        <v>2137</v>
      </c>
      <c r="F1236" t="s">
        <v>2138</v>
      </c>
      <c r="G1236" t="s">
        <v>1365</v>
      </c>
      <c r="H1236" t="s">
        <v>254</v>
      </c>
      <c r="I1236">
        <v>2012</v>
      </c>
      <c r="J1236">
        <v>21</v>
      </c>
      <c r="K1236" t="s">
        <v>2139</v>
      </c>
      <c r="L1236" s="192"/>
      <c r="M1236" t="str">
        <f t="shared" si="1630"/>
        <v>Pyorala_2012</v>
      </c>
      <c r="N1236" t="s">
        <v>222</v>
      </c>
      <c r="O1236" s="145" t="s">
        <v>341</v>
      </c>
      <c r="P1236" s="180" t="s">
        <v>223</v>
      </c>
      <c r="Q1236" s="264" t="s">
        <v>256</v>
      </c>
      <c r="R1236" s="269" t="s">
        <v>1153</v>
      </c>
      <c r="S1236" s="263" t="s">
        <v>2146</v>
      </c>
      <c r="T1236" s="264" t="s">
        <v>2141</v>
      </c>
      <c r="U1236" s="264" t="s">
        <v>2142</v>
      </c>
      <c r="V1236">
        <v>0</v>
      </c>
      <c r="W1236">
        <v>0</v>
      </c>
      <c r="X1236">
        <v>0</v>
      </c>
      <c r="Y1236">
        <v>1</v>
      </c>
      <c r="Z1236">
        <v>0</v>
      </c>
      <c r="AA1236">
        <v>0</v>
      </c>
      <c r="AB1236">
        <v>0</v>
      </c>
      <c r="AC1236">
        <v>0</v>
      </c>
      <c r="AD1236">
        <v>0</v>
      </c>
      <c r="AE1236">
        <v>0</v>
      </c>
      <c r="AF1236">
        <v>0</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s="141">
        <f t="shared" si="1631"/>
        <v>1</v>
      </c>
      <c r="AY1236" s="141">
        <f t="shared" si="1632"/>
        <v>1</v>
      </c>
      <c r="AZ1236">
        <f t="shared" si="1633"/>
        <v>1</v>
      </c>
      <c r="BA1236">
        <f t="shared" si="1634"/>
        <v>0</v>
      </c>
      <c r="BB1236">
        <f t="shared" si="1635"/>
        <v>0</v>
      </c>
      <c r="BC1236">
        <f t="shared" si="1636"/>
        <v>0</v>
      </c>
      <c r="BD1236">
        <f t="shared" si="1637"/>
        <v>0</v>
      </c>
      <c r="BE1236" t="str" cm="1">
        <f t="array" ref="BE1236">IF(AY1236=1,INDEX($V$7:$AL$7,MATCH(TRUE,INDEX($V1236:$AW1236&lt;&gt;0,),0)),IF(AY1236=0,INDEX($AM$7:$AW$7,MATCH(1,$AM1236:$AW1236,0)),IF(BF1236="Multiple strategies","mixed drivers",IF(BF1236="Supply chain","multiple supply","multiple silviculture"))))</f>
        <v xml:space="preserve">cutting intensity </v>
      </c>
      <c r="BF1236" s="2" t="str" cm="1">
        <f t="array" ref="BF1236">IF(COUNTIF(AZ1236:BB1236,"&lt;&gt;0")=1,INDEX($V$4:$AW$4,MATCH(TRUE,INDEX($V1236:$AW1236&lt;&gt;0,),0)),IF(COUNTIF(AZ1236:BB1236,"&lt;&gt;0")=0,INDEX($AM$4:$AW$4,MATCH(1,$AM1236:$AW1236,0)),"Multiple strategies"))</f>
        <v>Silviculture for removals</v>
      </c>
      <c r="BG1236" s="178" t="s">
        <v>321</v>
      </c>
      <c r="BH1236" s="264" t="s">
        <v>2143</v>
      </c>
      <c r="BI1236" s="264" t="s">
        <v>701</v>
      </c>
      <c r="BJ1236" s="160" t="s">
        <v>700</v>
      </c>
      <c r="BK1236">
        <v>7.3</v>
      </c>
      <c r="BL1236">
        <v>7.6</v>
      </c>
      <c r="BN1236">
        <f t="shared" si="1647"/>
        <v>0.29999999999999982</v>
      </c>
      <c r="BO1236">
        <f t="shared" si="1627"/>
        <v>0.29999999999999982</v>
      </c>
      <c r="BP1236" s="155" t="s">
        <v>395</v>
      </c>
      <c r="BQ1236" s="264" t="s">
        <v>783</v>
      </c>
      <c r="BR1236" s="155" t="s">
        <v>279</v>
      </c>
      <c r="BS1236">
        <v>0.6</v>
      </c>
      <c r="BT1236">
        <v>0.6</v>
      </c>
      <c r="BU1236" s="144"/>
      <c r="BV1236">
        <f t="shared" si="1648"/>
        <v>0</v>
      </c>
      <c r="BX1236">
        <f t="shared" si="1628"/>
        <v>0</v>
      </c>
      <c r="BY1236">
        <f t="shared" si="1591"/>
        <v>0</v>
      </c>
      <c r="BZ1236">
        <v>0</v>
      </c>
      <c r="CA1236">
        <v>0</v>
      </c>
      <c r="CB1236">
        <v>0</v>
      </c>
      <c r="CC1236">
        <v>0</v>
      </c>
      <c r="CD1236">
        <v>0</v>
      </c>
      <c r="CE1236">
        <v>0</v>
      </c>
      <c r="CF1236">
        <v>0</v>
      </c>
      <c r="CG1236">
        <v>0</v>
      </c>
      <c r="CH1236">
        <v>0</v>
      </c>
      <c r="CI1236">
        <v>0</v>
      </c>
      <c r="CJ1236">
        <v>0</v>
      </c>
      <c r="CK1236">
        <v>0</v>
      </c>
      <c r="CL1236">
        <v>0</v>
      </c>
      <c r="CM1236">
        <v>0</v>
      </c>
      <c r="CN1236" t="str">
        <f t="shared" si="1638"/>
        <v>refOK</v>
      </c>
      <c r="CO1236">
        <f t="shared" si="1649"/>
        <v>7.3</v>
      </c>
      <c r="CP1236">
        <f t="shared" si="1650"/>
        <v>7.6</v>
      </c>
      <c r="CQ1236">
        <f t="shared" si="1651"/>
        <v>0.29999999999999982</v>
      </c>
      <c r="CR1236">
        <f t="shared" si="1639"/>
        <v>-0.6</v>
      </c>
      <c r="CS1236">
        <f t="shared" si="1640"/>
        <v>-0.6</v>
      </c>
      <c r="CT1236">
        <f t="shared" si="1641"/>
        <v>0</v>
      </c>
      <c r="CU1236">
        <f t="shared" si="1642"/>
        <v>0</v>
      </c>
      <c r="CV1236" s="2">
        <f t="shared" si="1643"/>
        <v>0</v>
      </c>
      <c r="CW1236" s="1" t="s">
        <v>1198</v>
      </c>
      <c r="CX1236" s="264" t="str">
        <f t="shared" si="1644"/>
        <v>reg</v>
      </c>
      <c r="CY1236" t="s">
        <v>235</v>
      </c>
      <c r="DB1236">
        <v>50</v>
      </c>
      <c r="DC1236" t="str">
        <f t="shared" si="1645"/>
        <v>31-70</v>
      </c>
      <c r="DD1236">
        <v>0</v>
      </c>
      <c r="DE1236">
        <v>1</v>
      </c>
      <c r="DF1236">
        <v>1</v>
      </c>
      <c r="DG1236">
        <v>1</v>
      </c>
      <c r="DI1236">
        <f t="shared" si="1621"/>
        <v>3</v>
      </c>
      <c r="DJ1236" t="str">
        <f t="shared" si="1646"/>
        <v>mixedProduct</v>
      </c>
      <c r="DK1236">
        <f t="shared" si="1622"/>
        <v>0</v>
      </c>
      <c r="DL1236" t="str">
        <f t="shared" si="1623"/>
        <v>Energy</v>
      </c>
      <c r="DM1236" t="str">
        <f t="shared" si="1624"/>
        <v>Pulp/Paper</v>
      </c>
      <c r="DN1236" t="str">
        <f t="shared" si="1625"/>
        <v>Timber</v>
      </c>
      <c r="DO1236">
        <v>0</v>
      </c>
      <c r="DP1236">
        <v>1</v>
      </c>
      <c r="DQ1236" t="s">
        <v>2145</v>
      </c>
      <c r="DR1236">
        <v>0</v>
      </c>
      <c r="DS1236">
        <v>0</v>
      </c>
      <c r="DT1236">
        <f t="shared" si="1629"/>
        <v>1</v>
      </c>
      <c r="DU1236" s="143" t="str">
        <f t="shared" si="1626"/>
        <v>external DF used</v>
      </c>
      <c r="DV1236">
        <v>1</v>
      </c>
      <c r="DW1236">
        <v>1</v>
      </c>
      <c r="DX1236">
        <v>1</v>
      </c>
      <c r="DY1236">
        <v>0</v>
      </c>
      <c r="DZ1236">
        <v>1</v>
      </c>
      <c r="EA1236">
        <v>0</v>
      </c>
      <c r="EB1236">
        <v>1</v>
      </c>
      <c r="EC1236">
        <v>1</v>
      </c>
      <c r="ED1236">
        <v>0</v>
      </c>
      <c r="EE1236">
        <v>0</v>
      </c>
      <c r="EF1236">
        <v>1</v>
      </c>
      <c r="EG1236">
        <v>0</v>
      </c>
      <c r="EH1236">
        <v>0</v>
      </c>
      <c r="EI1236" s="2">
        <v>0</v>
      </c>
      <c r="EK1236" t="str">
        <f t="shared" si="1652"/>
        <v>Whole sector</v>
      </c>
      <c r="EL1236" t="str">
        <f t="shared" si="1653"/>
        <v/>
      </c>
      <c r="EM1236" s="2" t="str">
        <f t="shared" si="1592"/>
        <v/>
      </c>
      <c r="EP1236" t="str">
        <f>IF(ISNUMBER(BU1236),IF(ABS(BU1236-[4]QC_indicators!$B$2)&gt;3*[4]QC_indicators!$C$2,"C ratio",IF(ISNUMBER(BY1236),IF(ABS(BY1236-[4]QC_indicators!$B$1)&gt;3*[4]QC_indicators!$C$1,"DF","no"))),IF(ISNUMBER(BY1236),IF(ABS(BY1236-[4]QC_indicators!$B$1)&gt;3*[4]QC_indicators!$C$1,"DF","no")))</f>
        <v>no</v>
      </c>
      <c r="ET1236" s="264" t="s">
        <v>3406</v>
      </c>
    </row>
    <row r="1237" spans="1:150" ht="15" hidden="1" customHeight="1">
      <c r="A1237" s="1" t="s">
        <v>1359</v>
      </c>
      <c r="B1237" t="s">
        <v>2134</v>
      </c>
      <c r="C1237" t="s">
        <v>2135</v>
      </c>
      <c r="D1237" t="s">
        <v>2136</v>
      </c>
      <c r="E1237" t="s">
        <v>2137</v>
      </c>
      <c r="F1237" t="s">
        <v>2138</v>
      </c>
      <c r="G1237" t="s">
        <v>1365</v>
      </c>
      <c r="H1237" t="s">
        <v>254</v>
      </c>
      <c r="I1237">
        <v>2012</v>
      </c>
      <c r="J1237">
        <v>21</v>
      </c>
      <c r="K1237" t="s">
        <v>2139</v>
      </c>
      <c r="L1237" s="192"/>
      <c r="M1237" t="str">
        <f t="shared" si="1630"/>
        <v>Pyorala_2012</v>
      </c>
      <c r="N1237" t="s">
        <v>222</v>
      </c>
      <c r="O1237" s="145" t="s">
        <v>341</v>
      </c>
      <c r="P1237" s="180" t="s">
        <v>223</v>
      </c>
      <c r="Q1237" s="264" t="s">
        <v>256</v>
      </c>
      <c r="R1237" s="269" t="s">
        <v>1153</v>
      </c>
      <c r="S1237" s="263" t="s">
        <v>2152</v>
      </c>
      <c r="T1237" s="264" t="s">
        <v>2142</v>
      </c>
      <c r="U1237" s="264" t="s">
        <v>2151</v>
      </c>
      <c r="V1237">
        <v>0</v>
      </c>
      <c r="W1237">
        <v>0</v>
      </c>
      <c r="X1237">
        <v>0</v>
      </c>
      <c r="Y1237">
        <v>0</v>
      </c>
      <c r="Z1237">
        <v>0</v>
      </c>
      <c r="AA1237">
        <v>0</v>
      </c>
      <c r="AB1237">
        <v>1</v>
      </c>
      <c r="AC1237">
        <v>0</v>
      </c>
      <c r="AD1237">
        <v>0</v>
      </c>
      <c r="AE1237">
        <v>0</v>
      </c>
      <c r="AF1237">
        <v>0</v>
      </c>
      <c r="AG1237">
        <v>0</v>
      </c>
      <c r="AH1237">
        <v>0</v>
      </c>
      <c r="AI1237">
        <v>0</v>
      </c>
      <c r="AJ1237">
        <v>0</v>
      </c>
      <c r="AK1237">
        <v>0</v>
      </c>
      <c r="AL1237">
        <v>0</v>
      </c>
      <c r="AM1237">
        <v>0</v>
      </c>
      <c r="AN1237">
        <v>0</v>
      </c>
      <c r="AO1237">
        <v>0</v>
      </c>
      <c r="AP1237">
        <v>0</v>
      </c>
      <c r="AQ1237">
        <v>0</v>
      </c>
      <c r="AR1237">
        <v>0</v>
      </c>
      <c r="AS1237">
        <v>0</v>
      </c>
      <c r="AT1237">
        <v>0</v>
      </c>
      <c r="AU1237">
        <v>0</v>
      </c>
      <c r="AV1237">
        <v>0</v>
      </c>
      <c r="AW1237">
        <v>0</v>
      </c>
      <c r="AX1237" s="141">
        <f t="shared" si="1631"/>
        <v>1</v>
      </c>
      <c r="AY1237" s="141">
        <f t="shared" si="1632"/>
        <v>1</v>
      </c>
      <c r="AZ1237">
        <f t="shared" si="1633"/>
        <v>1</v>
      </c>
      <c r="BA1237">
        <f t="shared" si="1634"/>
        <v>0</v>
      </c>
      <c r="BB1237">
        <f t="shared" si="1635"/>
        <v>0</v>
      </c>
      <c r="BC1237">
        <f t="shared" si="1636"/>
        <v>0</v>
      </c>
      <c r="BD1237">
        <f t="shared" si="1637"/>
        <v>0</v>
      </c>
      <c r="BE1237" t="str" cm="1">
        <f t="array" ref="BE1237">IF(AY1237=1,INDEX($V$7:$AL$7,MATCH(TRUE,INDEX($V1237:$AW1237&lt;&gt;0,),0)),IF(AY1237=0,INDEX($AM$7:$AW$7,MATCH(1,$AM1237:$AW1237,0)),IF(BF1237="Multiple strategies","mixed drivers",IF(BF1237="Supply chain","multiple supply","multiple silviculture"))))</f>
        <v>fertilisation</v>
      </c>
      <c r="BF1237" s="2" t="str" cm="1">
        <f t="array" ref="BF1237">IF(COUNTIF(AZ1237:BB1237,"&lt;&gt;0")=1,INDEX($V$4:$AW$4,MATCH(TRUE,INDEX($V1237:$AW1237&lt;&gt;0,),0)),IF(COUNTIF(AZ1237:BB1237,"&lt;&gt;0")=0,INDEX($AM$4:$AW$4,MATCH(1,$AM1237:$AW1237,0)),"Multiple strategies"))</f>
        <v>Silviculture for productivity</v>
      </c>
      <c r="BG1237" s="178" t="s">
        <v>321</v>
      </c>
      <c r="BH1237" s="264" t="s">
        <v>2143</v>
      </c>
      <c r="BI1237" s="264" t="s">
        <v>701</v>
      </c>
      <c r="BJ1237" s="160" t="s">
        <v>700</v>
      </c>
      <c r="BK1237">
        <v>7.6</v>
      </c>
      <c r="BL1237">
        <v>7.9</v>
      </c>
      <c r="BN1237">
        <f t="shared" si="1647"/>
        <v>0.30000000000000071</v>
      </c>
      <c r="BO1237">
        <f t="shared" si="1627"/>
        <v>0.30000000000000071</v>
      </c>
      <c r="BP1237" s="155" t="s">
        <v>395</v>
      </c>
      <c r="BQ1237" s="264" t="s">
        <v>783</v>
      </c>
      <c r="BR1237" s="155" t="s">
        <v>279</v>
      </c>
      <c r="BS1237">
        <v>0.6</v>
      </c>
      <c r="BT1237">
        <v>0.6</v>
      </c>
      <c r="BU1237" s="144"/>
      <c r="BV1237">
        <f t="shared" si="1648"/>
        <v>0</v>
      </c>
      <c r="BX1237">
        <f t="shared" si="1628"/>
        <v>0</v>
      </c>
      <c r="BY1237">
        <f t="shared" si="1591"/>
        <v>0</v>
      </c>
      <c r="BZ1237">
        <v>0</v>
      </c>
      <c r="CA1237">
        <v>0</v>
      </c>
      <c r="CB1237">
        <v>0</v>
      </c>
      <c r="CC1237">
        <v>0</v>
      </c>
      <c r="CD1237">
        <v>0</v>
      </c>
      <c r="CE1237">
        <v>0</v>
      </c>
      <c r="CF1237">
        <v>0</v>
      </c>
      <c r="CG1237">
        <v>0</v>
      </c>
      <c r="CH1237">
        <v>0</v>
      </c>
      <c r="CI1237">
        <v>0</v>
      </c>
      <c r="CJ1237">
        <v>0</v>
      </c>
      <c r="CK1237">
        <v>0</v>
      </c>
      <c r="CL1237">
        <v>0</v>
      </c>
      <c r="CM1237">
        <v>0</v>
      </c>
      <c r="CN1237" t="str">
        <f t="shared" si="1638"/>
        <v>refOK</v>
      </c>
      <c r="CO1237">
        <f t="shared" si="1649"/>
        <v>7.6</v>
      </c>
      <c r="CP1237">
        <f t="shared" si="1650"/>
        <v>7.9</v>
      </c>
      <c r="CQ1237">
        <f t="shared" si="1651"/>
        <v>0.30000000000000071</v>
      </c>
      <c r="CR1237">
        <f t="shared" si="1639"/>
        <v>-0.6</v>
      </c>
      <c r="CS1237">
        <f t="shared" si="1640"/>
        <v>-0.6</v>
      </c>
      <c r="CT1237">
        <f t="shared" si="1641"/>
        <v>0</v>
      </c>
      <c r="CU1237">
        <f t="shared" si="1642"/>
        <v>0</v>
      </c>
      <c r="CV1237" s="2">
        <f t="shared" si="1643"/>
        <v>0</v>
      </c>
      <c r="CW1237" s="1" t="s">
        <v>1198</v>
      </c>
      <c r="CX1237" s="264" t="str">
        <f t="shared" si="1644"/>
        <v>reg</v>
      </c>
      <c r="CY1237" t="s">
        <v>235</v>
      </c>
      <c r="DB1237">
        <v>50</v>
      </c>
      <c r="DC1237" t="str">
        <f t="shared" si="1645"/>
        <v>31-70</v>
      </c>
      <c r="DD1237">
        <v>0</v>
      </c>
      <c r="DE1237">
        <v>1</v>
      </c>
      <c r="DF1237">
        <v>1</v>
      </c>
      <c r="DG1237">
        <v>1</v>
      </c>
      <c r="DI1237">
        <f t="shared" si="1621"/>
        <v>3</v>
      </c>
      <c r="DJ1237" t="str">
        <f t="shared" si="1646"/>
        <v>mixedProduct</v>
      </c>
      <c r="DK1237">
        <f t="shared" si="1622"/>
        <v>0</v>
      </c>
      <c r="DL1237" t="str">
        <f t="shared" si="1623"/>
        <v>Energy</v>
      </c>
      <c r="DM1237" t="str">
        <f t="shared" si="1624"/>
        <v>Pulp/Paper</v>
      </c>
      <c r="DN1237" t="str">
        <f t="shared" si="1625"/>
        <v>Timber</v>
      </c>
      <c r="DO1237">
        <v>0</v>
      </c>
      <c r="DP1237">
        <v>1</v>
      </c>
      <c r="DQ1237" t="s">
        <v>2145</v>
      </c>
      <c r="DR1237">
        <v>0</v>
      </c>
      <c r="DS1237">
        <v>0</v>
      </c>
      <c r="DT1237">
        <f t="shared" si="1629"/>
        <v>1</v>
      </c>
      <c r="DU1237" s="143" t="str">
        <f t="shared" si="1626"/>
        <v>external DF used</v>
      </c>
      <c r="DV1237">
        <v>1</v>
      </c>
      <c r="DW1237">
        <v>1</v>
      </c>
      <c r="DX1237">
        <v>1</v>
      </c>
      <c r="DY1237">
        <v>0</v>
      </c>
      <c r="DZ1237">
        <v>1</v>
      </c>
      <c r="EA1237">
        <v>0</v>
      </c>
      <c r="EB1237">
        <v>1</v>
      </c>
      <c r="EC1237">
        <v>1</v>
      </c>
      <c r="ED1237">
        <v>0</v>
      </c>
      <c r="EE1237">
        <v>0</v>
      </c>
      <c r="EF1237">
        <v>1</v>
      </c>
      <c r="EG1237">
        <v>0</v>
      </c>
      <c r="EH1237">
        <v>0</v>
      </c>
      <c r="EI1237" s="2">
        <v>0</v>
      </c>
      <c r="EK1237" t="str">
        <f t="shared" si="1652"/>
        <v>Whole sector</v>
      </c>
      <c r="EL1237" t="str">
        <f t="shared" si="1653"/>
        <v/>
      </c>
      <c r="EM1237" s="2" t="str">
        <f t="shared" si="1592"/>
        <v/>
      </c>
      <c r="EP1237" t="str">
        <f>IF(ISNUMBER(BU1237),IF(ABS(BU1237-[4]QC_indicators!$B$2)&gt;3*[4]QC_indicators!$C$2,"C ratio",IF(ISNUMBER(BY1237),IF(ABS(BY1237-[4]QC_indicators!$B$1)&gt;3*[4]QC_indicators!$C$1,"DF","no"))),IF(ISNUMBER(BY1237),IF(ABS(BY1237-[4]QC_indicators!$B$1)&gt;3*[4]QC_indicators!$C$1,"DF","no")))</f>
        <v>no</v>
      </c>
      <c r="ET1237" s="264" t="s">
        <v>3406</v>
      </c>
    </row>
    <row r="1238" spans="1:150" ht="15" hidden="1" customHeight="1">
      <c r="A1238" s="1" t="s">
        <v>1359</v>
      </c>
      <c r="B1238" t="s">
        <v>2134</v>
      </c>
      <c r="C1238" t="s">
        <v>2135</v>
      </c>
      <c r="D1238" t="s">
        <v>2136</v>
      </c>
      <c r="E1238" t="s">
        <v>2137</v>
      </c>
      <c r="F1238" t="s">
        <v>2138</v>
      </c>
      <c r="G1238" t="s">
        <v>1365</v>
      </c>
      <c r="H1238" t="s">
        <v>254</v>
      </c>
      <c r="I1238">
        <v>2012</v>
      </c>
      <c r="J1238">
        <v>21</v>
      </c>
      <c r="K1238" t="s">
        <v>2139</v>
      </c>
      <c r="L1238" s="192"/>
      <c r="M1238" t="str">
        <f t="shared" si="1630"/>
        <v>Pyorala_2012</v>
      </c>
      <c r="N1238" t="s">
        <v>222</v>
      </c>
      <c r="O1238" s="145" t="s">
        <v>341</v>
      </c>
      <c r="P1238" s="180" t="s">
        <v>223</v>
      </c>
      <c r="Q1238" s="264" t="s">
        <v>256</v>
      </c>
      <c r="R1238" s="269" t="s">
        <v>1153</v>
      </c>
      <c r="S1238" s="263" t="s">
        <v>2154</v>
      </c>
      <c r="T1238" s="264" t="s">
        <v>2142</v>
      </c>
      <c r="U1238" s="264" t="s">
        <v>2151</v>
      </c>
      <c r="V1238">
        <v>0</v>
      </c>
      <c r="W1238">
        <v>0</v>
      </c>
      <c r="X1238">
        <v>0</v>
      </c>
      <c r="Y1238">
        <v>0</v>
      </c>
      <c r="Z1238">
        <v>0</v>
      </c>
      <c r="AA1238">
        <v>0</v>
      </c>
      <c r="AB1238">
        <v>1</v>
      </c>
      <c r="AC1238">
        <v>0</v>
      </c>
      <c r="AD1238">
        <v>0</v>
      </c>
      <c r="AE1238">
        <v>0</v>
      </c>
      <c r="AF1238">
        <v>0</v>
      </c>
      <c r="AG1238">
        <v>0</v>
      </c>
      <c r="AH1238">
        <v>0</v>
      </c>
      <c r="AI1238">
        <v>0</v>
      </c>
      <c r="AJ1238">
        <v>0</v>
      </c>
      <c r="AK1238">
        <v>0</v>
      </c>
      <c r="AL1238">
        <v>0</v>
      </c>
      <c r="AM1238">
        <v>0</v>
      </c>
      <c r="AN1238">
        <v>0</v>
      </c>
      <c r="AO1238">
        <v>0</v>
      </c>
      <c r="AP1238">
        <v>0</v>
      </c>
      <c r="AQ1238">
        <v>0</v>
      </c>
      <c r="AR1238">
        <v>0</v>
      </c>
      <c r="AS1238">
        <v>0</v>
      </c>
      <c r="AT1238">
        <v>0</v>
      </c>
      <c r="AU1238">
        <v>0</v>
      </c>
      <c r="AV1238">
        <v>0</v>
      </c>
      <c r="AW1238">
        <v>0</v>
      </c>
      <c r="AX1238" s="141">
        <f t="shared" si="1631"/>
        <v>1</v>
      </c>
      <c r="AY1238" s="141">
        <f t="shared" si="1632"/>
        <v>1</v>
      </c>
      <c r="AZ1238">
        <f t="shared" si="1633"/>
        <v>1</v>
      </c>
      <c r="BA1238">
        <f t="shared" si="1634"/>
        <v>0</v>
      </c>
      <c r="BB1238">
        <f t="shared" si="1635"/>
        <v>0</v>
      </c>
      <c r="BC1238">
        <f t="shared" si="1636"/>
        <v>0</v>
      </c>
      <c r="BD1238">
        <f t="shared" si="1637"/>
        <v>0</v>
      </c>
      <c r="BE1238" t="str" cm="1">
        <f t="array" ref="BE1238">IF(AY1238=1,INDEX($V$7:$AL$7,MATCH(TRUE,INDEX($V1238:$AW1238&lt;&gt;0,),0)),IF(AY1238=0,INDEX($AM$7:$AW$7,MATCH(1,$AM1238:$AW1238,0)),IF(BF1238="Multiple strategies","mixed drivers",IF(BF1238="Supply chain","multiple supply","multiple silviculture"))))</f>
        <v>fertilisation</v>
      </c>
      <c r="BF1238" s="2" t="str" cm="1">
        <f t="array" ref="BF1238">IF(COUNTIF(AZ1238:BB1238,"&lt;&gt;0")=1,INDEX($V$4:$AW$4,MATCH(TRUE,INDEX($V1238:$AW1238&lt;&gt;0,),0)),IF(COUNTIF(AZ1238:BB1238,"&lt;&gt;0")=0,INDEX($AM$4:$AW$4,MATCH(1,$AM1238:$AW1238,0)),"Multiple strategies"))</f>
        <v>Silviculture for productivity</v>
      </c>
      <c r="BG1238" s="178" t="s">
        <v>321</v>
      </c>
      <c r="BH1238" s="264" t="s">
        <v>2143</v>
      </c>
      <c r="BI1238" s="264" t="s">
        <v>701</v>
      </c>
      <c r="BJ1238" s="160" t="s">
        <v>700</v>
      </c>
      <c r="BK1238">
        <v>6.5</v>
      </c>
      <c r="BL1238">
        <v>7</v>
      </c>
      <c r="BN1238">
        <f t="shared" si="1647"/>
        <v>0.5</v>
      </c>
      <c r="BO1238">
        <f t="shared" si="1627"/>
        <v>0.5</v>
      </c>
      <c r="BP1238" s="155" t="s">
        <v>395</v>
      </c>
      <c r="BQ1238" s="264" t="s">
        <v>783</v>
      </c>
      <c r="BR1238" s="155" t="s">
        <v>279</v>
      </c>
      <c r="BS1238">
        <v>1</v>
      </c>
      <c r="BT1238">
        <v>1</v>
      </c>
      <c r="BU1238" s="144"/>
      <c r="BV1238">
        <f t="shared" si="1648"/>
        <v>0</v>
      </c>
      <c r="BX1238">
        <f t="shared" si="1628"/>
        <v>0</v>
      </c>
      <c r="BY1238">
        <f t="shared" si="1591"/>
        <v>0</v>
      </c>
      <c r="BZ1238">
        <v>0</v>
      </c>
      <c r="CA1238">
        <v>0</v>
      </c>
      <c r="CB1238">
        <v>0</v>
      </c>
      <c r="CC1238">
        <v>0</v>
      </c>
      <c r="CD1238">
        <v>0</v>
      </c>
      <c r="CE1238">
        <v>0</v>
      </c>
      <c r="CF1238">
        <v>0</v>
      </c>
      <c r="CG1238">
        <v>0</v>
      </c>
      <c r="CH1238">
        <v>0</v>
      </c>
      <c r="CI1238">
        <v>0</v>
      </c>
      <c r="CJ1238">
        <v>0</v>
      </c>
      <c r="CK1238">
        <v>0</v>
      </c>
      <c r="CL1238">
        <v>0</v>
      </c>
      <c r="CM1238">
        <v>0</v>
      </c>
      <c r="CN1238" t="str">
        <f t="shared" si="1638"/>
        <v>refOK</v>
      </c>
      <c r="CO1238">
        <f t="shared" si="1649"/>
        <v>6.5</v>
      </c>
      <c r="CP1238">
        <f t="shared" si="1650"/>
        <v>7</v>
      </c>
      <c r="CQ1238">
        <f t="shared" si="1651"/>
        <v>0.5</v>
      </c>
      <c r="CR1238">
        <f t="shared" si="1639"/>
        <v>-1</v>
      </c>
      <c r="CS1238">
        <f t="shared" si="1640"/>
        <v>-1</v>
      </c>
      <c r="CT1238">
        <f t="shared" si="1641"/>
        <v>0</v>
      </c>
      <c r="CU1238">
        <f t="shared" si="1642"/>
        <v>0</v>
      </c>
      <c r="CV1238" s="2">
        <f t="shared" si="1643"/>
        <v>0</v>
      </c>
      <c r="CW1238" s="1" t="s">
        <v>1198</v>
      </c>
      <c r="CX1238" s="264" t="str">
        <f t="shared" si="1644"/>
        <v>reg</v>
      </c>
      <c r="CY1238" t="s">
        <v>235</v>
      </c>
      <c r="DB1238">
        <v>80</v>
      </c>
      <c r="DC1238" t="str">
        <f t="shared" si="1645"/>
        <v>71-100</v>
      </c>
      <c r="DD1238">
        <v>0</v>
      </c>
      <c r="DE1238">
        <v>1</v>
      </c>
      <c r="DF1238">
        <v>1</v>
      </c>
      <c r="DG1238">
        <v>1</v>
      </c>
      <c r="DI1238">
        <f t="shared" si="1621"/>
        <v>3</v>
      </c>
      <c r="DJ1238" t="str">
        <f t="shared" si="1646"/>
        <v>mixedProduct</v>
      </c>
      <c r="DK1238">
        <f t="shared" si="1622"/>
        <v>0</v>
      </c>
      <c r="DL1238" t="str">
        <f t="shared" si="1623"/>
        <v>Energy</v>
      </c>
      <c r="DM1238" t="str">
        <f t="shared" si="1624"/>
        <v>Pulp/Paper</v>
      </c>
      <c r="DN1238" t="str">
        <f t="shared" si="1625"/>
        <v>Timber</v>
      </c>
      <c r="DO1238">
        <v>0</v>
      </c>
      <c r="DP1238">
        <v>1</v>
      </c>
      <c r="DQ1238" t="s">
        <v>2145</v>
      </c>
      <c r="DR1238">
        <v>0</v>
      </c>
      <c r="DS1238">
        <v>0</v>
      </c>
      <c r="DT1238">
        <f t="shared" si="1629"/>
        <v>1</v>
      </c>
      <c r="DU1238" s="143" t="str">
        <f t="shared" si="1626"/>
        <v>external DF used</v>
      </c>
      <c r="DV1238">
        <v>1</v>
      </c>
      <c r="DW1238">
        <v>1</v>
      </c>
      <c r="DX1238">
        <v>1</v>
      </c>
      <c r="DY1238">
        <v>0</v>
      </c>
      <c r="DZ1238">
        <v>1</v>
      </c>
      <c r="EA1238">
        <v>0</v>
      </c>
      <c r="EB1238">
        <v>1</v>
      </c>
      <c r="EC1238">
        <v>1</v>
      </c>
      <c r="ED1238">
        <v>0</v>
      </c>
      <c r="EE1238">
        <v>0</v>
      </c>
      <c r="EF1238">
        <v>1</v>
      </c>
      <c r="EG1238">
        <v>0</v>
      </c>
      <c r="EH1238">
        <v>0</v>
      </c>
      <c r="EI1238" s="2">
        <v>0</v>
      </c>
      <c r="EK1238" t="str">
        <f t="shared" si="1652"/>
        <v>Whole sector</v>
      </c>
      <c r="EL1238" t="str">
        <f t="shared" si="1653"/>
        <v/>
      </c>
      <c r="EM1238" s="2" t="str">
        <f t="shared" si="1592"/>
        <v/>
      </c>
      <c r="EP1238" t="str">
        <f>IF(ISNUMBER(BU1238),IF(ABS(BU1238-[4]QC_indicators!$B$2)&gt;3*[4]QC_indicators!$C$2,"C ratio",IF(ISNUMBER(BY1238),IF(ABS(BY1238-[4]QC_indicators!$B$1)&gt;3*[4]QC_indicators!$C$1,"DF","no"))),IF(ISNUMBER(BY1238),IF(ABS(BY1238-[4]QC_indicators!$B$1)&gt;3*[4]QC_indicators!$C$1,"DF","no")))</f>
        <v>no</v>
      </c>
      <c r="ET1238" s="264" t="s">
        <v>3406</v>
      </c>
    </row>
    <row r="1239" spans="1:150" ht="15" hidden="1" customHeight="1">
      <c r="A1239" s="1" t="s">
        <v>1359</v>
      </c>
      <c r="B1239" t="s">
        <v>2134</v>
      </c>
      <c r="C1239" t="s">
        <v>2135</v>
      </c>
      <c r="D1239" t="s">
        <v>2136</v>
      </c>
      <c r="E1239" t="s">
        <v>2137</v>
      </c>
      <c r="F1239" t="s">
        <v>2138</v>
      </c>
      <c r="G1239" t="s">
        <v>1365</v>
      </c>
      <c r="H1239" t="s">
        <v>254</v>
      </c>
      <c r="I1239">
        <v>2012</v>
      </c>
      <c r="J1239">
        <v>21</v>
      </c>
      <c r="K1239" t="s">
        <v>2139</v>
      </c>
      <c r="L1239" s="192"/>
      <c r="M1239" t="str">
        <f t="shared" si="1630"/>
        <v>Pyorala_2012</v>
      </c>
      <c r="N1239" t="s">
        <v>222</v>
      </c>
      <c r="O1239" s="145" t="s">
        <v>341</v>
      </c>
      <c r="P1239" s="180" t="s">
        <v>223</v>
      </c>
      <c r="Q1239" s="264" t="s">
        <v>2163</v>
      </c>
      <c r="R1239" s="269" t="s">
        <v>1153</v>
      </c>
      <c r="S1239" s="263" t="s">
        <v>2160</v>
      </c>
      <c r="T1239" s="264" t="s">
        <v>2156</v>
      </c>
      <c r="U1239" s="264" t="s">
        <v>2157</v>
      </c>
      <c r="V1239">
        <v>0</v>
      </c>
      <c r="W1239">
        <v>0</v>
      </c>
      <c r="X1239">
        <v>0</v>
      </c>
      <c r="Y1239">
        <v>0</v>
      </c>
      <c r="Z1239">
        <v>0</v>
      </c>
      <c r="AA1239">
        <v>0</v>
      </c>
      <c r="AB1239">
        <v>0</v>
      </c>
      <c r="AC1239">
        <v>1</v>
      </c>
      <c r="AD1239">
        <v>0</v>
      </c>
      <c r="AE1239">
        <v>0</v>
      </c>
      <c r="AF1239">
        <v>0</v>
      </c>
      <c r="AG1239">
        <v>0</v>
      </c>
      <c r="AH1239">
        <v>0</v>
      </c>
      <c r="AI1239">
        <v>0</v>
      </c>
      <c r="AJ1239">
        <v>0</v>
      </c>
      <c r="AK1239">
        <v>0</v>
      </c>
      <c r="AL1239">
        <v>0</v>
      </c>
      <c r="AM1239">
        <v>0</v>
      </c>
      <c r="AN1239">
        <v>0</v>
      </c>
      <c r="AO1239">
        <v>0</v>
      </c>
      <c r="AP1239">
        <v>0</v>
      </c>
      <c r="AQ1239">
        <v>0</v>
      </c>
      <c r="AR1239">
        <v>0</v>
      </c>
      <c r="AS1239">
        <v>0</v>
      </c>
      <c r="AT1239">
        <v>0</v>
      </c>
      <c r="AU1239">
        <v>0</v>
      </c>
      <c r="AV1239">
        <v>0</v>
      </c>
      <c r="AW1239">
        <v>0</v>
      </c>
      <c r="AX1239" s="141">
        <f t="shared" si="1631"/>
        <v>1</v>
      </c>
      <c r="AY1239" s="141">
        <f t="shared" si="1632"/>
        <v>1</v>
      </c>
      <c r="AZ1239">
        <f t="shared" si="1633"/>
        <v>1</v>
      </c>
      <c r="BA1239">
        <f t="shared" si="1634"/>
        <v>0</v>
      </c>
      <c r="BB1239">
        <f t="shared" si="1635"/>
        <v>0</v>
      </c>
      <c r="BC1239">
        <f t="shared" si="1636"/>
        <v>0</v>
      </c>
      <c r="BD1239">
        <f t="shared" si="1637"/>
        <v>0</v>
      </c>
      <c r="BE1239" t="str" cm="1">
        <f t="array" ref="BE1239">IF(AY1239=1,INDEX($V$7:$AL$7,MATCH(TRUE,INDEX($V1239:$AW1239&lt;&gt;0,),0)),IF(AY1239=0,INDEX($AM$7:$AW$7,MATCH(1,$AM1239:$AW1239,0)),IF(BF1239="Multiple strategies","mixed drivers",IF(BF1239="Supply chain","multiple supply","multiple silviculture"))))</f>
        <v>site fertility</v>
      </c>
      <c r="BF1239" s="2" t="str" cm="1">
        <f t="array" ref="BF1239">IF(COUNTIF(AZ1239:BB1239,"&lt;&gt;0")=1,INDEX($V$4:$AW$4,MATCH(TRUE,INDEX($V1239:$AW1239&lt;&gt;0,),0)),IF(COUNTIF(AZ1239:BB1239,"&lt;&gt;0")=0,INDEX($AM$4:$AW$4,MATCH(1,$AM1239:$AW1239,0)),"Multiple strategies"))</f>
        <v>Silviculture for productivity</v>
      </c>
      <c r="BG1239" s="178" t="s">
        <v>321</v>
      </c>
      <c r="BH1239" s="264" t="s">
        <v>2143</v>
      </c>
      <c r="BI1239" s="264" t="s">
        <v>2158</v>
      </c>
      <c r="BJ1239" s="160" t="s">
        <v>700</v>
      </c>
      <c r="BK1239">
        <v>8.3000000000000007</v>
      </c>
      <c r="BL1239">
        <v>9.1</v>
      </c>
      <c r="BN1239">
        <f t="shared" si="1647"/>
        <v>0.79999999999999893</v>
      </c>
      <c r="BO1239">
        <f t="shared" si="1627"/>
        <v>0.79999999999999893</v>
      </c>
      <c r="BP1239" s="155" t="s">
        <v>395</v>
      </c>
      <c r="BQ1239" s="264" t="s">
        <v>783</v>
      </c>
      <c r="BR1239" s="155" t="s">
        <v>279</v>
      </c>
      <c r="BS1239">
        <v>0.6</v>
      </c>
      <c r="BT1239">
        <v>0.6</v>
      </c>
      <c r="BU1239" s="144"/>
      <c r="BV1239">
        <f t="shared" si="1648"/>
        <v>0</v>
      </c>
      <c r="BX1239">
        <f t="shared" si="1628"/>
        <v>0</v>
      </c>
      <c r="BY1239">
        <f t="shared" si="1591"/>
        <v>0</v>
      </c>
      <c r="BZ1239">
        <v>0</v>
      </c>
      <c r="CA1239">
        <v>0</v>
      </c>
      <c r="CB1239">
        <v>0</v>
      </c>
      <c r="CC1239">
        <v>0</v>
      </c>
      <c r="CD1239">
        <v>0</v>
      </c>
      <c r="CE1239">
        <v>0</v>
      </c>
      <c r="CF1239">
        <v>0</v>
      </c>
      <c r="CG1239">
        <v>0</v>
      </c>
      <c r="CH1239">
        <v>0</v>
      </c>
      <c r="CI1239">
        <v>0</v>
      </c>
      <c r="CJ1239">
        <v>0</v>
      </c>
      <c r="CK1239">
        <v>0</v>
      </c>
      <c r="CL1239">
        <v>0</v>
      </c>
      <c r="CM1239">
        <v>0</v>
      </c>
      <c r="CN1239" t="str">
        <f t="shared" si="1638"/>
        <v>refOK</v>
      </c>
      <c r="CO1239">
        <f t="shared" si="1649"/>
        <v>8.3000000000000007</v>
      </c>
      <c r="CP1239">
        <f t="shared" si="1650"/>
        <v>9.1</v>
      </c>
      <c r="CQ1239">
        <f t="shared" si="1651"/>
        <v>0.79999999999999893</v>
      </c>
      <c r="CR1239">
        <f t="shared" si="1639"/>
        <v>-0.6</v>
      </c>
      <c r="CS1239">
        <f t="shared" si="1640"/>
        <v>-0.6</v>
      </c>
      <c r="CT1239">
        <f t="shared" si="1641"/>
        <v>0</v>
      </c>
      <c r="CU1239">
        <f t="shared" si="1642"/>
        <v>0</v>
      </c>
      <c r="CV1239" s="2">
        <f t="shared" si="1643"/>
        <v>0</v>
      </c>
      <c r="CW1239" s="1" t="s">
        <v>1198</v>
      </c>
      <c r="CX1239" s="264" t="str">
        <f t="shared" si="1644"/>
        <v>reg</v>
      </c>
      <c r="CY1239" t="s">
        <v>235</v>
      </c>
      <c r="DB1239">
        <v>50</v>
      </c>
      <c r="DC1239" t="str">
        <f t="shared" si="1645"/>
        <v>31-70</v>
      </c>
      <c r="DD1239">
        <v>0</v>
      </c>
      <c r="DE1239">
        <v>1</v>
      </c>
      <c r="DF1239">
        <v>1</v>
      </c>
      <c r="DG1239">
        <v>1</v>
      </c>
      <c r="DI1239">
        <f t="shared" si="1621"/>
        <v>3</v>
      </c>
      <c r="DJ1239" t="str">
        <f t="shared" si="1646"/>
        <v>mixedProduct</v>
      </c>
      <c r="DK1239">
        <f t="shared" si="1622"/>
        <v>0</v>
      </c>
      <c r="DL1239" t="str">
        <f t="shared" si="1623"/>
        <v>Energy</v>
      </c>
      <c r="DM1239" t="str">
        <f t="shared" si="1624"/>
        <v>Pulp/Paper</v>
      </c>
      <c r="DN1239" t="str">
        <f t="shared" si="1625"/>
        <v>Timber</v>
      </c>
      <c r="DO1239">
        <v>0</v>
      </c>
      <c r="DP1239">
        <v>1</v>
      </c>
      <c r="DQ1239" t="s">
        <v>2145</v>
      </c>
      <c r="DR1239">
        <v>0</v>
      </c>
      <c r="DS1239">
        <v>0</v>
      </c>
      <c r="DT1239">
        <f t="shared" si="1629"/>
        <v>1</v>
      </c>
      <c r="DU1239" s="143" t="str">
        <f t="shared" si="1626"/>
        <v>external DF used</v>
      </c>
      <c r="DV1239">
        <v>1</v>
      </c>
      <c r="DW1239">
        <v>1</v>
      </c>
      <c r="DX1239">
        <v>1</v>
      </c>
      <c r="DY1239">
        <v>0</v>
      </c>
      <c r="DZ1239">
        <v>1</v>
      </c>
      <c r="EA1239">
        <v>0</v>
      </c>
      <c r="EB1239">
        <v>1</v>
      </c>
      <c r="EC1239">
        <v>1</v>
      </c>
      <c r="ED1239">
        <v>0</v>
      </c>
      <c r="EE1239">
        <v>0</v>
      </c>
      <c r="EF1239">
        <v>1</v>
      </c>
      <c r="EG1239">
        <v>0</v>
      </c>
      <c r="EH1239">
        <v>0</v>
      </c>
      <c r="EI1239" s="2">
        <v>0</v>
      </c>
      <c r="EK1239" t="str">
        <f t="shared" si="1652"/>
        <v>Whole sector</v>
      </c>
      <c r="EL1239" t="str">
        <f t="shared" si="1653"/>
        <v/>
      </c>
      <c r="EM1239" s="2" t="str">
        <f t="shared" si="1592"/>
        <v/>
      </c>
      <c r="EP1239" t="str">
        <f>IF(ISNUMBER(BU1239),IF(ABS(BU1239-[4]QC_indicators!$B$2)&gt;3*[4]QC_indicators!$C$2,"C ratio",IF(ISNUMBER(BY1239),IF(ABS(BY1239-[4]QC_indicators!$B$1)&gt;3*[4]QC_indicators!$C$1,"DF","no"))),IF(ISNUMBER(BY1239),IF(ABS(BY1239-[4]QC_indicators!$B$1)&gt;3*[4]QC_indicators!$C$1,"DF","no")))</f>
        <v>no</v>
      </c>
      <c r="ET1239" s="264" t="s">
        <v>3406</v>
      </c>
    </row>
    <row r="1240" spans="1:150" ht="15" hidden="1" customHeight="1">
      <c r="A1240" s="1" t="s">
        <v>1359</v>
      </c>
      <c r="B1240" t="s">
        <v>2134</v>
      </c>
      <c r="C1240" t="s">
        <v>2135</v>
      </c>
      <c r="D1240" t="s">
        <v>2136</v>
      </c>
      <c r="E1240" t="s">
        <v>2137</v>
      </c>
      <c r="F1240" t="s">
        <v>2138</v>
      </c>
      <c r="G1240" t="s">
        <v>1365</v>
      </c>
      <c r="H1240" t="s">
        <v>254</v>
      </c>
      <c r="I1240">
        <v>2012</v>
      </c>
      <c r="J1240">
        <v>21</v>
      </c>
      <c r="K1240" t="s">
        <v>2139</v>
      </c>
      <c r="L1240" s="192"/>
      <c r="M1240" t="str">
        <f t="shared" si="1630"/>
        <v>Pyorala_2012</v>
      </c>
      <c r="N1240" t="s">
        <v>222</v>
      </c>
      <c r="O1240" s="145" t="s">
        <v>341</v>
      </c>
      <c r="P1240" s="180" t="s">
        <v>223</v>
      </c>
      <c r="Q1240" s="264" t="s">
        <v>256</v>
      </c>
      <c r="R1240" s="269" t="s">
        <v>1153</v>
      </c>
      <c r="S1240" s="263" t="s">
        <v>2148</v>
      </c>
      <c r="T1240" s="264" t="s">
        <v>2142</v>
      </c>
      <c r="U1240" s="264" t="s">
        <v>2141</v>
      </c>
      <c r="V1240">
        <v>0</v>
      </c>
      <c r="W1240">
        <v>0</v>
      </c>
      <c r="X1240">
        <v>0</v>
      </c>
      <c r="Y1240">
        <v>1</v>
      </c>
      <c r="Z1240">
        <v>0</v>
      </c>
      <c r="AA1240">
        <v>0</v>
      </c>
      <c r="AB1240">
        <v>0</v>
      </c>
      <c r="AC1240">
        <v>0</v>
      </c>
      <c r="AD1240">
        <v>0</v>
      </c>
      <c r="AE1240">
        <v>0</v>
      </c>
      <c r="AF1240">
        <v>0</v>
      </c>
      <c r="AG1240">
        <v>0</v>
      </c>
      <c r="AH1240">
        <v>0</v>
      </c>
      <c r="AI1240">
        <v>0</v>
      </c>
      <c r="AJ1240">
        <v>0</v>
      </c>
      <c r="AK1240">
        <v>0</v>
      </c>
      <c r="AL1240">
        <v>0</v>
      </c>
      <c r="AM1240">
        <v>0</v>
      </c>
      <c r="AN1240">
        <v>0</v>
      </c>
      <c r="AO1240">
        <v>0</v>
      </c>
      <c r="AP1240">
        <v>0</v>
      </c>
      <c r="AQ1240">
        <v>0</v>
      </c>
      <c r="AR1240">
        <v>0</v>
      </c>
      <c r="AS1240">
        <v>0</v>
      </c>
      <c r="AT1240">
        <v>0</v>
      </c>
      <c r="AU1240">
        <v>0</v>
      </c>
      <c r="AV1240">
        <v>0</v>
      </c>
      <c r="AW1240">
        <v>0</v>
      </c>
      <c r="AX1240" s="141">
        <f t="shared" si="1631"/>
        <v>1</v>
      </c>
      <c r="AY1240" s="141">
        <f t="shared" si="1632"/>
        <v>1</v>
      </c>
      <c r="AZ1240">
        <f t="shared" si="1633"/>
        <v>1</v>
      </c>
      <c r="BA1240">
        <f t="shared" si="1634"/>
        <v>0</v>
      </c>
      <c r="BB1240">
        <f t="shared" si="1635"/>
        <v>0</v>
      </c>
      <c r="BC1240">
        <f t="shared" si="1636"/>
        <v>0</v>
      </c>
      <c r="BD1240">
        <f t="shared" si="1637"/>
        <v>0</v>
      </c>
      <c r="BE1240" t="str" cm="1">
        <f t="array" ref="BE1240">IF(AY1240=1,INDEX($V$7:$AL$7,MATCH(TRUE,INDEX($V1240:$AW1240&lt;&gt;0,),0)),IF(AY1240=0,INDEX($AM$7:$AW$7,MATCH(1,$AM1240:$AW1240,0)),IF(BF1240="Multiple strategies","mixed drivers",IF(BF1240="Supply chain","multiple supply","multiple silviculture"))))</f>
        <v xml:space="preserve">cutting intensity </v>
      </c>
      <c r="BF1240" s="2" t="str" cm="1">
        <f t="array" ref="BF1240">IF(COUNTIF(AZ1240:BB1240,"&lt;&gt;0")=1,INDEX($V$4:$AW$4,MATCH(TRUE,INDEX($V1240:$AW1240&lt;&gt;0,),0)),IF(COUNTIF(AZ1240:BB1240,"&lt;&gt;0")=0,INDEX($AM$4:$AW$4,MATCH(1,$AM1240:$AW1240,0)),"Multiple strategies"))</f>
        <v>Silviculture for removals</v>
      </c>
      <c r="BG1240" s="178" t="s">
        <v>321</v>
      </c>
      <c r="BH1240" s="264" t="s">
        <v>2143</v>
      </c>
      <c r="BI1240" s="264" t="s">
        <v>426</v>
      </c>
      <c r="BJ1240" s="160" t="s">
        <v>700</v>
      </c>
      <c r="BK1240">
        <v>7.8</v>
      </c>
      <c r="BL1240">
        <v>8.6999999999999993</v>
      </c>
      <c r="BN1240">
        <f t="shared" si="1647"/>
        <v>0.89999999999999947</v>
      </c>
      <c r="BO1240">
        <f t="shared" si="1627"/>
        <v>0.89999999999999947</v>
      </c>
      <c r="BP1240" s="155" t="s">
        <v>395</v>
      </c>
      <c r="BQ1240" s="264" t="s">
        <v>783</v>
      </c>
      <c r="BR1240" s="155" t="s">
        <v>279</v>
      </c>
      <c r="BS1240">
        <v>0.6</v>
      </c>
      <c r="BT1240">
        <v>0.6</v>
      </c>
      <c r="BU1240" s="144"/>
      <c r="BV1240">
        <f t="shared" si="1648"/>
        <v>0</v>
      </c>
      <c r="BX1240">
        <f t="shared" si="1628"/>
        <v>0</v>
      </c>
      <c r="BY1240">
        <f t="shared" si="1591"/>
        <v>0</v>
      </c>
      <c r="BZ1240">
        <v>0</v>
      </c>
      <c r="CA1240">
        <v>0</v>
      </c>
      <c r="CB1240">
        <v>0</v>
      </c>
      <c r="CC1240">
        <v>0</v>
      </c>
      <c r="CD1240">
        <v>0</v>
      </c>
      <c r="CE1240">
        <v>0</v>
      </c>
      <c r="CF1240">
        <v>0</v>
      </c>
      <c r="CG1240">
        <v>0</v>
      </c>
      <c r="CH1240">
        <v>0</v>
      </c>
      <c r="CI1240">
        <v>0</v>
      </c>
      <c r="CJ1240">
        <v>0</v>
      </c>
      <c r="CK1240">
        <v>0</v>
      </c>
      <c r="CL1240">
        <v>0</v>
      </c>
      <c r="CM1240">
        <v>0</v>
      </c>
      <c r="CN1240" t="str">
        <f t="shared" si="1638"/>
        <v>refOK</v>
      </c>
      <c r="CO1240">
        <f t="shared" si="1649"/>
        <v>7.8</v>
      </c>
      <c r="CP1240">
        <f t="shared" si="1650"/>
        <v>8.6999999999999993</v>
      </c>
      <c r="CQ1240">
        <f t="shared" si="1651"/>
        <v>0.89999999999999947</v>
      </c>
      <c r="CR1240">
        <f t="shared" si="1639"/>
        <v>-0.6</v>
      </c>
      <c r="CS1240">
        <f t="shared" si="1640"/>
        <v>-0.6</v>
      </c>
      <c r="CT1240">
        <f t="shared" si="1641"/>
        <v>0</v>
      </c>
      <c r="CU1240">
        <f t="shared" si="1642"/>
        <v>0</v>
      </c>
      <c r="CV1240" s="2">
        <f t="shared" si="1643"/>
        <v>0</v>
      </c>
      <c r="CW1240" s="1" t="s">
        <v>1198</v>
      </c>
      <c r="CX1240" s="264" t="str">
        <f t="shared" si="1644"/>
        <v>reg</v>
      </c>
      <c r="CY1240" t="s">
        <v>235</v>
      </c>
      <c r="DB1240">
        <v>50</v>
      </c>
      <c r="DC1240" t="str">
        <f t="shared" si="1645"/>
        <v>31-70</v>
      </c>
      <c r="DD1240">
        <v>0</v>
      </c>
      <c r="DE1240">
        <v>1</v>
      </c>
      <c r="DF1240">
        <v>1</v>
      </c>
      <c r="DG1240">
        <v>1</v>
      </c>
      <c r="DI1240">
        <f t="shared" si="1621"/>
        <v>3</v>
      </c>
      <c r="DJ1240" t="str">
        <f t="shared" si="1646"/>
        <v>mixedProduct</v>
      </c>
      <c r="DK1240">
        <f t="shared" si="1622"/>
        <v>0</v>
      </c>
      <c r="DL1240" t="str">
        <f t="shared" si="1623"/>
        <v>Energy</v>
      </c>
      <c r="DM1240" t="str">
        <f t="shared" si="1624"/>
        <v>Pulp/Paper</v>
      </c>
      <c r="DN1240" t="str">
        <f t="shared" si="1625"/>
        <v>Timber</v>
      </c>
      <c r="DO1240">
        <v>0</v>
      </c>
      <c r="DP1240">
        <v>1</v>
      </c>
      <c r="DQ1240" t="s">
        <v>2145</v>
      </c>
      <c r="DR1240">
        <v>0</v>
      </c>
      <c r="DS1240">
        <v>0</v>
      </c>
      <c r="DT1240">
        <f t="shared" si="1629"/>
        <v>1</v>
      </c>
      <c r="DU1240" s="143" t="str">
        <f t="shared" si="1626"/>
        <v>external DF used</v>
      </c>
      <c r="DV1240">
        <v>1</v>
      </c>
      <c r="DW1240">
        <v>1</v>
      </c>
      <c r="DX1240">
        <v>1</v>
      </c>
      <c r="DY1240">
        <v>0</v>
      </c>
      <c r="DZ1240">
        <v>1</v>
      </c>
      <c r="EA1240">
        <v>0</v>
      </c>
      <c r="EB1240">
        <v>1</v>
      </c>
      <c r="EC1240">
        <v>1</v>
      </c>
      <c r="ED1240">
        <v>0</v>
      </c>
      <c r="EE1240">
        <v>0</v>
      </c>
      <c r="EF1240">
        <v>1</v>
      </c>
      <c r="EG1240">
        <v>0</v>
      </c>
      <c r="EH1240">
        <v>0</v>
      </c>
      <c r="EI1240" s="2">
        <v>0</v>
      </c>
      <c r="EK1240" t="str">
        <f t="shared" si="1652"/>
        <v>Whole sector</v>
      </c>
      <c r="EL1240" t="str">
        <f t="shared" si="1653"/>
        <v/>
      </c>
      <c r="EM1240" s="2" t="str">
        <f t="shared" si="1592"/>
        <v/>
      </c>
      <c r="EP1240" t="str">
        <f>IF(ISNUMBER(BU1240),IF(ABS(BU1240-[4]QC_indicators!$B$2)&gt;3*[4]QC_indicators!$C$2,"C ratio",IF(ISNUMBER(BY1240),IF(ABS(BY1240-[4]QC_indicators!$B$1)&gt;3*[4]QC_indicators!$C$1,"DF","no"))),IF(ISNUMBER(BY1240),IF(ABS(BY1240-[4]QC_indicators!$B$1)&gt;3*[4]QC_indicators!$C$1,"DF","no")))</f>
        <v>no</v>
      </c>
      <c r="ET1240" s="264" t="s">
        <v>3406</v>
      </c>
    </row>
    <row r="1241" spans="1:150" ht="15" hidden="1" customHeight="1">
      <c r="A1241" s="1" t="s">
        <v>1359</v>
      </c>
      <c r="B1241" t="s">
        <v>2134</v>
      </c>
      <c r="C1241" t="s">
        <v>2135</v>
      </c>
      <c r="D1241" t="s">
        <v>2136</v>
      </c>
      <c r="E1241" t="s">
        <v>2137</v>
      </c>
      <c r="F1241" t="s">
        <v>2138</v>
      </c>
      <c r="G1241" t="s">
        <v>1365</v>
      </c>
      <c r="H1241" t="s">
        <v>254</v>
      </c>
      <c r="I1241">
        <v>2012</v>
      </c>
      <c r="J1241">
        <v>21</v>
      </c>
      <c r="K1241" t="s">
        <v>2139</v>
      </c>
      <c r="L1241" s="192"/>
      <c r="M1241" t="str">
        <f t="shared" si="1630"/>
        <v>Pyorala_2012</v>
      </c>
      <c r="N1241" t="s">
        <v>222</v>
      </c>
      <c r="O1241" s="145" t="s">
        <v>341</v>
      </c>
      <c r="P1241" s="180" t="s">
        <v>223</v>
      </c>
      <c r="Q1241" s="264" t="s">
        <v>256</v>
      </c>
      <c r="R1241" s="269" t="s">
        <v>1153</v>
      </c>
      <c r="S1241" s="263" t="s">
        <v>2146</v>
      </c>
      <c r="T1241" s="264" t="s">
        <v>2141</v>
      </c>
      <c r="U1241" s="264" t="s">
        <v>2142</v>
      </c>
      <c r="V1241">
        <v>0</v>
      </c>
      <c r="W1241">
        <v>0</v>
      </c>
      <c r="X1241">
        <v>0</v>
      </c>
      <c r="Y1241">
        <v>1</v>
      </c>
      <c r="Z1241">
        <v>0</v>
      </c>
      <c r="AA1241">
        <v>0</v>
      </c>
      <c r="AB1241">
        <v>0</v>
      </c>
      <c r="AC1241">
        <v>0</v>
      </c>
      <c r="AD1241">
        <v>0</v>
      </c>
      <c r="AE1241">
        <v>0</v>
      </c>
      <c r="AF1241">
        <v>0</v>
      </c>
      <c r="AG1241">
        <v>0</v>
      </c>
      <c r="AH1241">
        <v>0</v>
      </c>
      <c r="AI1241">
        <v>0</v>
      </c>
      <c r="AJ1241">
        <v>0</v>
      </c>
      <c r="AK1241">
        <v>0</v>
      </c>
      <c r="AL1241">
        <v>0</v>
      </c>
      <c r="AM1241">
        <v>0</v>
      </c>
      <c r="AN1241">
        <v>0</v>
      </c>
      <c r="AO1241">
        <v>0</v>
      </c>
      <c r="AP1241">
        <v>0</v>
      </c>
      <c r="AQ1241">
        <v>0</v>
      </c>
      <c r="AR1241">
        <v>0</v>
      </c>
      <c r="AS1241">
        <v>0</v>
      </c>
      <c r="AT1241">
        <v>0</v>
      </c>
      <c r="AU1241">
        <v>0</v>
      </c>
      <c r="AV1241">
        <v>0</v>
      </c>
      <c r="AW1241">
        <v>0</v>
      </c>
      <c r="AX1241" s="141">
        <f t="shared" si="1631"/>
        <v>1</v>
      </c>
      <c r="AY1241" s="141">
        <f t="shared" si="1632"/>
        <v>1</v>
      </c>
      <c r="AZ1241">
        <f t="shared" si="1633"/>
        <v>1</v>
      </c>
      <c r="BA1241">
        <f t="shared" si="1634"/>
        <v>0</v>
      </c>
      <c r="BB1241">
        <f t="shared" si="1635"/>
        <v>0</v>
      </c>
      <c r="BC1241">
        <f t="shared" si="1636"/>
        <v>0</v>
      </c>
      <c r="BD1241">
        <f t="shared" si="1637"/>
        <v>0</v>
      </c>
      <c r="BE1241" t="str" cm="1">
        <f t="array" ref="BE1241">IF(AY1241=1,INDEX($V$7:$AL$7,MATCH(TRUE,INDEX($V1241:$AW1241&lt;&gt;0,),0)),IF(AY1241=0,INDEX($AM$7:$AW$7,MATCH(1,$AM1241:$AW1241,0)),IF(BF1241="Multiple strategies","mixed drivers",IF(BF1241="Supply chain","multiple supply","multiple silviculture"))))</f>
        <v xml:space="preserve">cutting intensity </v>
      </c>
      <c r="BF1241" s="2" t="str" cm="1">
        <f t="array" ref="BF1241">IF(COUNTIF(AZ1241:BB1241,"&lt;&gt;0")=1,INDEX($V$4:$AW$4,MATCH(TRUE,INDEX($V1241:$AW1241&lt;&gt;0,),0)),IF(COUNTIF(AZ1241:BB1241,"&lt;&gt;0")=0,INDEX($AM$4:$AW$4,MATCH(1,$AM1241:$AW1241,0)),"Multiple strategies"))</f>
        <v>Silviculture for removals</v>
      </c>
      <c r="BG1241" s="178" t="s">
        <v>321</v>
      </c>
      <c r="BH1241" s="264" t="s">
        <v>2143</v>
      </c>
      <c r="BI1241" s="264" t="s">
        <v>701</v>
      </c>
      <c r="BJ1241" s="160" t="s">
        <v>700</v>
      </c>
      <c r="BK1241">
        <v>7.3</v>
      </c>
      <c r="BL1241">
        <v>7.6</v>
      </c>
      <c r="BN1241">
        <f t="shared" si="1647"/>
        <v>0.29999999999999982</v>
      </c>
      <c r="BO1241">
        <f t="shared" si="1627"/>
        <v>0.29999999999999982</v>
      </c>
      <c r="BP1241" s="155" t="s">
        <v>395</v>
      </c>
      <c r="BQ1241" s="264" t="s">
        <v>786</v>
      </c>
      <c r="BR1241" s="270" t="s">
        <v>2144</v>
      </c>
      <c r="BS1241">
        <f>-4.3/50</f>
        <v>-8.5999999999999993E-2</v>
      </c>
      <c r="BT1241">
        <f>-4.1/50</f>
        <v>-8.199999999999999E-2</v>
      </c>
      <c r="BU1241" s="144"/>
      <c r="BV1241">
        <f t="shared" si="1648"/>
        <v>4.0000000000000036E-3</v>
      </c>
      <c r="BX1241">
        <f t="shared" si="1628"/>
        <v>4.0000000000000036E-3</v>
      </c>
      <c r="BY1241">
        <f t="shared" si="1591"/>
        <v>1.3333333333333353E-2</v>
      </c>
      <c r="BZ1241">
        <v>0</v>
      </c>
      <c r="CA1241">
        <v>0</v>
      </c>
      <c r="CB1241">
        <v>0</v>
      </c>
      <c r="CC1241">
        <v>0</v>
      </c>
      <c r="CD1241">
        <v>0</v>
      </c>
      <c r="CE1241">
        <v>0</v>
      </c>
      <c r="CF1241">
        <v>0</v>
      </c>
      <c r="CG1241">
        <v>0</v>
      </c>
      <c r="CH1241">
        <v>0</v>
      </c>
      <c r="CI1241">
        <v>0</v>
      </c>
      <c r="CJ1241">
        <v>0</v>
      </c>
      <c r="CK1241">
        <v>0</v>
      </c>
      <c r="CL1241">
        <v>0</v>
      </c>
      <c r="CM1241">
        <v>0</v>
      </c>
      <c r="CN1241" t="str">
        <f t="shared" si="1638"/>
        <v>refOK</v>
      </c>
      <c r="CO1241">
        <f t="shared" si="1649"/>
        <v>7.3</v>
      </c>
      <c r="CP1241">
        <f t="shared" si="1650"/>
        <v>7.6</v>
      </c>
      <c r="CQ1241">
        <f t="shared" si="1651"/>
        <v>0.29999999999999982</v>
      </c>
      <c r="CR1241">
        <f t="shared" si="1639"/>
        <v>8.5999999999999993E-2</v>
      </c>
      <c r="CS1241">
        <f t="shared" si="1640"/>
        <v>8.199999999999999E-2</v>
      </c>
      <c r="CT1241">
        <f t="shared" si="1641"/>
        <v>-4.0000000000000036E-3</v>
      </c>
      <c r="CU1241">
        <f t="shared" si="1642"/>
        <v>-1.3333333333333353E-2</v>
      </c>
      <c r="CV1241" s="2">
        <f t="shared" si="1643"/>
        <v>-4.6511627906976792E-2</v>
      </c>
      <c r="CW1241" s="1" t="s">
        <v>1198</v>
      </c>
      <c r="CX1241" s="264" t="str">
        <f t="shared" si="1644"/>
        <v>reg</v>
      </c>
      <c r="CY1241" t="s">
        <v>235</v>
      </c>
      <c r="DB1241">
        <v>50</v>
      </c>
      <c r="DC1241" t="str">
        <f t="shared" si="1645"/>
        <v>31-70</v>
      </c>
      <c r="DD1241">
        <v>0</v>
      </c>
      <c r="DE1241">
        <v>1</v>
      </c>
      <c r="DF1241">
        <v>1</v>
      </c>
      <c r="DG1241">
        <v>1</v>
      </c>
      <c r="DI1241">
        <f t="shared" si="1621"/>
        <v>3</v>
      </c>
      <c r="DJ1241" t="str">
        <f t="shared" si="1646"/>
        <v>mixedProduct</v>
      </c>
      <c r="DK1241">
        <f t="shared" si="1622"/>
        <v>0</v>
      </c>
      <c r="DL1241" t="str">
        <f t="shared" si="1623"/>
        <v>Energy</v>
      </c>
      <c r="DM1241" t="str">
        <f t="shared" si="1624"/>
        <v>Pulp/Paper</v>
      </c>
      <c r="DN1241" t="str">
        <f t="shared" si="1625"/>
        <v>Timber</v>
      </c>
      <c r="DO1241">
        <v>0</v>
      </c>
      <c r="DP1241">
        <v>1</v>
      </c>
      <c r="DQ1241" t="s">
        <v>2145</v>
      </c>
      <c r="DR1241">
        <v>0</v>
      </c>
      <c r="DS1241">
        <v>0</v>
      </c>
      <c r="DT1241">
        <f t="shared" si="1629"/>
        <v>1</v>
      </c>
      <c r="DU1241" s="143" t="str">
        <f t="shared" si="1626"/>
        <v>external DF used</v>
      </c>
      <c r="DV1241">
        <v>1</v>
      </c>
      <c r="DW1241">
        <v>1</v>
      </c>
      <c r="DX1241">
        <v>1</v>
      </c>
      <c r="DY1241">
        <v>0</v>
      </c>
      <c r="DZ1241">
        <v>0</v>
      </c>
      <c r="EA1241" s="143">
        <v>0</v>
      </c>
      <c r="EB1241">
        <v>1</v>
      </c>
      <c r="EC1241">
        <v>1</v>
      </c>
      <c r="ED1241">
        <v>0</v>
      </c>
      <c r="EE1241">
        <v>0</v>
      </c>
      <c r="EF1241">
        <v>1</v>
      </c>
      <c r="EG1241">
        <v>0</v>
      </c>
      <c r="EH1241">
        <v>0</v>
      </c>
      <c r="EI1241" s="2">
        <v>0</v>
      </c>
      <c r="EK1241" t="str">
        <f t="shared" si="1652"/>
        <v>Whole sector</v>
      </c>
      <c r="EL1241" t="str">
        <f t="shared" si="1653"/>
        <v/>
      </c>
      <c r="EM1241" s="2" t="str">
        <f t="shared" si="1592"/>
        <v/>
      </c>
      <c r="EP1241" t="str">
        <f>IF(ISNUMBER(BU1241),IF(ABS(BU1241-[4]QC_indicators!$B$2)&gt;3*[4]QC_indicators!$C$2,"C ratio",IF(ISNUMBER(BY1241),IF(ABS(BY1241-[4]QC_indicators!$B$1)&gt;3*[4]QC_indicators!$C$1,"DF","no"))),IF(ISNUMBER(BY1241),IF(ABS(BY1241-[4]QC_indicators!$B$1)&gt;3*[4]QC_indicators!$C$1,"DF","no")))</f>
        <v>no</v>
      </c>
      <c r="ET1241" s="264" t="s">
        <v>3406</v>
      </c>
    </row>
    <row r="1242" spans="1:150" ht="15" hidden="1" customHeight="1">
      <c r="A1242" s="1" t="s">
        <v>1359</v>
      </c>
      <c r="B1242" t="s">
        <v>2134</v>
      </c>
      <c r="C1242" t="s">
        <v>2135</v>
      </c>
      <c r="D1242" t="s">
        <v>2136</v>
      </c>
      <c r="E1242" t="s">
        <v>2137</v>
      </c>
      <c r="F1242" t="s">
        <v>2138</v>
      </c>
      <c r="G1242" t="s">
        <v>1365</v>
      </c>
      <c r="H1242" t="s">
        <v>254</v>
      </c>
      <c r="I1242">
        <v>2012</v>
      </c>
      <c r="J1242">
        <v>21</v>
      </c>
      <c r="K1242" t="s">
        <v>2139</v>
      </c>
      <c r="L1242" s="192"/>
      <c r="M1242" t="str">
        <f t="shared" si="1630"/>
        <v>Pyorala_2012</v>
      </c>
      <c r="N1242" t="s">
        <v>222</v>
      </c>
      <c r="O1242" s="145" t="s">
        <v>341</v>
      </c>
      <c r="P1242" s="180" t="s">
        <v>223</v>
      </c>
      <c r="Q1242" s="264" t="s">
        <v>256</v>
      </c>
      <c r="R1242" s="269" t="s">
        <v>1153</v>
      </c>
      <c r="S1242" s="263" t="s">
        <v>2140</v>
      </c>
      <c r="T1242" s="264" t="s">
        <v>2147</v>
      </c>
      <c r="U1242" s="264" t="s">
        <v>2142</v>
      </c>
      <c r="V1242">
        <v>0</v>
      </c>
      <c r="W1242">
        <v>0</v>
      </c>
      <c r="X1242">
        <v>0</v>
      </c>
      <c r="Y1242">
        <v>1</v>
      </c>
      <c r="Z1242">
        <v>0</v>
      </c>
      <c r="AA1242">
        <v>0</v>
      </c>
      <c r="AB1242">
        <v>0</v>
      </c>
      <c r="AC1242">
        <v>0</v>
      </c>
      <c r="AD1242">
        <v>0</v>
      </c>
      <c r="AE1242">
        <v>0</v>
      </c>
      <c r="AF1242">
        <v>0</v>
      </c>
      <c r="AG1242">
        <v>0</v>
      </c>
      <c r="AH1242">
        <v>0</v>
      </c>
      <c r="AI1242">
        <v>0</v>
      </c>
      <c r="AJ1242">
        <v>0</v>
      </c>
      <c r="AK1242">
        <v>0</v>
      </c>
      <c r="AL1242">
        <v>0</v>
      </c>
      <c r="AM1242">
        <v>0</v>
      </c>
      <c r="AN1242">
        <v>0</v>
      </c>
      <c r="AO1242">
        <v>0</v>
      </c>
      <c r="AP1242">
        <v>0</v>
      </c>
      <c r="AQ1242">
        <v>0</v>
      </c>
      <c r="AR1242">
        <v>0</v>
      </c>
      <c r="AS1242">
        <v>0</v>
      </c>
      <c r="AT1242">
        <v>0</v>
      </c>
      <c r="AU1242">
        <v>0</v>
      </c>
      <c r="AV1242">
        <v>0</v>
      </c>
      <c r="AW1242">
        <v>0</v>
      </c>
      <c r="AX1242" s="141">
        <f t="shared" si="1631"/>
        <v>1</v>
      </c>
      <c r="AY1242" s="141">
        <f t="shared" si="1632"/>
        <v>1</v>
      </c>
      <c r="AZ1242">
        <f t="shared" si="1633"/>
        <v>1</v>
      </c>
      <c r="BA1242">
        <f t="shared" si="1634"/>
        <v>0</v>
      </c>
      <c r="BB1242">
        <f t="shared" si="1635"/>
        <v>0</v>
      </c>
      <c r="BC1242">
        <f t="shared" si="1636"/>
        <v>0</v>
      </c>
      <c r="BD1242">
        <f t="shared" si="1637"/>
        <v>0</v>
      </c>
      <c r="BE1242" t="str" cm="1">
        <f t="array" ref="BE1242">IF(AY1242=1,INDEX($V$7:$AL$7,MATCH(TRUE,INDEX($V1242:$AW1242&lt;&gt;0,),0)),IF(AY1242=0,INDEX($AM$7:$AW$7,MATCH(1,$AM1242:$AW1242,0)),IF(BF1242="Multiple strategies","mixed drivers",IF(BF1242="Supply chain","multiple supply","multiple silviculture"))))</f>
        <v xml:space="preserve">cutting intensity </v>
      </c>
      <c r="BF1242" s="2" t="str" cm="1">
        <f t="array" ref="BF1242">IF(COUNTIF(AZ1242:BB1242,"&lt;&gt;0")=1,INDEX($V$4:$AW$4,MATCH(TRUE,INDEX($V1242:$AW1242&lt;&gt;0,),0)),IF(COUNTIF(AZ1242:BB1242,"&lt;&gt;0")=0,INDEX($AM$4:$AW$4,MATCH(1,$AM1242:$AW1242,0)),"Multiple strategies"))</f>
        <v>Silviculture for removals</v>
      </c>
      <c r="BG1242" s="178" t="s">
        <v>321</v>
      </c>
      <c r="BH1242" s="264" t="s">
        <v>2143</v>
      </c>
      <c r="BI1242" s="264" t="s">
        <v>701</v>
      </c>
      <c r="BJ1242" s="160" t="s">
        <v>700</v>
      </c>
      <c r="BK1242">
        <v>8.1</v>
      </c>
      <c r="BL1242">
        <v>8.4</v>
      </c>
      <c r="BN1242">
        <f t="shared" si="1647"/>
        <v>0.30000000000000071</v>
      </c>
      <c r="BO1242">
        <f t="shared" si="1627"/>
        <v>0.30000000000000071</v>
      </c>
      <c r="BP1242" s="155" t="s">
        <v>395</v>
      </c>
      <c r="BQ1242" s="264" t="s">
        <v>786</v>
      </c>
      <c r="BR1242" s="270" t="s">
        <v>2144</v>
      </c>
      <c r="BS1242">
        <f>-4.4/80</f>
        <v>-5.5000000000000007E-2</v>
      </c>
      <c r="BT1242">
        <f>-3.8/80</f>
        <v>-4.7500000000000001E-2</v>
      </c>
      <c r="BU1242" s="144"/>
      <c r="BV1242">
        <f t="shared" si="1648"/>
        <v>7.5000000000000067E-3</v>
      </c>
      <c r="BX1242">
        <f t="shared" si="1628"/>
        <v>7.5000000000000067E-3</v>
      </c>
      <c r="BY1242">
        <f t="shared" si="1591"/>
        <v>2.4999999999999963E-2</v>
      </c>
      <c r="BZ1242">
        <v>0</v>
      </c>
      <c r="CA1242">
        <v>0</v>
      </c>
      <c r="CB1242">
        <v>0</v>
      </c>
      <c r="CC1242">
        <v>0</v>
      </c>
      <c r="CD1242">
        <v>0</v>
      </c>
      <c r="CE1242">
        <v>0</v>
      </c>
      <c r="CF1242">
        <v>0</v>
      </c>
      <c r="CG1242">
        <v>0</v>
      </c>
      <c r="CH1242">
        <v>0</v>
      </c>
      <c r="CI1242">
        <v>0</v>
      </c>
      <c r="CJ1242">
        <v>0</v>
      </c>
      <c r="CK1242">
        <v>0</v>
      </c>
      <c r="CL1242">
        <v>0</v>
      </c>
      <c r="CM1242">
        <v>0</v>
      </c>
      <c r="CN1242" t="str">
        <f t="shared" si="1638"/>
        <v>refOK</v>
      </c>
      <c r="CO1242">
        <f t="shared" si="1649"/>
        <v>8.1</v>
      </c>
      <c r="CP1242">
        <f t="shared" si="1650"/>
        <v>8.4</v>
      </c>
      <c r="CQ1242">
        <f t="shared" si="1651"/>
        <v>0.30000000000000071</v>
      </c>
      <c r="CR1242">
        <f t="shared" si="1639"/>
        <v>5.5000000000000007E-2</v>
      </c>
      <c r="CS1242">
        <f t="shared" si="1640"/>
        <v>4.7500000000000001E-2</v>
      </c>
      <c r="CT1242">
        <f t="shared" si="1641"/>
        <v>-7.5000000000000067E-3</v>
      </c>
      <c r="CU1242">
        <f t="shared" si="1642"/>
        <v>-2.4999999999999963E-2</v>
      </c>
      <c r="CV1242" s="2">
        <f t="shared" si="1643"/>
        <v>-0.13636363636363646</v>
      </c>
      <c r="CW1242" s="1" t="s">
        <v>1198</v>
      </c>
      <c r="CX1242" s="264" t="str">
        <f t="shared" si="1644"/>
        <v>reg</v>
      </c>
      <c r="CY1242" t="s">
        <v>235</v>
      </c>
      <c r="DB1242">
        <v>80</v>
      </c>
      <c r="DC1242" t="str">
        <f t="shared" si="1645"/>
        <v>71-100</v>
      </c>
      <c r="DD1242">
        <v>0</v>
      </c>
      <c r="DE1242">
        <v>1</v>
      </c>
      <c r="DF1242">
        <v>1</v>
      </c>
      <c r="DG1242">
        <v>1</v>
      </c>
      <c r="DI1242">
        <f t="shared" si="1621"/>
        <v>3</v>
      </c>
      <c r="DJ1242" t="str">
        <f t="shared" si="1646"/>
        <v>mixedProduct</v>
      </c>
      <c r="DK1242">
        <f t="shared" si="1622"/>
        <v>0</v>
      </c>
      <c r="DL1242" t="str">
        <f t="shared" si="1623"/>
        <v>Energy</v>
      </c>
      <c r="DM1242" t="str">
        <f t="shared" si="1624"/>
        <v>Pulp/Paper</v>
      </c>
      <c r="DN1242" t="str">
        <f t="shared" si="1625"/>
        <v>Timber</v>
      </c>
      <c r="DO1242">
        <v>0</v>
      </c>
      <c r="DP1242">
        <v>1</v>
      </c>
      <c r="DQ1242" t="s">
        <v>2145</v>
      </c>
      <c r="DR1242">
        <v>0</v>
      </c>
      <c r="DS1242">
        <v>0</v>
      </c>
      <c r="DT1242">
        <f t="shared" si="1629"/>
        <v>1</v>
      </c>
      <c r="DU1242" s="143" t="str">
        <f t="shared" si="1626"/>
        <v>external DF used</v>
      </c>
      <c r="DV1242">
        <v>1</v>
      </c>
      <c r="DW1242">
        <v>1</v>
      </c>
      <c r="DX1242">
        <v>1</v>
      </c>
      <c r="DY1242">
        <v>0</v>
      </c>
      <c r="DZ1242">
        <v>0</v>
      </c>
      <c r="EA1242" s="143">
        <v>0</v>
      </c>
      <c r="EB1242">
        <v>1</v>
      </c>
      <c r="EC1242">
        <v>1</v>
      </c>
      <c r="ED1242">
        <v>0</v>
      </c>
      <c r="EE1242">
        <v>0</v>
      </c>
      <c r="EF1242">
        <v>1</v>
      </c>
      <c r="EG1242">
        <v>0</v>
      </c>
      <c r="EH1242">
        <v>0</v>
      </c>
      <c r="EI1242" s="2">
        <v>0</v>
      </c>
      <c r="EK1242" t="str">
        <f t="shared" si="1652"/>
        <v>Whole sector</v>
      </c>
      <c r="EL1242" t="str">
        <f t="shared" si="1653"/>
        <v/>
      </c>
      <c r="EM1242" s="2" t="str">
        <f t="shared" si="1592"/>
        <v/>
      </c>
      <c r="EP1242" t="str">
        <f>IF(ISNUMBER(BU1242),IF(ABS(BU1242-[4]QC_indicators!$B$2)&gt;3*[4]QC_indicators!$C$2,"C ratio",IF(ISNUMBER(BY1242),IF(ABS(BY1242-[4]QC_indicators!$B$1)&gt;3*[4]QC_indicators!$C$1,"DF","no"))),IF(ISNUMBER(BY1242),IF(ABS(BY1242-[4]QC_indicators!$B$1)&gt;3*[4]QC_indicators!$C$1,"DF","no")))</f>
        <v>no</v>
      </c>
      <c r="ET1242" s="264" t="s">
        <v>3406</v>
      </c>
    </row>
    <row r="1243" spans="1:150" ht="15" hidden="1" customHeight="1">
      <c r="A1243" s="1" t="s">
        <v>1359</v>
      </c>
      <c r="B1243" t="s">
        <v>2134</v>
      </c>
      <c r="C1243" t="s">
        <v>2135</v>
      </c>
      <c r="D1243" t="s">
        <v>2136</v>
      </c>
      <c r="E1243" t="s">
        <v>2137</v>
      </c>
      <c r="F1243" t="s">
        <v>2138</v>
      </c>
      <c r="G1243" t="s">
        <v>1365</v>
      </c>
      <c r="H1243" t="s">
        <v>254</v>
      </c>
      <c r="I1243">
        <v>2012</v>
      </c>
      <c r="J1243">
        <v>21</v>
      </c>
      <c r="K1243" t="s">
        <v>2139</v>
      </c>
      <c r="L1243" s="192"/>
      <c r="M1243" t="str">
        <f t="shared" si="1630"/>
        <v>Pyorala_2012</v>
      </c>
      <c r="N1243" t="s">
        <v>222</v>
      </c>
      <c r="O1243" s="145" t="s">
        <v>341</v>
      </c>
      <c r="P1243" s="180" t="s">
        <v>223</v>
      </c>
      <c r="Q1243" s="264" t="s">
        <v>256</v>
      </c>
      <c r="R1243" s="269" t="s">
        <v>1153</v>
      </c>
      <c r="S1243" s="263" t="s">
        <v>2154</v>
      </c>
      <c r="T1243" s="264" t="s">
        <v>2142</v>
      </c>
      <c r="U1243" s="264" t="s">
        <v>2151</v>
      </c>
      <c r="V1243">
        <v>0</v>
      </c>
      <c r="W1243">
        <v>0</v>
      </c>
      <c r="X1243">
        <v>0</v>
      </c>
      <c r="Y1243">
        <v>0</v>
      </c>
      <c r="Z1243">
        <v>0</v>
      </c>
      <c r="AA1243">
        <v>0</v>
      </c>
      <c r="AB1243">
        <v>1</v>
      </c>
      <c r="AC1243">
        <v>0</v>
      </c>
      <c r="AD1243">
        <v>0</v>
      </c>
      <c r="AE1243">
        <v>0</v>
      </c>
      <c r="AF1243">
        <v>0</v>
      </c>
      <c r="AG1243">
        <v>0</v>
      </c>
      <c r="AH1243">
        <v>0</v>
      </c>
      <c r="AI1243">
        <v>0</v>
      </c>
      <c r="AJ1243">
        <v>0</v>
      </c>
      <c r="AK1243">
        <v>0</v>
      </c>
      <c r="AL1243">
        <v>0</v>
      </c>
      <c r="AM1243">
        <v>0</v>
      </c>
      <c r="AN1243">
        <v>0</v>
      </c>
      <c r="AO1243">
        <v>0</v>
      </c>
      <c r="AP1243">
        <v>0</v>
      </c>
      <c r="AQ1243">
        <v>0</v>
      </c>
      <c r="AR1243">
        <v>0</v>
      </c>
      <c r="AS1243">
        <v>0</v>
      </c>
      <c r="AT1243">
        <v>0</v>
      </c>
      <c r="AU1243">
        <v>0</v>
      </c>
      <c r="AV1243">
        <v>0</v>
      </c>
      <c r="AW1243">
        <v>0</v>
      </c>
      <c r="AX1243" s="141">
        <f t="shared" si="1631"/>
        <v>1</v>
      </c>
      <c r="AY1243" s="141">
        <f t="shared" si="1632"/>
        <v>1</v>
      </c>
      <c r="AZ1243">
        <f t="shared" si="1633"/>
        <v>1</v>
      </c>
      <c r="BA1243">
        <f t="shared" si="1634"/>
        <v>0</v>
      </c>
      <c r="BB1243">
        <f t="shared" si="1635"/>
        <v>0</v>
      </c>
      <c r="BC1243">
        <f t="shared" si="1636"/>
        <v>0</v>
      </c>
      <c r="BD1243">
        <f t="shared" si="1637"/>
        <v>0</v>
      </c>
      <c r="BE1243" t="str" cm="1">
        <f t="array" ref="BE1243">IF(AY1243=1,INDEX($V$7:$AL$7,MATCH(TRUE,INDEX($V1243:$AW1243&lt;&gt;0,),0)),IF(AY1243=0,INDEX($AM$7:$AW$7,MATCH(1,$AM1243:$AW1243,0)),IF(BF1243="Multiple strategies","mixed drivers",IF(BF1243="Supply chain","multiple supply","multiple silviculture"))))</f>
        <v>fertilisation</v>
      </c>
      <c r="BF1243" s="2" t="str" cm="1">
        <f t="array" ref="BF1243">IF(COUNTIF(AZ1243:BB1243,"&lt;&gt;0")=1,INDEX($V$4:$AW$4,MATCH(TRUE,INDEX($V1243:$AW1243&lt;&gt;0,),0)),IF(COUNTIF(AZ1243:BB1243,"&lt;&gt;0")=0,INDEX($AM$4:$AW$4,MATCH(1,$AM1243:$AW1243,0)),"Multiple strategies"))</f>
        <v>Silviculture for productivity</v>
      </c>
      <c r="BG1243" s="178" t="s">
        <v>321</v>
      </c>
      <c r="BH1243" s="264" t="s">
        <v>2143</v>
      </c>
      <c r="BI1243" s="264" t="s">
        <v>701</v>
      </c>
      <c r="BJ1243" s="160" t="s">
        <v>700</v>
      </c>
      <c r="BK1243">
        <v>6.5</v>
      </c>
      <c r="BL1243">
        <v>7</v>
      </c>
      <c r="BN1243">
        <f t="shared" si="1647"/>
        <v>0.5</v>
      </c>
      <c r="BO1243">
        <f t="shared" si="1627"/>
        <v>0.5</v>
      </c>
      <c r="BP1243" s="155" t="s">
        <v>232</v>
      </c>
      <c r="BQ1243" s="264" t="s">
        <v>786</v>
      </c>
      <c r="BR1243" s="270" t="s">
        <v>2144</v>
      </c>
      <c r="BS1243" s="264">
        <f>99.4/80</f>
        <v>1.2425000000000002</v>
      </c>
      <c r="BT1243" s="264">
        <f>100.6/80</f>
        <v>1.2574999999999998</v>
      </c>
      <c r="BU1243" s="144"/>
      <c r="BV1243">
        <f t="shared" si="1648"/>
        <v>1.499999999999968E-2</v>
      </c>
      <c r="BX1243">
        <f t="shared" si="1628"/>
        <v>1.499999999999968E-2</v>
      </c>
      <c r="BY1243">
        <f t="shared" si="1591"/>
        <v>2.9999999999999361E-2</v>
      </c>
      <c r="BZ1243">
        <v>0</v>
      </c>
      <c r="CA1243">
        <v>0</v>
      </c>
      <c r="CB1243">
        <v>0</v>
      </c>
      <c r="CC1243">
        <v>0</v>
      </c>
      <c r="CD1243">
        <v>0</v>
      </c>
      <c r="CE1243">
        <v>0</v>
      </c>
      <c r="CF1243">
        <v>0</v>
      </c>
      <c r="CG1243">
        <v>0</v>
      </c>
      <c r="CH1243">
        <v>0</v>
      </c>
      <c r="CI1243">
        <v>0</v>
      </c>
      <c r="CJ1243">
        <v>0</v>
      </c>
      <c r="CK1243">
        <v>0</v>
      </c>
      <c r="CL1243">
        <v>0</v>
      </c>
      <c r="CM1243">
        <v>0</v>
      </c>
      <c r="CN1243" t="str">
        <f t="shared" si="1638"/>
        <v>refOK</v>
      </c>
      <c r="CO1243">
        <f t="shared" si="1649"/>
        <v>6.5</v>
      </c>
      <c r="CP1243">
        <f t="shared" si="1650"/>
        <v>7</v>
      </c>
      <c r="CQ1243">
        <f t="shared" si="1651"/>
        <v>0.5</v>
      </c>
      <c r="CR1243">
        <f t="shared" si="1639"/>
        <v>1.2425000000000002</v>
      </c>
      <c r="CS1243">
        <f t="shared" si="1640"/>
        <v>1.2574999999999998</v>
      </c>
      <c r="CT1243">
        <f t="shared" si="1641"/>
        <v>1.499999999999968E-2</v>
      </c>
      <c r="CU1243">
        <f t="shared" si="1642"/>
        <v>2.9999999999999361E-2</v>
      </c>
      <c r="CV1243" s="2">
        <f t="shared" si="1643"/>
        <v>1.2072434607645616E-2</v>
      </c>
      <c r="CW1243" s="1" t="s">
        <v>1198</v>
      </c>
      <c r="CX1243" s="264" t="str">
        <f t="shared" si="1644"/>
        <v>reg</v>
      </c>
      <c r="CY1243" t="s">
        <v>235</v>
      </c>
      <c r="DB1243">
        <v>80</v>
      </c>
      <c r="DC1243" t="str">
        <f t="shared" si="1645"/>
        <v>71-100</v>
      </c>
      <c r="DD1243">
        <v>0</v>
      </c>
      <c r="DE1243">
        <v>1</v>
      </c>
      <c r="DF1243">
        <v>1</v>
      </c>
      <c r="DG1243">
        <v>1</v>
      </c>
      <c r="DI1243">
        <f t="shared" si="1621"/>
        <v>3</v>
      </c>
      <c r="DJ1243" t="str">
        <f t="shared" si="1646"/>
        <v>mixedProduct</v>
      </c>
      <c r="DK1243">
        <f t="shared" si="1622"/>
        <v>0</v>
      </c>
      <c r="DL1243" t="str">
        <f t="shared" si="1623"/>
        <v>Energy</v>
      </c>
      <c r="DM1243" t="str">
        <f t="shared" si="1624"/>
        <v>Pulp/Paper</v>
      </c>
      <c r="DN1243" t="str">
        <f t="shared" si="1625"/>
        <v>Timber</v>
      </c>
      <c r="DO1243">
        <v>0</v>
      </c>
      <c r="DP1243">
        <v>1</v>
      </c>
      <c r="DQ1243" t="s">
        <v>2145</v>
      </c>
      <c r="DR1243">
        <v>0</v>
      </c>
      <c r="DS1243">
        <v>0</v>
      </c>
      <c r="DT1243">
        <f t="shared" si="1629"/>
        <v>1</v>
      </c>
      <c r="DU1243" s="143" t="str">
        <f t="shared" si="1626"/>
        <v>external DF used</v>
      </c>
      <c r="DV1243">
        <v>1</v>
      </c>
      <c r="DW1243">
        <v>1</v>
      </c>
      <c r="DX1243">
        <v>1</v>
      </c>
      <c r="DY1243">
        <v>0</v>
      </c>
      <c r="DZ1243">
        <v>0</v>
      </c>
      <c r="EA1243" s="143">
        <v>0</v>
      </c>
      <c r="EB1243">
        <v>0</v>
      </c>
      <c r="EC1243">
        <v>0</v>
      </c>
      <c r="ED1243">
        <v>0</v>
      </c>
      <c r="EE1243">
        <v>0</v>
      </c>
      <c r="EF1243">
        <v>1</v>
      </c>
      <c r="EG1243">
        <v>0</v>
      </c>
      <c r="EH1243">
        <v>0</v>
      </c>
      <c r="EI1243" s="2">
        <v>0</v>
      </c>
      <c r="EK1243" t="str">
        <f t="shared" si="1652"/>
        <v/>
      </c>
      <c r="EL1243" t="str">
        <f t="shared" si="1653"/>
        <v>Ecosystem approach</v>
      </c>
      <c r="EM1243" s="2" t="str">
        <f t="shared" si="1592"/>
        <v/>
      </c>
      <c r="EP1243" t="str">
        <f>IF(ISNUMBER(BU1243),IF(ABS(BU1243-[4]QC_indicators!$B$2)&gt;3*[4]QC_indicators!$C$2,"C ratio",IF(ISNUMBER(BY1243),IF(ABS(BY1243-[4]QC_indicators!$B$1)&gt;3*[4]QC_indicators!$C$1,"DF","no"))),IF(ISNUMBER(BY1243),IF(ABS(BY1243-[4]QC_indicators!$B$1)&gt;3*[4]QC_indicators!$C$1,"DF","no")))</f>
        <v>no</v>
      </c>
      <c r="ET1243" s="264" t="s">
        <v>3406</v>
      </c>
    </row>
    <row r="1244" spans="1:150" ht="15" hidden="1" customHeight="1">
      <c r="A1244" s="1" t="s">
        <v>1359</v>
      </c>
      <c r="B1244" t="s">
        <v>2134</v>
      </c>
      <c r="C1244" t="s">
        <v>2135</v>
      </c>
      <c r="D1244" t="s">
        <v>2136</v>
      </c>
      <c r="E1244" t="s">
        <v>2137</v>
      </c>
      <c r="F1244" t="s">
        <v>2138</v>
      </c>
      <c r="G1244" t="s">
        <v>1365</v>
      </c>
      <c r="H1244" t="s">
        <v>254</v>
      </c>
      <c r="I1244">
        <v>2012</v>
      </c>
      <c r="J1244">
        <v>21</v>
      </c>
      <c r="K1244" t="s">
        <v>2139</v>
      </c>
      <c r="L1244" s="192"/>
      <c r="M1244" t="str">
        <f t="shared" si="1630"/>
        <v>Pyorala_2012</v>
      </c>
      <c r="N1244" t="s">
        <v>222</v>
      </c>
      <c r="O1244" s="145" t="s">
        <v>341</v>
      </c>
      <c r="P1244" s="180" t="s">
        <v>223</v>
      </c>
      <c r="Q1244" s="264" t="s">
        <v>256</v>
      </c>
      <c r="R1244" s="269" t="s">
        <v>1153</v>
      </c>
      <c r="S1244" s="263" t="s">
        <v>2153</v>
      </c>
      <c r="T1244" s="264" t="s">
        <v>2142</v>
      </c>
      <c r="U1244" s="264" t="s">
        <v>2151</v>
      </c>
      <c r="V1244">
        <v>0</v>
      </c>
      <c r="W1244">
        <v>0</v>
      </c>
      <c r="X1244">
        <v>0</v>
      </c>
      <c r="Y1244">
        <v>0</v>
      </c>
      <c r="Z1244">
        <v>0</v>
      </c>
      <c r="AA1244">
        <v>0</v>
      </c>
      <c r="AB1244">
        <v>1</v>
      </c>
      <c r="AC1244">
        <v>0</v>
      </c>
      <c r="AD1244">
        <v>0</v>
      </c>
      <c r="AE1244">
        <v>0</v>
      </c>
      <c r="AF1244">
        <v>0</v>
      </c>
      <c r="AG1244">
        <v>0</v>
      </c>
      <c r="AH1244">
        <v>0</v>
      </c>
      <c r="AI1244">
        <v>0</v>
      </c>
      <c r="AJ1244">
        <v>0</v>
      </c>
      <c r="AK1244">
        <v>0</v>
      </c>
      <c r="AL1244">
        <v>0</v>
      </c>
      <c r="AM1244">
        <v>0</v>
      </c>
      <c r="AN1244">
        <v>0</v>
      </c>
      <c r="AO1244">
        <v>0</v>
      </c>
      <c r="AP1244">
        <v>0</v>
      </c>
      <c r="AQ1244">
        <v>0</v>
      </c>
      <c r="AR1244">
        <v>0</v>
      </c>
      <c r="AS1244">
        <v>0</v>
      </c>
      <c r="AT1244">
        <v>0</v>
      </c>
      <c r="AU1244">
        <v>0</v>
      </c>
      <c r="AV1244">
        <v>0</v>
      </c>
      <c r="AW1244">
        <v>0</v>
      </c>
      <c r="AX1244" s="141">
        <f t="shared" si="1631"/>
        <v>1</v>
      </c>
      <c r="AY1244" s="141">
        <f t="shared" si="1632"/>
        <v>1</v>
      </c>
      <c r="AZ1244">
        <f t="shared" si="1633"/>
        <v>1</v>
      </c>
      <c r="BA1244">
        <f t="shared" si="1634"/>
        <v>0</v>
      </c>
      <c r="BB1244">
        <f t="shared" si="1635"/>
        <v>0</v>
      </c>
      <c r="BC1244">
        <f t="shared" si="1636"/>
        <v>0</v>
      </c>
      <c r="BD1244">
        <f t="shared" si="1637"/>
        <v>0</v>
      </c>
      <c r="BE1244" t="str" cm="1">
        <f t="array" ref="BE1244">IF(AY1244=1,INDEX($V$7:$AL$7,MATCH(TRUE,INDEX($V1244:$AW1244&lt;&gt;0,),0)),IF(AY1244=0,INDEX($AM$7:$AW$7,MATCH(1,$AM1244:$AW1244,0)),IF(BF1244="Multiple strategies","mixed drivers",IF(BF1244="Supply chain","multiple supply","multiple silviculture"))))</f>
        <v>fertilisation</v>
      </c>
      <c r="BF1244" s="2" t="str" cm="1">
        <f t="array" ref="BF1244">IF(COUNTIF(AZ1244:BB1244,"&lt;&gt;0")=1,INDEX($V$4:$AW$4,MATCH(TRUE,INDEX($V1244:$AW1244&lt;&gt;0,),0)),IF(COUNTIF(AZ1244:BB1244,"&lt;&gt;0")=0,INDEX($AM$4:$AW$4,MATCH(1,$AM1244:$AW1244,0)),"Multiple strategies"))</f>
        <v>Silviculture for productivity</v>
      </c>
      <c r="BG1244" s="178" t="s">
        <v>321</v>
      </c>
      <c r="BH1244" s="264" t="s">
        <v>2143</v>
      </c>
      <c r="BI1244" s="264" t="s">
        <v>426</v>
      </c>
      <c r="BJ1244" s="160" t="s">
        <v>700</v>
      </c>
      <c r="BK1244">
        <v>7.8</v>
      </c>
      <c r="BL1244">
        <v>10.6</v>
      </c>
      <c r="BN1244">
        <f t="shared" si="1647"/>
        <v>2.8</v>
      </c>
      <c r="BO1244">
        <f t="shared" si="1627"/>
        <v>2.8</v>
      </c>
      <c r="BP1244" s="155" t="s">
        <v>395</v>
      </c>
      <c r="BQ1244" s="264" t="s">
        <v>783</v>
      </c>
      <c r="BR1244" s="155" t="s">
        <v>279</v>
      </c>
      <c r="BS1244">
        <v>0.6</v>
      </c>
      <c r="BT1244">
        <v>0.7</v>
      </c>
      <c r="BU1244" s="144"/>
      <c r="BV1244">
        <f t="shared" si="1648"/>
        <v>9.9999999999999978E-2</v>
      </c>
      <c r="BX1244">
        <f t="shared" si="1628"/>
        <v>9.9999999999999978E-2</v>
      </c>
      <c r="BY1244">
        <f t="shared" si="1591"/>
        <v>3.5714285714285705E-2</v>
      </c>
      <c r="BZ1244">
        <v>0</v>
      </c>
      <c r="CA1244">
        <v>0</v>
      </c>
      <c r="CB1244">
        <v>0</v>
      </c>
      <c r="CC1244">
        <v>0</v>
      </c>
      <c r="CD1244">
        <v>0</v>
      </c>
      <c r="CE1244">
        <v>0</v>
      </c>
      <c r="CF1244">
        <v>0</v>
      </c>
      <c r="CG1244">
        <v>0</v>
      </c>
      <c r="CH1244">
        <v>0</v>
      </c>
      <c r="CI1244">
        <v>0</v>
      </c>
      <c r="CJ1244">
        <v>0</v>
      </c>
      <c r="CK1244">
        <v>0</v>
      </c>
      <c r="CL1244">
        <v>0</v>
      </c>
      <c r="CM1244">
        <v>0</v>
      </c>
      <c r="CN1244" t="str">
        <f t="shared" si="1638"/>
        <v>refOK</v>
      </c>
      <c r="CO1244">
        <f t="shared" si="1649"/>
        <v>7.8</v>
      </c>
      <c r="CP1244">
        <f t="shared" si="1650"/>
        <v>10.6</v>
      </c>
      <c r="CQ1244">
        <f t="shared" si="1651"/>
        <v>2.8</v>
      </c>
      <c r="CR1244">
        <f t="shared" si="1639"/>
        <v>-0.6</v>
      </c>
      <c r="CS1244">
        <f t="shared" si="1640"/>
        <v>-0.7</v>
      </c>
      <c r="CT1244">
        <f t="shared" si="1641"/>
        <v>-9.9999999999999978E-2</v>
      </c>
      <c r="CU1244">
        <f t="shared" si="1642"/>
        <v>-3.5714285714285705E-2</v>
      </c>
      <c r="CV1244" s="2">
        <f t="shared" si="1643"/>
        <v>-0.16666666666666663</v>
      </c>
      <c r="CW1244" s="1" t="s">
        <v>1198</v>
      </c>
      <c r="CX1244" s="264" t="str">
        <f t="shared" si="1644"/>
        <v>reg</v>
      </c>
      <c r="CY1244" t="s">
        <v>235</v>
      </c>
      <c r="DB1244">
        <v>50</v>
      </c>
      <c r="DC1244" t="str">
        <f t="shared" si="1645"/>
        <v>31-70</v>
      </c>
      <c r="DD1244">
        <v>0</v>
      </c>
      <c r="DE1244">
        <v>1</v>
      </c>
      <c r="DF1244">
        <v>1</v>
      </c>
      <c r="DG1244">
        <v>1</v>
      </c>
      <c r="DI1244">
        <f t="shared" si="1621"/>
        <v>3</v>
      </c>
      <c r="DJ1244" t="str">
        <f t="shared" si="1646"/>
        <v>mixedProduct</v>
      </c>
      <c r="DK1244">
        <f t="shared" si="1622"/>
        <v>0</v>
      </c>
      <c r="DL1244" t="str">
        <f t="shared" si="1623"/>
        <v>Energy</v>
      </c>
      <c r="DM1244" t="str">
        <f t="shared" si="1624"/>
        <v>Pulp/Paper</v>
      </c>
      <c r="DN1244" t="str">
        <f t="shared" si="1625"/>
        <v>Timber</v>
      </c>
      <c r="DO1244">
        <v>0</v>
      </c>
      <c r="DP1244">
        <v>1</v>
      </c>
      <c r="DQ1244" t="s">
        <v>2145</v>
      </c>
      <c r="DR1244">
        <v>0</v>
      </c>
      <c r="DS1244">
        <v>0</v>
      </c>
      <c r="DT1244">
        <f t="shared" si="1629"/>
        <v>1</v>
      </c>
      <c r="DU1244" s="143" t="str">
        <f t="shared" si="1626"/>
        <v>external DF used</v>
      </c>
      <c r="DV1244">
        <v>1</v>
      </c>
      <c r="DW1244">
        <v>1</v>
      </c>
      <c r="DX1244">
        <v>1</v>
      </c>
      <c r="DY1244">
        <v>0</v>
      </c>
      <c r="DZ1244">
        <v>1</v>
      </c>
      <c r="EA1244">
        <v>0</v>
      </c>
      <c r="EB1244">
        <v>1</v>
      </c>
      <c r="EC1244">
        <v>1</v>
      </c>
      <c r="ED1244">
        <v>0</v>
      </c>
      <c r="EE1244">
        <v>0</v>
      </c>
      <c r="EF1244">
        <v>1</v>
      </c>
      <c r="EG1244">
        <v>0</v>
      </c>
      <c r="EH1244">
        <v>0</v>
      </c>
      <c r="EI1244" s="2">
        <v>0</v>
      </c>
      <c r="EK1244" t="str">
        <f t="shared" si="1652"/>
        <v>Whole sector</v>
      </c>
      <c r="EL1244" t="str">
        <f t="shared" si="1653"/>
        <v/>
      </c>
      <c r="EM1244" s="2" t="str">
        <f t="shared" si="1592"/>
        <v/>
      </c>
      <c r="EP1244" t="str">
        <f>IF(ISNUMBER(BU1244),IF(ABS(BU1244-[4]QC_indicators!$B$2)&gt;3*[4]QC_indicators!$C$2,"C ratio",IF(ISNUMBER(BY1244),IF(ABS(BY1244-[4]QC_indicators!$B$1)&gt;3*[4]QC_indicators!$C$1,"DF","no"))),IF(ISNUMBER(BY1244),IF(ABS(BY1244-[4]QC_indicators!$B$1)&gt;3*[4]QC_indicators!$C$1,"DF","no")))</f>
        <v>no</v>
      </c>
      <c r="ET1244" s="264" t="s">
        <v>3406</v>
      </c>
    </row>
    <row r="1245" spans="1:150" ht="15" hidden="1" customHeight="1">
      <c r="A1245" s="1" t="s">
        <v>1359</v>
      </c>
      <c r="B1245" t="s">
        <v>2134</v>
      </c>
      <c r="C1245" t="s">
        <v>2135</v>
      </c>
      <c r="D1245" t="s">
        <v>2136</v>
      </c>
      <c r="E1245" t="s">
        <v>2137</v>
      </c>
      <c r="F1245" t="s">
        <v>2138</v>
      </c>
      <c r="G1245" t="s">
        <v>1365</v>
      </c>
      <c r="H1245" t="s">
        <v>254</v>
      </c>
      <c r="I1245">
        <v>2012</v>
      </c>
      <c r="J1245">
        <v>21</v>
      </c>
      <c r="K1245" t="s">
        <v>2139</v>
      </c>
      <c r="L1245" s="192"/>
      <c r="M1245" t="str">
        <f t="shared" si="1630"/>
        <v>Pyorala_2012</v>
      </c>
      <c r="N1245" t="s">
        <v>222</v>
      </c>
      <c r="O1245" s="145" t="s">
        <v>341</v>
      </c>
      <c r="P1245" s="193" t="s">
        <v>223</v>
      </c>
      <c r="Q1245" s="264" t="s">
        <v>2161</v>
      </c>
      <c r="R1245" s="269" t="s">
        <v>1153</v>
      </c>
      <c r="S1245" s="263" t="s">
        <v>2162</v>
      </c>
      <c r="T1245" s="264" t="s">
        <v>2156</v>
      </c>
      <c r="U1245" s="264" t="s">
        <v>2157</v>
      </c>
      <c r="V1245">
        <v>0</v>
      </c>
      <c r="W1245">
        <v>0</v>
      </c>
      <c r="X1245">
        <v>0</v>
      </c>
      <c r="Y1245">
        <v>0</v>
      </c>
      <c r="Z1245">
        <v>0</v>
      </c>
      <c r="AA1245">
        <v>0</v>
      </c>
      <c r="AB1245">
        <v>0</v>
      </c>
      <c r="AC1245">
        <v>1</v>
      </c>
      <c r="AD1245">
        <v>0</v>
      </c>
      <c r="AE1245">
        <v>0</v>
      </c>
      <c r="AF1245">
        <v>0</v>
      </c>
      <c r="AG1245">
        <v>0</v>
      </c>
      <c r="AH1245">
        <v>0</v>
      </c>
      <c r="AI1245">
        <v>0</v>
      </c>
      <c r="AJ1245">
        <v>0</v>
      </c>
      <c r="AK1245">
        <v>0</v>
      </c>
      <c r="AL1245">
        <v>0</v>
      </c>
      <c r="AM1245">
        <v>0</v>
      </c>
      <c r="AN1245">
        <v>0</v>
      </c>
      <c r="AO1245">
        <v>0</v>
      </c>
      <c r="AP1245">
        <v>0</v>
      </c>
      <c r="AQ1245">
        <v>0</v>
      </c>
      <c r="AR1245">
        <v>0</v>
      </c>
      <c r="AS1245">
        <v>0</v>
      </c>
      <c r="AT1245">
        <v>0</v>
      </c>
      <c r="AU1245">
        <v>0</v>
      </c>
      <c r="AV1245">
        <v>0</v>
      </c>
      <c r="AW1245">
        <v>0</v>
      </c>
      <c r="AX1245" s="141">
        <f t="shared" si="1631"/>
        <v>1</v>
      </c>
      <c r="AY1245" s="141">
        <f t="shared" si="1632"/>
        <v>1</v>
      </c>
      <c r="AZ1245">
        <f t="shared" si="1633"/>
        <v>1</v>
      </c>
      <c r="BA1245">
        <f t="shared" si="1634"/>
        <v>0</v>
      </c>
      <c r="BB1245">
        <f t="shared" si="1635"/>
        <v>0</v>
      </c>
      <c r="BC1245">
        <f t="shared" si="1636"/>
        <v>0</v>
      </c>
      <c r="BD1245">
        <f t="shared" si="1637"/>
        <v>0</v>
      </c>
      <c r="BE1245" t="str" cm="1">
        <f t="array" ref="BE1245">IF(AY1245=1,INDEX($V$7:$AL$7,MATCH(TRUE,INDEX($V1245:$AW1245&lt;&gt;0,),0)),IF(AY1245=0,INDEX($AM$7:$AW$7,MATCH(1,$AM1245:$AW1245,0)),IF(BF1245="Multiple strategies","mixed drivers",IF(BF1245="Supply chain","multiple supply","multiple silviculture"))))</f>
        <v>site fertility</v>
      </c>
      <c r="BF1245" s="2" t="str" cm="1">
        <f t="array" ref="BF1245">IF(COUNTIF(AZ1245:BB1245,"&lt;&gt;0")=1,INDEX($V$4:$AW$4,MATCH(TRUE,INDEX($V1245:$AW1245&lt;&gt;0,),0)),IF(COUNTIF(AZ1245:BB1245,"&lt;&gt;0")=0,INDEX($AM$4:$AW$4,MATCH(1,$AM1245:$AW1245,0)),"Multiple strategies"))</f>
        <v>Silviculture for productivity</v>
      </c>
      <c r="BG1245" s="194" t="s">
        <v>321</v>
      </c>
      <c r="BH1245" s="264" t="s">
        <v>2143</v>
      </c>
      <c r="BI1245" s="264" t="s">
        <v>2158</v>
      </c>
      <c r="BJ1245" s="195" t="s">
        <v>700</v>
      </c>
      <c r="BK1245">
        <v>6.5</v>
      </c>
      <c r="BL1245">
        <v>8.4</v>
      </c>
      <c r="BN1245">
        <f t="shared" si="1647"/>
        <v>1.9000000000000004</v>
      </c>
      <c r="BO1245">
        <f t="shared" si="1627"/>
        <v>1.9000000000000004</v>
      </c>
      <c r="BP1245" s="149" t="s">
        <v>395</v>
      </c>
      <c r="BQ1245" s="264" t="s">
        <v>783</v>
      </c>
      <c r="BR1245" s="149" t="s">
        <v>279</v>
      </c>
      <c r="BS1245">
        <v>1</v>
      </c>
      <c r="BT1245">
        <v>1.1000000000000001</v>
      </c>
      <c r="BU1245" s="144"/>
      <c r="BV1245">
        <f t="shared" si="1648"/>
        <v>0.10000000000000009</v>
      </c>
      <c r="BX1245">
        <f t="shared" si="1628"/>
        <v>0.10000000000000009</v>
      </c>
      <c r="BY1245">
        <f t="shared" si="1591"/>
        <v>5.263157894736846E-2</v>
      </c>
      <c r="BZ1245">
        <v>0</v>
      </c>
      <c r="CA1245">
        <v>0</v>
      </c>
      <c r="CB1245">
        <v>0</v>
      </c>
      <c r="CC1245">
        <v>0</v>
      </c>
      <c r="CD1245">
        <v>0</v>
      </c>
      <c r="CE1245">
        <v>0</v>
      </c>
      <c r="CF1245">
        <v>0</v>
      </c>
      <c r="CG1245">
        <v>0</v>
      </c>
      <c r="CH1245">
        <v>0</v>
      </c>
      <c r="CI1245">
        <v>0</v>
      </c>
      <c r="CJ1245">
        <v>0</v>
      </c>
      <c r="CK1245">
        <v>0</v>
      </c>
      <c r="CL1245">
        <v>0</v>
      </c>
      <c r="CM1245">
        <v>0</v>
      </c>
      <c r="CN1245" t="str">
        <f t="shared" si="1638"/>
        <v>refOK</v>
      </c>
      <c r="CO1245">
        <f t="shared" si="1649"/>
        <v>6.5</v>
      </c>
      <c r="CP1245">
        <f t="shared" si="1650"/>
        <v>8.4</v>
      </c>
      <c r="CQ1245">
        <f t="shared" si="1651"/>
        <v>1.9000000000000004</v>
      </c>
      <c r="CR1245">
        <f t="shared" si="1639"/>
        <v>-1</v>
      </c>
      <c r="CS1245">
        <f t="shared" si="1640"/>
        <v>-1.1000000000000001</v>
      </c>
      <c r="CT1245">
        <f t="shared" si="1641"/>
        <v>-0.10000000000000009</v>
      </c>
      <c r="CU1245">
        <f t="shared" si="1642"/>
        <v>-5.263157894736846E-2</v>
      </c>
      <c r="CV1245" s="2">
        <f t="shared" si="1643"/>
        <v>-0.10000000000000009</v>
      </c>
      <c r="CW1245" s="1" t="s">
        <v>1198</v>
      </c>
      <c r="CX1245" s="264" t="str">
        <f t="shared" si="1644"/>
        <v>reg</v>
      </c>
      <c r="CY1245" t="s">
        <v>235</v>
      </c>
      <c r="DB1245">
        <v>80</v>
      </c>
      <c r="DC1245" t="str">
        <f t="shared" si="1645"/>
        <v>71-100</v>
      </c>
      <c r="DD1245">
        <v>0</v>
      </c>
      <c r="DE1245">
        <v>1</v>
      </c>
      <c r="DF1245">
        <v>1</v>
      </c>
      <c r="DG1245">
        <v>1</v>
      </c>
      <c r="DI1245">
        <f t="shared" ref="DI1245:DI1276" si="1654">SUM(DD1245:DG1245)</f>
        <v>3</v>
      </c>
      <c r="DJ1245" t="str">
        <f t="shared" si="1646"/>
        <v>mixedProduct</v>
      </c>
      <c r="DK1245">
        <f t="shared" ref="DK1245:DK1276" si="1655">IF(DD1245=1,DK$7,0)</f>
        <v>0</v>
      </c>
      <c r="DL1245" t="str">
        <f t="shared" ref="DL1245:DL1276" si="1656">IF(DE1245=1,DL$7,0)</f>
        <v>Energy</v>
      </c>
      <c r="DM1245" t="str">
        <f t="shared" ref="DM1245:DM1276" si="1657">IF(DF1245=1,DM$7,0)</f>
        <v>Pulp/Paper</v>
      </c>
      <c r="DN1245" t="str">
        <f t="shared" ref="DN1245:DN1276" si="1658">IF(DG1245=1,DN$7,0)</f>
        <v>Timber</v>
      </c>
      <c r="DO1245">
        <v>0</v>
      </c>
      <c r="DP1245">
        <v>1</v>
      </c>
      <c r="DQ1245" t="s">
        <v>2145</v>
      </c>
      <c r="DR1245">
        <v>0</v>
      </c>
      <c r="DS1245">
        <v>0</v>
      </c>
      <c r="DT1245">
        <f t="shared" si="1629"/>
        <v>1</v>
      </c>
      <c r="DU1245" s="143" t="str">
        <f t="shared" si="1626"/>
        <v>external DF used</v>
      </c>
      <c r="DV1245">
        <v>1</v>
      </c>
      <c r="DW1245">
        <v>1</v>
      </c>
      <c r="DX1245">
        <v>1</v>
      </c>
      <c r="DY1245">
        <v>0</v>
      </c>
      <c r="DZ1245">
        <v>1</v>
      </c>
      <c r="EA1245">
        <v>0</v>
      </c>
      <c r="EB1245">
        <v>1</v>
      </c>
      <c r="EC1245">
        <v>1</v>
      </c>
      <c r="ED1245">
        <v>0</v>
      </c>
      <c r="EE1245">
        <v>0</v>
      </c>
      <c r="EF1245">
        <v>1</v>
      </c>
      <c r="EG1245">
        <v>0</v>
      </c>
      <c r="EH1245">
        <v>0</v>
      </c>
      <c r="EI1245" s="2">
        <v>0</v>
      </c>
      <c r="EK1245" t="str">
        <f t="shared" si="1652"/>
        <v>Whole sector</v>
      </c>
      <c r="EL1245" t="str">
        <f t="shared" si="1653"/>
        <v/>
      </c>
      <c r="EM1245" s="2" t="str">
        <f t="shared" si="1592"/>
        <v/>
      </c>
      <c r="EP1245" t="str">
        <f>IF(ISNUMBER(BU1245),IF(ABS(BU1245-[4]QC_indicators!$B$2)&gt;3*[4]QC_indicators!$C$2,"C ratio",IF(ISNUMBER(BY1245),IF(ABS(BY1245-[4]QC_indicators!$B$1)&gt;3*[4]QC_indicators!$C$1,"DF","no"))),IF(ISNUMBER(BY1245),IF(ABS(BY1245-[4]QC_indicators!$B$1)&gt;3*[4]QC_indicators!$C$1,"DF","no")))</f>
        <v>no</v>
      </c>
      <c r="ET1245" s="264" t="s">
        <v>3406</v>
      </c>
    </row>
    <row r="1246" spans="1:150" ht="15" hidden="1" customHeight="1">
      <c r="A1246" s="1" t="s">
        <v>1359</v>
      </c>
      <c r="B1246" t="s">
        <v>2134</v>
      </c>
      <c r="C1246" t="s">
        <v>2135</v>
      </c>
      <c r="D1246" t="s">
        <v>2136</v>
      </c>
      <c r="E1246" t="s">
        <v>2137</v>
      </c>
      <c r="F1246" t="s">
        <v>2138</v>
      </c>
      <c r="G1246" t="s">
        <v>1365</v>
      </c>
      <c r="H1246" t="s">
        <v>254</v>
      </c>
      <c r="I1246">
        <v>2012</v>
      </c>
      <c r="J1246">
        <v>21</v>
      </c>
      <c r="K1246" t="s">
        <v>2139</v>
      </c>
      <c r="L1246" s="192"/>
      <c r="M1246" t="str">
        <f t="shared" si="1630"/>
        <v>Pyorala_2012</v>
      </c>
      <c r="N1246" t="s">
        <v>222</v>
      </c>
      <c r="O1246" s="145" t="s">
        <v>341</v>
      </c>
      <c r="P1246" s="180" t="s">
        <v>223</v>
      </c>
      <c r="Q1246" s="264" t="s">
        <v>256</v>
      </c>
      <c r="R1246" s="269" t="s">
        <v>1153</v>
      </c>
      <c r="S1246" s="263" t="s">
        <v>2164</v>
      </c>
      <c r="T1246" s="264" t="s">
        <v>2156</v>
      </c>
      <c r="U1246" s="264" t="s">
        <v>2157</v>
      </c>
      <c r="V1246">
        <v>0</v>
      </c>
      <c r="W1246">
        <v>0</v>
      </c>
      <c r="X1246">
        <v>0</v>
      </c>
      <c r="Y1246">
        <v>0</v>
      </c>
      <c r="Z1246">
        <v>0</v>
      </c>
      <c r="AA1246">
        <v>0</v>
      </c>
      <c r="AB1246">
        <v>0</v>
      </c>
      <c r="AC1246">
        <v>1</v>
      </c>
      <c r="AD1246">
        <v>0</v>
      </c>
      <c r="AE1246">
        <v>0</v>
      </c>
      <c r="AF1246">
        <v>0</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s="141">
        <f t="shared" si="1631"/>
        <v>1</v>
      </c>
      <c r="AY1246" s="141">
        <f t="shared" si="1632"/>
        <v>1</v>
      </c>
      <c r="AZ1246">
        <f t="shared" si="1633"/>
        <v>1</v>
      </c>
      <c r="BA1246">
        <f t="shared" si="1634"/>
        <v>0</v>
      </c>
      <c r="BB1246">
        <f t="shared" si="1635"/>
        <v>0</v>
      </c>
      <c r="BC1246">
        <f t="shared" si="1636"/>
        <v>0</v>
      </c>
      <c r="BD1246">
        <f t="shared" si="1637"/>
        <v>0</v>
      </c>
      <c r="BE1246" t="str" cm="1">
        <f t="array" ref="BE1246">IF(AY1246=1,INDEX($V$7:$AL$7,MATCH(TRUE,INDEX($V1246:$AW1246&lt;&gt;0,),0)),IF(AY1246=0,INDEX($AM$7:$AW$7,MATCH(1,$AM1246:$AW1246,0)),IF(BF1246="Multiple strategies","mixed drivers",IF(BF1246="Supply chain","multiple supply","multiple silviculture"))))</f>
        <v>site fertility</v>
      </c>
      <c r="BF1246" s="2" t="str" cm="1">
        <f t="array" ref="BF1246">IF(COUNTIF(AZ1246:BB1246,"&lt;&gt;0")=1,INDEX($V$4:$AW$4,MATCH(TRUE,INDEX($V1246:$AW1246&lt;&gt;0,),0)),IF(COUNTIF(AZ1246:BB1246,"&lt;&gt;0")=0,INDEX($AM$4:$AW$4,MATCH(1,$AM1246:$AW1246,0)),"Multiple strategies"))</f>
        <v>Silviculture for productivity</v>
      </c>
      <c r="BG1246" s="178" t="s">
        <v>321</v>
      </c>
      <c r="BH1246" s="264" t="s">
        <v>2143</v>
      </c>
      <c r="BI1246" s="264" t="s">
        <v>2158</v>
      </c>
      <c r="BJ1246" s="160" t="s">
        <v>700</v>
      </c>
      <c r="BK1246">
        <v>7.6</v>
      </c>
      <c r="BL1246">
        <v>7.8</v>
      </c>
      <c r="BN1246">
        <f t="shared" si="1647"/>
        <v>0.20000000000000018</v>
      </c>
      <c r="BO1246">
        <f t="shared" si="1627"/>
        <v>0.20000000000000018</v>
      </c>
      <c r="BP1246" s="155" t="s">
        <v>395</v>
      </c>
      <c r="BQ1246" s="264" t="s">
        <v>786</v>
      </c>
      <c r="BR1246" s="270" t="s">
        <v>2144</v>
      </c>
      <c r="BS1246">
        <f>-4.1/50</f>
        <v>-8.199999999999999E-2</v>
      </c>
      <c r="BT1246">
        <f>-3.5/50</f>
        <v>-7.0000000000000007E-2</v>
      </c>
      <c r="BU1246" s="144"/>
      <c r="BV1246">
        <f t="shared" si="1648"/>
        <v>1.1999999999999983E-2</v>
      </c>
      <c r="BX1246">
        <f t="shared" si="1628"/>
        <v>1.1999999999999983E-2</v>
      </c>
      <c r="BY1246">
        <f t="shared" si="1591"/>
        <v>5.9999999999999859E-2</v>
      </c>
      <c r="BZ1246">
        <v>0</v>
      </c>
      <c r="CA1246">
        <v>0</v>
      </c>
      <c r="CB1246">
        <v>0</v>
      </c>
      <c r="CC1246">
        <v>0</v>
      </c>
      <c r="CD1246">
        <v>0</v>
      </c>
      <c r="CE1246">
        <v>0</v>
      </c>
      <c r="CF1246">
        <v>0</v>
      </c>
      <c r="CG1246">
        <v>0</v>
      </c>
      <c r="CH1246">
        <v>0</v>
      </c>
      <c r="CI1246">
        <v>0</v>
      </c>
      <c r="CJ1246">
        <v>0</v>
      </c>
      <c r="CK1246">
        <v>0</v>
      </c>
      <c r="CL1246">
        <v>0</v>
      </c>
      <c r="CM1246">
        <v>0</v>
      </c>
      <c r="CN1246" t="str">
        <f t="shared" si="1638"/>
        <v>refOK</v>
      </c>
      <c r="CO1246">
        <f t="shared" si="1649"/>
        <v>7.6</v>
      </c>
      <c r="CP1246">
        <f t="shared" si="1650"/>
        <v>7.8</v>
      </c>
      <c r="CQ1246">
        <f t="shared" si="1651"/>
        <v>0.20000000000000018</v>
      </c>
      <c r="CR1246">
        <f t="shared" si="1639"/>
        <v>8.199999999999999E-2</v>
      </c>
      <c r="CS1246">
        <f t="shared" si="1640"/>
        <v>7.0000000000000007E-2</v>
      </c>
      <c r="CT1246">
        <f t="shared" si="1641"/>
        <v>-1.1999999999999983E-2</v>
      </c>
      <c r="CU1246">
        <f t="shared" si="1642"/>
        <v>-5.9999999999999859E-2</v>
      </c>
      <c r="CV1246" s="2">
        <f t="shared" si="1643"/>
        <v>-0.14634146341463394</v>
      </c>
      <c r="CW1246" s="1" t="s">
        <v>1198</v>
      </c>
      <c r="CX1246" s="264" t="str">
        <f t="shared" si="1644"/>
        <v>reg</v>
      </c>
      <c r="CY1246" t="s">
        <v>235</v>
      </c>
      <c r="DB1246">
        <v>50</v>
      </c>
      <c r="DC1246" t="str">
        <f t="shared" si="1645"/>
        <v>31-70</v>
      </c>
      <c r="DD1246">
        <v>0</v>
      </c>
      <c r="DE1246">
        <v>1</v>
      </c>
      <c r="DF1246">
        <v>1</v>
      </c>
      <c r="DG1246">
        <v>1</v>
      </c>
      <c r="DI1246">
        <f t="shared" si="1654"/>
        <v>3</v>
      </c>
      <c r="DJ1246" t="str">
        <f t="shared" si="1646"/>
        <v>mixedProduct</v>
      </c>
      <c r="DK1246">
        <f t="shared" si="1655"/>
        <v>0</v>
      </c>
      <c r="DL1246" t="str">
        <f t="shared" si="1656"/>
        <v>Energy</v>
      </c>
      <c r="DM1246" t="str">
        <f t="shared" si="1657"/>
        <v>Pulp/Paper</v>
      </c>
      <c r="DN1246" t="str">
        <f t="shared" si="1658"/>
        <v>Timber</v>
      </c>
      <c r="DO1246">
        <v>0</v>
      </c>
      <c r="DP1246">
        <v>1</v>
      </c>
      <c r="DQ1246" t="s">
        <v>2145</v>
      </c>
      <c r="DR1246">
        <v>0</v>
      </c>
      <c r="DS1246">
        <v>0</v>
      </c>
      <c r="DT1246">
        <f t="shared" si="1629"/>
        <v>1</v>
      </c>
      <c r="DU1246" s="143" t="str">
        <f t="shared" ref="DU1246:DU1277" si="1659">IF(DO1246=1,"self-calculated DF",IF(DP1246=1,"external DF used","explicit C balance"))</f>
        <v>external DF used</v>
      </c>
      <c r="DV1246">
        <v>1</v>
      </c>
      <c r="DW1246">
        <v>1</v>
      </c>
      <c r="DX1246">
        <v>1</v>
      </c>
      <c r="DY1246">
        <v>0</v>
      </c>
      <c r="DZ1246">
        <v>0</v>
      </c>
      <c r="EA1246" s="143">
        <v>0</v>
      </c>
      <c r="EB1246">
        <v>1</v>
      </c>
      <c r="EC1246">
        <v>1</v>
      </c>
      <c r="ED1246">
        <v>0</v>
      </c>
      <c r="EE1246">
        <v>0</v>
      </c>
      <c r="EF1246">
        <v>1</v>
      </c>
      <c r="EG1246">
        <v>0</v>
      </c>
      <c r="EH1246">
        <v>0</v>
      </c>
      <c r="EI1246" s="2">
        <v>0</v>
      </c>
      <c r="EK1246" t="str">
        <f t="shared" si="1652"/>
        <v>Whole sector</v>
      </c>
      <c r="EL1246" t="str">
        <f t="shared" si="1653"/>
        <v/>
      </c>
      <c r="EM1246" s="2" t="str">
        <f t="shared" si="1592"/>
        <v/>
      </c>
      <c r="EP1246" t="str">
        <f>IF(ISNUMBER(BU1246),IF(ABS(BU1246-[4]QC_indicators!$B$2)&gt;3*[4]QC_indicators!$C$2,"C ratio",IF(ISNUMBER(BY1246),IF(ABS(BY1246-[4]QC_indicators!$B$1)&gt;3*[4]QC_indicators!$C$1,"DF","no"))),IF(ISNUMBER(BY1246),IF(ABS(BY1246-[4]QC_indicators!$B$1)&gt;3*[4]QC_indicators!$C$1,"DF","no")))</f>
        <v>no</v>
      </c>
      <c r="ET1246" s="264" t="s">
        <v>3406</v>
      </c>
    </row>
    <row r="1247" spans="1:150" ht="15" hidden="1" customHeight="1">
      <c r="A1247" s="1" t="s">
        <v>1359</v>
      </c>
      <c r="B1247" t="s">
        <v>2134</v>
      </c>
      <c r="C1247" t="s">
        <v>2135</v>
      </c>
      <c r="D1247" t="s">
        <v>2136</v>
      </c>
      <c r="E1247" t="s">
        <v>2137</v>
      </c>
      <c r="F1247" t="s">
        <v>2138</v>
      </c>
      <c r="G1247" t="s">
        <v>1365</v>
      </c>
      <c r="H1247" t="s">
        <v>254</v>
      </c>
      <c r="I1247">
        <v>2012</v>
      </c>
      <c r="J1247">
        <v>21</v>
      </c>
      <c r="K1247" t="s">
        <v>2139</v>
      </c>
      <c r="L1247" s="192"/>
      <c r="M1247" t="str">
        <f t="shared" si="1630"/>
        <v>Pyorala_2012</v>
      </c>
      <c r="N1247" t="s">
        <v>222</v>
      </c>
      <c r="O1247" s="145" t="s">
        <v>341</v>
      </c>
      <c r="P1247" s="180" t="s">
        <v>223</v>
      </c>
      <c r="Q1247" s="264" t="s">
        <v>256</v>
      </c>
      <c r="R1247" s="269" t="s">
        <v>1153</v>
      </c>
      <c r="S1247" s="263" t="s">
        <v>2140</v>
      </c>
      <c r="T1247" s="264" t="s">
        <v>2141</v>
      </c>
      <c r="U1247" s="264" t="s">
        <v>2142</v>
      </c>
      <c r="V1247">
        <v>0</v>
      </c>
      <c r="W1247">
        <v>0</v>
      </c>
      <c r="X1247">
        <v>0</v>
      </c>
      <c r="Y1247">
        <v>1</v>
      </c>
      <c r="Z1247">
        <v>0</v>
      </c>
      <c r="AA1247">
        <v>0</v>
      </c>
      <c r="AB1247">
        <v>0</v>
      </c>
      <c r="AC1247">
        <v>0</v>
      </c>
      <c r="AD1247">
        <v>0</v>
      </c>
      <c r="AE1247">
        <v>0</v>
      </c>
      <c r="AF1247">
        <v>0</v>
      </c>
      <c r="AG1247">
        <v>0</v>
      </c>
      <c r="AH1247">
        <v>0</v>
      </c>
      <c r="AI1247">
        <v>0</v>
      </c>
      <c r="AJ1247">
        <v>0</v>
      </c>
      <c r="AK1247">
        <v>0</v>
      </c>
      <c r="AL1247">
        <v>0</v>
      </c>
      <c r="AM1247">
        <v>0</v>
      </c>
      <c r="AN1247">
        <v>0</v>
      </c>
      <c r="AO1247">
        <v>0</v>
      </c>
      <c r="AP1247">
        <v>0</v>
      </c>
      <c r="AQ1247">
        <v>0</v>
      </c>
      <c r="AR1247">
        <v>0</v>
      </c>
      <c r="AS1247">
        <v>0</v>
      </c>
      <c r="AT1247">
        <v>0</v>
      </c>
      <c r="AU1247">
        <v>0</v>
      </c>
      <c r="AV1247">
        <v>0</v>
      </c>
      <c r="AW1247">
        <v>0</v>
      </c>
      <c r="AX1247" s="141">
        <f t="shared" si="1631"/>
        <v>1</v>
      </c>
      <c r="AY1247" s="141">
        <f t="shared" si="1632"/>
        <v>1</v>
      </c>
      <c r="AZ1247">
        <f t="shared" si="1633"/>
        <v>1</v>
      </c>
      <c r="BA1247">
        <f t="shared" si="1634"/>
        <v>0</v>
      </c>
      <c r="BB1247">
        <f t="shared" si="1635"/>
        <v>0</v>
      </c>
      <c r="BC1247">
        <f t="shared" si="1636"/>
        <v>0</v>
      </c>
      <c r="BD1247">
        <f t="shared" si="1637"/>
        <v>0</v>
      </c>
      <c r="BE1247" t="str" cm="1">
        <f t="array" ref="BE1247">IF(AY1247=1,INDEX($V$7:$AL$7,MATCH(TRUE,INDEX($V1247:$AW1247&lt;&gt;0,),0)),IF(AY1247=0,INDEX($AM$7:$AW$7,MATCH(1,$AM1247:$AW1247,0)),IF(BF1247="Multiple strategies","mixed drivers",IF(BF1247="Supply chain","multiple supply","multiple silviculture"))))</f>
        <v xml:space="preserve">cutting intensity </v>
      </c>
      <c r="BF1247" s="2" t="str" cm="1">
        <f t="array" ref="BF1247">IF(COUNTIF(AZ1247:BB1247,"&lt;&gt;0")=1,INDEX($V$4:$AW$4,MATCH(TRUE,INDEX($V1247:$AW1247&lt;&gt;0,),0)),IF(COUNTIF(AZ1247:BB1247,"&lt;&gt;0")=0,INDEX($AM$4:$AW$4,MATCH(1,$AM1247:$AW1247,0)),"Multiple strategies"))</f>
        <v>Silviculture for removals</v>
      </c>
      <c r="BG1247" s="178" t="s">
        <v>321</v>
      </c>
      <c r="BH1247" s="264" t="s">
        <v>2143</v>
      </c>
      <c r="BI1247" s="264" t="s">
        <v>426</v>
      </c>
      <c r="BJ1247" s="160" t="s">
        <v>700</v>
      </c>
      <c r="BK1247">
        <v>8.3000000000000007</v>
      </c>
      <c r="BL1247">
        <v>8.4</v>
      </c>
      <c r="BN1247">
        <f t="shared" si="1647"/>
        <v>9.9999999999999645E-2</v>
      </c>
      <c r="BO1247">
        <f t="shared" si="1627"/>
        <v>9.9999999999999645E-2</v>
      </c>
      <c r="BP1247" s="155" t="s">
        <v>395</v>
      </c>
      <c r="BQ1247" s="264" t="s">
        <v>786</v>
      </c>
      <c r="BR1247" s="270" t="s">
        <v>2144</v>
      </c>
      <c r="BS1247">
        <f>-4.5/80</f>
        <v>-5.6250000000000001E-2</v>
      </c>
      <c r="BT1247">
        <f>-3.8/80</f>
        <v>-4.7500000000000001E-2</v>
      </c>
      <c r="BU1247" s="144"/>
      <c r="BV1247">
        <f t="shared" si="1648"/>
        <v>8.7500000000000008E-3</v>
      </c>
      <c r="BX1247">
        <f t="shared" si="1628"/>
        <v>8.7500000000000008E-3</v>
      </c>
      <c r="BY1247">
        <f t="shared" si="1591"/>
        <v>8.7500000000000314E-2</v>
      </c>
      <c r="BZ1247">
        <v>0</v>
      </c>
      <c r="CA1247">
        <v>0</v>
      </c>
      <c r="CB1247">
        <v>0</v>
      </c>
      <c r="CC1247">
        <v>0</v>
      </c>
      <c r="CD1247">
        <v>0</v>
      </c>
      <c r="CE1247">
        <v>0</v>
      </c>
      <c r="CF1247">
        <v>0</v>
      </c>
      <c r="CG1247">
        <v>0</v>
      </c>
      <c r="CH1247">
        <v>0</v>
      </c>
      <c r="CI1247">
        <v>0</v>
      </c>
      <c r="CJ1247">
        <v>0</v>
      </c>
      <c r="CK1247">
        <v>0</v>
      </c>
      <c r="CL1247">
        <v>0</v>
      </c>
      <c r="CM1247">
        <v>0</v>
      </c>
      <c r="CN1247" t="str">
        <f t="shared" si="1638"/>
        <v>refOK</v>
      </c>
      <c r="CO1247">
        <f t="shared" si="1649"/>
        <v>8.3000000000000007</v>
      </c>
      <c r="CP1247">
        <f t="shared" si="1650"/>
        <v>8.4</v>
      </c>
      <c r="CQ1247">
        <f t="shared" si="1651"/>
        <v>9.9999999999999645E-2</v>
      </c>
      <c r="CR1247">
        <f t="shared" si="1639"/>
        <v>5.6250000000000001E-2</v>
      </c>
      <c r="CS1247">
        <f t="shared" si="1640"/>
        <v>4.7500000000000001E-2</v>
      </c>
      <c r="CT1247">
        <f t="shared" si="1641"/>
        <v>-8.7500000000000008E-3</v>
      </c>
      <c r="CU1247">
        <f t="shared" si="1642"/>
        <v>-8.7500000000000314E-2</v>
      </c>
      <c r="CV1247" s="2">
        <f t="shared" si="1643"/>
        <v>-0.15555555555555556</v>
      </c>
      <c r="CW1247" s="1" t="s">
        <v>1198</v>
      </c>
      <c r="CX1247" s="264" t="str">
        <f t="shared" si="1644"/>
        <v>reg</v>
      </c>
      <c r="CY1247" t="s">
        <v>235</v>
      </c>
      <c r="DB1247">
        <v>80</v>
      </c>
      <c r="DC1247" t="str">
        <f t="shared" si="1645"/>
        <v>71-100</v>
      </c>
      <c r="DD1247">
        <v>0</v>
      </c>
      <c r="DE1247">
        <v>1</v>
      </c>
      <c r="DF1247">
        <v>1</v>
      </c>
      <c r="DG1247">
        <v>1</v>
      </c>
      <c r="DI1247">
        <f t="shared" si="1654"/>
        <v>3</v>
      </c>
      <c r="DJ1247" t="str">
        <f t="shared" si="1646"/>
        <v>mixedProduct</v>
      </c>
      <c r="DK1247">
        <f t="shared" si="1655"/>
        <v>0</v>
      </c>
      <c r="DL1247" t="str">
        <f t="shared" si="1656"/>
        <v>Energy</v>
      </c>
      <c r="DM1247" t="str">
        <f t="shared" si="1657"/>
        <v>Pulp/Paper</v>
      </c>
      <c r="DN1247" t="str">
        <f t="shared" si="1658"/>
        <v>Timber</v>
      </c>
      <c r="DO1247">
        <v>0</v>
      </c>
      <c r="DP1247">
        <v>1</v>
      </c>
      <c r="DQ1247" t="s">
        <v>2145</v>
      </c>
      <c r="DR1247">
        <v>0</v>
      </c>
      <c r="DS1247">
        <v>0</v>
      </c>
      <c r="DT1247">
        <f t="shared" ref="DT1247:DT1278" si="1660">SUM(DO1247:DP1247)</f>
        <v>1</v>
      </c>
      <c r="DU1247" s="143" t="str">
        <f t="shared" si="1659"/>
        <v>external DF used</v>
      </c>
      <c r="DV1247">
        <v>1</v>
      </c>
      <c r="DW1247">
        <v>1</v>
      </c>
      <c r="DX1247">
        <v>1</v>
      </c>
      <c r="DY1247">
        <v>0</v>
      </c>
      <c r="DZ1247">
        <v>0</v>
      </c>
      <c r="EA1247" s="143">
        <v>0</v>
      </c>
      <c r="EB1247">
        <v>1</v>
      </c>
      <c r="EC1247">
        <v>1</v>
      </c>
      <c r="ED1247">
        <v>0</v>
      </c>
      <c r="EE1247">
        <v>0</v>
      </c>
      <c r="EF1247">
        <v>1</v>
      </c>
      <c r="EG1247">
        <v>0</v>
      </c>
      <c r="EH1247">
        <v>0</v>
      </c>
      <c r="EI1247" s="2">
        <v>0</v>
      </c>
      <c r="EK1247" t="str">
        <f t="shared" si="1652"/>
        <v>Whole sector</v>
      </c>
      <c r="EL1247" t="str">
        <f t="shared" si="1653"/>
        <v/>
      </c>
      <c r="EM1247" s="2" t="str">
        <f t="shared" si="1592"/>
        <v/>
      </c>
      <c r="EP1247" t="str">
        <f>IF(ISNUMBER(BU1247),IF(ABS(BU1247-[4]QC_indicators!$B$2)&gt;3*[4]QC_indicators!$C$2,"C ratio",IF(ISNUMBER(BY1247),IF(ABS(BY1247-[4]QC_indicators!$B$1)&gt;3*[4]QC_indicators!$C$1,"DF","no"))),IF(ISNUMBER(BY1247),IF(ABS(BY1247-[4]QC_indicators!$B$1)&gt;3*[4]QC_indicators!$C$1,"DF","no")))</f>
        <v>no</v>
      </c>
      <c r="ET1247" s="264" t="s">
        <v>3406</v>
      </c>
    </row>
    <row r="1248" spans="1:150" ht="15" hidden="1" customHeight="1">
      <c r="A1248" s="1" t="s">
        <v>1359</v>
      </c>
      <c r="B1248" t="s">
        <v>2134</v>
      </c>
      <c r="C1248" t="s">
        <v>2135</v>
      </c>
      <c r="D1248" t="s">
        <v>2136</v>
      </c>
      <c r="E1248" t="s">
        <v>2137</v>
      </c>
      <c r="F1248" t="s">
        <v>2138</v>
      </c>
      <c r="G1248" t="s">
        <v>1365</v>
      </c>
      <c r="H1248" t="s">
        <v>254</v>
      </c>
      <c r="I1248">
        <v>2012</v>
      </c>
      <c r="J1248">
        <v>21</v>
      </c>
      <c r="K1248" t="s">
        <v>2139</v>
      </c>
      <c r="L1248" s="192"/>
      <c r="M1248" t="str">
        <f t="shared" si="1630"/>
        <v>Pyorala_2012</v>
      </c>
      <c r="N1248" t="s">
        <v>222</v>
      </c>
      <c r="O1248" s="145" t="s">
        <v>341</v>
      </c>
      <c r="P1248" s="180" t="s">
        <v>223</v>
      </c>
      <c r="Q1248" s="264" t="s">
        <v>256</v>
      </c>
      <c r="R1248" s="269" t="s">
        <v>1153</v>
      </c>
      <c r="S1248" s="263" t="s">
        <v>2162</v>
      </c>
      <c r="T1248" s="264" t="s">
        <v>2156</v>
      </c>
      <c r="U1248" s="264" t="s">
        <v>2157</v>
      </c>
      <c r="V1248">
        <v>0</v>
      </c>
      <c r="W1248">
        <v>0</v>
      </c>
      <c r="X1248">
        <v>0</v>
      </c>
      <c r="Y1248">
        <v>0</v>
      </c>
      <c r="Z1248">
        <v>0</v>
      </c>
      <c r="AA1248">
        <v>0</v>
      </c>
      <c r="AB1248">
        <v>0</v>
      </c>
      <c r="AC1248">
        <v>1</v>
      </c>
      <c r="AD1248">
        <v>0</v>
      </c>
      <c r="AE1248">
        <v>0</v>
      </c>
      <c r="AF1248">
        <v>0</v>
      </c>
      <c r="AG1248">
        <v>0</v>
      </c>
      <c r="AH1248">
        <v>0</v>
      </c>
      <c r="AI1248">
        <v>0</v>
      </c>
      <c r="AJ1248">
        <v>0</v>
      </c>
      <c r="AK1248">
        <v>0</v>
      </c>
      <c r="AL1248">
        <v>0</v>
      </c>
      <c r="AM1248">
        <v>0</v>
      </c>
      <c r="AN1248">
        <v>0</v>
      </c>
      <c r="AO1248">
        <v>0</v>
      </c>
      <c r="AP1248">
        <v>0</v>
      </c>
      <c r="AQ1248">
        <v>0</v>
      </c>
      <c r="AR1248">
        <v>0</v>
      </c>
      <c r="AS1248">
        <v>0</v>
      </c>
      <c r="AT1248">
        <v>0</v>
      </c>
      <c r="AU1248">
        <v>0</v>
      </c>
      <c r="AV1248">
        <v>0</v>
      </c>
      <c r="AW1248">
        <v>0</v>
      </c>
      <c r="AX1248" s="141">
        <f t="shared" si="1631"/>
        <v>1</v>
      </c>
      <c r="AY1248" s="141">
        <f t="shared" si="1632"/>
        <v>1</v>
      </c>
      <c r="AZ1248">
        <f t="shared" si="1633"/>
        <v>1</v>
      </c>
      <c r="BA1248">
        <f t="shared" si="1634"/>
        <v>0</v>
      </c>
      <c r="BB1248">
        <f t="shared" si="1635"/>
        <v>0</v>
      </c>
      <c r="BC1248">
        <f t="shared" si="1636"/>
        <v>0</v>
      </c>
      <c r="BD1248">
        <f t="shared" si="1637"/>
        <v>0</v>
      </c>
      <c r="BE1248" t="str" cm="1">
        <f t="array" ref="BE1248">IF(AY1248=1,INDEX($V$7:$AL$7,MATCH(TRUE,INDEX($V1248:$AW1248&lt;&gt;0,),0)),IF(AY1248=0,INDEX($AM$7:$AW$7,MATCH(1,$AM1248:$AW1248,0)),IF(BF1248="Multiple strategies","mixed drivers",IF(BF1248="Supply chain","multiple supply","multiple silviculture"))))</f>
        <v>site fertility</v>
      </c>
      <c r="BF1248" s="2" t="str" cm="1">
        <f t="array" ref="BF1248">IF(COUNTIF(AZ1248:BB1248,"&lt;&gt;0")=1,INDEX($V$4:$AW$4,MATCH(TRUE,INDEX($V1248:$AW1248&lt;&gt;0,),0)),IF(COUNTIF(AZ1248:BB1248,"&lt;&gt;0")=0,INDEX($AM$4:$AW$4,MATCH(1,$AM1248:$AW1248,0)),"Multiple strategies"))</f>
        <v>Silviculture for productivity</v>
      </c>
      <c r="BG1248" s="178" t="s">
        <v>321</v>
      </c>
      <c r="BH1248" s="264" t="s">
        <v>2143</v>
      </c>
      <c r="BI1248" s="264" t="s">
        <v>2158</v>
      </c>
      <c r="BJ1248" s="160" t="s">
        <v>700</v>
      </c>
      <c r="BK1248">
        <v>6.5</v>
      </c>
      <c r="BL1248">
        <v>8.4</v>
      </c>
      <c r="BN1248">
        <f t="shared" si="1647"/>
        <v>1.9000000000000004</v>
      </c>
      <c r="BO1248">
        <f t="shared" si="1627"/>
        <v>1.9000000000000004</v>
      </c>
      <c r="BP1248" s="155" t="s">
        <v>232</v>
      </c>
      <c r="BQ1248" s="264" t="s">
        <v>786</v>
      </c>
      <c r="BR1248" s="270" t="s">
        <v>2144</v>
      </c>
      <c r="BS1248" s="264">
        <f>99.4/80</f>
        <v>1.2425000000000002</v>
      </c>
      <c r="BT1248" s="264">
        <f>113.9/80</f>
        <v>1.4237500000000001</v>
      </c>
      <c r="BU1248" s="144"/>
      <c r="BV1248">
        <f t="shared" si="1648"/>
        <v>0.18124999999999991</v>
      </c>
      <c r="BX1248">
        <f t="shared" si="1628"/>
        <v>0.18124999999999991</v>
      </c>
      <c r="BY1248">
        <f t="shared" si="1591"/>
        <v>9.5394736842105199E-2</v>
      </c>
      <c r="BZ1248">
        <v>0</v>
      </c>
      <c r="CA1248">
        <v>0</v>
      </c>
      <c r="CB1248">
        <v>0</v>
      </c>
      <c r="CC1248">
        <v>0</v>
      </c>
      <c r="CD1248">
        <v>0</v>
      </c>
      <c r="CE1248">
        <v>0</v>
      </c>
      <c r="CF1248">
        <v>0</v>
      </c>
      <c r="CG1248">
        <v>0</v>
      </c>
      <c r="CH1248">
        <v>0</v>
      </c>
      <c r="CI1248">
        <v>0</v>
      </c>
      <c r="CJ1248">
        <v>0</v>
      </c>
      <c r="CK1248">
        <v>0</v>
      </c>
      <c r="CL1248">
        <v>0</v>
      </c>
      <c r="CM1248">
        <v>0</v>
      </c>
      <c r="CN1248" t="str">
        <f t="shared" si="1638"/>
        <v>refOK</v>
      </c>
      <c r="CO1248">
        <f t="shared" si="1649"/>
        <v>6.5</v>
      </c>
      <c r="CP1248">
        <f t="shared" si="1650"/>
        <v>8.4</v>
      </c>
      <c r="CQ1248">
        <f t="shared" si="1651"/>
        <v>1.9000000000000004</v>
      </c>
      <c r="CR1248">
        <f t="shared" si="1639"/>
        <v>1.2425000000000002</v>
      </c>
      <c r="CS1248">
        <f t="shared" si="1640"/>
        <v>1.4237500000000001</v>
      </c>
      <c r="CT1248">
        <f t="shared" si="1641"/>
        <v>0.18124999999999991</v>
      </c>
      <c r="CU1248">
        <f t="shared" si="1642"/>
        <v>9.5394736842105199E-2</v>
      </c>
      <c r="CV1248" s="2">
        <f t="shared" si="1643"/>
        <v>0.14587525150905423</v>
      </c>
      <c r="CW1248" s="1" t="s">
        <v>1198</v>
      </c>
      <c r="CX1248" s="264" t="str">
        <f t="shared" si="1644"/>
        <v>reg</v>
      </c>
      <c r="CY1248" t="s">
        <v>235</v>
      </c>
      <c r="DB1248">
        <v>80</v>
      </c>
      <c r="DC1248" t="str">
        <f t="shared" si="1645"/>
        <v>71-100</v>
      </c>
      <c r="DD1248">
        <v>0</v>
      </c>
      <c r="DE1248">
        <v>1</v>
      </c>
      <c r="DF1248">
        <v>1</v>
      </c>
      <c r="DG1248">
        <v>1</v>
      </c>
      <c r="DI1248">
        <f t="shared" si="1654"/>
        <v>3</v>
      </c>
      <c r="DJ1248" t="str">
        <f t="shared" si="1646"/>
        <v>mixedProduct</v>
      </c>
      <c r="DK1248">
        <f t="shared" si="1655"/>
        <v>0</v>
      </c>
      <c r="DL1248" t="str">
        <f t="shared" si="1656"/>
        <v>Energy</v>
      </c>
      <c r="DM1248" t="str">
        <f t="shared" si="1657"/>
        <v>Pulp/Paper</v>
      </c>
      <c r="DN1248" t="str">
        <f t="shared" si="1658"/>
        <v>Timber</v>
      </c>
      <c r="DO1248">
        <v>0</v>
      </c>
      <c r="DP1248">
        <v>1</v>
      </c>
      <c r="DQ1248" t="s">
        <v>2145</v>
      </c>
      <c r="DR1248">
        <v>0</v>
      </c>
      <c r="DS1248">
        <v>0</v>
      </c>
      <c r="DT1248">
        <f t="shared" si="1660"/>
        <v>1</v>
      </c>
      <c r="DU1248" s="143" t="str">
        <f t="shared" si="1659"/>
        <v>external DF used</v>
      </c>
      <c r="DV1248">
        <v>1</v>
      </c>
      <c r="DW1248">
        <v>1</v>
      </c>
      <c r="DX1248">
        <v>1</v>
      </c>
      <c r="DY1248">
        <v>0</v>
      </c>
      <c r="DZ1248">
        <v>0</v>
      </c>
      <c r="EA1248" s="143">
        <v>0</v>
      </c>
      <c r="EB1248">
        <v>0</v>
      </c>
      <c r="EC1248">
        <v>0</v>
      </c>
      <c r="ED1248">
        <v>0</v>
      </c>
      <c r="EE1248">
        <v>0</v>
      </c>
      <c r="EF1248">
        <v>1</v>
      </c>
      <c r="EG1248">
        <v>0</v>
      </c>
      <c r="EH1248">
        <v>0</v>
      </c>
      <c r="EI1248" s="2">
        <v>0</v>
      </c>
      <c r="EK1248" t="str">
        <f t="shared" si="1652"/>
        <v/>
      </c>
      <c r="EL1248" t="str">
        <f t="shared" si="1653"/>
        <v>Ecosystem approach</v>
      </c>
      <c r="EM1248" s="2" t="str">
        <f t="shared" si="1592"/>
        <v/>
      </c>
      <c r="EP1248" t="str">
        <f>IF(ISNUMBER(BU1248),IF(ABS(BU1248-[4]QC_indicators!$B$2)&gt;3*[4]QC_indicators!$C$2,"C ratio",IF(ISNUMBER(BY1248),IF(ABS(BY1248-[4]QC_indicators!$B$1)&gt;3*[4]QC_indicators!$C$1,"DF","no"))),IF(ISNUMBER(BY1248),IF(ABS(BY1248-[4]QC_indicators!$B$1)&gt;3*[4]QC_indicators!$C$1,"DF","no")))</f>
        <v>no</v>
      </c>
      <c r="ET1248" s="264" t="s">
        <v>3406</v>
      </c>
    </row>
    <row r="1249" spans="1:150" ht="15" hidden="1" customHeight="1">
      <c r="A1249" s="1" t="s">
        <v>1359</v>
      </c>
      <c r="B1249" t="s">
        <v>2134</v>
      </c>
      <c r="C1249" t="s">
        <v>2135</v>
      </c>
      <c r="D1249" t="s">
        <v>2136</v>
      </c>
      <c r="E1249" t="s">
        <v>2137</v>
      </c>
      <c r="F1249" t="s">
        <v>2138</v>
      </c>
      <c r="G1249" t="s">
        <v>1365</v>
      </c>
      <c r="H1249" t="s">
        <v>254</v>
      </c>
      <c r="I1249">
        <v>2012</v>
      </c>
      <c r="J1249">
        <v>21</v>
      </c>
      <c r="K1249" t="s">
        <v>2139</v>
      </c>
      <c r="L1249" s="192"/>
      <c r="M1249" t="str">
        <f t="shared" si="1630"/>
        <v>Pyorala_2012</v>
      </c>
      <c r="N1249" t="s">
        <v>222</v>
      </c>
      <c r="O1249" s="145" t="s">
        <v>341</v>
      </c>
      <c r="P1249" s="180" t="s">
        <v>223</v>
      </c>
      <c r="Q1249" s="264" t="s">
        <v>256</v>
      </c>
      <c r="R1249" s="269" t="s">
        <v>1153</v>
      </c>
      <c r="S1249" s="263" t="s">
        <v>2150</v>
      </c>
      <c r="T1249" s="264" t="s">
        <v>2142</v>
      </c>
      <c r="U1249" s="264" t="s">
        <v>2151</v>
      </c>
      <c r="V1249">
        <v>0</v>
      </c>
      <c r="W1249">
        <v>0</v>
      </c>
      <c r="X1249">
        <v>0</v>
      </c>
      <c r="Y1249">
        <v>0</v>
      </c>
      <c r="Z1249">
        <v>0</v>
      </c>
      <c r="AA1249">
        <v>0</v>
      </c>
      <c r="AB1249">
        <v>1</v>
      </c>
      <c r="AC1249">
        <v>0</v>
      </c>
      <c r="AD1249">
        <v>0</v>
      </c>
      <c r="AE1249">
        <v>0</v>
      </c>
      <c r="AF1249">
        <v>0</v>
      </c>
      <c r="AG1249">
        <v>0</v>
      </c>
      <c r="AH1249">
        <v>0</v>
      </c>
      <c r="AI1249">
        <v>0</v>
      </c>
      <c r="AJ1249">
        <v>0</v>
      </c>
      <c r="AK1249">
        <v>0</v>
      </c>
      <c r="AL1249">
        <v>0</v>
      </c>
      <c r="AM1249">
        <v>0</v>
      </c>
      <c r="AN1249">
        <v>0</v>
      </c>
      <c r="AO1249">
        <v>0</v>
      </c>
      <c r="AP1249">
        <v>0</v>
      </c>
      <c r="AQ1249">
        <v>0</v>
      </c>
      <c r="AR1249">
        <v>0</v>
      </c>
      <c r="AS1249">
        <v>0</v>
      </c>
      <c r="AT1249">
        <v>0</v>
      </c>
      <c r="AU1249">
        <v>0</v>
      </c>
      <c r="AV1249">
        <v>0</v>
      </c>
      <c r="AW1249">
        <v>0</v>
      </c>
      <c r="AX1249" s="141">
        <f t="shared" si="1631"/>
        <v>1</v>
      </c>
      <c r="AY1249" s="141">
        <f t="shared" si="1632"/>
        <v>1</v>
      </c>
      <c r="AZ1249">
        <f t="shared" si="1633"/>
        <v>1</v>
      </c>
      <c r="BA1249">
        <f t="shared" si="1634"/>
        <v>0</v>
      </c>
      <c r="BB1249">
        <f t="shared" si="1635"/>
        <v>0</v>
      </c>
      <c r="BC1249">
        <f t="shared" si="1636"/>
        <v>0</v>
      </c>
      <c r="BD1249">
        <f t="shared" si="1637"/>
        <v>0</v>
      </c>
      <c r="BE1249" t="str" cm="1">
        <f t="array" ref="BE1249">IF(AY1249=1,INDEX($V$7:$AL$7,MATCH(TRUE,INDEX($V1249:$AW1249&lt;&gt;0,),0)),IF(AY1249=0,INDEX($AM$7:$AW$7,MATCH(1,$AM1249:$AW1249,0)),IF(BF1249="Multiple strategies","mixed drivers",IF(BF1249="Supply chain","multiple supply","multiple silviculture"))))</f>
        <v>fertilisation</v>
      </c>
      <c r="BF1249" s="2" t="str" cm="1">
        <f t="array" ref="BF1249">IF(COUNTIF(AZ1249:BB1249,"&lt;&gt;0")=1,INDEX($V$4:$AW$4,MATCH(TRUE,INDEX($V1249:$AW1249&lt;&gt;0,),0)),IF(COUNTIF(AZ1249:BB1249,"&lt;&gt;0")=0,INDEX($AM$4:$AW$4,MATCH(1,$AM1249:$AW1249,0)),"Multiple strategies"))</f>
        <v>Silviculture for productivity</v>
      </c>
      <c r="BG1249" s="178" t="s">
        <v>321</v>
      </c>
      <c r="BH1249" s="264" t="s">
        <v>2143</v>
      </c>
      <c r="BI1249" s="264" t="s">
        <v>426</v>
      </c>
      <c r="BJ1249" s="160" t="s">
        <v>700</v>
      </c>
      <c r="BK1249">
        <v>8.4</v>
      </c>
      <c r="BL1249">
        <v>8.6999999999999993</v>
      </c>
      <c r="BN1249">
        <f t="shared" si="1647"/>
        <v>0.29999999999999893</v>
      </c>
      <c r="BO1249">
        <f t="shared" si="1627"/>
        <v>0.29999999999999893</v>
      </c>
      <c r="BP1249" s="155" t="s">
        <v>232</v>
      </c>
      <c r="BQ1249" s="264" t="s">
        <v>786</v>
      </c>
      <c r="BR1249" s="270" t="s">
        <v>2144</v>
      </c>
      <c r="BS1249" s="264">
        <f>113.9/80</f>
        <v>1.4237500000000001</v>
      </c>
      <c r="BT1249" s="264">
        <f>117.1/80</f>
        <v>1.4637499999999999</v>
      </c>
      <c r="BU1249" s="144"/>
      <c r="BV1249">
        <f t="shared" si="1648"/>
        <v>3.9999999999999813E-2</v>
      </c>
      <c r="BX1249">
        <f t="shared" si="1628"/>
        <v>3.9999999999999813E-2</v>
      </c>
      <c r="BY1249">
        <f t="shared" si="1591"/>
        <v>0.13333333333333319</v>
      </c>
      <c r="BZ1249">
        <v>0</v>
      </c>
      <c r="CA1249">
        <v>0</v>
      </c>
      <c r="CB1249">
        <v>0</v>
      </c>
      <c r="CC1249">
        <v>0</v>
      </c>
      <c r="CD1249">
        <v>0</v>
      </c>
      <c r="CE1249">
        <v>0</v>
      </c>
      <c r="CF1249">
        <v>0</v>
      </c>
      <c r="CG1249">
        <v>0</v>
      </c>
      <c r="CH1249">
        <v>0</v>
      </c>
      <c r="CI1249">
        <v>0</v>
      </c>
      <c r="CJ1249">
        <v>0</v>
      </c>
      <c r="CK1249">
        <v>0</v>
      </c>
      <c r="CL1249">
        <v>0</v>
      </c>
      <c r="CM1249">
        <v>0</v>
      </c>
      <c r="CN1249" t="str">
        <f t="shared" si="1638"/>
        <v>refOK</v>
      </c>
      <c r="CO1249">
        <f t="shared" si="1649"/>
        <v>8.4</v>
      </c>
      <c r="CP1249">
        <f t="shared" si="1650"/>
        <v>8.6999999999999993</v>
      </c>
      <c r="CQ1249">
        <f t="shared" si="1651"/>
        <v>0.29999999999999893</v>
      </c>
      <c r="CR1249">
        <f t="shared" si="1639"/>
        <v>1.4237500000000001</v>
      </c>
      <c r="CS1249">
        <f t="shared" si="1640"/>
        <v>1.4637499999999999</v>
      </c>
      <c r="CT1249">
        <f t="shared" si="1641"/>
        <v>3.9999999999999813E-2</v>
      </c>
      <c r="CU1249">
        <f t="shared" si="1642"/>
        <v>0.13333333333333319</v>
      </c>
      <c r="CV1249" s="2">
        <f t="shared" si="1643"/>
        <v>2.8094820017559131E-2</v>
      </c>
      <c r="CW1249" s="1" t="s">
        <v>1198</v>
      </c>
      <c r="CX1249" s="264" t="str">
        <f t="shared" si="1644"/>
        <v>reg</v>
      </c>
      <c r="CY1249" t="s">
        <v>235</v>
      </c>
      <c r="DB1249">
        <v>80</v>
      </c>
      <c r="DC1249" t="str">
        <f t="shared" si="1645"/>
        <v>71-100</v>
      </c>
      <c r="DD1249">
        <v>0</v>
      </c>
      <c r="DE1249">
        <v>1</v>
      </c>
      <c r="DF1249">
        <v>1</v>
      </c>
      <c r="DG1249">
        <v>1</v>
      </c>
      <c r="DI1249">
        <f t="shared" si="1654"/>
        <v>3</v>
      </c>
      <c r="DJ1249" t="str">
        <f t="shared" si="1646"/>
        <v>mixedProduct</v>
      </c>
      <c r="DK1249">
        <f t="shared" si="1655"/>
        <v>0</v>
      </c>
      <c r="DL1249" t="str">
        <f t="shared" si="1656"/>
        <v>Energy</v>
      </c>
      <c r="DM1249" t="str">
        <f t="shared" si="1657"/>
        <v>Pulp/Paper</v>
      </c>
      <c r="DN1249" t="str">
        <f t="shared" si="1658"/>
        <v>Timber</v>
      </c>
      <c r="DO1249">
        <v>0</v>
      </c>
      <c r="DP1249">
        <v>1</v>
      </c>
      <c r="DQ1249" t="s">
        <v>2145</v>
      </c>
      <c r="DR1249">
        <v>0</v>
      </c>
      <c r="DS1249">
        <v>0</v>
      </c>
      <c r="DT1249">
        <f t="shared" si="1660"/>
        <v>1</v>
      </c>
      <c r="DU1249" s="143" t="str">
        <f t="shared" si="1659"/>
        <v>external DF used</v>
      </c>
      <c r="DV1249">
        <v>1</v>
      </c>
      <c r="DW1249">
        <v>1</v>
      </c>
      <c r="DX1249">
        <v>1</v>
      </c>
      <c r="DY1249">
        <v>0</v>
      </c>
      <c r="DZ1249">
        <v>0</v>
      </c>
      <c r="EA1249" s="143">
        <v>0</v>
      </c>
      <c r="EB1249">
        <v>0</v>
      </c>
      <c r="EC1249">
        <v>0</v>
      </c>
      <c r="ED1249">
        <v>0</v>
      </c>
      <c r="EE1249">
        <v>0</v>
      </c>
      <c r="EF1249">
        <v>1</v>
      </c>
      <c r="EG1249">
        <v>0</v>
      </c>
      <c r="EH1249">
        <v>0</v>
      </c>
      <c r="EI1249" s="2">
        <v>0</v>
      </c>
      <c r="EK1249" t="str">
        <f t="shared" si="1652"/>
        <v/>
      </c>
      <c r="EL1249" t="str">
        <f t="shared" si="1653"/>
        <v>Ecosystem approach</v>
      </c>
      <c r="EM1249" s="2" t="str">
        <f t="shared" si="1592"/>
        <v/>
      </c>
      <c r="EP1249" t="str">
        <f>IF(ISNUMBER(BU1249),IF(ABS(BU1249-[4]QC_indicators!$B$2)&gt;3*[4]QC_indicators!$C$2,"C ratio",IF(ISNUMBER(BY1249),IF(ABS(BY1249-[4]QC_indicators!$B$1)&gt;3*[4]QC_indicators!$C$1,"DF","no"))),IF(ISNUMBER(BY1249),IF(ABS(BY1249-[4]QC_indicators!$B$1)&gt;3*[4]QC_indicators!$C$1,"DF","no")))</f>
        <v>no</v>
      </c>
      <c r="ET1249" s="264" t="s">
        <v>3406</v>
      </c>
    </row>
    <row r="1250" spans="1:150" ht="15" hidden="1" customHeight="1">
      <c r="A1250" s="1" t="s">
        <v>1359</v>
      </c>
      <c r="B1250" t="s">
        <v>2134</v>
      </c>
      <c r="C1250" t="s">
        <v>2135</v>
      </c>
      <c r="D1250" t="s">
        <v>2136</v>
      </c>
      <c r="E1250" t="s">
        <v>2137</v>
      </c>
      <c r="F1250" t="s">
        <v>2138</v>
      </c>
      <c r="G1250" t="s">
        <v>1365</v>
      </c>
      <c r="H1250" t="s">
        <v>254</v>
      </c>
      <c r="I1250">
        <v>2012</v>
      </c>
      <c r="J1250">
        <v>21</v>
      </c>
      <c r="K1250" t="s">
        <v>2139</v>
      </c>
      <c r="L1250" s="192"/>
      <c r="M1250" t="str">
        <f t="shared" si="1630"/>
        <v>Pyorala_2012</v>
      </c>
      <c r="N1250" t="s">
        <v>222</v>
      </c>
      <c r="O1250" s="145" t="s">
        <v>341</v>
      </c>
      <c r="P1250" s="180" t="s">
        <v>223</v>
      </c>
      <c r="Q1250" s="264" t="s">
        <v>256</v>
      </c>
      <c r="R1250" s="269" t="s">
        <v>1153</v>
      </c>
      <c r="S1250" s="263" t="s">
        <v>2153</v>
      </c>
      <c r="T1250" s="264" t="s">
        <v>2142</v>
      </c>
      <c r="U1250" s="264" t="s">
        <v>2151</v>
      </c>
      <c r="V1250">
        <v>0</v>
      </c>
      <c r="W1250">
        <v>0</v>
      </c>
      <c r="X1250">
        <v>0</v>
      </c>
      <c r="Y1250">
        <v>0</v>
      </c>
      <c r="Z1250">
        <v>0</v>
      </c>
      <c r="AA1250">
        <v>0</v>
      </c>
      <c r="AB1250">
        <v>1</v>
      </c>
      <c r="AC1250">
        <v>0</v>
      </c>
      <c r="AD1250">
        <v>0</v>
      </c>
      <c r="AE1250">
        <v>0</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s="141">
        <f t="shared" si="1631"/>
        <v>1</v>
      </c>
      <c r="AY1250" s="141">
        <f t="shared" si="1632"/>
        <v>1</v>
      </c>
      <c r="AZ1250">
        <f t="shared" si="1633"/>
        <v>1</v>
      </c>
      <c r="BA1250">
        <f t="shared" si="1634"/>
        <v>0</v>
      </c>
      <c r="BB1250">
        <f t="shared" si="1635"/>
        <v>0</v>
      </c>
      <c r="BC1250">
        <f t="shared" si="1636"/>
        <v>0</v>
      </c>
      <c r="BD1250">
        <f t="shared" si="1637"/>
        <v>0</v>
      </c>
      <c r="BE1250" t="str" cm="1">
        <f t="array" ref="BE1250">IF(AY1250=1,INDEX($V$7:$AL$7,MATCH(TRUE,INDEX($V1250:$AW1250&lt;&gt;0,),0)),IF(AY1250=0,INDEX($AM$7:$AW$7,MATCH(1,$AM1250:$AW1250,0)),IF(BF1250="Multiple strategies","mixed drivers",IF(BF1250="Supply chain","multiple supply","multiple silviculture"))))</f>
        <v>fertilisation</v>
      </c>
      <c r="BF1250" s="2" t="str" cm="1">
        <f t="array" ref="BF1250">IF(COUNTIF(AZ1250:BB1250,"&lt;&gt;0")=1,INDEX($V$4:$AW$4,MATCH(TRUE,INDEX($V1250:$AW1250&lt;&gt;0,),0)),IF(COUNTIF(AZ1250:BB1250,"&lt;&gt;0")=0,INDEX($AM$4:$AW$4,MATCH(1,$AM1250:$AW1250,0)),"Multiple strategies"))</f>
        <v>Silviculture for productivity</v>
      </c>
      <c r="BG1250" s="178" t="s">
        <v>321</v>
      </c>
      <c r="BH1250" s="264" t="s">
        <v>2143</v>
      </c>
      <c r="BI1250" s="264" t="s">
        <v>426</v>
      </c>
      <c r="BJ1250" s="160" t="s">
        <v>700</v>
      </c>
      <c r="BK1250">
        <v>7.8</v>
      </c>
      <c r="BL1250">
        <v>10.6</v>
      </c>
      <c r="BN1250">
        <f t="shared" si="1647"/>
        <v>2.8</v>
      </c>
      <c r="BO1250">
        <f t="shared" si="1627"/>
        <v>2.8</v>
      </c>
      <c r="BP1250" s="155" t="s">
        <v>232</v>
      </c>
      <c r="BQ1250" s="264" t="s">
        <v>786</v>
      </c>
      <c r="BR1250" s="270" t="s">
        <v>2144</v>
      </c>
      <c r="BS1250" s="264">
        <f>155.5/50</f>
        <v>3.11</v>
      </c>
      <c r="BT1250" s="264">
        <f>180.7/50</f>
        <v>3.6139999999999999</v>
      </c>
      <c r="BU1250" s="144"/>
      <c r="BV1250">
        <f t="shared" si="1648"/>
        <v>0.504</v>
      </c>
      <c r="BX1250">
        <f t="shared" si="1628"/>
        <v>0.504</v>
      </c>
      <c r="BY1250">
        <f t="shared" si="1591"/>
        <v>0.18000000000000002</v>
      </c>
      <c r="BZ1250">
        <v>0</v>
      </c>
      <c r="CA1250">
        <v>0</v>
      </c>
      <c r="CB1250">
        <v>0</v>
      </c>
      <c r="CC1250">
        <v>0</v>
      </c>
      <c r="CD1250">
        <v>0</v>
      </c>
      <c r="CE1250">
        <v>0</v>
      </c>
      <c r="CF1250">
        <v>0</v>
      </c>
      <c r="CG1250">
        <v>0</v>
      </c>
      <c r="CH1250">
        <v>0</v>
      </c>
      <c r="CI1250">
        <v>0</v>
      </c>
      <c r="CJ1250">
        <v>0</v>
      </c>
      <c r="CK1250">
        <v>0</v>
      </c>
      <c r="CL1250">
        <v>0</v>
      </c>
      <c r="CM1250">
        <v>0</v>
      </c>
      <c r="CN1250" t="str">
        <f t="shared" si="1638"/>
        <v>refOK</v>
      </c>
      <c r="CO1250">
        <f t="shared" si="1649"/>
        <v>7.8</v>
      </c>
      <c r="CP1250">
        <f t="shared" si="1650"/>
        <v>10.6</v>
      </c>
      <c r="CQ1250">
        <f t="shared" si="1651"/>
        <v>2.8</v>
      </c>
      <c r="CR1250">
        <f t="shared" si="1639"/>
        <v>3.11</v>
      </c>
      <c r="CS1250">
        <f t="shared" si="1640"/>
        <v>3.6139999999999999</v>
      </c>
      <c r="CT1250">
        <f t="shared" si="1641"/>
        <v>0.504</v>
      </c>
      <c r="CU1250">
        <f t="shared" si="1642"/>
        <v>0.18000000000000002</v>
      </c>
      <c r="CV1250" s="2">
        <f t="shared" si="1643"/>
        <v>0.16205787781350484</v>
      </c>
      <c r="CW1250" s="1" t="s">
        <v>1198</v>
      </c>
      <c r="CX1250" s="264" t="str">
        <f t="shared" si="1644"/>
        <v>reg</v>
      </c>
      <c r="CY1250" t="s">
        <v>235</v>
      </c>
      <c r="DB1250">
        <v>50</v>
      </c>
      <c r="DC1250" t="str">
        <f t="shared" si="1645"/>
        <v>31-70</v>
      </c>
      <c r="DD1250">
        <v>0</v>
      </c>
      <c r="DE1250">
        <v>1</v>
      </c>
      <c r="DF1250">
        <v>1</v>
      </c>
      <c r="DG1250">
        <v>1</v>
      </c>
      <c r="DI1250">
        <f t="shared" si="1654"/>
        <v>3</v>
      </c>
      <c r="DJ1250" t="str">
        <f t="shared" si="1646"/>
        <v>mixedProduct</v>
      </c>
      <c r="DK1250">
        <f t="shared" si="1655"/>
        <v>0</v>
      </c>
      <c r="DL1250" t="str">
        <f t="shared" si="1656"/>
        <v>Energy</v>
      </c>
      <c r="DM1250" t="str">
        <f t="shared" si="1657"/>
        <v>Pulp/Paper</v>
      </c>
      <c r="DN1250" t="str">
        <f t="shared" si="1658"/>
        <v>Timber</v>
      </c>
      <c r="DO1250">
        <v>0</v>
      </c>
      <c r="DP1250">
        <v>1</v>
      </c>
      <c r="DQ1250" t="s">
        <v>2145</v>
      </c>
      <c r="DR1250">
        <v>0</v>
      </c>
      <c r="DS1250">
        <v>0</v>
      </c>
      <c r="DT1250">
        <f t="shared" si="1660"/>
        <v>1</v>
      </c>
      <c r="DU1250" s="143" t="str">
        <f t="shared" si="1659"/>
        <v>external DF used</v>
      </c>
      <c r="DV1250">
        <v>1</v>
      </c>
      <c r="DW1250">
        <v>1</v>
      </c>
      <c r="DX1250">
        <v>1</v>
      </c>
      <c r="DY1250">
        <v>0</v>
      </c>
      <c r="DZ1250">
        <v>0</v>
      </c>
      <c r="EA1250" s="143">
        <v>0</v>
      </c>
      <c r="EB1250">
        <v>0</v>
      </c>
      <c r="EC1250">
        <v>0</v>
      </c>
      <c r="ED1250">
        <v>0</v>
      </c>
      <c r="EE1250">
        <v>0</v>
      </c>
      <c r="EF1250">
        <v>1</v>
      </c>
      <c r="EG1250">
        <v>0</v>
      </c>
      <c r="EH1250">
        <v>0</v>
      </c>
      <c r="EI1250" s="2">
        <v>0</v>
      </c>
      <c r="EK1250" t="str">
        <f t="shared" si="1652"/>
        <v/>
      </c>
      <c r="EL1250" t="str">
        <f t="shared" si="1653"/>
        <v>Ecosystem approach</v>
      </c>
      <c r="EM1250" s="2" t="str">
        <f t="shared" si="1592"/>
        <v/>
      </c>
      <c r="EP1250" t="str">
        <f>IF(ISNUMBER(BU1250),IF(ABS(BU1250-[4]QC_indicators!$B$2)&gt;3*[4]QC_indicators!$C$2,"C ratio",IF(ISNUMBER(BY1250),IF(ABS(BY1250-[4]QC_indicators!$B$1)&gt;3*[4]QC_indicators!$C$1,"DF","no"))),IF(ISNUMBER(BY1250),IF(ABS(BY1250-[4]QC_indicators!$B$1)&gt;3*[4]QC_indicators!$C$1,"DF","no")))</f>
        <v>no</v>
      </c>
      <c r="ET1250" s="264" t="s">
        <v>3406</v>
      </c>
    </row>
    <row r="1251" spans="1:150" ht="15" hidden="1" customHeight="1">
      <c r="A1251" s="1" t="s">
        <v>1359</v>
      </c>
      <c r="B1251" t="s">
        <v>2134</v>
      </c>
      <c r="C1251" t="s">
        <v>2135</v>
      </c>
      <c r="D1251" t="s">
        <v>2136</v>
      </c>
      <c r="E1251" t="s">
        <v>2137</v>
      </c>
      <c r="F1251" t="s">
        <v>2138</v>
      </c>
      <c r="G1251" t="s">
        <v>1365</v>
      </c>
      <c r="H1251" t="s">
        <v>254</v>
      </c>
      <c r="I1251">
        <v>2012</v>
      </c>
      <c r="J1251">
        <v>21</v>
      </c>
      <c r="K1251" t="s">
        <v>2139</v>
      </c>
      <c r="L1251" s="192"/>
      <c r="M1251" t="str">
        <f t="shared" si="1630"/>
        <v>Pyorala_2012</v>
      </c>
      <c r="N1251" t="s">
        <v>222</v>
      </c>
      <c r="O1251" s="145" t="s">
        <v>341</v>
      </c>
      <c r="P1251" s="193" t="s">
        <v>223</v>
      </c>
      <c r="Q1251" s="264" t="s">
        <v>2165</v>
      </c>
      <c r="R1251" s="269" t="s">
        <v>1153</v>
      </c>
      <c r="S1251" s="263" t="s">
        <v>2155</v>
      </c>
      <c r="T1251" s="264" t="s">
        <v>2156</v>
      </c>
      <c r="U1251" s="264" t="s">
        <v>2157</v>
      </c>
      <c r="V1251">
        <v>0</v>
      </c>
      <c r="W1251">
        <v>0</v>
      </c>
      <c r="X1251">
        <v>0</v>
      </c>
      <c r="Y1251">
        <v>0</v>
      </c>
      <c r="Z1251">
        <v>0</v>
      </c>
      <c r="AA1251">
        <v>0</v>
      </c>
      <c r="AB1251">
        <v>0</v>
      </c>
      <c r="AC1251">
        <v>1</v>
      </c>
      <c r="AD1251">
        <v>0</v>
      </c>
      <c r="AE1251">
        <v>0</v>
      </c>
      <c r="AF1251">
        <v>0</v>
      </c>
      <c r="AG1251">
        <v>0</v>
      </c>
      <c r="AH1251">
        <v>0</v>
      </c>
      <c r="AI1251">
        <v>0</v>
      </c>
      <c r="AJ1251">
        <v>0</v>
      </c>
      <c r="AK1251">
        <v>0</v>
      </c>
      <c r="AL1251">
        <v>0</v>
      </c>
      <c r="AM1251">
        <v>0</v>
      </c>
      <c r="AN1251">
        <v>0</v>
      </c>
      <c r="AO1251">
        <v>0</v>
      </c>
      <c r="AP1251">
        <v>0</v>
      </c>
      <c r="AQ1251">
        <v>0</v>
      </c>
      <c r="AR1251">
        <v>0</v>
      </c>
      <c r="AS1251">
        <v>0</v>
      </c>
      <c r="AT1251">
        <v>0</v>
      </c>
      <c r="AU1251">
        <v>0</v>
      </c>
      <c r="AV1251">
        <v>0</v>
      </c>
      <c r="AW1251">
        <v>0</v>
      </c>
      <c r="AX1251" s="141">
        <f t="shared" si="1631"/>
        <v>1</v>
      </c>
      <c r="AY1251" s="141">
        <f t="shared" si="1632"/>
        <v>1</v>
      </c>
      <c r="AZ1251">
        <f t="shared" si="1633"/>
        <v>1</v>
      </c>
      <c r="BA1251">
        <f t="shared" si="1634"/>
        <v>0</v>
      </c>
      <c r="BB1251">
        <f t="shared" si="1635"/>
        <v>0</v>
      </c>
      <c r="BC1251">
        <f t="shared" si="1636"/>
        <v>0</v>
      </c>
      <c r="BD1251">
        <f t="shared" si="1637"/>
        <v>0</v>
      </c>
      <c r="BE1251" t="str" cm="1">
        <f t="array" ref="BE1251">IF(AY1251=1,INDEX($V$7:$AL$7,MATCH(TRUE,INDEX($V1251:$AW1251&lt;&gt;0,),0)),IF(AY1251=0,INDEX($AM$7:$AW$7,MATCH(1,$AM1251:$AW1251,0)),IF(BF1251="Multiple strategies","mixed drivers",IF(BF1251="Supply chain","multiple supply","multiple silviculture"))))</f>
        <v>site fertility</v>
      </c>
      <c r="BF1251" s="2" t="str" cm="1">
        <f t="array" ref="BF1251">IF(COUNTIF(AZ1251:BB1251,"&lt;&gt;0")=1,INDEX($V$4:$AW$4,MATCH(TRUE,INDEX($V1251:$AW1251&lt;&gt;0,),0)),IF(COUNTIF(AZ1251:BB1251,"&lt;&gt;0")=0,INDEX($AM$4:$AW$4,MATCH(1,$AM1251:$AW1251,0)),"Multiple strategies"))</f>
        <v>Silviculture for productivity</v>
      </c>
      <c r="BG1251" s="194" t="s">
        <v>321</v>
      </c>
      <c r="BH1251" s="264" t="s">
        <v>2143</v>
      </c>
      <c r="BI1251" s="264" t="s">
        <v>2158</v>
      </c>
      <c r="BJ1251" s="195" t="s">
        <v>700</v>
      </c>
      <c r="BK1251">
        <v>7.4</v>
      </c>
      <c r="BL1251">
        <v>8.8000000000000007</v>
      </c>
      <c r="BN1251">
        <f t="shared" si="1647"/>
        <v>1.4000000000000004</v>
      </c>
      <c r="BO1251">
        <f t="shared" si="1627"/>
        <v>1.4000000000000004</v>
      </c>
      <c r="BP1251" s="149" t="s">
        <v>232</v>
      </c>
      <c r="BQ1251" s="264" t="s">
        <v>786</v>
      </c>
      <c r="BR1251" s="294" t="s">
        <v>2144</v>
      </c>
      <c r="BS1251" s="264">
        <f>116.4/80</f>
        <v>1.4550000000000001</v>
      </c>
      <c r="BT1251" s="264">
        <f>138.5/80</f>
        <v>1.73125</v>
      </c>
      <c r="BU1251" s="144"/>
      <c r="BV1251">
        <f t="shared" si="1648"/>
        <v>0.27624999999999988</v>
      </c>
      <c r="BX1251">
        <f t="shared" si="1628"/>
        <v>0.27624999999999988</v>
      </c>
      <c r="BY1251">
        <f t="shared" si="1591"/>
        <v>0.19732142857142843</v>
      </c>
      <c r="BZ1251">
        <v>0</v>
      </c>
      <c r="CA1251">
        <v>0</v>
      </c>
      <c r="CB1251">
        <v>0</v>
      </c>
      <c r="CC1251">
        <v>0</v>
      </c>
      <c r="CD1251">
        <v>0</v>
      </c>
      <c r="CE1251">
        <v>0</v>
      </c>
      <c r="CF1251">
        <v>0</v>
      </c>
      <c r="CG1251">
        <v>0</v>
      </c>
      <c r="CH1251">
        <v>0</v>
      </c>
      <c r="CI1251">
        <v>0</v>
      </c>
      <c r="CJ1251">
        <v>0</v>
      </c>
      <c r="CK1251">
        <v>0</v>
      </c>
      <c r="CL1251">
        <v>0</v>
      </c>
      <c r="CM1251">
        <v>0</v>
      </c>
      <c r="CN1251" t="str">
        <f t="shared" si="1638"/>
        <v>refOK</v>
      </c>
      <c r="CO1251">
        <f t="shared" si="1649"/>
        <v>7.4</v>
      </c>
      <c r="CP1251">
        <f t="shared" si="1650"/>
        <v>8.8000000000000007</v>
      </c>
      <c r="CQ1251">
        <f t="shared" si="1651"/>
        <v>1.4000000000000004</v>
      </c>
      <c r="CR1251">
        <f t="shared" si="1639"/>
        <v>1.4550000000000001</v>
      </c>
      <c r="CS1251">
        <f t="shared" si="1640"/>
        <v>1.73125</v>
      </c>
      <c r="CT1251">
        <f t="shared" si="1641"/>
        <v>0.27624999999999988</v>
      </c>
      <c r="CU1251">
        <f t="shared" si="1642"/>
        <v>0.19732142857142843</v>
      </c>
      <c r="CV1251" s="2">
        <f t="shared" si="1643"/>
        <v>0.18986254295532637</v>
      </c>
      <c r="CW1251" s="1" t="s">
        <v>1198</v>
      </c>
      <c r="CX1251" s="264" t="str">
        <f t="shared" si="1644"/>
        <v>reg</v>
      </c>
      <c r="CY1251" t="s">
        <v>235</v>
      </c>
      <c r="DB1251">
        <v>80</v>
      </c>
      <c r="DC1251" t="str">
        <f t="shared" si="1645"/>
        <v>71-100</v>
      </c>
      <c r="DD1251">
        <v>0</v>
      </c>
      <c r="DE1251">
        <v>1</v>
      </c>
      <c r="DF1251">
        <v>1</v>
      </c>
      <c r="DG1251">
        <v>1</v>
      </c>
      <c r="DI1251">
        <f t="shared" si="1654"/>
        <v>3</v>
      </c>
      <c r="DJ1251" t="str">
        <f t="shared" si="1646"/>
        <v>mixedProduct</v>
      </c>
      <c r="DK1251">
        <f t="shared" si="1655"/>
        <v>0</v>
      </c>
      <c r="DL1251" t="str">
        <f t="shared" si="1656"/>
        <v>Energy</v>
      </c>
      <c r="DM1251" t="str">
        <f t="shared" si="1657"/>
        <v>Pulp/Paper</v>
      </c>
      <c r="DN1251" t="str">
        <f t="shared" si="1658"/>
        <v>Timber</v>
      </c>
      <c r="DO1251">
        <v>0</v>
      </c>
      <c r="DP1251">
        <v>1</v>
      </c>
      <c r="DQ1251" t="s">
        <v>2145</v>
      </c>
      <c r="DR1251">
        <v>0</v>
      </c>
      <c r="DS1251">
        <v>0</v>
      </c>
      <c r="DT1251">
        <f t="shared" si="1660"/>
        <v>1</v>
      </c>
      <c r="DU1251" s="143" t="str">
        <f t="shared" si="1659"/>
        <v>external DF used</v>
      </c>
      <c r="DV1251">
        <v>1</v>
      </c>
      <c r="DW1251">
        <v>1</v>
      </c>
      <c r="DX1251">
        <v>1</v>
      </c>
      <c r="DY1251">
        <v>0</v>
      </c>
      <c r="DZ1251">
        <v>0</v>
      </c>
      <c r="EA1251" s="143">
        <v>0</v>
      </c>
      <c r="EB1251">
        <v>0</v>
      </c>
      <c r="EC1251">
        <v>0</v>
      </c>
      <c r="ED1251">
        <v>0</v>
      </c>
      <c r="EE1251">
        <v>0</v>
      </c>
      <c r="EF1251">
        <v>1</v>
      </c>
      <c r="EG1251">
        <v>0</v>
      </c>
      <c r="EH1251">
        <v>0</v>
      </c>
      <c r="EI1251" s="2">
        <v>0</v>
      </c>
      <c r="EK1251" t="str">
        <f t="shared" si="1652"/>
        <v/>
      </c>
      <c r="EL1251" t="str">
        <f t="shared" si="1653"/>
        <v>Ecosystem approach</v>
      </c>
      <c r="EM1251" s="2" t="str">
        <f t="shared" si="1592"/>
        <v/>
      </c>
      <c r="EP1251" t="str">
        <f>IF(ISNUMBER(BU1251),IF(ABS(BU1251-[4]QC_indicators!$B$2)&gt;3*[4]QC_indicators!$C$2,"C ratio",IF(ISNUMBER(BY1251),IF(ABS(BY1251-[4]QC_indicators!$B$1)&gt;3*[4]QC_indicators!$C$1,"DF","no"))),IF(ISNUMBER(BY1251),IF(ABS(BY1251-[4]QC_indicators!$B$1)&gt;3*[4]QC_indicators!$C$1,"DF","no")))</f>
        <v>no</v>
      </c>
      <c r="ET1251" s="264" t="s">
        <v>3406</v>
      </c>
    </row>
    <row r="1252" spans="1:150" ht="15" hidden="1" customHeight="1">
      <c r="A1252" s="1" t="s">
        <v>1359</v>
      </c>
      <c r="B1252" t="s">
        <v>2134</v>
      </c>
      <c r="C1252" t="s">
        <v>2135</v>
      </c>
      <c r="D1252" t="s">
        <v>2136</v>
      </c>
      <c r="E1252" t="s">
        <v>2137</v>
      </c>
      <c r="F1252" t="s">
        <v>2138</v>
      </c>
      <c r="G1252" t="s">
        <v>1365</v>
      </c>
      <c r="H1252" t="s">
        <v>254</v>
      </c>
      <c r="I1252">
        <v>2012</v>
      </c>
      <c r="J1252">
        <v>21</v>
      </c>
      <c r="K1252" t="s">
        <v>2139</v>
      </c>
      <c r="L1252" s="192"/>
      <c r="M1252" t="str">
        <f t="shared" si="1630"/>
        <v>Pyorala_2012</v>
      </c>
      <c r="N1252" t="s">
        <v>222</v>
      </c>
      <c r="O1252" s="145" t="s">
        <v>341</v>
      </c>
      <c r="P1252" s="180" t="s">
        <v>223</v>
      </c>
      <c r="Q1252" s="264" t="s">
        <v>256</v>
      </c>
      <c r="R1252" s="269" t="s">
        <v>1153</v>
      </c>
      <c r="S1252" s="263" t="s">
        <v>2152</v>
      </c>
      <c r="T1252" s="264" t="s">
        <v>2142</v>
      </c>
      <c r="U1252" s="264" t="s">
        <v>2151</v>
      </c>
      <c r="V1252">
        <v>0</v>
      </c>
      <c r="W1252">
        <v>0</v>
      </c>
      <c r="X1252">
        <v>0</v>
      </c>
      <c r="Y1252">
        <v>0</v>
      </c>
      <c r="Z1252">
        <v>0</v>
      </c>
      <c r="AA1252">
        <v>0</v>
      </c>
      <c r="AB1252">
        <v>1</v>
      </c>
      <c r="AC1252">
        <v>0</v>
      </c>
      <c r="AD1252">
        <v>0</v>
      </c>
      <c r="AE1252">
        <v>0</v>
      </c>
      <c r="AF1252">
        <v>0</v>
      </c>
      <c r="AG1252">
        <v>0</v>
      </c>
      <c r="AH1252">
        <v>0</v>
      </c>
      <c r="AI1252">
        <v>0</v>
      </c>
      <c r="AJ1252">
        <v>0</v>
      </c>
      <c r="AK1252">
        <v>0</v>
      </c>
      <c r="AL1252">
        <v>0</v>
      </c>
      <c r="AM1252">
        <v>0</v>
      </c>
      <c r="AN1252">
        <v>0</v>
      </c>
      <c r="AO1252">
        <v>0</v>
      </c>
      <c r="AP1252">
        <v>0</v>
      </c>
      <c r="AQ1252">
        <v>0</v>
      </c>
      <c r="AR1252">
        <v>0</v>
      </c>
      <c r="AS1252">
        <v>0</v>
      </c>
      <c r="AT1252">
        <v>0</v>
      </c>
      <c r="AU1252">
        <v>0</v>
      </c>
      <c r="AV1252">
        <v>0</v>
      </c>
      <c r="AW1252">
        <v>0</v>
      </c>
      <c r="AX1252" s="141">
        <f t="shared" si="1631"/>
        <v>1</v>
      </c>
      <c r="AY1252" s="141">
        <f t="shared" si="1632"/>
        <v>1</v>
      </c>
      <c r="AZ1252">
        <f t="shared" si="1633"/>
        <v>1</v>
      </c>
      <c r="BA1252">
        <f t="shared" si="1634"/>
        <v>0</v>
      </c>
      <c r="BB1252">
        <f t="shared" si="1635"/>
        <v>0</v>
      </c>
      <c r="BC1252">
        <f t="shared" si="1636"/>
        <v>0</v>
      </c>
      <c r="BD1252">
        <f t="shared" si="1637"/>
        <v>0</v>
      </c>
      <c r="BE1252" t="str" cm="1">
        <f t="array" ref="BE1252">IF(AY1252=1,INDEX($V$7:$AL$7,MATCH(TRUE,INDEX($V1252:$AW1252&lt;&gt;0,),0)),IF(AY1252=0,INDEX($AM$7:$AW$7,MATCH(1,$AM1252:$AW1252,0)),IF(BF1252="Multiple strategies","mixed drivers",IF(BF1252="Supply chain","multiple supply","multiple silviculture"))))</f>
        <v>fertilisation</v>
      </c>
      <c r="BF1252" s="2" t="str" cm="1">
        <f t="array" ref="BF1252">IF(COUNTIF(AZ1252:BB1252,"&lt;&gt;0")=1,INDEX($V$4:$AW$4,MATCH(TRUE,INDEX($V1252:$AW1252&lt;&gt;0,),0)),IF(COUNTIF(AZ1252:BB1252,"&lt;&gt;0")=0,INDEX($AM$4:$AW$4,MATCH(1,$AM1252:$AW1252,0)),"Multiple strategies"))</f>
        <v>Silviculture for productivity</v>
      </c>
      <c r="BG1252" s="178" t="s">
        <v>321</v>
      </c>
      <c r="BH1252" s="264" t="s">
        <v>2143</v>
      </c>
      <c r="BI1252" s="264" t="s">
        <v>701</v>
      </c>
      <c r="BJ1252" s="160" t="s">
        <v>700</v>
      </c>
      <c r="BK1252">
        <v>7.6</v>
      </c>
      <c r="BL1252">
        <v>7.9</v>
      </c>
      <c r="BN1252">
        <f t="shared" si="1647"/>
        <v>0.30000000000000071</v>
      </c>
      <c r="BO1252">
        <f t="shared" si="1627"/>
        <v>0.30000000000000071</v>
      </c>
      <c r="BP1252" s="155" t="s">
        <v>232</v>
      </c>
      <c r="BQ1252" s="264" t="s">
        <v>786</v>
      </c>
      <c r="BR1252" s="270" t="s">
        <v>2144</v>
      </c>
      <c r="BS1252" s="264">
        <f>147.4/50</f>
        <v>2.948</v>
      </c>
      <c r="BT1252" s="264">
        <f>151.9/50</f>
        <v>3.0380000000000003</v>
      </c>
      <c r="BU1252" s="144"/>
      <c r="BV1252">
        <f t="shared" si="1648"/>
        <v>9.0000000000000302E-2</v>
      </c>
      <c r="BX1252">
        <f t="shared" si="1628"/>
        <v>9.0000000000000302E-2</v>
      </c>
      <c r="BY1252">
        <f t="shared" si="1591"/>
        <v>0.30000000000000032</v>
      </c>
      <c r="BZ1252">
        <v>0</v>
      </c>
      <c r="CA1252">
        <v>0</v>
      </c>
      <c r="CB1252">
        <v>0</v>
      </c>
      <c r="CC1252">
        <v>0</v>
      </c>
      <c r="CD1252">
        <v>0</v>
      </c>
      <c r="CE1252">
        <v>0</v>
      </c>
      <c r="CF1252">
        <v>0</v>
      </c>
      <c r="CG1252">
        <v>0</v>
      </c>
      <c r="CH1252">
        <v>0</v>
      </c>
      <c r="CI1252">
        <v>0</v>
      </c>
      <c r="CJ1252">
        <v>0</v>
      </c>
      <c r="CK1252">
        <v>0</v>
      </c>
      <c r="CL1252">
        <v>0</v>
      </c>
      <c r="CM1252">
        <v>0</v>
      </c>
      <c r="CN1252" t="str">
        <f t="shared" si="1638"/>
        <v>refOK</v>
      </c>
      <c r="CO1252">
        <f t="shared" si="1649"/>
        <v>7.6</v>
      </c>
      <c r="CP1252">
        <f t="shared" si="1650"/>
        <v>7.9</v>
      </c>
      <c r="CQ1252">
        <f t="shared" si="1651"/>
        <v>0.30000000000000071</v>
      </c>
      <c r="CR1252">
        <f t="shared" si="1639"/>
        <v>2.948</v>
      </c>
      <c r="CS1252">
        <f t="shared" si="1640"/>
        <v>3.0380000000000003</v>
      </c>
      <c r="CT1252">
        <f t="shared" si="1641"/>
        <v>9.0000000000000302E-2</v>
      </c>
      <c r="CU1252">
        <f t="shared" si="1642"/>
        <v>0.30000000000000032</v>
      </c>
      <c r="CV1252" s="2">
        <f t="shared" si="1643"/>
        <v>3.05291723202172E-2</v>
      </c>
      <c r="CW1252" s="1" t="s">
        <v>1198</v>
      </c>
      <c r="CX1252" s="264" t="str">
        <f t="shared" si="1644"/>
        <v>reg</v>
      </c>
      <c r="CY1252" t="s">
        <v>235</v>
      </c>
      <c r="DB1252">
        <v>50</v>
      </c>
      <c r="DC1252" t="str">
        <f t="shared" si="1645"/>
        <v>31-70</v>
      </c>
      <c r="DD1252">
        <v>0</v>
      </c>
      <c r="DE1252">
        <v>1</v>
      </c>
      <c r="DF1252">
        <v>1</v>
      </c>
      <c r="DG1252">
        <v>1</v>
      </c>
      <c r="DI1252">
        <f t="shared" si="1654"/>
        <v>3</v>
      </c>
      <c r="DJ1252" t="str">
        <f t="shared" si="1646"/>
        <v>mixedProduct</v>
      </c>
      <c r="DK1252">
        <f t="shared" si="1655"/>
        <v>0</v>
      </c>
      <c r="DL1252" t="str">
        <f t="shared" si="1656"/>
        <v>Energy</v>
      </c>
      <c r="DM1252" t="str">
        <f t="shared" si="1657"/>
        <v>Pulp/Paper</v>
      </c>
      <c r="DN1252" t="str">
        <f t="shared" si="1658"/>
        <v>Timber</v>
      </c>
      <c r="DO1252">
        <v>0</v>
      </c>
      <c r="DP1252">
        <v>1</v>
      </c>
      <c r="DQ1252" t="s">
        <v>2145</v>
      </c>
      <c r="DR1252">
        <v>0</v>
      </c>
      <c r="DS1252">
        <v>0</v>
      </c>
      <c r="DT1252">
        <f t="shared" si="1660"/>
        <v>1</v>
      </c>
      <c r="DU1252" s="143" t="str">
        <f t="shared" si="1659"/>
        <v>external DF used</v>
      </c>
      <c r="DV1252">
        <v>1</v>
      </c>
      <c r="DW1252">
        <v>1</v>
      </c>
      <c r="DX1252">
        <v>1</v>
      </c>
      <c r="DY1252">
        <v>0</v>
      </c>
      <c r="DZ1252">
        <v>0</v>
      </c>
      <c r="EA1252" s="143">
        <v>0</v>
      </c>
      <c r="EB1252">
        <v>0</v>
      </c>
      <c r="EC1252">
        <v>0</v>
      </c>
      <c r="ED1252">
        <v>0</v>
      </c>
      <c r="EE1252">
        <v>0</v>
      </c>
      <c r="EF1252">
        <v>1</v>
      </c>
      <c r="EG1252">
        <v>0</v>
      </c>
      <c r="EH1252">
        <v>0</v>
      </c>
      <c r="EI1252" s="2">
        <v>0</v>
      </c>
      <c r="EK1252" t="str">
        <f t="shared" si="1652"/>
        <v/>
      </c>
      <c r="EL1252" t="str">
        <f t="shared" si="1653"/>
        <v>Ecosystem approach</v>
      </c>
      <c r="EM1252" s="2" t="str">
        <f t="shared" si="1592"/>
        <v/>
      </c>
      <c r="EP1252" t="str">
        <f>IF(ISNUMBER(BU1252),IF(ABS(BU1252-[4]QC_indicators!$B$2)&gt;3*[4]QC_indicators!$C$2,"C ratio",IF(ISNUMBER(BY1252),IF(ABS(BY1252-[4]QC_indicators!$B$1)&gt;3*[4]QC_indicators!$C$1,"DF","no"))),IF(ISNUMBER(BY1252),IF(ABS(BY1252-[4]QC_indicators!$B$1)&gt;3*[4]QC_indicators!$C$1,"DF","no")))</f>
        <v>no</v>
      </c>
      <c r="ET1252" s="264" t="s">
        <v>3406</v>
      </c>
    </row>
    <row r="1253" spans="1:150" ht="15" hidden="1" customHeight="1">
      <c r="A1253" s="1" t="s">
        <v>1359</v>
      </c>
      <c r="B1253" t="s">
        <v>2134</v>
      </c>
      <c r="C1253" t="s">
        <v>2135</v>
      </c>
      <c r="D1253" t="s">
        <v>2136</v>
      </c>
      <c r="E1253" t="s">
        <v>2137</v>
      </c>
      <c r="F1253" t="s">
        <v>2138</v>
      </c>
      <c r="G1253" t="s">
        <v>1365</v>
      </c>
      <c r="H1253" t="s">
        <v>254</v>
      </c>
      <c r="I1253">
        <v>2012</v>
      </c>
      <c r="J1253">
        <v>21</v>
      </c>
      <c r="K1253" t="s">
        <v>2139</v>
      </c>
      <c r="L1253" s="192"/>
      <c r="M1253" t="str">
        <f t="shared" si="1630"/>
        <v>Pyorala_2012</v>
      </c>
      <c r="N1253" t="s">
        <v>222</v>
      </c>
      <c r="O1253" s="145" t="s">
        <v>341</v>
      </c>
      <c r="P1253" s="180" t="s">
        <v>223</v>
      </c>
      <c r="Q1253" s="264" t="s">
        <v>256</v>
      </c>
      <c r="R1253" s="269" t="s">
        <v>1153</v>
      </c>
      <c r="S1253" s="263" t="s">
        <v>2149</v>
      </c>
      <c r="T1253" s="264" t="s">
        <v>2142</v>
      </c>
      <c r="U1253" s="264" t="s">
        <v>2147</v>
      </c>
      <c r="V1253">
        <v>0</v>
      </c>
      <c r="W1253">
        <v>0</v>
      </c>
      <c r="X1253">
        <v>0</v>
      </c>
      <c r="Y1253">
        <v>1</v>
      </c>
      <c r="Z1253">
        <v>0</v>
      </c>
      <c r="AA1253">
        <v>0</v>
      </c>
      <c r="AB1253">
        <v>0</v>
      </c>
      <c r="AC1253">
        <v>0</v>
      </c>
      <c r="AD1253">
        <v>0</v>
      </c>
      <c r="AE1253">
        <v>0</v>
      </c>
      <c r="AF1253">
        <v>0</v>
      </c>
      <c r="AG1253">
        <v>0</v>
      </c>
      <c r="AH1253">
        <v>0</v>
      </c>
      <c r="AI1253">
        <v>0</v>
      </c>
      <c r="AJ1253">
        <v>0</v>
      </c>
      <c r="AK1253">
        <v>0</v>
      </c>
      <c r="AL1253">
        <v>0</v>
      </c>
      <c r="AM1253">
        <v>0</v>
      </c>
      <c r="AN1253">
        <v>0</v>
      </c>
      <c r="AO1253">
        <v>0</v>
      </c>
      <c r="AP1253">
        <v>0</v>
      </c>
      <c r="AQ1253">
        <v>0</v>
      </c>
      <c r="AR1253">
        <v>0</v>
      </c>
      <c r="AS1253">
        <v>0</v>
      </c>
      <c r="AT1253">
        <v>0</v>
      </c>
      <c r="AU1253">
        <v>0</v>
      </c>
      <c r="AV1253">
        <v>0</v>
      </c>
      <c r="AW1253">
        <v>0</v>
      </c>
      <c r="AX1253" s="141">
        <f t="shared" si="1631"/>
        <v>1</v>
      </c>
      <c r="AY1253" s="141">
        <f t="shared" si="1632"/>
        <v>1</v>
      </c>
      <c r="AZ1253">
        <f t="shared" si="1633"/>
        <v>1</v>
      </c>
      <c r="BA1253">
        <f t="shared" si="1634"/>
        <v>0</v>
      </c>
      <c r="BB1253">
        <f t="shared" si="1635"/>
        <v>0</v>
      </c>
      <c r="BC1253">
        <f t="shared" si="1636"/>
        <v>0</v>
      </c>
      <c r="BD1253">
        <f t="shared" si="1637"/>
        <v>0</v>
      </c>
      <c r="BE1253" t="str" cm="1">
        <f t="array" ref="BE1253">IF(AY1253=1,INDEX($V$7:$AL$7,MATCH(TRUE,INDEX($V1253:$AW1253&lt;&gt;0,),0)),IF(AY1253=0,INDEX($AM$7:$AW$7,MATCH(1,$AM1253:$AW1253,0)),IF(BF1253="Multiple strategies","mixed drivers",IF(BF1253="Supply chain","multiple supply","multiple silviculture"))))</f>
        <v xml:space="preserve">cutting intensity </v>
      </c>
      <c r="BF1253" s="2" t="str" cm="1">
        <f t="array" ref="BF1253">IF(COUNTIF(AZ1253:BB1253,"&lt;&gt;0")=1,INDEX($V$4:$AW$4,MATCH(TRUE,INDEX($V1253:$AW1253&lt;&gt;0,),0)),IF(COUNTIF(AZ1253:BB1253,"&lt;&gt;0")=0,INDEX($AM$4:$AW$4,MATCH(1,$AM1253:$AW1253,0)),"Multiple strategies"))</f>
        <v>Silviculture for removals</v>
      </c>
      <c r="BG1253" s="178" t="s">
        <v>321</v>
      </c>
      <c r="BH1253" s="264" t="s">
        <v>2143</v>
      </c>
      <c r="BI1253" s="264" t="s">
        <v>701</v>
      </c>
      <c r="BJ1253" s="160" t="s">
        <v>700</v>
      </c>
      <c r="BK1253">
        <v>6.5</v>
      </c>
      <c r="BL1253">
        <v>6.8</v>
      </c>
      <c r="BN1253">
        <f t="shared" si="1647"/>
        <v>0.29999999999999982</v>
      </c>
      <c r="BO1253">
        <f t="shared" si="1627"/>
        <v>0.29999999999999982</v>
      </c>
      <c r="BP1253" s="155" t="s">
        <v>395</v>
      </c>
      <c r="BQ1253" s="264" t="s">
        <v>783</v>
      </c>
      <c r="BR1253" s="155" t="s">
        <v>279</v>
      </c>
      <c r="BS1253">
        <v>1</v>
      </c>
      <c r="BT1253">
        <v>1.1000000000000001</v>
      </c>
      <c r="BU1253" s="144"/>
      <c r="BV1253">
        <f t="shared" si="1648"/>
        <v>0.10000000000000009</v>
      </c>
      <c r="BX1253">
        <f t="shared" si="1628"/>
        <v>0.10000000000000009</v>
      </c>
      <c r="BY1253">
        <f t="shared" si="1591"/>
        <v>0.33333333333333381</v>
      </c>
      <c r="BZ1253">
        <v>0</v>
      </c>
      <c r="CA1253">
        <v>0</v>
      </c>
      <c r="CB1253">
        <v>0</v>
      </c>
      <c r="CC1253">
        <v>0</v>
      </c>
      <c r="CD1253">
        <v>0</v>
      </c>
      <c r="CE1253">
        <v>0</v>
      </c>
      <c r="CF1253">
        <v>0</v>
      </c>
      <c r="CG1253">
        <v>0</v>
      </c>
      <c r="CH1253">
        <v>0</v>
      </c>
      <c r="CI1253">
        <v>0</v>
      </c>
      <c r="CJ1253">
        <v>0</v>
      </c>
      <c r="CK1253">
        <v>0</v>
      </c>
      <c r="CL1253">
        <v>0</v>
      </c>
      <c r="CM1253">
        <v>0</v>
      </c>
      <c r="CN1253" t="str">
        <f t="shared" si="1638"/>
        <v>refOK</v>
      </c>
      <c r="CO1253">
        <f t="shared" si="1649"/>
        <v>6.5</v>
      </c>
      <c r="CP1253">
        <f t="shared" si="1650"/>
        <v>6.8</v>
      </c>
      <c r="CQ1253">
        <f t="shared" si="1651"/>
        <v>0.29999999999999982</v>
      </c>
      <c r="CR1253">
        <f t="shared" si="1639"/>
        <v>-1</v>
      </c>
      <c r="CS1253">
        <f t="shared" si="1640"/>
        <v>-1.1000000000000001</v>
      </c>
      <c r="CT1253">
        <f t="shared" si="1641"/>
        <v>-0.10000000000000009</v>
      </c>
      <c r="CU1253">
        <f t="shared" si="1642"/>
        <v>-0.33333333333333381</v>
      </c>
      <c r="CV1253" s="2">
        <f t="shared" si="1643"/>
        <v>-0.10000000000000009</v>
      </c>
      <c r="CW1253" s="1" t="s">
        <v>1198</v>
      </c>
      <c r="CX1253" s="264" t="str">
        <f t="shared" si="1644"/>
        <v>reg</v>
      </c>
      <c r="CY1253" t="s">
        <v>235</v>
      </c>
      <c r="DB1253">
        <v>80</v>
      </c>
      <c r="DC1253" t="str">
        <f t="shared" si="1645"/>
        <v>71-100</v>
      </c>
      <c r="DD1253">
        <v>0</v>
      </c>
      <c r="DE1253">
        <v>1</v>
      </c>
      <c r="DF1253">
        <v>1</v>
      </c>
      <c r="DG1253">
        <v>1</v>
      </c>
      <c r="DI1253">
        <f t="shared" si="1654"/>
        <v>3</v>
      </c>
      <c r="DJ1253" t="str">
        <f t="shared" si="1646"/>
        <v>mixedProduct</v>
      </c>
      <c r="DK1253">
        <f t="shared" si="1655"/>
        <v>0</v>
      </c>
      <c r="DL1253" t="str">
        <f t="shared" si="1656"/>
        <v>Energy</v>
      </c>
      <c r="DM1253" t="str">
        <f t="shared" si="1657"/>
        <v>Pulp/Paper</v>
      </c>
      <c r="DN1253" t="str">
        <f t="shared" si="1658"/>
        <v>Timber</v>
      </c>
      <c r="DO1253">
        <v>0</v>
      </c>
      <c r="DP1253">
        <v>1</v>
      </c>
      <c r="DQ1253" t="s">
        <v>2145</v>
      </c>
      <c r="DR1253">
        <v>0</v>
      </c>
      <c r="DS1253">
        <v>0</v>
      </c>
      <c r="DT1253">
        <f t="shared" si="1660"/>
        <v>1</v>
      </c>
      <c r="DU1253" s="143" t="str">
        <f t="shared" si="1659"/>
        <v>external DF used</v>
      </c>
      <c r="DV1253">
        <v>1</v>
      </c>
      <c r="DW1253">
        <v>1</v>
      </c>
      <c r="DX1253">
        <v>1</v>
      </c>
      <c r="DY1253">
        <v>0</v>
      </c>
      <c r="DZ1253">
        <v>1</v>
      </c>
      <c r="EA1253">
        <v>0</v>
      </c>
      <c r="EB1253">
        <v>1</v>
      </c>
      <c r="EC1253">
        <v>1</v>
      </c>
      <c r="ED1253">
        <v>0</v>
      </c>
      <c r="EE1253">
        <v>0</v>
      </c>
      <c r="EF1253">
        <v>1</v>
      </c>
      <c r="EG1253">
        <v>0</v>
      </c>
      <c r="EH1253">
        <v>0</v>
      </c>
      <c r="EI1253" s="2">
        <v>0</v>
      </c>
      <c r="EK1253" t="str">
        <f t="shared" si="1652"/>
        <v>Whole sector</v>
      </c>
      <c r="EL1253" t="str">
        <f t="shared" si="1653"/>
        <v/>
      </c>
      <c r="EM1253" s="2" t="str">
        <f t="shared" si="1592"/>
        <v/>
      </c>
      <c r="EP1253" t="str">
        <f>IF(ISNUMBER(BU1253),IF(ABS(BU1253-[4]QC_indicators!$B$2)&gt;3*[4]QC_indicators!$C$2,"C ratio",IF(ISNUMBER(BY1253),IF(ABS(BY1253-[4]QC_indicators!$B$1)&gt;3*[4]QC_indicators!$C$1,"DF","no"))),IF(ISNUMBER(BY1253),IF(ABS(BY1253-[4]QC_indicators!$B$1)&gt;3*[4]QC_indicators!$C$1,"DF","no")))</f>
        <v>no</v>
      </c>
      <c r="ET1253" s="264" t="s">
        <v>3406</v>
      </c>
    </row>
    <row r="1254" spans="1:150" ht="15" hidden="1" customHeight="1">
      <c r="A1254" s="1" t="s">
        <v>1359</v>
      </c>
      <c r="B1254" t="s">
        <v>2134</v>
      </c>
      <c r="C1254" t="s">
        <v>2135</v>
      </c>
      <c r="D1254" t="s">
        <v>2136</v>
      </c>
      <c r="E1254" t="s">
        <v>2137</v>
      </c>
      <c r="F1254" t="s">
        <v>2138</v>
      </c>
      <c r="G1254" t="s">
        <v>1365</v>
      </c>
      <c r="H1254" t="s">
        <v>254</v>
      </c>
      <c r="I1254">
        <v>2012</v>
      </c>
      <c r="J1254">
        <v>21</v>
      </c>
      <c r="K1254" t="s">
        <v>2139</v>
      </c>
      <c r="L1254" s="192"/>
      <c r="M1254" t="str">
        <f t="shared" si="1630"/>
        <v>Pyorala_2012</v>
      </c>
      <c r="N1254" t="s">
        <v>222</v>
      </c>
      <c r="O1254" s="145" t="s">
        <v>341</v>
      </c>
      <c r="P1254" s="180" t="s">
        <v>223</v>
      </c>
      <c r="Q1254" s="264" t="s">
        <v>256</v>
      </c>
      <c r="R1254" s="269" t="s">
        <v>1153</v>
      </c>
      <c r="S1254" s="263" t="s">
        <v>2149</v>
      </c>
      <c r="T1254" s="264" t="s">
        <v>2142</v>
      </c>
      <c r="U1254" s="264" t="s">
        <v>2147</v>
      </c>
      <c r="V1254">
        <v>0</v>
      </c>
      <c r="W1254">
        <v>0</v>
      </c>
      <c r="X1254">
        <v>0</v>
      </c>
      <c r="Y1254">
        <v>1</v>
      </c>
      <c r="Z1254">
        <v>0</v>
      </c>
      <c r="AA1254">
        <v>0</v>
      </c>
      <c r="AB1254">
        <v>0</v>
      </c>
      <c r="AC1254">
        <v>0</v>
      </c>
      <c r="AD1254">
        <v>0</v>
      </c>
      <c r="AE1254">
        <v>0</v>
      </c>
      <c r="AF1254">
        <v>0</v>
      </c>
      <c r="AG1254">
        <v>0</v>
      </c>
      <c r="AH1254">
        <v>0</v>
      </c>
      <c r="AI1254">
        <v>0</v>
      </c>
      <c r="AJ1254">
        <v>0</v>
      </c>
      <c r="AK1254">
        <v>0</v>
      </c>
      <c r="AL1254">
        <v>0</v>
      </c>
      <c r="AM1254">
        <v>0</v>
      </c>
      <c r="AN1254">
        <v>0</v>
      </c>
      <c r="AO1254">
        <v>0</v>
      </c>
      <c r="AP1254">
        <v>0</v>
      </c>
      <c r="AQ1254">
        <v>0</v>
      </c>
      <c r="AR1254">
        <v>0</v>
      </c>
      <c r="AS1254">
        <v>0</v>
      </c>
      <c r="AT1254">
        <v>0</v>
      </c>
      <c r="AU1254">
        <v>0</v>
      </c>
      <c r="AV1254">
        <v>0</v>
      </c>
      <c r="AW1254">
        <v>0</v>
      </c>
      <c r="AX1254" s="141">
        <f t="shared" si="1631"/>
        <v>1</v>
      </c>
      <c r="AY1254" s="141">
        <f t="shared" si="1632"/>
        <v>1</v>
      </c>
      <c r="AZ1254">
        <f t="shared" si="1633"/>
        <v>1</v>
      </c>
      <c r="BA1254">
        <f t="shared" si="1634"/>
        <v>0</v>
      </c>
      <c r="BB1254">
        <f t="shared" si="1635"/>
        <v>0</v>
      </c>
      <c r="BC1254">
        <f t="shared" si="1636"/>
        <v>0</v>
      </c>
      <c r="BD1254">
        <f t="shared" si="1637"/>
        <v>0</v>
      </c>
      <c r="BE1254" t="str" cm="1">
        <f t="array" ref="BE1254">IF(AY1254=1,INDEX($V$7:$AL$7,MATCH(TRUE,INDEX($V1254:$AW1254&lt;&gt;0,),0)),IF(AY1254=0,INDEX($AM$7:$AW$7,MATCH(1,$AM1254:$AW1254,0)),IF(BF1254="Multiple strategies","mixed drivers",IF(BF1254="Supply chain","multiple supply","multiple silviculture"))))</f>
        <v xml:space="preserve">cutting intensity </v>
      </c>
      <c r="BF1254" s="2" t="str" cm="1">
        <f t="array" ref="BF1254">IF(COUNTIF(AZ1254:BB1254,"&lt;&gt;0")=1,INDEX($V$4:$AW$4,MATCH(TRUE,INDEX($V1254:$AW1254&lt;&gt;0,),0)),IF(COUNTIF(AZ1254:BB1254,"&lt;&gt;0")=0,INDEX($AM$4:$AW$4,MATCH(1,$AM1254:$AW1254,0)),"Multiple strategies"))</f>
        <v>Silviculture for removals</v>
      </c>
      <c r="BG1254" s="178" t="s">
        <v>321</v>
      </c>
      <c r="BH1254" s="264" t="s">
        <v>2143</v>
      </c>
      <c r="BI1254" s="264" t="s">
        <v>701</v>
      </c>
      <c r="BJ1254" s="160" t="s">
        <v>700</v>
      </c>
      <c r="BK1254">
        <v>6.5</v>
      </c>
      <c r="BL1254">
        <v>6.8</v>
      </c>
      <c r="BN1254">
        <f t="shared" si="1647"/>
        <v>0.29999999999999982</v>
      </c>
      <c r="BO1254">
        <f t="shared" si="1627"/>
        <v>0.29999999999999982</v>
      </c>
      <c r="BP1254" s="155" t="s">
        <v>232</v>
      </c>
      <c r="BQ1254" s="264" t="s">
        <v>429</v>
      </c>
      <c r="BR1254" s="270" t="s">
        <v>2144</v>
      </c>
      <c r="BS1254" s="264">
        <f>99.4/80</f>
        <v>1.2425000000000002</v>
      </c>
      <c r="BT1254" s="264">
        <f>113.9/80</f>
        <v>1.4237500000000001</v>
      </c>
      <c r="BU1254" s="144"/>
      <c r="BV1254">
        <f t="shared" si="1648"/>
        <v>0.18124999999999991</v>
      </c>
      <c r="BX1254">
        <f t="shared" si="1628"/>
        <v>0.18124999999999991</v>
      </c>
      <c r="BY1254">
        <f t="shared" si="1591"/>
        <v>0.60416666666666674</v>
      </c>
      <c r="BZ1254">
        <v>0</v>
      </c>
      <c r="CA1254">
        <v>0</v>
      </c>
      <c r="CB1254">
        <v>0</v>
      </c>
      <c r="CC1254">
        <v>0</v>
      </c>
      <c r="CD1254">
        <v>0</v>
      </c>
      <c r="CE1254">
        <v>0</v>
      </c>
      <c r="CF1254">
        <v>0</v>
      </c>
      <c r="CG1254">
        <v>0</v>
      </c>
      <c r="CH1254">
        <v>0</v>
      </c>
      <c r="CI1254">
        <v>0</v>
      </c>
      <c r="CJ1254">
        <v>0</v>
      </c>
      <c r="CK1254">
        <v>0</v>
      </c>
      <c r="CL1254">
        <v>0</v>
      </c>
      <c r="CM1254">
        <v>0</v>
      </c>
      <c r="CN1254" t="str">
        <f t="shared" si="1638"/>
        <v>refOK</v>
      </c>
      <c r="CO1254">
        <f t="shared" si="1649"/>
        <v>6.5</v>
      </c>
      <c r="CP1254">
        <f t="shared" si="1650"/>
        <v>6.8</v>
      </c>
      <c r="CQ1254">
        <f t="shared" si="1651"/>
        <v>0.29999999999999982</v>
      </c>
      <c r="CR1254">
        <f t="shared" si="1639"/>
        <v>1.2425000000000002</v>
      </c>
      <c r="CS1254">
        <f t="shared" si="1640"/>
        <v>1.4237500000000001</v>
      </c>
      <c r="CT1254">
        <f t="shared" si="1641"/>
        <v>0.18124999999999991</v>
      </c>
      <c r="CU1254">
        <f t="shared" si="1642"/>
        <v>0.60416666666666674</v>
      </c>
      <c r="CV1254" s="2">
        <f t="shared" si="1643"/>
        <v>0.14587525150905423</v>
      </c>
      <c r="CW1254" s="1" t="s">
        <v>1198</v>
      </c>
      <c r="CX1254" s="264" t="str">
        <f t="shared" si="1644"/>
        <v>reg</v>
      </c>
      <c r="CY1254" t="s">
        <v>235</v>
      </c>
      <c r="DB1254">
        <v>80</v>
      </c>
      <c r="DC1254" t="str">
        <f t="shared" si="1645"/>
        <v>71-100</v>
      </c>
      <c r="DD1254">
        <v>0</v>
      </c>
      <c r="DE1254">
        <v>1</v>
      </c>
      <c r="DF1254">
        <v>1</v>
      </c>
      <c r="DG1254">
        <v>1</v>
      </c>
      <c r="DI1254">
        <f t="shared" si="1654"/>
        <v>3</v>
      </c>
      <c r="DJ1254" t="str">
        <f t="shared" si="1646"/>
        <v>mixedProduct</v>
      </c>
      <c r="DK1254">
        <f t="shared" si="1655"/>
        <v>0</v>
      </c>
      <c r="DL1254" t="str">
        <f t="shared" si="1656"/>
        <v>Energy</v>
      </c>
      <c r="DM1254" t="str">
        <f t="shared" si="1657"/>
        <v>Pulp/Paper</v>
      </c>
      <c r="DN1254" t="str">
        <f t="shared" si="1658"/>
        <v>Timber</v>
      </c>
      <c r="DO1254">
        <v>0</v>
      </c>
      <c r="DP1254">
        <v>1</v>
      </c>
      <c r="DQ1254" t="s">
        <v>2145</v>
      </c>
      <c r="DR1254">
        <v>0</v>
      </c>
      <c r="DS1254">
        <v>0</v>
      </c>
      <c r="DT1254">
        <f t="shared" si="1660"/>
        <v>1</v>
      </c>
      <c r="DU1254" s="143" t="str">
        <f t="shared" si="1659"/>
        <v>external DF used</v>
      </c>
      <c r="DV1254">
        <v>1</v>
      </c>
      <c r="DW1254">
        <v>1</v>
      </c>
      <c r="DX1254">
        <v>1</v>
      </c>
      <c r="DY1254">
        <v>0</v>
      </c>
      <c r="DZ1254">
        <v>0</v>
      </c>
      <c r="EA1254" s="143">
        <v>0</v>
      </c>
      <c r="EB1254">
        <v>0</v>
      </c>
      <c r="EC1254">
        <v>0</v>
      </c>
      <c r="ED1254">
        <v>0</v>
      </c>
      <c r="EE1254">
        <v>0</v>
      </c>
      <c r="EF1254">
        <v>1</v>
      </c>
      <c r="EG1254">
        <v>0</v>
      </c>
      <c r="EH1254">
        <v>0</v>
      </c>
      <c r="EI1254" s="2">
        <v>0</v>
      </c>
      <c r="EK1254" t="str">
        <f t="shared" si="1652"/>
        <v/>
      </c>
      <c r="EL1254" t="str">
        <f t="shared" si="1653"/>
        <v>Ecosystem approach</v>
      </c>
      <c r="EM1254" s="2" t="str">
        <f t="shared" si="1592"/>
        <v/>
      </c>
      <c r="EP1254" t="str">
        <f>IF(ISNUMBER(BU1254),IF(ABS(BU1254-[4]QC_indicators!$B$2)&gt;3*[4]QC_indicators!$C$2,"C ratio",IF(ISNUMBER(BY1254),IF(ABS(BY1254-[4]QC_indicators!$B$1)&gt;3*[4]QC_indicators!$C$1,"DF","no"))),IF(ISNUMBER(BY1254),IF(ABS(BY1254-[4]QC_indicators!$B$1)&gt;3*[4]QC_indicators!$C$1,"DF","no")))</f>
        <v>no</v>
      </c>
      <c r="ET1254" s="264" t="s">
        <v>3406</v>
      </c>
    </row>
    <row r="1255" spans="1:150" ht="15" hidden="1" customHeight="1">
      <c r="A1255" s="1" t="s">
        <v>1359</v>
      </c>
      <c r="B1255" t="s">
        <v>2134</v>
      </c>
      <c r="C1255" t="s">
        <v>2135</v>
      </c>
      <c r="D1255" t="s">
        <v>2136</v>
      </c>
      <c r="E1255" t="s">
        <v>2137</v>
      </c>
      <c r="F1255" t="s">
        <v>2138</v>
      </c>
      <c r="G1255" t="s">
        <v>1365</v>
      </c>
      <c r="H1255" t="s">
        <v>254</v>
      </c>
      <c r="I1255">
        <v>2012</v>
      </c>
      <c r="J1255">
        <v>21</v>
      </c>
      <c r="K1255" t="s">
        <v>2139</v>
      </c>
      <c r="L1255" s="192"/>
      <c r="M1255" t="str">
        <f t="shared" si="1630"/>
        <v>Pyorala_2012</v>
      </c>
      <c r="N1255" t="s">
        <v>222</v>
      </c>
      <c r="O1255" s="145" t="s">
        <v>341</v>
      </c>
      <c r="P1255" s="180" t="s">
        <v>223</v>
      </c>
      <c r="Q1255" s="264" t="s">
        <v>256</v>
      </c>
      <c r="R1255" s="269" t="s">
        <v>1153</v>
      </c>
      <c r="S1255" s="263" t="s">
        <v>2140</v>
      </c>
      <c r="T1255" s="264" t="s">
        <v>2147</v>
      </c>
      <c r="U1255" s="264" t="s">
        <v>2142</v>
      </c>
      <c r="V1255">
        <v>0</v>
      </c>
      <c r="W1255">
        <v>0</v>
      </c>
      <c r="X1255">
        <v>0</v>
      </c>
      <c r="Y1255">
        <v>1</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s="141">
        <f t="shared" si="1631"/>
        <v>1</v>
      </c>
      <c r="AY1255" s="141">
        <f t="shared" si="1632"/>
        <v>1</v>
      </c>
      <c r="AZ1255">
        <f t="shared" si="1633"/>
        <v>1</v>
      </c>
      <c r="BA1255">
        <f t="shared" si="1634"/>
        <v>0</v>
      </c>
      <c r="BB1255">
        <f t="shared" si="1635"/>
        <v>0</v>
      </c>
      <c r="BC1255">
        <f t="shared" si="1636"/>
        <v>0</v>
      </c>
      <c r="BD1255">
        <f t="shared" si="1637"/>
        <v>0</v>
      </c>
      <c r="BE1255" t="str" cm="1">
        <f t="array" ref="BE1255">IF(AY1255=1,INDEX($V$7:$AL$7,MATCH(TRUE,INDEX($V1255:$AW1255&lt;&gt;0,),0)),IF(AY1255=0,INDEX($AM$7:$AW$7,MATCH(1,$AM1255:$AW1255,0)),IF(BF1255="Multiple strategies","mixed drivers",IF(BF1255="Supply chain","multiple supply","multiple silviculture"))))</f>
        <v xml:space="preserve">cutting intensity </v>
      </c>
      <c r="BF1255" s="2" t="str" cm="1">
        <f t="array" ref="BF1255">IF(COUNTIF(AZ1255:BB1255,"&lt;&gt;0")=1,INDEX($V$4:$AW$4,MATCH(TRUE,INDEX($V1255:$AW1255&lt;&gt;0,),0)),IF(COUNTIF(AZ1255:BB1255,"&lt;&gt;0")=0,INDEX($AM$4:$AW$4,MATCH(1,$AM1255:$AW1255,0)),"Multiple strategies"))</f>
        <v>Silviculture for removals</v>
      </c>
      <c r="BG1255" s="178" t="s">
        <v>321</v>
      </c>
      <c r="BH1255" s="264" t="s">
        <v>2143</v>
      </c>
      <c r="BI1255" s="264" t="s">
        <v>701</v>
      </c>
      <c r="BJ1255" s="160" t="s">
        <v>700</v>
      </c>
      <c r="BK1255">
        <v>8.1</v>
      </c>
      <c r="BL1255">
        <v>8.4</v>
      </c>
      <c r="BN1255">
        <f t="shared" si="1647"/>
        <v>0.30000000000000071</v>
      </c>
      <c r="BO1255">
        <f t="shared" si="1627"/>
        <v>0.30000000000000071</v>
      </c>
      <c r="BP1255" s="155" t="s">
        <v>395</v>
      </c>
      <c r="BQ1255" s="264" t="s">
        <v>783</v>
      </c>
      <c r="BR1255" s="155" t="s">
        <v>279</v>
      </c>
      <c r="BS1255">
        <v>0.9</v>
      </c>
      <c r="BT1255">
        <v>1.1000000000000001</v>
      </c>
      <c r="BU1255" s="144"/>
      <c r="BV1255">
        <f t="shared" si="1648"/>
        <v>0.20000000000000007</v>
      </c>
      <c r="BX1255">
        <f t="shared" si="1628"/>
        <v>0.20000000000000007</v>
      </c>
      <c r="BY1255">
        <f t="shared" si="1591"/>
        <v>0.6666666666666653</v>
      </c>
      <c r="BZ1255">
        <v>0</v>
      </c>
      <c r="CA1255">
        <v>0</v>
      </c>
      <c r="CB1255">
        <v>0</v>
      </c>
      <c r="CC1255">
        <v>0</v>
      </c>
      <c r="CD1255">
        <v>0</v>
      </c>
      <c r="CE1255">
        <v>0</v>
      </c>
      <c r="CF1255">
        <v>0</v>
      </c>
      <c r="CG1255">
        <v>0</v>
      </c>
      <c r="CH1255">
        <v>0</v>
      </c>
      <c r="CI1255">
        <v>0</v>
      </c>
      <c r="CJ1255">
        <v>0</v>
      </c>
      <c r="CK1255">
        <v>0</v>
      </c>
      <c r="CL1255">
        <v>0</v>
      </c>
      <c r="CM1255">
        <v>0</v>
      </c>
      <c r="CN1255" t="str">
        <f t="shared" si="1638"/>
        <v>refOK</v>
      </c>
      <c r="CO1255">
        <f t="shared" si="1649"/>
        <v>8.1</v>
      </c>
      <c r="CP1255">
        <f t="shared" si="1650"/>
        <v>8.4</v>
      </c>
      <c r="CQ1255">
        <f t="shared" si="1651"/>
        <v>0.30000000000000071</v>
      </c>
      <c r="CR1255">
        <f t="shared" si="1639"/>
        <v>-0.9</v>
      </c>
      <c r="CS1255">
        <f t="shared" si="1640"/>
        <v>-1.1000000000000001</v>
      </c>
      <c r="CT1255">
        <f t="shared" si="1641"/>
        <v>-0.20000000000000007</v>
      </c>
      <c r="CU1255">
        <f t="shared" si="1642"/>
        <v>-0.6666666666666653</v>
      </c>
      <c r="CV1255" s="2">
        <f t="shared" si="1643"/>
        <v>-0.22222222222222229</v>
      </c>
      <c r="CW1255" s="1" t="s">
        <v>1198</v>
      </c>
      <c r="CX1255" s="264" t="str">
        <f t="shared" si="1644"/>
        <v>reg</v>
      </c>
      <c r="CY1255" t="s">
        <v>235</v>
      </c>
      <c r="DB1255">
        <v>80</v>
      </c>
      <c r="DC1255" t="str">
        <f t="shared" si="1645"/>
        <v>71-100</v>
      </c>
      <c r="DD1255">
        <v>0</v>
      </c>
      <c r="DE1255">
        <v>1</v>
      </c>
      <c r="DF1255">
        <v>1</v>
      </c>
      <c r="DG1255">
        <v>1</v>
      </c>
      <c r="DI1255">
        <f t="shared" si="1654"/>
        <v>3</v>
      </c>
      <c r="DJ1255" t="str">
        <f t="shared" si="1646"/>
        <v>mixedProduct</v>
      </c>
      <c r="DK1255">
        <f t="shared" si="1655"/>
        <v>0</v>
      </c>
      <c r="DL1255" t="str">
        <f t="shared" si="1656"/>
        <v>Energy</v>
      </c>
      <c r="DM1255" t="str">
        <f t="shared" si="1657"/>
        <v>Pulp/Paper</v>
      </c>
      <c r="DN1255" t="str">
        <f t="shared" si="1658"/>
        <v>Timber</v>
      </c>
      <c r="DO1255">
        <v>0</v>
      </c>
      <c r="DP1255">
        <v>1</v>
      </c>
      <c r="DQ1255" t="s">
        <v>2145</v>
      </c>
      <c r="DR1255">
        <v>0</v>
      </c>
      <c r="DS1255">
        <v>0</v>
      </c>
      <c r="DT1255">
        <f t="shared" si="1660"/>
        <v>1</v>
      </c>
      <c r="DU1255" s="143" t="str">
        <f t="shared" si="1659"/>
        <v>external DF used</v>
      </c>
      <c r="DV1255">
        <v>1</v>
      </c>
      <c r="DW1255">
        <v>1</v>
      </c>
      <c r="DX1255">
        <v>1</v>
      </c>
      <c r="DY1255">
        <v>0</v>
      </c>
      <c r="DZ1255">
        <v>1</v>
      </c>
      <c r="EA1255">
        <v>0</v>
      </c>
      <c r="EB1255">
        <v>1</v>
      </c>
      <c r="EC1255">
        <v>1</v>
      </c>
      <c r="ED1255">
        <v>0</v>
      </c>
      <c r="EE1255">
        <v>0</v>
      </c>
      <c r="EF1255">
        <v>1</v>
      </c>
      <c r="EG1255">
        <v>0</v>
      </c>
      <c r="EH1255">
        <v>0</v>
      </c>
      <c r="EI1255" s="2">
        <v>0</v>
      </c>
      <c r="EK1255" t="str">
        <f t="shared" si="1652"/>
        <v>Whole sector</v>
      </c>
      <c r="EL1255" t="str">
        <f t="shared" si="1653"/>
        <v/>
      </c>
      <c r="EM1255" s="2" t="str">
        <f t="shared" si="1592"/>
        <v/>
      </c>
      <c r="EP1255" t="str">
        <f>IF(ISNUMBER(BU1255),IF(ABS(BU1255-[4]QC_indicators!$B$2)&gt;3*[4]QC_indicators!$C$2,"C ratio",IF(ISNUMBER(BY1255),IF(ABS(BY1255-[4]QC_indicators!$B$1)&gt;3*[4]QC_indicators!$C$1,"DF","no"))),IF(ISNUMBER(BY1255),IF(ABS(BY1255-[4]QC_indicators!$B$1)&gt;3*[4]QC_indicators!$C$1,"DF","no")))</f>
        <v>no</v>
      </c>
      <c r="ET1255" s="264" t="s">
        <v>3406</v>
      </c>
    </row>
    <row r="1256" spans="1:150" ht="15" hidden="1" customHeight="1">
      <c r="A1256" s="1" t="s">
        <v>1359</v>
      </c>
      <c r="B1256" t="s">
        <v>2134</v>
      </c>
      <c r="C1256" t="s">
        <v>2135</v>
      </c>
      <c r="D1256" t="s">
        <v>2136</v>
      </c>
      <c r="E1256" t="s">
        <v>2137</v>
      </c>
      <c r="F1256" t="s">
        <v>2138</v>
      </c>
      <c r="G1256" t="s">
        <v>1365</v>
      </c>
      <c r="H1256" t="s">
        <v>254</v>
      </c>
      <c r="I1256">
        <v>2012</v>
      </c>
      <c r="J1256">
        <v>21</v>
      </c>
      <c r="K1256" t="s">
        <v>2139</v>
      </c>
      <c r="L1256" s="192"/>
      <c r="M1256" t="str">
        <f t="shared" si="1630"/>
        <v>Pyorala_2012</v>
      </c>
      <c r="N1256" t="s">
        <v>222</v>
      </c>
      <c r="O1256" s="145" t="s">
        <v>341</v>
      </c>
      <c r="P1256" s="180" t="s">
        <v>223</v>
      </c>
      <c r="Q1256" s="264" t="s">
        <v>2159</v>
      </c>
      <c r="R1256" s="269" t="s">
        <v>1153</v>
      </c>
      <c r="S1256" s="263" t="s">
        <v>2160</v>
      </c>
      <c r="T1256" s="264" t="s">
        <v>2156</v>
      </c>
      <c r="U1256" s="264" t="s">
        <v>2157</v>
      </c>
      <c r="V1256">
        <v>0</v>
      </c>
      <c r="W1256">
        <v>0</v>
      </c>
      <c r="X1256">
        <v>0</v>
      </c>
      <c r="Y1256">
        <v>0</v>
      </c>
      <c r="Z1256">
        <v>0</v>
      </c>
      <c r="AA1256">
        <v>0</v>
      </c>
      <c r="AB1256">
        <v>0</v>
      </c>
      <c r="AC1256">
        <v>1</v>
      </c>
      <c r="AD1256">
        <v>0</v>
      </c>
      <c r="AE1256">
        <v>0</v>
      </c>
      <c r="AF1256">
        <v>0</v>
      </c>
      <c r="AG1256">
        <v>0</v>
      </c>
      <c r="AH1256">
        <v>0</v>
      </c>
      <c r="AI1256">
        <v>0</v>
      </c>
      <c r="AJ1256">
        <v>0</v>
      </c>
      <c r="AK1256">
        <v>0</v>
      </c>
      <c r="AL1256">
        <v>0</v>
      </c>
      <c r="AM1256">
        <v>0</v>
      </c>
      <c r="AN1256">
        <v>0</v>
      </c>
      <c r="AO1256">
        <v>0</v>
      </c>
      <c r="AP1256">
        <v>0</v>
      </c>
      <c r="AQ1256">
        <v>0</v>
      </c>
      <c r="AR1256">
        <v>0</v>
      </c>
      <c r="AS1256">
        <v>0</v>
      </c>
      <c r="AT1256">
        <v>0</v>
      </c>
      <c r="AU1256">
        <v>0</v>
      </c>
      <c r="AV1256">
        <v>0</v>
      </c>
      <c r="AW1256">
        <v>0</v>
      </c>
      <c r="AX1256" s="141">
        <f t="shared" si="1631"/>
        <v>1</v>
      </c>
      <c r="AY1256" s="141">
        <f t="shared" si="1632"/>
        <v>1</v>
      </c>
      <c r="AZ1256">
        <f t="shared" si="1633"/>
        <v>1</v>
      </c>
      <c r="BA1256">
        <f t="shared" si="1634"/>
        <v>0</v>
      </c>
      <c r="BB1256">
        <f t="shared" si="1635"/>
        <v>0</v>
      </c>
      <c r="BC1256">
        <f t="shared" si="1636"/>
        <v>0</v>
      </c>
      <c r="BD1256">
        <f t="shared" si="1637"/>
        <v>0</v>
      </c>
      <c r="BE1256" t="str" cm="1">
        <f t="array" ref="BE1256">IF(AY1256=1,INDEX($V$7:$AL$7,MATCH(TRUE,INDEX($V1256:$AW1256&lt;&gt;0,),0)),IF(AY1256=0,INDEX($AM$7:$AW$7,MATCH(1,$AM1256:$AW1256,0)),IF(BF1256="Multiple strategies","mixed drivers",IF(BF1256="Supply chain","multiple supply","multiple silviculture"))))</f>
        <v>site fertility</v>
      </c>
      <c r="BF1256" s="2" t="str" cm="1">
        <f t="array" ref="BF1256">IF(COUNTIF(AZ1256:BB1256,"&lt;&gt;0")=1,INDEX($V$4:$AW$4,MATCH(TRUE,INDEX($V1256:$AW1256&lt;&gt;0,),0)),IF(COUNTIF(AZ1256:BB1256,"&lt;&gt;0")=0,INDEX($AM$4:$AW$4,MATCH(1,$AM1256:$AW1256,0)),"Multiple strategies"))</f>
        <v>Silviculture for productivity</v>
      </c>
      <c r="BG1256" s="178" t="s">
        <v>321</v>
      </c>
      <c r="BH1256" s="264" t="s">
        <v>2143</v>
      </c>
      <c r="BI1256" s="264" t="s">
        <v>2158</v>
      </c>
      <c r="BJ1256" s="160" t="s">
        <v>700</v>
      </c>
      <c r="BK1256">
        <v>8.3000000000000007</v>
      </c>
      <c r="BL1256">
        <v>9.1</v>
      </c>
      <c r="BN1256">
        <f t="shared" si="1647"/>
        <v>0.79999999999999893</v>
      </c>
      <c r="BO1256">
        <f t="shared" si="1627"/>
        <v>0.79999999999999893</v>
      </c>
      <c r="BP1256" s="155" t="s">
        <v>232</v>
      </c>
      <c r="BQ1256" s="264" t="s">
        <v>786</v>
      </c>
      <c r="BR1256" s="270" t="s">
        <v>2144</v>
      </c>
      <c r="BS1256" s="264">
        <f>169.6/50</f>
        <v>3.3919999999999999</v>
      </c>
      <c r="BT1256" s="264">
        <f>201.5/50</f>
        <v>4.03</v>
      </c>
      <c r="BU1256" s="144"/>
      <c r="BV1256">
        <f t="shared" si="1648"/>
        <v>0.63800000000000034</v>
      </c>
      <c r="BX1256">
        <f t="shared" si="1628"/>
        <v>0.63800000000000034</v>
      </c>
      <c r="BY1256">
        <f t="shared" si="1591"/>
        <v>0.79750000000000154</v>
      </c>
      <c r="BZ1256">
        <v>0</v>
      </c>
      <c r="CA1256">
        <v>0</v>
      </c>
      <c r="CB1256">
        <v>0</v>
      </c>
      <c r="CC1256">
        <v>0</v>
      </c>
      <c r="CD1256">
        <v>0</v>
      </c>
      <c r="CE1256">
        <v>0</v>
      </c>
      <c r="CF1256">
        <v>0</v>
      </c>
      <c r="CG1256">
        <v>0</v>
      </c>
      <c r="CH1256">
        <v>0</v>
      </c>
      <c r="CI1256">
        <v>0</v>
      </c>
      <c r="CJ1256">
        <v>0</v>
      </c>
      <c r="CK1256">
        <v>0</v>
      </c>
      <c r="CL1256">
        <v>0</v>
      </c>
      <c r="CM1256">
        <v>0</v>
      </c>
      <c r="CN1256" t="str">
        <f t="shared" si="1638"/>
        <v>refOK</v>
      </c>
      <c r="CO1256">
        <f t="shared" si="1649"/>
        <v>8.3000000000000007</v>
      </c>
      <c r="CP1256">
        <f t="shared" si="1650"/>
        <v>9.1</v>
      </c>
      <c r="CQ1256">
        <f t="shared" si="1651"/>
        <v>0.79999999999999893</v>
      </c>
      <c r="CR1256">
        <f t="shared" si="1639"/>
        <v>3.3919999999999999</v>
      </c>
      <c r="CS1256">
        <f t="shared" si="1640"/>
        <v>4.03</v>
      </c>
      <c r="CT1256">
        <f t="shared" si="1641"/>
        <v>0.63800000000000034</v>
      </c>
      <c r="CU1256">
        <f t="shared" si="1642"/>
        <v>0.79750000000000154</v>
      </c>
      <c r="CV1256" s="2">
        <f t="shared" si="1643"/>
        <v>0.18808962264150955</v>
      </c>
      <c r="CW1256" s="1" t="s">
        <v>1198</v>
      </c>
      <c r="CX1256" s="264" t="str">
        <f t="shared" si="1644"/>
        <v>reg</v>
      </c>
      <c r="CY1256" t="s">
        <v>235</v>
      </c>
      <c r="DB1256">
        <v>50</v>
      </c>
      <c r="DC1256" t="str">
        <f t="shared" si="1645"/>
        <v>31-70</v>
      </c>
      <c r="DD1256">
        <v>0</v>
      </c>
      <c r="DE1256">
        <v>1</v>
      </c>
      <c r="DF1256">
        <v>1</v>
      </c>
      <c r="DG1256">
        <v>1</v>
      </c>
      <c r="DI1256">
        <f t="shared" si="1654"/>
        <v>3</v>
      </c>
      <c r="DJ1256" t="str">
        <f t="shared" si="1646"/>
        <v>mixedProduct</v>
      </c>
      <c r="DK1256">
        <f t="shared" si="1655"/>
        <v>0</v>
      </c>
      <c r="DL1256" t="str">
        <f t="shared" si="1656"/>
        <v>Energy</v>
      </c>
      <c r="DM1256" t="str">
        <f t="shared" si="1657"/>
        <v>Pulp/Paper</v>
      </c>
      <c r="DN1256" t="str">
        <f t="shared" si="1658"/>
        <v>Timber</v>
      </c>
      <c r="DO1256">
        <v>0</v>
      </c>
      <c r="DP1256">
        <v>1</v>
      </c>
      <c r="DQ1256" t="s">
        <v>2145</v>
      </c>
      <c r="DR1256">
        <v>0</v>
      </c>
      <c r="DS1256">
        <v>0</v>
      </c>
      <c r="DT1256">
        <f t="shared" si="1660"/>
        <v>1</v>
      </c>
      <c r="DU1256" s="143" t="str">
        <f t="shared" si="1659"/>
        <v>external DF used</v>
      </c>
      <c r="DV1256">
        <v>1</v>
      </c>
      <c r="DW1256">
        <v>1</v>
      </c>
      <c r="DX1256">
        <v>1</v>
      </c>
      <c r="DY1256">
        <v>0</v>
      </c>
      <c r="DZ1256">
        <v>0</v>
      </c>
      <c r="EA1256" s="143">
        <v>0</v>
      </c>
      <c r="EB1256">
        <v>0</v>
      </c>
      <c r="EC1256">
        <v>0</v>
      </c>
      <c r="ED1256">
        <v>0</v>
      </c>
      <c r="EE1256">
        <v>0</v>
      </c>
      <c r="EF1256">
        <v>1</v>
      </c>
      <c r="EG1256">
        <v>0</v>
      </c>
      <c r="EH1256">
        <v>0</v>
      </c>
      <c r="EI1256" s="2">
        <v>0</v>
      </c>
      <c r="EK1256" t="str">
        <f t="shared" si="1652"/>
        <v/>
      </c>
      <c r="EL1256" t="str">
        <f t="shared" si="1653"/>
        <v>Ecosystem approach</v>
      </c>
      <c r="EM1256" s="2" t="str">
        <f t="shared" si="1592"/>
        <v/>
      </c>
      <c r="EP1256" t="str">
        <f>IF(ISNUMBER(BU1256),IF(ABS(BU1256-[4]QC_indicators!$B$2)&gt;3*[4]QC_indicators!$C$2,"C ratio",IF(ISNUMBER(BY1256),IF(ABS(BY1256-[4]QC_indicators!$B$1)&gt;3*[4]QC_indicators!$C$1,"DF","no"))),IF(ISNUMBER(BY1256),IF(ABS(BY1256-[4]QC_indicators!$B$1)&gt;3*[4]QC_indicators!$C$1,"DF","no")))</f>
        <v>no</v>
      </c>
      <c r="ET1256" s="264" t="s">
        <v>3406</v>
      </c>
    </row>
    <row r="1257" spans="1:150" ht="15" hidden="1" customHeight="1">
      <c r="A1257" s="1" t="s">
        <v>1359</v>
      </c>
      <c r="B1257" t="s">
        <v>2134</v>
      </c>
      <c r="C1257" t="s">
        <v>2135</v>
      </c>
      <c r="D1257" t="s">
        <v>2136</v>
      </c>
      <c r="E1257" t="s">
        <v>2137</v>
      </c>
      <c r="F1257" t="s">
        <v>2138</v>
      </c>
      <c r="G1257" t="s">
        <v>1365</v>
      </c>
      <c r="H1257" t="s">
        <v>254</v>
      </c>
      <c r="I1257">
        <v>2012</v>
      </c>
      <c r="J1257">
        <v>21</v>
      </c>
      <c r="K1257" t="s">
        <v>2139</v>
      </c>
      <c r="L1257" s="192"/>
      <c r="M1257" t="str">
        <f t="shared" si="1630"/>
        <v>Pyorala_2012</v>
      </c>
      <c r="N1257" t="s">
        <v>222</v>
      </c>
      <c r="O1257" s="145" t="s">
        <v>341</v>
      </c>
      <c r="P1257" s="180" t="s">
        <v>223</v>
      </c>
      <c r="Q1257" s="264" t="s">
        <v>256</v>
      </c>
      <c r="R1257" s="269" t="s">
        <v>1153</v>
      </c>
      <c r="S1257" s="263" t="s">
        <v>2164</v>
      </c>
      <c r="T1257" s="264" t="s">
        <v>2156</v>
      </c>
      <c r="U1257" s="264" t="s">
        <v>2157</v>
      </c>
      <c r="V1257">
        <v>0</v>
      </c>
      <c r="W1257">
        <v>0</v>
      </c>
      <c r="X1257">
        <v>0</v>
      </c>
      <c r="Y1257">
        <v>0</v>
      </c>
      <c r="Z1257">
        <v>0</v>
      </c>
      <c r="AA1257">
        <v>0</v>
      </c>
      <c r="AB1257">
        <v>0</v>
      </c>
      <c r="AC1257">
        <v>1</v>
      </c>
      <c r="AD1257">
        <v>0</v>
      </c>
      <c r="AE1257">
        <v>0</v>
      </c>
      <c r="AF1257">
        <v>0</v>
      </c>
      <c r="AG1257">
        <v>0</v>
      </c>
      <c r="AH1257">
        <v>0</v>
      </c>
      <c r="AI1257">
        <v>0</v>
      </c>
      <c r="AJ1257">
        <v>0</v>
      </c>
      <c r="AK1257">
        <v>0</v>
      </c>
      <c r="AL1257">
        <v>0</v>
      </c>
      <c r="AM1257">
        <v>0</v>
      </c>
      <c r="AN1257">
        <v>0</v>
      </c>
      <c r="AO1257">
        <v>0</v>
      </c>
      <c r="AP1257">
        <v>0</v>
      </c>
      <c r="AQ1257">
        <v>0</v>
      </c>
      <c r="AR1257">
        <v>0</v>
      </c>
      <c r="AS1257">
        <v>0</v>
      </c>
      <c r="AT1257">
        <v>0</v>
      </c>
      <c r="AU1257">
        <v>0</v>
      </c>
      <c r="AV1257">
        <v>0</v>
      </c>
      <c r="AW1257">
        <v>0</v>
      </c>
      <c r="AX1257" s="141">
        <f t="shared" si="1631"/>
        <v>1</v>
      </c>
      <c r="AY1257" s="141">
        <f t="shared" si="1632"/>
        <v>1</v>
      </c>
      <c r="AZ1257">
        <f t="shared" si="1633"/>
        <v>1</v>
      </c>
      <c r="BA1257">
        <f t="shared" si="1634"/>
        <v>0</v>
      </c>
      <c r="BB1257">
        <f t="shared" si="1635"/>
        <v>0</v>
      </c>
      <c r="BC1257">
        <f t="shared" si="1636"/>
        <v>0</v>
      </c>
      <c r="BD1257">
        <f t="shared" si="1637"/>
        <v>0</v>
      </c>
      <c r="BE1257" t="str" cm="1">
        <f t="array" ref="BE1257">IF(AY1257=1,INDEX($V$7:$AL$7,MATCH(TRUE,INDEX($V1257:$AW1257&lt;&gt;0,),0)),IF(AY1257=0,INDEX($AM$7:$AW$7,MATCH(1,$AM1257:$AW1257,0)),IF(BF1257="Multiple strategies","mixed drivers",IF(BF1257="Supply chain","multiple supply","multiple silviculture"))))</f>
        <v>site fertility</v>
      </c>
      <c r="BF1257" s="2" t="str" cm="1">
        <f t="array" ref="BF1257">IF(COUNTIF(AZ1257:BB1257,"&lt;&gt;0")=1,INDEX($V$4:$AW$4,MATCH(TRUE,INDEX($V1257:$AW1257&lt;&gt;0,),0)),IF(COUNTIF(AZ1257:BB1257,"&lt;&gt;0")=0,INDEX($AM$4:$AW$4,MATCH(1,$AM1257:$AW1257,0)),"Multiple strategies"))</f>
        <v>Silviculture for productivity</v>
      </c>
      <c r="BG1257" s="178" t="s">
        <v>321</v>
      </c>
      <c r="BH1257" s="264" t="s">
        <v>2143</v>
      </c>
      <c r="BI1257" s="264" t="s">
        <v>2158</v>
      </c>
      <c r="BJ1257" s="160" t="s">
        <v>700</v>
      </c>
      <c r="BK1257">
        <v>7.6</v>
      </c>
      <c r="BL1257">
        <v>7.8</v>
      </c>
      <c r="BN1257">
        <f t="shared" si="1647"/>
        <v>0.20000000000000018</v>
      </c>
      <c r="BO1257">
        <f t="shared" si="1627"/>
        <v>0.20000000000000018</v>
      </c>
      <c r="BP1257" s="155" t="s">
        <v>232</v>
      </c>
      <c r="BQ1257" s="264" t="s">
        <v>786</v>
      </c>
      <c r="BR1257" s="270" t="s">
        <v>2144</v>
      </c>
      <c r="BS1257" s="264">
        <f>147.4/50</f>
        <v>2.948</v>
      </c>
      <c r="BT1257" s="264">
        <f>155.5/50</f>
        <v>3.11</v>
      </c>
      <c r="BU1257" s="144"/>
      <c r="BV1257">
        <f t="shared" si="1648"/>
        <v>0.16199999999999992</v>
      </c>
      <c r="BX1257">
        <f t="shared" si="1628"/>
        <v>0.16199999999999992</v>
      </c>
      <c r="BY1257">
        <f t="shared" si="1591"/>
        <v>0.80999999999999894</v>
      </c>
      <c r="BZ1257">
        <v>0</v>
      </c>
      <c r="CA1257">
        <v>0</v>
      </c>
      <c r="CB1257">
        <v>0</v>
      </c>
      <c r="CC1257">
        <v>0</v>
      </c>
      <c r="CD1257">
        <v>0</v>
      </c>
      <c r="CE1257">
        <v>0</v>
      </c>
      <c r="CF1257">
        <v>0</v>
      </c>
      <c r="CG1257">
        <v>0</v>
      </c>
      <c r="CH1257">
        <v>0</v>
      </c>
      <c r="CI1257">
        <v>0</v>
      </c>
      <c r="CJ1257">
        <v>0</v>
      </c>
      <c r="CK1257">
        <v>0</v>
      </c>
      <c r="CL1257">
        <v>0</v>
      </c>
      <c r="CM1257">
        <v>0</v>
      </c>
      <c r="CN1257" t="str">
        <f t="shared" si="1638"/>
        <v>refOK</v>
      </c>
      <c r="CO1257">
        <f t="shared" si="1649"/>
        <v>7.6</v>
      </c>
      <c r="CP1257">
        <f t="shared" si="1650"/>
        <v>7.8</v>
      </c>
      <c r="CQ1257">
        <f t="shared" si="1651"/>
        <v>0.20000000000000018</v>
      </c>
      <c r="CR1257">
        <f t="shared" si="1639"/>
        <v>2.948</v>
      </c>
      <c r="CS1257">
        <f t="shared" si="1640"/>
        <v>3.11</v>
      </c>
      <c r="CT1257">
        <f t="shared" si="1641"/>
        <v>0.16199999999999992</v>
      </c>
      <c r="CU1257">
        <f t="shared" si="1642"/>
        <v>0.80999999999999894</v>
      </c>
      <c r="CV1257" s="2">
        <f t="shared" si="1643"/>
        <v>5.4952510176390745E-2</v>
      </c>
      <c r="CW1257" s="1" t="s">
        <v>1198</v>
      </c>
      <c r="CX1257" s="264" t="str">
        <f t="shared" si="1644"/>
        <v>reg</v>
      </c>
      <c r="CY1257" t="s">
        <v>235</v>
      </c>
      <c r="DB1257">
        <v>50</v>
      </c>
      <c r="DC1257" t="str">
        <f t="shared" si="1645"/>
        <v>31-70</v>
      </c>
      <c r="DD1257">
        <v>0</v>
      </c>
      <c r="DE1257">
        <v>1</v>
      </c>
      <c r="DF1257">
        <v>1</v>
      </c>
      <c r="DG1257">
        <v>1</v>
      </c>
      <c r="DI1257">
        <f t="shared" si="1654"/>
        <v>3</v>
      </c>
      <c r="DJ1257" t="str">
        <f t="shared" si="1646"/>
        <v>mixedProduct</v>
      </c>
      <c r="DK1257">
        <f t="shared" si="1655"/>
        <v>0</v>
      </c>
      <c r="DL1257" t="str">
        <f t="shared" si="1656"/>
        <v>Energy</v>
      </c>
      <c r="DM1257" t="str">
        <f t="shared" si="1657"/>
        <v>Pulp/Paper</v>
      </c>
      <c r="DN1257" t="str">
        <f t="shared" si="1658"/>
        <v>Timber</v>
      </c>
      <c r="DO1257">
        <v>0</v>
      </c>
      <c r="DP1257">
        <v>1</v>
      </c>
      <c r="DQ1257" t="s">
        <v>2145</v>
      </c>
      <c r="DR1257">
        <v>0</v>
      </c>
      <c r="DS1257">
        <v>0</v>
      </c>
      <c r="DT1257">
        <f t="shared" si="1660"/>
        <v>1</v>
      </c>
      <c r="DU1257" s="143" t="str">
        <f t="shared" si="1659"/>
        <v>external DF used</v>
      </c>
      <c r="DV1257">
        <v>1</v>
      </c>
      <c r="DW1257">
        <v>1</v>
      </c>
      <c r="DX1257">
        <v>1</v>
      </c>
      <c r="DY1257">
        <v>0</v>
      </c>
      <c r="DZ1257">
        <v>0</v>
      </c>
      <c r="EA1257" s="143">
        <v>0</v>
      </c>
      <c r="EB1257">
        <v>0</v>
      </c>
      <c r="EC1257">
        <v>0</v>
      </c>
      <c r="ED1257">
        <v>0</v>
      </c>
      <c r="EE1257">
        <v>0</v>
      </c>
      <c r="EF1257">
        <v>1</v>
      </c>
      <c r="EG1257">
        <v>0</v>
      </c>
      <c r="EH1257">
        <v>0</v>
      </c>
      <c r="EI1257" s="2">
        <v>0</v>
      </c>
      <c r="EK1257" t="str">
        <f t="shared" si="1652"/>
        <v/>
      </c>
      <c r="EL1257" t="str">
        <f t="shared" si="1653"/>
        <v>Ecosystem approach</v>
      </c>
      <c r="EM1257" s="2" t="str">
        <f t="shared" si="1592"/>
        <v/>
      </c>
      <c r="EP1257" t="str">
        <f>IF(ISNUMBER(BU1257),IF(ABS(BU1257-[4]QC_indicators!$B$2)&gt;3*[4]QC_indicators!$C$2,"C ratio",IF(ISNUMBER(BY1257),IF(ABS(BY1257-[4]QC_indicators!$B$1)&gt;3*[4]QC_indicators!$C$1,"DF","no"))),IF(ISNUMBER(BY1257),IF(ABS(BY1257-[4]QC_indicators!$B$1)&gt;3*[4]QC_indicators!$C$1,"DF","no")))</f>
        <v>no</v>
      </c>
      <c r="ET1257" s="264" t="s">
        <v>3406</v>
      </c>
    </row>
    <row r="1258" spans="1:150" ht="15" hidden="1" customHeight="1">
      <c r="A1258" s="1" t="s">
        <v>1359</v>
      </c>
      <c r="B1258" t="s">
        <v>2134</v>
      </c>
      <c r="C1258" t="s">
        <v>2135</v>
      </c>
      <c r="D1258" t="s">
        <v>2136</v>
      </c>
      <c r="E1258" t="s">
        <v>2137</v>
      </c>
      <c r="F1258" t="s">
        <v>2138</v>
      </c>
      <c r="G1258" t="s">
        <v>1365</v>
      </c>
      <c r="H1258" t="s">
        <v>254</v>
      </c>
      <c r="I1258">
        <v>2012</v>
      </c>
      <c r="J1258">
        <v>21</v>
      </c>
      <c r="K1258" t="s">
        <v>2139</v>
      </c>
      <c r="L1258" s="192"/>
      <c r="M1258" t="str">
        <f t="shared" si="1630"/>
        <v>Pyorala_2012</v>
      </c>
      <c r="N1258" t="s">
        <v>222</v>
      </c>
      <c r="O1258" s="145" t="s">
        <v>341</v>
      </c>
      <c r="P1258" s="180" t="s">
        <v>223</v>
      </c>
      <c r="Q1258" s="264" t="s">
        <v>256</v>
      </c>
      <c r="R1258" s="269" t="s">
        <v>1153</v>
      </c>
      <c r="S1258" s="263" t="s">
        <v>2149</v>
      </c>
      <c r="T1258" s="264" t="s">
        <v>2142</v>
      </c>
      <c r="U1258" s="264" t="s">
        <v>2141</v>
      </c>
      <c r="V1258">
        <v>0</v>
      </c>
      <c r="W1258">
        <v>0</v>
      </c>
      <c r="X1258">
        <v>0</v>
      </c>
      <c r="Y1258">
        <v>1</v>
      </c>
      <c r="Z1258">
        <v>0</v>
      </c>
      <c r="AA1258">
        <v>0</v>
      </c>
      <c r="AB1258">
        <v>0</v>
      </c>
      <c r="AC1258">
        <v>0</v>
      </c>
      <c r="AD1258">
        <v>0</v>
      </c>
      <c r="AE1258">
        <v>0</v>
      </c>
      <c r="AF1258">
        <v>0</v>
      </c>
      <c r="AG1258">
        <v>0</v>
      </c>
      <c r="AH1258">
        <v>0</v>
      </c>
      <c r="AI1258">
        <v>0</v>
      </c>
      <c r="AJ1258">
        <v>0</v>
      </c>
      <c r="AK1258">
        <v>0</v>
      </c>
      <c r="AL1258">
        <v>0</v>
      </c>
      <c r="AM1258">
        <v>0</v>
      </c>
      <c r="AN1258">
        <v>0</v>
      </c>
      <c r="AO1258">
        <v>0</v>
      </c>
      <c r="AP1258">
        <v>0</v>
      </c>
      <c r="AQ1258">
        <v>0</v>
      </c>
      <c r="AR1258">
        <v>0</v>
      </c>
      <c r="AS1258">
        <v>0</v>
      </c>
      <c r="AT1258">
        <v>0</v>
      </c>
      <c r="AU1258">
        <v>0</v>
      </c>
      <c r="AV1258">
        <v>0</v>
      </c>
      <c r="AW1258">
        <v>0</v>
      </c>
      <c r="AX1258" s="141">
        <f t="shared" si="1631"/>
        <v>1</v>
      </c>
      <c r="AY1258" s="141">
        <f t="shared" si="1632"/>
        <v>1</v>
      </c>
      <c r="AZ1258">
        <f t="shared" si="1633"/>
        <v>1</v>
      </c>
      <c r="BA1258">
        <f t="shared" si="1634"/>
        <v>0</v>
      </c>
      <c r="BB1258">
        <f t="shared" si="1635"/>
        <v>0</v>
      </c>
      <c r="BC1258">
        <f t="shared" si="1636"/>
        <v>0</v>
      </c>
      <c r="BD1258">
        <f t="shared" si="1637"/>
        <v>0</v>
      </c>
      <c r="BE1258" t="str" cm="1">
        <f t="array" ref="BE1258">IF(AY1258=1,INDEX($V$7:$AL$7,MATCH(TRUE,INDEX($V1258:$AW1258&lt;&gt;0,),0)),IF(AY1258=0,INDEX($AM$7:$AW$7,MATCH(1,$AM1258:$AW1258,0)),IF(BF1258="Multiple strategies","mixed drivers",IF(BF1258="Supply chain","multiple supply","multiple silviculture"))))</f>
        <v xml:space="preserve">cutting intensity </v>
      </c>
      <c r="BF1258" s="2" t="str" cm="1">
        <f t="array" ref="BF1258">IF(COUNTIF(AZ1258:BB1258,"&lt;&gt;0")=1,INDEX($V$4:$AW$4,MATCH(TRUE,INDEX($V1258:$AW1258&lt;&gt;0,),0)),IF(COUNTIF(AZ1258:BB1258,"&lt;&gt;0")=0,INDEX($AM$4:$AW$4,MATCH(1,$AM1258:$AW1258,0)),"Multiple strategies"))</f>
        <v>Silviculture for removals</v>
      </c>
      <c r="BG1258" s="178" t="s">
        <v>321</v>
      </c>
      <c r="BH1258" s="264" t="s">
        <v>2143</v>
      </c>
      <c r="BI1258" s="264" t="s">
        <v>701</v>
      </c>
      <c r="BJ1258" s="160" t="s">
        <v>700</v>
      </c>
      <c r="BK1258">
        <v>6.5</v>
      </c>
      <c r="BL1258">
        <v>6.7</v>
      </c>
      <c r="BN1258">
        <f t="shared" si="1647"/>
        <v>0.20000000000000018</v>
      </c>
      <c r="BO1258">
        <f t="shared" si="1627"/>
        <v>0.20000000000000018</v>
      </c>
      <c r="BP1258" s="155" t="s">
        <v>232</v>
      </c>
      <c r="BQ1258" s="264" t="s">
        <v>786</v>
      </c>
      <c r="BR1258" s="270" t="s">
        <v>2144</v>
      </c>
      <c r="BS1258" s="264">
        <f>99.4/80</f>
        <v>1.2425000000000002</v>
      </c>
      <c r="BT1258" s="264">
        <f>113.9/80</f>
        <v>1.4237500000000001</v>
      </c>
      <c r="BU1258" s="144"/>
      <c r="BV1258">
        <f t="shared" si="1648"/>
        <v>0.18124999999999991</v>
      </c>
      <c r="BX1258">
        <f t="shared" si="1628"/>
        <v>0.18124999999999991</v>
      </c>
      <c r="BY1258">
        <f t="shared" ref="BY1258:BY1321" si="1661">IFERROR(BX1258/BO1258,"")</f>
        <v>0.90624999999999878</v>
      </c>
      <c r="BZ1258">
        <v>0</v>
      </c>
      <c r="CA1258">
        <v>0</v>
      </c>
      <c r="CB1258">
        <v>0</v>
      </c>
      <c r="CC1258">
        <v>0</v>
      </c>
      <c r="CD1258">
        <v>0</v>
      </c>
      <c r="CE1258">
        <v>0</v>
      </c>
      <c r="CF1258">
        <v>0</v>
      </c>
      <c r="CG1258">
        <v>0</v>
      </c>
      <c r="CH1258">
        <v>0</v>
      </c>
      <c r="CI1258">
        <v>0</v>
      </c>
      <c r="CJ1258">
        <v>0</v>
      </c>
      <c r="CK1258">
        <v>0</v>
      </c>
      <c r="CL1258">
        <v>0</v>
      </c>
      <c r="CM1258">
        <v>0</v>
      </c>
      <c r="CN1258" t="str">
        <f t="shared" si="1638"/>
        <v>refOK</v>
      </c>
      <c r="CO1258">
        <f t="shared" si="1649"/>
        <v>6.5</v>
      </c>
      <c r="CP1258">
        <f t="shared" si="1650"/>
        <v>6.7</v>
      </c>
      <c r="CQ1258">
        <f t="shared" si="1651"/>
        <v>0.20000000000000018</v>
      </c>
      <c r="CR1258">
        <f t="shared" si="1639"/>
        <v>1.2425000000000002</v>
      </c>
      <c r="CS1258">
        <f t="shared" si="1640"/>
        <v>1.4237500000000001</v>
      </c>
      <c r="CT1258">
        <f t="shared" si="1641"/>
        <v>0.18124999999999991</v>
      </c>
      <c r="CU1258">
        <f t="shared" si="1642"/>
        <v>0.90624999999999878</v>
      </c>
      <c r="CV1258" s="2">
        <f t="shared" si="1643"/>
        <v>0.14587525150905423</v>
      </c>
      <c r="CW1258" s="1" t="s">
        <v>1198</v>
      </c>
      <c r="CX1258" s="264" t="str">
        <f t="shared" si="1644"/>
        <v>reg</v>
      </c>
      <c r="CY1258" t="s">
        <v>235</v>
      </c>
      <c r="DB1258">
        <v>80</v>
      </c>
      <c r="DC1258" t="str">
        <f t="shared" si="1645"/>
        <v>71-100</v>
      </c>
      <c r="DD1258">
        <v>0</v>
      </c>
      <c r="DE1258">
        <v>1</v>
      </c>
      <c r="DF1258">
        <v>1</v>
      </c>
      <c r="DG1258">
        <v>1</v>
      </c>
      <c r="DI1258">
        <f t="shared" si="1654"/>
        <v>3</v>
      </c>
      <c r="DJ1258" t="str">
        <f t="shared" si="1646"/>
        <v>mixedProduct</v>
      </c>
      <c r="DK1258">
        <f t="shared" si="1655"/>
        <v>0</v>
      </c>
      <c r="DL1258" t="str">
        <f t="shared" si="1656"/>
        <v>Energy</v>
      </c>
      <c r="DM1258" t="str">
        <f t="shared" si="1657"/>
        <v>Pulp/Paper</v>
      </c>
      <c r="DN1258" t="str">
        <f t="shared" si="1658"/>
        <v>Timber</v>
      </c>
      <c r="DO1258">
        <v>0</v>
      </c>
      <c r="DP1258">
        <v>1</v>
      </c>
      <c r="DQ1258" t="s">
        <v>2145</v>
      </c>
      <c r="DR1258">
        <v>0</v>
      </c>
      <c r="DS1258">
        <v>0</v>
      </c>
      <c r="DT1258">
        <f t="shared" si="1660"/>
        <v>1</v>
      </c>
      <c r="DU1258" s="143" t="str">
        <f t="shared" si="1659"/>
        <v>external DF used</v>
      </c>
      <c r="DV1258">
        <v>1</v>
      </c>
      <c r="DW1258">
        <v>1</v>
      </c>
      <c r="DX1258">
        <v>1</v>
      </c>
      <c r="DY1258">
        <v>0</v>
      </c>
      <c r="DZ1258">
        <v>0</v>
      </c>
      <c r="EA1258" s="143">
        <v>0</v>
      </c>
      <c r="EB1258">
        <v>0</v>
      </c>
      <c r="EC1258">
        <v>0</v>
      </c>
      <c r="ED1258">
        <v>0</v>
      </c>
      <c r="EE1258">
        <v>0</v>
      </c>
      <c r="EF1258">
        <v>1</v>
      </c>
      <c r="EG1258">
        <v>0</v>
      </c>
      <c r="EH1258">
        <v>0</v>
      </c>
      <c r="EI1258" s="2">
        <v>0</v>
      </c>
      <c r="EK1258" t="str">
        <f t="shared" si="1652"/>
        <v/>
      </c>
      <c r="EL1258" t="str">
        <f t="shared" si="1653"/>
        <v>Ecosystem approach</v>
      </c>
      <c r="EM1258" s="2" t="str">
        <f t="shared" si="1592"/>
        <v/>
      </c>
      <c r="EP1258" t="str">
        <f>IF(ISNUMBER(BU1258),IF(ABS(BU1258-[4]QC_indicators!$B$2)&gt;3*[4]QC_indicators!$C$2,"C ratio",IF(ISNUMBER(BY1258),IF(ABS(BY1258-[4]QC_indicators!$B$1)&gt;3*[4]QC_indicators!$C$1,"DF","no"))),IF(ISNUMBER(BY1258),IF(ABS(BY1258-[4]QC_indicators!$B$1)&gt;3*[4]QC_indicators!$C$1,"DF","no")))</f>
        <v>no</v>
      </c>
      <c r="ET1258" s="264" t="s">
        <v>3406</v>
      </c>
    </row>
    <row r="1259" spans="1:150" ht="15" hidden="1" customHeight="1">
      <c r="A1259" s="1" t="s">
        <v>1359</v>
      </c>
      <c r="B1259" t="s">
        <v>2134</v>
      </c>
      <c r="C1259" t="s">
        <v>2135</v>
      </c>
      <c r="D1259" t="s">
        <v>2136</v>
      </c>
      <c r="E1259" t="s">
        <v>2137</v>
      </c>
      <c r="F1259" t="s">
        <v>2138</v>
      </c>
      <c r="G1259" t="s">
        <v>1365</v>
      </c>
      <c r="H1259" t="s">
        <v>254</v>
      </c>
      <c r="I1259">
        <v>2012</v>
      </c>
      <c r="J1259">
        <v>21</v>
      </c>
      <c r="K1259" t="s">
        <v>2139</v>
      </c>
      <c r="L1259" s="192"/>
      <c r="M1259" t="str">
        <f t="shared" si="1630"/>
        <v>Pyorala_2012</v>
      </c>
      <c r="N1259" t="s">
        <v>222</v>
      </c>
      <c r="O1259" s="145" t="s">
        <v>341</v>
      </c>
      <c r="P1259" s="180" t="s">
        <v>223</v>
      </c>
      <c r="Q1259" s="264" t="s">
        <v>256</v>
      </c>
      <c r="R1259" s="269" t="s">
        <v>1153</v>
      </c>
      <c r="S1259" s="263" t="s">
        <v>2148</v>
      </c>
      <c r="T1259" s="264" t="s">
        <v>2142</v>
      </c>
      <c r="U1259" s="264" t="s">
        <v>2141</v>
      </c>
      <c r="V1259">
        <v>0</v>
      </c>
      <c r="W1259">
        <v>0</v>
      </c>
      <c r="X1259">
        <v>0</v>
      </c>
      <c r="Y1259">
        <v>1</v>
      </c>
      <c r="Z1259">
        <v>0</v>
      </c>
      <c r="AA1259">
        <v>0</v>
      </c>
      <c r="AB1259">
        <v>0</v>
      </c>
      <c r="AC1259">
        <v>0</v>
      </c>
      <c r="AD1259">
        <v>0</v>
      </c>
      <c r="AE1259">
        <v>0</v>
      </c>
      <c r="AF1259">
        <v>0</v>
      </c>
      <c r="AG1259">
        <v>0</v>
      </c>
      <c r="AH1259">
        <v>0</v>
      </c>
      <c r="AI1259">
        <v>0</v>
      </c>
      <c r="AJ1259">
        <v>0</v>
      </c>
      <c r="AK1259">
        <v>0</v>
      </c>
      <c r="AL1259">
        <v>0</v>
      </c>
      <c r="AM1259">
        <v>0</v>
      </c>
      <c r="AN1259">
        <v>0</v>
      </c>
      <c r="AO1259">
        <v>0</v>
      </c>
      <c r="AP1259">
        <v>0</v>
      </c>
      <c r="AQ1259">
        <v>0</v>
      </c>
      <c r="AR1259">
        <v>0</v>
      </c>
      <c r="AS1259">
        <v>0</v>
      </c>
      <c r="AT1259">
        <v>0</v>
      </c>
      <c r="AU1259">
        <v>0</v>
      </c>
      <c r="AV1259">
        <v>0</v>
      </c>
      <c r="AW1259">
        <v>0</v>
      </c>
      <c r="AX1259" s="141">
        <f t="shared" si="1631"/>
        <v>1</v>
      </c>
      <c r="AY1259" s="141">
        <f t="shared" si="1632"/>
        <v>1</v>
      </c>
      <c r="AZ1259">
        <f t="shared" si="1633"/>
        <v>1</v>
      </c>
      <c r="BA1259">
        <f t="shared" si="1634"/>
        <v>0</v>
      </c>
      <c r="BB1259">
        <f t="shared" si="1635"/>
        <v>0</v>
      </c>
      <c r="BC1259">
        <f t="shared" si="1636"/>
        <v>0</v>
      </c>
      <c r="BD1259">
        <f t="shared" si="1637"/>
        <v>0</v>
      </c>
      <c r="BE1259" t="str" cm="1">
        <f t="array" ref="BE1259">IF(AY1259=1,INDEX($V$7:$AL$7,MATCH(TRUE,INDEX($V1259:$AW1259&lt;&gt;0,),0)),IF(AY1259=0,INDEX($AM$7:$AW$7,MATCH(1,$AM1259:$AW1259,0)),IF(BF1259="Multiple strategies","mixed drivers",IF(BF1259="Supply chain","multiple supply","multiple silviculture"))))</f>
        <v xml:space="preserve">cutting intensity </v>
      </c>
      <c r="BF1259" s="2" t="str" cm="1">
        <f t="array" ref="BF1259">IF(COUNTIF(AZ1259:BB1259,"&lt;&gt;0")=1,INDEX($V$4:$AW$4,MATCH(TRUE,INDEX($V1259:$AW1259&lt;&gt;0,),0)),IF(COUNTIF(AZ1259:BB1259,"&lt;&gt;0")=0,INDEX($AM$4:$AW$4,MATCH(1,$AM1259:$AW1259,0)),"Multiple strategies"))</f>
        <v>Silviculture for removals</v>
      </c>
      <c r="BG1259" s="178" t="s">
        <v>321</v>
      </c>
      <c r="BH1259" s="264" t="s">
        <v>2143</v>
      </c>
      <c r="BI1259" s="264" t="s">
        <v>426</v>
      </c>
      <c r="BJ1259" s="160" t="s">
        <v>700</v>
      </c>
      <c r="BK1259">
        <v>7.8</v>
      </c>
      <c r="BL1259">
        <v>8.6999999999999993</v>
      </c>
      <c r="BN1259">
        <f t="shared" si="1647"/>
        <v>0.89999999999999947</v>
      </c>
      <c r="BO1259">
        <f t="shared" si="1627"/>
        <v>0.89999999999999947</v>
      </c>
      <c r="BP1259" s="155" t="s">
        <v>232</v>
      </c>
      <c r="BQ1259" s="264" t="s">
        <v>786</v>
      </c>
      <c r="BR1259" s="270" t="s">
        <v>2144</v>
      </c>
      <c r="BS1259" s="264">
        <f>155.5/50</f>
        <v>3.11</v>
      </c>
      <c r="BT1259" s="264">
        <f>211.5/50</f>
        <v>4.2300000000000004</v>
      </c>
      <c r="BU1259" s="144"/>
      <c r="BV1259">
        <f t="shared" si="1648"/>
        <v>1.1200000000000006</v>
      </c>
      <c r="BX1259">
        <f t="shared" si="1628"/>
        <v>1.1200000000000006</v>
      </c>
      <c r="BY1259">
        <f t="shared" si="1661"/>
        <v>1.2444444444444458</v>
      </c>
      <c r="BZ1259">
        <v>0</v>
      </c>
      <c r="CA1259">
        <v>0</v>
      </c>
      <c r="CB1259">
        <v>0</v>
      </c>
      <c r="CC1259">
        <v>0</v>
      </c>
      <c r="CD1259">
        <v>0</v>
      </c>
      <c r="CE1259">
        <v>0</v>
      </c>
      <c r="CF1259">
        <v>0</v>
      </c>
      <c r="CG1259">
        <v>0</v>
      </c>
      <c r="CH1259">
        <v>0</v>
      </c>
      <c r="CI1259">
        <v>0</v>
      </c>
      <c r="CJ1259">
        <v>0</v>
      </c>
      <c r="CK1259">
        <v>0</v>
      </c>
      <c r="CL1259">
        <v>0</v>
      </c>
      <c r="CM1259">
        <v>0</v>
      </c>
      <c r="CN1259" t="str">
        <f t="shared" si="1638"/>
        <v>refOK</v>
      </c>
      <c r="CO1259">
        <f t="shared" si="1649"/>
        <v>7.8</v>
      </c>
      <c r="CP1259">
        <f t="shared" si="1650"/>
        <v>8.6999999999999993</v>
      </c>
      <c r="CQ1259">
        <f t="shared" si="1651"/>
        <v>0.89999999999999947</v>
      </c>
      <c r="CR1259">
        <f t="shared" si="1639"/>
        <v>3.11</v>
      </c>
      <c r="CS1259">
        <f t="shared" si="1640"/>
        <v>4.2300000000000004</v>
      </c>
      <c r="CT1259">
        <f t="shared" si="1641"/>
        <v>1.1200000000000006</v>
      </c>
      <c r="CU1259">
        <f t="shared" si="1642"/>
        <v>1.2444444444444458</v>
      </c>
      <c r="CV1259" s="2">
        <f t="shared" si="1643"/>
        <v>0.36012861736334423</v>
      </c>
      <c r="CW1259" s="1" t="s">
        <v>1198</v>
      </c>
      <c r="CX1259" s="264" t="str">
        <f t="shared" si="1644"/>
        <v>reg</v>
      </c>
      <c r="CY1259" t="s">
        <v>235</v>
      </c>
      <c r="DB1259">
        <v>50</v>
      </c>
      <c r="DC1259" t="str">
        <f t="shared" si="1645"/>
        <v>31-70</v>
      </c>
      <c r="DD1259">
        <v>0</v>
      </c>
      <c r="DE1259">
        <v>1</v>
      </c>
      <c r="DF1259">
        <v>1</v>
      </c>
      <c r="DG1259">
        <v>1</v>
      </c>
      <c r="DI1259">
        <f t="shared" si="1654"/>
        <v>3</v>
      </c>
      <c r="DJ1259" t="str">
        <f t="shared" si="1646"/>
        <v>mixedProduct</v>
      </c>
      <c r="DK1259">
        <f t="shared" si="1655"/>
        <v>0</v>
      </c>
      <c r="DL1259" t="str">
        <f t="shared" si="1656"/>
        <v>Energy</v>
      </c>
      <c r="DM1259" t="str">
        <f t="shared" si="1657"/>
        <v>Pulp/Paper</v>
      </c>
      <c r="DN1259" t="str">
        <f t="shared" si="1658"/>
        <v>Timber</v>
      </c>
      <c r="DO1259">
        <v>0</v>
      </c>
      <c r="DP1259">
        <v>1</v>
      </c>
      <c r="DQ1259" t="s">
        <v>2145</v>
      </c>
      <c r="DR1259">
        <v>0</v>
      </c>
      <c r="DS1259">
        <v>0</v>
      </c>
      <c r="DT1259">
        <f t="shared" si="1660"/>
        <v>1</v>
      </c>
      <c r="DU1259" s="143" t="str">
        <f t="shared" si="1659"/>
        <v>external DF used</v>
      </c>
      <c r="DV1259">
        <v>1</v>
      </c>
      <c r="DW1259">
        <v>1</v>
      </c>
      <c r="DX1259">
        <v>1</v>
      </c>
      <c r="DY1259">
        <v>0</v>
      </c>
      <c r="DZ1259">
        <v>0</v>
      </c>
      <c r="EA1259" s="143">
        <v>0</v>
      </c>
      <c r="EB1259">
        <v>0</v>
      </c>
      <c r="EC1259">
        <v>0</v>
      </c>
      <c r="ED1259">
        <v>0</v>
      </c>
      <c r="EE1259">
        <v>0</v>
      </c>
      <c r="EF1259">
        <v>1</v>
      </c>
      <c r="EG1259">
        <v>0</v>
      </c>
      <c r="EH1259">
        <v>0</v>
      </c>
      <c r="EI1259" s="2">
        <v>0</v>
      </c>
      <c r="EK1259" t="str">
        <f t="shared" si="1652"/>
        <v/>
      </c>
      <c r="EL1259" t="str">
        <f t="shared" si="1653"/>
        <v>Ecosystem approach</v>
      </c>
      <c r="EM1259" s="2" t="str">
        <f t="shared" si="1592"/>
        <v/>
      </c>
      <c r="EP1259" t="str">
        <f>IF(ISNUMBER(BU1259),IF(ABS(BU1259-[4]QC_indicators!$B$2)&gt;3*[4]QC_indicators!$C$2,"C ratio",IF(ISNUMBER(BY1259),IF(ABS(BY1259-[4]QC_indicators!$B$1)&gt;3*[4]QC_indicators!$C$1,"DF","no"))),IF(ISNUMBER(BY1259),IF(ABS(BY1259-[4]QC_indicators!$B$1)&gt;3*[4]QC_indicators!$C$1,"DF","no")))</f>
        <v>no</v>
      </c>
      <c r="ET1259" s="264" t="s">
        <v>3406</v>
      </c>
    </row>
    <row r="1260" spans="1:150" ht="15" hidden="1" customHeight="1">
      <c r="A1260" s="1" t="s">
        <v>1359</v>
      </c>
      <c r="B1260" t="s">
        <v>2134</v>
      </c>
      <c r="C1260" t="s">
        <v>2135</v>
      </c>
      <c r="D1260" t="s">
        <v>2136</v>
      </c>
      <c r="E1260" t="s">
        <v>2137</v>
      </c>
      <c r="F1260" t="s">
        <v>2138</v>
      </c>
      <c r="G1260" t="s">
        <v>1365</v>
      </c>
      <c r="H1260" t="s">
        <v>254</v>
      </c>
      <c r="I1260">
        <v>2012</v>
      </c>
      <c r="J1260">
        <v>21</v>
      </c>
      <c r="K1260" t="s">
        <v>2139</v>
      </c>
      <c r="L1260" s="192"/>
      <c r="M1260" t="str">
        <f t="shared" si="1630"/>
        <v>Pyorala_2012</v>
      </c>
      <c r="N1260" t="s">
        <v>222</v>
      </c>
      <c r="O1260" s="145" t="s">
        <v>341</v>
      </c>
      <c r="P1260" s="193" t="s">
        <v>223</v>
      </c>
      <c r="Q1260" s="264" t="s">
        <v>256</v>
      </c>
      <c r="R1260" s="269" t="s">
        <v>1153</v>
      </c>
      <c r="S1260" s="263" t="s">
        <v>2148</v>
      </c>
      <c r="T1260" s="264" t="s">
        <v>2142</v>
      </c>
      <c r="U1260" s="264" t="s">
        <v>2147</v>
      </c>
      <c r="V1260">
        <v>0</v>
      </c>
      <c r="W1260">
        <v>0</v>
      </c>
      <c r="X1260">
        <v>0</v>
      </c>
      <c r="Y1260">
        <v>1</v>
      </c>
      <c r="Z1260">
        <v>0</v>
      </c>
      <c r="AA1260">
        <v>0</v>
      </c>
      <c r="AB1260">
        <v>0</v>
      </c>
      <c r="AC1260">
        <v>0</v>
      </c>
      <c r="AD1260">
        <v>0</v>
      </c>
      <c r="AE1260">
        <v>0</v>
      </c>
      <c r="AF1260">
        <v>0</v>
      </c>
      <c r="AG1260">
        <v>0</v>
      </c>
      <c r="AH1260">
        <v>0</v>
      </c>
      <c r="AI1260">
        <v>0</v>
      </c>
      <c r="AJ1260">
        <v>0</v>
      </c>
      <c r="AK1260">
        <v>0</v>
      </c>
      <c r="AL1260">
        <v>0</v>
      </c>
      <c r="AM1260">
        <v>0</v>
      </c>
      <c r="AN1260">
        <v>0</v>
      </c>
      <c r="AO1260">
        <v>0</v>
      </c>
      <c r="AP1260">
        <v>0</v>
      </c>
      <c r="AQ1260">
        <v>0</v>
      </c>
      <c r="AR1260">
        <v>0</v>
      </c>
      <c r="AS1260">
        <v>0</v>
      </c>
      <c r="AT1260">
        <v>0</v>
      </c>
      <c r="AU1260">
        <v>0</v>
      </c>
      <c r="AV1260">
        <v>0</v>
      </c>
      <c r="AW1260">
        <v>0</v>
      </c>
      <c r="AX1260" s="141">
        <f t="shared" si="1631"/>
        <v>1</v>
      </c>
      <c r="AY1260" s="141">
        <f t="shared" si="1632"/>
        <v>1</v>
      </c>
      <c r="AZ1260">
        <f t="shared" si="1633"/>
        <v>1</v>
      </c>
      <c r="BA1260">
        <f t="shared" si="1634"/>
        <v>0</v>
      </c>
      <c r="BB1260">
        <f t="shared" si="1635"/>
        <v>0</v>
      </c>
      <c r="BC1260">
        <f t="shared" si="1636"/>
        <v>0</v>
      </c>
      <c r="BD1260">
        <f t="shared" si="1637"/>
        <v>0</v>
      </c>
      <c r="BE1260" t="str" cm="1">
        <f t="array" ref="BE1260">IF(AY1260=1,INDEX($V$7:$AL$7,MATCH(TRUE,INDEX($V1260:$AW1260&lt;&gt;0,),0)),IF(AY1260=0,INDEX($AM$7:$AW$7,MATCH(1,$AM1260:$AW1260,0)),IF(BF1260="Multiple strategies","mixed drivers",IF(BF1260="Supply chain","multiple supply","multiple silviculture"))))</f>
        <v xml:space="preserve">cutting intensity </v>
      </c>
      <c r="BF1260" s="2" t="str" cm="1">
        <f t="array" ref="BF1260">IF(COUNTIF(AZ1260:BB1260,"&lt;&gt;0")=1,INDEX($V$4:$AW$4,MATCH(TRUE,INDEX($V1260:$AW1260&lt;&gt;0,),0)),IF(COUNTIF(AZ1260:BB1260,"&lt;&gt;0")=0,INDEX($AM$4:$AW$4,MATCH(1,$AM1260:$AW1260,0)),"Multiple strategies"))</f>
        <v>Silviculture for removals</v>
      </c>
      <c r="BG1260" s="194" t="s">
        <v>321</v>
      </c>
      <c r="BH1260" s="264" t="s">
        <v>2143</v>
      </c>
      <c r="BI1260" s="264" t="s">
        <v>701</v>
      </c>
      <c r="BJ1260" s="195" t="s">
        <v>700</v>
      </c>
      <c r="BK1260">
        <v>7.8</v>
      </c>
      <c r="BL1260">
        <v>9</v>
      </c>
      <c r="BN1260">
        <f t="shared" si="1647"/>
        <v>1.2000000000000002</v>
      </c>
      <c r="BO1260">
        <f t="shared" si="1627"/>
        <v>1.2000000000000002</v>
      </c>
      <c r="BP1260" s="149" t="s">
        <v>232</v>
      </c>
      <c r="BQ1260" s="264" t="s">
        <v>786</v>
      </c>
      <c r="BR1260" s="294" t="s">
        <v>2144</v>
      </c>
      <c r="BS1260" s="264">
        <f>155.5/50</f>
        <v>3.11</v>
      </c>
      <c r="BT1260" s="264">
        <f>234.2/50</f>
        <v>4.6840000000000002</v>
      </c>
      <c r="BU1260" s="144"/>
      <c r="BV1260">
        <f t="shared" si="1648"/>
        <v>1.5740000000000003</v>
      </c>
      <c r="BX1260">
        <f t="shared" si="1628"/>
        <v>1.5740000000000003</v>
      </c>
      <c r="BY1260">
        <f t="shared" si="1661"/>
        <v>1.3116666666666668</v>
      </c>
      <c r="BZ1260">
        <v>0</v>
      </c>
      <c r="CA1260">
        <v>0</v>
      </c>
      <c r="CB1260">
        <v>0</v>
      </c>
      <c r="CC1260">
        <v>0</v>
      </c>
      <c r="CD1260">
        <v>0</v>
      </c>
      <c r="CE1260">
        <v>0</v>
      </c>
      <c r="CF1260">
        <v>0</v>
      </c>
      <c r="CG1260">
        <v>0</v>
      </c>
      <c r="CH1260">
        <v>0</v>
      </c>
      <c r="CI1260">
        <v>0</v>
      </c>
      <c r="CJ1260">
        <v>0</v>
      </c>
      <c r="CK1260">
        <v>0</v>
      </c>
      <c r="CL1260">
        <v>0</v>
      </c>
      <c r="CM1260">
        <v>0</v>
      </c>
      <c r="CN1260" t="str">
        <f t="shared" si="1638"/>
        <v>refOK</v>
      </c>
      <c r="CO1260">
        <f t="shared" si="1649"/>
        <v>7.8</v>
      </c>
      <c r="CP1260">
        <f t="shared" si="1650"/>
        <v>9</v>
      </c>
      <c r="CQ1260">
        <f t="shared" si="1651"/>
        <v>1.2000000000000002</v>
      </c>
      <c r="CR1260">
        <f t="shared" si="1639"/>
        <v>3.11</v>
      </c>
      <c r="CS1260">
        <f t="shared" si="1640"/>
        <v>4.6840000000000002</v>
      </c>
      <c r="CT1260">
        <f t="shared" si="1641"/>
        <v>1.5740000000000003</v>
      </c>
      <c r="CU1260">
        <f t="shared" si="1642"/>
        <v>1.3116666666666668</v>
      </c>
      <c r="CV1260" s="2">
        <f t="shared" si="1643"/>
        <v>0.50610932475884252</v>
      </c>
      <c r="CW1260" s="1" t="s">
        <v>1198</v>
      </c>
      <c r="CX1260" s="264" t="str">
        <f t="shared" si="1644"/>
        <v>reg</v>
      </c>
      <c r="CY1260" t="s">
        <v>235</v>
      </c>
      <c r="DB1260">
        <v>50</v>
      </c>
      <c r="DC1260" t="str">
        <f t="shared" si="1645"/>
        <v>31-70</v>
      </c>
      <c r="DD1260">
        <v>0</v>
      </c>
      <c r="DE1260">
        <v>1</v>
      </c>
      <c r="DF1260">
        <v>1</v>
      </c>
      <c r="DG1260">
        <v>1</v>
      </c>
      <c r="DI1260">
        <f t="shared" si="1654"/>
        <v>3</v>
      </c>
      <c r="DJ1260" t="str">
        <f t="shared" si="1646"/>
        <v>mixedProduct</v>
      </c>
      <c r="DK1260">
        <f t="shared" si="1655"/>
        <v>0</v>
      </c>
      <c r="DL1260" t="str">
        <f t="shared" si="1656"/>
        <v>Energy</v>
      </c>
      <c r="DM1260" t="str">
        <f t="shared" si="1657"/>
        <v>Pulp/Paper</v>
      </c>
      <c r="DN1260" t="str">
        <f t="shared" si="1658"/>
        <v>Timber</v>
      </c>
      <c r="DO1260">
        <v>0</v>
      </c>
      <c r="DP1260">
        <v>1</v>
      </c>
      <c r="DQ1260" t="s">
        <v>2145</v>
      </c>
      <c r="DR1260">
        <v>0</v>
      </c>
      <c r="DS1260">
        <v>0</v>
      </c>
      <c r="DT1260">
        <f t="shared" si="1660"/>
        <v>1</v>
      </c>
      <c r="DU1260" s="143" t="str">
        <f t="shared" si="1659"/>
        <v>external DF used</v>
      </c>
      <c r="DV1260">
        <v>1</v>
      </c>
      <c r="DW1260">
        <v>1</v>
      </c>
      <c r="DX1260">
        <v>1</v>
      </c>
      <c r="DY1260">
        <v>0</v>
      </c>
      <c r="DZ1260">
        <v>0</v>
      </c>
      <c r="EA1260" s="143">
        <v>0</v>
      </c>
      <c r="EB1260">
        <v>0</v>
      </c>
      <c r="EC1260">
        <v>0</v>
      </c>
      <c r="ED1260">
        <v>0</v>
      </c>
      <c r="EE1260">
        <v>0</v>
      </c>
      <c r="EF1260">
        <v>1</v>
      </c>
      <c r="EG1260">
        <v>0</v>
      </c>
      <c r="EH1260">
        <v>0</v>
      </c>
      <c r="EI1260" s="2">
        <v>0</v>
      </c>
      <c r="EK1260" t="str">
        <f t="shared" si="1652"/>
        <v/>
      </c>
      <c r="EL1260" t="str">
        <f t="shared" si="1653"/>
        <v>Ecosystem approach</v>
      </c>
      <c r="EM1260" s="2" t="str">
        <f t="shared" ref="EM1260:EM1323" si="1662">IF(AND(AND(AND($DX1260=0,$DW1260=0),OR($EC1260=1,$EA1260=1)),SUM($EB1260:$EE1260)&gt;=2),"Technology approach","")</f>
        <v/>
      </c>
      <c r="EP1260" t="str">
        <f>IF(ISNUMBER(BU1260),IF(ABS(BU1260-[4]QC_indicators!$B$2)&gt;3*[4]QC_indicators!$C$2,"C ratio",IF(ISNUMBER(BY1260),IF(ABS(BY1260-[4]QC_indicators!$B$1)&gt;3*[4]QC_indicators!$C$1,"DF","no"))),IF(ISNUMBER(BY1260),IF(ABS(BY1260-[4]QC_indicators!$B$1)&gt;3*[4]QC_indicators!$C$1,"DF","no")))</f>
        <v>no</v>
      </c>
      <c r="ET1260" s="264" t="s">
        <v>3406</v>
      </c>
    </row>
    <row r="1261" spans="1:150" ht="15" hidden="1" customHeight="1">
      <c r="A1261" s="1" t="s">
        <v>1359</v>
      </c>
      <c r="B1261" t="s">
        <v>2134</v>
      </c>
      <c r="C1261" t="s">
        <v>2135</v>
      </c>
      <c r="D1261" t="s">
        <v>2136</v>
      </c>
      <c r="E1261" t="s">
        <v>2137</v>
      </c>
      <c r="F1261" t="s">
        <v>2138</v>
      </c>
      <c r="G1261" t="s">
        <v>1365</v>
      </c>
      <c r="H1261" t="s">
        <v>254</v>
      </c>
      <c r="I1261">
        <v>2012</v>
      </c>
      <c r="J1261">
        <v>21</v>
      </c>
      <c r="K1261" t="s">
        <v>2139</v>
      </c>
      <c r="L1261" s="192"/>
      <c r="M1261" t="str">
        <f t="shared" si="1630"/>
        <v>Pyorala_2012</v>
      </c>
      <c r="N1261" t="s">
        <v>222</v>
      </c>
      <c r="O1261" s="145" t="s">
        <v>341</v>
      </c>
      <c r="P1261" s="180" t="s">
        <v>223</v>
      </c>
      <c r="Q1261" s="264" t="s">
        <v>256</v>
      </c>
      <c r="R1261" s="269" t="s">
        <v>1153</v>
      </c>
      <c r="S1261" s="263" t="s">
        <v>2140</v>
      </c>
      <c r="T1261" s="264" t="s">
        <v>2141</v>
      </c>
      <c r="U1261" s="264" t="s">
        <v>2142</v>
      </c>
      <c r="V1261">
        <v>0</v>
      </c>
      <c r="W1261">
        <v>0</v>
      </c>
      <c r="X1261">
        <v>0</v>
      </c>
      <c r="Y1261">
        <v>1</v>
      </c>
      <c r="Z1261">
        <v>0</v>
      </c>
      <c r="AA1261">
        <v>0</v>
      </c>
      <c r="AB1261">
        <v>0</v>
      </c>
      <c r="AC1261">
        <v>0</v>
      </c>
      <c r="AD1261">
        <v>0</v>
      </c>
      <c r="AE1261">
        <v>0</v>
      </c>
      <c r="AF1261">
        <v>0</v>
      </c>
      <c r="AG1261">
        <v>0</v>
      </c>
      <c r="AH1261">
        <v>0</v>
      </c>
      <c r="AI1261">
        <v>0</v>
      </c>
      <c r="AJ1261">
        <v>0</v>
      </c>
      <c r="AK1261">
        <v>0</v>
      </c>
      <c r="AL1261">
        <v>0</v>
      </c>
      <c r="AM1261">
        <v>0</v>
      </c>
      <c r="AN1261">
        <v>0</v>
      </c>
      <c r="AO1261">
        <v>0</v>
      </c>
      <c r="AP1261">
        <v>0</v>
      </c>
      <c r="AQ1261">
        <v>0</v>
      </c>
      <c r="AR1261">
        <v>0</v>
      </c>
      <c r="AS1261">
        <v>0</v>
      </c>
      <c r="AT1261">
        <v>0</v>
      </c>
      <c r="AU1261">
        <v>0</v>
      </c>
      <c r="AV1261">
        <v>0</v>
      </c>
      <c r="AW1261">
        <v>0</v>
      </c>
      <c r="AX1261" s="141">
        <f t="shared" si="1631"/>
        <v>1</v>
      </c>
      <c r="AY1261" s="141">
        <f t="shared" si="1632"/>
        <v>1</v>
      </c>
      <c r="AZ1261">
        <f t="shared" si="1633"/>
        <v>1</v>
      </c>
      <c r="BA1261">
        <f t="shared" si="1634"/>
        <v>0</v>
      </c>
      <c r="BB1261">
        <f t="shared" si="1635"/>
        <v>0</v>
      </c>
      <c r="BC1261">
        <f t="shared" si="1636"/>
        <v>0</v>
      </c>
      <c r="BD1261">
        <f t="shared" si="1637"/>
        <v>0</v>
      </c>
      <c r="BE1261" t="str" cm="1">
        <f t="array" ref="BE1261">IF(AY1261=1,INDEX($V$7:$AL$7,MATCH(TRUE,INDEX($V1261:$AW1261&lt;&gt;0,),0)),IF(AY1261=0,INDEX($AM$7:$AW$7,MATCH(1,$AM1261:$AW1261,0)),IF(BF1261="Multiple strategies","mixed drivers",IF(BF1261="Supply chain","multiple supply","multiple silviculture"))))</f>
        <v xml:space="preserve">cutting intensity </v>
      </c>
      <c r="BF1261" s="2" t="str" cm="1">
        <f t="array" ref="BF1261">IF(COUNTIF(AZ1261:BB1261,"&lt;&gt;0")=1,INDEX($V$4:$AW$4,MATCH(TRUE,INDEX($V1261:$AW1261&lt;&gt;0,),0)),IF(COUNTIF(AZ1261:BB1261,"&lt;&gt;0")=0,INDEX($AM$4:$AW$4,MATCH(1,$AM1261:$AW1261,0)),"Multiple strategies"))</f>
        <v>Silviculture for removals</v>
      </c>
      <c r="BG1261" s="178" t="s">
        <v>321</v>
      </c>
      <c r="BH1261" s="264" t="s">
        <v>2143</v>
      </c>
      <c r="BI1261" s="264" t="s">
        <v>426</v>
      </c>
      <c r="BJ1261" s="160" t="s">
        <v>700</v>
      </c>
      <c r="BK1261">
        <v>8.3000000000000007</v>
      </c>
      <c r="BL1261">
        <v>8.4</v>
      </c>
      <c r="BN1261">
        <f t="shared" si="1647"/>
        <v>9.9999999999999645E-2</v>
      </c>
      <c r="BO1261">
        <f t="shared" si="1627"/>
        <v>9.9999999999999645E-2</v>
      </c>
      <c r="BP1261" s="155" t="s">
        <v>395</v>
      </c>
      <c r="BQ1261" s="264" t="s">
        <v>783</v>
      </c>
      <c r="BR1261" s="155" t="s">
        <v>279</v>
      </c>
      <c r="BS1261">
        <v>0.9</v>
      </c>
      <c r="BT1261">
        <v>1.1000000000000001</v>
      </c>
      <c r="BU1261" s="144"/>
      <c r="BV1261">
        <f t="shared" si="1648"/>
        <v>0.20000000000000007</v>
      </c>
      <c r="BX1261">
        <f t="shared" si="1628"/>
        <v>0.20000000000000007</v>
      </c>
      <c r="BY1261">
        <f t="shared" si="1661"/>
        <v>2.000000000000008</v>
      </c>
      <c r="BZ1261">
        <v>0</v>
      </c>
      <c r="CA1261">
        <v>0</v>
      </c>
      <c r="CB1261">
        <v>0</v>
      </c>
      <c r="CC1261">
        <v>0</v>
      </c>
      <c r="CD1261">
        <v>0</v>
      </c>
      <c r="CE1261">
        <v>0</v>
      </c>
      <c r="CF1261">
        <v>0</v>
      </c>
      <c r="CG1261">
        <v>0</v>
      </c>
      <c r="CH1261">
        <v>0</v>
      </c>
      <c r="CI1261">
        <v>0</v>
      </c>
      <c r="CJ1261">
        <v>0</v>
      </c>
      <c r="CK1261">
        <v>0</v>
      </c>
      <c r="CL1261">
        <v>0</v>
      </c>
      <c r="CM1261">
        <v>0</v>
      </c>
      <c r="CN1261" t="str">
        <f t="shared" si="1638"/>
        <v>refOK</v>
      </c>
      <c r="CO1261">
        <f t="shared" si="1649"/>
        <v>8.3000000000000007</v>
      </c>
      <c r="CP1261">
        <f t="shared" si="1650"/>
        <v>8.4</v>
      </c>
      <c r="CQ1261">
        <f t="shared" si="1651"/>
        <v>9.9999999999999645E-2</v>
      </c>
      <c r="CR1261">
        <f t="shared" si="1639"/>
        <v>-0.9</v>
      </c>
      <c r="CS1261">
        <f t="shared" si="1640"/>
        <v>-1.1000000000000001</v>
      </c>
      <c r="CT1261">
        <f t="shared" si="1641"/>
        <v>-0.20000000000000007</v>
      </c>
      <c r="CU1261">
        <f t="shared" si="1642"/>
        <v>-2.000000000000008</v>
      </c>
      <c r="CV1261" s="2">
        <f t="shared" si="1643"/>
        <v>-0.22222222222222229</v>
      </c>
      <c r="CW1261" s="1" t="s">
        <v>1198</v>
      </c>
      <c r="CX1261" s="264" t="str">
        <f t="shared" si="1644"/>
        <v>reg</v>
      </c>
      <c r="CY1261" t="s">
        <v>235</v>
      </c>
      <c r="DB1261">
        <v>80</v>
      </c>
      <c r="DC1261" t="str">
        <f t="shared" si="1645"/>
        <v>71-100</v>
      </c>
      <c r="DD1261">
        <v>0</v>
      </c>
      <c r="DE1261">
        <v>1</v>
      </c>
      <c r="DF1261">
        <v>1</v>
      </c>
      <c r="DG1261">
        <v>1</v>
      </c>
      <c r="DI1261">
        <f t="shared" si="1654"/>
        <v>3</v>
      </c>
      <c r="DJ1261" t="str">
        <f t="shared" si="1646"/>
        <v>mixedProduct</v>
      </c>
      <c r="DK1261">
        <f t="shared" si="1655"/>
        <v>0</v>
      </c>
      <c r="DL1261" t="str">
        <f t="shared" si="1656"/>
        <v>Energy</v>
      </c>
      <c r="DM1261" t="str">
        <f t="shared" si="1657"/>
        <v>Pulp/Paper</v>
      </c>
      <c r="DN1261" t="str">
        <f t="shared" si="1658"/>
        <v>Timber</v>
      </c>
      <c r="DO1261">
        <v>0</v>
      </c>
      <c r="DP1261">
        <v>1</v>
      </c>
      <c r="DQ1261" t="s">
        <v>2145</v>
      </c>
      <c r="DR1261">
        <v>0</v>
      </c>
      <c r="DS1261">
        <v>0</v>
      </c>
      <c r="DT1261">
        <f t="shared" si="1660"/>
        <v>1</v>
      </c>
      <c r="DU1261" s="143" t="str">
        <f t="shared" si="1659"/>
        <v>external DF used</v>
      </c>
      <c r="DV1261">
        <v>1</v>
      </c>
      <c r="DW1261">
        <v>1</v>
      </c>
      <c r="DX1261">
        <v>1</v>
      </c>
      <c r="DY1261">
        <v>0</v>
      </c>
      <c r="DZ1261">
        <v>1</v>
      </c>
      <c r="EA1261">
        <v>0</v>
      </c>
      <c r="EB1261">
        <v>1</v>
      </c>
      <c r="EC1261">
        <v>1</v>
      </c>
      <c r="ED1261">
        <v>0</v>
      </c>
      <c r="EE1261">
        <v>0</v>
      </c>
      <c r="EF1261">
        <v>1</v>
      </c>
      <c r="EG1261">
        <v>0</v>
      </c>
      <c r="EH1261">
        <v>0</v>
      </c>
      <c r="EI1261" s="2">
        <v>0</v>
      </c>
      <c r="EK1261" t="str">
        <f t="shared" si="1652"/>
        <v>Whole sector</v>
      </c>
      <c r="EL1261" t="str">
        <f t="shared" si="1653"/>
        <v/>
      </c>
      <c r="EM1261" s="2" t="str">
        <f t="shared" si="1662"/>
        <v/>
      </c>
      <c r="EP1261" t="str">
        <f>IF(ISNUMBER(BU1261),IF(ABS(BU1261-[4]QC_indicators!$B$2)&gt;3*[4]QC_indicators!$C$2,"C ratio",IF(ISNUMBER(BY1261),IF(ABS(BY1261-[4]QC_indicators!$B$1)&gt;3*[4]QC_indicators!$C$1,"DF","no"))),IF(ISNUMBER(BY1261),IF(ABS(BY1261-[4]QC_indicators!$B$1)&gt;3*[4]QC_indicators!$C$1,"DF","no")))</f>
        <v>no</v>
      </c>
      <c r="ET1261" s="264" t="s">
        <v>3406</v>
      </c>
    </row>
    <row r="1262" spans="1:150" ht="15" hidden="1" customHeight="1">
      <c r="A1262" s="1" t="s">
        <v>1359</v>
      </c>
      <c r="B1262" t="s">
        <v>2134</v>
      </c>
      <c r="C1262" t="s">
        <v>2135</v>
      </c>
      <c r="D1262" t="s">
        <v>2136</v>
      </c>
      <c r="E1262" t="s">
        <v>2137</v>
      </c>
      <c r="F1262" t="s">
        <v>2138</v>
      </c>
      <c r="G1262" t="s">
        <v>1365</v>
      </c>
      <c r="H1262" t="s">
        <v>254</v>
      </c>
      <c r="I1262">
        <v>2012</v>
      </c>
      <c r="J1262">
        <v>21</v>
      </c>
      <c r="K1262" t="s">
        <v>2139</v>
      </c>
      <c r="L1262" s="192"/>
      <c r="M1262" t="str">
        <f t="shared" si="1630"/>
        <v>Pyorala_2012</v>
      </c>
      <c r="N1262" t="s">
        <v>222</v>
      </c>
      <c r="O1262" s="145" t="s">
        <v>341</v>
      </c>
      <c r="P1262" s="180" t="s">
        <v>223</v>
      </c>
      <c r="Q1262" s="264" t="s">
        <v>256</v>
      </c>
      <c r="R1262" s="269" t="s">
        <v>1153</v>
      </c>
      <c r="S1262" s="263" t="s">
        <v>2146</v>
      </c>
      <c r="T1262" s="264" t="s">
        <v>2142</v>
      </c>
      <c r="U1262" s="264" t="s">
        <v>2147</v>
      </c>
      <c r="V1262">
        <v>0</v>
      </c>
      <c r="W1262">
        <v>0</v>
      </c>
      <c r="X1262">
        <v>0</v>
      </c>
      <c r="Y1262">
        <v>1</v>
      </c>
      <c r="Z1262">
        <v>0</v>
      </c>
      <c r="AA1262">
        <v>0</v>
      </c>
      <c r="AB1262">
        <v>0</v>
      </c>
      <c r="AC1262">
        <v>0</v>
      </c>
      <c r="AD1262">
        <v>0</v>
      </c>
      <c r="AE1262">
        <v>0</v>
      </c>
      <c r="AF1262">
        <v>0</v>
      </c>
      <c r="AG1262">
        <v>0</v>
      </c>
      <c r="AH1262">
        <v>0</v>
      </c>
      <c r="AI1262">
        <v>0</v>
      </c>
      <c r="AJ1262">
        <v>0</v>
      </c>
      <c r="AK1262">
        <v>0</v>
      </c>
      <c r="AL1262">
        <v>0</v>
      </c>
      <c r="AM1262">
        <v>0</v>
      </c>
      <c r="AN1262">
        <v>0</v>
      </c>
      <c r="AO1262">
        <v>0</v>
      </c>
      <c r="AP1262">
        <v>0</v>
      </c>
      <c r="AQ1262">
        <v>0</v>
      </c>
      <c r="AR1262">
        <v>0</v>
      </c>
      <c r="AS1262">
        <v>0</v>
      </c>
      <c r="AT1262">
        <v>0</v>
      </c>
      <c r="AU1262">
        <v>0</v>
      </c>
      <c r="AV1262">
        <v>0</v>
      </c>
      <c r="AW1262">
        <v>0</v>
      </c>
      <c r="AX1262" s="141">
        <f t="shared" si="1631"/>
        <v>1</v>
      </c>
      <c r="AY1262" s="141">
        <f t="shared" si="1632"/>
        <v>1</v>
      </c>
      <c r="AZ1262">
        <f t="shared" si="1633"/>
        <v>1</v>
      </c>
      <c r="BA1262">
        <f t="shared" si="1634"/>
        <v>0</v>
      </c>
      <c r="BB1262">
        <f t="shared" si="1635"/>
        <v>0</v>
      </c>
      <c r="BC1262">
        <f t="shared" si="1636"/>
        <v>0</v>
      </c>
      <c r="BD1262">
        <f t="shared" si="1637"/>
        <v>0</v>
      </c>
      <c r="BE1262" t="str" cm="1">
        <f t="array" ref="BE1262">IF(AY1262=1,INDEX($V$7:$AL$7,MATCH(TRUE,INDEX($V1262:$AW1262&lt;&gt;0,),0)),IF(AY1262=0,INDEX($AM$7:$AW$7,MATCH(1,$AM1262:$AW1262,0)),IF(BF1262="Multiple strategies","mixed drivers",IF(BF1262="Supply chain","multiple supply","multiple silviculture"))))</f>
        <v xml:space="preserve">cutting intensity </v>
      </c>
      <c r="BF1262" s="2" t="str" cm="1">
        <f t="array" ref="BF1262">IF(COUNTIF(AZ1262:BB1262,"&lt;&gt;0")=1,INDEX($V$4:$AW$4,MATCH(TRUE,INDEX($V1262:$AW1262&lt;&gt;0,),0)),IF(COUNTIF(AZ1262:BB1262,"&lt;&gt;0")=0,INDEX($AM$4:$AW$4,MATCH(1,$AM1262:$AW1262,0)),"Multiple strategies"))</f>
        <v>Silviculture for removals</v>
      </c>
      <c r="BG1262" s="178" t="s">
        <v>321</v>
      </c>
      <c r="BH1262" s="264" t="s">
        <v>2143</v>
      </c>
      <c r="BI1262" s="264" t="s">
        <v>701</v>
      </c>
      <c r="BJ1262" s="160" t="s">
        <v>700</v>
      </c>
      <c r="BK1262">
        <v>7.6</v>
      </c>
      <c r="BL1262">
        <v>7.9</v>
      </c>
      <c r="BN1262">
        <f t="shared" si="1647"/>
        <v>0.30000000000000071</v>
      </c>
      <c r="BO1262">
        <f t="shared" si="1627"/>
        <v>0.30000000000000071</v>
      </c>
      <c r="BP1262" s="155" t="s">
        <v>232</v>
      </c>
      <c r="BQ1262" s="264" t="s">
        <v>429</v>
      </c>
      <c r="BR1262" s="270" t="s">
        <v>2144</v>
      </c>
      <c r="BS1262" s="264">
        <f>147.4/50</f>
        <v>2.948</v>
      </c>
      <c r="BT1262" s="264">
        <f>191.1/50</f>
        <v>3.8220000000000001</v>
      </c>
      <c r="BU1262" s="144"/>
      <c r="BV1262">
        <f t="shared" si="1648"/>
        <v>0.87400000000000011</v>
      </c>
      <c r="BX1262">
        <f t="shared" si="1628"/>
        <v>0.87400000000000011</v>
      </c>
      <c r="BY1262">
        <f t="shared" si="1661"/>
        <v>2.9133333333333269</v>
      </c>
      <c r="BZ1262">
        <v>0</v>
      </c>
      <c r="CA1262">
        <v>0</v>
      </c>
      <c r="CB1262">
        <v>0</v>
      </c>
      <c r="CC1262">
        <v>0</v>
      </c>
      <c r="CD1262">
        <v>0</v>
      </c>
      <c r="CE1262">
        <v>0</v>
      </c>
      <c r="CF1262">
        <v>0</v>
      </c>
      <c r="CG1262">
        <v>0</v>
      </c>
      <c r="CH1262">
        <v>0</v>
      </c>
      <c r="CI1262">
        <v>0</v>
      </c>
      <c r="CJ1262">
        <v>0</v>
      </c>
      <c r="CK1262">
        <v>0</v>
      </c>
      <c r="CL1262">
        <v>0</v>
      </c>
      <c r="CM1262">
        <v>0</v>
      </c>
      <c r="CN1262" t="str">
        <f t="shared" si="1638"/>
        <v>refOK</v>
      </c>
      <c r="CO1262">
        <f t="shared" si="1649"/>
        <v>7.6</v>
      </c>
      <c r="CP1262">
        <f t="shared" si="1650"/>
        <v>7.9</v>
      </c>
      <c r="CQ1262">
        <f t="shared" si="1651"/>
        <v>0.30000000000000071</v>
      </c>
      <c r="CR1262">
        <f t="shared" si="1639"/>
        <v>2.948</v>
      </c>
      <c r="CS1262">
        <f t="shared" si="1640"/>
        <v>3.8220000000000001</v>
      </c>
      <c r="CT1262">
        <f t="shared" si="1641"/>
        <v>0.87400000000000011</v>
      </c>
      <c r="CU1262">
        <f t="shared" si="1642"/>
        <v>2.9133333333333269</v>
      </c>
      <c r="CV1262" s="2">
        <f t="shared" si="1643"/>
        <v>0.29647218453188606</v>
      </c>
      <c r="CW1262" s="1" t="s">
        <v>1198</v>
      </c>
      <c r="CX1262" s="264" t="str">
        <f t="shared" si="1644"/>
        <v>reg</v>
      </c>
      <c r="CY1262" t="s">
        <v>235</v>
      </c>
      <c r="DB1262">
        <v>50</v>
      </c>
      <c r="DC1262" t="str">
        <f t="shared" si="1645"/>
        <v>31-70</v>
      </c>
      <c r="DD1262">
        <v>0</v>
      </c>
      <c r="DE1262">
        <v>1</v>
      </c>
      <c r="DF1262">
        <v>1</v>
      </c>
      <c r="DG1262">
        <v>1</v>
      </c>
      <c r="DI1262">
        <f t="shared" si="1654"/>
        <v>3</v>
      </c>
      <c r="DJ1262" t="str">
        <f t="shared" si="1646"/>
        <v>mixedProduct</v>
      </c>
      <c r="DK1262">
        <f t="shared" si="1655"/>
        <v>0</v>
      </c>
      <c r="DL1262" t="str">
        <f t="shared" si="1656"/>
        <v>Energy</v>
      </c>
      <c r="DM1262" t="str">
        <f t="shared" si="1657"/>
        <v>Pulp/Paper</v>
      </c>
      <c r="DN1262" t="str">
        <f t="shared" si="1658"/>
        <v>Timber</v>
      </c>
      <c r="DO1262">
        <v>0</v>
      </c>
      <c r="DP1262">
        <v>1</v>
      </c>
      <c r="DQ1262" t="s">
        <v>2145</v>
      </c>
      <c r="DR1262">
        <v>0</v>
      </c>
      <c r="DS1262">
        <v>0</v>
      </c>
      <c r="DT1262">
        <f t="shared" si="1660"/>
        <v>1</v>
      </c>
      <c r="DU1262" s="143" t="str">
        <f t="shared" si="1659"/>
        <v>external DF used</v>
      </c>
      <c r="DV1262">
        <v>1</v>
      </c>
      <c r="DW1262">
        <v>1</v>
      </c>
      <c r="DX1262">
        <v>1</v>
      </c>
      <c r="DY1262">
        <v>0</v>
      </c>
      <c r="DZ1262">
        <v>0</v>
      </c>
      <c r="EA1262" s="143">
        <v>0</v>
      </c>
      <c r="EB1262">
        <v>0</v>
      </c>
      <c r="EC1262">
        <v>0</v>
      </c>
      <c r="ED1262">
        <v>0</v>
      </c>
      <c r="EE1262">
        <v>0</v>
      </c>
      <c r="EF1262">
        <v>1</v>
      </c>
      <c r="EG1262">
        <v>0</v>
      </c>
      <c r="EH1262">
        <v>0</v>
      </c>
      <c r="EI1262" s="2">
        <v>0</v>
      </c>
      <c r="EK1262" t="str">
        <f t="shared" si="1652"/>
        <v/>
      </c>
      <c r="EL1262" t="str">
        <f t="shared" si="1653"/>
        <v>Ecosystem approach</v>
      </c>
      <c r="EM1262" s="2" t="str">
        <f t="shared" si="1662"/>
        <v/>
      </c>
      <c r="EP1262" t="str">
        <f>IF(ISNUMBER(BU1262),IF(ABS(BU1262-[4]QC_indicators!$B$2)&gt;3*[4]QC_indicators!$C$2,"C ratio",IF(ISNUMBER(BY1262),IF(ABS(BY1262-[4]QC_indicators!$B$1)&gt;3*[4]QC_indicators!$C$1,"DF","no"))),IF(ISNUMBER(BY1262),IF(ABS(BY1262-[4]QC_indicators!$B$1)&gt;3*[4]QC_indicators!$C$1,"DF","no")))</f>
        <v>no</v>
      </c>
      <c r="ET1262" s="264" t="s">
        <v>3406</v>
      </c>
    </row>
    <row r="1263" spans="1:150" ht="15" hidden="1" customHeight="1">
      <c r="A1263" s="1" t="s">
        <v>1359</v>
      </c>
      <c r="B1263" t="s">
        <v>2134</v>
      </c>
      <c r="C1263" t="s">
        <v>2135</v>
      </c>
      <c r="D1263" t="s">
        <v>2136</v>
      </c>
      <c r="E1263" t="s">
        <v>2137</v>
      </c>
      <c r="F1263" t="s">
        <v>2138</v>
      </c>
      <c r="G1263" t="s">
        <v>1365</v>
      </c>
      <c r="H1263" t="s">
        <v>254</v>
      </c>
      <c r="I1263">
        <v>2012</v>
      </c>
      <c r="J1263">
        <v>21</v>
      </c>
      <c r="K1263" t="s">
        <v>2139</v>
      </c>
      <c r="L1263" s="192"/>
      <c r="M1263" t="str">
        <f t="shared" si="1630"/>
        <v>Pyorala_2012</v>
      </c>
      <c r="N1263" t="s">
        <v>222</v>
      </c>
      <c r="O1263" s="145" t="s">
        <v>341</v>
      </c>
      <c r="Q1263" s="264" t="s">
        <v>256</v>
      </c>
      <c r="R1263" s="269" t="s">
        <v>1153</v>
      </c>
      <c r="S1263" s="1" t="s">
        <v>2166</v>
      </c>
      <c r="T1263" t="s">
        <v>798</v>
      </c>
      <c r="U1263" t="s">
        <v>2167</v>
      </c>
      <c r="V1263">
        <v>0</v>
      </c>
      <c r="W1263">
        <v>0</v>
      </c>
      <c r="X1263">
        <v>0</v>
      </c>
      <c r="Y1263">
        <v>0</v>
      </c>
      <c r="Z1263">
        <v>0</v>
      </c>
      <c r="AA1263">
        <v>0</v>
      </c>
      <c r="AB1263">
        <v>0</v>
      </c>
      <c r="AC1263">
        <v>0</v>
      </c>
      <c r="AD1263">
        <v>0</v>
      </c>
      <c r="AE1263">
        <v>0</v>
      </c>
      <c r="AF1263">
        <v>0</v>
      </c>
      <c r="AG1263">
        <v>0</v>
      </c>
      <c r="AH1263">
        <v>0</v>
      </c>
      <c r="AI1263">
        <v>0</v>
      </c>
      <c r="AJ1263">
        <v>0</v>
      </c>
      <c r="AK1263">
        <v>1</v>
      </c>
      <c r="AL1263">
        <v>0</v>
      </c>
      <c r="AM1263">
        <v>0</v>
      </c>
      <c r="AN1263">
        <v>0</v>
      </c>
      <c r="AO1263">
        <v>0</v>
      </c>
      <c r="AP1263">
        <v>0</v>
      </c>
      <c r="AQ1263">
        <v>0</v>
      </c>
      <c r="AR1263">
        <v>0</v>
      </c>
      <c r="AS1263">
        <v>0</v>
      </c>
      <c r="AT1263">
        <v>0</v>
      </c>
      <c r="AU1263">
        <v>0</v>
      </c>
      <c r="AV1263">
        <v>0</v>
      </c>
      <c r="AW1263">
        <v>0</v>
      </c>
      <c r="AX1263" s="141">
        <f t="shared" si="1631"/>
        <v>1</v>
      </c>
      <c r="AY1263" s="141">
        <f t="shared" si="1632"/>
        <v>1</v>
      </c>
      <c r="AZ1263">
        <f t="shared" si="1633"/>
        <v>0</v>
      </c>
      <c r="BA1263">
        <f t="shared" si="1634"/>
        <v>0</v>
      </c>
      <c r="BB1263">
        <f t="shared" si="1635"/>
        <v>1</v>
      </c>
      <c r="BC1263">
        <f t="shared" si="1636"/>
        <v>0</v>
      </c>
      <c r="BD1263">
        <f t="shared" si="1637"/>
        <v>0</v>
      </c>
      <c r="BE1263" t="str" cm="1">
        <f t="array" ref="BE1263">IF(AY1263=1,INDEX($V$7:$AL$7,MATCH(TRUE,INDEX($V1263:$AW1263&lt;&gt;0,),0)),IF(AY1263=0,INDEX($AM$7:$AW$7,MATCH(1,$AM1263:$AW1263,0)),IF(BF1263="Multiple strategies","mixed drivers",IF(BF1263="Supply chain","multiple supply","multiple silviculture"))))</f>
        <v>technologies/design switch</v>
      </c>
      <c r="BF1263" s="2" t="str" cm="1">
        <f t="array" ref="BF1263">IF(COUNTIF(AZ1263:BB1263,"&lt;&gt;0")=1,INDEX($V$4:$AW$4,MATCH(TRUE,INDEX($V1263:$AW1263&lt;&gt;0,),0)),IF(COUNTIF(AZ1263:BB1263,"&lt;&gt;0")=0,INDEX($AM$4:$AW$4,MATCH(1,$AM1263:$AW1263,0)),"Multiple strategies"))</f>
        <v>Technology</v>
      </c>
      <c r="BH1263" t="s">
        <v>2168</v>
      </c>
      <c r="BN1263" s="143"/>
      <c r="BP1263" s="264" t="s">
        <v>232</v>
      </c>
      <c r="BQ1263" s="264"/>
      <c r="BR1263" t="s">
        <v>2169</v>
      </c>
      <c r="BS1263">
        <v>-157</v>
      </c>
      <c r="BT1263">
        <v>-49</v>
      </c>
      <c r="BU1263" s="144">
        <v>0.14369501466275661</v>
      </c>
      <c r="BV1263">
        <v>292</v>
      </c>
      <c r="BX1263">
        <f t="shared" ref="BX1263:BX1298" si="1663">BV1263/1000</f>
        <v>0.29199999999999998</v>
      </c>
      <c r="BY1263" t="str">
        <f t="shared" si="1661"/>
        <v/>
      </c>
      <c r="BZ1263">
        <v>0</v>
      </c>
      <c r="CA1263">
        <v>0</v>
      </c>
      <c r="CB1263">
        <v>0</v>
      </c>
      <c r="CC1263">
        <v>0</v>
      </c>
      <c r="CD1263">
        <v>0</v>
      </c>
      <c r="CE1263">
        <v>0</v>
      </c>
      <c r="CF1263">
        <v>0</v>
      </c>
      <c r="CG1263">
        <v>0</v>
      </c>
      <c r="CH1263">
        <v>0</v>
      </c>
      <c r="CI1263">
        <v>0</v>
      </c>
      <c r="CJ1263">
        <v>0</v>
      </c>
      <c r="CK1263">
        <v>0</v>
      </c>
      <c r="CL1263">
        <v>0</v>
      </c>
      <c r="CM1263">
        <v>0</v>
      </c>
      <c r="CN1263" t="str">
        <f t="shared" ref="CN1263:CN1298" si="1664">IF(BL1263&lt;BK1263,"refNeedCorrection","refOK")</f>
        <v>refOK</v>
      </c>
      <c r="CO1263"/>
      <c r="CP1263"/>
      <c r="CQ1263"/>
      <c r="CR1263">
        <f t="shared" si="1639"/>
        <v>-157</v>
      </c>
      <c r="CS1263">
        <f t="shared" si="1640"/>
        <v>-49</v>
      </c>
      <c r="CT1263">
        <f t="shared" si="1641"/>
        <v>0.29199999999999998</v>
      </c>
      <c r="CU1263" t="str">
        <f t="shared" si="1642"/>
        <v/>
      </c>
      <c r="CV1263" s="2">
        <f t="shared" si="1643"/>
        <v>0.68789808917197448</v>
      </c>
      <c r="CW1263" s="1" t="s">
        <v>1198</v>
      </c>
      <c r="CX1263" s="264" t="str">
        <f t="shared" si="1644"/>
        <v>reg</v>
      </c>
      <c r="CY1263" t="s">
        <v>235</v>
      </c>
      <c r="DB1263">
        <v>80</v>
      </c>
      <c r="DC1263" t="str">
        <f t="shared" si="1645"/>
        <v>71-100</v>
      </c>
      <c r="DD1263">
        <v>0</v>
      </c>
      <c r="DE1263">
        <v>1</v>
      </c>
      <c r="DF1263">
        <v>0</v>
      </c>
      <c r="DG1263">
        <v>0</v>
      </c>
      <c r="DI1263">
        <f t="shared" si="1654"/>
        <v>1</v>
      </c>
      <c r="DJ1263" t="str">
        <f t="shared" si="1646"/>
        <v>EnergyInput</v>
      </c>
      <c r="DK1263">
        <f t="shared" si="1655"/>
        <v>0</v>
      </c>
      <c r="DL1263" t="str">
        <f t="shared" si="1656"/>
        <v>Energy</v>
      </c>
      <c r="DM1263">
        <f t="shared" si="1657"/>
        <v>0</v>
      </c>
      <c r="DN1263">
        <f t="shared" si="1658"/>
        <v>0</v>
      </c>
      <c r="DO1263">
        <v>0</v>
      </c>
      <c r="DP1263">
        <v>1</v>
      </c>
      <c r="DQ1263" t="s">
        <v>2145</v>
      </c>
      <c r="DR1263">
        <v>0</v>
      </c>
      <c r="DS1263">
        <v>0</v>
      </c>
      <c r="DT1263">
        <f t="shared" si="1660"/>
        <v>1</v>
      </c>
      <c r="DU1263" s="143" t="str">
        <f t="shared" si="1659"/>
        <v>external DF used</v>
      </c>
      <c r="DV1263">
        <v>1</v>
      </c>
      <c r="DW1263">
        <v>1</v>
      </c>
      <c r="DX1263">
        <v>1</v>
      </c>
      <c r="DY1263">
        <v>1</v>
      </c>
      <c r="DZ1263">
        <v>1</v>
      </c>
      <c r="EA1263">
        <v>0</v>
      </c>
      <c r="EB1263">
        <v>1</v>
      </c>
      <c r="EC1263">
        <v>1</v>
      </c>
      <c r="ED1263">
        <v>0</v>
      </c>
      <c r="EE1263">
        <v>0</v>
      </c>
      <c r="EF1263">
        <v>1</v>
      </c>
      <c r="EG1263">
        <v>0</v>
      </c>
      <c r="EH1263">
        <v>0</v>
      </c>
      <c r="EI1263" s="2">
        <v>0</v>
      </c>
      <c r="EK1263" t="str">
        <f t="shared" si="1652"/>
        <v>Whole sector</v>
      </c>
      <c r="EL1263" t="str">
        <f t="shared" si="1653"/>
        <v/>
      </c>
      <c r="EM1263" s="2" t="str">
        <f t="shared" si="1662"/>
        <v/>
      </c>
      <c r="EP1263" t="b">
        <f>IF(ISNUMBER(BU1263),IF(ABS(BU1263-[4]QC_indicators!$B$2)&gt;3*[4]QC_indicators!$C$2,"C ratio",IF(ISNUMBER(BY1263),IF(ABS(BY1263-[4]QC_indicators!$B$1)&gt;3*[4]QC_indicators!$C$1,"DF","no"))),IF(ISNUMBER(BY1263),IF(ABS(BY1263-[4]QC_indicators!$B$1)&gt;3*[4]QC_indicators!$C$1,"DF","no")))</f>
        <v>0</v>
      </c>
      <c r="ER1263" s="294" t="s">
        <v>2170</v>
      </c>
      <c r="ET1263" s="264" t="s">
        <v>3406</v>
      </c>
    </row>
    <row r="1264" spans="1:150" ht="15" hidden="1" customHeight="1">
      <c r="A1264" s="1" t="s">
        <v>1359</v>
      </c>
      <c r="B1264" t="s">
        <v>2134</v>
      </c>
      <c r="C1264" t="s">
        <v>2135</v>
      </c>
      <c r="D1264" t="s">
        <v>2136</v>
      </c>
      <c r="E1264" t="s">
        <v>2137</v>
      </c>
      <c r="F1264" t="s">
        <v>2138</v>
      </c>
      <c r="G1264" t="s">
        <v>1365</v>
      </c>
      <c r="H1264" t="s">
        <v>254</v>
      </c>
      <c r="I1264">
        <v>2012</v>
      </c>
      <c r="J1264">
        <v>21</v>
      </c>
      <c r="K1264" t="s">
        <v>2139</v>
      </c>
      <c r="M1264" t="str">
        <f t="shared" si="1630"/>
        <v>Pyorala_2012</v>
      </c>
      <c r="N1264" t="s">
        <v>222</v>
      </c>
      <c r="O1264" s="145" t="s">
        <v>341</v>
      </c>
      <c r="Q1264" s="264" t="s">
        <v>256</v>
      </c>
      <c r="R1264" s="269" t="s">
        <v>1153</v>
      </c>
      <c r="S1264" s="1" t="s">
        <v>2171</v>
      </c>
      <c r="T1264" t="s">
        <v>798</v>
      </c>
      <c r="U1264" t="s">
        <v>2167</v>
      </c>
      <c r="V1264">
        <v>0</v>
      </c>
      <c r="W1264">
        <v>0</v>
      </c>
      <c r="X1264">
        <v>0</v>
      </c>
      <c r="Y1264">
        <v>0</v>
      </c>
      <c r="Z1264">
        <v>0</v>
      </c>
      <c r="AA1264">
        <v>0</v>
      </c>
      <c r="AB1264">
        <v>0</v>
      </c>
      <c r="AC1264">
        <v>0</v>
      </c>
      <c r="AD1264">
        <v>0</v>
      </c>
      <c r="AE1264">
        <v>0</v>
      </c>
      <c r="AF1264">
        <v>0</v>
      </c>
      <c r="AG1264">
        <v>0</v>
      </c>
      <c r="AH1264">
        <v>0</v>
      </c>
      <c r="AI1264">
        <v>0</v>
      </c>
      <c r="AJ1264">
        <v>0</v>
      </c>
      <c r="AK1264">
        <v>1</v>
      </c>
      <c r="AL1264">
        <v>0</v>
      </c>
      <c r="AM1264">
        <v>0</v>
      </c>
      <c r="AN1264">
        <v>0</v>
      </c>
      <c r="AO1264">
        <v>0</v>
      </c>
      <c r="AP1264">
        <v>0</v>
      </c>
      <c r="AQ1264">
        <v>0</v>
      </c>
      <c r="AR1264">
        <v>0</v>
      </c>
      <c r="AS1264">
        <v>0</v>
      </c>
      <c r="AT1264">
        <v>0</v>
      </c>
      <c r="AU1264">
        <v>0</v>
      </c>
      <c r="AV1264">
        <v>0</v>
      </c>
      <c r="AW1264">
        <v>0</v>
      </c>
      <c r="AX1264" s="141">
        <f t="shared" ref="AX1264:AX1295" si="1665">COUNTIF(V1264:AW1264,"&lt;&gt;0")</f>
        <v>1</v>
      </c>
      <c r="AY1264" s="141">
        <f t="shared" ref="AY1264:AY1295" si="1666">COUNTIF(V1264:AL1264,"&lt;&gt;0")</f>
        <v>1</v>
      </c>
      <c r="AZ1264">
        <f t="shared" ref="AZ1264:AZ1295" si="1667">COUNTIF(V1264:AC1264,"&lt;&gt;0")</f>
        <v>0</v>
      </c>
      <c r="BA1264">
        <f t="shared" ref="BA1264:BA1295" si="1668">COUNTIF(AD1264:AI1264,"&lt;&gt;0")</f>
        <v>0</v>
      </c>
      <c r="BB1264">
        <f t="shared" ref="BB1264:BB1295" si="1669">COUNTIF(AJ1264:AL1264,"&lt;&gt;0")</f>
        <v>1</v>
      </c>
      <c r="BC1264">
        <f t="shared" ref="BC1264:BC1295" si="1670">COUNTIF(AS1264:AW1264,"&lt;&gt;0")</f>
        <v>0</v>
      </c>
      <c r="BD1264">
        <f t="shared" ref="BD1264:BD1295" si="1671">COUNTIF(AM1264:AR1264,"&lt;&gt;0")</f>
        <v>0</v>
      </c>
      <c r="BE1264" t="str" cm="1">
        <f t="array" ref="BE1264">IF(AY1264=1,INDEX($V$7:$AL$7,MATCH(TRUE,INDEX($V1264:$AW1264&lt;&gt;0,),0)),IF(AY1264=0,INDEX($AM$7:$AW$7,MATCH(1,$AM1264:$AW1264,0)),IF(BF1264="Multiple strategies","mixed drivers",IF(BF1264="Supply chain","multiple supply","multiple silviculture"))))</f>
        <v>technologies/design switch</v>
      </c>
      <c r="BF1264" s="2" t="str" cm="1">
        <f t="array" ref="BF1264">IF(COUNTIF(AZ1264:BB1264,"&lt;&gt;0")=1,INDEX($V$4:$AW$4,MATCH(TRUE,INDEX($V1264:$AW1264&lt;&gt;0,),0)),IF(COUNTIF(AZ1264:BB1264,"&lt;&gt;0")=0,INDEX($AM$4:$AW$4,MATCH(1,$AM1264:$AW1264,0)),"Multiple strategies"))</f>
        <v>Technology</v>
      </c>
      <c r="BH1264" t="s">
        <v>2168</v>
      </c>
      <c r="BN1264" s="143"/>
      <c r="BP1264" s="264" t="s">
        <v>232</v>
      </c>
      <c r="BQ1264" s="264"/>
      <c r="BR1264" t="s">
        <v>2169</v>
      </c>
      <c r="BS1264">
        <v>-157</v>
      </c>
      <c r="BT1264">
        <v>-80</v>
      </c>
      <c r="BU1264" s="144">
        <v>0.23460410557184752</v>
      </c>
      <c r="BV1264">
        <v>261</v>
      </c>
      <c r="BX1264">
        <f t="shared" si="1663"/>
        <v>0.26100000000000001</v>
      </c>
      <c r="BY1264" t="str">
        <f t="shared" si="1661"/>
        <v/>
      </c>
      <c r="BZ1264">
        <v>0</v>
      </c>
      <c r="CA1264">
        <v>0</v>
      </c>
      <c r="CB1264">
        <v>0</v>
      </c>
      <c r="CC1264">
        <v>0</v>
      </c>
      <c r="CD1264">
        <v>0</v>
      </c>
      <c r="CE1264">
        <v>0</v>
      </c>
      <c r="CF1264">
        <v>0</v>
      </c>
      <c r="CG1264">
        <v>0</v>
      </c>
      <c r="CH1264">
        <v>0</v>
      </c>
      <c r="CI1264">
        <v>0</v>
      </c>
      <c r="CJ1264">
        <v>0</v>
      </c>
      <c r="CK1264">
        <v>0</v>
      </c>
      <c r="CL1264">
        <v>0</v>
      </c>
      <c r="CM1264">
        <v>0</v>
      </c>
      <c r="CN1264" t="str">
        <f t="shared" si="1664"/>
        <v>refOK</v>
      </c>
      <c r="CO1264"/>
      <c r="CP1264"/>
      <c r="CQ1264"/>
      <c r="CR1264">
        <f t="shared" ref="CR1264:CR1295" si="1672">IF($CN1264="refOK",$BS1264,$BT1264)*IF($BP1264="Emissions positive",-1,1)</f>
        <v>-157</v>
      </c>
      <c r="CS1264">
        <f t="shared" ref="CS1264:CS1295" si="1673">IF($CN1264="refOK",$BT1264,$BS1264)*IF($BP1264="Emissions positive",-1,1)</f>
        <v>-80</v>
      </c>
      <c r="CT1264">
        <f t="shared" ref="CT1264:CT1295" si="1674">IF($CN1264="refNeedCorrection",-BX1264,BX1264)*IF($BP1264="Emissions positive",-1,1)</f>
        <v>0.26100000000000001</v>
      </c>
      <c r="CU1264" t="str">
        <f t="shared" ref="CU1264:CU1295" si="1675">IFERROR(CT1264/CQ1264,"")</f>
        <v/>
      </c>
      <c r="CV1264" s="2">
        <f t="shared" ref="CV1264:CV1295" si="1676">IFERROR((CS1264-CR1264)/ABS(CR1264),"")</f>
        <v>0.49044585987261147</v>
      </c>
      <c r="CW1264" s="1" t="s">
        <v>1198</v>
      </c>
      <c r="CX1264" s="264" t="str">
        <f t="shared" ref="CX1264:CX1295" si="1677">IF(OR($CW1264="prd",$CW1264="std",$CW1264="cit"),"loc",IF(OR($CW1264="eur",$CW1264="reg",$CW1264="coy"),"reg",$CW1264))</f>
        <v>reg</v>
      </c>
      <c r="CY1264" t="s">
        <v>235</v>
      </c>
      <c r="DB1264">
        <v>80</v>
      </c>
      <c r="DC1264" t="str">
        <f t="shared" ref="DC1264:DC1295" si="1678">IF(DB1264=0,"0",IF(AND(DB1264&gt;=1,DB1264&lt;=30),"1-30",IF(AND(DB1264&gt;30,DB1264&lt;=70),"31-70",IF(AND(DB1264&gt;70,DB1264&lt;=100),"71-100",IF(DB1264&gt;100,"+100")))))</f>
        <v>71-100</v>
      </c>
      <c r="DD1264">
        <v>0</v>
      </c>
      <c r="DE1264">
        <v>1</v>
      </c>
      <c r="DF1264">
        <v>0</v>
      </c>
      <c r="DG1264">
        <v>0</v>
      </c>
      <c r="DI1264">
        <f t="shared" si="1654"/>
        <v>1</v>
      </c>
      <c r="DJ1264" t="str">
        <f t="shared" ref="DJ1264:DJ1295" si="1679">IF(DI1264=1,INDEX($DD$7:$DG$7,MATCH(1,$DD1264:$DG1264,0)),"mixedProduct")</f>
        <v>EnergyInput</v>
      </c>
      <c r="DK1264">
        <f t="shared" si="1655"/>
        <v>0</v>
      </c>
      <c r="DL1264" t="str">
        <f t="shared" si="1656"/>
        <v>Energy</v>
      </c>
      <c r="DM1264">
        <f t="shared" si="1657"/>
        <v>0</v>
      </c>
      <c r="DN1264">
        <f t="shared" si="1658"/>
        <v>0</v>
      </c>
      <c r="DO1264">
        <v>0</v>
      </c>
      <c r="DP1264">
        <v>1</v>
      </c>
      <c r="DQ1264" t="s">
        <v>2145</v>
      </c>
      <c r="DR1264">
        <v>0</v>
      </c>
      <c r="DS1264">
        <v>0</v>
      </c>
      <c r="DT1264">
        <f t="shared" si="1660"/>
        <v>1</v>
      </c>
      <c r="DU1264" s="143" t="str">
        <f t="shared" si="1659"/>
        <v>external DF used</v>
      </c>
      <c r="DV1264">
        <v>1</v>
      </c>
      <c r="DW1264">
        <v>1</v>
      </c>
      <c r="DX1264">
        <v>1</v>
      </c>
      <c r="DY1264">
        <v>1</v>
      </c>
      <c r="DZ1264">
        <v>1</v>
      </c>
      <c r="EA1264">
        <v>0</v>
      </c>
      <c r="EB1264">
        <v>1</v>
      </c>
      <c r="EC1264">
        <v>1</v>
      </c>
      <c r="ED1264">
        <v>0</v>
      </c>
      <c r="EE1264">
        <v>0</v>
      </c>
      <c r="EF1264">
        <v>1</v>
      </c>
      <c r="EG1264">
        <v>0</v>
      </c>
      <c r="EH1264">
        <v>0</v>
      </c>
      <c r="EI1264" s="2">
        <v>0</v>
      </c>
      <c r="EK1264" t="str">
        <f t="shared" si="1652"/>
        <v>Whole sector</v>
      </c>
      <c r="EL1264" t="str">
        <f t="shared" si="1653"/>
        <v/>
      </c>
      <c r="EM1264" s="2" t="str">
        <f t="shared" si="1662"/>
        <v/>
      </c>
      <c r="EP1264" t="b">
        <f>IF(ISNUMBER(BU1264),IF(ABS(BU1264-[4]QC_indicators!$B$2)&gt;3*[4]QC_indicators!$C$2,"C ratio",IF(ISNUMBER(BY1264),IF(ABS(BY1264-[4]QC_indicators!$B$1)&gt;3*[4]QC_indicators!$C$1,"DF","no"))),IF(ISNUMBER(BY1264),IF(ABS(BY1264-[4]QC_indicators!$B$1)&gt;3*[4]QC_indicators!$C$1,"DF","no")))</f>
        <v>0</v>
      </c>
      <c r="ER1264" s="294" t="s">
        <v>2170</v>
      </c>
      <c r="ET1264" s="264" t="s">
        <v>3406</v>
      </c>
    </row>
    <row r="1265" spans="1:150" ht="15" hidden="1" customHeight="1">
      <c r="A1265" s="1" t="s">
        <v>1359</v>
      </c>
      <c r="B1265" t="s">
        <v>2134</v>
      </c>
      <c r="C1265" t="s">
        <v>2135</v>
      </c>
      <c r="D1265" t="s">
        <v>2136</v>
      </c>
      <c r="E1265" t="s">
        <v>2137</v>
      </c>
      <c r="F1265" t="s">
        <v>2138</v>
      </c>
      <c r="G1265" t="s">
        <v>1365</v>
      </c>
      <c r="H1265" t="s">
        <v>254</v>
      </c>
      <c r="I1265">
        <v>2012</v>
      </c>
      <c r="J1265">
        <v>21</v>
      </c>
      <c r="K1265" t="s">
        <v>2139</v>
      </c>
      <c r="L1265" s="192"/>
      <c r="M1265" t="str">
        <f t="shared" si="1630"/>
        <v>Pyorala_2012</v>
      </c>
      <c r="N1265" t="s">
        <v>222</v>
      </c>
      <c r="O1265" s="145" t="s">
        <v>341</v>
      </c>
      <c r="Q1265" s="264" t="s">
        <v>256</v>
      </c>
      <c r="R1265" s="269" t="s">
        <v>1153</v>
      </c>
      <c r="S1265" s="1" t="s">
        <v>2172</v>
      </c>
      <c r="T1265" t="s">
        <v>798</v>
      </c>
      <c r="U1265" t="s">
        <v>2167</v>
      </c>
      <c r="V1265">
        <v>0</v>
      </c>
      <c r="W1265">
        <v>0</v>
      </c>
      <c r="X1265">
        <v>0</v>
      </c>
      <c r="Y1265">
        <v>0</v>
      </c>
      <c r="Z1265">
        <v>0</v>
      </c>
      <c r="AA1265">
        <v>0</v>
      </c>
      <c r="AB1265">
        <v>0</v>
      </c>
      <c r="AC1265">
        <v>0</v>
      </c>
      <c r="AD1265">
        <v>0</v>
      </c>
      <c r="AE1265">
        <v>0</v>
      </c>
      <c r="AF1265">
        <v>0</v>
      </c>
      <c r="AG1265">
        <v>0</v>
      </c>
      <c r="AH1265">
        <v>0</v>
      </c>
      <c r="AI1265">
        <v>0</v>
      </c>
      <c r="AJ1265">
        <v>0</v>
      </c>
      <c r="AK1265">
        <v>1</v>
      </c>
      <c r="AL1265">
        <v>0</v>
      </c>
      <c r="AM1265">
        <v>0</v>
      </c>
      <c r="AN1265">
        <v>0</v>
      </c>
      <c r="AO1265">
        <v>0</v>
      </c>
      <c r="AP1265">
        <v>0</v>
      </c>
      <c r="AQ1265">
        <v>0</v>
      </c>
      <c r="AR1265">
        <v>0</v>
      </c>
      <c r="AS1265">
        <v>0</v>
      </c>
      <c r="AT1265">
        <v>0</v>
      </c>
      <c r="AU1265">
        <v>0</v>
      </c>
      <c r="AV1265">
        <v>0</v>
      </c>
      <c r="AW1265">
        <v>0</v>
      </c>
      <c r="AX1265" s="141">
        <f t="shared" si="1665"/>
        <v>1</v>
      </c>
      <c r="AY1265" s="141">
        <f t="shared" si="1666"/>
        <v>1</v>
      </c>
      <c r="AZ1265">
        <f t="shared" si="1667"/>
        <v>0</v>
      </c>
      <c r="BA1265">
        <f t="shared" si="1668"/>
        <v>0</v>
      </c>
      <c r="BB1265">
        <f t="shared" si="1669"/>
        <v>1</v>
      </c>
      <c r="BC1265">
        <f t="shared" si="1670"/>
        <v>0</v>
      </c>
      <c r="BD1265">
        <f t="shared" si="1671"/>
        <v>0</v>
      </c>
      <c r="BE1265" t="str" cm="1">
        <f t="array" ref="BE1265">IF(AY1265=1,INDEX($V$7:$AL$7,MATCH(TRUE,INDEX($V1265:$AW1265&lt;&gt;0,),0)),IF(AY1265=0,INDEX($AM$7:$AW$7,MATCH(1,$AM1265:$AW1265,0)),IF(BF1265="Multiple strategies","mixed drivers",IF(BF1265="Supply chain","multiple supply","multiple silviculture"))))</f>
        <v>technologies/design switch</v>
      </c>
      <c r="BF1265" s="2" t="str" cm="1">
        <f t="array" ref="BF1265">IF(COUNTIF(AZ1265:BB1265,"&lt;&gt;0")=1,INDEX($V$4:$AW$4,MATCH(TRUE,INDEX($V1265:$AW1265&lt;&gt;0,),0)),IF(COUNTIF(AZ1265:BB1265,"&lt;&gt;0")=0,INDEX($AM$4:$AW$4,MATCH(1,$AM1265:$AW1265,0)),"Multiple strategies"))</f>
        <v>Technology</v>
      </c>
      <c r="BH1265" t="s">
        <v>2168</v>
      </c>
      <c r="BN1265" s="143"/>
      <c r="BP1265" s="264" t="s">
        <v>232</v>
      </c>
      <c r="BQ1265" s="264"/>
      <c r="BR1265" t="s">
        <v>2169</v>
      </c>
      <c r="BS1265">
        <v>-157</v>
      </c>
      <c r="BT1265">
        <v>-118</v>
      </c>
      <c r="BU1265" s="144">
        <v>0.3460410557184751</v>
      </c>
      <c r="BV1265">
        <v>223</v>
      </c>
      <c r="BX1265">
        <f t="shared" si="1663"/>
        <v>0.223</v>
      </c>
      <c r="BY1265" t="str">
        <f t="shared" si="1661"/>
        <v/>
      </c>
      <c r="BZ1265">
        <v>0</v>
      </c>
      <c r="CA1265">
        <v>0</v>
      </c>
      <c r="CB1265">
        <v>0</v>
      </c>
      <c r="CC1265">
        <v>0</v>
      </c>
      <c r="CD1265">
        <v>0</v>
      </c>
      <c r="CE1265">
        <v>0</v>
      </c>
      <c r="CF1265">
        <v>0</v>
      </c>
      <c r="CG1265">
        <v>0</v>
      </c>
      <c r="CH1265">
        <v>0</v>
      </c>
      <c r="CI1265">
        <v>0</v>
      </c>
      <c r="CJ1265">
        <v>0</v>
      </c>
      <c r="CK1265">
        <v>0</v>
      </c>
      <c r="CL1265">
        <v>0</v>
      </c>
      <c r="CM1265">
        <v>0</v>
      </c>
      <c r="CN1265" t="str">
        <f t="shared" si="1664"/>
        <v>refOK</v>
      </c>
      <c r="CO1265"/>
      <c r="CP1265"/>
      <c r="CQ1265"/>
      <c r="CR1265">
        <f t="shared" si="1672"/>
        <v>-157</v>
      </c>
      <c r="CS1265">
        <f t="shared" si="1673"/>
        <v>-118</v>
      </c>
      <c r="CT1265">
        <f t="shared" si="1674"/>
        <v>0.223</v>
      </c>
      <c r="CU1265" t="str">
        <f t="shared" si="1675"/>
        <v/>
      </c>
      <c r="CV1265" s="2">
        <f t="shared" si="1676"/>
        <v>0.24840764331210191</v>
      </c>
      <c r="CW1265" s="1" t="s">
        <v>1198</v>
      </c>
      <c r="CX1265" s="264" t="str">
        <f t="shared" si="1677"/>
        <v>reg</v>
      </c>
      <c r="CY1265" t="s">
        <v>235</v>
      </c>
      <c r="DB1265">
        <v>80</v>
      </c>
      <c r="DC1265" t="str">
        <f t="shared" si="1678"/>
        <v>71-100</v>
      </c>
      <c r="DD1265">
        <v>0</v>
      </c>
      <c r="DE1265">
        <v>1</v>
      </c>
      <c r="DF1265">
        <v>0</v>
      </c>
      <c r="DG1265">
        <v>0</v>
      </c>
      <c r="DI1265">
        <f t="shared" si="1654"/>
        <v>1</v>
      </c>
      <c r="DJ1265" t="str">
        <f t="shared" si="1679"/>
        <v>EnergyInput</v>
      </c>
      <c r="DK1265">
        <f t="shared" si="1655"/>
        <v>0</v>
      </c>
      <c r="DL1265" t="str">
        <f t="shared" si="1656"/>
        <v>Energy</v>
      </c>
      <c r="DM1265">
        <f t="shared" si="1657"/>
        <v>0</v>
      </c>
      <c r="DN1265">
        <f t="shared" si="1658"/>
        <v>0</v>
      </c>
      <c r="DO1265">
        <v>0</v>
      </c>
      <c r="DP1265">
        <v>1</v>
      </c>
      <c r="DQ1265" t="s">
        <v>2145</v>
      </c>
      <c r="DR1265">
        <v>0</v>
      </c>
      <c r="DS1265">
        <v>0</v>
      </c>
      <c r="DT1265">
        <f t="shared" si="1660"/>
        <v>1</v>
      </c>
      <c r="DU1265" s="143" t="str">
        <f t="shared" si="1659"/>
        <v>external DF used</v>
      </c>
      <c r="DV1265">
        <v>1</v>
      </c>
      <c r="DW1265">
        <v>1</v>
      </c>
      <c r="DX1265">
        <v>1</v>
      </c>
      <c r="DY1265">
        <v>1</v>
      </c>
      <c r="DZ1265">
        <v>1</v>
      </c>
      <c r="EA1265">
        <v>0</v>
      </c>
      <c r="EB1265">
        <v>1</v>
      </c>
      <c r="EC1265">
        <v>1</v>
      </c>
      <c r="ED1265">
        <v>0</v>
      </c>
      <c r="EE1265">
        <v>0</v>
      </c>
      <c r="EF1265">
        <v>1</v>
      </c>
      <c r="EG1265">
        <v>0</v>
      </c>
      <c r="EH1265">
        <v>0</v>
      </c>
      <c r="EI1265" s="2">
        <v>0</v>
      </c>
      <c r="EK1265" t="str">
        <f t="shared" si="1652"/>
        <v>Whole sector</v>
      </c>
      <c r="EL1265" t="str">
        <f t="shared" si="1653"/>
        <v/>
      </c>
      <c r="EM1265" s="2" t="str">
        <f t="shared" si="1662"/>
        <v/>
      </c>
      <c r="EP1265" t="b">
        <f>IF(ISNUMBER(BU1265),IF(ABS(BU1265-[4]QC_indicators!$B$2)&gt;3*[4]QC_indicators!$C$2,"C ratio",IF(ISNUMBER(BY1265),IF(ABS(BY1265-[4]QC_indicators!$B$1)&gt;3*[4]QC_indicators!$C$1,"DF","no"))),IF(ISNUMBER(BY1265),IF(ABS(BY1265-[4]QC_indicators!$B$1)&gt;3*[4]QC_indicators!$C$1,"DF","no")))</f>
        <v>0</v>
      </c>
      <c r="ER1265" s="294" t="s">
        <v>2170</v>
      </c>
      <c r="ET1265" s="264" t="s">
        <v>3406</v>
      </c>
    </row>
    <row r="1266" spans="1:150" ht="15" hidden="1" customHeight="1">
      <c r="A1266" s="1" t="s">
        <v>1359</v>
      </c>
      <c r="B1266" t="s">
        <v>2134</v>
      </c>
      <c r="C1266" t="s">
        <v>2135</v>
      </c>
      <c r="D1266" t="s">
        <v>2136</v>
      </c>
      <c r="E1266" t="s">
        <v>2137</v>
      </c>
      <c r="F1266" t="s">
        <v>2138</v>
      </c>
      <c r="G1266" t="s">
        <v>1365</v>
      </c>
      <c r="H1266" t="s">
        <v>254</v>
      </c>
      <c r="I1266">
        <v>2012</v>
      </c>
      <c r="J1266">
        <v>21</v>
      </c>
      <c r="K1266" t="s">
        <v>2139</v>
      </c>
      <c r="L1266" s="192"/>
      <c r="M1266" t="str">
        <f t="shared" si="1630"/>
        <v>Pyorala_2012</v>
      </c>
      <c r="N1266" t="s">
        <v>222</v>
      </c>
      <c r="O1266" s="145" t="s">
        <v>341</v>
      </c>
      <c r="Q1266" s="264" t="s">
        <v>256</v>
      </c>
      <c r="R1266" s="269" t="s">
        <v>1153</v>
      </c>
      <c r="S1266" s="1" t="s">
        <v>2173</v>
      </c>
      <c r="T1266" t="s">
        <v>798</v>
      </c>
      <c r="U1266" t="s">
        <v>2167</v>
      </c>
      <c r="V1266">
        <v>0</v>
      </c>
      <c r="W1266">
        <v>0</v>
      </c>
      <c r="X1266">
        <v>0</v>
      </c>
      <c r="Y1266">
        <v>0</v>
      </c>
      <c r="Z1266">
        <v>0</v>
      </c>
      <c r="AA1266">
        <v>0</v>
      </c>
      <c r="AB1266">
        <v>0</v>
      </c>
      <c r="AC1266">
        <v>0</v>
      </c>
      <c r="AD1266">
        <v>0</v>
      </c>
      <c r="AE1266">
        <v>0</v>
      </c>
      <c r="AF1266">
        <v>0</v>
      </c>
      <c r="AG1266">
        <v>0</v>
      </c>
      <c r="AH1266">
        <v>0</v>
      </c>
      <c r="AI1266">
        <v>0</v>
      </c>
      <c r="AJ1266">
        <v>0</v>
      </c>
      <c r="AK1266">
        <v>1</v>
      </c>
      <c r="AL1266">
        <v>0</v>
      </c>
      <c r="AM1266">
        <v>0</v>
      </c>
      <c r="AN1266">
        <v>0</v>
      </c>
      <c r="AO1266">
        <v>0</v>
      </c>
      <c r="AP1266">
        <v>0</v>
      </c>
      <c r="AQ1266">
        <v>0</v>
      </c>
      <c r="AR1266">
        <v>0</v>
      </c>
      <c r="AS1266">
        <v>0</v>
      </c>
      <c r="AT1266">
        <v>0</v>
      </c>
      <c r="AU1266">
        <v>0</v>
      </c>
      <c r="AV1266">
        <v>0</v>
      </c>
      <c r="AW1266">
        <v>0</v>
      </c>
      <c r="AX1266" s="141">
        <f t="shared" si="1665"/>
        <v>1</v>
      </c>
      <c r="AY1266" s="141">
        <f t="shared" si="1666"/>
        <v>1</v>
      </c>
      <c r="AZ1266">
        <f t="shared" si="1667"/>
        <v>0</v>
      </c>
      <c r="BA1266">
        <f t="shared" si="1668"/>
        <v>0</v>
      </c>
      <c r="BB1266">
        <f t="shared" si="1669"/>
        <v>1</v>
      </c>
      <c r="BC1266">
        <f t="shared" si="1670"/>
        <v>0</v>
      </c>
      <c r="BD1266">
        <f t="shared" si="1671"/>
        <v>0</v>
      </c>
      <c r="BE1266" t="str" cm="1">
        <f t="array" ref="BE1266">IF(AY1266=1,INDEX($V$7:$AL$7,MATCH(TRUE,INDEX($V1266:$AW1266&lt;&gt;0,),0)),IF(AY1266=0,INDEX($AM$7:$AW$7,MATCH(1,$AM1266:$AW1266,0)),IF(BF1266="Multiple strategies","mixed drivers",IF(BF1266="Supply chain","multiple supply","multiple silviculture"))))</f>
        <v>technologies/design switch</v>
      </c>
      <c r="BF1266" s="2" t="str" cm="1">
        <f t="array" ref="BF1266">IF(COUNTIF(AZ1266:BB1266,"&lt;&gt;0")=1,INDEX($V$4:$AW$4,MATCH(TRUE,INDEX($V1266:$AW1266&lt;&gt;0,),0)),IF(COUNTIF(AZ1266:BB1266,"&lt;&gt;0")=0,INDEX($AM$4:$AW$4,MATCH(1,$AM1266:$AW1266,0)),"Multiple strategies"))</f>
        <v>Technology</v>
      </c>
      <c r="BH1266" t="s">
        <v>2168</v>
      </c>
      <c r="BN1266" s="143"/>
      <c r="BP1266" s="264" t="s">
        <v>232</v>
      </c>
      <c r="BQ1266" s="264"/>
      <c r="BR1266" t="s">
        <v>2169</v>
      </c>
      <c r="BS1266">
        <v>-157</v>
      </c>
      <c r="BT1266">
        <v>-127</v>
      </c>
      <c r="BU1266" s="144">
        <v>0.37243401759530792</v>
      </c>
      <c r="BV1266">
        <v>214</v>
      </c>
      <c r="BX1266">
        <f t="shared" si="1663"/>
        <v>0.214</v>
      </c>
      <c r="BY1266" t="str">
        <f t="shared" si="1661"/>
        <v/>
      </c>
      <c r="BZ1266">
        <v>0</v>
      </c>
      <c r="CA1266">
        <v>0</v>
      </c>
      <c r="CB1266">
        <v>0</v>
      </c>
      <c r="CC1266">
        <v>0</v>
      </c>
      <c r="CD1266">
        <v>0</v>
      </c>
      <c r="CE1266">
        <v>0</v>
      </c>
      <c r="CF1266">
        <v>0</v>
      </c>
      <c r="CG1266">
        <v>0</v>
      </c>
      <c r="CH1266">
        <v>0</v>
      </c>
      <c r="CI1266">
        <v>0</v>
      </c>
      <c r="CJ1266">
        <v>0</v>
      </c>
      <c r="CK1266">
        <v>0</v>
      </c>
      <c r="CL1266">
        <v>0</v>
      </c>
      <c r="CM1266">
        <v>0</v>
      </c>
      <c r="CN1266" t="str">
        <f t="shared" si="1664"/>
        <v>refOK</v>
      </c>
      <c r="CO1266"/>
      <c r="CP1266"/>
      <c r="CQ1266"/>
      <c r="CR1266">
        <f t="shared" si="1672"/>
        <v>-157</v>
      </c>
      <c r="CS1266">
        <f t="shared" si="1673"/>
        <v>-127</v>
      </c>
      <c r="CT1266">
        <f t="shared" si="1674"/>
        <v>0.214</v>
      </c>
      <c r="CU1266" t="str">
        <f t="shared" si="1675"/>
        <v/>
      </c>
      <c r="CV1266" s="2">
        <f t="shared" si="1676"/>
        <v>0.19108280254777071</v>
      </c>
      <c r="CW1266" s="1" t="s">
        <v>1198</v>
      </c>
      <c r="CX1266" s="264" t="str">
        <f t="shared" si="1677"/>
        <v>reg</v>
      </c>
      <c r="CY1266" t="s">
        <v>235</v>
      </c>
      <c r="DB1266">
        <v>80</v>
      </c>
      <c r="DC1266" t="str">
        <f t="shared" si="1678"/>
        <v>71-100</v>
      </c>
      <c r="DD1266">
        <v>0</v>
      </c>
      <c r="DE1266">
        <v>1</v>
      </c>
      <c r="DF1266">
        <v>0</v>
      </c>
      <c r="DG1266">
        <v>0</v>
      </c>
      <c r="DI1266">
        <f t="shared" si="1654"/>
        <v>1</v>
      </c>
      <c r="DJ1266" t="str">
        <f t="shared" si="1679"/>
        <v>EnergyInput</v>
      </c>
      <c r="DK1266">
        <f t="shared" si="1655"/>
        <v>0</v>
      </c>
      <c r="DL1266" t="str">
        <f t="shared" si="1656"/>
        <v>Energy</v>
      </c>
      <c r="DM1266">
        <f t="shared" si="1657"/>
        <v>0</v>
      </c>
      <c r="DN1266">
        <f t="shared" si="1658"/>
        <v>0</v>
      </c>
      <c r="DO1266">
        <v>0</v>
      </c>
      <c r="DP1266">
        <v>1</v>
      </c>
      <c r="DQ1266" t="s">
        <v>2145</v>
      </c>
      <c r="DR1266">
        <v>0</v>
      </c>
      <c r="DS1266">
        <v>0</v>
      </c>
      <c r="DT1266">
        <f t="shared" si="1660"/>
        <v>1</v>
      </c>
      <c r="DU1266" s="143" t="str">
        <f t="shared" si="1659"/>
        <v>external DF used</v>
      </c>
      <c r="DV1266">
        <v>1</v>
      </c>
      <c r="DW1266">
        <v>1</v>
      </c>
      <c r="DX1266">
        <v>1</v>
      </c>
      <c r="DY1266">
        <v>1</v>
      </c>
      <c r="DZ1266">
        <v>1</v>
      </c>
      <c r="EA1266">
        <v>0</v>
      </c>
      <c r="EB1266">
        <v>1</v>
      </c>
      <c r="EC1266">
        <v>1</v>
      </c>
      <c r="ED1266">
        <v>0</v>
      </c>
      <c r="EE1266">
        <v>0</v>
      </c>
      <c r="EF1266">
        <v>1</v>
      </c>
      <c r="EG1266">
        <v>0</v>
      </c>
      <c r="EH1266">
        <v>0</v>
      </c>
      <c r="EI1266" s="2">
        <v>0</v>
      </c>
      <c r="EK1266" t="str">
        <f t="shared" si="1652"/>
        <v>Whole sector</v>
      </c>
      <c r="EL1266" t="str">
        <f t="shared" si="1653"/>
        <v/>
      </c>
      <c r="EM1266" s="2" t="str">
        <f t="shared" si="1662"/>
        <v/>
      </c>
      <c r="EP1266" t="b">
        <f>IF(ISNUMBER(BU1266),IF(ABS(BU1266-[4]QC_indicators!$B$2)&gt;3*[4]QC_indicators!$C$2,"C ratio",IF(ISNUMBER(BY1266),IF(ABS(BY1266-[4]QC_indicators!$B$1)&gt;3*[4]QC_indicators!$C$1,"DF","no"))),IF(ISNUMBER(BY1266),IF(ABS(BY1266-[4]QC_indicators!$B$1)&gt;3*[4]QC_indicators!$C$1,"DF","no")))</f>
        <v>0</v>
      </c>
      <c r="ER1266" s="294" t="s">
        <v>2170</v>
      </c>
      <c r="ET1266" s="264" t="s">
        <v>3406</v>
      </c>
    </row>
    <row r="1267" spans="1:150" ht="15" hidden="1" customHeight="1">
      <c r="A1267" s="1" t="s">
        <v>1359</v>
      </c>
      <c r="B1267" t="s">
        <v>2134</v>
      </c>
      <c r="C1267" t="s">
        <v>2135</v>
      </c>
      <c r="D1267" t="s">
        <v>2136</v>
      </c>
      <c r="E1267" t="s">
        <v>2137</v>
      </c>
      <c r="F1267" t="s">
        <v>2138</v>
      </c>
      <c r="G1267" t="s">
        <v>1365</v>
      </c>
      <c r="H1267" t="s">
        <v>254</v>
      </c>
      <c r="I1267">
        <v>2012</v>
      </c>
      <c r="J1267">
        <v>21</v>
      </c>
      <c r="K1267" t="s">
        <v>2139</v>
      </c>
      <c r="L1267" s="192"/>
      <c r="M1267" t="str">
        <f t="shared" si="1630"/>
        <v>Pyorala_2012</v>
      </c>
      <c r="N1267" t="s">
        <v>222</v>
      </c>
      <c r="O1267" s="145" t="s">
        <v>341</v>
      </c>
      <c r="Q1267" s="264" t="s">
        <v>256</v>
      </c>
      <c r="R1267" s="269" t="s">
        <v>1153</v>
      </c>
      <c r="S1267" s="1" t="s">
        <v>2174</v>
      </c>
      <c r="T1267" t="s">
        <v>798</v>
      </c>
      <c r="U1267" t="s">
        <v>2167</v>
      </c>
      <c r="V1267">
        <v>0</v>
      </c>
      <c r="W1267">
        <v>0</v>
      </c>
      <c r="X1267">
        <v>0</v>
      </c>
      <c r="Y1267">
        <v>0</v>
      </c>
      <c r="Z1267">
        <v>0</v>
      </c>
      <c r="AA1267">
        <v>0</v>
      </c>
      <c r="AB1267">
        <v>0</v>
      </c>
      <c r="AC1267">
        <v>0</v>
      </c>
      <c r="AD1267">
        <v>0</v>
      </c>
      <c r="AE1267">
        <v>0</v>
      </c>
      <c r="AF1267">
        <v>0</v>
      </c>
      <c r="AG1267">
        <v>0</v>
      </c>
      <c r="AH1267">
        <v>0</v>
      </c>
      <c r="AI1267">
        <v>0</v>
      </c>
      <c r="AJ1267">
        <v>0</v>
      </c>
      <c r="AK1267">
        <v>1</v>
      </c>
      <c r="AL1267">
        <v>0</v>
      </c>
      <c r="AM1267">
        <v>0</v>
      </c>
      <c r="AN1267">
        <v>0</v>
      </c>
      <c r="AO1267">
        <v>0</v>
      </c>
      <c r="AP1267">
        <v>0</v>
      </c>
      <c r="AQ1267">
        <v>0</v>
      </c>
      <c r="AR1267">
        <v>0</v>
      </c>
      <c r="AS1267">
        <v>0</v>
      </c>
      <c r="AT1267">
        <v>0</v>
      </c>
      <c r="AU1267">
        <v>0</v>
      </c>
      <c r="AV1267">
        <v>0</v>
      </c>
      <c r="AW1267">
        <v>0</v>
      </c>
      <c r="AX1267" s="141">
        <f t="shared" si="1665"/>
        <v>1</v>
      </c>
      <c r="AY1267" s="141">
        <f t="shared" si="1666"/>
        <v>1</v>
      </c>
      <c r="AZ1267">
        <f t="shared" si="1667"/>
        <v>0</v>
      </c>
      <c r="BA1267">
        <f t="shared" si="1668"/>
        <v>0</v>
      </c>
      <c r="BB1267">
        <f t="shared" si="1669"/>
        <v>1</v>
      </c>
      <c r="BC1267">
        <f t="shared" si="1670"/>
        <v>0</v>
      </c>
      <c r="BD1267">
        <f t="shared" si="1671"/>
        <v>0</v>
      </c>
      <c r="BE1267" t="str" cm="1">
        <f t="array" ref="BE1267">IF(AY1267=1,INDEX($V$7:$AL$7,MATCH(TRUE,INDEX($V1267:$AW1267&lt;&gt;0,),0)),IF(AY1267=0,INDEX($AM$7:$AW$7,MATCH(1,$AM1267:$AW1267,0)),IF(BF1267="Multiple strategies","mixed drivers",IF(BF1267="Supply chain","multiple supply","multiple silviculture"))))</f>
        <v>technologies/design switch</v>
      </c>
      <c r="BF1267" s="2" t="str" cm="1">
        <f t="array" ref="BF1267">IF(COUNTIF(AZ1267:BB1267,"&lt;&gt;0")=1,INDEX($V$4:$AW$4,MATCH(TRUE,INDEX($V1267:$AW1267&lt;&gt;0,),0)),IF(COUNTIF(AZ1267:BB1267,"&lt;&gt;0")=0,INDEX($AM$4:$AW$4,MATCH(1,$AM1267:$AW1267,0)),"Multiple strategies"))</f>
        <v>Technology</v>
      </c>
      <c r="BH1267" t="s">
        <v>2168</v>
      </c>
      <c r="BN1267" s="143"/>
      <c r="BP1267" s="264" t="s">
        <v>232</v>
      </c>
      <c r="BQ1267" s="264"/>
      <c r="BR1267" t="s">
        <v>2169</v>
      </c>
      <c r="BS1267">
        <v>-157</v>
      </c>
      <c r="BT1267">
        <v>-135</v>
      </c>
      <c r="BU1267" s="144">
        <v>0.39589442815249265</v>
      </c>
      <c r="BV1267">
        <v>206</v>
      </c>
      <c r="BX1267">
        <f t="shared" si="1663"/>
        <v>0.20599999999999999</v>
      </c>
      <c r="BY1267" t="str">
        <f t="shared" si="1661"/>
        <v/>
      </c>
      <c r="BZ1267">
        <v>0</v>
      </c>
      <c r="CA1267">
        <v>0</v>
      </c>
      <c r="CB1267">
        <v>0</v>
      </c>
      <c r="CC1267">
        <v>0</v>
      </c>
      <c r="CD1267">
        <v>0</v>
      </c>
      <c r="CE1267">
        <v>0</v>
      </c>
      <c r="CF1267">
        <v>0</v>
      </c>
      <c r="CG1267">
        <v>0</v>
      </c>
      <c r="CH1267">
        <v>0</v>
      </c>
      <c r="CI1267">
        <v>0</v>
      </c>
      <c r="CJ1267">
        <v>0</v>
      </c>
      <c r="CK1267">
        <v>0</v>
      </c>
      <c r="CL1267">
        <v>0</v>
      </c>
      <c r="CM1267">
        <v>0</v>
      </c>
      <c r="CN1267" t="str">
        <f t="shared" si="1664"/>
        <v>refOK</v>
      </c>
      <c r="CO1267"/>
      <c r="CP1267"/>
      <c r="CQ1267"/>
      <c r="CR1267">
        <f t="shared" si="1672"/>
        <v>-157</v>
      </c>
      <c r="CS1267">
        <f t="shared" si="1673"/>
        <v>-135</v>
      </c>
      <c r="CT1267">
        <f t="shared" si="1674"/>
        <v>0.20599999999999999</v>
      </c>
      <c r="CU1267" t="str">
        <f t="shared" si="1675"/>
        <v/>
      </c>
      <c r="CV1267" s="2">
        <f t="shared" si="1676"/>
        <v>0.14012738853503184</v>
      </c>
      <c r="CW1267" s="1" t="s">
        <v>1198</v>
      </c>
      <c r="CX1267" s="264" t="str">
        <f t="shared" si="1677"/>
        <v>reg</v>
      </c>
      <c r="CY1267" t="s">
        <v>235</v>
      </c>
      <c r="DB1267">
        <v>80</v>
      </c>
      <c r="DC1267" t="str">
        <f t="shared" si="1678"/>
        <v>71-100</v>
      </c>
      <c r="DD1267">
        <v>0</v>
      </c>
      <c r="DE1267">
        <v>1</v>
      </c>
      <c r="DF1267">
        <v>0</v>
      </c>
      <c r="DG1267">
        <v>0</v>
      </c>
      <c r="DI1267">
        <f t="shared" si="1654"/>
        <v>1</v>
      </c>
      <c r="DJ1267" t="str">
        <f t="shared" si="1679"/>
        <v>EnergyInput</v>
      </c>
      <c r="DK1267">
        <f t="shared" si="1655"/>
        <v>0</v>
      </c>
      <c r="DL1267" t="str">
        <f t="shared" si="1656"/>
        <v>Energy</v>
      </c>
      <c r="DM1267">
        <f t="shared" si="1657"/>
        <v>0</v>
      </c>
      <c r="DN1267">
        <f t="shared" si="1658"/>
        <v>0</v>
      </c>
      <c r="DO1267">
        <v>0</v>
      </c>
      <c r="DP1267">
        <v>1</v>
      </c>
      <c r="DQ1267" t="s">
        <v>2145</v>
      </c>
      <c r="DR1267">
        <v>0</v>
      </c>
      <c r="DS1267">
        <v>0</v>
      </c>
      <c r="DT1267">
        <f t="shared" si="1660"/>
        <v>1</v>
      </c>
      <c r="DU1267" s="143" t="str">
        <f t="shared" si="1659"/>
        <v>external DF used</v>
      </c>
      <c r="DV1267">
        <v>1</v>
      </c>
      <c r="DW1267">
        <v>1</v>
      </c>
      <c r="DX1267">
        <v>1</v>
      </c>
      <c r="DY1267">
        <v>1</v>
      </c>
      <c r="DZ1267">
        <v>1</v>
      </c>
      <c r="EA1267">
        <v>0</v>
      </c>
      <c r="EB1267">
        <v>1</v>
      </c>
      <c r="EC1267">
        <v>1</v>
      </c>
      <c r="ED1267">
        <v>0</v>
      </c>
      <c r="EE1267">
        <v>0</v>
      </c>
      <c r="EF1267">
        <v>1</v>
      </c>
      <c r="EG1267">
        <v>0</v>
      </c>
      <c r="EH1267">
        <v>0</v>
      </c>
      <c r="EI1267" s="2">
        <v>0</v>
      </c>
      <c r="EK1267" t="str">
        <f t="shared" ref="EK1267:EK1298" si="1680">IF(AND(AND(AND(OR($DX1267=1,$DW1267=1),OR($EC1267=1,$EA1267=1)),SUM($DV1267:$DZ1267,$EF1267)&gt;=4),SUM($EA1267:$EE1267)&gt;=2),"Whole sector","")</f>
        <v>Whole sector</v>
      </c>
      <c r="EL1267" t="str">
        <f t="shared" ref="EL1267:EL1298" si="1681">IF(AND(AND(OR($DX1267=1,$DW1267=1),AND($EC1267=0,$EA1267=0)),SUM($DV1267:$DZ1267,$EF1267)&gt;=4),"Ecosystem approach","")</f>
        <v/>
      </c>
      <c r="EM1267" s="2" t="str">
        <f t="shared" si="1662"/>
        <v/>
      </c>
      <c r="EP1267" t="b">
        <f>IF(ISNUMBER(BU1267),IF(ABS(BU1267-[4]QC_indicators!$B$2)&gt;3*[4]QC_indicators!$C$2,"C ratio",IF(ISNUMBER(BY1267),IF(ABS(BY1267-[4]QC_indicators!$B$1)&gt;3*[4]QC_indicators!$C$1,"DF","no"))),IF(ISNUMBER(BY1267),IF(ABS(BY1267-[4]QC_indicators!$B$1)&gt;3*[4]QC_indicators!$C$1,"DF","no")))</f>
        <v>0</v>
      </c>
      <c r="ER1267" s="294" t="s">
        <v>2170</v>
      </c>
      <c r="ET1267" s="264" t="s">
        <v>3406</v>
      </c>
    </row>
    <row r="1268" spans="1:150" ht="15" hidden="1" customHeight="1">
      <c r="A1268" s="1" t="s">
        <v>1359</v>
      </c>
      <c r="B1268" t="s">
        <v>2134</v>
      </c>
      <c r="C1268" t="s">
        <v>2135</v>
      </c>
      <c r="D1268" t="s">
        <v>2136</v>
      </c>
      <c r="E1268" t="s">
        <v>2137</v>
      </c>
      <c r="F1268" t="s">
        <v>2138</v>
      </c>
      <c r="G1268" t="s">
        <v>1365</v>
      </c>
      <c r="H1268" t="s">
        <v>254</v>
      </c>
      <c r="I1268">
        <v>2012</v>
      </c>
      <c r="J1268">
        <v>21</v>
      </c>
      <c r="K1268" t="s">
        <v>2139</v>
      </c>
      <c r="L1268" s="192"/>
      <c r="M1268" t="str">
        <f t="shared" si="1630"/>
        <v>Pyorala_2012</v>
      </c>
      <c r="N1268" t="s">
        <v>222</v>
      </c>
      <c r="O1268" s="145" t="s">
        <v>341</v>
      </c>
      <c r="Q1268" s="264" t="s">
        <v>256</v>
      </c>
      <c r="R1268" s="269" t="s">
        <v>1153</v>
      </c>
      <c r="S1268" s="1" t="s">
        <v>2175</v>
      </c>
      <c r="T1268" t="s">
        <v>798</v>
      </c>
      <c r="U1268" t="s">
        <v>2167</v>
      </c>
      <c r="V1268">
        <v>0</v>
      </c>
      <c r="W1268">
        <v>0</v>
      </c>
      <c r="X1268">
        <v>0</v>
      </c>
      <c r="Y1268">
        <v>0</v>
      </c>
      <c r="Z1268">
        <v>0</v>
      </c>
      <c r="AA1268">
        <v>0</v>
      </c>
      <c r="AB1268">
        <v>0</v>
      </c>
      <c r="AC1268">
        <v>0</v>
      </c>
      <c r="AD1268">
        <v>0</v>
      </c>
      <c r="AE1268">
        <v>0</v>
      </c>
      <c r="AF1268">
        <v>0</v>
      </c>
      <c r="AG1268">
        <v>0</v>
      </c>
      <c r="AH1268">
        <v>0</v>
      </c>
      <c r="AI1268">
        <v>0</v>
      </c>
      <c r="AJ1268">
        <v>0</v>
      </c>
      <c r="AK1268">
        <v>1</v>
      </c>
      <c r="AL1268">
        <v>0</v>
      </c>
      <c r="AM1268">
        <v>0</v>
      </c>
      <c r="AN1268">
        <v>0</v>
      </c>
      <c r="AO1268">
        <v>0</v>
      </c>
      <c r="AP1268">
        <v>0</v>
      </c>
      <c r="AQ1268">
        <v>0</v>
      </c>
      <c r="AR1268">
        <v>0</v>
      </c>
      <c r="AS1268">
        <v>0</v>
      </c>
      <c r="AT1268">
        <v>0</v>
      </c>
      <c r="AU1268">
        <v>0</v>
      </c>
      <c r="AV1268">
        <v>0</v>
      </c>
      <c r="AW1268">
        <v>0</v>
      </c>
      <c r="AX1268" s="141">
        <f t="shared" si="1665"/>
        <v>1</v>
      </c>
      <c r="AY1268" s="141">
        <f t="shared" si="1666"/>
        <v>1</v>
      </c>
      <c r="AZ1268">
        <f t="shared" si="1667"/>
        <v>0</v>
      </c>
      <c r="BA1268">
        <f t="shared" si="1668"/>
        <v>0</v>
      </c>
      <c r="BB1268">
        <f t="shared" si="1669"/>
        <v>1</v>
      </c>
      <c r="BC1268">
        <f t="shared" si="1670"/>
        <v>0</v>
      </c>
      <c r="BD1268">
        <f t="shared" si="1671"/>
        <v>0</v>
      </c>
      <c r="BE1268" t="str" cm="1">
        <f t="array" ref="BE1268">IF(AY1268=1,INDEX($V$7:$AL$7,MATCH(TRUE,INDEX($V1268:$AW1268&lt;&gt;0,),0)),IF(AY1268=0,INDEX($AM$7:$AW$7,MATCH(1,$AM1268:$AW1268,0)),IF(BF1268="Multiple strategies","mixed drivers",IF(BF1268="Supply chain","multiple supply","multiple silviculture"))))</f>
        <v>technologies/design switch</v>
      </c>
      <c r="BF1268" s="2" t="str" cm="1">
        <f t="array" ref="BF1268">IF(COUNTIF(AZ1268:BB1268,"&lt;&gt;0")=1,INDEX($V$4:$AW$4,MATCH(TRUE,INDEX($V1268:$AW1268&lt;&gt;0,),0)),IF(COUNTIF(AZ1268:BB1268,"&lt;&gt;0")=0,INDEX($AM$4:$AW$4,MATCH(1,$AM1268:$AW1268,0)),"Multiple strategies"))</f>
        <v>Technology</v>
      </c>
      <c r="BH1268" t="s">
        <v>2168</v>
      </c>
      <c r="BN1268" s="143"/>
      <c r="BP1268" s="264" t="s">
        <v>232</v>
      </c>
      <c r="BQ1268" s="264"/>
      <c r="BR1268" t="s">
        <v>2169</v>
      </c>
      <c r="BS1268">
        <v>-157</v>
      </c>
      <c r="BT1268">
        <v>-137</v>
      </c>
      <c r="BU1268" s="144">
        <v>0.40175953079178883</v>
      </c>
      <c r="BV1268">
        <v>204</v>
      </c>
      <c r="BX1268">
        <f t="shared" si="1663"/>
        <v>0.20399999999999999</v>
      </c>
      <c r="BY1268" t="str">
        <f t="shared" si="1661"/>
        <v/>
      </c>
      <c r="BZ1268">
        <v>0</v>
      </c>
      <c r="CA1268">
        <v>0</v>
      </c>
      <c r="CB1268">
        <v>0</v>
      </c>
      <c r="CC1268">
        <v>0</v>
      </c>
      <c r="CD1268">
        <v>0</v>
      </c>
      <c r="CE1268">
        <v>0</v>
      </c>
      <c r="CF1268">
        <v>0</v>
      </c>
      <c r="CG1268">
        <v>0</v>
      </c>
      <c r="CH1268">
        <v>0</v>
      </c>
      <c r="CI1268">
        <v>0</v>
      </c>
      <c r="CJ1268">
        <v>0</v>
      </c>
      <c r="CK1268">
        <v>0</v>
      </c>
      <c r="CL1268">
        <v>0</v>
      </c>
      <c r="CM1268">
        <v>0</v>
      </c>
      <c r="CN1268" t="str">
        <f t="shared" si="1664"/>
        <v>refOK</v>
      </c>
      <c r="CO1268"/>
      <c r="CP1268"/>
      <c r="CQ1268"/>
      <c r="CR1268">
        <f t="shared" si="1672"/>
        <v>-157</v>
      </c>
      <c r="CS1268">
        <f t="shared" si="1673"/>
        <v>-137</v>
      </c>
      <c r="CT1268">
        <f t="shared" si="1674"/>
        <v>0.20399999999999999</v>
      </c>
      <c r="CU1268" t="str">
        <f t="shared" si="1675"/>
        <v/>
      </c>
      <c r="CV1268" s="2">
        <f t="shared" si="1676"/>
        <v>0.12738853503184713</v>
      </c>
      <c r="CW1268" s="1" t="s">
        <v>1198</v>
      </c>
      <c r="CX1268" s="264" t="str">
        <f t="shared" si="1677"/>
        <v>reg</v>
      </c>
      <c r="CY1268" t="s">
        <v>235</v>
      </c>
      <c r="DB1268">
        <v>80</v>
      </c>
      <c r="DC1268" t="str">
        <f t="shared" si="1678"/>
        <v>71-100</v>
      </c>
      <c r="DD1268">
        <v>0</v>
      </c>
      <c r="DE1268">
        <v>1</v>
      </c>
      <c r="DF1268">
        <v>0</v>
      </c>
      <c r="DG1268">
        <v>0</v>
      </c>
      <c r="DI1268">
        <f t="shared" si="1654"/>
        <v>1</v>
      </c>
      <c r="DJ1268" t="str">
        <f t="shared" si="1679"/>
        <v>EnergyInput</v>
      </c>
      <c r="DK1268">
        <f t="shared" si="1655"/>
        <v>0</v>
      </c>
      <c r="DL1268" t="str">
        <f t="shared" si="1656"/>
        <v>Energy</v>
      </c>
      <c r="DM1268">
        <f t="shared" si="1657"/>
        <v>0</v>
      </c>
      <c r="DN1268">
        <f t="shared" si="1658"/>
        <v>0</v>
      </c>
      <c r="DO1268">
        <v>0</v>
      </c>
      <c r="DP1268">
        <v>1</v>
      </c>
      <c r="DQ1268" t="s">
        <v>2145</v>
      </c>
      <c r="DR1268">
        <v>0</v>
      </c>
      <c r="DS1268">
        <v>0</v>
      </c>
      <c r="DT1268">
        <f t="shared" si="1660"/>
        <v>1</v>
      </c>
      <c r="DU1268" s="143" t="str">
        <f t="shared" si="1659"/>
        <v>external DF used</v>
      </c>
      <c r="DV1268">
        <v>1</v>
      </c>
      <c r="DW1268">
        <v>1</v>
      </c>
      <c r="DX1268">
        <v>1</v>
      </c>
      <c r="DY1268">
        <v>1</v>
      </c>
      <c r="DZ1268">
        <v>1</v>
      </c>
      <c r="EA1268">
        <v>0</v>
      </c>
      <c r="EB1268">
        <v>1</v>
      </c>
      <c r="EC1268">
        <v>1</v>
      </c>
      <c r="ED1268">
        <v>0</v>
      </c>
      <c r="EE1268">
        <v>0</v>
      </c>
      <c r="EF1268">
        <v>1</v>
      </c>
      <c r="EG1268">
        <v>0</v>
      </c>
      <c r="EH1268">
        <v>0</v>
      </c>
      <c r="EI1268" s="2">
        <v>0</v>
      </c>
      <c r="EK1268" t="str">
        <f t="shared" si="1680"/>
        <v>Whole sector</v>
      </c>
      <c r="EL1268" t="str">
        <f t="shared" si="1681"/>
        <v/>
      </c>
      <c r="EM1268" s="2" t="str">
        <f t="shared" si="1662"/>
        <v/>
      </c>
      <c r="EP1268" t="b">
        <f>IF(ISNUMBER(BU1268),IF(ABS(BU1268-[4]QC_indicators!$B$2)&gt;3*[4]QC_indicators!$C$2,"C ratio",IF(ISNUMBER(BY1268),IF(ABS(BY1268-[4]QC_indicators!$B$1)&gt;3*[4]QC_indicators!$C$1,"DF","no"))),IF(ISNUMBER(BY1268),IF(ABS(BY1268-[4]QC_indicators!$B$1)&gt;3*[4]QC_indicators!$C$1,"DF","no")))</f>
        <v>0</v>
      </c>
      <c r="ER1268" s="294" t="s">
        <v>2170</v>
      </c>
      <c r="ET1268" s="264" t="s">
        <v>3406</v>
      </c>
    </row>
    <row r="1269" spans="1:150" ht="15" hidden="1" customHeight="1">
      <c r="A1269" s="1" t="s">
        <v>1359</v>
      </c>
      <c r="B1269" t="s">
        <v>2134</v>
      </c>
      <c r="C1269" t="s">
        <v>2135</v>
      </c>
      <c r="D1269" t="s">
        <v>2136</v>
      </c>
      <c r="E1269" t="s">
        <v>2137</v>
      </c>
      <c r="F1269" t="s">
        <v>2138</v>
      </c>
      <c r="G1269" t="s">
        <v>1365</v>
      </c>
      <c r="H1269" t="s">
        <v>254</v>
      </c>
      <c r="I1269">
        <v>2012</v>
      </c>
      <c r="J1269">
        <v>21</v>
      </c>
      <c r="K1269" t="s">
        <v>2139</v>
      </c>
      <c r="L1269" s="192"/>
      <c r="M1269" t="str">
        <f t="shared" si="1630"/>
        <v>Pyorala_2012</v>
      </c>
      <c r="N1269" t="s">
        <v>222</v>
      </c>
      <c r="O1269" s="145" t="s">
        <v>341</v>
      </c>
      <c r="Q1269" s="264" t="s">
        <v>256</v>
      </c>
      <c r="R1269" s="269" t="s">
        <v>1153</v>
      </c>
      <c r="S1269" s="1" t="s">
        <v>2176</v>
      </c>
      <c r="T1269" t="s">
        <v>798</v>
      </c>
      <c r="U1269" t="s">
        <v>2167</v>
      </c>
      <c r="V1269">
        <v>0</v>
      </c>
      <c r="W1269">
        <v>0</v>
      </c>
      <c r="X1269">
        <v>0</v>
      </c>
      <c r="Y1269">
        <v>0</v>
      </c>
      <c r="Z1269">
        <v>0</v>
      </c>
      <c r="AA1269">
        <v>0</v>
      </c>
      <c r="AB1269">
        <v>0</v>
      </c>
      <c r="AC1269">
        <v>0</v>
      </c>
      <c r="AD1269">
        <v>0</v>
      </c>
      <c r="AE1269">
        <v>0</v>
      </c>
      <c r="AF1269">
        <v>0</v>
      </c>
      <c r="AG1269">
        <v>0</v>
      </c>
      <c r="AH1269">
        <v>0</v>
      </c>
      <c r="AI1269">
        <v>0</v>
      </c>
      <c r="AJ1269">
        <v>0</v>
      </c>
      <c r="AK1269">
        <v>1</v>
      </c>
      <c r="AL1269">
        <v>0</v>
      </c>
      <c r="AM1269">
        <v>0</v>
      </c>
      <c r="AN1269">
        <v>0</v>
      </c>
      <c r="AO1269">
        <v>0</v>
      </c>
      <c r="AP1269">
        <v>0</v>
      </c>
      <c r="AQ1269">
        <v>0</v>
      </c>
      <c r="AR1269">
        <v>0</v>
      </c>
      <c r="AS1269">
        <v>0</v>
      </c>
      <c r="AT1269">
        <v>0</v>
      </c>
      <c r="AU1269">
        <v>0</v>
      </c>
      <c r="AV1269">
        <v>0</v>
      </c>
      <c r="AW1269">
        <v>0</v>
      </c>
      <c r="AX1269" s="141">
        <f t="shared" si="1665"/>
        <v>1</v>
      </c>
      <c r="AY1269" s="141">
        <f t="shared" si="1666"/>
        <v>1</v>
      </c>
      <c r="AZ1269">
        <f t="shared" si="1667"/>
        <v>0</v>
      </c>
      <c r="BA1269">
        <f t="shared" si="1668"/>
        <v>0</v>
      </c>
      <c r="BB1269">
        <f t="shared" si="1669"/>
        <v>1</v>
      </c>
      <c r="BC1269">
        <f t="shared" si="1670"/>
        <v>0</v>
      </c>
      <c r="BD1269">
        <f t="shared" si="1671"/>
        <v>0</v>
      </c>
      <c r="BE1269" t="str" cm="1">
        <f t="array" ref="BE1269">IF(AY1269=1,INDEX($V$7:$AL$7,MATCH(TRUE,INDEX($V1269:$AW1269&lt;&gt;0,),0)),IF(AY1269=0,INDEX($AM$7:$AW$7,MATCH(1,$AM1269:$AW1269,0)),IF(BF1269="Multiple strategies","mixed drivers",IF(BF1269="Supply chain","multiple supply","multiple silviculture"))))</f>
        <v>technologies/design switch</v>
      </c>
      <c r="BF1269" s="2" t="str" cm="1">
        <f t="array" ref="BF1269">IF(COUNTIF(AZ1269:BB1269,"&lt;&gt;0")=1,INDEX($V$4:$AW$4,MATCH(TRUE,INDEX($V1269:$AW1269&lt;&gt;0,),0)),IF(COUNTIF(AZ1269:BB1269,"&lt;&gt;0")=0,INDEX($AM$4:$AW$4,MATCH(1,$AM1269:$AW1269,0)),"Multiple strategies"))</f>
        <v>Technology</v>
      </c>
      <c r="BH1269" t="s">
        <v>2168</v>
      </c>
      <c r="BN1269" s="143"/>
      <c r="BP1269" s="264" t="s">
        <v>232</v>
      </c>
      <c r="BQ1269" s="264"/>
      <c r="BR1269" t="s">
        <v>2169</v>
      </c>
      <c r="BS1269">
        <v>-157</v>
      </c>
      <c r="BT1269">
        <v>-142</v>
      </c>
      <c r="BU1269" s="144">
        <v>0.41642228739002934</v>
      </c>
      <c r="BV1269">
        <v>199</v>
      </c>
      <c r="BX1269">
        <f t="shared" si="1663"/>
        <v>0.19900000000000001</v>
      </c>
      <c r="BY1269" t="str">
        <f t="shared" si="1661"/>
        <v/>
      </c>
      <c r="BZ1269">
        <v>0</v>
      </c>
      <c r="CA1269">
        <v>0</v>
      </c>
      <c r="CB1269">
        <v>0</v>
      </c>
      <c r="CC1269">
        <v>0</v>
      </c>
      <c r="CD1269">
        <v>0</v>
      </c>
      <c r="CE1269">
        <v>0</v>
      </c>
      <c r="CF1269">
        <v>0</v>
      </c>
      <c r="CG1269">
        <v>0</v>
      </c>
      <c r="CH1269">
        <v>0</v>
      </c>
      <c r="CI1269">
        <v>0</v>
      </c>
      <c r="CJ1269">
        <v>0</v>
      </c>
      <c r="CK1269">
        <v>0</v>
      </c>
      <c r="CL1269">
        <v>0</v>
      </c>
      <c r="CM1269">
        <v>0</v>
      </c>
      <c r="CN1269" t="str">
        <f t="shared" si="1664"/>
        <v>refOK</v>
      </c>
      <c r="CO1269"/>
      <c r="CP1269"/>
      <c r="CQ1269"/>
      <c r="CR1269">
        <f t="shared" si="1672"/>
        <v>-157</v>
      </c>
      <c r="CS1269">
        <f t="shared" si="1673"/>
        <v>-142</v>
      </c>
      <c r="CT1269">
        <f t="shared" si="1674"/>
        <v>0.19900000000000001</v>
      </c>
      <c r="CU1269" t="str">
        <f t="shared" si="1675"/>
        <v/>
      </c>
      <c r="CV1269" s="2">
        <f t="shared" si="1676"/>
        <v>9.5541401273885357E-2</v>
      </c>
      <c r="CW1269" s="1" t="s">
        <v>1198</v>
      </c>
      <c r="CX1269" s="264" t="str">
        <f t="shared" si="1677"/>
        <v>reg</v>
      </c>
      <c r="CY1269" t="s">
        <v>235</v>
      </c>
      <c r="DB1269">
        <v>80</v>
      </c>
      <c r="DC1269" t="str">
        <f t="shared" si="1678"/>
        <v>71-100</v>
      </c>
      <c r="DD1269">
        <v>0</v>
      </c>
      <c r="DE1269">
        <v>1</v>
      </c>
      <c r="DF1269">
        <v>0</v>
      </c>
      <c r="DG1269">
        <v>0</v>
      </c>
      <c r="DI1269">
        <f t="shared" si="1654"/>
        <v>1</v>
      </c>
      <c r="DJ1269" t="str">
        <f t="shared" si="1679"/>
        <v>EnergyInput</v>
      </c>
      <c r="DK1269">
        <f t="shared" si="1655"/>
        <v>0</v>
      </c>
      <c r="DL1269" t="str">
        <f t="shared" si="1656"/>
        <v>Energy</v>
      </c>
      <c r="DM1269">
        <f t="shared" si="1657"/>
        <v>0</v>
      </c>
      <c r="DN1269">
        <f t="shared" si="1658"/>
        <v>0</v>
      </c>
      <c r="DO1269">
        <v>0</v>
      </c>
      <c r="DP1269">
        <v>1</v>
      </c>
      <c r="DQ1269" t="s">
        <v>2145</v>
      </c>
      <c r="DR1269">
        <v>0</v>
      </c>
      <c r="DS1269">
        <v>0</v>
      </c>
      <c r="DT1269">
        <f t="shared" si="1660"/>
        <v>1</v>
      </c>
      <c r="DU1269" s="143" t="str">
        <f t="shared" si="1659"/>
        <v>external DF used</v>
      </c>
      <c r="DV1269">
        <v>1</v>
      </c>
      <c r="DW1269">
        <v>1</v>
      </c>
      <c r="DX1269">
        <v>1</v>
      </c>
      <c r="DY1269">
        <v>1</v>
      </c>
      <c r="DZ1269">
        <v>1</v>
      </c>
      <c r="EA1269">
        <v>0</v>
      </c>
      <c r="EB1269">
        <v>1</v>
      </c>
      <c r="EC1269">
        <v>1</v>
      </c>
      <c r="ED1269">
        <v>0</v>
      </c>
      <c r="EE1269">
        <v>0</v>
      </c>
      <c r="EF1269">
        <v>1</v>
      </c>
      <c r="EG1269">
        <v>0</v>
      </c>
      <c r="EH1269">
        <v>0</v>
      </c>
      <c r="EI1269" s="2">
        <v>0</v>
      </c>
      <c r="EK1269" t="str">
        <f t="shared" si="1680"/>
        <v>Whole sector</v>
      </c>
      <c r="EL1269" t="str">
        <f t="shared" si="1681"/>
        <v/>
      </c>
      <c r="EM1269" s="2" t="str">
        <f t="shared" si="1662"/>
        <v/>
      </c>
      <c r="EP1269" t="b">
        <f>IF(ISNUMBER(BU1269),IF(ABS(BU1269-[4]QC_indicators!$B$2)&gt;3*[4]QC_indicators!$C$2,"C ratio",IF(ISNUMBER(BY1269),IF(ABS(BY1269-[4]QC_indicators!$B$1)&gt;3*[4]QC_indicators!$C$1,"DF","no"))),IF(ISNUMBER(BY1269),IF(ABS(BY1269-[4]QC_indicators!$B$1)&gt;3*[4]QC_indicators!$C$1,"DF","no")))</f>
        <v>0</v>
      </c>
      <c r="ER1269" s="294" t="s">
        <v>2170</v>
      </c>
      <c r="ET1269" s="264" t="s">
        <v>3406</v>
      </c>
    </row>
    <row r="1270" spans="1:150" ht="15" hidden="1" customHeight="1">
      <c r="A1270" s="1" t="s">
        <v>1359</v>
      </c>
      <c r="B1270" t="s">
        <v>2134</v>
      </c>
      <c r="C1270" t="s">
        <v>2135</v>
      </c>
      <c r="D1270" t="s">
        <v>2136</v>
      </c>
      <c r="E1270" t="s">
        <v>2137</v>
      </c>
      <c r="F1270" t="s">
        <v>2138</v>
      </c>
      <c r="G1270" t="s">
        <v>1365</v>
      </c>
      <c r="H1270" t="s">
        <v>254</v>
      </c>
      <c r="I1270">
        <v>2012</v>
      </c>
      <c r="J1270">
        <v>21</v>
      </c>
      <c r="K1270" t="s">
        <v>2139</v>
      </c>
      <c r="L1270" s="192"/>
      <c r="M1270" t="str">
        <f t="shared" si="1630"/>
        <v>Pyorala_2012</v>
      </c>
      <c r="N1270" t="s">
        <v>222</v>
      </c>
      <c r="O1270" s="145" t="s">
        <v>341</v>
      </c>
      <c r="Q1270" s="264" t="s">
        <v>256</v>
      </c>
      <c r="R1270" s="269" t="s">
        <v>1153</v>
      </c>
      <c r="S1270" s="1" t="s">
        <v>2177</v>
      </c>
      <c r="T1270" t="s">
        <v>798</v>
      </c>
      <c r="U1270" t="s">
        <v>2167</v>
      </c>
      <c r="V1270">
        <v>0</v>
      </c>
      <c r="W1270">
        <v>0</v>
      </c>
      <c r="X1270">
        <v>0</v>
      </c>
      <c r="Y1270">
        <v>0</v>
      </c>
      <c r="Z1270">
        <v>0</v>
      </c>
      <c r="AA1270">
        <v>0</v>
      </c>
      <c r="AB1270">
        <v>0</v>
      </c>
      <c r="AC1270">
        <v>0</v>
      </c>
      <c r="AD1270">
        <v>0</v>
      </c>
      <c r="AE1270">
        <v>0</v>
      </c>
      <c r="AF1270">
        <v>0</v>
      </c>
      <c r="AG1270">
        <v>0</v>
      </c>
      <c r="AH1270">
        <v>0</v>
      </c>
      <c r="AI1270">
        <v>0</v>
      </c>
      <c r="AJ1270">
        <v>0</v>
      </c>
      <c r="AK1270">
        <v>1</v>
      </c>
      <c r="AL1270">
        <v>0</v>
      </c>
      <c r="AM1270">
        <v>0</v>
      </c>
      <c r="AN1270">
        <v>0</v>
      </c>
      <c r="AO1270">
        <v>0</v>
      </c>
      <c r="AP1270">
        <v>0</v>
      </c>
      <c r="AQ1270">
        <v>0</v>
      </c>
      <c r="AR1270">
        <v>0</v>
      </c>
      <c r="AS1270">
        <v>0</v>
      </c>
      <c r="AT1270">
        <v>0</v>
      </c>
      <c r="AU1270">
        <v>0</v>
      </c>
      <c r="AV1270">
        <v>0</v>
      </c>
      <c r="AW1270">
        <v>0</v>
      </c>
      <c r="AX1270" s="141">
        <f t="shared" si="1665"/>
        <v>1</v>
      </c>
      <c r="AY1270" s="141">
        <f t="shared" si="1666"/>
        <v>1</v>
      </c>
      <c r="AZ1270">
        <f t="shared" si="1667"/>
        <v>0</v>
      </c>
      <c r="BA1270">
        <f t="shared" si="1668"/>
        <v>0</v>
      </c>
      <c r="BB1270">
        <f t="shared" si="1669"/>
        <v>1</v>
      </c>
      <c r="BC1270">
        <f t="shared" si="1670"/>
        <v>0</v>
      </c>
      <c r="BD1270">
        <f t="shared" si="1671"/>
        <v>0</v>
      </c>
      <c r="BE1270" t="str" cm="1">
        <f t="array" ref="BE1270">IF(AY1270=1,INDEX($V$7:$AL$7,MATCH(TRUE,INDEX($V1270:$AW1270&lt;&gt;0,),0)),IF(AY1270=0,INDEX($AM$7:$AW$7,MATCH(1,$AM1270:$AW1270,0)),IF(BF1270="Multiple strategies","mixed drivers",IF(BF1270="Supply chain","multiple supply","multiple silviculture"))))</f>
        <v>technologies/design switch</v>
      </c>
      <c r="BF1270" s="2" t="str" cm="1">
        <f t="array" ref="BF1270">IF(COUNTIF(AZ1270:BB1270,"&lt;&gt;0")=1,INDEX($V$4:$AW$4,MATCH(TRUE,INDEX($V1270:$AW1270&lt;&gt;0,),0)),IF(COUNTIF(AZ1270:BB1270,"&lt;&gt;0")=0,INDEX($AM$4:$AW$4,MATCH(1,$AM1270:$AW1270,0)),"Multiple strategies"))</f>
        <v>Technology</v>
      </c>
      <c r="BH1270" t="s">
        <v>2168</v>
      </c>
      <c r="BN1270" s="143"/>
      <c r="BP1270" s="264" t="s">
        <v>232</v>
      </c>
      <c r="BQ1270" s="264"/>
      <c r="BR1270" t="s">
        <v>2169</v>
      </c>
      <c r="BS1270">
        <v>-157</v>
      </c>
      <c r="BT1270">
        <v>-150</v>
      </c>
      <c r="BU1270" s="144">
        <v>0.43988269794721407</v>
      </c>
      <c r="BV1270">
        <v>191</v>
      </c>
      <c r="BX1270">
        <f t="shared" si="1663"/>
        <v>0.191</v>
      </c>
      <c r="BY1270" t="str">
        <f t="shared" si="1661"/>
        <v/>
      </c>
      <c r="BZ1270">
        <v>0</v>
      </c>
      <c r="CA1270">
        <v>0</v>
      </c>
      <c r="CB1270">
        <v>0</v>
      </c>
      <c r="CC1270">
        <v>0</v>
      </c>
      <c r="CD1270">
        <v>0</v>
      </c>
      <c r="CE1270">
        <v>0</v>
      </c>
      <c r="CF1270">
        <v>0</v>
      </c>
      <c r="CG1270">
        <v>0</v>
      </c>
      <c r="CH1270">
        <v>0</v>
      </c>
      <c r="CI1270">
        <v>0</v>
      </c>
      <c r="CJ1270">
        <v>0</v>
      </c>
      <c r="CK1270">
        <v>0</v>
      </c>
      <c r="CL1270">
        <v>0</v>
      </c>
      <c r="CM1270">
        <v>0</v>
      </c>
      <c r="CN1270" t="str">
        <f t="shared" si="1664"/>
        <v>refOK</v>
      </c>
      <c r="CO1270"/>
      <c r="CP1270"/>
      <c r="CQ1270"/>
      <c r="CR1270">
        <f t="shared" si="1672"/>
        <v>-157</v>
      </c>
      <c r="CS1270">
        <f t="shared" si="1673"/>
        <v>-150</v>
      </c>
      <c r="CT1270">
        <f t="shared" si="1674"/>
        <v>0.191</v>
      </c>
      <c r="CU1270" t="str">
        <f t="shared" si="1675"/>
        <v/>
      </c>
      <c r="CV1270" s="2">
        <f t="shared" si="1676"/>
        <v>4.4585987261146494E-2</v>
      </c>
      <c r="CW1270" s="1" t="s">
        <v>1198</v>
      </c>
      <c r="CX1270" s="264" t="str">
        <f t="shared" si="1677"/>
        <v>reg</v>
      </c>
      <c r="CY1270" t="s">
        <v>235</v>
      </c>
      <c r="DB1270">
        <v>80</v>
      </c>
      <c r="DC1270" t="str">
        <f t="shared" si="1678"/>
        <v>71-100</v>
      </c>
      <c r="DD1270">
        <v>0</v>
      </c>
      <c r="DE1270">
        <v>1</v>
      </c>
      <c r="DF1270">
        <v>0</v>
      </c>
      <c r="DG1270">
        <v>0</v>
      </c>
      <c r="DI1270">
        <f t="shared" si="1654"/>
        <v>1</v>
      </c>
      <c r="DJ1270" t="str">
        <f t="shared" si="1679"/>
        <v>EnergyInput</v>
      </c>
      <c r="DK1270">
        <f t="shared" si="1655"/>
        <v>0</v>
      </c>
      <c r="DL1270" t="str">
        <f t="shared" si="1656"/>
        <v>Energy</v>
      </c>
      <c r="DM1270">
        <f t="shared" si="1657"/>
        <v>0</v>
      </c>
      <c r="DN1270">
        <f t="shared" si="1658"/>
        <v>0</v>
      </c>
      <c r="DO1270">
        <v>0</v>
      </c>
      <c r="DP1270">
        <v>1</v>
      </c>
      <c r="DQ1270" t="s">
        <v>2145</v>
      </c>
      <c r="DR1270">
        <v>0</v>
      </c>
      <c r="DS1270">
        <v>0</v>
      </c>
      <c r="DT1270">
        <f t="shared" si="1660"/>
        <v>1</v>
      </c>
      <c r="DU1270" s="143" t="str">
        <f t="shared" si="1659"/>
        <v>external DF used</v>
      </c>
      <c r="DV1270">
        <v>1</v>
      </c>
      <c r="DW1270">
        <v>1</v>
      </c>
      <c r="DX1270">
        <v>1</v>
      </c>
      <c r="DY1270">
        <v>1</v>
      </c>
      <c r="DZ1270">
        <v>1</v>
      </c>
      <c r="EA1270">
        <v>0</v>
      </c>
      <c r="EB1270">
        <v>1</v>
      </c>
      <c r="EC1270">
        <v>1</v>
      </c>
      <c r="ED1270">
        <v>0</v>
      </c>
      <c r="EE1270">
        <v>0</v>
      </c>
      <c r="EF1270">
        <v>1</v>
      </c>
      <c r="EG1270">
        <v>0</v>
      </c>
      <c r="EH1270">
        <v>0</v>
      </c>
      <c r="EI1270" s="2">
        <v>0</v>
      </c>
      <c r="EK1270" t="str">
        <f t="shared" si="1680"/>
        <v>Whole sector</v>
      </c>
      <c r="EL1270" t="str">
        <f t="shared" si="1681"/>
        <v/>
      </c>
      <c r="EM1270" s="2" t="str">
        <f t="shared" si="1662"/>
        <v/>
      </c>
      <c r="EP1270" t="b">
        <f>IF(ISNUMBER(BU1270),IF(ABS(BU1270-[4]QC_indicators!$B$2)&gt;3*[4]QC_indicators!$C$2,"C ratio",IF(ISNUMBER(BY1270),IF(ABS(BY1270-[4]QC_indicators!$B$1)&gt;3*[4]QC_indicators!$C$1,"DF","no"))),IF(ISNUMBER(BY1270),IF(ABS(BY1270-[4]QC_indicators!$B$1)&gt;3*[4]QC_indicators!$C$1,"DF","no")))</f>
        <v>0</v>
      </c>
      <c r="ER1270" s="294" t="s">
        <v>2170</v>
      </c>
      <c r="ET1270" s="264" t="s">
        <v>3406</v>
      </c>
    </row>
    <row r="1271" spans="1:150" ht="15" hidden="1" customHeight="1">
      <c r="A1271" s="1" t="s">
        <v>1359</v>
      </c>
      <c r="B1271" t="s">
        <v>2134</v>
      </c>
      <c r="C1271" t="s">
        <v>2135</v>
      </c>
      <c r="D1271" t="s">
        <v>2136</v>
      </c>
      <c r="E1271" t="s">
        <v>2137</v>
      </c>
      <c r="F1271" t="s">
        <v>2138</v>
      </c>
      <c r="G1271" t="s">
        <v>1365</v>
      </c>
      <c r="H1271" t="s">
        <v>254</v>
      </c>
      <c r="I1271">
        <v>2012</v>
      </c>
      <c r="J1271">
        <v>21</v>
      </c>
      <c r="K1271" t="s">
        <v>2139</v>
      </c>
      <c r="L1271" s="192"/>
      <c r="M1271" t="str">
        <f t="shared" si="1630"/>
        <v>Pyorala_2012</v>
      </c>
      <c r="N1271" t="s">
        <v>222</v>
      </c>
      <c r="O1271" s="145" t="s">
        <v>341</v>
      </c>
      <c r="Q1271" s="264" t="s">
        <v>256</v>
      </c>
      <c r="R1271" s="269" t="s">
        <v>1153</v>
      </c>
      <c r="S1271" s="1" t="s">
        <v>2178</v>
      </c>
      <c r="T1271" t="s">
        <v>798</v>
      </c>
      <c r="U1271" t="s">
        <v>2167</v>
      </c>
      <c r="V1271">
        <v>0</v>
      </c>
      <c r="W1271">
        <v>0</v>
      </c>
      <c r="X1271">
        <v>0</v>
      </c>
      <c r="Y1271">
        <v>0</v>
      </c>
      <c r="Z1271">
        <v>0</v>
      </c>
      <c r="AA1271">
        <v>0</v>
      </c>
      <c r="AB1271">
        <v>0</v>
      </c>
      <c r="AC1271">
        <v>0</v>
      </c>
      <c r="AD1271">
        <v>0</v>
      </c>
      <c r="AE1271">
        <v>0</v>
      </c>
      <c r="AF1271">
        <v>0</v>
      </c>
      <c r="AG1271">
        <v>0</v>
      </c>
      <c r="AH1271">
        <v>0</v>
      </c>
      <c r="AI1271">
        <v>0</v>
      </c>
      <c r="AJ1271">
        <v>0</v>
      </c>
      <c r="AK1271">
        <v>1</v>
      </c>
      <c r="AL1271">
        <v>0</v>
      </c>
      <c r="AM1271">
        <v>0</v>
      </c>
      <c r="AN1271">
        <v>0</v>
      </c>
      <c r="AO1271">
        <v>0</v>
      </c>
      <c r="AP1271">
        <v>0</v>
      </c>
      <c r="AQ1271">
        <v>0</v>
      </c>
      <c r="AR1271">
        <v>0</v>
      </c>
      <c r="AS1271">
        <v>0</v>
      </c>
      <c r="AT1271">
        <v>0</v>
      </c>
      <c r="AU1271">
        <v>0</v>
      </c>
      <c r="AV1271">
        <v>0</v>
      </c>
      <c r="AW1271">
        <v>0</v>
      </c>
      <c r="AX1271" s="141">
        <f t="shared" si="1665"/>
        <v>1</v>
      </c>
      <c r="AY1271" s="141">
        <f t="shared" si="1666"/>
        <v>1</v>
      </c>
      <c r="AZ1271">
        <f t="shared" si="1667"/>
        <v>0</v>
      </c>
      <c r="BA1271">
        <f t="shared" si="1668"/>
        <v>0</v>
      </c>
      <c r="BB1271">
        <f t="shared" si="1669"/>
        <v>1</v>
      </c>
      <c r="BC1271">
        <f t="shared" si="1670"/>
        <v>0</v>
      </c>
      <c r="BD1271">
        <f t="shared" si="1671"/>
        <v>0</v>
      </c>
      <c r="BE1271" t="str" cm="1">
        <f t="array" ref="BE1271">IF(AY1271=1,INDEX($V$7:$AL$7,MATCH(TRUE,INDEX($V1271:$AW1271&lt;&gt;0,),0)),IF(AY1271=0,INDEX($AM$7:$AW$7,MATCH(1,$AM1271:$AW1271,0)),IF(BF1271="Multiple strategies","mixed drivers",IF(BF1271="Supply chain","multiple supply","multiple silviculture"))))</f>
        <v>technologies/design switch</v>
      </c>
      <c r="BF1271" s="2" t="str" cm="1">
        <f t="array" ref="BF1271">IF(COUNTIF(AZ1271:BB1271,"&lt;&gt;0")=1,INDEX($V$4:$AW$4,MATCH(TRUE,INDEX($V1271:$AW1271&lt;&gt;0,),0)),IF(COUNTIF(AZ1271:BB1271,"&lt;&gt;0")=0,INDEX($AM$4:$AW$4,MATCH(1,$AM1271:$AW1271,0)),"Multiple strategies"))</f>
        <v>Technology</v>
      </c>
      <c r="BH1271" t="s">
        <v>2168</v>
      </c>
      <c r="BN1271" s="143"/>
      <c r="BP1271" s="264" t="s">
        <v>232</v>
      </c>
      <c r="BQ1271" s="264"/>
      <c r="BR1271" t="s">
        <v>2169</v>
      </c>
      <c r="BS1271">
        <v>-157</v>
      </c>
      <c r="BT1271">
        <v>-156</v>
      </c>
      <c r="BU1271" s="144">
        <v>0.45747800586510262</v>
      </c>
      <c r="BV1271">
        <v>185</v>
      </c>
      <c r="BX1271">
        <f t="shared" si="1663"/>
        <v>0.185</v>
      </c>
      <c r="BY1271" t="str">
        <f t="shared" si="1661"/>
        <v/>
      </c>
      <c r="BZ1271">
        <v>0</v>
      </c>
      <c r="CA1271">
        <v>0</v>
      </c>
      <c r="CB1271">
        <v>0</v>
      </c>
      <c r="CC1271">
        <v>0</v>
      </c>
      <c r="CD1271">
        <v>0</v>
      </c>
      <c r="CE1271">
        <v>0</v>
      </c>
      <c r="CF1271">
        <v>0</v>
      </c>
      <c r="CG1271">
        <v>0</v>
      </c>
      <c r="CH1271">
        <v>0</v>
      </c>
      <c r="CI1271">
        <v>0</v>
      </c>
      <c r="CJ1271">
        <v>0</v>
      </c>
      <c r="CK1271">
        <v>0</v>
      </c>
      <c r="CL1271">
        <v>0</v>
      </c>
      <c r="CM1271">
        <v>0</v>
      </c>
      <c r="CN1271" t="str">
        <f t="shared" si="1664"/>
        <v>refOK</v>
      </c>
      <c r="CO1271"/>
      <c r="CP1271"/>
      <c r="CQ1271"/>
      <c r="CR1271">
        <f t="shared" si="1672"/>
        <v>-157</v>
      </c>
      <c r="CS1271">
        <f t="shared" si="1673"/>
        <v>-156</v>
      </c>
      <c r="CT1271">
        <f t="shared" si="1674"/>
        <v>0.185</v>
      </c>
      <c r="CU1271" t="str">
        <f t="shared" si="1675"/>
        <v/>
      </c>
      <c r="CV1271" s="2">
        <f t="shared" si="1676"/>
        <v>6.369426751592357E-3</v>
      </c>
      <c r="CW1271" s="1" t="s">
        <v>1198</v>
      </c>
      <c r="CX1271" s="264" t="str">
        <f t="shared" si="1677"/>
        <v>reg</v>
      </c>
      <c r="CY1271" t="s">
        <v>235</v>
      </c>
      <c r="DB1271">
        <v>80</v>
      </c>
      <c r="DC1271" t="str">
        <f t="shared" si="1678"/>
        <v>71-100</v>
      </c>
      <c r="DD1271">
        <v>0</v>
      </c>
      <c r="DE1271">
        <v>1</v>
      </c>
      <c r="DF1271">
        <v>0</v>
      </c>
      <c r="DG1271">
        <v>0</v>
      </c>
      <c r="DI1271">
        <f t="shared" si="1654"/>
        <v>1</v>
      </c>
      <c r="DJ1271" t="str">
        <f t="shared" si="1679"/>
        <v>EnergyInput</v>
      </c>
      <c r="DK1271">
        <f t="shared" si="1655"/>
        <v>0</v>
      </c>
      <c r="DL1271" t="str">
        <f t="shared" si="1656"/>
        <v>Energy</v>
      </c>
      <c r="DM1271">
        <f t="shared" si="1657"/>
        <v>0</v>
      </c>
      <c r="DN1271">
        <f t="shared" si="1658"/>
        <v>0</v>
      </c>
      <c r="DO1271">
        <v>0</v>
      </c>
      <c r="DP1271">
        <v>1</v>
      </c>
      <c r="DQ1271" t="s">
        <v>2145</v>
      </c>
      <c r="DR1271">
        <v>0</v>
      </c>
      <c r="DS1271">
        <v>0</v>
      </c>
      <c r="DT1271">
        <f t="shared" si="1660"/>
        <v>1</v>
      </c>
      <c r="DU1271" s="143" t="str">
        <f t="shared" si="1659"/>
        <v>external DF used</v>
      </c>
      <c r="DV1271">
        <v>1</v>
      </c>
      <c r="DW1271">
        <v>1</v>
      </c>
      <c r="DX1271">
        <v>1</v>
      </c>
      <c r="DY1271">
        <v>1</v>
      </c>
      <c r="DZ1271">
        <v>1</v>
      </c>
      <c r="EA1271">
        <v>0</v>
      </c>
      <c r="EB1271">
        <v>1</v>
      </c>
      <c r="EC1271">
        <v>1</v>
      </c>
      <c r="ED1271">
        <v>0</v>
      </c>
      <c r="EE1271">
        <v>0</v>
      </c>
      <c r="EF1271">
        <v>1</v>
      </c>
      <c r="EG1271">
        <v>0</v>
      </c>
      <c r="EH1271">
        <v>0</v>
      </c>
      <c r="EI1271" s="2">
        <v>0</v>
      </c>
      <c r="EK1271" t="str">
        <f t="shared" si="1680"/>
        <v>Whole sector</v>
      </c>
      <c r="EL1271" t="str">
        <f t="shared" si="1681"/>
        <v/>
      </c>
      <c r="EM1271" s="2" t="str">
        <f t="shared" si="1662"/>
        <v/>
      </c>
      <c r="EP1271" t="b">
        <f>IF(ISNUMBER(BU1271),IF(ABS(BU1271-[4]QC_indicators!$B$2)&gt;3*[4]QC_indicators!$C$2,"C ratio",IF(ISNUMBER(BY1271),IF(ABS(BY1271-[4]QC_indicators!$B$1)&gt;3*[4]QC_indicators!$C$1,"DF","no"))),IF(ISNUMBER(BY1271),IF(ABS(BY1271-[4]QC_indicators!$B$1)&gt;3*[4]QC_indicators!$C$1,"DF","no")))</f>
        <v>0</v>
      </c>
      <c r="ER1271" s="294" t="s">
        <v>2170</v>
      </c>
      <c r="ET1271" s="264" t="s">
        <v>3406</v>
      </c>
    </row>
    <row r="1272" spans="1:150" ht="15" hidden="1" customHeight="1">
      <c r="A1272" s="1" t="s">
        <v>1359</v>
      </c>
      <c r="B1272" t="s">
        <v>2134</v>
      </c>
      <c r="C1272" t="s">
        <v>2135</v>
      </c>
      <c r="D1272" t="s">
        <v>2136</v>
      </c>
      <c r="E1272" t="s">
        <v>2137</v>
      </c>
      <c r="F1272" t="s">
        <v>2138</v>
      </c>
      <c r="G1272" t="s">
        <v>1365</v>
      </c>
      <c r="H1272" t="s">
        <v>254</v>
      </c>
      <c r="I1272">
        <v>2012</v>
      </c>
      <c r="J1272">
        <v>21</v>
      </c>
      <c r="K1272" t="s">
        <v>2139</v>
      </c>
      <c r="L1272" s="192"/>
      <c r="M1272" t="str">
        <f t="shared" si="1630"/>
        <v>Pyorala_2012</v>
      </c>
      <c r="N1272" t="s">
        <v>222</v>
      </c>
      <c r="O1272" s="145" t="s">
        <v>341</v>
      </c>
      <c r="Q1272" s="264" t="s">
        <v>256</v>
      </c>
      <c r="R1272" s="269" t="s">
        <v>1153</v>
      </c>
      <c r="S1272" s="1" t="s">
        <v>2179</v>
      </c>
      <c r="T1272" t="s">
        <v>798</v>
      </c>
      <c r="U1272" t="s">
        <v>2167</v>
      </c>
      <c r="V1272">
        <v>0</v>
      </c>
      <c r="W1272">
        <v>0</v>
      </c>
      <c r="X1272">
        <v>0</v>
      </c>
      <c r="Y1272">
        <v>0</v>
      </c>
      <c r="Z1272">
        <v>0</v>
      </c>
      <c r="AA1272">
        <v>0</v>
      </c>
      <c r="AB1272">
        <v>0</v>
      </c>
      <c r="AC1272">
        <v>0</v>
      </c>
      <c r="AD1272">
        <v>0</v>
      </c>
      <c r="AE1272">
        <v>0</v>
      </c>
      <c r="AF1272">
        <v>0</v>
      </c>
      <c r="AG1272">
        <v>0</v>
      </c>
      <c r="AH1272">
        <v>0</v>
      </c>
      <c r="AI1272">
        <v>0</v>
      </c>
      <c r="AJ1272">
        <v>0</v>
      </c>
      <c r="AK1272">
        <v>1</v>
      </c>
      <c r="AL1272">
        <v>0</v>
      </c>
      <c r="AM1272">
        <v>0</v>
      </c>
      <c r="AN1272">
        <v>0</v>
      </c>
      <c r="AO1272">
        <v>0</v>
      </c>
      <c r="AP1272">
        <v>0</v>
      </c>
      <c r="AQ1272">
        <v>0</v>
      </c>
      <c r="AR1272">
        <v>0</v>
      </c>
      <c r="AS1272">
        <v>0</v>
      </c>
      <c r="AT1272">
        <v>0</v>
      </c>
      <c r="AU1272">
        <v>0</v>
      </c>
      <c r="AV1272">
        <v>0</v>
      </c>
      <c r="AW1272">
        <v>0</v>
      </c>
      <c r="AX1272" s="141">
        <f t="shared" si="1665"/>
        <v>1</v>
      </c>
      <c r="AY1272" s="141">
        <f t="shared" si="1666"/>
        <v>1</v>
      </c>
      <c r="AZ1272">
        <f t="shared" si="1667"/>
        <v>0</v>
      </c>
      <c r="BA1272">
        <f t="shared" si="1668"/>
        <v>0</v>
      </c>
      <c r="BB1272">
        <f t="shared" si="1669"/>
        <v>1</v>
      </c>
      <c r="BC1272">
        <f t="shared" si="1670"/>
        <v>0</v>
      </c>
      <c r="BD1272">
        <f t="shared" si="1671"/>
        <v>0</v>
      </c>
      <c r="BE1272" t="str" cm="1">
        <f t="array" ref="BE1272">IF(AY1272=1,INDEX($V$7:$AL$7,MATCH(TRUE,INDEX($V1272:$AW1272&lt;&gt;0,),0)),IF(AY1272=0,INDEX($AM$7:$AW$7,MATCH(1,$AM1272:$AW1272,0)),IF(BF1272="Multiple strategies","mixed drivers",IF(BF1272="Supply chain","multiple supply","multiple silviculture"))))</f>
        <v>technologies/design switch</v>
      </c>
      <c r="BF1272" s="2" t="str" cm="1">
        <f t="array" ref="BF1272">IF(COUNTIF(AZ1272:BB1272,"&lt;&gt;0")=1,INDEX($V$4:$AW$4,MATCH(TRUE,INDEX($V1272:$AW1272&lt;&gt;0,),0)),IF(COUNTIF(AZ1272:BB1272,"&lt;&gt;0")=0,INDEX($AM$4:$AW$4,MATCH(1,$AM1272:$AW1272,0)),"Multiple strategies"))</f>
        <v>Technology</v>
      </c>
      <c r="BH1272" t="s">
        <v>2168</v>
      </c>
      <c r="BN1272" s="143"/>
      <c r="BP1272" s="264" t="s">
        <v>232</v>
      </c>
      <c r="BQ1272" s="264"/>
      <c r="BR1272" t="s">
        <v>2169</v>
      </c>
      <c r="BS1272">
        <v>-157</v>
      </c>
      <c r="BT1272">
        <v>-162</v>
      </c>
      <c r="BU1272" s="144">
        <v>0.47507331378299122</v>
      </c>
      <c r="BV1272">
        <v>179</v>
      </c>
      <c r="BX1272">
        <f t="shared" si="1663"/>
        <v>0.17899999999999999</v>
      </c>
      <c r="BY1272" t="str">
        <f t="shared" si="1661"/>
        <v/>
      </c>
      <c r="BZ1272">
        <v>0</v>
      </c>
      <c r="CA1272">
        <v>0</v>
      </c>
      <c r="CB1272">
        <v>0</v>
      </c>
      <c r="CC1272">
        <v>0</v>
      </c>
      <c r="CD1272">
        <v>0</v>
      </c>
      <c r="CE1272">
        <v>0</v>
      </c>
      <c r="CF1272">
        <v>0</v>
      </c>
      <c r="CG1272">
        <v>0</v>
      </c>
      <c r="CH1272">
        <v>0</v>
      </c>
      <c r="CI1272">
        <v>0</v>
      </c>
      <c r="CJ1272">
        <v>0</v>
      </c>
      <c r="CK1272">
        <v>0</v>
      </c>
      <c r="CL1272">
        <v>0</v>
      </c>
      <c r="CM1272">
        <v>0</v>
      </c>
      <c r="CN1272" t="str">
        <f t="shared" si="1664"/>
        <v>refOK</v>
      </c>
      <c r="CO1272"/>
      <c r="CP1272"/>
      <c r="CQ1272"/>
      <c r="CR1272">
        <f t="shared" si="1672"/>
        <v>-157</v>
      </c>
      <c r="CS1272">
        <f t="shared" si="1673"/>
        <v>-162</v>
      </c>
      <c r="CT1272">
        <f t="shared" si="1674"/>
        <v>0.17899999999999999</v>
      </c>
      <c r="CU1272" t="str">
        <f t="shared" si="1675"/>
        <v/>
      </c>
      <c r="CV1272" s="2">
        <f t="shared" si="1676"/>
        <v>-3.1847133757961783E-2</v>
      </c>
      <c r="CW1272" s="1" t="s">
        <v>1198</v>
      </c>
      <c r="CX1272" s="264" t="str">
        <f t="shared" si="1677"/>
        <v>reg</v>
      </c>
      <c r="CY1272" t="s">
        <v>235</v>
      </c>
      <c r="DB1272">
        <v>80</v>
      </c>
      <c r="DC1272" t="str">
        <f t="shared" si="1678"/>
        <v>71-100</v>
      </c>
      <c r="DD1272">
        <v>0</v>
      </c>
      <c r="DE1272">
        <v>1</v>
      </c>
      <c r="DF1272">
        <v>0</v>
      </c>
      <c r="DG1272">
        <v>0</v>
      </c>
      <c r="DI1272">
        <f t="shared" si="1654"/>
        <v>1</v>
      </c>
      <c r="DJ1272" t="str">
        <f t="shared" si="1679"/>
        <v>EnergyInput</v>
      </c>
      <c r="DK1272">
        <f t="shared" si="1655"/>
        <v>0</v>
      </c>
      <c r="DL1272" t="str">
        <f t="shared" si="1656"/>
        <v>Energy</v>
      </c>
      <c r="DM1272">
        <f t="shared" si="1657"/>
        <v>0</v>
      </c>
      <c r="DN1272">
        <f t="shared" si="1658"/>
        <v>0</v>
      </c>
      <c r="DO1272">
        <v>0</v>
      </c>
      <c r="DP1272">
        <v>1</v>
      </c>
      <c r="DQ1272" t="s">
        <v>2145</v>
      </c>
      <c r="DR1272">
        <v>0</v>
      </c>
      <c r="DS1272">
        <v>0</v>
      </c>
      <c r="DT1272">
        <f t="shared" si="1660"/>
        <v>1</v>
      </c>
      <c r="DU1272" s="143" t="str">
        <f t="shared" si="1659"/>
        <v>external DF used</v>
      </c>
      <c r="DV1272">
        <v>1</v>
      </c>
      <c r="DW1272">
        <v>1</v>
      </c>
      <c r="DX1272">
        <v>1</v>
      </c>
      <c r="DY1272">
        <v>1</v>
      </c>
      <c r="DZ1272">
        <v>1</v>
      </c>
      <c r="EA1272">
        <v>0</v>
      </c>
      <c r="EB1272">
        <v>1</v>
      </c>
      <c r="EC1272">
        <v>1</v>
      </c>
      <c r="ED1272">
        <v>0</v>
      </c>
      <c r="EE1272">
        <v>0</v>
      </c>
      <c r="EF1272">
        <v>1</v>
      </c>
      <c r="EG1272">
        <v>0</v>
      </c>
      <c r="EH1272">
        <v>0</v>
      </c>
      <c r="EI1272" s="2">
        <v>0</v>
      </c>
      <c r="EK1272" t="str">
        <f t="shared" si="1680"/>
        <v>Whole sector</v>
      </c>
      <c r="EL1272" t="str">
        <f t="shared" si="1681"/>
        <v/>
      </c>
      <c r="EM1272" s="2" t="str">
        <f t="shared" si="1662"/>
        <v/>
      </c>
      <c r="EP1272" t="b">
        <f>IF(ISNUMBER(BU1272),IF(ABS(BU1272-[4]QC_indicators!$B$2)&gt;3*[4]QC_indicators!$C$2,"C ratio",IF(ISNUMBER(BY1272),IF(ABS(BY1272-[4]QC_indicators!$B$1)&gt;3*[4]QC_indicators!$C$1,"DF","no"))),IF(ISNUMBER(BY1272),IF(ABS(BY1272-[4]QC_indicators!$B$1)&gt;3*[4]QC_indicators!$C$1,"DF","no")))</f>
        <v>0</v>
      </c>
      <c r="ER1272" s="294" t="s">
        <v>2170</v>
      </c>
      <c r="ET1272" s="264" t="s">
        <v>3406</v>
      </c>
    </row>
    <row r="1273" spans="1:150" ht="15" hidden="1" customHeight="1">
      <c r="A1273" s="1" t="s">
        <v>1359</v>
      </c>
      <c r="B1273" t="s">
        <v>2134</v>
      </c>
      <c r="C1273" t="s">
        <v>2135</v>
      </c>
      <c r="D1273" t="s">
        <v>2136</v>
      </c>
      <c r="E1273" t="s">
        <v>2137</v>
      </c>
      <c r="F1273" t="s">
        <v>2138</v>
      </c>
      <c r="G1273" t="s">
        <v>1365</v>
      </c>
      <c r="H1273" t="s">
        <v>254</v>
      </c>
      <c r="I1273">
        <v>2012</v>
      </c>
      <c r="J1273">
        <v>21</v>
      </c>
      <c r="K1273" t="s">
        <v>2139</v>
      </c>
      <c r="L1273" s="192"/>
      <c r="M1273" t="str">
        <f t="shared" si="1630"/>
        <v>Pyorala_2012</v>
      </c>
      <c r="N1273" t="s">
        <v>222</v>
      </c>
      <c r="O1273" s="145" t="s">
        <v>341</v>
      </c>
      <c r="Q1273" s="264" t="s">
        <v>256</v>
      </c>
      <c r="R1273" s="269" t="s">
        <v>1153</v>
      </c>
      <c r="S1273" s="1" t="s">
        <v>2180</v>
      </c>
      <c r="T1273" t="s">
        <v>798</v>
      </c>
      <c r="U1273" t="s">
        <v>2167</v>
      </c>
      <c r="V1273">
        <v>0</v>
      </c>
      <c r="W1273">
        <v>0</v>
      </c>
      <c r="X1273">
        <v>0</v>
      </c>
      <c r="Y1273">
        <v>0</v>
      </c>
      <c r="Z1273">
        <v>0</v>
      </c>
      <c r="AA1273">
        <v>0</v>
      </c>
      <c r="AB1273">
        <v>0</v>
      </c>
      <c r="AC1273">
        <v>0</v>
      </c>
      <c r="AD1273">
        <v>0</v>
      </c>
      <c r="AE1273">
        <v>0</v>
      </c>
      <c r="AF1273">
        <v>0</v>
      </c>
      <c r="AG1273">
        <v>0</v>
      </c>
      <c r="AH1273">
        <v>0</v>
      </c>
      <c r="AI1273">
        <v>0</v>
      </c>
      <c r="AJ1273">
        <v>0</v>
      </c>
      <c r="AK1273">
        <v>1</v>
      </c>
      <c r="AL1273">
        <v>0</v>
      </c>
      <c r="AM1273">
        <v>0</v>
      </c>
      <c r="AN1273">
        <v>0</v>
      </c>
      <c r="AO1273">
        <v>0</v>
      </c>
      <c r="AP1273">
        <v>0</v>
      </c>
      <c r="AQ1273">
        <v>0</v>
      </c>
      <c r="AR1273">
        <v>0</v>
      </c>
      <c r="AS1273">
        <v>0</v>
      </c>
      <c r="AT1273">
        <v>0</v>
      </c>
      <c r="AU1273">
        <v>0</v>
      </c>
      <c r="AV1273">
        <v>0</v>
      </c>
      <c r="AW1273">
        <v>0</v>
      </c>
      <c r="AX1273" s="141">
        <f t="shared" si="1665"/>
        <v>1</v>
      </c>
      <c r="AY1273" s="141">
        <f t="shared" si="1666"/>
        <v>1</v>
      </c>
      <c r="AZ1273">
        <f t="shared" si="1667"/>
        <v>0</v>
      </c>
      <c r="BA1273">
        <f t="shared" si="1668"/>
        <v>0</v>
      </c>
      <c r="BB1273">
        <f t="shared" si="1669"/>
        <v>1</v>
      </c>
      <c r="BC1273">
        <f t="shared" si="1670"/>
        <v>0</v>
      </c>
      <c r="BD1273">
        <f t="shared" si="1671"/>
        <v>0</v>
      </c>
      <c r="BE1273" t="str" cm="1">
        <f t="array" ref="BE1273">IF(AY1273=1,INDEX($V$7:$AL$7,MATCH(TRUE,INDEX($V1273:$AW1273&lt;&gt;0,),0)),IF(AY1273=0,INDEX($AM$7:$AW$7,MATCH(1,$AM1273:$AW1273,0)),IF(BF1273="Multiple strategies","mixed drivers",IF(BF1273="Supply chain","multiple supply","multiple silviculture"))))</f>
        <v>technologies/design switch</v>
      </c>
      <c r="BF1273" s="2" t="str" cm="1">
        <f t="array" ref="BF1273">IF(COUNTIF(AZ1273:BB1273,"&lt;&gt;0")=1,INDEX($V$4:$AW$4,MATCH(TRUE,INDEX($V1273:$AW1273&lt;&gt;0,),0)),IF(COUNTIF(AZ1273:BB1273,"&lt;&gt;0")=0,INDEX($AM$4:$AW$4,MATCH(1,$AM1273:$AW1273,0)),"Multiple strategies"))</f>
        <v>Technology</v>
      </c>
      <c r="BH1273" t="s">
        <v>2168</v>
      </c>
      <c r="BN1273" s="143"/>
      <c r="BP1273" s="264" t="s">
        <v>232</v>
      </c>
      <c r="BQ1273" s="264"/>
      <c r="BR1273" t="s">
        <v>2169</v>
      </c>
      <c r="BS1273">
        <v>-157</v>
      </c>
      <c r="BT1273">
        <v>-179</v>
      </c>
      <c r="BU1273" s="144">
        <v>0.52492668621700878</v>
      </c>
      <c r="BV1273">
        <v>162</v>
      </c>
      <c r="BX1273">
        <f t="shared" si="1663"/>
        <v>0.16200000000000001</v>
      </c>
      <c r="BY1273" t="str">
        <f t="shared" si="1661"/>
        <v/>
      </c>
      <c r="BZ1273">
        <v>0</v>
      </c>
      <c r="CA1273">
        <v>0</v>
      </c>
      <c r="CB1273">
        <v>0</v>
      </c>
      <c r="CC1273">
        <v>0</v>
      </c>
      <c r="CD1273">
        <v>0</v>
      </c>
      <c r="CE1273">
        <v>0</v>
      </c>
      <c r="CF1273">
        <v>0</v>
      </c>
      <c r="CG1273">
        <v>0</v>
      </c>
      <c r="CH1273">
        <v>0</v>
      </c>
      <c r="CI1273">
        <v>0</v>
      </c>
      <c r="CJ1273">
        <v>0</v>
      </c>
      <c r="CK1273">
        <v>0</v>
      </c>
      <c r="CL1273">
        <v>0</v>
      </c>
      <c r="CM1273">
        <v>0</v>
      </c>
      <c r="CN1273" t="str">
        <f t="shared" si="1664"/>
        <v>refOK</v>
      </c>
      <c r="CO1273"/>
      <c r="CP1273"/>
      <c r="CQ1273"/>
      <c r="CR1273">
        <f t="shared" si="1672"/>
        <v>-157</v>
      </c>
      <c r="CS1273">
        <f t="shared" si="1673"/>
        <v>-179</v>
      </c>
      <c r="CT1273">
        <f t="shared" si="1674"/>
        <v>0.16200000000000001</v>
      </c>
      <c r="CU1273" t="str">
        <f t="shared" si="1675"/>
        <v/>
      </c>
      <c r="CV1273" s="2">
        <f t="shared" si="1676"/>
        <v>-0.14012738853503184</v>
      </c>
      <c r="CW1273" s="1" t="s">
        <v>1198</v>
      </c>
      <c r="CX1273" s="264" t="str">
        <f t="shared" si="1677"/>
        <v>reg</v>
      </c>
      <c r="CY1273" t="s">
        <v>235</v>
      </c>
      <c r="DB1273">
        <v>80</v>
      </c>
      <c r="DC1273" t="str">
        <f t="shared" si="1678"/>
        <v>71-100</v>
      </c>
      <c r="DD1273">
        <v>0</v>
      </c>
      <c r="DE1273">
        <v>1</v>
      </c>
      <c r="DF1273">
        <v>0</v>
      </c>
      <c r="DG1273">
        <v>0</v>
      </c>
      <c r="DI1273">
        <f t="shared" si="1654"/>
        <v>1</v>
      </c>
      <c r="DJ1273" t="str">
        <f t="shared" si="1679"/>
        <v>EnergyInput</v>
      </c>
      <c r="DK1273">
        <f t="shared" si="1655"/>
        <v>0</v>
      </c>
      <c r="DL1273" t="str">
        <f t="shared" si="1656"/>
        <v>Energy</v>
      </c>
      <c r="DM1273">
        <f t="shared" si="1657"/>
        <v>0</v>
      </c>
      <c r="DN1273">
        <f t="shared" si="1658"/>
        <v>0</v>
      </c>
      <c r="DO1273">
        <v>0</v>
      </c>
      <c r="DP1273">
        <v>1</v>
      </c>
      <c r="DQ1273" t="s">
        <v>2145</v>
      </c>
      <c r="DR1273">
        <v>0</v>
      </c>
      <c r="DS1273">
        <v>0</v>
      </c>
      <c r="DT1273">
        <f t="shared" si="1660"/>
        <v>1</v>
      </c>
      <c r="DU1273" s="143" t="str">
        <f t="shared" si="1659"/>
        <v>external DF used</v>
      </c>
      <c r="DV1273">
        <v>1</v>
      </c>
      <c r="DW1273">
        <v>1</v>
      </c>
      <c r="DX1273">
        <v>1</v>
      </c>
      <c r="DY1273">
        <v>1</v>
      </c>
      <c r="DZ1273">
        <v>1</v>
      </c>
      <c r="EA1273">
        <v>0</v>
      </c>
      <c r="EB1273">
        <v>1</v>
      </c>
      <c r="EC1273">
        <v>1</v>
      </c>
      <c r="ED1273">
        <v>0</v>
      </c>
      <c r="EE1273">
        <v>0</v>
      </c>
      <c r="EF1273">
        <v>1</v>
      </c>
      <c r="EG1273">
        <v>0</v>
      </c>
      <c r="EH1273">
        <v>0</v>
      </c>
      <c r="EI1273" s="2">
        <v>0</v>
      </c>
      <c r="EK1273" t="str">
        <f t="shared" si="1680"/>
        <v>Whole sector</v>
      </c>
      <c r="EL1273" t="str">
        <f t="shared" si="1681"/>
        <v/>
      </c>
      <c r="EM1273" s="2" t="str">
        <f t="shared" si="1662"/>
        <v/>
      </c>
      <c r="EP1273" t="b">
        <f>IF(ISNUMBER(BU1273),IF(ABS(BU1273-[4]QC_indicators!$B$2)&gt;3*[4]QC_indicators!$C$2,"C ratio",IF(ISNUMBER(BY1273),IF(ABS(BY1273-[4]QC_indicators!$B$1)&gt;3*[4]QC_indicators!$C$1,"DF","no"))),IF(ISNUMBER(BY1273),IF(ABS(BY1273-[4]QC_indicators!$B$1)&gt;3*[4]QC_indicators!$C$1,"DF","no")))</f>
        <v>0</v>
      </c>
      <c r="ER1273" s="294" t="s">
        <v>2170</v>
      </c>
      <c r="ET1273" s="264" t="s">
        <v>3406</v>
      </c>
    </row>
    <row r="1274" spans="1:150" ht="15" hidden="1" customHeight="1">
      <c r="A1274" s="1" t="s">
        <v>1359</v>
      </c>
      <c r="B1274" t="s">
        <v>2134</v>
      </c>
      <c r="C1274" t="s">
        <v>2135</v>
      </c>
      <c r="D1274" t="s">
        <v>2136</v>
      </c>
      <c r="E1274" t="s">
        <v>2137</v>
      </c>
      <c r="F1274" t="s">
        <v>2138</v>
      </c>
      <c r="G1274" t="s">
        <v>1365</v>
      </c>
      <c r="H1274" t="s">
        <v>254</v>
      </c>
      <c r="I1274">
        <v>2012</v>
      </c>
      <c r="J1274">
        <v>21</v>
      </c>
      <c r="K1274" t="s">
        <v>2139</v>
      </c>
      <c r="L1274" s="192"/>
      <c r="M1274" t="str">
        <f t="shared" si="1630"/>
        <v>Pyorala_2012</v>
      </c>
      <c r="N1274" t="s">
        <v>222</v>
      </c>
      <c r="O1274" s="145" t="s">
        <v>341</v>
      </c>
      <c r="Q1274" s="264" t="s">
        <v>256</v>
      </c>
      <c r="R1274" s="269" t="s">
        <v>1153</v>
      </c>
      <c r="S1274" s="1" t="s">
        <v>2181</v>
      </c>
      <c r="T1274" t="s">
        <v>798</v>
      </c>
      <c r="U1274" t="s">
        <v>2167</v>
      </c>
      <c r="V1274">
        <v>0</v>
      </c>
      <c r="W1274">
        <v>0</v>
      </c>
      <c r="X1274">
        <v>0</v>
      </c>
      <c r="Y1274">
        <v>0</v>
      </c>
      <c r="Z1274">
        <v>0</v>
      </c>
      <c r="AA1274">
        <v>0</v>
      </c>
      <c r="AB1274">
        <v>0</v>
      </c>
      <c r="AC1274">
        <v>0</v>
      </c>
      <c r="AD1274">
        <v>0</v>
      </c>
      <c r="AE1274">
        <v>0</v>
      </c>
      <c r="AF1274">
        <v>0</v>
      </c>
      <c r="AG1274">
        <v>0</v>
      </c>
      <c r="AH1274">
        <v>0</v>
      </c>
      <c r="AI1274">
        <v>0</v>
      </c>
      <c r="AJ1274">
        <v>0</v>
      </c>
      <c r="AK1274">
        <v>1</v>
      </c>
      <c r="AL1274">
        <v>0</v>
      </c>
      <c r="AM1274">
        <v>0</v>
      </c>
      <c r="AN1274">
        <v>0</v>
      </c>
      <c r="AO1274">
        <v>0</v>
      </c>
      <c r="AP1274">
        <v>0</v>
      </c>
      <c r="AQ1274">
        <v>0</v>
      </c>
      <c r="AR1274">
        <v>0</v>
      </c>
      <c r="AS1274">
        <v>0</v>
      </c>
      <c r="AT1274">
        <v>0</v>
      </c>
      <c r="AU1274">
        <v>0</v>
      </c>
      <c r="AV1274">
        <v>0</v>
      </c>
      <c r="AW1274">
        <v>0</v>
      </c>
      <c r="AX1274" s="141">
        <f t="shared" si="1665"/>
        <v>1</v>
      </c>
      <c r="AY1274" s="141">
        <f t="shared" si="1666"/>
        <v>1</v>
      </c>
      <c r="AZ1274">
        <f t="shared" si="1667"/>
        <v>0</v>
      </c>
      <c r="BA1274">
        <f t="shared" si="1668"/>
        <v>0</v>
      </c>
      <c r="BB1274">
        <f t="shared" si="1669"/>
        <v>1</v>
      </c>
      <c r="BC1274">
        <f t="shared" si="1670"/>
        <v>0</v>
      </c>
      <c r="BD1274">
        <f t="shared" si="1671"/>
        <v>0</v>
      </c>
      <c r="BE1274" t="str" cm="1">
        <f t="array" ref="BE1274">IF(AY1274=1,INDEX($V$7:$AL$7,MATCH(TRUE,INDEX($V1274:$AW1274&lt;&gt;0,),0)),IF(AY1274=0,INDEX($AM$7:$AW$7,MATCH(1,$AM1274:$AW1274,0)),IF(BF1274="Multiple strategies","mixed drivers",IF(BF1274="Supply chain","multiple supply","multiple silviculture"))))</f>
        <v>technologies/design switch</v>
      </c>
      <c r="BF1274" s="2" t="str" cm="1">
        <f t="array" ref="BF1274">IF(COUNTIF(AZ1274:BB1274,"&lt;&gt;0")=1,INDEX($V$4:$AW$4,MATCH(TRUE,INDEX($V1274:$AW1274&lt;&gt;0,),0)),IF(COUNTIF(AZ1274:BB1274,"&lt;&gt;0")=0,INDEX($AM$4:$AW$4,MATCH(1,$AM1274:$AW1274,0)),"Multiple strategies"))</f>
        <v>Technology</v>
      </c>
      <c r="BH1274" t="s">
        <v>2168</v>
      </c>
      <c r="BN1274" s="143"/>
      <c r="BP1274" s="264" t="s">
        <v>232</v>
      </c>
      <c r="BQ1274" s="264"/>
      <c r="BR1274" t="s">
        <v>2169</v>
      </c>
      <c r="BS1274">
        <v>-157</v>
      </c>
      <c r="BT1274">
        <v>-180</v>
      </c>
      <c r="BU1274" s="144">
        <v>0.52785923753665687</v>
      </c>
      <c r="BV1274">
        <v>161</v>
      </c>
      <c r="BX1274">
        <f t="shared" si="1663"/>
        <v>0.161</v>
      </c>
      <c r="BY1274" t="str">
        <f t="shared" si="1661"/>
        <v/>
      </c>
      <c r="BZ1274">
        <v>0</v>
      </c>
      <c r="CA1274">
        <v>0</v>
      </c>
      <c r="CB1274">
        <v>0</v>
      </c>
      <c r="CC1274">
        <v>0</v>
      </c>
      <c r="CD1274">
        <v>0</v>
      </c>
      <c r="CE1274">
        <v>0</v>
      </c>
      <c r="CF1274">
        <v>0</v>
      </c>
      <c r="CG1274">
        <v>0</v>
      </c>
      <c r="CH1274">
        <v>0</v>
      </c>
      <c r="CI1274">
        <v>0</v>
      </c>
      <c r="CJ1274">
        <v>0</v>
      </c>
      <c r="CK1274">
        <v>0</v>
      </c>
      <c r="CL1274">
        <v>0</v>
      </c>
      <c r="CM1274">
        <v>0</v>
      </c>
      <c r="CN1274" t="str">
        <f t="shared" si="1664"/>
        <v>refOK</v>
      </c>
      <c r="CO1274"/>
      <c r="CP1274"/>
      <c r="CQ1274"/>
      <c r="CR1274">
        <f t="shared" si="1672"/>
        <v>-157</v>
      </c>
      <c r="CS1274">
        <f t="shared" si="1673"/>
        <v>-180</v>
      </c>
      <c r="CT1274">
        <f t="shared" si="1674"/>
        <v>0.161</v>
      </c>
      <c r="CU1274" t="str">
        <f t="shared" si="1675"/>
        <v/>
      </c>
      <c r="CV1274" s="2">
        <f t="shared" si="1676"/>
        <v>-0.1464968152866242</v>
      </c>
      <c r="CW1274" s="1" t="s">
        <v>1198</v>
      </c>
      <c r="CX1274" s="264" t="str">
        <f t="shared" si="1677"/>
        <v>reg</v>
      </c>
      <c r="CY1274" t="s">
        <v>235</v>
      </c>
      <c r="DB1274">
        <v>80</v>
      </c>
      <c r="DC1274" t="str">
        <f t="shared" si="1678"/>
        <v>71-100</v>
      </c>
      <c r="DD1274">
        <v>0</v>
      </c>
      <c r="DE1274">
        <v>1</v>
      </c>
      <c r="DF1274">
        <v>0</v>
      </c>
      <c r="DG1274">
        <v>0</v>
      </c>
      <c r="DI1274">
        <f t="shared" si="1654"/>
        <v>1</v>
      </c>
      <c r="DJ1274" t="str">
        <f t="shared" si="1679"/>
        <v>EnergyInput</v>
      </c>
      <c r="DK1274">
        <f t="shared" si="1655"/>
        <v>0</v>
      </c>
      <c r="DL1274" t="str">
        <f t="shared" si="1656"/>
        <v>Energy</v>
      </c>
      <c r="DM1274">
        <f t="shared" si="1657"/>
        <v>0</v>
      </c>
      <c r="DN1274">
        <f t="shared" si="1658"/>
        <v>0</v>
      </c>
      <c r="DO1274">
        <v>0</v>
      </c>
      <c r="DP1274">
        <v>1</v>
      </c>
      <c r="DQ1274" t="s">
        <v>2145</v>
      </c>
      <c r="DR1274">
        <v>0</v>
      </c>
      <c r="DS1274">
        <v>0</v>
      </c>
      <c r="DT1274">
        <f t="shared" si="1660"/>
        <v>1</v>
      </c>
      <c r="DU1274" s="143" t="str">
        <f t="shared" si="1659"/>
        <v>external DF used</v>
      </c>
      <c r="DV1274">
        <v>1</v>
      </c>
      <c r="DW1274">
        <v>1</v>
      </c>
      <c r="DX1274">
        <v>1</v>
      </c>
      <c r="DY1274">
        <v>1</v>
      </c>
      <c r="DZ1274">
        <v>1</v>
      </c>
      <c r="EA1274">
        <v>0</v>
      </c>
      <c r="EB1274">
        <v>1</v>
      </c>
      <c r="EC1274">
        <v>1</v>
      </c>
      <c r="ED1274">
        <v>0</v>
      </c>
      <c r="EE1274">
        <v>0</v>
      </c>
      <c r="EF1274">
        <v>1</v>
      </c>
      <c r="EG1274">
        <v>0</v>
      </c>
      <c r="EH1274">
        <v>0</v>
      </c>
      <c r="EI1274" s="2">
        <v>0</v>
      </c>
      <c r="EK1274" t="str">
        <f t="shared" si="1680"/>
        <v>Whole sector</v>
      </c>
      <c r="EL1274" t="str">
        <f t="shared" si="1681"/>
        <v/>
      </c>
      <c r="EM1274" s="2" t="str">
        <f t="shared" si="1662"/>
        <v/>
      </c>
      <c r="EP1274" t="b">
        <f>IF(ISNUMBER(BU1274),IF(ABS(BU1274-[4]QC_indicators!$B$2)&gt;3*[4]QC_indicators!$C$2,"C ratio",IF(ISNUMBER(BY1274),IF(ABS(BY1274-[4]QC_indicators!$B$1)&gt;3*[4]QC_indicators!$C$1,"DF","no"))),IF(ISNUMBER(BY1274),IF(ABS(BY1274-[4]QC_indicators!$B$1)&gt;3*[4]QC_indicators!$C$1,"DF","no")))</f>
        <v>0</v>
      </c>
      <c r="ER1274" s="294" t="s">
        <v>2170</v>
      </c>
      <c r="ET1274" s="264" t="s">
        <v>3406</v>
      </c>
    </row>
    <row r="1275" spans="1:150" ht="15" hidden="1" customHeight="1">
      <c r="A1275" s="1" t="s">
        <v>1359</v>
      </c>
      <c r="B1275" t="s">
        <v>2134</v>
      </c>
      <c r="C1275" t="s">
        <v>2135</v>
      </c>
      <c r="D1275" t="s">
        <v>2136</v>
      </c>
      <c r="E1275" t="s">
        <v>2137</v>
      </c>
      <c r="F1275" t="s">
        <v>2138</v>
      </c>
      <c r="G1275" t="s">
        <v>1365</v>
      </c>
      <c r="H1275" t="s">
        <v>254</v>
      </c>
      <c r="I1275">
        <v>2012</v>
      </c>
      <c r="J1275">
        <v>21</v>
      </c>
      <c r="K1275" t="s">
        <v>2139</v>
      </c>
      <c r="L1275" s="192"/>
      <c r="M1275" t="str">
        <f t="shared" si="1630"/>
        <v>Pyorala_2012</v>
      </c>
      <c r="N1275" t="s">
        <v>222</v>
      </c>
      <c r="O1275" s="145" t="s">
        <v>341</v>
      </c>
      <c r="Q1275" s="264" t="s">
        <v>256</v>
      </c>
      <c r="R1275" s="269" t="s">
        <v>1153</v>
      </c>
      <c r="S1275" s="1" t="s">
        <v>2182</v>
      </c>
      <c r="T1275" t="s">
        <v>798</v>
      </c>
      <c r="U1275" t="s">
        <v>2167</v>
      </c>
      <c r="V1275">
        <v>0</v>
      </c>
      <c r="W1275">
        <v>0</v>
      </c>
      <c r="X1275">
        <v>0</v>
      </c>
      <c r="Y1275">
        <v>0</v>
      </c>
      <c r="Z1275">
        <v>0</v>
      </c>
      <c r="AA1275">
        <v>0</v>
      </c>
      <c r="AB1275">
        <v>0</v>
      </c>
      <c r="AC1275">
        <v>0</v>
      </c>
      <c r="AD1275">
        <v>0</v>
      </c>
      <c r="AE1275">
        <v>0</v>
      </c>
      <c r="AF1275">
        <v>0</v>
      </c>
      <c r="AG1275">
        <v>0</v>
      </c>
      <c r="AH1275">
        <v>0</v>
      </c>
      <c r="AI1275">
        <v>0</v>
      </c>
      <c r="AJ1275">
        <v>0</v>
      </c>
      <c r="AK1275">
        <v>1</v>
      </c>
      <c r="AL1275">
        <v>0</v>
      </c>
      <c r="AM1275">
        <v>0</v>
      </c>
      <c r="AN1275">
        <v>0</v>
      </c>
      <c r="AO1275">
        <v>0</v>
      </c>
      <c r="AP1275">
        <v>0</v>
      </c>
      <c r="AQ1275">
        <v>0</v>
      </c>
      <c r="AR1275">
        <v>0</v>
      </c>
      <c r="AS1275">
        <v>0</v>
      </c>
      <c r="AT1275">
        <v>0</v>
      </c>
      <c r="AU1275">
        <v>0</v>
      </c>
      <c r="AV1275">
        <v>0</v>
      </c>
      <c r="AW1275">
        <v>0</v>
      </c>
      <c r="AX1275" s="141">
        <f t="shared" si="1665"/>
        <v>1</v>
      </c>
      <c r="AY1275" s="141">
        <f t="shared" si="1666"/>
        <v>1</v>
      </c>
      <c r="AZ1275">
        <f t="shared" si="1667"/>
        <v>0</v>
      </c>
      <c r="BA1275">
        <f t="shared" si="1668"/>
        <v>0</v>
      </c>
      <c r="BB1275">
        <f t="shared" si="1669"/>
        <v>1</v>
      </c>
      <c r="BC1275">
        <f t="shared" si="1670"/>
        <v>0</v>
      </c>
      <c r="BD1275">
        <f t="shared" si="1671"/>
        <v>0</v>
      </c>
      <c r="BE1275" t="str" cm="1">
        <f t="array" ref="BE1275">IF(AY1275=1,INDEX($V$7:$AL$7,MATCH(TRUE,INDEX($V1275:$AW1275&lt;&gt;0,),0)),IF(AY1275=0,INDEX($AM$7:$AW$7,MATCH(1,$AM1275:$AW1275,0)),IF(BF1275="Multiple strategies","mixed drivers",IF(BF1275="Supply chain","multiple supply","multiple silviculture"))))</f>
        <v>technologies/design switch</v>
      </c>
      <c r="BF1275" s="2" t="str" cm="1">
        <f t="array" ref="BF1275">IF(COUNTIF(AZ1275:BB1275,"&lt;&gt;0")=1,INDEX($V$4:$AW$4,MATCH(TRUE,INDEX($V1275:$AW1275&lt;&gt;0,),0)),IF(COUNTIF(AZ1275:BB1275,"&lt;&gt;0")=0,INDEX($AM$4:$AW$4,MATCH(1,$AM1275:$AW1275,0)),"Multiple strategies"))</f>
        <v>Technology</v>
      </c>
      <c r="BH1275" t="s">
        <v>2168</v>
      </c>
      <c r="BN1275" s="143"/>
      <c r="BP1275" s="264" t="s">
        <v>232</v>
      </c>
      <c r="BQ1275" s="264"/>
      <c r="BR1275" t="s">
        <v>2169</v>
      </c>
      <c r="BS1275">
        <v>-157</v>
      </c>
      <c r="BT1275">
        <v>-182</v>
      </c>
      <c r="BU1275" s="144">
        <v>0.53372434017595305</v>
      </c>
      <c r="BV1275">
        <v>159</v>
      </c>
      <c r="BX1275">
        <f t="shared" si="1663"/>
        <v>0.159</v>
      </c>
      <c r="BY1275" t="str">
        <f t="shared" si="1661"/>
        <v/>
      </c>
      <c r="BZ1275">
        <v>0</v>
      </c>
      <c r="CA1275">
        <v>0</v>
      </c>
      <c r="CB1275">
        <v>0</v>
      </c>
      <c r="CC1275">
        <v>0</v>
      </c>
      <c r="CD1275">
        <v>0</v>
      </c>
      <c r="CE1275">
        <v>0</v>
      </c>
      <c r="CF1275">
        <v>0</v>
      </c>
      <c r="CG1275">
        <v>0</v>
      </c>
      <c r="CH1275">
        <v>0</v>
      </c>
      <c r="CI1275">
        <v>0</v>
      </c>
      <c r="CJ1275">
        <v>0</v>
      </c>
      <c r="CK1275">
        <v>0</v>
      </c>
      <c r="CL1275">
        <v>0</v>
      </c>
      <c r="CM1275">
        <v>0</v>
      </c>
      <c r="CN1275" t="str">
        <f t="shared" si="1664"/>
        <v>refOK</v>
      </c>
      <c r="CO1275"/>
      <c r="CP1275"/>
      <c r="CQ1275"/>
      <c r="CR1275">
        <f t="shared" si="1672"/>
        <v>-157</v>
      </c>
      <c r="CS1275">
        <f t="shared" si="1673"/>
        <v>-182</v>
      </c>
      <c r="CT1275">
        <f t="shared" si="1674"/>
        <v>0.159</v>
      </c>
      <c r="CU1275" t="str">
        <f t="shared" si="1675"/>
        <v/>
      </c>
      <c r="CV1275" s="2">
        <f t="shared" si="1676"/>
        <v>-0.15923566878980891</v>
      </c>
      <c r="CW1275" s="1" t="s">
        <v>1198</v>
      </c>
      <c r="CX1275" s="264" t="str">
        <f t="shared" si="1677"/>
        <v>reg</v>
      </c>
      <c r="CY1275" t="s">
        <v>235</v>
      </c>
      <c r="DB1275">
        <v>80</v>
      </c>
      <c r="DC1275" t="str">
        <f t="shared" si="1678"/>
        <v>71-100</v>
      </c>
      <c r="DD1275">
        <v>0</v>
      </c>
      <c r="DE1275">
        <v>1</v>
      </c>
      <c r="DF1275">
        <v>0</v>
      </c>
      <c r="DG1275">
        <v>0</v>
      </c>
      <c r="DI1275">
        <f t="shared" si="1654"/>
        <v>1</v>
      </c>
      <c r="DJ1275" t="str">
        <f t="shared" si="1679"/>
        <v>EnergyInput</v>
      </c>
      <c r="DK1275">
        <f t="shared" si="1655"/>
        <v>0</v>
      </c>
      <c r="DL1275" t="str">
        <f t="shared" si="1656"/>
        <v>Energy</v>
      </c>
      <c r="DM1275">
        <f t="shared" si="1657"/>
        <v>0</v>
      </c>
      <c r="DN1275">
        <f t="shared" si="1658"/>
        <v>0</v>
      </c>
      <c r="DO1275">
        <v>0</v>
      </c>
      <c r="DP1275">
        <v>1</v>
      </c>
      <c r="DQ1275" t="s">
        <v>2145</v>
      </c>
      <c r="DR1275">
        <v>0</v>
      </c>
      <c r="DS1275">
        <v>0</v>
      </c>
      <c r="DT1275">
        <f t="shared" si="1660"/>
        <v>1</v>
      </c>
      <c r="DU1275" s="143" t="str">
        <f t="shared" si="1659"/>
        <v>external DF used</v>
      </c>
      <c r="DV1275">
        <v>1</v>
      </c>
      <c r="DW1275">
        <v>1</v>
      </c>
      <c r="DX1275">
        <v>1</v>
      </c>
      <c r="DY1275">
        <v>1</v>
      </c>
      <c r="DZ1275">
        <v>1</v>
      </c>
      <c r="EA1275">
        <v>0</v>
      </c>
      <c r="EB1275">
        <v>1</v>
      </c>
      <c r="EC1275">
        <v>1</v>
      </c>
      <c r="ED1275">
        <v>0</v>
      </c>
      <c r="EE1275">
        <v>0</v>
      </c>
      <c r="EF1275">
        <v>1</v>
      </c>
      <c r="EG1275">
        <v>0</v>
      </c>
      <c r="EH1275">
        <v>0</v>
      </c>
      <c r="EI1275" s="2">
        <v>0</v>
      </c>
      <c r="EK1275" t="str">
        <f t="shared" si="1680"/>
        <v>Whole sector</v>
      </c>
      <c r="EL1275" t="str">
        <f t="shared" si="1681"/>
        <v/>
      </c>
      <c r="EM1275" s="2" t="str">
        <f t="shared" si="1662"/>
        <v/>
      </c>
      <c r="EP1275" t="b">
        <f>IF(ISNUMBER(BU1275),IF(ABS(BU1275-[4]QC_indicators!$B$2)&gt;3*[4]QC_indicators!$C$2,"C ratio",IF(ISNUMBER(BY1275),IF(ABS(BY1275-[4]QC_indicators!$B$1)&gt;3*[4]QC_indicators!$C$1,"DF","no"))),IF(ISNUMBER(BY1275),IF(ABS(BY1275-[4]QC_indicators!$B$1)&gt;3*[4]QC_indicators!$C$1,"DF","no")))</f>
        <v>0</v>
      </c>
      <c r="ER1275" s="294" t="s">
        <v>2170</v>
      </c>
      <c r="ET1275" s="264" t="s">
        <v>3406</v>
      </c>
    </row>
    <row r="1276" spans="1:150" ht="15" hidden="1" customHeight="1">
      <c r="A1276" s="1" t="s">
        <v>1359</v>
      </c>
      <c r="B1276" t="s">
        <v>2134</v>
      </c>
      <c r="C1276" t="s">
        <v>2135</v>
      </c>
      <c r="D1276" t="s">
        <v>2136</v>
      </c>
      <c r="E1276" t="s">
        <v>2137</v>
      </c>
      <c r="F1276" t="s">
        <v>2138</v>
      </c>
      <c r="G1276" t="s">
        <v>1365</v>
      </c>
      <c r="H1276" t="s">
        <v>254</v>
      </c>
      <c r="I1276">
        <v>2012</v>
      </c>
      <c r="J1276">
        <v>21</v>
      </c>
      <c r="K1276" t="s">
        <v>2139</v>
      </c>
      <c r="M1276" t="str">
        <f t="shared" si="1630"/>
        <v>Pyorala_2012</v>
      </c>
      <c r="N1276" t="s">
        <v>222</v>
      </c>
      <c r="O1276" s="145" t="s">
        <v>341</v>
      </c>
      <c r="Q1276" s="264" t="s">
        <v>256</v>
      </c>
      <c r="R1276" s="269" t="s">
        <v>1153</v>
      </c>
      <c r="S1276" s="1" t="s">
        <v>2183</v>
      </c>
      <c r="T1276" t="s">
        <v>798</v>
      </c>
      <c r="U1276" t="s">
        <v>2167</v>
      </c>
      <c r="V1276">
        <v>0</v>
      </c>
      <c r="W1276">
        <v>0</v>
      </c>
      <c r="X1276">
        <v>0</v>
      </c>
      <c r="Y1276">
        <v>0</v>
      </c>
      <c r="Z1276">
        <v>0</v>
      </c>
      <c r="AA1276">
        <v>0</v>
      </c>
      <c r="AB1276">
        <v>0</v>
      </c>
      <c r="AC1276">
        <v>0</v>
      </c>
      <c r="AD1276">
        <v>0</v>
      </c>
      <c r="AE1276">
        <v>0</v>
      </c>
      <c r="AF1276">
        <v>0</v>
      </c>
      <c r="AG1276">
        <v>0</v>
      </c>
      <c r="AH1276">
        <v>0</v>
      </c>
      <c r="AI1276">
        <v>0</v>
      </c>
      <c r="AJ1276">
        <v>0</v>
      </c>
      <c r="AK1276">
        <v>1</v>
      </c>
      <c r="AL1276">
        <v>0</v>
      </c>
      <c r="AM1276">
        <v>0</v>
      </c>
      <c r="AN1276">
        <v>0</v>
      </c>
      <c r="AO1276">
        <v>0</v>
      </c>
      <c r="AP1276">
        <v>0</v>
      </c>
      <c r="AQ1276">
        <v>0</v>
      </c>
      <c r="AR1276">
        <v>0</v>
      </c>
      <c r="AS1276">
        <v>0</v>
      </c>
      <c r="AT1276">
        <v>0</v>
      </c>
      <c r="AU1276">
        <v>0</v>
      </c>
      <c r="AV1276">
        <v>0</v>
      </c>
      <c r="AW1276">
        <v>0</v>
      </c>
      <c r="AX1276" s="141">
        <f t="shared" si="1665"/>
        <v>1</v>
      </c>
      <c r="AY1276" s="141">
        <f t="shared" si="1666"/>
        <v>1</v>
      </c>
      <c r="AZ1276">
        <f t="shared" si="1667"/>
        <v>0</v>
      </c>
      <c r="BA1276">
        <f t="shared" si="1668"/>
        <v>0</v>
      </c>
      <c r="BB1276">
        <f t="shared" si="1669"/>
        <v>1</v>
      </c>
      <c r="BC1276">
        <f t="shared" si="1670"/>
        <v>0</v>
      </c>
      <c r="BD1276">
        <f t="shared" si="1671"/>
        <v>0</v>
      </c>
      <c r="BE1276" t="str" cm="1">
        <f t="array" ref="BE1276">IF(AY1276=1,INDEX($V$7:$AL$7,MATCH(TRUE,INDEX($V1276:$AW1276&lt;&gt;0,),0)),IF(AY1276=0,INDEX($AM$7:$AW$7,MATCH(1,$AM1276:$AW1276,0)),IF(BF1276="Multiple strategies","mixed drivers",IF(BF1276="Supply chain","multiple supply","multiple silviculture"))))</f>
        <v>technologies/design switch</v>
      </c>
      <c r="BF1276" s="2" t="str" cm="1">
        <f t="array" ref="BF1276">IF(COUNTIF(AZ1276:BB1276,"&lt;&gt;0")=1,INDEX($V$4:$AW$4,MATCH(TRUE,INDEX($V1276:$AW1276&lt;&gt;0,),0)),IF(COUNTIF(AZ1276:BB1276,"&lt;&gt;0")=0,INDEX($AM$4:$AW$4,MATCH(1,$AM1276:$AW1276,0)),"Multiple strategies"))</f>
        <v>Technology</v>
      </c>
      <c r="BH1276" t="s">
        <v>2168</v>
      </c>
      <c r="BN1276" s="143"/>
      <c r="BP1276" s="264" t="s">
        <v>232</v>
      </c>
      <c r="BQ1276" s="264"/>
      <c r="BR1276" t="s">
        <v>2169</v>
      </c>
      <c r="BS1276">
        <v>-157</v>
      </c>
      <c r="BT1276">
        <v>-185</v>
      </c>
      <c r="BU1276" s="144">
        <v>0.54252199413489732</v>
      </c>
      <c r="BV1276">
        <v>156</v>
      </c>
      <c r="BX1276">
        <f t="shared" si="1663"/>
        <v>0.156</v>
      </c>
      <c r="BY1276" t="str">
        <f t="shared" si="1661"/>
        <v/>
      </c>
      <c r="BZ1276">
        <v>0</v>
      </c>
      <c r="CA1276">
        <v>0</v>
      </c>
      <c r="CB1276">
        <v>0</v>
      </c>
      <c r="CC1276">
        <v>0</v>
      </c>
      <c r="CD1276">
        <v>0</v>
      </c>
      <c r="CE1276">
        <v>0</v>
      </c>
      <c r="CF1276">
        <v>0</v>
      </c>
      <c r="CG1276">
        <v>0</v>
      </c>
      <c r="CH1276">
        <v>0</v>
      </c>
      <c r="CI1276">
        <v>0</v>
      </c>
      <c r="CJ1276">
        <v>0</v>
      </c>
      <c r="CK1276">
        <v>0</v>
      </c>
      <c r="CL1276">
        <v>0</v>
      </c>
      <c r="CM1276">
        <v>0</v>
      </c>
      <c r="CN1276" t="str">
        <f t="shared" si="1664"/>
        <v>refOK</v>
      </c>
      <c r="CO1276"/>
      <c r="CP1276"/>
      <c r="CQ1276"/>
      <c r="CR1276">
        <f t="shared" si="1672"/>
        <v>-157</v>
      </c>
      <c r="CS1276">
        <f t="shared" si="1673"/>
        <v>-185</v>
      </c>
      <c r="CT1276">
        <f t="shared" si="1674"/>
        <v>0.156</v>
      </c>
      <c r="CU1276" t="str">
        <f t="shared" si="1675"/>
        <v/>
      </c>
      <c r="CV1276" s="2">
        <f t="shared" si="1676"/>
        <v>-0.17834394904458598</v>
      </c>
      <c r="CW1276" s="1" t="s">
        <v>1198</v>
      </c>
      <c r="CX1276" s="264" t="str">
        <f t="shared" si="1677"/>
        <v>reg</v>
      </c>
      <c r="CY1276" t="s">
        <v>235</v>
      </c>
      <c r="DB1276">
        <v>80</v>
      </c>
      <c r="DC1276" t="str">
        <f t="shared" si="1678"/>
        <v>71-100</v>
      </c>
      <c r="DD1276">
        <v>0</v>
      </c>
      <c r="DE1276">
        <v>1</v>
      </c>
      <c r="DF1276">
        <v>0</v>
      </c>
      <c r="DG1276">
        <v>0</v>
      </c>
      <c r="DI1276">
        <f t="shared" si="1654"/>
        <v>1</v>
      </c>
      <c r="DJ1276" t="str">
        <f t="shared" si="1679"/>
        <v>EnergyInput</v>
      </c>
      <c r="DK1276">
        <f t="shared" si="1655"/>
        <v>0</v>
      </c>
      <c r="DL1276" t="str">
        <f t="shared" si="1656"/>
        <v>Energy</v>
      </c>
      <c r="DM1276">
        <f t="shared" si="1657"/>
        <v>0</v>
      </c>
      <c r="DN1276">
        <f t="shared" si="1658"/>
        <v>0</v>
      </c>
      <c r="DO1276">
        <v>0</v>
      </c>
      <c r="DP1276">
        <v>1</v>
      </c>
      <c r="DQ1276" t="s">
        <v>2145</v>
      </c>
      <c r="DR1276">
        <v>0</v>
      </c>
      <c r="DS1276">
        <v>0</v>
      </c>
      <c r="DT1276">
        <f t="shared" si="1660"/>
        <v>1</v>
      </c>
      <c r="DU1276" s="143" t="str">
        <f t="shared" si="1659"/>
        <v>external DF used</v>
      </c>
      <c r="DV1276">
        <v>1</v>
      </c>
      <c r="DW1276">
        <v>1</v>
      </c>
      <c r="DX1276">
        <v>1</v>
      </c>
      <c r="DY1276">
        <v>1</v>
      </c>
      <c r="DZ1276">
        <v>1</v>
      </c>
      <c r="EA1276">
        <v>0</v>
      </c>
      <c r="EB1276">
        <v>1</v>
      </c>
      <c r="EC1276">
        <v>1</v>
      </c>
      <c r="ED1276">
        <v>0</v>
      </c>
      <c r="EE1276">
        <v>0</v>
      </c>
      <c r="EF1276">
        <v>1</v>
      </c>
      <c r="EG1276">
        <v>0</v>
      </c>
      <c r="EH1276">
        <v>0</v>
      </c>
      <c r="EI1276" s="2">
        <v>0</v>
      </c>
      <c r="EK1276" t="str">
        <f t="shared" si="1680"/>
        <v>Whole sector</v>
      </c>
      <c r="EL1276" t="str">
        <f t="shared" si="1681"/>
        <v/>
      </c>
      <c r="EM1276" s="2" t="str">
        <f t="shared" si="1662"/>
        <v/>
      </c>
      <c r="EP1276" t="b">
        <f>IF(ISNUMBER(BU1276),IF(ABS(BU1276-[4]QC_indicators!$B$2)&gt;3*[4]QC_indicators!$C$2,"C ratio",IF(ISNUMBER(BY1276),IF(ABS(BY1276-[4]QC_indicators!$B$1)&gt;3*[4]QC_indicators!$C$1,"DF","no"))),IF(ISNUMBER(BY1276),IF(ABS(BY1276-[4]QC_indicators!$B$1)&gt;3*[4]QC_indicators!$C$1,"DF","no")))</f>
        <v>0</v>
      </c>
      <c r="ER1276" s="294" t="s">
        <v>2170</v>
      </c>
      <c r="ET1276" s="264" t="s">
        <v>3406</v>
      </c>
    </row>
    <row r="1277" spans="1:150" ht="15" hidden="1" customHeight="1">
      <c r="A1277" s="1" t="s">
        <v>1359</v>
      </c>
      <c r="B1277" t="s">
        <v>2134</v>
      </c>
      <c r="C1277" t="s">
        <v>2135</v>
      </c>
      <c r="D1277" t="s">
        <v>2136</v>
      </c>
      <c r="E1277" t="s">
        <v>2137</v>
      </c>
      <c r="F1277" t="s">
        <v>2138</v>
      </c>
      <c r="G1277" t="s">
        <v>1365</v>
      </c>
      <c r="H1277" t="s">
        <v>254</v>
      </c>
      <c r="I1277">
        <v>2012</v>
      </c>
      <c r="J1277">
        <v>21</v>
      </c>
      <c r="K1277" t="s">
        <v>2139</v>
      </c>
      <c r="L1277" s="192"/>
      <c r="M1277" t="str">
        <f t="shared" si="1630"/>
        <v>Pyorala_2012</v>
      </c>
      <c r="N1277" t="s">
        <v>222</v>
      </c>
      <c r="O1277" s="145" t="s">
        <v>341</v>
      </c>
      <c r="Q1277" s="264" t="s">
        <v>256</v>
      </c>
      <c r="R1277" s="269" t="s">
        <v>1153</v>
      </c>
      <c r="S1277" s="1" t="s">
        <v>2184</v>
      </c>
      <c r="T1277" t="s">
        <v>798</v>
      </c>
      <c r="U1277" t="s">
        <v>2167</v>
      </c>
      <c r="V1277">
        <v>0</v>
      </c>
      <c r="W1277">
        <v>0</v>
      </c>
      <c r="X1277">
        <v>0</v>
      </c>
      <c r="Y1277">
        <v>0</v>
      </c>
      <c r="Z1277">
        <v>0</v>
      </c>
      <c r="AA1277">
        <v>0</v>
      </c>
      <c r="AB1277">
        <v>0</v>
      </c>
      <c r="AC1277">
        <v>0</v>
      </c>
      <c r="AD1277">
        <v>0</v>
      </c>
      <c r="AE1277">
        <v>0</v>
      </c>
      <c r="AF1277">
        <v>0</v>
      </c>
      <c r="AG1277">
        <v>0</v>
      </c>
      <c r="AH1277">
        <v>0</v>
      </c>
      <c r="AI1277">
        <v>0</v>
      </c>
      <c r="AJ1277">
        <v>0</v>
      </c>
      <c r="AK1277">
        <v>1</v>
      </c>
      <c r="AL1277">
        <v>0</v>
      </c>
      <c r="AM1277">
        <v>0</v>
      </c>
      <c r="AN1277">
        <v>0</v>
      </c>
      <c r="AO1277">
        <v>0</v>
      </c>
      <c r="AP1277">
        <v>0</v>
      </c>
      <c r="AQ1277">
        <v>0</v>
      </c>
      <c r="AR1277">
        <v>0</v>
      </c>
      <c r="AS1277">
        <v>0</v>
      </c>
      <c r="AT1277">
        <v>0</v>
      </c>
      <c r="AU1277">
        <v>0</v>
      </c>
      <c r="AV1277">
        <v>0</v>
      </c>
      <c r="AW1277">
        <v>0</v>
      </c>
      <c r="AX1277" s="141">
        <f t="shared" si="1665"/>
        <v>1</v>
      </c>
      <c r="AY1277" s="141">
        <f t="shared" si="1666"/>
        <v>1</v>
      </c>
      <c r="AZ1277">
        <f t="shared" si="1667"/>
        <v>0</v>
      </c>
      <c r="BA1277">
        <f t="shared" si="1668"/>
        <v>0</v>
      </c>
      <c r="BB1277">
        <f t="shared" si="1669"/>
        <v>1</v>
      </c>
      <c r="BC1277">
        <f t="shared" si="1670"/>
        <v>0</v>
      </c>
      <c r="BD1277">
        <f t="shared" si="1671"/>
        <v>0</v>
      </c>
      <c r="BE1277" t="str" cm="1">
        <f t="array" ref="BE1277">IF(AY1277=1,INDEX($V$7:$AL$7,MATCH(TRUE,INDEX($V1277:$AW1277&lt;&gt;0,),0)),IF(AY1277=0,INDEX($AM$7:$AW$7,MATCH(1,$AM1277:$AW1277,0)),IF(BF1277="Multiple strategies","mixed drivers",IF(BF1277="Supply chain","multiple supply","multiple silviculture"))))</f>
        <v>technologies/design switch</v>
      </c>
      <c r="BF1277" s="2" t="str" cm="1">
        <f t="array" ref="BF1277">IF(COUNTIF(AZ1277:BB1277,"&lt;&gt;0")=1,INDEX($V$4:$AW$4,MATCH(TRUE,INDEX($V1277:$AW1277&lt;&gt;0,),0)),IF(COUNTIF(AZ1277:BB1277,"&lt;&gt;0")=0,INDEX($AM$4:$AW$4,MATCH(1,$AM1277:$AW1277,0)),"Multiple strategies"))</f>
        <v>Technology</v>
      </c>
      <c r="BH1277" t="s">
        <v>2168</v>
      </c>
      <c r="BN1277" s="143"/>
      <c r="BP1277" s="264" t="s">
        <v>232</v>
      </c>
      <c r="BQ1277" s="264"/>
      <c r="BR1277" t="s">
        <v>2169</v>
      </c>
      <c r="BS1277">
        <v>-157</v>
      </c>
      <c r="BT1277">
        <v>-187</v>
      </c>
      <c r="BU1277" s="144">
        <v>0.54838709677419351</v>
      </c>
      <c r="BV1277">
        <v>154</v>
      </c>
      <c r="BX1277">
        <f t="shared" si="1663"/>
        <v>0.154</v>
      </c>
      <c r="BY1277" t="str">
        <f t="shared" si="1661"/>
        <v/>
      </c>
      <c r="BZ1277">
        <v>0</v>
      </c>
      <c r="CA1277">
        <v>0</v>
      </c>
      <c r="CB1277">
        <v>0</v>
      </c>
      <c r="CC1277">
        <v>0</v>
      </c>
      <c r="CD1277">
        <v>0</v>
      </c>
      <c r="CE1277">
        <v>0</v>
      </c>
      <c r="CF1277">
        <v>0</v>
      </c>
      <c r="CG1277">
        <v>0</v>
      </c>
      <c r="CH1277">
        <v>0</v>
      </c>
      <c r="CI1277">
        <v>0</v>
      </c>
      <c r="CJ1277">
        <v>0</v>
      </c>
      <c r="CK1277">
        <v>0</v>
      </c>
      <c r="CL1277">
        <v>0</v>
      </c>
      <c r="CM1277">
        <v>0</v>
      </c>
      <c r="CN1277" t="str">
        <f t="shared" si="1664"/>
        <v>refOK</v>
      </c>
      <c r="CO1277"/>
      <c r="CP1277"/>
      <c r="CQ1277"/>
      <c r="CR1277">
        <f t="shared" si="1672"/>
        <v>-157</v>
      </c>
      <c r="CS1277">
        <f t="shared" si="1673"/>
        <v>-187</v>
      </c>
      <c r="CT1277">
        <f t="shared" si="1674"/>
        <v>0.154</v>
      </c>
      <c r="CU1277" t="str">
        <f t="shared" si="1675"/>
        <v/>
      </c>
      <c r="CV1277" s="2">
        <f t="shared" si="1676"/>
        <v>-0.19108280254777071</v>
      </c>
      <c r="CW1277" s="1" t="s">
        <v>1198</v>
      </c>
      <c r="CX1277" s="264" t="str">
        <f t="shared" si="1677"/>
        <v>reg</v>
      </c>
      <c r="CY1277" t="s">
        <v>235</v>
      </c>
      <c r="DB1277">
        <v>80</v>
      </c>
      <c r="DC1277" t="str">
        <f t="shared" si="1678"/>
        <v>71-100</v>
      </c>
      <c r="DD1277">
        <v>0</v>
      </c>
      <c r="DE1277">
        <v>1</v>
      </c>
      <c r="DF1277">
        <v>0</v>
      </c>
      <c r="DG1277">
        <v>0</v>
      </c>
      <c r="DI1277">
        <f t="shared" ref="DI1277:DI1308" si="1682">SUM(DD1277:DG1277)</f>
        <v>1</v>
      </c>
      <c r="DJ1277" t="str">
        <f t="shared" si="1679"/>
        <v>EnergyInput</v>
      </c>
      <c r="DK1277">
        <f t="shared" ref="DK1277:DK1308" si="1683">IF(DD1277=1,DK$7,0)</f>
        <v>0</v>
      </c>
      <c r="DL1277" t="str">
        <f t="shared" ref="DL1277:DL1308" si="1684">IF(DE1277=1,DL$7,0)</f>
        <v>Energy</v>
      </c>
      <c r="DM1277">
        <f t="shared" ref="DM1277:DM1308" si="1685">IF(DF1277=1,DM$7,0)</f>
        <v>0</v>
      </c>
      <c r="DN1277">
        <f t="shared" ref="DN1277:DN1308" si="1686">IF(DG1277=1,DN$7,0)</f>
        <v>0</v>
      </c>
      <c r="DO1277">
        <v>0</v>
      </c>
      <c r="DP1277">
        <v>1</v>
      </c>
      <c r="DQ1277" t="s">
        <v>2145</v>
      </c>
      <c r="DR1277">
        <v>0</v>
      </c>
      <c r="DS1277">
        <v>0</v>
      </c>
      <c r="DT1277">
        <f t="shared" si="1660"/>
        <v>1</v>
      </c>
      <c r="DU1277" s="143" t="str">
        <f t="shared" si="1659"/>
        <v>external DF used</v>
      </c>
      <c r="DV1277">
        <v>1</v>
      </c>
      <c r="DW1277">
        <v>1</v>
      </c>
      <c r="DX1277">
        <v>1</v>
      </c>
      <c r="DY1277">
        <v>1</v>
      </c>
      <c r="DZ1277">
        <v>1</v>
      </c>
      <c r="EA1277">
        <v>0</v>
      </c>
      <c r="EB1277">
        <v>1</v>
      </c>
      <c r="EC1277">
        <v>1</v>
      </c>
      <c r="ED1277">
        <v>0</v>
      </c>
      <c r="EE1277">
        <v>0</v>
      </c>
      <c r="EF1277">
        <v>1</v>
      </c>
      <c r="EG1277">
        <v>0</v>
      </c>
      <c r="EH1277">
        <v>0</v>
      </c>
      <c r="EI1277" s="2">
        <v>0</v>
      </c>
      <c r="EK1277" t="str">
        <f t="shared" si="1680"/>
        <v>Whole sector</v>
      </c>
      <c r="EL1277" t="str">
        <f t="shared" si="1681"/>
        <v/>
      </c>
      <c r="EM1277" s="2" t="str">
        <f t="shared" si="1662"/>
        <v/>
      </c>
      <c r="EP1277" t="b">
        <f>IF(ISNUMBER(BU1277),IF(ABS(BU1277-[4]QC_indicators!$B$2)&gt;3*[4]QC_indicators!$C$2,"C ratio",IF(ISNUMBER(BY1277),IF(ABS(BY1277-[4]QC_indicators!$B$1)&gt;3*[4]QC_indicators!$C$1,"DF","no"))),IF(ISNUMBER(BY1277),IF(ABS(BY1277-[4]QC_indicators!$B$1)&gt;3*[4]QC_indicators!$C$1,"DF","no")))</f>
        <v>0</v>
      </c>
      <c r="ER1277" s="294" t="s">
        <v>2170</v>
      </c>
      <c r="ET1277" s="264" t="s">
        <v>3406</v>
      </c>
    </row>
    <row r="1278" spans="1:150" ht="15" hidden="1" customHeight="1">
      <c r="A1278" s="1" t="s">
        <v>1359</v>
      </c>
      <c r="B1278" t="s">
        <v>2134</v>
      </c>
      <c r="C1278" t="s">
        <v>2135</v>
      </c>
      <c r="D1278" t="s">
        <v>2136</v>
      </c>
      <c r="E1278" t="s">
        <v>2137</v>
      </c>
      <c r="F1278" t="s">
        <v>2138</v>
      </c>
      <c r="G1278" t="s">
        <v>1365</v>
      </c>
      <c r="H1278" t="s">
        <v>254</v>
      </c>
      <c r="I1278">
        <v>2012</v>
      </c>
      <c r="J1278">
        <v>21</v>
      </c>
      <c r="K1278" t="s">
        <v>2139</v>
      </c>
      <c r="M1278" t="str">
        <f t="shared" si="1630"/>
        <v>Pyorala_2012</v>
      </c>
      <c r="N1278" t="s">
        <v>222</v>
      </c>
      <c r="O1278" s="145" t="s">
        <v>341</v>
      </c>
      <c r="Q1278" s="264" t="s">
        <v>256</v>
      </c>
      <c r="R1278" s="269" t="s">
        <v>1153</v>
      </c>
      <c r="S1278" s="1" t="s">
        <v>2185</v>
      </c>
      <c r="T1278" t="s">
        <v>798</v>
      </c>
      <c r="U1278" t="s">
        <v>2167</v>
      </c>
      <c r="V1278">
        <v>0</v>
      </c>
      <c r="W1278">
        <v>0</v>
      </c>
      <c r="X1278">
        <v>0</v>
      </c>
      <c r="Y1278">
        <v>0</v>
      </c>
      <c r="Z1278">
        <v>0</v>
      </c>
      <c r="AA1278">
        <v>0</v>
      </c>
      <c r="AB1278">
        <v>0</v>
      </c>
      <c r="AC1278">
        <v>0</v>
      </c>
      <c r="AD1278">
        <v>0</v>
      </c>
      <c r="AE1278">
        <v>0</v>
      </c>
      <c r="AF1278">
        <v>0</v>
      </c>
      <c r="AG1278">
        <v>0</v>
      </c>
      <c r="AH1278">
        <v>0</v>
      </c>
      <c r="AI1278">
        <v>0</v>
      </c>
      <c r="AJ1278">
        <v>0</v>
      </c>
      <c r="AK1278">
        <v>1</v>
      </c>
      <c r="AL1278">
        <v>0</v>
      </c>
      <c r="AM1278">
        <v>0</v>
      </c>
      <c r="AN1278">
        <v>0</v>
      </c>
      <c r="AO1278">
        <v>0</v>
      </c>
      <c r="AP1278">
        <v>0</v>
      </c>
      <c r="AQ1278">
        <v>0</v>
      </c>
      <c r="AR1278">
        <v>0</v>
      </c>
      <c r="AS1278">
        <v>0</v>
      </c>
      <c r="AT1278">
        <v>0</v>
      </c>
      <c r="AU1278">
        <v>0</v>
      </c>
      <c r="AV1278">
        <v>0</v>
      </c>
      <c r="AW1278">
        <v>0</v>
      </c>
      <c r="AX1278" s="141">
        <f t="shared" si="1665"/>
        <v>1</v>
      </c>
      <c r="AY1278" s="141">
        <f t="shared" si="1666"/>
        <v>1</v>
      </c>
      <c r="AZ1278">
        <f t="shared" si="1667"/>
        <v>0</v>
      </c>
      <c r="BA1278">
        <f t="shared" si="1668"/>
        <v>0</v>
      </c>
      <c r="BB1278">
        <f t="shared" si="1669"/>
        <v>1</v>
      </c>
      <c r="BC1278">
        <f t="shared" si="1670"/>
        <v>0</v>
      </c>
      <c r="BD1278">
        <f t="shared" si="1671"/>
        <v>0</v>
      </c>
      <c r="BE1278" t="str" cm="1">
        <f t="array" ref="BE1278">IF(AY1278=1,INDEX($V$7:$AL$7,MATCH(TRUE,INDEX($V1278:$AW1278&lt;&gt;0,),0)),IF(AY1278=0,INDEX($AM$7:$AW$7,MATCH(1,$AM1278:$AW1278,0)),IF(BF1278="Multiple strategies","mixed drivers",IF(BF1278="Supply chain","multiple supply","multiple silviculture"))))</f>
        <v>technologies/design switch</v>
      </c>
      <c r="BF1278" s="2" t="str" cm="1">
        <f t="array" ref="BF1278">IF(COUNTIF(AZ1278:BB1278,"&lt;&gt;0")=1,INDEX($V$4:$AW$4,MATCH(TRUE,INDEX($V1278:$AW1278&lt;&gt;0,),0)),IF(COUNTIF(AZ1278:BB1278,"&lt;&gt;0")=0,INDEX($AM$4:$AW$4,MATCH(1,$AM1278:$AW1278,0)),"Multiple strategies"))</f>
        <v>Technology</v>
      </c>
      <c r="BH1278" t="s">
        <v>2168</v>
      </c>
      <c r="BN1278" s="143"/>
      <c r="BP1278" s="264" t="s">
        <v>232</v>
      </c>
      <c r="BQ1278" s="264"/>
      <c r="BR1278" t="s">
        <v>2169</v>
      </c>
      <c r="BS1278">
        <v>-157</v>
      </c>
      <c r="BT1278">
        <v>-191</v>
      </c>
      <c r="BU1278" s="144">
        <v>0.56011730205278587</v>
      </c>
      <c r="BV1278">
        <v>150</v>
      </c>
      <c r="BX1278">
        <f t="shared" si="1663"/>
        <v>0.15</v>
      </c>
      <c r="BY1278" t="str">
        <f t="shared" si="1661"/>
        <v/>
      </c>
      <c r="BZ1278">
        <v>0</v>
      </c>
      <c r="CA1278">
        <v>0</v>
      </c>
      <c r="CB1278">
        <v>0</v>
      </c>
      <c r="CC1278">
        <v>0</v>
      </c>
      <c r="CD1278">
        <v>0</v>
      </c>
      <c r="CE1278">
        <v>0</v>
      </c>
      <c r="CF1278">
        <v>0</v>
      </c>
      <c r="CG1278">
        <v>0</v>
      </c>
      <c r="CH1278">
        <v>0</v>
      </c>
      <c r="CI1278">
        <v>0</v>
      </c>
      <c r="CJ1278">
        <v>0</v>
      </c>
      <c r="CK1278">
        <v>0</v>
      </c>
      <c r="CL1278">
        <v>0</v>
      </c>
      <c r="CM1278">
        <v>0</v>
      </c>
      <c r="CN1278" t="str">
        <f t="shared" si="1664"/>
        <v>refOK</v>
      </c>
      <c r="CO1278"/>
      <c r="CP1278"/>
      <c r="CQ1278"/>
      <c r="CR1278">
        <f t="shared" si="1672"/>
        <v>-157</v>
      </c>
      <c r="CS1278">
        <f t="shared" si="1673"/>
        <v>-191</v>
      </c>
      <c r="CT1278">
        <f t="shared" si="1674"/>
        <v>0.15</v>
      </c>
      <c r="CU1278" t="str">
        <f t="shared" si="1675"/>
        <v/>
      </c>
      <c r="CV1278" s="2">
        <f t="shared" si="1676"/>
        <v>-0.21656050955414013</v>
      </c>
      <c r="CW1278" s="1" t="s">
        <v>1198</v>
      </c>
      <c r="CX1278" s="264" t="str">
        <f t="shared" si="1677"/>
        <v>reg</v>
      </c>
      <c r="CY1278" t="s">
        <v>235</v>
      </c>
      <c r="DB1278">
        <v>80</v>
      </c>
      <c r="DC1278" t="str">
        <f t="shared" si="1678"/>
        <v>71-100</v>
      </c>
      <c r="DD1278">
        <v>0</v>
      </c>
      <c r="DE1278">
        <v>1</v>
      </c>
      <c r="DF1278">
        <v>0</v>
      </c>
      <c r="DG1278">
        <v>0</v>
      </c>
      <c r="DI1278">
        <f t="shared" si="1682"/>
        <v>1</v>
      </c>
      <c r="DJ1278" t="str">
        <f t="shared" si="1679"/>
        <v>EnergyInput</v>
      </c>
      <c r="DK1278">
        <f t="shared" si="1683"/>
        <v>0</v>
      </c>
      <c r="DL1278" t="str">
        <f t="shared" si="1684"/>
        <v>Energy</v>
      </c>
      <c r="DM1278">
        <f t="shared" si="1685"/>
        <v>0</v>
      </c>
      <c r="DN1278">
        <f t="shared" si="1686"/>
        <v>0</v>
      </c>
      <c r="DO1278">
        <v>0</v>
      </c>
      <c r="DP1278">
        <v>1</v>
      </c>
      <c r="DQ1278" t="s">
        <v>2145</v>
      </c>
      <c r="DR1278">
        <v>0</v>
      </c>
      <c r="DS1278">
        <v>0</v>
      </c>
      <c r="DT1278">
        <f t="shared" si="1660"/>
        <v>1</v>
      </c>
      <c r="DU1278" s="143" t="str">
        <f t="shared" ref="DU1278:DU1309" si="1687">IF(DO1278=1,"self-calculated DF",IF(DP1278=1,"external DF used","explicit C balance"))</f>
        <v>external DF used</v>
      </c>
      <c r="DV1278">
        <v>1</v>
      </c>
      <c r="DW1278">
        <v>1</v>
      </c>
      <c r="DX1278">
        <v>1</v>
      </c>
      <c r="DY1278">
        <v>1</v>
      </c>
      <c r="DZ1278">
        <v>1</v>
      </c>
      <c r="EA1278">
        <v>0</v>
      </c>
      <c r="EB1278">
        <v>1</v>
      </c>
      <c r="EC1278">
        <v>1</v>
      </c>
      <c r="ED1278">
        <v>0</v>
      </c>
      <c r="EE1278">
        <v>0</v>
      </c>
      <c r="EF1278">
        <v>1</v>
      </c>
      <c r="EG1278">
        <v>0</v>
      </c>
      <c r="EH1278">
        <v>0</v>
      </c>
      <c r="EI1278" s="2">
        <v>0</v>
      </c>
      <c r="EK1278" t="str">
        <f t="shared" si="1680"/>
        <v>Whole sector</v>
      </c>
      <c r="EL1278" t="str">
        <f t="shared" si="1681"/>
        <v/>
      </c>
      <c r="EM1278" s="2" t="str">
        <f t="shared" si="1662"/>
        <v/>
      </c>
      <c r="EP1278" t="b">
        <f>IF(ISNUMBER(BU1278),IF(ABS(BU1278-[4]QC_indicators!$B$2)&gt;3*[4]QC_indicators!$C$2,"C ratio",IF(ISNUMBER(BY1278),IF(ABS(BY1278-[4]QC_indicators!$B$1)&gt;3*[4]QC_indicators!$C$1,"DF","no"))),IF(ISNUMBER(BY1278),IF(ABS(BY1278-[4]QC_indicators!$B$1)&gt;3*[4]QC_indicators!$C$1,"DF","no")))</f>
        <v>0</v>
      </c>
      <c r="ER1278" s="294" t="s">
        <v>2170</v>
      </c>
      <c r="ET1278" s="264" t="s">
        <v>3406</v>
      </c>
    </row>
    <row r="1279" spans="1:150" ht="15" hidden="1" customHeight="1">
      <c r="A1279" s="1" t="s">
        <v>1359</v>
      </c>
      <c r="B1279" t="s">
        <v>2134</v>
      </c>
      <c r="C1279" t="s">
        <v>2135</v>
      </c>
      <c r="D1279" t="s">
        <v>2136</v>
      </c>
      <c r="E1279" t="s">
        <v>2137</v>
      </c>
      <c r="F1279" t="s">
        <v>2138</v>
      </c>
      <c r="G1279" t="s">
        <v>1365</v>
      </c>
      <c r="H1279" t="s">
        <v>254</v>
      </c>
      <c r="I1279">
        <v>2012</v>
      </c>
      <c r="J1279">
        <v>21</v>
      </c>
      <c r="K1279" t="s">
        <v>2139</v>
      </c>
      <c r="L1279" s="192"/>
      <c r="M1279" t="str">
        <f t="shared" si="1630"/>
        <v>Pyorala_2012</v>
      </c>
      <c r="N1279" t="s">
        <v>222</v>
      </c>
      <c r="O1279" s="145" t="s">
        <v>341</v>
      </c>
      <c r="Q1279" s="264" t="s">
        <v>256</v>
      </c>
      <c r="R1279" s="269" t="s">
        <v>1153</v>
      </c>
      <c r="S1279" s="1" t="s">
        <v>2186</v>
      </c>
      <c r="T1279" t="s">
        <v>798</v>
      </c>
      <c r="U1279" t="s">
        <v>2167</v>
      </c>
      <c r="V1279">
        <v>0</v>
      </c>
      <c r="W1279">
        <v>0</v>
      </c>
      <c r="X1279">
        <v>0</v>
      </c>
      <c r="Y1279">
        <v>0</v>
      </c>
      <c r="Z1279">
        <v>0</v>
      </c>
      <c r="AA1279">
        <v>0</v>
      </c>
      <c r="AB1279">
        <v>0</v>
      </c>
      <c r="AC1279">
        <v>0</v>
      </c>
      <c r="AD1279">
        <v>0</v>
      </c>
      <c r="AE1279">
        <v>0</v>
      </c>
      <c r="AF1279">
        <v>0</v>
      </c>
      <c r="AG1279">
        <v>0</v>
      </c>
      <c r="AH1279">
        <v>0</v>
      </c>
      <c r="AI1279">
        <v>0</v>
      </c>
      <c r="AJ1279">
        <v>0</v>
      </c>
      <c r="AK1279">
        <v>1</v>
      </c>
      <c r="AL1279">
        <v>0</v>
      </c>
      <c r="AM1279">
        <v>0</v>
      </c>
      <c r="AN1279">
        <v>0</v>
      </c>
      <c r="AO1279">
        <v>0</v>
      </c>
      <c r="AP1279">
        <v>0</v>
      </c>
      <c r="AQ1279">
        <v>0</v>
      </c>
      <c r="AR1279">
        <v>0</v>
      </c>
      <c r="AS1279">
        <v>0</v>
      </c>
      <c r="AT1279">
        <v>0</v>
      </c>
      <c r="AU1279">
        <v>0</v>
      </c>
      <c r="AV1279">
        <v>0</v>
      </c>
      <c r="AW1279">
        <v>0</v>
      </c>
      <c r="AX1279" s="141">
        <f t="shared" si="1665"/>
        <v>1</v>
      </c>
      <c r="AY1279" s="141">
        <f t="shared" si="1666"/>
        <v>1</v>
      </c>
      <c r="AZ1279">
        <f t="shared" si="1667"/>
        <v>0</v>
      </c>
      <c r="BA1279">
        <f t="shared" si="1668"/>
        <v>0</v>
      </c>
      <c r="BB1279">
        <f t="shared" si="1669"/>
        <v>1</v>
      </c>
      <c r="BC1279">
        <f t="shared" si="1670"/>
        <v>0</v>
      </c>
      <c r="BD1279">
        <f t="shared" si="1671"/>
        <v>0</v>
      </c>
      <c r="BE1279" t="str" cm="1">
        <f t="array" ref="BE1279">IF(AY1279=1,INDEX($V$7:$AL$7,MATCH(TRUE,INDEX($V1279:$AW1279&lt;&gt;0,),0)),IF(AY1279=0,INDEX($AM$7:$AW$7,MATCH(1,$AM1279:$AW1279,0)),IF(BF1279="Multiple strategies","mixed drivers",IF(BF1279="Supply chain","multiple supply","multiple silviculture"))))</f>
        <v>technologies/design switch</v>
      </c>
      <c r="BF1279" s="2" t="str" cm="1">
        <f t="array" ref="BF1279">IF(COUNTIF(AZ1279:BB1279,"&lt;&gt;0")=1,INDEX($V$4:$AW$4,MATCH(TRUE,INDEX($V1279:$AW1279&lt;&gt;0,),0)),IF(COUNTIF(AZ1279:BB1279,"&lt;&gt;0")=0,INDEX($AM$4:$AW$4,MATCH(1,$AM1279:$AW1279,0)),"Multiple strategies"))</f>
        <v>Technology</v>
      </c>
      <c r="BH1279" t="s">
        <v>2168</v>
      </c>
      <c r="BN1279" s="143"/>
      <c r="BP1279" s="264" t="s">
        <v>232</v>
      </c>
      <c r="BQ1279" s="264"/>
      <c r="BR1279" t="s">
        <v>2169</v>
      </c>
      <c r="BS1279">
        <v>-157</v>
      </c>
      <c r="BT1279">
        <v>-197</v>
      </c>
      <c r="BU1279" s="144">
        <v>0.57771260997067453</v>
      </c>
      <c r="BV1279">
        <v>144</v>
      </c>
      <c r="BX1279">
        <f t="shared" si="1663"/>
        <v>0.14399999999999999</v>
      </c>
      <c r="BY1279" t="str">
        <f t="shared" si="1661"/>
        <v/>
      </c>
      <c r="BZ1279">
        <v>0</v>
      </c>
      <c r="CA1279">
        <v>0</v>
      </c>
      <c r="CB1279">
        <v>0</v>
      </c>
      <c r="CC1279">
        <v>0</v>
      </c>
      <c r="CD1279">
        <v>0</v>
      </c>
      <c r="CE1279">
        <v>0</v>
      </c>
      <c r="CF1279">
        <v>0</v>
      </c>
      <c r="CG1279">
        <v>0</v>
      </c>
      <c r="CH1279">
        <v>0</v>
      </c>
      <c r="CI1279">
        <v>0</v>
      </c>
      <c r="CJ1279">
        <v>0</v>
      </c>
      <c r="CK1279">
        <v>0</v>
      </c>
      <c r="CL1279">
        <v>0</v>
      </c>
      <c r="CM1279">
        <v>0</v>
      </c>
      <c r="CN1279" t="str">
        <f t="shared" si="1664"/>
        <v>refOK</v>
      </c>
      <c r="CO1279"/>
      <c r="CP1279"/>
      <c r="CQ1279"/>
      <c r="CR1279">
        <f t="shared" si="1672"/>
        <v>-157</v>
      </c>
      <c r="CS1279">
        <f t="shared" si="1673"/>
        <v>-197</v>
      </c>
      <c r="CT1279">
        <f t="shared" si="1674"/>
        <v>0.14399999999999999</v>
      </c>
      <c r="CU1279" t="str">
        <f t="shared" si="1675"/>
        <v/>
      </c>
      <c r="CV1279" s="2">
        <f t="shared" si="1676"/>
        <v>-0.25477707006369427</v>
      </c>
      <c r="CW1279" s="1" t="s">
        <v>1198</v>
      </c>
      <c r="CX1279" s="264" t="str">
        <f t="shared" si="1677"/>
        <v>reg</v>
      </c>
      <c r="CY1279" t="s">
        <v>235</v>
      </c>
      <c r="DB1279">
        <v>80</v>
      </c>
      <c r="DC1279" t="str">
        <f t="shared" si="1678"/>
        <v>71-100</v>
      </c>
      <c r="DD1279">
        <v>0</v>
      </c>
      <c r="DE1279">
        <v>1</v>
      </c>
      <c r="DF1279">
        <v>0</v>
      </c>
      <c r="DG1279">
        <v>0</v>
      </c>
      <c r="DI1279">
        <f t="shared" si="1682"/>
        <v>1</v>
      </c>
      <c r="DJ1279" t="str">
        <f t="shared" si="1679"/>
        <v>EnergyInput</v>
      </c>
      <c r="DK1279">
        <f t="shared" si="1683"/>
        <v>0</v>
      </c>
      <c r="DL1279" t="str">
        <f t="shared" si="1684"/>
        <v>Energy</v>
      </c>
      <c r="DM1279">
        <f t="shared" si="1685"/>
        <v>0</v>
      </c>
      <c r="DN1279">
        <f t="shared" si="1686"/>
        <v>0</v>
      </c>
      <c r="DO1279">
        <v>0</v>
      </c>
      <c r="DP1279">
        <v>1</v>
      </c>
      <c r="DQ1279" t="s">
        <v>2145</v>
      </c>
      <c r="DR1279">
        <v>0</v>
      </c>
      <c r="DS1279">
        <v>0</v>
      </c>
      <c r="DT1279">
        <f t="shared" ref="DT1279:DT1315" si="1688">SUM(DO1279:DP1279)</f>
        <v>1</v>
      </c>
      <c r="DU1279" s="143" t="str">
        <f t="shared" si="1687"/>
        <v>external DF used</v>
      </c>
      <c r="DV1279">
        <v>1</v>
      </c>
      <c r="DW1279">
        <v>1</v>
      </c>
      <c r="DX1279">
        <v>1</v>
      </c>
      <c r="DY1279">
        <v>1</v>
      </c>
      <c r="DZ1279">
        <v>1</v>
      </c>
      <c r="EA1279">
        <v>0</v>
      </c>
      <c r="EB1279">
        <v>1</v>
      </c>
      <c r="EC1279">
        <v>1</v>
      </c>
      <c r="ED1279">
        <v>0</v>
      </c>
      <c r="EE1279">
        <v>0</v>
      </c>
      <c r="EF1279">
        <v>1</v>
      </c>
      <c r="EG1279">
        <v>0</v>
      </c>
      <c r="EH1279">
        <v>0</v>
      </c>
      <c r="EI1279" s="2">
        <v>0</v>
      </c>
      <c r="EK1279" t="str">
        <f t="shared" si="1680"/>
        <v>Whole sector</v>
      </c>
      <c r="EL1279" t="str">
        <f t="shared" si="1681"/>
        <v/>
      </c>
      <c r="EM1279" s="2" t="str">
        <f t="shared" si="1662"/>
        <v/>
      </c>
      <c r="EP1279" t="b">
        <f>IF(ISNUMBER(BU1279),IF(ABS(BU1279-[4]QC_indicators!$B$2)&gt;3*[4]QC_indicators!$C$2,"C ratio",IF(ISNUMBER(BY1279),IF(ABS(BY1279-[4]QC_indicators!$B$1)&gt;3*[4]QC_indicators!$C$1,"DF","no"))),IF(ISNUMBER(BY1279),IF(ABS(BY1279-[4]QC_indicators!$B$1)&gt;3*[4]QC_indicators!$C$1,"DF","no")))</f>
        <v>0</v>
      </c>
      <c r="ER1279" s="294" t="s">
        <v>2170</v>
      </c>
      <c r="ET1279" s="264" t="s">
        <v>3406</v>
      </c>
    </row>
    <row r="1280" spans="1:150" ht="15" hidden="1" customHeight="1">
      <c r="A1280" s="1" t="s">
        <v>1359</v>
      </c>
      <c r="B1280" t="s">
        <v>2134</v>
      </c>
      <c r="C1280" t="s">
        <v>2135</v>
      </c>
      <c r="D1280" t="s">
        <v>2136</v>
      </c>
      <c r="E1280" t="s">
        <v>2137</v>
      </c>
      <c r="F1280" t="s">
        <v>2138</v>
      </c>
      <c r="G1280" t="s">
        <v>1365</v>
      </c>
      <c r="H1280" t="s">
        <v>254</v>
      </c>
      <c r="I1280">
        <v>2012</v>
      </c>
      <c r="J1280">
        <v>21</v>
      </c>
      <c r="K1280" t="s">
        <v>2139</v>
      </c>
      <c r="L1280" s="192"/>
      <c r="M1280" t="str">
        <f t="shared" si="1630"/>
        <v>Pyorala_2012</v>
      </c>
      <c r="N1280" t="s">
        <v>222</v>
      </c>
      <c r="O1280" s="145" t="s">
        <v>341</v>
      </c>
      <c r="Q1280" s="264" t="s">
        <v>256</v>
      </c>
      <c r="R1280" s="269" t="s">
        <v>1153</v>
      </c>
      <c r="S1280" s="1" t="s">
        <v>2187</v>
      </c>
      <c r="T1280" t="s">
        <v>798</v>
      </c>
      <c r="U1280" t="s">
        <v>2167</v>
      </c>
      <c r="V1280">
        <v>0</v>
      </c>
      <c r="W1280">
        <v>0</v>
      </c>
      <c r="X1280">
        <v>0</v>
      </c>
      <c r="Y1280">
        <v>0</v>
      </c>
      <c r="Z1280">
        <v>0</v>
      </c>
      <c r="AA1280">
        <v>0</v>
      </c>
      <c r="AB1280">
        <v>0</v>
      </c>
      <c r="AC1280">
        <v>0</v>
      </c>
      <c r="AD1280">
        <v>0</v>
      </c>
      <c r="AE1280">
        <v>0</v>
      </c>
      <c r="AF1280">
        <v>0</v>
      </c>
      <c r="AG1280">
        <v>0</v>
      </c>
      <c r="AH1280">
        <v>0</v>
      </c>
      <c r="AI1280">
        <v>0</v>
      </c>
      <c r="AJ1280">
        <v>0</v>
      </c>
      <c r="AK1280">
        <v>1</v>
      </c>
      <c r="AL1280">
        <v>0</v>
      </c>
      <c r="AM1280">
        <v>0</v>
      </c>
      <c r="AN1280">
        <v>0</v>
      </c>
      <c r="AO1280">
        <v>0</v>
      </c>
      <c r="AP1280">
        <v>0</v>
      </c>
      <c r="AQ1280">
        <v>0</v>
      </c>
      <c r="AR1280">
        <v>0</v>
      </c>
      <c r="AS1280">
        <v>0</v>
      </c>
      <c r="AT1280">
        <v>0</v>
      </c>
      <c r="AU1280">
        <v>0</v>
      </c>
      <c r="AV1280">
        <v>0</v>
      </c>
      <c r="AW1280">
        <v>0</v>
      </c>
      <c r="AX1280" s="141">
        <f t="shared" si="1665"/>
        <v>1</v>
      </c>
      <c r="AY1280" s="141">
        <f t="shared" si="1666"/>
        <v>1</v>
      </c>
      <c r="AZ1280">
        <f t="shared" si="1667"/>
        <v>0</v>
      </c>
      <c r="BA1280">
        <f t="shared" si="1668"/>
        <v>0</v>
      </c>
      <c r="BB1280">
        <f t="shared" si="1669"/>
        <v>1</v>
      </c>
      <c r="BC1280">
        <f t="shared" si="1670"/>
        <v>0</v>
      </c>
      <c r="BD1280">
        <f t="shared" si="1671"/>
        <v>0</v>
      </c>
      <c r="BE1280" t="str" cm="1">
        <f t="array" ref="BE1280">IF(AY1280=1,INDEX($V$7:$AL$7,MATCH(TRUE,INDEX($V1280:$AW1280&lt;&gt;0,),0)),IF(AY1280=0,INDEX($AM$7:$AW$7,MATCH(1,$AM1280:$AW1280,0)),IF(BF1280="Multiple strategies","mixed drivers",IF(BF1280="Supply chain","multiple supply","multiple silviculture"))))</f>
        <v>technologies/design switch</v>
      </c>
      <c r="BF1280" s="2" t="str" cm="1">
        <f t="array" ref="BF1280">IF(COUNTIF(AZ1280:BB1280,"&lt;&gt;0")=1,INDEX($V$4:$AW$4,MATCH(TRUE,INDEX($V1280:$AW1280&lt;&gt;0,),0)),IF(COUNTIF(AZ1280:BB1280,"&lt;&gt;0")=0,INDEX($AM$4:$AW$4,MATCH(1,$AM1280:$AW1280,0)),"Multiple strategies"))</f>
        <v>Technology</v>
      </c>
      <c r="BH1280" t="s">
        <v>2168</v>
      </c>
      <c r="BN1280" s="143"/>
      <c r="BP1280" s="264" t="s">
        <v>232</v>
      </c>
      <c r="BQ1280" s="264"/>
      <c r="BR1280" t="s">
        <v>2169</v>
      </c>
      <c r="BS1280">
        <v>-157</v>
      </c>
      <c r="BT1280">
        <v>-242</v>
      </c>
      <c r="BU1280" s="144">
        <v>0.70967741935483875</v>
      </c>
      <c r="BV1280">
        <v>99</v>
      </c>
      <c r="BX1280">
        <f t="shared" si="1663"/>
        <v>9.9000000000000005E-2</v>
      </c>
      <c r="BY1280" t="str">
        <f t="shared" si="1661"/>
        <v/>
      </c>
      <c r="BZ1280">
        <v>0</v>
      </c>
      <c r="CA1280">
        <v>0</v>
      </c>
      <c r="CB1280">
        <v>0</v>
      </c>
      <c r="CC1280">
        <v>0</v>
      </c>
      <c r="CD1280">
        <v>0</v>
      </c>
      <c r="CE1280">
        <v>0</v>
      </c>
      <c r="CF1280">
        <v>0</v>
      </c>
      <c r="CG1280">
        <v>0</v>
      </c>
      <c r="CH1280">
        <v>0</v>
      </c>
      <c r="CI1280">
        <v>0</v>
      </c>
      <c r="CJ1280">
        <v>0</v>
      </c>
      <c r="CK1280">
        <v>0</v>
      </c>
      <c r="CL1280">
        <v>0</v>
      </c>
      <c r="CM1280">
        <v>0</v>
      </c>
      <c r="CN1280" t="str">
        <f t="shared" si="1664"/>
        <v>refOK</v>
      </c>
      <c r="CO1280"/>
      <c r="CP1280"/>
      <c r="CQ1280"/>
      <c r="CR1280">
        <f t="shared" si="1672"/>
        <v>-157</v>
      </c>
      <c r="CS1280">
        <f t="shared" si="1673"/>
        <v>-242</v>
      </c>
      <c r="CT1280">
        <f t="shared" si="1674"/>
        <v>9.9000000000000005E-2</v>
      </c>
      <c r="CU1280" t="str">
        <f t="shared" si="1675"/>
        <v/>
      </c>
      <c r="CV1280" s="2">
        <f t="shared" si="1676"/>
        <v>-0.54140127388535031</v>
      </c>
      <c r="CW1280" s="1" t="s">
        <v>1198</v>
      </c>
      <c r="CX1280" s="264" t="str">
        <f t="shared" si="1677"/>
        <v>reg</v>
      </c>
      <c r="CY1280" t="s">
        <v>235</v>
      </c>
      <c r="DB1280">
        <v>80</v>
      </c>
      <c r="DC1280" t="str">
        <f t="shared" si="1678"/>
        <v>71-100</v>
      </c>
      <c r="DD1280">
        <v>0</v>
      </c>
      <c r="DE1280">
        <v>1</v>
      </c>
      <c r="DF1280">
        <v>0</v>
      </c>
      <c r="DG1280">
        <v>0</v>
      </c>
      <c r="DI1280">
        <f t="shared" si="1682"/>
        <v>1</v>
      </c>
      <c r="DJ1280" t="str">
        <f t="shared" si="1679"/>
        <v>EnergyInput</v>
      </c>
      <c r="DK1280">
        <f t="shared" si="1683"/>
        <v>0</v>
      </c>
      <c r="DL1280" t="str">
        <f t="shared" si="1684"/>
        <v>Energy</v>
      </c>
      <c r="DM1280">
        <f t="shared" si="1685"/>
        <v>0</v>
      </c>
      <c r="DN1280">
        <f t="shared" si="1686"/>
        <v>0</v>
      </c>
      <c r="DO1280">
        <v>0</v>
      </c>
      <c r="DP1280">
        <v>1</v>
      </c>
      <c r="DQ1280" t="s">
        <v>2145</v>
      </c>
      <c r="DR1280">
        <v>0</v>
      </c>
      <c r="DS1280">
        <v>0</v>
      </c>
      <c r="DT1280">
        <f t="shared" si="1688"/>
        <v>1</v>
      </c>
      <c r="DU1280" s="143" t="str">
        <f t="shared" si="1687"/>
        <v>external DF used</v>
      </c>
      <c r="DV1280">
        <v>1</v>
      </c>
      <c r="DW1280">
        <v>1</v>
      </c>
      <c r="DX1280">
        <v>1</v>
      </c>
      <c r="DY1280">
        <v>1</v>
      </c>
      <c r="DZ1280">
        <v>1</v>
      </c>
      <c r="EA1280">
        <v>0</v>
      </c>
      <c r="EB1280">
        <v>1</v>
      </c>
      <c r="EC1280">
        <v>1</v>
      </c>
      <c r="ED1280">
        <v>0</v>
      </c>
      <c r="EE1280">
        <v>0</v>
      </c>
      <c r="EF1280">
        <v>1</v>
      </c>
      <c r="EG1280">
        <v>0</v>
      </c>
      <c r="EH1280">
        <v>0</v>
      </c>
      <c r="EI1280" s="2">
        <v>0</v>
      </c>
      <c r="EK1280" t="str">
        <f t="shared" si="1680"/>
        <v>Whole sector</v>
      </c>
      <c r="EL1280" t="str">
        <f t="shared" si="1681"/>
        <v/>
      </c>
      <c r="EM1280" s="2" t="str">
        <f t="shared" si="1662"/>
        <v/>
      </c>
      <c r="EP1280" t="b">
        <f>IF(ISNUMBER(BU1280),IF(ABS(BU1280-[4]QC_indicators!$B$2)&gt;3*[4]QC_indicators!$C$2,"C ratio",IF(ISNUMBER(BY1280),IF(ABS(BY1280-[4]QC_indicators!$B$1)&gt;3*[4]QC_indicators!$C$1,"DF","no"))),IF(ISNUMBER(BY1280),IF(ABS(BY1280-[4]QC_indicators!$B$1)&gt;3*[4]QC_indicators!$C$1,"DF","no")))</f>
        <v>0</v>
      </c>
      <c r="ER1280" s="294" t="s">
        <v>2170</v>
      </c>
      <c r="ET1280" s="264" t="s">
        <v>3406</v>
      </c>
    </row>
    <row r="1281" spans="1:150" ht="15" hidden="1" customHeight="1">
      <c r="A1281" s="1" t="s">
        <v>1359</v>
      </c>
      <c r="B1281" t="s">
        <v>2134</v>
      </c>
      <c r="C1281" t="s">
        <v>2135</v>
      </c>
      <c r="D1281" t="s">
        <v>2136</v>
      </c>
      <c r="E1281" t="s">
        <v>2137</v>
      </c>
      <c r="F1281" t="s">
        <v>2138</v>
      </c>
      <c r="G1281" t="s">
        <v>1365</v>
      </c>
      <c r="H1281" t="s">
        <v>254</v>
      </c>
      <c r="I1281">
        <v>2012</v>
      </c>
      <c r="J1281">
        <v>21</v>
      </c>
      <c r="K1281" t="s">
        <v>2139</v>
      </c>
      <c r="L1281" s="192"/>
      <c r="M1281" t="str">
        <f t="shared" ref="M1281:M1344" si="1689">LEFT($D1281,FIND(",",$D1281)-1)&amp;"_"&amp;I1281&amp;L1281</f>
        <v>Pyorala_2012</v>
      </c>
      <c r="N1281" t="s">
        <v>222</v>
      </c>
      <c r="O1281" s="145" t="s">
        <v>341</v>
      </c>
      <c r="Q1281" s="264" t="s">
        <v>256</v>
      </c>
      <c r="R1281" s="269" t="s">
        <v>1153</v>
      </c>
      <c r="S1281" s="1" t="s">
        <v>2188</v>
      </c>
      <c r="T1281" t="s">
        <v>798</v>
      </c>
      <c r="U1281" t="s">
        <v>2167</v>
      </c>
      <c r="V1281">
        <v>0</v>
      </c>
      <c r="W1281">
        <v>0</v>
      </c>
      <c r="X1281">
        <v>0</v>
      </c>
      <c r="Y1281">
        <v>0</v>
      </c>
      <c r="Z1281">
        <v>0</v>
      </c>
      <c r="AA1281">
        <v>0</v>
      </c>
      <c r="AB1281">
        <v>0</v>
      </c>
      <c r="AC1281">
        <v>0</v>
      </c>
      <c r="AD1281">
        <v>0</v>
      </c>
      <c r="AE1281">
        <v>0</v>
      </c>
      <c r="AF1281">
        <v>0</v>
      </c>
      <c r="AG1281">
        <v>0</v>
      </c>
      <c r="AH1281">
        <v>0</v>
      </c>
      <c r="AI1281">
        <v>0</v>
      </c>
      <c r="AJ1281">
        <v>0</v>
      </c>
      <c r="AK1281">
        <v>1</v>
      </c>
      <c r="AL1281">
        <v>0</v>
      </c>
      <c r="AM1281">
        <v>0</v>
      </c>
      <c r="AN1281">
        <v>0</v>
      </c>
      <c r="AO1281">
        <v>0</v>
      </c>
      <c r="AP1281">
        <v>0</v>
      </c>
      <c r="AQ1281">
        <v>0</v>
      </c>
      <c r="AR1281">
        <v>0</v>
      </c>
      <c r="AS1281">
        <v>0</v>
      </c>
      <c r="AT1281">
        <v>0</v>
      </c>
      <c r="AU1281">
        <v>0</v>
      </c>
      <c r="AV1281">
        <v>0</v>
      </c>
      <c r="AW1281">
        <v>0</v>
      </c>
      <c r="AX1281" s="141">
        <f t="shared" si="1665"/>
        <v>1</v>
      </c>
      <c r="AY1281" s="141">
        <f t="shared" si="1666"/>
        <v>1</v>
      </c>
      <c r="AZ1281">
        <f t="shared" si="1667"/>
        <v>0</v>
      </c>
      <c r="BA1281">
        <f t="shared" si="1668"/>
        <v>0</v>
      </c>
      <c r="BB1281">
        <f t="shared" si="1669"/>
        <v>1</v>
      </c>
      <c r="BC1281">
        <f t="shared" si="1670"/>
        <v>0</v>
      </c>
      <c r="BD1281">
        <f t="shared" si="1671"/>
        <v>0</v>
      </c>
      <c r="BE1281" t="str" cm="1">
        <f t="array" ref="BE1281">IF(AY1281=1,INDEX($V$7:$AL$7,MATCH(TRUE,INDEX($V1281:$AW1281&lt;&gt;0,),0)),IF(AY1281=0,INDEX($AM$7:$AW$7,MATCH(1,$AM1281:$AW1281,0)),IF(BF1281="Multiple strategies","mixed drivers",IF(BF1281="Supply chain","multiple supply","multiple silviculture"))))</f>
        <v>technologies/design switch</v>
      </c>
      <c r="BF1281" s="2" t="str" cm="1">
        <f t="array" ref="BF1281">IF(COUNTIF(AZ1281:BB1281,"&lt;&gt;0")=1,INDEX($V$4:$AW$4,MATCH(TRUE,INDEX($V1281:$AW1281&lt;&gt;0,),0)),IF(COUNTIF(AZ1281:BB1281,"&lt;&gt;0")=0,INDEX($AM$4:$AW$4,MATCH(1,$AM1281:$AW1281,0)),"Multiple strategies"))</f>
        <v>Technology</v>
      </c>
      <c r="BH1281" t="s">
        <v>2168</v>
      </c>
      <c r="BN1281" s="143"/>
      <c r="BP1281" s="264" t="s">
        <v>232</v>
      </c>
      <c r="BQ1281" s="264"/>
      <c r="BR1281" t="s">
        <v>2169</v>
      </c>
      <c r="BS1281">
        <v>-157</v>
      </c>
      <c r="BT1281">
        <v>-374</v>
      </c>
      <c r="BU1281" s="144">
        <v>1.096774193548387</v>
      </c>
      <c r="BV1281">
        <v>-33</v>
      </c>
      <c r="BX1281">
        <f t="shared" si="1663"/>
        <v>-3.3000000000000002E-2</v>
      </c>
      <c r="BY1281" t="str">
        <f t="shared" si="1661"/>
        <v/>
      </c>
      <c r="BZ1281">
        <v>0</v>
      </c>
      <c r="CA1281">
        <v>0</v>
      </c>
      <c r="CB1281">
        <v>0</v>
      </c>
      <c r="CC1281">
        <v>0</v>
      </c>
      <c r="CD1281">
        <v>0</v>
      </c>
      <c r="CE1281">
        <v>0</v>
      </c>
      <c r="CF1281">
        <v>0</v>
      </c>
      <c r="CG1281">
        <v>0</v>
      </c>
      <c r="CH1281">
        <v>0</v>
      </c>
      <c r="CI1281">
        <v>0</v>
      </c>
      <c r="CJ1281">
        <v>0</v>
      </c>
      <c r="CK1281">
        <v>0</v>
      </c>
      <c r="CL1281">
        <v>0</v>
      </c>
      <c r="CM1281">
        <v>0</v>
      </c>
      <c r="CN1281" t="str">
        <f t="shared" si="1664"/>
        <v>refOK</v>
      </c>
      <c r="CO1281"/>
      <c r="CP1281"/>
      <c r="CQ1281"/>
      <c r="CR1281">
        <f t="shared" si="1672"/>
        <v>-157</v>
      </c>
      <c r="CS1281">
        <f t="shared" si="1673"/>
        <v>-374</v>
      </c>
      <c r="CT1281">
        <f t="shared" si="1674"/>
        <v>-3.3000000000000002E-2</v>
      </c>
      <c r="CU1281" t="str">
        <f t="shared" si="1675"/>
        <v/>
      </c>
      <c r="CV1281" s="2">
        <f t="shared" si="1676"/>
        <v>-1.3821656050955413</v>
      </c>
      <c r="CW1281" s="1" t="s">
        <v>1198</v>
      </c>
      <c r="CX1281" s="264" t="str">
        <f t="shared" si="1677"/>
        <v>reg</v>
      </c>
      <c r="CY1281" t="s">
        <v>235</v>
      </c>
      <c r="DB1281">
        <v>30</v>
      </c>
      <c r="DC1281" t="str">
        <f t="shared" si="1678"/>
        <v>1-30</v>
      </c>
      <c r="DD1281">
        <v>0</v>
      </c>
      <c r="DE1281">
        <v>1</v>
      </c>
      <c r="DF1281">
        <v>0</v>
      </c>
      <c r="DG1281">
        <v>0</v>
      </c>
      <c r="DI1281">
        <f t="shared" si="1682"/>
        <v>1</v>
      </c>
      <c r="DJ1281" t="str">
        <f t="shared" si="1679"/>
        <v>EnergyInput</v>
      </c>
      <c r="DK1281">
        <f t="shared" si="1683"/>
        <v>0</v>
      </c>
      <c r="DL1281" t="str">
        <f t="shared" si="1684"/>
        <v>Energy</v>
      </c>
      <c r="DM1281">
        <f t="shared" si="1685"/>
        <v>0</v>
      </c>
      <c r="DN1281">
        <f t="shared" si="1686"/>
        <v>0</v>
      </c>
      <c r="DO1281">
        <v>0</v>
      </c>
      <c r="DP1281">
        <v>1</v>
      </c>
      <c r="DQ1281" t="s">
        <v>2145</v>
      </c>
      <c r="DR1281">
        <v>0</v>
      </c>
      <c r="DS1281">
        <v>0</v>
      </c>
      <c r="DT1281">
        <f t="shared" si="1688"/>
        <v>1</v>
      </c>
      <c r="DU1281" s="143" t="str">
        <f t="shared" si="1687"/>
        <v>external DF used</v>
      </c>
      <c r="DV1281">
        <v>1</v>
      </c>
      <c r="DW1281">
        <v>1</v>
      </c>
      <c r="DX1281">
        <v>1</v>
      </c>
      <c r="DY1281">
        <v>1</v>
      </c>
      <c r="DZ1281">
        <v>1</v>
      </c>
      <c r="EA1281">
        <v>0</v>
      </c>
      <c r="EB1281">
        <v>1</v>
      </c>
      <c r="EC1281">
        <v>1</v>
      </c>
      <c r="ED1281">
        <v>0</v>
      </c>
      <c r="EE1281">
        <v>0</v>
      </c>
      <c r="EF1281">
        <v>1</v>
      </c>
      <c r="EG1281">
        <v>0</v>
      </c>
      <c r="EH1281">
        <v>0</v>
      </c>
      <c r="EI1281" s="2">
        <v>0</v>
      </c>
      <c r="EK1281" t="str">
        <f t="shared" si="1680"/>
        <v>Whole sector</v>
      </c>
      <c r="EL1281" t="str">
        <f t="shared" si="1681"/>
        <v/>
      </c>
      <c r="EM1281" s="2" t="str">
        <f t="shared" si="1662"/>
        <v/>
      </c>
      <c r="EP1281" t="b">
        <f>IF(ISNUMBER(BU1281),IF(ABS(BU1281-[4]QC_indicators!$B$2)&gt;3*[4]QC_indicators!$C$2,"C ratio",IF(ISNUMBER(BY1281),IF(ABS(BY1281-[4]QC_indicators!$B$1)&gt;3*[4]QC_indicators!$C$1,"DF","no"))),IF(ISNUMBER(BY1281),IF(ABS(BY1281-[4]QC_indicators!$B$1)&gt;3*[4]QC_indicators!$C$1,"DF","no")))</f>
        <v>0</v>
      </c>
      <c r="ER1281" s="294" t="s">
        <v>2170</v>
      </c>
      <c r="ET1281" s="264" t="s">
        <v>3406</v>
      </c>
    </row>
    <row r="1282" spans="1:150" ht="15" hidden="1" customHeight="1">
      <c r="A1282" s="1" t="s">
        <v>1359</v>
      </c>
      <c r="B1282" t="s">
        <v>2134</v>
      </c>
      <c r="C1282" t="s">
        <v>2135</v>
      </c>
      <c r="D1282" t="s">
        <v>2136</v>
      </c>
      <c r="E1282" t="s">
        <v>2137</v>
      </c>
      <c r="F1282" t="s">
        <v>2138</v>
      </c>
      <c r="G1282" t="s">
        <v>1365</v>
      </c>
      <c r="H1282" t="s">
        <v>254</v>
      </c>
      <c r="I1282">
        <v>2012</v>
      </c>
      <c r="J1282">
        <v>21</v>
      </c>
      <c r="K1282" t="s">
        <v>2139</v>
      </c>
      <c r="L1282" s="192"/>
      <c r="M1282" t="str">
        <f t="shared" si="1689"/>
        <v>Pyorala_2012</v>
      </c>
      <c r="N1282" t="s">
        <v>222</v>
      </c>
      <c r="O1282" s="145" t="s">
        <v>341</v>
      </c>
      <c r="Q1282" s="264" t="s">
        <v>256</v>
      </c>
      <c r="R1282" s="269" t="s">
        <v>1153</v>
      </c>
      <c r="S1282" s="1" t="s">
        <v>2189</v>
      </c>
      <c r="T1282" t="s">
        <v>798</v>
      </c>
      <c r="U1282" t="s">
        <v>2167</v>
      </c>
      <c r="V1282">
        <v>0</v>
      </c>
      <c r="W1282">
        <v>0</v>
      </c>
      <c r="X1282">
        <v>0</v>
      </c>
      <c r="Y1282">
        <v>0</v>
      </c>
      <c r="Z1282">
        <v>0</v>
      </c>
      <c r="AA1282">
        <v>0</v>
      </c>
      <c r="AB1282">
        <v>0</v>
      </c>
      <c r="AC1282">
        <v>0</v>
      </c>
      <c r="AD1282">
        <v>0</v>
      </c>
      <c r="AE1282">
        <v>0</v>
      </c>
      <c r="AF1282">
        <v>0</v>
      </c>
      <c r="AG1282">
        <v>0</v>
      </c>
      <c r="AH1282">
        <v>0</v>
      </c>
      <c r="AI1282">
        <v>0</v>
      </c>
      <c r="AJ1282">
        <v>0</v>
      </c>
      <c r="AK1282">
        <v>1</v>
      </c>
      <c r="AL1282">
        <v>0</v>
      </c>
      <c r="AM1282">
        <v>0</v>
      </c>
      <c r="AN1282">
        <v>0</v>
      </c>
      <c r="AO1282">
        <v>0</v>
      </c>
      <c r="AP1282">
        <v>0</v>
      </c>
      <c r="AQ1282">
        <v>0</v>
      </c>
      <c r="AR1282">
        <v>0</v>
      </c>
      <c r="AS1282">
        <v>0</v>
      </c>
      <c r="AT1282">
        <v>0</v>
      </c>
      <c r="AU1282">
        <v>0</v>
      </c>
      <c r="AV1282">
        <v>0</v>
      </c>
      <c r="AW1282">
        <v>0</v>
      </c>
      <c r="AX1282" s="141">
        <f t="shared" si="1665"/>
        <v>1</v>
      </c>
      <c r="AY1282" s="141">
        <f t="shared" si="1666"/>
        <v>1</v>
      </c>
      <c r="AZ1282">
        <f t="shared" si="1667"/>
        <v>0</v>
      </c>
      <c r="BA1282">
        <f t="shared" si="1668"/>
        <v>0</v>
      </c>
      <c r="BB1282">
        <f t="shared" si="1669"/>
        <v>1</v>
      </c>
      <c r="BC1282">
        <f t="shared" si="1670"/>
        <v>0</v>
      </c>
      <c r="BD1282">
        <f t="shared" si="1671"/>
        <v>0</v>
      </c>
      <c r="BE1282" t="str" cm="1">
        <f t="array" ref="BE1282">IF(AY1282=1,INDEX($V$7:$AL$7,MATCH(TRUE,INDEX($V1282:$AW1282&lt;&gt;0,),0)),IF(AY1282=0,INDEX($AM$7:$AW$7,MATCH(1,$AM1282:$AW1282,0)),IF(BF1282="Multiple strategies","mixed drivers",IF(BF1282="Supply chain","multiple supply","multiple silviculture"))))</f>
        <v>technologies/design switch</v>
      </c>
      <c r="BF1282" s="2" t="str" cm="1">
        <f t="array" ref="BF1282">IF(COUNTIF(AZ1282:BB1282,"&lt;&gt;0")=1,INDEX($V$4:$AW$4,MATCH(TRUE,INDEX($V1282:$AW1282&lt;&gt;0,),0)),IF(COUNTIF(AZ1282:BB1282,"&lt;&gt;0")=0,INDEX($AM$4:$AW$4,MATCH(1,$AM1282:$AW1282,0)),"Multiple strategies"))</f>
        <v>Technology</v>
      </c>
      <c r="BH1282" t="s">
        <v>2168</v>
      </c>
      <c r="BN1282" s="143"/>
      <c r="BP1282" s="264" t="s">
        <v>232</v>
      </c>
      <c r="BQ1282" s="264"/>
      <c r="BR1282" t="s">
        <v>2169</v>
      </c>
      <c r="BS1282">
        <v>-157</v>
      </c>
      <c r="BT1282">
        <v>-374</v>
      </c>
      <c r="BU1282" s="144">
        <v>1.096774193548387</v>
      </c>
      <c r="BV1282">
        <v>-33</v>
      </c>
      <c r="BX1282">
        <f t="shared" si="1663"/>
        <v>-3.3000000000000002E-2</v>
      </c>
      <c r="BY1282" t="str">
        <f t="shared" si="1661"/>
        <v/>
      </c>
      <c r="BZ1282">
        <v>0</v>
      </c>
      <c r="CA1282">
        <v>0</v>
      </c>
      <c r="CB1282">
        <v>0</v>
      </c>
      <c r="CC1282">
        <v>0</v>
      </c>
      <c r="CD1282">
        <v>0</v>
      </c>
      <c r="CE1282">
        <v>0</v>
      </c>
      <c r="CF1282">
        <v>0</v>
      </c>
      <c r="CG1282">
        <v>0</v>
      </c>
      <c r="CH1282">
        <v>0</v>
      </c>
      <c r="CI1282">
        <v>0</v>
      </c>
      <c r="CJ1282">
        <v>0</v>
      </c>
      <c r="CK1282">
        <v>0</v>
      </c>
      <c r="CL1282">
        <v>0</v>
      </c>
      <c r="CM1282">
        <v>0</v>
      </c>
      <c r="CN1282" t="str">
        <f t="shared" si="1664"/>
        <v>refOK</v>
      </c>
      <c r="CO1282"/>
      <c r="CP1282"/>
      <c r="CQ1282"/>
      <c r="CR1282">
        <f t="shared" si="1672"/>
        <v>-157</v>
      </c>
      <c r="CS1282">
        <f t="shared" si="1673"/>
        <v>-374</v>
      </c>
      <c r="CT1282">
        <f t="shared" si="1674"/>
        <v>-3.3000000000000002E-2</v>
      </c>
      <c r="CU1282" t="str">
        <f t="shared" si="1675"/>
        <v/>
      </c>
      <c r="CV1282" s="2">
        <f t="shared" si="1676"/>
        <v>-1.3821656050955413</v>
      </c>
      <c r="CW1282" s="1" t="s">
        <v>1198</v>
      </c>
      <c r="CX1282" s="264" t="str">
        <f t="shared" si="1677"/>
        <v>reg</v>
      </c>
      <c r="CY1282" t="s">
        <v>235</v>
      </c>
      <c r="DB1282">
        <v>30</v>
      </c>
      <c r="DC1282" t="str">
        <f t="shared" si="1678"/>
        <v>1-30</v>
      </c>
      <c r="DD1282">
        <v>0</v>
      </c>
      <c r="DE1282">
        <v>1</v>
      </c>
      <c r="DF1282">
        <v>0</v>
      </c>
      <c r="DG1282">
        <v>0</v>
      </c>
      <c r="DI1282">
        <f t="shared" si="1682"/>
        <v>1</v>
      </c>
      <c r="DJ1282" t="str">
        <f t="shared" si="1679"/>
        <v>EnergyInput</v>
      </c>
      <c r="DK1282">
        <f t="shared" si="1683"/>
        <v>0</v>
      </c>
      <c r="DL1282" t="str">
        <f t="shared" si="1684"/>
        <v>Energy</v>
      </c>
      <c r="DM1282">
        <f t="shared" si="1685"/>
        <v>0</v>
      </c>
      <c r="DN1282">
        <f t="shared" si="1686"/>
        <v>0</v>
      </c>
      <c r="DO1282">
        <v>0</v>
      </c>
      <c r="DP1282">
        <v>1</v>
      </c>
      <c r="DQ1282" t="s">
        <v>2145</v>
      </c>
      <c r="DR1282">
        <v>0</v>
      </c>
      <c r="DS1282">
        <v>0</v>
      </c>
      <c r="DT1282">
        <f t="shared" si="1688"/>
        <v>1</v>
      </c>
      <c r="DU1282" s="143" t="str">
        <f t="shared" si="1687"/>
        <v>external DF used</v>
      </c>
      <c r="DV1282">
        <v>1</v>
      </c>
      <c r="DW1282">
        <v>1</v>
      </c>
      <c r="DX1282">
        <v>1</v>
      </c>
      <c r="DY1282">
        <v>1</v>
      </c>
      <c r="DZ1282">
        <v>1</v>
      </c>
      <c r="EA1282">
        <v>0</v>
      </c>
      <c r="EB1282">
        <v>1</v>
      </c>
      <c r="EC1282">
        <v>1</v>
      </c>
      <c r="ED1282">
        <v>0</v>
      </c>
      <c r="EE1282">
        <v>0</v>
      </c>
      <c r="EF1282">
        <v>1</v>
      </c>
      <c r="EG1282">
        <v>0</v>
      </c>
      <c r="EH1282">
        <v>0</v>
      </c>
      <c r="EI1282" s="2">
        <v>0</v>
      </c>
      <c r="EK1282" t="str">
        <f t="shared" si="1680"/>
        <v>Whole sector</v>
      </c>
      <c r="EL1282" t="str">
        <f t="shared" si="1681"/>
        <v/>
      </c>
      <c r="EM1282" s="2" t="str">
        <f t="shared" si="1662"/>
        <v/>
      </c>
      <c r="EP1282" t="b">
        <f>IF(ISNUMBER(BU1282),IF(ABS(BU1282-[4]QC_indicators!$B$2)&gt;3*[4]QC_indicators!$C$2,"C ratio",IF(ISNUMBER(BY1282),IF(ABS(BY1282-[4]QC_indicators!$B$1)&gt;3*[4]QC_indicators!$C$1,"DF","no"))),IF(ISNUMBER(BY1282),IF(ABS(BY1282-[4]QC_indicators!$B$1)&gt;3*[4]QC_indicators!$C$1,"DF","no")))</f>
        <v>0</v>
      </c>
      <c r="ER1282" s="294" t="s">
        <v>2170</v>
      </c>
      <c r="ET1282" s="264" t="s">
        <v>3406</v>
      </c>
    </row>
    <row r="1283" spans="1:150" ht="15" hidden="1" customHeight="1">
      <c r="A1283" s="1" t="s">
        <v>1359</v>
      </c>
      <c r="B1283" t="s">
        <v>2134</v>
      </c>
      <c r="C1283" t="s">
        <v>2135</v>
      </c>
      <c r="D1283" t="s">
        <v>2136</v>
      </c>
      <c r="E1283" t="s">
        <v>2137</v>
      </c>
      <c r="F1283" t="s">
        <v>2138</v>
      </c>
      <c r="G1283" t="s">
        <v>1365</v>
      </c>
      <c r="H1283" t="s">
        <v>254</v>
      </c>
      <c r="I1283">
        <v>2012</v>
      </c>
      <c r="J1283">
        <v>21</v>
      </c>
      <c r="K1283" t="s">
        <v>2139</v>
      </c>
      <c r="L1283" s="192"/>
      <c r="M1283" t="str">
        <f t="shared" si="1689"/>
        <v>Pyorala_2012</v>
      </c>
      <c r="N1283" t="s">
        <v>222</v>
      </c>
      <c r="O1283" s="145" t="s">
        <v>341</v>
      </c>
      <c r="Q1283" s="264" t="s">
        <v>256</v>
      </c>
      <c r="R1283" s="269" t="s">
        <v>1153</v>
      </c>
      <c r="S1283" s="1" t="s">
        <v>2190</v>
      </c>
      <c r="T1283" t="s">
        <v>798</v>
      </c>
      <c r="U1283" t="s">
        <v>2167</v>
      </c>
      <c r="V1283">
        <v>0</v>
      </c>
      <c r="W1283">
        <v>0</v>
      </c>
      <c r="X1283">
        <v>0</v>
      </c>
      <c r="Y1283">
        <v>0</v>
      </c>
      <c r="Z1283">
        <v>0</v>
      </c>
      <c r="AA1283">
        <v>0</v>
      </c>
      <c r="AB1283">
        <v>0</v>
      </c>
      <c r="AC1283">
        <v>0</v>
      </c>
      <c r="AD1283">
        <v>0</v>
      </c>
      <c r="AE1283">
        <v>0</v>
      </c>
      <c r="AF1283">
        <v>0</v>
      </c>
      <c r="AG1283">
        <v>0</v>
      </c>
      <c r="AH1283">
        <v>0</v>
      </c>
      <c r="AI1283">
        <v>0</v>
      </c>
      <c r="AJ1283">
        <v>0</v>
      </c>
      <c r="AK1283">
        <v>1</v>
      </c>
      <c r="AL1283">
        <v>0</v>
      </c>
      <c r="AM1283">
        <v>0</v>
      </c>
      <c r="AN1283">
        <v>0</v>
      </c>
      <c r="AO1283">
        <v>0</v>
      </c>
      <c r="AP1283">
        <v>0</v>
      </c>
      <c r="AQ1283">
        <v>0</v>
      </c>
      <c r="AR1283">
        <v>0</v>
      </c>
      <c r="AS1283">
        <v>0</v>
      </c>
      <c r="AT1283">
        <v>0</v>
      </c>
      <c r="AU1283">
        <v>0</v>
      </c>
      <c r="AV1283">
        <v>0</v>
      </c>
      <c r="AW1283">
        <v>0</v>
      </c>
      <c r="AX1283" s="141">
        <f t="shared" si="1665"/>
        <v>1</v>
      </c>
      <c r="AY1283" s="141">
        <f t="shared" si="1666"/>
        <v>1</v>
      </c>
      <c r="AZ1283">
        <f t="shared" si="1667"/>
        <v>0</v>
      </c>
      <c r="BA1283">
        <f t="shared" si="1668"/>
        <v>0</v>
      </c>
      <c r="BB1283">
        <f t="shared" si="1669"/>
        <v>1</v>
      </c>
      <c r="BC1283">
        <f t="shared" si="1670"/>
        <v>0</v>
      </c>
      <c r="BD1283">
        <f t="shared" si="1671"/>
        <v>0</v>
      </c>
      <c r="BE1283" t="str" cm="1">
        <f t="array" ref="BE1283">IF(AY1283=1,INDEX($V$7:$AL$7,MATCH(TRUE,INDEX($V1283:$AW1283&lt;&gt;0,),0)),IF(AY1283=0,INDEX($AM$7:$AW$7,MATCH(1,$AM1283:$AW1283,0)),IF(BF1283="Multiple strategies","mixed drivers",IF(BF1283="Supply chain","multiple supply","multiple silviculture"))))</f>
        <v>technologies/design switch</v>
      </c>
      <c r="BF1283" s="2" t="str" cm="1">
        <f t="array" ref="BF1283">IF(COUNTIF(AZ1283:BB1283,"&lt;&gt;0")=1,INDEX($V$4:$AW$4,MATCH(TRUE,INDEX($V1283:$AW1283&lt;&gt;0,),0)),IF(COUNTIF(AZ1283:BB1283,"&lt;&gt;0")=0,INDEX($AM$4:$AW$4,MATCH(1,$AM1283:$AW1283,0)),"Multiple strategies"))</f>
        <v>Technology</v>
      </c>
      <c r="BH1283" t="s">
        <v>2168</v>
      </c>
      <c r="BN1283" s="143"/>
      <c r="BP1283" s="264" t="s">
        <v>232</v>
      </c>
      <c r="BQ1283" s="264"/>
      <c r="BR1283" t="s">
        <v>2169</v>
      </c>
      <c r="BS1283">
        <v>-157</v>
      </c>
      <c r="BT1283">
        <v>-375</v>
      </c>
      <c r="BU1283" s="144">
        <v>1.0997067448680351</v>
      </c>
      <c r="BV1283">
        <v>-34</v>
      </c>
      <c r="BX1283">
        <f t="shared" si="1663"/>
        <v>-3.4000000000000002E-2</v>
      </c>
      <c r="BY1283" t="str">
        <f t="shared" si="1661"/>
        <v/>
      </c>
      <c r="BZ1283">
        <v>0</v>
      </c>
      <c r="CA1283">
        <v>0</v>
      </c>
      <c r="CB1283">
        <v>0</v>
      </c>
      <c r="CC1283">
        <v>0</v>
      </c>
      <c r="CD1283">
        <v>0</v>
      </c>
      <c r="CE1283">
        <v>0</v>
      </c>
      <c r="CF1283">
        <v>0</v>
      </c>
      <c r="CG1283">
        <v>0</v>
      </c>
      <c r="CH1283">
        <v>0</v>
      </c>
      <c r="CI1283">
        <v>0</v>
      </c>
      <c r="CJ1283">
        <v>0</v>
      </c>
      <c r="CK1283">
        <v>0</v>
      </c>
      <c r="CL1283">
        <v>0</v>
      </c>
      <c r="CM1283">
        <v>0</v>
      </c>
      <c r="CN1283" t="str">
        <f t="shared" si="1664"/>
        <v>refOK</v>
      </c>
      <c r="CO1283"/>
      <c r="CP1283"/>
      <c r="CQ1283"/>
      <c r="CR1283">
        <f t="shared" si="1672"/>
        <v>-157</v>
      </c>
      <c r="CS1283">
        <f t="shared" si="1673"/>
        <v>-375</v>
      </c>
      <c r="CT1283">
        <f t="shared" si="1674"/>
        <v>-3.4000000000000002E-2</v>
      </c>
      <c r="CU1283" t="str">
        <f t="shared" si="1675"/>
        <v/>
      </c>
      <c r="CV1283" s="2">
        <f t="shared" si="1676"/>
        <v>-1.3885350318471337</v>
      </c>
      <c r="CW1283" s="1" t="s">
        <v>1198</v>
      </c>
      <c r="CX1283" s="264" t="str">
        <f t="shared" si="1677"/>
        <v>reg</v>
      </c>
      <c r="CY1283" t="s">
        <v>235</v>
      </c>
      <c r="DB1283">
        <v>30</v>
      </c>
      <c r="DC1283" t="str">
        <f t="shared" si="1678"/>
        <v>1-30</v>
      </c>
      <c r="DD1283">
        <v>0</v>
      </c>
      <c r="DE1283">
        <v>1</v>
      </c>
      <c r="DF1283">
        <v>0</v>
      </c>
      <c r="DG1283">
        <v>0</v>
      </c>
      <c r="DI1283">
        <f t="shared" si="1682"/>
        <v>1</v>
      </c>
      <c r="DJ1283" t="str">
        <f t="shared" si="1679"/>
        <v>EnergyInput</v>
      </c>
      <c r="DK1283">
        <f t="shared" si="1683"/>
        <v>0</v>
      </c>
      <c r="DL1283" t="str">
        <f t="shared" si="1684"/>
        <v>Energy</v>
      </c>
      <c r="DM1283">
        <f t="shared" si="1685"/>
        <v>0</v>
      </c>
      <c r="DN1283">
        <f t="shared" si="1686"/>
        <v>0</v>
      </c>
      <c r="DO1283">
        <v>0</v>
      </c>
      <c r="DP1283">
        <v>1</v>
      </c>
      <c r="DQ1283" t="s">
        <v>2145</v>
      </c>
      <c r="DR1283">
        <v>0</v>
      </c>
      <c r="DS1283">
        <v>0</v>
      </c>
      <c r="DT1283">
        <f t="shared" si="1688"/>
        <v>1</v>
      </c>
      <c r="DU1283" s="143" t="str">
        <f t="shared" si="1687"/>
        <v>external DF used</v>
      </c>
      <c r="DV1283">
        <v>1</v>
      </c>
      <c r="DW1283">
        <v>1</v>
      </c>
      <c r="DX1283">
        <v>1</v>
      </c>
      <c r="DY1283">
        <v>1</v>
      </c>
      <c r="DZ1283">
        <v>1</v>
      </c>
      <c r="EA1283">
        <v>0</v>
      </c>
      <c r="EB1283">
        <v>1</v>
      </c>
      <c r="EC1283">
        <v>1</v>
      </c>
      <c r="ED1283">
        <v>0</v>
      </c>
      <c r="EE1283">
        <v>0</v>
      </c>
      <c r="EF1283">
        <v>1</v>
      </c>
      <c r="EG1283">
        <v>0</v>
      </c>
      <c r="EH1283">
        <v>0</v>
      </c>
      <c r="EI1283" s="2">
        <v>0</v>
      </c>
      <c r="EK1283" t="str">
        <f t="shared" si="1680"/>
        <v>Whole sector</v>
      </c>
      <c r="EL1283" t="str">
        <f t="shared" si="1681"/>
        <v/>
      </c>
      <c r="EM1283" s="2" t="str">
        <f t="shared" si="1662"/>
        <v/>
      </c>
      <c r="EP1283" t="b">
        <f>IF(ISNUMBER(BU1283),IF(ABS(BU1283-[4]QC_indicators!$B$2)&gt;3*[4]QC_indicators!$C$2,"C ratio",IF(ISNUMBER(BY1283),IF(ABS(BY1283-[4]QC_indicators!$B$1)&gt;3*[4]QC_indicators!$C$1,"DF","no"))),IF(ISNUMBER(BY1283),IF(ABS(BY1283-[4]QC_indicators!$B$1)&gt;3*[4]QC_indicators!$C$1,"DF","no")))</f>
        <v>0</v>
      </c>
      <c r="ER1283" s="294" t="s">
        <v>2170</v>
      </c>
      <c r="ET1283" s="264" t="s">
        <v>3406</v>
      </c>
    </row>
    <row r="1284" spans="1:150" ht="15" hidden="1" customHeight="1">
      <c r="A1284" s="1" t="s">
        <v>1359</v>
      </c>
      <c r="B1284" t="s">
        <v>2134</v>
      </c>
      <c r="C1284" t="s">
        <v>2135</v>
      </c>
      <c r="D1284" t="s">
        <v>2136</v>
      </c>
      <c r="E1284" t="s">
        <v>2137</v>
      </c>
      <c r="F1284" t="s">
        <v>2138</v>
      </c>
      <c r="G1284" t="s">
        <v>1365</v>
      </c>
      <c r="H1284" t="s">
        <v>254</v>
      </c>
      <c r="I1284">
        <v>2012</v>
      </c>
      <c r="J1284">
        <v>21</v>
      </c>
      <c r="K1284" t="s">
        <v>2139</v>
      </c>
      <c r="L1284" s="192"/>
      <c r="M1284" t="str">
        <f t="shared" si="1689"/>
        <v>Pyorala_2012</v>
      </c>
      <c r="N1284" t="s">
        <v>222</v>
      </c>
      <c r="O1284" s="145" t="s">
        <v>341</v>
      </c>
      <c r="Q1284" s="264" t="s">
        <v>256</v>
      </c>
      <c r="R1284" s="269" t="s">
        <v>1153</v>
      </c>
      <c r="S1284" s="1" t="s">
        <v>2191</v>
      </c>
      <c r="T1284" t="s">
        <v>798</v>
      </c>
      <c r="U1284" t="s">
        <v>2167</v>
      </c>
      <c r="V1284">
        <v>0</v>
      </c>
      <c r="W1284">
        <v>0</v>
      </c>
      <c r="X1284">
        <v>0</v>
      </c>
      <c r="Y1284">
        <v>0</v>
      </c>
      <c r="Z1284">
        <v>0</v>
      </c>
      <c r="AA1284">
        <v>0</v>
      </c>
      <c r="AB1284">
        <v>0</v>
      </c>
      <c r="AC1284">
        <v>0</v>
      </c>
      <c r="AD1284">
        <v>0</v>
      </c>
      <c r="AE1284">
        <v>0</v>
      </c>
      <c r="AF1284">
        <v>0</v>
      </c>
      <c r="AG1284">
        <v>0</v>
      </c>
      <c r="AH1284">
        <v>0</v>
      </c>
      <c r="AI1284">
        <v>0</v>
      </c>
      <c r="AJ1284">
        <v>0</v>
      </c>
      <c r="AK1284">
        <v>1</v>
      </c>
      <c r="AL1284">
        <v>0</v>
      </c>
      <c r="AM1284">
        <v>0</v>
      </c>
      <c r="AN1284">
        <v>0</v>
      </c>
      <c r="AO1284">
        <v>0</v>
      </c>
      <c r="AP1284">
        <v>0</v>
      </c>
      <c r="AQ1284">
        <v>0</v>
      </c>
      <c r="AR1284">
        <v>0</v>
      </c>
      <c r="AS1284">
        <v>0</v>
      </c>
      <c r="AT1284">
        <v>0</v>
      </c>
      <c r="AU1284">
        <v>0</v>
      </c>
      <c r="AV1284">
        <v>0</v>
      </c>
      <c r="AW1284">
        <v>0</v>
      </c>
      <c r="AX1284" s="141">
        <f t="shared" si="1665"/>
        <v>1</v>
      </c>
      <c r="AY1284" s="141">
        <f t="shared" si="1666"/>
        <v>1</v>
      </c>
      <c r="AZ1284">
        <f t="shared" si="1667"/>
        <v>0</v>
      </c>
      <c r="BA1284">
        <f t="shared" si="1668"/>
        <v>0</v>
      </c>
      <c r="BB1284">
        <f t="shared" si="1669"/>
        <v>1</v>
      </c>
      <c r="BC1284">
        <f t="shared" si="1670"/>
        <v>0</v>
      </c>
      <c r="BD1284">
        <f t="shared" si="1671"/>
        <v>0</v>
      </c>
      <c r="BE1284" t="str" cm="1">
        <f t="array" ref="BE1284">IF(AY1284=1,INDEX($V$7:$AL$7,MATCH(TRUE,INDEX($V1284:$AW1284&lt;&gt;0,),0)),IF(AY1284=0,INDEX($AM$7:$AW$7,MATCH(1,$AM1284:$AW1284,0)),IF(BF1284="Multiple strategies","mixed drivers",IF(BF1284="Supply chain","multiple supply","multiple silviculture"))))</f>
        <v>technologies/design switch</v>
      </c>
      <c r="BF1284" s="2" t="str" cm="1">
        <f t="array" ref="BF1284">IF(COUNTIF(AZ1284:BB1284,"&lt;&gt;0")=1,INDEX($V$4:$AW$4,MATCH(TRUE,INDEX($V1284:$AW1284&lt;&gt;0,),0)),IF(COUNTIF(AZ1284:BB1284,"&lt;&gt;0")=0,INDEX($AM$4:$AW$4,MATCH(1,$AM1284:$AW1284,0)),"Multiple strategies"))</f>
        <v>Technology</v>
      </c>
      <c r="BH1284" t="s">
        <v>2168</v>
      </c>
      <c r="BN1284" s="143"/>
      <c r="BP1284" s="264" t="s">
        <v>232</v>
      </c>
      <c r="BQ1284" s="264"/>
      <c r="BR1284" t="s">
        <v>2169</v>
      </c>
      <c r="BS1284">
        <v>-157</v>
      </c>
      <c r="BT1284">
        <v>-380</v>
      </c>
      <c r="BU1284" s="144">
        <v>1.1143695014662756</v>
      </c>
      <c r="BV1284">
        <v>-39</v>
      </c>
      <c r="BX1284">
        <f t="shared" si="1663"/>
        <v>-3.9E-2</v>
      </c>
      <c r="BY1284" t="str">
        <f t="shared" si="1661"/>
        <v/>
      </c>
      <c r="BZ1284">
        <v>0</v>
      </c>
      <c r="CA1284">
        <v>0</v>
      </c>
      <c r="CB1284">
        <v>0</v>
      </c>
      <c r="CC1284">
        <v>0</v>
      </c>
      <c r="CD1284">
        <v>0</v>
      </c>
      <c r="CE1284">
        <v>0</v>
      </c>
      <c r="CF1284">
        <v>0</v>
      </c>
      <c r="CG1284">
        <v>0</v>
      </c>
      <c r="CH1284">
        <v>0</v>
      </c>
      <c r="CI1284">
        <v>0</v>
      </c>
      <c r="CJ1284">
        <v>0</v>
      </c>
      <c r="CK1284">
        <v>0</v>
      </c>
      <c r="CL1284">
        <v>0</v>
      </c>
      <c r="CM1284">
        <v>0</v>
      </c>
      <c r="CN1284" t="str">
        <f t="shared" si="1664"/>
        <v>refOK</v>
      </c>
      <c r="CO1284"/>
      <c r="CP1284"/>
      <c r="CQ1284"/>
      <c r="CR1284">
        <f t="shared" si="1672"/>
        <v>-157</v>
      </c>
      <c r="CS1284">
        <f t="shared" si="1673"/>
        <v>-380</v>
      </c>
      <c r="CT1284">
        <f t="shared" si="1674"/>
        <v>-3.9E-2</v>
      </c>
      <c r="CU1284" t="str">
        <f t="shared" si="1675"/>
        <v/>
      </c>
      <c r="CV1284" s="2">
        <f t="shared" si="1676"/>
        <v>-1.4203821656050954</v>
      </c>
      <c r="CW1284" s="1" t="s">
        <v>1198</v>
      </c>
      <c r="CX1284" s="264" t="str">
        <f t="shared" si="1677"/>
        <v>reg</v>
      </c>
      <c r="CY1284" t="s">
        <v>235</v>
      </c>
      <c r="DB1284">
        <v>30</v>
      </c>
      <c r="DC1284" t="str">
        <f t="shared" si="1678"/>
        <v>1-30</v>
      </c>
      <c r="DD1284">
        <v>0</v>
      </c>
      <c r="DE1284">
        <v>1</v>
      </c>
      <c r="DF1284">
        <v>0</v>
      </c>
      <c r="DG1284">
        <v>0</v>
      </c>
      <c r="DI1284">
        <f t="shared" si="1682"/>
        <v>1</v>
      </c>
      <c r="DJ1284" t="str">
        <f t="shared" si="1679"/>
        <v>EnergyInput</v>
      </c>
      <c r="DK1284">
        <f t="shared" si="1683"/>
        <v>0</v>
      </c>
      <c r="DL1284" t="str">
        <f t="shared" si="1684"/>
        <v>Energy</v>
      </c>
      <c r="DM1284">
        <f t="shared" si="1685"/>
        <v>0</v>
      </c>
      <c r="DN1284">
        <f t="shared" si="1686"/>
        <v>0</v>
      </c>
      <c r="DO1284">
        <v>0</v>
      </c>
      <c r="DP1284">
        <v>1</v>
      </c>
      <c r="DQ1284" t="s">
        <v>2145</v>
      </c>
      <c r="DR1284">
        <v>0</v>
      </c>
      <c r="DS1284">
        <v>0</v>
      </c>
      <c r="DT1284">
        <f t="shared" si="1688"/>
        <v>1</v>
      </c>
      <c r="DU1284" s="143" t="str">
        <f t="shared" si="1687"/>
        <v>external DF used</v>
      </c>
      <c r="DV1284">
        <v>1</v>
      </c>
      <c r="DW1284">
        <v>1</v>
      </c>
      <c r="DX1284">
        <v>1</v>
      </c>
      <c r="DY1284">
        <v>1</v>
      </c>
      <c r="DZ1284">
        <v>1</v>
      </c>
      <c r="EA1284">
        <v>0</v>
      </c>
      <c r="EB1284">
        <v>1</v>
      </c>
      <c r="EC1284">
        <v>1</v>
      </c>
      <c r="ED1284">
        <v>0</v>
      </c>
      <c r="EE1284">
        <v>0</v>
      </c>
      <c r="EF1284">
        <v>1</v>
      </c>
      <c r="EG1284">
        <v>0</v>
      </c>
      <c r="EH1284">
        <v>0</v>
      </c>
      <c r="EI1284" s="2">
        <v>0</v>
      </c>
      <c r="EK1284" t="str">
        <f t="shared" si="1680"/>
        <v>Whole sector</v>
      </c>
      <c r="EL1284" t="str">
        <f t="shared" si="1681"/>
        <v/>
      </c>
      <c r="EM1284" s="2" t="str">
        <f t="shared" si="1662"/>
        <v/>
      </c>
      <c r="EP1284" t="b">
        <f>IF(ISNUMBER(BU1284),IF(ABS(BU1284-[4]QC_indicators!$B$2)&gt;3*[4]QC_indicators!$C$2,"C ratio",IF(ISNUMBER(BY1284),IF(ABS(BY1284-[4]QC_indicators!$B$1)&gt;3*[4]QC_indicators!$C$1,"DF","no"))),IF(ISNUMBER(BY1284),IF(ABS(BY1284-[4]QC_indicators!$B$1)&gt;3*[4]QC_indicators!$C$1,"DF","no")))</f>
        <v>0</v>
      </c>
      <c r="ER1284" s="294" t="s">
        <v>2170</v>
      </c>
      <c r="ET1284" s="264" t="s">
        <v>3406</v>
      </c>
    </row>
    <row r="1285" spans="1:150" ht="15" hidden="1" customHeight="1">
      <c r="A1285" s="1" t="s">
        <v>1359</v>
      </c>
      <c r="B1285" t="s">
        <v>2134</v>
      </c>
      <c r="C1285" t="s">
        <v>2135</v>
      </c>
      <c r="D1285" t="s">
        <v>2136</v>
      </c>
      <c r="E1285" t="s">
        <v>2137</v>
      </c>
      <c r="F1285" t="s">
        <v>2138</v>
      </c>
      <c r="G1285" t="s">
        <v>1365</v>
      </c>
      <c r="H1285" t="s">
        <v>254</v>
      </c>
      <c r="I1285">
        <v>2012</v>
      </c>
      <c r="J1285">
        <v>21</v>
      </c>
      <c r="K1285" t="s">
        <v>2139</v>
      </c>
      <c r="L1285" s="192"/>
      <c r="M1285" t="str">
        <f t="shared" si="1689"/>
        <v>Pyorala_2012</v>
      </c>
      <c r="N1285" t="s">
        <v>222</v>
      </c>
      <c r="O1285" s="145" t="s">
        <v>341</v>
      </c>
      <c r="Q1285" s="264" t="s">
        <v>256</v>
      </c>
      <c r="R1285" s="269" t="s">
        <v>1153</v>
      </c>
      <c r="S1285" s="1" t="s">
        <v>2192</v>
      </c>
      <c r="T1285" t="s">
        <v>798</v>
      </c>
      <c r="U1285" t="s">
        <v>2167</v>
      </c>
      <c r="V1285">
        <v>0</v>
      </c>
      <c r="W1285">
        <v>0</v>
      </c>
      <c r="X1285">
        <v>0</v>
      </c>
      <c r="Y1285">
        <v>0</v>
      </c>
      <c r="Z1285">
        <v>0</v>
      </c>
      <c r="AA1285">
        <v>0</v>
      </c>
      <c r="AB1285">
        <v>0</v>
      </c>
      <c r="AC1285">
        <v>0</v>
      </c>
      <c r="AD1285">
        <v>0</v>
      </c>
      <c r="AE1285">
        <v>0</v>
      </c>
      <c r="AF1285">
        <v>0</v>
      </c>
      <c r="AG1285">
        <v>0</v>
      </c>
      <c r="AH1285">
        <v>0</v>
      </c>
      <c r="AI1285">
        <v>0</v>
      </c>
      <c r="AJ1285">
        <v>0</v>
      </c>
      <c r="AK1285">
        <v>1</v>
      </c>
      <c r="AL1285">
        <v>0</v>
      </c>
      <c r="AM1285">
        <v>0</v>
      </c>
      <c r="AN1285">
        <v>0</v>
      </c>
      <c r="AO1285">
        <v>0</v>
      </c>
      <c r="AP1285">
        <v>0</v>
      </c>
      <c r="AQ1285">
        <v>0</v>
      </c>
      <c r="AR1285">
        <v>0</v>
      </c>
      <c r="AS1285">
        <v>0</v>
      </c>
      <c r="AT1285">
        <v>0</v>
      </c>
      <c r="AU1285">
        <v>0</v>
      </c>
      <c r="AV1285">
        <v>0</v>
      </c>
      <c r="AW1285">
        <v>0</v>
      </c>
      <c r="AX1285" s="141">
        <f t="shared" si="1665"/>
        <v>1</v>
      </c>
      <c r="AY1285" s="141">
        <f t="shared" si="1666"/>
        <v>1</v>
      </c>
      <c r="AZ1285">
        <f t="shared" si="1667"/>
        <v>0</v>
      </c>
      <c r="BA1285">
        <f t="shared" si="1668"/>
        <v>0</v>
      </c>
      <c r="BB1285">
        <f t="shared" si="1669"/>
        <v>1</v>
      </c>
      <c r="BC1285">
        <f t="shared" si="1670"/>
        <v>0</v>
      </c>
      <c r="BD1285">
        <f t="shared" si="1671"/>
        <v>0</v>
      </c>
      <c r="BE1285" t="str" cm="1">
        <f t="array" ref="BE1285">IF(AY1285=1,INDEX($V$7:$AL$7,MATCH(TRUE,INDEX($V1285:$AW1285&lt;&gt;0,),0)),IF(AY1285=0,INDEX($AM$7:$AW$7,MATCH(1,$AM1285:$AW1285,0)),IF(BF1285="Multiple strategies","mixed drivers",IF(BF1285="Supply chain","multiple supply","multiple silviculture"))))</f>
        <v>technologies/design switch</v>
      </c>
      <c r="BF1285" s="2" t="str" cm="1">
        <f t="array" ref="BF1285">IF(COUNTIF(AZ1285:BB1285,"&lt;&gt;0")=1,INDEX($V$4:$AW$4,MATCH(TRUE,INDEX($V1285:$AW1285&lt;&gt;0,),0)),IF(COUNTIF(AZ1285:BB1285,"&lt;&gt;0")=0,INDEX($AM$4:$AW$4,MATCH(1,$AM1285:$AW1285,0)),"Multiple strategies"))</f>
        <v>Technology</v>
      </c>
      <c r="BH1285" t="s">
        <v>2168</v>
      </c>
      <c r="BN1285" s="143"/>
      <c r="BP1285" s="264" t="s">
        <v>232</v>
      </c>
      <c r="BQ1285" s="264"/>
      <c r="BR1285" t="s">
        <v>2169</v>
      </c>
      <c r="BS1285">
        <v>-157</v>
      </c>
      <c r="BT1285">
        <v>-410</v>
      </c>
      <c r="BU1285" s="144">
        <v>1.2023460410557185</v>
      </c>
      <c r="BV1285">
        <v>-69</v>
      </c>
      <c r="BX1285">
        <f t="shared" si="1663"/>
        <v>-6.9000000000000006E-2</v>
      </c>
      <c r="BY1285" t="str">
        <f t="shared" si="1661"/>
        <v/>
      </c>
      <c r="BZ1285">
        <v>0</v>
      </c>
      <c r="CA1285">
        <v>0</v>
      </c>
      <c r="CB1285">
        <v>0</v>
      </c>
      <c r="CC1285">
        <v>0</v>
      </c>
      <c r="CD1285">
        <v>0</v>
      </c>
      <c r="CE1285">
        <v>0</v>
      </c>
      <c r="CF1285">
        <v>0</v>
      </c>
      <c r="CG1285">
        <v>0</v>
      </c>
      <c r="CH1285">
        <v>0</v>
      </c>
      <c r="CI1285">
        <v>0</v>
      </c>
      <c r="CJ1285">
        <v>0</v>
      </c>
      <c r="CK1285">
        <v>0</v>
      </c>
      <c r="CL1285">
        <v>0</v>
      </c>
      <c r="CM1285">
        <v>0</v>
      </c>
      <c r="CN1285" t="str">
        <f t="shared" si="1664"/>
        <v>refOK</v>
      </c>
      <c r="CO1285"/>
      <c r="CP1285"/>
      <c r="CQ1285"/>
      <c r="CR1285">
        <f t="shared" si="1672"/>
        <v>-157</v>
      </c>
      <c r="CS1285">
        <f t="shared" si="1673"/>
        <v>-410</v>
      </c>
      <c r="CT1285">
        <f t="shared" si="1674"/>
        <v>-6.9000000000000006E-2</v>
      </c>
      <c r="CU1285" t="str">
        <f t="shared" si="1675"/>
        <v/>
      </c>
      <c r="CV1285" s="2">
        <f t="shared" si="1676"/>
        <v>-1.6114649681528663</v>
      </c>
      <c r="CW1285" s="1" t="s">
        <v>1198</v>
      </c>
      <c r="CX1285" s="264" t="str">
        <f t="shared" si="1677"/>
        <v>reg</v>
      </c>
      <c r="CY1285" t="s">
        <v>235</v>
      </c>
      <c r="DB1285">
        <v>30</v>
      </c>
      <c r="DC1285" t="str">
        <f t="shared" si="1678"/>
        <v>1-30</v>
      </c>
      <c r="DD1285">
        <v>0</v>
      </c>
      <c r="DE1285">
        <v>1</v>
      </c>
      <c r="DF1285">
        <v>0</v>
      </c>
      <c r="DG1285">
        <v>0</v>
      </c>
      <c r="DI1285">
        <f t="shared" si="1682"/>
        <v>1</v>
      </c>
      <c r="DJ1285" t="str">
        <f t="shared" si="1679"/>
        <v>EnergyInput</v>
      </c>
      <c r="DK1285">
        <f t="shared" si="1683"/>
        <v>0</v>
      </c>
      <c r="DL1285" t="str">
        <f t="shared" si="1684"/>
        <v>Energy</v>
      </c>
      <c r="DM1285">
        <f t="shared" si="1685"/>
        <v>0</v>
      </c>
      <c r="DN1285">
        <f t="shared" si="1686"/>
        <v>0</v>
      </c>
      <c r="DO1285">
        <v>0</v>
      </c>
      <c r="DP1285">
        <v>1</v>
      </c>
      <c r="DQ1285" t="s">
        <v>2145</v>
      </c>
      <c r="DR1285">
        <v>0</v>
      </c>
      <c r="DS1285">
        <v>0</v>
      </c>
      <c r="DT1285">
        <f t="shared" si="1688"/>
        <v>1</v>
      </c>
      <c r="DU1285" s="143" t="str">
        <f t="shared" si="1687"/>
        <v>external DF used</v>
      </c>
      <c r="DV1285">
        <v>1</v>
      </c>
      <c r="DW1285">
        <v>1</v>
      </c>
      <c r="DX1285">
        <v>1</v>
      </c>
      <c r="DY1285">
        <v>1</v>
      </c>
      <c r="DZ1285">
        <v>1</v>
      </c>
      <c r="EA1285">
        <v>0</v>
      </c>
      <c r="EB1285">
        <v>1</v>
      </c>
      <c r="EC1285">
        <v>1</v>
      </c>
      <c r="ED1285">
        <v>0</v>
      </c>
      <c r="EE1285">
        <v>0</v>
      </c>
      <c r="EF1285">
        <v>1</v>
      </c>
      <c r="EG1285">
        <v>0</v>
      </c>
      <c r="EH1285">
        <v>0</v>
      </c>
      <c r="EI1285" s="2">
        <v>0</v>
      </c>
      <c r="EK1285" t="str">
        <f t="shared" si="1680"/>
        <v>Whole sector</v>
      </c>
      <c r="EL1285" t="str">
        <f t="shared" si="1681"/>
        <v/>
      </c>
      <c r="EM1285" s="2" t="str">
        <f t="shared" si="1662"/>
        <v/>
      </c>
      <c r="EP1285" t="b">
        <f>IF(ISNUMBER(BU1285),IF(ABS(BU1285-[4]QC_indicators!$B$2)&gt;3*[4]QC_indicators!$C$2,"C ratio",IF(ISNUMBER(BY1285),IF(ABS(BY1285-[4]QC_indicators!$B$1)&gt;3*[4]QC_indicators!$C$1,"DF","no"))),IF(ISNUMBER(BY1285),IF(ABS(BY1285-[4]QC_indicators!$B$1)&gt;3*[4]QC_indicators!$C$1,"DF","no")))</f>
        <v>0</v>
      </c>
      <c r="ER1285" s="294" t="s">
        <v>2170</v>
      </c>
      <c r="ET1285" s="264" t="s">
        <v>3406</v>
      </c>
    </row>
    <row r="1286" spans="1:150" ht="15" hidden="1" customHeight="1">
      <c r="A1286" s="1" t="s">
        <v>1359</v>
      </c>
      <c r="B1286" t="s">
        <v>2134</v>
      </c>
      <c r="C1286" t="s">
        <v>2135</v>
      </c>
      <c r="D1286" t="s">
        <v>2136</v>
      </c>
      <c r="E1286" t="s">
        <v>2137</v>
      </c>
      <c r="F1286" t="s">
        <v>2138</v>
      </c>
      <c r="G1286" t="s">
        <v>1365</v>
      </c>
      <c r="H1286" t="s">
        <v>254</v>
      </c>
      <c r="I1286">
        <v>2012</v>
      </c>
      <c r="J1286">
        <v>21</v>
      </c>
      <c r="K1286" t="s">
        <v>2139</v>
      </c>
      <c r="L1286" s="192"/>
      <c r="M1286" t="str">
        <f t="shared" si="1689"/>
        <v>Pyorala_2012</v>
      </c>
      <c r="N1286" t="s">
        <v>222</v>
      </c>
      <c r="O1286" s="145" t="s">
        <v>341</v>
      </c>
      <c r="Q1286" s="264" t="s">
        <v>256</v>
      </c>
      <c r="R1286" s="269" t="s">
        <v>1153</v>
      </c>
      <c r="S1286" s="1" t="s">
        <v>2193</v>
      </c>
      <c r="T1286" t="s">
        <v>798</v>
      </c>
      <c r="U1286" t="s">
        <v>2167</v>
      </c>
      <c r="V1286">
        <v>0</v>
      </c>
      <c r="W1286">
        <v>0</v>
      </c>
      <c r="X1286">
        <v>0</v>
      </c>
      <c r="Y1286">
        <v>0</v>
      </c>
      <c r="Z1286">
        <v>0</v>
      </c>
      <c r="AA1286">
        <v>0</v>
      </c>
      <c r="AB1286">
        <v>0</v>
      </c>
      <c r="AC1286">
        <v>0</v>
      </c>
      <c r="AD1286">
        <v>0</v>
      </c>
      <c r="AE1286">
        <v>0</v>
      </c>
      <c r="AF1286">
        <v>0</v>
      </c>
      <c r="AG1286">
        <v>0</v>
      </c>
      <c r="AH1286">
        <v>0</v>
      </c>
      <c r="AI1286">
        <v>0</v>
      </c>
      <c r="AJ1286">
        <v>0</v>
      </c>
      <c r="AK1286">
        <v>1</v>
      </c>
      <c r="AL1286">
        <v>0</v>
      </c>
      <c r="AM1286">
        <v>0</v>
      </c>
      <c r="AN1286">
        <v>0</v>
      </c>
      <c r="AO1286">
        <v>0</v>
      </c>
      <c r="AP1286">
        <v>0</v>
      </c>
      <c r="AQ1286">
        <v>0</v>
      </c>
      <c r="AR1286">
        <v>0</v>
      </c>
      <c r="AS1286">
        <v>0</v>
      </c>
      <c r="AT1286">
        <v>0</v>
      </c>
      <c r="AU1286">
        <v>0</v>
      </c>
      <c r="AV1286">
        <v>0</v>
      </c>
      <c r="AW1286">
        <v>0</v>
      </c>
      <c r="AX1286" s="141">
        <f t="shared" si="1665"/>
        <v>1</v>
      </c>
      <c r="AY1286" s="141">
        <f t="shared" si="1666"/>
        <v>1</v>
      </c>
      <c r="AZ1286">
        <f t="shared" si="1667"/>
        <v>0</v>
      </c>
      <c r="BA1286">
        <f t="shared" si="1668"/>
        <v>0</v>
      </c>
      <c r="BB1286">
        <f t="shared" si="1669"/>
        <v>1</v>
      </c>
      <c r="BC1286">
        <f t="shared" si="1670"/>
        <v>0</v>
      </c>
      <c r="BD1286">
        <f t="shared" si="1671"/>
        <v>0</v>
      </c>
      <c r="BE1286" t="str" cm="1">
        <f t="array" ref="BE1286">IF(AY1286=1,INDEX($V$7:$AL$7,MATCH(TRUE,INDEX($V1286:$AW1286&lt;&gt;0,),0)),IF(AY1286=0,INDEX($AM$7:$AW$7,MATCH(1,$AM1286:$AW1286,0)),IF(BF1286="Multiple strategies","mixed drivers",IF(BF1286="Supply chain","multiple supply","multiple silviculture"))))</f>
        <v>technologies/design switch</v>
      </c>
      <c r="BF1286" s="2" t="str" cm="1">
        <f t="array" ref="BF1286">IF(COUNTIF(AZ1286:BB1286,"&lt;&gt;0")=1,INDEX($V$4:$AW$4,MATCH(TRUE,INDEX($V1286:$AW1286&lt;&gt;0,),0)),IF(COUNTIF(AZ1286:BB1286,"&lt;&gt;0")=0,INDEX($AM$4:$AW$4,MATCH(1,$AM1286:$AW1286,0)),"Multiple strategies"))</f>
        <v>Technology</v>
      </c>
      <c r="BH1286" t="s">
        <v>2168</v>
      </c>
      <c r="BN1286" s="143"/>
      <c r="BP1286" s="264" t="s">
        <v>232</v>
      </c>
      <c r="BQ1286" s="264"/>
      <c r="BR1286" t="s">
        <v>2169</v>
      </c>
      <c r="BS1286">
        <v>-157</v>
      </c>
      <c r="BT1286">
        <v>-411</v>
      </c>
      <c r="BU1286" s="144">
        <v>1.2052785923753666</v>
      </c>
      <c r="BV1286">
        <v>-70</v>
      </c>
      <c r="BX1286">
        <f t="shared" si="1663"/>
        <v>-7.0000000000000007E-2</v>
      </c>
      <c r="BY1286" t="str">
        <f t="shared" si="1661"/>
        <v/>
      </c>
      <c r="BZ1286">
        <v>0</v>
      </c>
      <c r="CA1286">
        <v>0</v>
      </c>
      <c r="CB1286">
        <v>0</v>
      </c>
      <c r="CC1286">
        <v>0</v>
      </c>
      <c r="CD1286">
        <v>0</v>
      </c>
      <c r="CE1286">
        <v>0</v>
      </c>
      <c r="CF1286">
        <v>0</v>
      </c>
      <c r="CG1286">
        <v>0</v>
      </c>
      <c r="CH1286">
        <v>0</v>
      </c>
      <c r="CI1286">
        <v>0</v>
      </c>
      <c r="CJ1286">
        <v>0</v>
      </c>
      <c r="CK1286">
        <v>0</v>
      </c>
      <c r="CL1286">
        <v>0</v>
      </c>
      <c r="CM1286">
        <v>0</v>
      </c>
      <c r="CN1286" t="str">
        <f t="shared" si="1664"/>
        <v>refOK</v>
      </c>
      <c r="CO1286"/>
      <c r="CP1286"/>
      <c r="CQ1286"/>
      <c r="CR1286">
        <f t="shared" si="1672"/>
        <v>-157</v>
      </c>
      <c r="CS1286">
        <f t="shared" si="1673"/>
        <v>-411</v>
      </c>
      <c r="CT1286">
        <f t="shared" si="1674"/>
        <v>-7.0000000000000007E-2</v>
      </c>
      <c r="CU1286" t="str">
        <f t="shared" si="1675"/>
        <v/>
      </c>
      <c r="CV1286" s="2">
        <f t="shared" si="1676"/>
        <v>-1.6178343949044587</v>
      </c>
      <c r="CW1286" s="1" t="s">
        <v>1198</v>
      </c>
      <c r="CX1286" s="264" t="str">
        <f t="shared" si="1677"/>
        <v>reg</v>
      </c>
      <c r="CY1286" t="s">
        <v>235</v>
      </c>
      <c r="DB1286">
        <v>30</v>
      </c>
      <c r="DC1286" t="str">
        <f t="shared" si="1678"/>
        <v>1-30</v>
      </c>
      <c r="DD1286">
        <v>0</v>
      </c>
      <c r="DE1286">
        <v>1</v>
      </c>
      <c r="DF1286">
        <v>0</v>
      </c>
      <c r="DG1286">
        <v>0</v>
      </c>
      <c r="DI1286">
        <f t="shared" si="1682"/>
        <v>1</v>
      </c>
      <c r="DJ1286" t="str">
        <f t="shared" si="1679"/>
        <v>EnergyInput</v>
      </c>
      <c r="DK1286">
        <f t="shared" si="1683"/>
        <v>0</v>
      </c>
      <c r="DL1286" t="str">
        <f t="shared" si="1684"/>
        <v>Energy</v>
      </c>
      <c r="DM1286">
        <f t="shared" si="1685"/>
        <v>0</v>
      </c>
      <c r="DN1286">
        <f t="shared" si="1686"/>
        <v>0</v>
      </c>
      <c r="DO1286">
        <v>0</v>
      </c>
      <c r="DP1286">
        <v>1</v>
      </c>
      <c r="DQ1286" t="s">
        <v>2145</v>
      </c>
      <c r="DR1286">
        <v>0</v>
      </c>
      <c r="DS1286">
        <v>0</v>
      </c>
      <c r="DT1286">
        <f t="shared" si="1688"/>
        <v>1</v>
      </c>
      <c r="DU1286" s="143" t="str">
        <f t="shared" si="1687"/>
        <v>external DF used</v>
      </c>
      <c r="DV1286">
        <v>1</v>
      </c>
      <c r="DW1286">
        <v>1</v>
      </c>
      <c r="DX1286">
        <v>1</v>
      </c>
      <c r="DY1286">
        <v>1</v>
      </c>
      <c r="DZ1286">
        <v>1</v>
      </c>
      <c r="EA1286">
        <v>0</v>
      </c>
      <c r="EB1286">
        <v>1</v>
      </c>
      <c r="EC1286">
        <v>1</v>
      </c>
      <c r="ED1286">
        <v>0</v>
      </c>
      <c r="EE1286">
        <v>0</v>
      </c>
      <c r="EF1286">
        <v>1</v>
      </c>
      <c r="EG1286">
        <v>0</v>
      </c>
      <c r="EH1286">
        <v>0</v>
      </c>
      <c r="EI1286" s="2">
        <v>0</v>
      </c>
      <c r="EK1286" t="str">
        <f t="shared" si="1680"/>
        <v>Whole sector</v>
      </c>
      <c r="EL1286" t="str">
        <f t="shared" si="1681"/>
        <v/>
      </c>
      <c r="EM1286" s="2" t="str">
        <f t="shared" si="1662"/>
        <v/>
      </c>
      <c r="EP1286" t="b">
        <f>IF(ISNUMBER(BU1286),IF(ABS(BU1286-[4]QC_indicators!$B$2)&gt;3*[4]QC_indicators!$C$2,"C ratio",IF(ISNUMBER(BY1286),IF(ABS(BY1286-[4]QC_indicators!$B$1)&gt;3*[4]QC_indicators!$C$1,"DF","no"))),IF(ISNUMBER(BY1286),IF(ABS(BY1286-[4]QC_indicators!$B$1)&gt;3*[4]QC_indicators!$C$1,"DF","no")))</f>
        <v>0</v>
      </c>
      <c r="ER1286" s="294" t="s">
        <v>2170</v>
      </c>
      <c r="ET1286" s="264" t="s">
        <v>3406</v>
      </c>
    </row>
    <row r="1287" spans="1:150" ht="15" hidden="1" customHeight="1">
      <c r="A1287" s="1" t="s">
        <v>1359</v>
      </c>
      <c r="B1287" t="s">
        <v>2134</v>
      </c>
      <c r="C1287" t="s">
        <v>2135</v>
      </c>
      <c r="D1287" t="s">
        <v>2136</v>
      </c>
      <c r="E1287" t="s">
        <v>2137</v>
      </c>
      <c r="F1287" t="s">
        <v>2138</v>
      </c>
      <c r="G1287" t="s">
        <v>1365</v>
      </c>
      <c r="H1287" t="s">
        <v>254</v>
      </c>
      <c r="I1287">
        <v>2012</v>
      </c>
      <c r="J1287">
        <v>21</v>
      </c>
      <c r="K1287" t="s">
        <v>2139</v>
      </c>
      <c r="L1287" s="192"/>
      <c r="M1287" t="str">
        <f t="shared" si="1689"/>
        <v>Pyorala_2012</v>
      </c>
      <c r="N1287" t="s">
        <v>222</v>
      </c>
      <c r="O1287" s="145" t="s">
        <v>341</v>
      </c>
      <c r="Q1287" s="264" t="s">
        <v>256</v>
      </c>
      <c r="R1287" s="269" t="s">
        <v>1153</v>
      </c>
      <c r="S1287" s="1" t="s">
        <v>2194</v>
      </c>
      <c r="T1287" t="s">
        <v>798</v>
      </c>
      <c r="U1287" t="s">
        <v>2167</v>
      </c>
      <c r="V1287">
        <v>0</v>
      </c>
      <c r="W1287">
        <v>0</v>
      </c>
      <c r="X1287">
        <v>0</v>
      </c>
      <c r="Y1287">
        <v>0</v>
      </c>
      <c r="Z1287">
        <v>0</v>
      </c>
      <c r="AA1287">
        <v>0</v>
      </c>
      <c r="AB1287">
        <v>0</v>
      </c>
      <c r="AC1287">
        <v>0</v>
      </c>
      <c r="AD1287">
        <v>0</v>
      </c>
      <c r="AE1287">
        <v>0</v>
      </c>
      <c r="AF1287">
        <v>0</v>
      </c>
      <c r="AG1287">
        <v>0</v>
      </c>
      <c r="AH1287">
        <v>0</v>
      </c>
      <c r="AI1287">
        <v>0</v>
      </c>
      <c r="AJ1287">
        <v>0</v>
      </c>
      <c r="AK1287">
        <v>1</v>
      </c>
      <c r="AL1287">
        <v>0</v>
      </c>
      <c r="AM1287">
        <v>0</v>
      </c>
      <c r="AN1287">
        <v>0</v>
      </c>
      <c r="AO1287">
        <v>0</v>
      </c>
      <c r="AP1287">
        <v>0</v>
      </c>
      <c r="AQ1287">
        <v>0</v>
      </c>
      <c r="AR1287">
        <v>0</v>
      </c>
      <c r="AS1287">
        <v>0</v>
      </c>
      <c r="AT1287">
        <v>0</v>
      </c>
      <c r="AU1287">
        <v>0</v>
      </c>
      <c r="AV1287">
        <v>0</v>
      </c>
      <c r="AW1287">
        <v>0</v>
      </c>
      <c r="AX1287" s="141">
        <f t="shared" si="1665"/>
        <v>1</v>
      </c>
      <c r="AY1287" s="141">
        <f t="shared" si="1666"/>
        <v>1</v>
      </c>
      <c r="AZ1287">
        <f t="shared" si="1667"/>
        <v>0</v>
      </c>
      <c r="BA1287">
        <f t="shared" si="1668"/>
        <v>0</v>
      </c>
      <c r="BB1287">
        <f t="shared" si="1669"/>
        <v>1</v>
      </c>
      <c r="BC1287">
        <f t="shared" si="1670"/>
        <v>0</v>
      </c>
      <c r="BD1287">
        <f t="shared" si="1671"/>
        <v>0</v>
      </c>
      <c r="BE1287" t="str" cm="1">
        <f t="array" ref="BE1287">IF(AY1287=1,INDEX($V$7:$AL$7,MATCH(TRUE,INDEX($V1287:$AW1287&lt;&gt;0,),0)),IF(AY1287=0,INDEX($AM$7:$AW$7,MATCH(1,$AM1287:$AW1287,0)),IF(BF1287="Multiple strategies","mixed drivers",IF(BF1287="Supply chain","multiple supply","multiple silviculture"))))</f>
        <v>technologies/design switch</v>
      </c>
      <c r="BF1287" s="2" t="str" cm="1">
        <f t="array" ref="BF1287">IF(COUNTIF(AZ1287:BB1287,"&lt;&gt;0")=1,INDEX($V$4:$AW$4,MATCH(TRUE,INDEX($V1287:$AW1287&lt;&gt;0,),0)),IF(COUNTIF(AZ1287:BB1287,"&lt;&gt;0")=0,INDEX($AM$4:$AW$4,MATCH(1,$AM1287:$AW1287,0)),"Multiple strategies"))</f>
        <v>Technology</v>
      </c>
      <c r="BH1287" t="s">
        <v>2168</v>
      </c>
      <c r="BN1287" s="143"/>
      <c r="BP1287" s="264" t="s">
        <v>232</v>
      </c>
      <c r="BQ1287" s="264"/>
      <c r="BR1287" t="s">
        <v>2169</v>
      </c>
      <c r="BS1287">
        <v>-157</v>
      </c>
      <c r="BT1287">
        <v>-411</v>
      </c>
      <c r="BU1287" s="144">
        <v>1.2052785923753666</v>
      </c>
      <c r="BV1287">
        <v>-70</v>
      </c>
      <c r="BX1287">
        <f t="shared" si="1663"/>
        <v>-7.0000000000000007E-2</v>
      </c>
      <c r="BY1287" t="str">
        <f t="shared" si="1661"/>
        <v/>
      </c>
      <c r="BZ1287">
        <v>0</v>
      </c>
      <c r="CA1287">
        <v>0</v>
      </c>
      <c r="CB1287">
        <v>0</v>
      </c>
      <c r="CC1287">
        <v>0</v>
      </c>
      <c r="CD1287">
        <v>0</v>
      </c>
      <c r="CE1287">
        <v>0</v>
      </c>
      <c r="CF1287">
        <v>0</v>
      </c>
      <c r="CG1287">
        <v>0</v>
      </c>
      <c r="CH1287">
        <v>0</v>
      </c>
      <c r="CI1287">
        <v>0</v>
      </c>
      <c r="CJ1287">
        <v>0</v>
      </c>
      <c r="CK1287">
        <v>0</v>
      </c>
      <c r="CL1287">
        <v>0</v>
      </c>
      <c r="CM1287">
        <v>0</v>
      </c>
      <c r="CN1287" t="str">
        <f t="shared" si="1664"/>
        <v>refOK</v>
      </c>
      <c r="CO1287"/>
      <c r="CP1287"/>
      <c r="CQ1287"/>
      <c r="CR1287">
        <f t="shared" si="1672"/>
        <v>-157</v>
      </c>
      <c r="CS1287">
        <f t="shared" si="1673"/>
        <v>-411</v>
      </c>
      <c r="CT1287">
        <f t="shared" si="1674"/>
        <v>-7.0000000000000007E-2</v>
      </c>
      <c r="CU1287" t="str">
        <f t="shared" si="1675"/>
        <v/>
      </c>
      <c r="CV1287" s="2">
        <f t="shared" si="1676"/>
        <v>-1.6178343949044587</v>
      </c>
      <c r="CW1287" s="1" t="s">
        <v>1198</v>
      </c>
      <c r="CX1287" s="264" t="str">
        <f t="shared" si="1677"/>
        <v>reg</v>
      </c>
      <c r="CY1287" t="s">
        <v>235</v>
      </c>
      <c r="DB1287">
        <v>30</v>
      </c>
      <c r="DC1287" t="str">
        <f t="shared" si="1678"/>
        <v>1-30</v>
      </c>
      <c r="DD1287">
        <v>0</v>
      </c>
      <c r="DE1287">
        <v>1</v>
      </c>
      <c r="DF1287">
        <v>0</v>
      </c>
      <c r="DG1287">
        <v>0</v>
      </c>
      <c r="DI1287">
        <f t="shared" si="1682"/>
        <v>1</v>
      </c>
      <c r="DJ1287" t="str">
        <f t="shared" si="1679"/>
        <v>EnergyInput</v>
      </c>
      <c r="DK1287">
        <f t="shared" si="1683"/>
        <v>0</v>
      </c>
      <c r="DL1287" t="str">
        <f t="shared" si="1684"/>
        <v>Energy</v>
      </c>
      <c r="DM1287">
        <f t="shared" si="1685"/>
        <v>0</v>
      </c>
      <c r="DN1287">
        <f t="shared" si="1686"/>
        <v>0</v>
      </c>
      <c r="DO1287">
        <v>0</v>
      </c>
      <c r="DP1287">
        <v>1</v>
      </c>
      <c r="DQ1287" t="s">
        <v>2145</v>
      </c>
      <c r="DR1287">
        <v>0</v>
      </c>
      <c r="DS1287">
        <v>0</v>
      </c>
      <c r="DT1287">
        <f t="shared" si="1688"/>
        <v>1</v>
      </c>
      <c r="DU1287" s="143" t="str">
        <f t="shared" si="1687"/>
        <v>external DF used</v>
      </c>
      <c r="DV1287">
        <v>1</v>
      </c>
      <c r="DW1287">
        <v>1</v>
      </c>
      <c r="DX1287">
        <v>1</v>
      </c>
      <c r="DY1287">
        <v>1</v>
      </c>
      <c r="DZ1287">
        <v>1</v>
      </c>
      <c r="EA1287">
        <v>0</v>
      </c>
      <c r="EB1287">
        <v>1</v>
      </c>
      <c r="EC1287">
        <v>1</v>
      </c>
      <c r="ED1287">
        <v>0</v>
      </c>
      <c r="EE1287">
        <v>0</v>
      </c>
      <c r="EF1287">
        <v>1</v>
      </c>
      <c r="EG1287">
        <v>0</v>
      </c>
      <c r="EH1287">
        <v>0</v>
      </c>
      <c r="EI1287" s="2">
        <v>0</v>
      </c>
      <c r="EK1287" t="str">
        <f t="shared" si="1680"/>
        <v>Whole sector</v>
      </c>
      <c r="EL1287" t="str">
        <f t="shared" si="1681"/>
        <v/>
      </c>
      <c r="EM1287" s="2" t="str">
        <f t="shared" si="1662"/>
        <v/>
      </c>
      <c r="EP1287" t="b">
        <f>IF(ISNUMBER(BU1287),IF(ABS(BU1287-[4]QC_indicators!$B$2)&gt;3*[4]QC_indicators!$C$2,"C ratio",IF(ISNUMBER(BY1287),IF(ABS(BY1287-[4]QC_indicators!$B$1)&gt;3*[4]QC_indicators!$C$1,"DF","no"))),IF(ISNUMBER(BY1287),IF(ABS(BY1287-[4]QC_indicators!$B$1)&gt;3*[4]QC_indicators!$C$1,"DF","no")))</f>
        <v>0</v>
      </c>
      <c r="ER1287" s="294" t="s">
        <v>2170</v>
      </c>
      <c r="ET1287" s="264" t="s">
        <v>3406</v>
      </c>
    </row>
    <row r="1288" spans="1:150" ht="15" hidden="1" customHeight="1">
      <c r="A1288" s="1" t="s">
        <v>1359</v>
      </c>
      <c r="B1288" t="s">
        <v>2134</v>
      </c>
      <c r="C1288" t="s">
        <v>2135</v>
      </c>
      <c r="D1288" t="s">
        <v>2136</v>
      </c>
      <c r="E1288" t="s">
        <v>2137</v>
      </c>
      <c r="F1288" t="s">
        <v>2138</v>
      </c>
      <c r="G1288" t="s">
        <v>1365</v>
      </c>
      <c r="H1288" t="s">
        <v>254</v>
      </c>
      <c r="I1288">
        <v>2012</v>
      </c>
      <c r="J1288">
        <v>21</v>
      </c>
      <c r="K1288" t="s">
        <v>2139</v>
      </c>
      <c r="L1288" s="192"/>
      <c r="M1288" t="str">
        <f t="shared" si="1689"/>
        <v>Pyorala_2012</v>
      </c>
      <c r="N1288" t="s">
        <v>222</v>
      </c>
      <c r="O1288" s="145" t="s">
        <v>341</v>
      </c>
      <c r="Q1288" s="264" t="s">
        <v>256</v>
      </c>
      <c r="R1288" s="269" t="s">
        <v>1153</v>
      </c>
      <c r="S1288" s="1" t="s">
        <v>2195</v>
      </c>
      <c r="T1288" t="s">
        <v>798</v>
      </c>
      <c r="U1288" t="s">
        <v>2167</v>
      </c>
      <c r="V1288">
        <v>0</v>
      </c>
      <c r="W1288">
        <v>0</v>
      </c>
      <c r="X1288">
        <v>0</v>
      </c>
      <c r="Y1288">
        <v>0</v>
      </c>
      <c r="Z1288">
        <v>0</v>
      </c>
      <c r="AA1288">
        <v>0</v>
      </c>
      <c r="AB1288">
        <v>0</v>
      </c>
      <c r="AC1288">
        <v>0</v>
      </c>
      <c r="AD1288">
        <v>0</v>
      </c>
      <c r="AE1288">
        <v>0</v>
      </c>
      <c r="AF1288">
        <v>0</v>
      </c>
      <c r="AG1288">
        <v>0</v>
      </c>
      <c r="AH1288">
        <v>0</v>
      </c>
      <c r="AI1288">
        <v>0</v>
      </c>
      <c r="AJ1288">
        <v>0</v>
      </c>
      <c r="AK1288">
        <v>1</v>
      </c>
      <c r="AL1288">
        <v>0</v>
      </c>
      <c r="AM1288">
        <v>0</v>
      </c>
      <c r="AN1288">
        <v>0</v>
      </c>
      <c r="AO1288">
        <v>0</v>
      </c>
      <c r="AP1288">
        <v>0</v>
      </c>
      <c r="AQ1288">
        <v>0</v>
      </c>
      <c r="AR1288">
        <v>0</v>
      </c>
      <c r="AS1288">
        <v>0</v>
      </c>
      <c r="AT1288">
        <v>0</v>
      </c>
      <c r="AU1288">
        <v>0</v>
      </c>
      <c r="AV1288">
        <v>0</v>
      </c>
      <c r="AW1288">
        <v>0</v>
      </c>
      <c r="AX1288" s="141">
        <f t="shared" si="1665"/>
        <v>1</v>
      </c>
      <c r="AY1288" s="141">
        <f t="shared" si="1666"/>
        <v>1</v>
      </c>
      <c r="AZ1288">
        <f t="shared" si="1667"/>
        <v>0</v>
      </c>
      <c r="BA1288">
        <f t="shared" si="1668"/>
        <v>0</v>
      </c>
      <c r="BB1288">
        <f t="shared" si="1669"/>
        <v>1</v>
      </c>
      <c r="BC1288">
        <f t="shared" si="1670"/>
        <v>0</v>
      </c>
      <c r="BD1288">
        <f t="shared" si="1671"/>
        <v>0</v>
      </c>
      <c r="BE1288" t="str" cm="1">
        <f t="array" ref="BE1288">IF(AY1288=1,INDEX($V$7:$AL$7,MATCH(TRUE,INDEX($V1288:$AW1288&lt;&gt;0,),0)),IF(AY1288=0,INDEX($AM$7:$AW$7,MATCH(1,$AM1288:$AW1288,0)),IF(BF1288="Multiple strategies","mixed drivers",IF(BF1288="Supply chain","multiple supply","multiple silviculture"))))</f>
        <v>technologies/design switch</v>
      </c>
      <c r="BF1288" s="2" t="str" cm="1">
        <f t="array" ref="BF1288">IF(COUNTIF(AZ1288:BB1288,"&lt;&gt;0")=1,INDEX($V$4:$AW$4,MATCH(TRUE,INDEX($V1288:$AW1288&lt;&gt;0,),0)),IF(COUNTIF(AZ1288:BB1288,"&lt;&gt;0")=0,INDEX($AM$4:$AW$4,MATCH(1,$AM1288:$AW1288,0)),"Multiple strategies"))</f>
        <v>Technology</v>
      </c>
      <c r="BH1288" t="s">
        <v>2168</v>
      </c>
      <c r="BN1288" s="143"/>
      <c r="BP1288" s="264" t="s">
        <v>232</v>
      </c>
      <c r="BQ1288" s="264"/>
      <c r="BR1288" t="s">
        <v>2169</v>
      </c>
      <c r="BS1288">
        <v>-157</v>
      </c>
      <c r="BT1288">
        <v>-414</v>
      </c>
      <c r="BU1288" s="144">
        <v>1.2140762463343109</v>
      </c>
      <c r="BV1288">
        <v>-73</v>
      </c>
      <c r="BX1288">
        <f t="shared" si="1663"/>
        <v>-7.2999999999999995E-2</v>
      </c>
      <c r="BY1288" t="str">
        <f t="shared" si="1661"/>
        <v/>
      </c>
      <c r="BZ1288">
        <v>0</v>
      </c>
      <c r="CA1288">
        <v>0</v>
      </c>
      <c r="CB1288">
        <v>0</v>
      </c>
      <c r="CC1288">
        <v>0</v>
      </c>
      <c r="CD1288">
        <v>0</v>
      </c>
      <c r="CE1288">
        <v>0</v>
      </c>
      <c r="CF1288">
        <v>0</v>
      </c>
      <c r="CG1288">
        <v>0</v>
      </c>
      <c r="CH1288">
        <v>0</v>
      </c>
      <c r="CI1288">
        <v>0</v>
      </c>
      <c r="CJ1288">
        <v>0</v>
      </c>
      <c r="CK1288">
        <v>0</v>
      </c>
      <c r="CL1288">
        <v>0</v>
      </c>
      <c r="CM1288">
        <v>0</v>
      </c>
      <c r="CN1288" t="str">
        <f t="shared" si="1664"/>
        <v>refOK</v>
      </c>
      <c r="CO1288"/>
      <c r="CP1288"/>
      <c r="CQ1288"/>
      <c r="CR1288">
        <f t="shared" si="1672"/>
        <v>-157</v>
      </c>
      <c r="CS1288">
        <f t="shared" si="1673"/>
        <v>-414</v>
      </c>
      <c r="CT1288">
        <f t="shared" si="1674"/>
        <v>-7.2999999999999995E-2</v>
      </c>
      <c r="CU1288" t="str">
        <f t="shared" si="1675"/>
        <v/>
      </c>
      <c r="CV1288" s="2">
        <f t="shared" si="1676"/>
        <v>-1.6369426751592357</v>
      </c>
      <c r="CW1288" s="1" t="s">
        <v>1198</v>
      </c>
      <c r="CX1288" s="264" t="str">
        <f t="shared" si="1677"/>
        <v>reg</v>
      </c>
      <c r="CY1288" t="s">
        <v>235</v>
      </c>
      <c r="DB1288">
        <v>30</v>
      </c>
      <c r="DC1288" t="str">
        <f t="shared" si="1678"/>
        <v>1-30</v>
      </c>
      <c r="DD1288">
        <v>0</v>
      </c>
      <c r="DE1288">
        <v>1</v>
      </c>
      <c r="DF1288">
        <v>0</v>
      </c>
      <c r="DG1288">
        <v>0</v>
      </c>
      <c r="DI1288">
        <f t="shared" si="1682"/>
        <v>1</v>
      </c>
      <c r="DJ1288" t="str">
        <f t="shared" si="1679"/>
        <v>EnergyInput</v>
      </c>
      <c r="DK1288">
        <f t="shared" si="1683"/>
        <v>0</v>
      </c>
      <c r="DL1288" t="str">
        <f t="shared" si="1684"/>
        <v>Energy</v>
      </c>
      <c r="DM1288">
        <f t="shared" si="1685"/>
        <v>0</v>
      </c>
      <c r="DN1288">
        <f t="shared" si="1686"/>
        <v>0</v>
      </c>
      <c r="DO1288">
        <v>0</v>
      </c>
      <c r="DP1288">
        <v>1</v>
      </c>
      <c r="DQ1288" t="s">
        <v>2145</v>
      </c>
      <c r="DR1288">
        <v>0</v>
      </c>
      <c r="DS1288">
        <v>0</v>
      </c>
      <c r="DT1288">
        <f t="shared" si="1688"/>
        <v>1</v>
      </c>
      <c r="DU1288" s="143" t="str">
        <f t="shared" si="1687"/>
        <v>external DF used</v>
      </c>
      <c r="DV1288">
        <v>1</v>
      </c>
      <c r="DW1288">
        <v>1</v>
      </c>
      <c r="DX1288">
        <v>1</v>
      </c>
      <c r="DY1288">
        <v>1</v>
      </c>
      <c r="DZ1288">
        <v>1</v>
      </c>
      <c r="EA1288">
        <v>0</v>
      </c>
      <c r="EB1288">
        <v>1</v>
      </c>
      <c r="EC1288">
        <v>1</v>
      </c>
      <c r="ED1288">
        <v>0</v>
      </c>
      <c r="EE1288">
        <v>0</v>
      </c>
      <c r="EF1288">
        <v>1</v>
      </c>
      <c r="EG1288">
        <v>0</v>
      </c>
      <c r="EH1288">
        <v>0</v>
      </c>
      <c r="EI1288" s="2">
        <v>0</v>
      </c>
      <c r="EK1288" t="str">
        <f t="shared" si="1680"/>
        <v>Whole sector</v>
      </c>
      <c r="EL1288" t="str">
        <f t="shared" si="1681"/>
        <v/>
      </c>
      <c r="EM1288" s="2" t="str">
        <f t="shared" si="1662"/>
        <v/>
      </c>
      <c r="EP1288" t="b">
        <f>IF(ISNUMBER(BU1288),IF(ABS(BU1288-[4]QC_indicators!$B$2)&gt;3*[4]QC_indicators!$C$2,"C ratio",IF(ISNUMBER(BY1288),IF(ABS(BY1288-[4]QC_indicators!$B$1)&gt;3*[4]QC_indicators!$C$1,"DF","no"))),IF(ISNUMBER(BY1288),IF(ABS(BY1288-[4]QC_indicators!$B$1)&gt;3*[4]QC_indicators!$C$1,"DF","no")))</f>
        <v>0</v>
      </c>
      <c r="ER1288" s="294" t="s">
        <v>2170</v>
      </c>
      <c r="ET1288" s="264" t="s">
        <v>3406</v>
      </c>
    </row>
    <row r="1289" spans="1:150" ht="15" hidden="1" customHeight="1">
      <c r="A1289" s="1" t="s">
        <v>1359</v>
      </c>
      <c r="B1289" t="s">
        <v>2134</v>
      </c>
      <c r="C1289" t="s">
        <v>2135</v>
      </c>
      <c r="D1289" t="s">
        <v>2136</v>
      </c>
      <c r="E1289" t="s">
        <v>2137</v>
      </c>
      <c r="F1289" t="s">
        <v>2138</v>
      </c>
      <c r="G1289" t="s">
        <v>1365</v>
      </c>
      <c r="H1289" t="s">
        <v>254</v>
      </c>
      <c r="I1289">
        <v>2012</v>
      </c>
      <c r="J1289">
        <v>21</v>
      </c>
      <c r="K1289" t="s">
        <v>2139</v>
      </c>
      <c r="L1289" s="192"/>
      <c r="M1289" t="str">
        <f t="shared" si="1689"/>
        <v>Pyorala_2012</v>
      </c>
      <c r="N1289" t="s">
        <v>222</v>
      </c>
      <c r="O1289" s="145" t="s">
        <v>341</v>
      </c>
      <c r="Q1289" s="264" t="s">
        <v>256</v>
      </c>
      <c r="R1289" s="269" t="s">
        <v>1153</v>
      </c>
      <c r="S1289" s="1" t="s">
        <v>2196</v>
      </c>
      <c r="T1289" t="s">
        <v>798</v>
      </c>
      <c r="U1289" t="s">
        <v>2167</v>
      </c>
      <c r="V1289">
        <v>0</v>
      </c>
      <c r="W1289">
        <v>0</v>
      </c>
      <c r="X1289">
        <v>0</v>
      </c>
      <c r="Y1289">
        <v>0</v>
      </c>
      <c r="Z1289">
        <v>0</v>
      </c>
      <c r="AA1289">
        <v>0</v>
      </c>
      <c r="AB1289">
        <v>0</v>
      </c>
      <c r="AC1289">
        <v>0</v>
      </c>
      <c r="AD1289">
        <v>0</v>
      </c>
      <c r="AE1289">
        <v>0</v>
      </c>
      <c r="AF1289">
        <v>0</v>
      </c>
      <c r="AG1289">
        <v>0</v>
      </c>
      <c r="AH1289">
        <v>0</v>
      </c>
      <c r="AI1289">
        <v>0</v>
      </c>
      <c r="AJ1289">
        <v>0</v>
      </c>
      <c r="AK1289">
        <v>1</v>
      </c>
      <c r="AL1289">
        <v>0</v>
      </c>
      <c r="AM1289">
        <v>0</v>
      </c>
      <c r="AN1289">
        <v>0</v>
      </c>
      <c r="AO1289">
        <v>0</v>
      </c>
      <c r="AP1289">
        <v>0</v>
      </c>
      <c r="AQ1289">
        <v>0</v>
      </c>
      <c r="AR1289">
        <v>0</v>
      </c>
      <c r="AS1289">
        <v>0</v>
      </c>
      <c r="AT1289">
        <v>0</v>
      </c>
      <c r="AU1289">
        <v>0</v>
      </c>
      <c r="AV1289">
        <v>0</v>
      </c>
      <c r="AW1289">
        <v>0</v>
      </c>
      <c r="AX1289" s="141">
        <f t="shared" si="1665"/>
        <v>1</v>
      </c>
      <c r="AY1289" s="141">
        <f t="shared" si="1666"/>
        <v>1</v>
      </c>
      <c r="AZ1289">
        <f t="shared" si="1667"/>
        <v>0</v>
      </c>
      <c r="BA1289">
        <f t="shared" si="1668"/>
        <v>0</v>
      </c>
      <c r="BB1289">
        <f t="shared" si="1669"/>
        <v>1</v>
      </c>
      <c r="BC1289">
        <f t="shared" si="1670"/>
        <v>0</v>
      </c>
      <c r="BD1289">
        <f t="shared" si="1671"/>
        <v>0</v>
      </c>
      <c r="BE1289" t="str" cm="1">
        <f t="array" ref="BE1289">IF(AY1289=1,INDEX($V$7:$AL$7,MATCH(TRUE,INDEX($V1289:$AW1289&lt;&gt;0,),0)),IF(AY1289=0,INDEX($AM$7:$AW$7,MATCH(1,$AM1289:$AW1289,0)),IF(BF1289="Multiple strategies","mixed drivers",IF(BF1289="Supply chain","multiple supply","multiple silviculture"))))</f>
        <v>technologies/design switch</v>
      </c>
      <c r="BF1289" s="2" t="str" cm="1">
        <f t="array" ref="BF1289">IF(COUNTIF(AZ1289:BB1289,"&lt;&gt;0")=1,INDEX($V$4:$AW$4,MATCH(TRUE,INDEX($V1289:$AW1289&lt;&gt;0,),0)),IF(COUNTIF(AZ1289:BB1289,"&lt;&gt;0")=0,INDEX($AM$4:$AW$4,MATCH(1,$AM1289:$AW1289,0)),"Multiple strategies"))</f>
        <v>Technology</v>
      </c>
      <c r="BH1289" t="s">
        <v>2168</v>
      </c>
      <c r="BN1289" s="143"/>
      <c r="BP1289" s="264" t="s">
        <v>232</v>
      </c>
      <c r="BQ1289" s="264"/>
      <c r="BR1289" t="s">
        <v>2169</v>
      </c>
      <c r="BS1289">
        <v>-157</v>
      </c>
      <c r="BT1289">
        <v>-422</v>
      </c>
      <c r="BU1289" s="144">
        <v>1.2375366568914956</v>
      </c>
      <c r="BV1289">
        <v>-81</v>
      </c>
      <c r="BX1289">
        <f t="shared" si="1663"/>
        <v>-8.1000000000000003E-2</v>
      </c>
      <c r="BY1289" t="str">
        <f t="shared" si="1661"/>
        <v/>
      </c>
      <c r="BZ1289">
        <v>0</v>
      </c>
      <c r="CA1289">
        <v>0</v>
      </c>
      <c r="CB1289">
        <v>0</v>
      </c>
      <c r="CC1289">
        <v>0</v>
      </c>
      <c r="CD1289">
        <v>0</v>
      </c>
      <c r="CE1289">
        <v>0</v>
      </c>
      <c r="CF1289">
        <v>0</v>
      </c>
      <c r="CG1289">
        <v>0</v>
      </c>
      <c r="CH1289">
        <v>0</v>
      </c>
      <c r="CI1289">
        <v>0</v>
      </c>
      <c r="CJ1289">
        <v>0</v>
      </c>
      <c r="CK1289">
        <v>0</v>
      </c>
      <c r="CL1289">
        <v>0</v>
      </c>
      <c r="CM1289">
        <v>0</v>
      </c>
      <c r="CN1289" t="str">
        <f t="shared" si="1664"/>
        <v>refOK</v>
      </c>
      <c r="CO1289"/>
      <c r="CP1289"/>
      <c r="CQ1289"/>
      <c r="CR1289">
        <f t="shared" si="1672"/>
        <v>-157</v>
      </c>
      <c r="CS1289">
        <f t="shared" si="1673"/>
        <v>-422</v>
      </c>
      <c r="CT1289">
        <f t="shared" si="1674"/>
        <v>-8.1000000000000003E-2</v>
      </c>
      <c r="CU1289" t="str">
        <f t="shared" si="1675"/>
        <v/>
      </c>
      <c r="CV1289" s="2">
        <f t="shared" si="1676"/>
        <v>-1.6878980891719746</v>
      </c>
      <c r="CW1289" s="1" t="s">
        <v>1198</v>
      </c>
      <c r="CX1289" s="264" t="str">
        <f t="shared" si="1677"/>
        <v>reg</v>
      </c>
      <c r="CY1289" t="s">
        <v>235</v>
      </c>
      <c r="DB1289">
        <v>30</v>
      </c>
      <c r="DC1289" t="str">
        <f t="shared" si="1678"/>
        <v>1-30</v>
      </c>
      <c r="DD1289">
        <v>0</v>
      </c>
      <c r="DE1289">
        <v>1</v>
      </c>
      <c r="DF1289">
        <v>0</v>
      </c>
      <c r="DG1289">
        <v>0</v>
      </c>
      <c r="DI1289">
        <f t="shared" si="1682"/>
        <v>1</v>
      </c>
      <c r="DJ1289" t="str">
        <f t="shared" si="1679"/>
        <v>EnergyInput</v>
      </c>
      <c r="DK1289">
        <f t="shared" si="1683"/>
        <v>0</v>
      </c>
      <c r="DL1289" t="str">
        <f t="shared" si="1684"/>
        <v>Energy</v>
      </c>
      <c r="DM1289">
        <f t="shared" si="1685"/>
        <v>0</v>
      </c>
      <c r="DN1289">
        <f t="shared" si="1686"/>
        <v>0</v>
      </c>
      <c r="DO1289">
        <v>0</v>
      </c>
      <c r="DP1289">
        <v>1</v>
      </c>
      <c r="DQ1289" t="s">
        <v>2145</v>
      </c>
      <c r="DR1289">
        <v>0</v>
      </c>
      <c r="DS1289">
        <v>0</v>
      </c>
      <c r="DT1289">
        <f t="shared" si="1688"/>
        <v>1</v>
      </c>
      <c r="DU1289" s="143" t="str">
        <f t="shared" si="1687"/>
        <v>external DF used</v>
      </c>
      <c r="DV1289">
        <v>1</v>
      </c>
      <c r="DW1289">
        <v>1</v>
      </c>
      <c r="DX1289">
        <v>1</v>
      </c>
      <c r="DY1289">
        <v>1</v>
      </c>
      <c r="DZ1289">
        <v>1</v>
      </c>
      <c r="EA1289">
        <v>0</v>
      </c>
      <c r="EB1289">
        <v>1</v>
      </c>
      <c r="EC1289">
        <v>1</v>
      </c>
      <c r="ED1289">
        <v>0</v>
      </c>
      <c r="EE1289">
        <v>0</v>
      </c>
      <c r="EF1289">
        <v>1</v>
      </c>
      <c r="EG1289">
        <v>0</v>
      </c>
      <c r="EH1289">
        <v>0</v>
      </c>
      <c r="EI1289" s="2">
        <v>0</v>
      </c>
      <c r="EK1289" t="str">
        <f t="shared" si="1680"/>
        <v>Whole sector</v>
      </c>
      <c r="EL1289" t="str">
        <f t="shared" si="1681"/>
        <v/>
      </c>
      <c r="EM1289" s="2" t="str">
        <f t="shared" si="1662"/>
        <v/>
      </c>
      <c r="EP1289" t="b">
        <f>IF(ISNUMBER(BU1289),IF(ABS(BU1289-[4]QC_indicators!$B$2)&gt;3*[4]QC_indicators!$C$2,"C ratio",IF(ISNUMBER(BY1289),IF(ABS(BY1289-[4]QC_indicators!$B$1)&gt;3*[4]QC_indicators!$C$1,"DF","no"))),IF(ISNUMBER(BY1289),IF(ABS(BY1289-[4]QC_indicators!$B$1)&gt;3*[4]QC_indicators!$C$1,"DF","no")))</f>
        <v>0</v>
      </c>
      <c r="ER1289" s="294" t="s">
        <v>2170</v>
      </c>
      <c r="ET1289" s="264" t="s">
        <v>3406</v>
      </c>
    </row>
    <row r="1290" spans="1:150" hidden="1">
      <c r="A1290" s="1" t="s">
        <v>1359</v>
      </c>
      <c r="B1290" t="s">
        <v>2134</v>
      </c>
      <c r="C1290" t="s">
        <v>2135</v>
      </c>
      <c r="D1290" t="s">
        <v>2136</v>
      </c>
      <c r="E1290" t="s">
        <v>2137</v>
      </c>
      <c r="F1290" t="s">
        <v>2138</v>
      </c>
      <c r="G1290" t="s">
        <v>1365</v>
      </c>
      <c r="H1290" t="s">
        <v>254</v>
      </c>
      <c r="I1290">
        <v>2012</v>
      </c>
      <c r="J1290">
        <v>21</v>
      </c>
      <c r="K1290" t="s">
        <v>2139</v>
      </c>
      <c r="L1290" s="192"/>
      <c r="M1290" t="str">
        <f t="shared" si="1689"/>
        <v>Pyorala_2012</v>
      </c>
      <c r="N1290" t="s">
        <v>222</v>
      </c>
      <c r="O1290" s="145" t="s">
        <v>341</v>
      </c>
      <c r="Q1290" s="264" t="s">
        <v>256</v>
      </c>
      <c r="R1290" s="269" t="s">
        <v>1153</v>
      </c>
      <c r="S1290" s="1" t="s">
        <v>2197</v>
      </c>
      <c r="T1290" t="s">
        <v>798</v>
      </c>
      <c r="U1290" t="s">
        <v>2167</v>
      </c>
      <c r="V1290">
        <v>0</v>
      </c>
      <c r="W1290">
        <v>0</v>
      </c>
      <c r="X1290">
        <v>0</v>
      </c>
      <c r="Y1290">
        <v>0</v>
      </c>
      <c r="Z1290">
        <v>0</v>
      </c>
      <c r="AA1290">
        <v>0</v>
      </c>
      <c r="AB1290">
        <v>0</v>
      </c>
      <c r="AC1290">
        <v>0</v>
      </c>
      <c r="AD1290">
        <v>0</v>
      </c>
      <c r="AE1290">
        <v>0</v>
      </c>
      <c r="AF1290">
        <v>0</v>
      </c>
      <c r="AG1290">
        <v>0</v>
      </c>
      <c r="AH1290">
        <v>0</v>
      </c>
      <c r="AI1290">
        <v>0</v>
      </c>
      <c r="AJ1290">
        <v>0</v>
      </c>
      <c r="AK1290">
        <v>1</v>
      </c>
      <c r="AL1290">
        <v>0</v>
      </c>
      <c r="AM1290">
        <v>0</v>
      </c>
      <c r="AN1290">
        <v>0</v>
      </c>
      <c r="AO1290">
        <v>0</v>
      </c>
      <c r="AP1290">
        <v>0</v>
      </c>
      <c r="AQ1290">
        <v>0</v>
      </c>
      <c r="AR1290">
        <v>0</v>
      </c>
      <c r="AS1290">
        <v>0</v>
      </c>
      <c r="AT1290">
        <v>0</v>
      </c>
      <c r="AU1290">
        <v>0</v>
      </c>
      <c r="AV1290">
        <v>0</v>
      </c>
      <c r="AW1290">
        <v>0</v>
      </c>
      <c r="AX1290" s="141">
        <f t="shared" si="1665"/>
        <v>1</v>
      </c>
      <c r="AY1290" s="141">
        <f t="shared" si="1666"/>
        <v>1</v>
      </c>
      <c r="AZ1290">
        <f t="shared" si="1667"/>
        <v>0</v>
      </c>
      <c r="BA1290">
        <f t="shared" si="1668"/>
        <v>0</v>
      </c>
      <c r="BB1290">
        <f t="shared" si="1669"/>
        <v>1</v>
      </c>
      <c r="BC1290">
        <f t="shared" si="1670"/>
        <v>0</v>
      </c>
      <c r="BD1290">
        <f t="shared" si="1671"/>
        <v>0</v>
      </c>
      <c r="BE1290" t="str" cm="1">
        <f t="array" ref="BE1290">IF(AY1290=1,INDEX($V$7:$AL$7,MATCH(TRUE,INDEX($V1290:$AW1290&lt;&gt;0,),0)),IF(AY1290=0,INDEX($AM$7:$AW$7,MATCH(1,$AM1290:$AW1290,0)),IF(BF1290="Multiple strategies","mixed drivers",IF(BF1290="Supply chain","multiple supply","multiple silviculture"))))</f>
        <v>technologies/design switch</v>
      </c>
      <c r="BF1290" s="2" t="str" cm="1">
        <f t="array" ref="BF1290">IF(COUNTIF(AZ1290:BB1290,"&lt;&gt;0")=1,INDEX($V$4:$AW$4,MATCH(TRUE,INDEX($V1290:$AW1290&lt;&gt;0,),0)),IF(COUNTIF(AZ1290:BB1290,"&lt;&gt;0")=0,INDEX($AM$4:$AW$4,MATCH(1,$AM1290:$AW1290,0)),"Multiple strategies"))</f>
        <v>Technology</v>
      </c>
      <c r="BH1290" t="s">
        <v>2168</v>
      </c>
      <c r="BN1290" s="143"/>
      <c r="BP1290" s="264" t="s">
        <v>232</v>
      </c>
      <c r="BQ1290" s="264"/>
      <c r="BR1290" t="s">
        <v>2169</v>
      </c>
      <c r="BS1290">
        <v>-157</v>
      </c>
      <c r="BT1290">
        <v>-477</v>
      </c>
      <c r="BU1290" s="144">
        <v>1.3988269794721409</v>
      </c>
      <c r="BV1290">
        <v>-136</v>
      </c>
      <c r="BX1290">
        <f t="shared" si="1663"/>
        <v>-0.13600000000000001</v>
      </c>
      <c r="BY1290" t="str">
        <f t="shared" si="1661"/>
        <v/>
      </c>
      <c r="BZ1290">
        <v>0</v>
      </c>
      <c r="CA1290">
        <v>0</v>
      </c>
      <c r="CB1290">
        <v>0</v>
      </c>
      <c r="CC1290">
        <v>0</v>
      </c>
      <c r="CD1290">
        <v>0</v>
      </c>
      <c r="CE1290">
        <v>0</v>
      </c>
      <c r="CF1290">
        <v>0</v>
      </c>
      <c r="CG1290">
        <v>0</v>
      </c>
      <c r="CH1290">
        <v>0</v>
      </c>
      <c r="CI1290">
        <v>0</v>
      </c>
      <c r="CJ1290">
        <v>0</v>
      </c>
      <c r="CK1290">
        <v>0</v>
      </c>
      <c r="CL1290">
        <v>0</v>
      </c>
      <c r="CM1290">
        <v>0</v>
      </c>
      <c r="CN1290" t="str">
        <f t="shared" si="1664"/>
        <v>refOK</v>
      </c>
      <c r="CO1290"/>
      <c r="CP1290"/>
      <c r="CQ1290"/>
      <c r="CR1290">
        <f t="shared" si="1672"/>
        <v>-157</v>
      </c>
      <c r="CS1290">
        <f t="shared" si="1673"/>
        <v>-477</v>
      </c>
      <c r="CT1290">
        <f t="shared" si="1674"/>
        <v>-0.13600000000000001</v>
      </c>
      <c r="CU1290" t="str">
        <f t="shared" si="1675"/>
        <v/>
      </c>
      <c r="CV1290" s="2">
        <f t="shared" si="1676"/>
        <v>-2.0382165605095541</v>
      </c>
      <c r="CW1290" s="1" t="s">
        <v>1198</v>
      </c>
      <c r="CX1290" s="264" t="str">
        <f t="shared" si="1677"/>
        <v>reg</v>
      </c>
      <c r="CY1290" t="s">
        <v>235</v>
      </c>
      <c r="DB1290">
        <v>30</v>
      </c>
      <c r="DC1290" t="str">
        <f t="shared" si="1678"/>
        <v>1-30</v>
      </c>
      <c r="DD1290">
        <v>0</v>
      </c>
      <c r="DE1290">
        <v>1</v>
      </c>
      <c r="DF1290">
        <v>0</v>
      </c>
      <c r="DG1290">
        <v>0</v>
      </c>
      <c r="DI1290">
        <f t="shared" si="1682"/>
        <v>1</v>
      </c>
      <c r="DJ1290" t="str">
        <f t="shared" si="1679"/>
        <v>EnergyInput</v>
      </c>
      <c r="DK1290">
        <f t="shared" si="1683"/>
        <v>0</v>
      </c>
      <c r="DL1290" t="str">
        <f t="shared" si="1684"/>
        <v>Energy</v>
      </c>
      <c r="DM1290">
        <f t="shared" si="1685"/>
        <v>0</v>
      </c>
      <c r="DN1290">
        <f t="shared" si="1686"/>
        <v>0</v>
      </c>
      <c r="DO1290">
        <v>0</v>
      </c>
      <c r="DP1290">
        <v>1</v>
      </c>
      <c r="DQ1290" t="s">
        <v>2145</v>
      </c>
      <c r="DR1290">
        <v>0</v>
      </c>
      <c r="DS1290">
        <v>0</v>
      </c>
      <c r="DT1290">
        <f t="shared" si="1688"/>
        <v>1</v>
      </c>
      <c r="DU1290" s="143" t="str">
        <f t="shared" si="1687"/>
        <v>external DF used</v>
      </c>
      <c r="DV1290">
        <v>1</v>
      </c>
      <c r="DW1290">
        <v>1</v>
      </c>
      <c r="DX1290">
        <v>1</v>
      </c>
      <c r="DY1290">
        <v>1</v>
      </c>
      <c r="DZ1290">
        <v>1</v>
      </c>
      <c r="EA1290">
        <v>0</v>
      </c>
      <c r="EB1290">
        <v>1</v>
      </c>
      <c r="EC1290">
        <v>1</v>
      </c>
      <c r="ED1290">
        <v>0</v>
      </c>
      <c r="EE1290">
        <v>0</v>
      </c>
      <c r="EF1290">
        <v>1</v>
      </c>
      <c r="EG1290">
        <v>0</v>
      </c>
      <c r="EH1290">
        <v>0</v>
      </c>
      <c r="EI1290" s="2">
        <v>0</v>
      </c>
      <c r="EK1290" t="str">
        <f t="shared" si="1680"/>
        <v>Whole sector</v>
      </c>
      <c r="EL1290" t="str">
        <f t="shared" si="1681"/>
        <v/>
      </c>
      <c r="EM1290" s="2" t="str">
        <f t="shared" si="1662"/>
        <v/>
      </c>
      <c r="EP1290" t="b">
        <f>IF(ISNUMBER(BU1290),IF(ABS(BU1290-[4]QC_indicators!$B$2)&gt;3*[4]QC_indicators!$C$2,"C ratio",IF(ISNUMBER(BY1290),IF(ABS(BY1290-[4]QC_indicators!$B$1)&gt;3*[4]QC_indicators!$C$1,"DF","no"))),IF(ISNUMBER(BY1290),IF(ABS(BY1290-[4]QC_indicators!$B$1)&gt;3*[4]QC_indicators!$C$1,"DF","no")))</f>
        <v>0</v>
      </c>
      <c r="ER1290" s="294" t="s">
        <v>2170</v>
      </c>
      <c r="ET1290" s="264" t="s">
        <v>3406</v>
      </c>
    </row>
    <row r="1291" spans="1:150" hidden="1">
      <c r="A1291" s="1" t="s">
        <v>1359</v>
      </c>
      <c r="B1291" t="s">
        <v>2134</v>
      </c>
      <c r="C1291" t="s">
        <v>2135</v>
      </c>
      <c r="D1291" t="s">
        <v>2136</v>
      </c>
      <c r="E1291" t="s">
        <v>2137</v>
      </c>
      <c r="F1291" t="s">
        <v>2138</v>
      </c>
      <c r="G1291" t="s">
        <v>1365</v>
      </c>
      <c r="H1291" t="s">
        <v>254</v>
      </c>
      <c r="I1291">
        <v>2012</v>
      </c>
      <c r="J1291">
        <v>21</v>
      </c>
      <c r="K1291" t="s">
        <v>2139</v>
      </c>
      <c r="L1291" s="192"/>
      <c r="M1291" t="str">
        <f t="shared" si="1689"/>
        <v>Pyorala_2012</v>
      </c>
      <c r="N1291" t="s">
        <v>222</v>
      </c>
      <c r="O1291" s="145" t="s">
        <v>341</v>
      </c>
      <c r="Q1291" s="264" t="s">
        <v>256</v>
      </c>
      <c r="R1291" s="269" t="s">
        <v>1153</v>
      </c>
      <c r="S1291" s="1" t="s">
        <v>2191</v>
      </c>
      <c r="T1291" t="s">
        <v>798</v>
      </c>
      <c r="U1291" t="s">
        <v>2167</v>
      </c>
      <c r="V1291">
        <v>0</v>
      </c>
      <c r="W1291">
        <v>0</v>
      </c>
      <c r="X1291">
        <v>0</v>
      </c>
      <c r="Y1291">
        <v>0</v>
      </c>
      <c r="Z1291">
        <v>0</v>
      </c>
      <c r="AA1291">
        <v>0</v>
      </c>
      <c r="AB1291">
        <v>0</v>
      </c>
      <c r="AC1291">
        <v>0</v>
      </c>
      <c r="AD1291">
        <v>0</v>
      </c>
      <c r="AE1291">
        <v>0</v>
      </c>
      <c r="AF1291">
        <v>0</v>
      </c>
      <c r="AG1291">
        <v>0</v>
      </c>
      <c r="AH1291">
        <v>0</v>
      </c>
      <c r="AI1291">
        <v>0</v>
      </c>
      <c r="AJ1291">
        <v>0</v>
      </c>
      <c r="AK1291">
        <v>1</v>
      </c>
      <c r="AL1291">
        <v>0</v>
      </c>
      <c r="AM1291">
        <v>0</v>
      </c>
      <c r="AN1291">
        <v>0</v>
      </c>
      <c r="AO1291">
        <v>0</v>
      </c>
      <c r="AP1291">
        <v>0</v>
      </c>
      <c r="AQ1291">
        <v>0</v>
      </c>
      <c r="AR1291">
        <v>0</v>
      </c>
      <c r="AS1291">
        <v>0</v>
      </c>
      <c r="AT1291">
        <v>0</v>
      </c>
      <c r="AU1291">
        <v>0</v>
      </c>
      <c r="AV1291">
        <v>0</v>
      </c>
      <c r="AW1291">
        <v>0</v>
      </c>
      <c r="AX1291" s="141">
        <f t="shared" si="1665"/>
        <v>1</v>
      </c>
      <c r="AY1291" s="141">
        <f t="shared" si="1666"/>
        <v>1</v>
      </c>
      <c r="AZ1291">
        <f t="shared" si="1667"/>
        <v>0</v>
      </c>
      <c r="BA1291">
        <f t="shared" si="1668"/>
        <v>0</v>
      </c>
      <c r="BB1291">
        <f t="shared" si="1669"/>
        <v>1</v>
      </c>
      <c r="BC1291">
        <f t="shared" si="1670"/>
        <v>0</v>
      </c>
      <c r="BD1291">
        <f t="shared" si="1671"/>
        <v>0</v>
      </c>
      <c r="BE1291" t="str" cm="1">
        <f t="array" ref="BE1291">IF(AY1291=1,INDEX($V$7:$AL$7,MATCH(TRUE,INDEX($V1291:$AW1291&lt;&gt;0,),0)),IF(AY1291=0,INDEX($AM$7:$AW$7,MATCH(1,$AM1291:$AW1291,0)),IF(BF1291="Multiple strategies","mixed drivers",IF(BF1291="Supply chain","multiple supply","multiple silviculture"))))</f>
        <v>technologies/design switch</v>
      </c>
      <c r="BF1291" s="2" t="str" cm="1">
        <f t="array" ref="BF1291">IF(COUNTIF(AZ1291:BB1291,"&lt;&gt;0")=1,INDEX($V$4:$AW$4,MATCH(TRUE,INDEX($V1291:$AW1291&lt;&gt;0,),0)),IF(COUNTIF(AZ1291:BB1291,"&lt;&gt;0")=0,INDEX($AM$4:$AW$4,MATCH(1,$AM1291:$AW1291,0)),"Multiple strategies"))</f>
        <v>Technology</v>
      </c>
      <c r="BH1291" t="s">
        <v>2168</v>
      </c>
      <c r="BN1291" s="143"/>
      <c r="BP1291" s="264" t="s">
        <v>232</v>
      </c>
      <c r="BQ1291" s="264"/>
      <c r="BR1291" t="s">
        <v>2169</v>
      </c>
      <c r="BS1291">
        <v>-157</v>
      </c>
      <c r="BT1291">
        <v>-481</v>
      </c>
      <c r="BU1291" s="144">
        <v>1.4105571847507332</v>
      </c>
      <c r="BV1291">
        <v>-140</v>
      </c>
      <c r="BX1291">
        <f t="shared" si="1663"/>
        <v>-0.14000000000000001</v>
      </c>
      <c r="BY1291" t="str">
        <f t="shared" si="1661"/>
        <v/>
      </c>
      <c r="BZ1291">
        <v>0</v>
      </c>
      <c r="CA1291">
        <v>0</v>
      </c>
      <c r="CB1291">
        <v>0</v>
      </c>
      <c r="CC1291">
        <v>0</v>
      </c>
      <c r="CD1291">
        <v>0</v>
      </c>
      <c r="CE1291">
        <v>0</v>
      </c>
      <c r="CF1291">
        <v>0</v>
      </c>
      <c r="CG1291">
        <v>0</v>
      </c>
      <c r="CH1291">
        <v>0</v>
      </c>
      <c r="CI1291">
        <v>0</v>
      </c>
      <c r="CJ1291">
        <v>0</v>
      </c>
      <c r="CK1291">
        <v>0</v>
      </c>
      <c r="CL1291">
        <v>0</v>
      </c>
      <c r="CM1291">
        <v>0</v>
      </c>
      <c r="CN1291" t="str">
        <f t="shared" si="1664"/>
        <v>refOK</v>
      </c>
      <c r="CO1291"/>
      <c r="CP1291"/>
      <c r="CQ1291"/>
      <c r="CR1291">
        <f t="shared" si="1672"/>
        <v>-157</v>
      </c>
      <c r="CS1291">
        <f t="shared" si="1673"/>
        <v>-481</v>
      </c>
      <c r="CT1291">
        <f t="shared" si="1674"/>
        <v>-0.14000000000000001</v>
      </c>
      <c r="CU1291" t="str">
        <f t="shared" si="1675"/>
        <v/>
      </c>
      <c r="CV1291" s="2">
        <f t="shared" si="1676"/>
        <v>-2.0636942675159236</v>
      </c>
      <c r="CW1291" s="1" t="s">
        <v>1198</v>
      </c>
      <c r="CX1291" s="264" t="str">
        <f t="shared" si="1677"/>
        <v>reg</v>
      </c>
      <c r="CY1291" t="s">
        <v>235</v>
      </c>
      <c r="DB1291">
        <v>30</v>
      </c>
      <c r="DC1291" t="str">
        <f t="shared" si="1678"/>
        <v>1-30</v>
      </c>
      <c r="DD1291">
        <v>0</v>
      </c>
      <c r="DE1291">
        <v>1</v>
      </c>
      <c r="DF1291">
        <v>0</v>
      </c>
      <c r="DG1291">
        <v>0</v>
      </c>
      <c r="DI1291">
        <f t="shared" si="1682"/>
        <v>1</v>
      </c>
      <c r="DJ1291" t="str">
        <f t="shared" si="1679"/>
        <v>EnergyInput</v>
      </c>
      <c r="DK1291">
        <f t="shared" si="1683"/>
        <v>0</v>
      </c>
      <c r="DL1291" t="str">
        <f t="shared" si="1684"/>
        <v>Energy</v>
      </c>
      <c r="DM1291">
        <f t="shared" si="1685"/>
        <v>0</v>
      </c>
      <c r="DN1291">
        <f t="shared" si="1686"/>
        <v>0</v>
      </c>
      <c r="DO1291">
        <v>0</v>
      </c>
      <c r="DP1291">
        <v>1</v>
      </c>
      <c r="DQ1291" t="s">
        <v>2145</v>
      </c>
      <c r="DR1291">
        <v>0</v>
      </c>
      <c r="DS1291">
        <v>0</v>
      </c>
      <c r="DT1291">
        <f t="shared" si="1688"/>
        <v>1</v>
      </c>
      <c r="DU1291" s="143" t="str">
        <f t="shared" si="1687"/>
        <v>external DF used</v>
      </c>
      <c r="DV1291">
        <v>1</v>
      </c>
      <c r="DW1291">
        <v>1</v>
      </c>
      <c r="DX1291">
        <v>1</v>
      </c>
      <c r="DY1291">
        <v>1</v>
      </c>
      <c r="DZ1291">
        <v>1</v>
      </c>
      <c r="EA1291">
        <v>0</v>
      </c>
      <c r="EB1291">
        <v>1</v>
      </c>
      <c r="EC1291">
        <v>1</v>
      </c>
      <c r="ED1291">
        <v>0</v>
      </c>
      <c r="EE1291">
        <v>0</v>
      </c>
      <c r="EF1291">
        <v>1</v>
      </c>
      <c r="EG1291">
        <v>0</v>
      </c>
      <c r="EH1291">
        <v>0</v>
      </c>
      <c r="EI1291" s="2">
        <v>0</v>
      </c>
      <c r="EK1291" t="str">
        <f t="shared" si="1680"/>
        <v>Whole sector</v>
      </c>
      <c r="EL1291" t="str">
        <f t="shared" si="1681"/>
        <v/>
      </c>
      <c r="EM1291" s="2" t="str">
        <f t="shared" si="1662"/>
        <v/>
      </c>
      <c r="EP1291" t="b">
        <f>IF(ISNUMBER(BU1291),IF(ABS(BU1291-[4]QC_indicators!$B$2)&gt;3*[4]QC_indicators!$C$2,"C ratio",IF(ISNUMBER(BY1291),IF(ABS(BY1291-[4]QC_indicators!$B$1)&gt;3*[4]QC_indicators!$C$1,"DF","no"))),IF(ISNUMBER(BY1291),IF(ABS(BY1291-[4]QC_indicators!$B$1)&gt;3*[4]QC_indicators!$C$1,"DF","no")))</f>
        <v>0</v>
      </c>
      <c r="ER1291" s="294" t="s">
        <v>2170</v>
      </c>
      <c r="ET1291" s="264" t="s">
        <v>3406</v>
      </c>
    </row>
    <row r="1292" spans="1:150" hidden="1">
      <c r="A1292" s="1" t="s">
        <v>1359</v>
      </c>
      <c r="B1292" t="s">
        <v>2134</v>
      </c>
      <c r="C1292" t="s">
        <v>2135</v>
      </c>
      <c r="D1292" t="s">
        <v>2136</v>
      </c>
      <c r="E1292" t="s">
        <v>2137</v>
      </c>
      <c r="F1292" t="s">
        <v>2138</v>
      </c>
      <c r="G1292" t="s">
        <v>1365</v>
      </c>
      <c r="H1292" t="s">
        <v>254</v>
      </c>
      <c r="I1292">
        <v>2012</v>
      </c>
      <c r="J1292">
        <v>21</v>
      </c>
      <c r="K1292" t="s">
        <v>2139</v>
      </c>
      <c r="L1292" s="192"/>
      <c r="M1292" t="str">
        <f t="shared" si="1689"/>
        <v>Pyorala_2012</v>
      </c>
      <c r="N1292" t="s">
        <v>222</v>
      </c>
      <c r="O1292" s="145" t="s">
        <v>341</v>
      </c>
      <c r="Q1292" s="264" t="s">
        <v>256</v>
      </c>
      <c r="R1292" s="269" t="s">
        <v>1153</v>
      </c>
      <c r="S1292" s="1" t="s">
        <v>2198</v>
      </c>
      <c r="T1292" t="s">
        <v>798</v>
      </c>
      <c r="U1292" t="s">
        <v>2167</v>
      </c>
      <c r="V1292">
        <v>0</v>
      </c>
      <c r="W1292">
        <v>0</v>
      </c>
      <c r="X1292">
        <v>0</v>
      </c>
      <c r="Y1292">
        <v>0</v>
      </c>
      <c r="Z1292">
        <v>0</v>
      </c>
      <c r="AA1292">
        <v>0</v>
      </c>
      <c r="AB1292">
        <v>0</v>
      </c>
      <c r="AC1292">
        <v>0</v>
      </c>
      <c r="AD1292">
        <v>0</v>
      </c>
      <c r="AE1292">
        <v>0</v>
      </c>
      <c r="AF1292">
        <v>0</v>
      </c>
      <c r="AG1292">
        <v>0</v>
      </c>
      <c r="AH1292">
        <v>0</v>
      </c>
      <c r="AI1292">
        <v>0</v>
      </c>
      <c r="AJ1292">
        <v>0</v>
      </c>
      <c r="AK1292">
        <v>1</v>
      </c>
      <c r="AL1292">
        <v>0</v>
      </c>
      <c r="AM1292">
        <v>0</v>
      </c>
      <c r="AN1292">
        <v>0</v>
      </c>
      <c r="AO1292">
        <v>0</v>
      </c>
      <c r="AP1292">
        <v>0</v>
      </c>
      <c r="AQ1292">
        <v>0</v>
      </c>
      <c r="AR1292">
        <v>0</v>
      </c>
      <c r="AS1292">
        <v>0</v>
      </c>
      <c r="AT1292">
        <v>0</v>
      </c>
      <c r="AU1292">
        <v>0</v>
      </c>
      <c r="AV1292">
        <v>0</v>
      </c>
      <c r="AW1292">
        <v>0</v>
      </c>
      <c r="AX1292" s="141">
        <f t="shared" si="1665"/>
        <v>1</v>
      </c>
      <c r="AY1292" s="141">
        <f t="shared" si="1666"/>
        <v>1</v>
      </c>
      <c r="AZ1292">
        <f t="shared" si="1667"/>
        <v>0</v>
      </c>
      <c r="BA1292">
        <f t="shared" si="1668"/>
        <v>0</v>
      </c>
      <c r="BB1292">
        <f t="shared" si="1669"/>
        <v>1</v>
      </c>
      <c r="BC1292">
        <f t="shared" si="1670"/>
        <v>0</v>
      </c>
      <c r="BD1292">
        <f t="shared" si="1671"/>
        <v>0</v>
      </c>
      <c r="BE1292" t="str" cm="1">
        <f t="array" ref="BE1292">IF(AY1292=1,INDEX($V$7:$AL$7,MATCH(TRUE,INDEX($V1292:$AW1292&lt;&gt;0,),0)),IF(AY1292=0,INDEX($AM$7:$AW$7,MATCH(1,$AM1292:$AW1292,0)),IF(BF1292="Multiple strategies","mixed drivers",IF(BF1292="Supply chain","multiple supply","multiple silviculture"))))</f>
        <v>technologies/design switch</v>
      </c>
      <c r="BF1292" s="2" t="str" cm="1">
        <f t="array" ref="BF1292">IF(COUNTIF(AZ1292:BB1292,"&lt;&gt;0")=1,INDEX($V$4:$AW$4,MATCH(TRUE,INDEX($V1292:$AW1292&lt;&gt;0,),0)),IF(COUNTIF(AZ1292:BB1292,"&lt;&gt;0")=0,INDEX($AM$4:$AW$4,MATCH(1,$AM1292:$AW1292,0)),"Multiple strategies"))</f>
        <v>Technology</v>
      </c>
      <c r="BH1292" t="s">
        <v>2168</v>
      </c>
      <c r="BN1292" s="143"/>
      <c r="BP1292" s="264" t="s">
        <v>232</v>
      </c>
      <c r="BQ1292" s="264"/>
      <c r="BR1292" t="s">
        <v>2169</v>
      </c>
      <c r="BS1292">
        <v>-157</v>
      </c>
      <c r="BT1292">
        <v>-483</v>
      </c>
      <c r="BU1292" s="144">
        <v>1.4164222873900294</v>
      </c>
      <c r="BV1292">
        <v>-142</v>
      </c>
      <c r="BX1292">
        <f t="shared" si="1663"/>
        <v>-0.14199999999999999</v>
      </c>
      <c r="BY1292" t="str">
        <f t="shared" si="1661"/>
        <v/>
      </c>
      <c r="BZ1292">
        <v>0</v>
      </c>
      <c r="CA1292">
        <v>0</v>
      </c>
      <c r="CB1292">
        <v>0</v>
      </c>
      <c r="CC1292">
        <v>0</v>
      </c>
      <c r="CD1292">
        <v>0</v>
      </c>
      <c r="CE1292">
        <v>0</v>
      </c>
      <c r="CF1292">
        <v>0</v>
      </c>
      <c r="CG1292">
        <v>0</v>
      </c>
      <c r="CH1292">
        <v>0</v>
      </c>
      <c r="CI1292">
        <v>0</v>
      </c>
      <c r="CJ1292">
        <v>0</v>
      </c>
      <c r="CK1292">
        <v>0</v>
      </c>
      <c r="CL1292">
        <v>0</v>
      </c>
      <c r="CM1292">
        <v>0</v>
      </c>
      <c r="CN1292" t="str">
        <f t="shared" si="1664"/>
        <v>refOK</v>
      </c>
      <c r="CO1292"/>
      <c r="CP1292"/>
      <c r="CQ1292"/>
      <c r="CR1292">
        <f t="shared" si="1672"/>
        <v>-157</v>
      </c>
      <c r="CS1292">
        <f t="shared" si="1673"/>
        <v>-483</v>
      </c>
      <c r="CT1292">
        <f t="shared" si="1674"/>
        <v>-0.14199999999999999</v>
      </c>
      <c r="CU1292" t="str">
        <f t="shared" si="1675"/>
        <v/>
      </c>
      <c r="CV1292" s="2">
        <f t="shared" si="1676"/>
        <v>-2.0764331210191083</v>
      </c>
      <c r="CW1292" s="1" t="s">
        <v>1198</v>
      </c>
      <c r="CX1292" s="264" t="str">
        <f t="shared" si="1677"/>
        <v>reg</v>
      </c>
      <c r="CY1292" t="s">
        <v>235</v>
      </c>
      <c r="DB1292">
        <v>30</v>
      </c>
      <c r="DC1292" t="str">
        <f t="shared" si="1678"/>
        <v>1-30</v>
      </c>
      <c r="DD1292">
        <v>0</v>
      </c>
      <c r="DE1292">
        <v>1</v>
      </c>
      <c r="DF1292">
        <v>0</v>
      </c>
      <c r="DG1292">
        <v>0</v>
      </c>
      <c r="DI1292">
        <f t="shared" si="1682"/>
        <v>1</v>
      </c>
      <c r="DJ1292" t="str">
        <f t="shared" si="1679"/>
        <v>EnergyInput</v>
      </c>
      <c r="DK1292">
        <f t="shared" si="1683"/>
        <v>0</v>
      </c>
      <c r="DL1292" t="str">
        <f t="shared" si="1684"/>
        <v>Energy</v>
      </c>
      <c r="DM1292">
        <f t="shared" si="1685"/>
        <v>0</v>
      </c>
      <c r="DN1292">
        <f t="shared" si="1686"/>
        <v>0</v>
      </c>
      <c r="DO1292">
        <v>0</v>
      </c>
      <c r="DP1292">
        <v>1</v>
      </c>
      <c r="DQ1292" t="s">
        <v>2145</v>
      </c>
      <c r="DR1292">
        <v>0</v>
      </c>
      <c r="DS1292">
        <v>0</v>
      </c>
      <c r="DT1292">
        <f t="shared" si="1688"/>
        <v>1</v>
      </c>
      <c r="DU1292" s="143" t="str">
        <f t="shared" si="1687"/>
        <v>external DF used</v>
      </c>
      <c r="DV1292">
        <v>1</v>
      </c>
      <c r="DW1292">
        <v>1</v>
      </c>
      <c r="DX1292">
        <v>1</v>
      </c>
      <c r="DY1292">
        <v>1</v>
      </c>
      <c r="DZ1292">
        <v>1</v>
      </c>
      <c r="EA1292">
        <v>0</v>
      </c>
      <c r="EB1292">
        <v>1</v>
      </c>
      <c r="EC1292">
        <v>1</v>
      </c>
      <c r="ED1292">
        <v>0</v>
      </c>
      <c r="EE1292">
        <v>0</v>
      </c>
      <c r="EF1292">
        <v>1</v>
      </c>
      <c r="EG1292">
        <v>0</v>
      </c>
      <c r="EH1292">
        <v>0</v>
      </c>
      <c r="EI1292" s="2">
        <v>0</v>
      </c>
      <c r="EK1292" t="str">
        <f t="shared" si="1680"/>
        <v>Whole sector</v>
      </c>
      <c r="EL1292" t="str">
        <f t="shared" si="1681"/>
        <v/>
      </c>
      <c r="EM1292" s="2" t="str">
        <f t="shared" si="1662"/>
        <v/>
      </c>
      <c r="EP1292" t="b">
        <f>IF(ISNUMBER(BU1292),IF(ABS(BU1292-[4]QC_indicators!$B$2)&gt;3*[4]QC_indicators!$C$2,"C ratio",IF(ISNUMBER(BY1292),IF(ABS(BY1292-[4]QC_indicators!$B$1)&gt;3*[4]QC_indicators!$C$1,"DF","no"))),IF(ISNUMBER(BY1292),IF(ABS(BY1292-[4]QC_indicators!$B$1)&gt;3*[4]QC_indicators!$C$1,"DF","no")))</f>
        <v>0</v>
      </c>
      <c r="ER1292" s="294" t="s">
        <v>2170</v>
      </c>
      <c r="ET1292" s="264" t="s">
        <v>3406</v>
      </c>
    </row>
    <row r="1293" spans="1:150" hidden="1">
      <c r="A1293" s="1" t="s">
        <v>1359</v>
      </c>
      <c r="B1293" t="s">
        <v>2134</v>
      </c>
      <c r="C1293" t="s">
        <v>2135</v>
      </c>
      <c r="D1293" t="s">
        <v>2136</v>
      </c>
      <c r="E1293" t="s">
        <v>2137</v>
      </c>
      <c r="F1293" t="s">
        <v>2138</v>
      </c>
      <c r="G1293" t="s">
        <v>1365</v>
      </c>
      <c r="H1293" t="s">
        <v>254</v>
      </c>
      <c r="I1293">
        <v>2012</v>
      </c>
      <c r="J1293">
        <v>21</v>
      </c>
      <c r="K1293" t="s">
        <v>2139</v>
      </c>
      <c r="M1293" t="str">
        <f t="shared" si="1689"/>
        <v>Pyorala_2012</v>
      </c>
      <c r="N1293" t="s">
        <v>222</v>
      </c>
      <c r="O1293" s="145" t="s">
        <v>341</v>
      </c>
      <c r="Q1293" s="264" t="s">
        <v>256</v>
      </c>
      <c r="R1293" s="269" t="s">
        <v>1153</v>
      </c>
      <c r="S1293" s="1" t="s">
        <v>2199</v>
      </c>
      <c r="T1293" t="s">
        <v>798</v>
      </c>
      <c r="U1293" t="s">
        <v>2167</v>
      </c>
      <c r="V1293">
        <v>0</v>
      </c>
      <c r="W1293">
        <v>0</v>
      </c>
      <c r="X1293">
        <v>0</v>
      </c>
      <c r="Y1293">
        <v>0</v>
      </c>
      <c r="Z1293">
        <v>0</v>
      </c>
      <c r="AA1293">
        <v>0</v>
      </c>
      <c r="AB1293">
        <v>0</v>
      </c>
      <c r="AC1293">
        <v>0</v>
      </c>
      <c r="AD1293">
        <v>0</v>
      </c>
      <c r="AE1293">
        <v>0</v>
      </c>
      <c r="AF1293">
        <v>0</v>
      </c>
      <c r="AG1293">
        <v>0</v>
      </c>
      <c r="AH1293">
        <v>0</v>
      </c>
      <c r="AI1293">
        <v>0</v>
      </c>
      <c r="AJ1293">
        <v>0</v>
      </c>
      <c r="AK1293">
        <v>1</v>
      </c>
      <c r="AL1293">
        <v>0</v>
      </c>
      <c r="AM1293">
        <v>0</v>
      </c>
      <c r="AN1293">
        <v>0</v>
      </c>
      <c r="AO1293">
        <v>0</v>
      </c>
      <c r="AP1293">
        <v>0</v>
      </c>
      <c r="AQ1293">
        <v>0</v>
      </c>
      <c r="AR1293">
        <v>0</v>
      </c>
      <c r="AS1293">
        <v>0</v>
      </c>
      <c r="AT1293">
        <v>0</v>
      </c>
      <c r="AU1293">
        <v>0</v>
      </c>
      <c r="AV1293">
        <v>0</v>
      </c>
      <c r="AW1293">
        <v>0</v>
      </c>
      <c r="AX1293" s="141">
        <f t="shared" si="1665"/>
        <v>1</v>
      </c>
      <c r="AY1293" s="141">
        <f t="shared" si="1666"/>
        <v>1</v>
      </c>
      <c r="AZ1293">
        <f t="shared" si="1667"/>
        <v>0</v>
      </c>
      <c r="BA1293">
        <f t="shared" si="1668"/>
        <v>0</v>
      </c>
      <c r="BB1293">
        <f t="shared" si="1669"/>
        <v>1</v>
      </c>
      <c r="BC1293">
        <f t="shared" si="1670"/>
        <v>0</v>
      </c>
      <c r="BD1293">
        <f t="shared" si="1671"/>
        <v>0</v>
      </c>
      <c r="BE1293" t="str" cm="1">
        <f t="array" ref="BE1293">IF(AY1293=1,INDEX($V$7:$AL$7,MATCH(TRUE,INDEX($V1293:$AW1293&lt;&gt;0,),0)),IF(AY1293=0,INDEX($AM$7:$AW$7,MATCH(1,$AM1293:$AW1293,0)),IF(BF1293="Multiple strategies","mixed drivers",IF(BF1293="Supply chain","multiple supply","multiple silviculture"))))</f>
        <v>technologies/design switch</v>
      </c>
      <c r="BF1293" s="2" t="str" cm="1">
        <f t="array" ref="BF1293">IF(COUNTIF(AZ1293:BB1293,"&lt;&gt;0")=1,INDEX($V$4:$AW$4,MATCH(TRUE,INDEX($V1293:$AW1293&lt;&gt;0,),0)),IF(COUNTIF(AZ1293:BB1293,"&lt;&gt;0")=0,INDEX($AM$4:$AW$4,MATCH(1,$AM1293:$AW1293,0)),"Multiple strategies"))</f>
        <v>Technology</v>
      </c>
      <c r="BH1293" t="s">
        <v>2168</v>
      </c>
      <c r="BN1293" s="143"/>
      <c r="BP1293" s="264" t="s">
        <v>232</v>
      </c>
      <c r="BQ1293" s="264"/>
      <c r="BR1293" t="s">
        <v>2169</v>
      </c>
      <c r="BS1293">
        <v>-157</v>
      </c>
      <c r="BT1293">
        <v>-485</v>
      </c>
      <c r="BU1293" s="144">
        <v>1.4222873900293256</v>
      </c>
      <c r="BV1293">
        <v>-144</v>
      </c>
      <c r="BX1293">
        <f t="shared" si="1663"/>
        <v>-0.14399999999999999</v>
      </c>
      <c r="BY1293" t="str">
        <f t="shared" si="1661"/>
        <v/>
      </c>
      <c r="BZ1293">
        <v>0</v>
      </c>
      <c r="CA1293">
        <v>0</v>
      </c>
      <c r="CB1293">
        <v>0</v>
      </c>
      <c r="CC1293">
        <v>0</v>
      </c>
      <c r="CD1293">
        <v>0</v>
      </c>
      <c r="CE1293">
        <v>0</v>
      </c>
      <c r="CF1293">
        <v>0</v>
      </c>
      <c r="CG1293">
        <v>0</v>
      </c>
      <c r="CH1293">
        <v>0</v>
      </c>
      <c r="CI1293">
        <v>0</v>
      </c>
      <c r="CJ1293">
        <v>0</v>
      </c>
      <c r="CK1293">
        <v>0</v>
      </c>
      <c r="CL1293">
        <v>0</v>
      </c>
      <c r="CM1293">
        <v>0</v>
      </c>
      <c r="CN1293" t="str">
        <f t="shared" si="1664"/>
        <v>refOK</v>
      </c>
      <c r="CO1293"/>
      <c r="CP1293"/>
      <c r="CQ1293"/>
      <c r="CR1293">
        <f t="shared" si="1672"/>
        <v>-157</v>
      </c>
      <c r="CS1293">
        <f t="shared" si="1673"/>
        <v>-485</v>
      </c>
      <c r="CT1293">
        <f t="shared" si="1674"/>
        <v>-0.14399999999999999</v>
      </c>
      <c r="CU1293" t="str">
        <f t="shared" si="1675"/>
        <v/>
      </c>
      <c r="CV1293" s="2">
        <f t="shared" si="1676"/>
        <v>-2.089171974522293</v>
      </c>
      <c r="CW1293" s="1" t="s">
        <v>1198</v>
      </c>
      <c r="CX1293" s="264" t="str">
        <f t="shared" si="1677"/>
        <v>reg</v>
      </c>
      <c r="CY1293" t="s">
        <v>235</v>
      </c>
      <c r="DB1293">
        <v>30</v>
      </c>
      <c r="DC1293" t="str">
        <f t="shared" si="1678"/>
        <v>1-30</v>
      </c>
      <c r="DD1293">
        <v>0</v>
      </c>
      <c r="DE1293">
        <v>1</v>
      </c>
      <c r="DF1293">
        <v>0</v>
      </c>
      <c r="DG1293">
        <v>0</v>
      </c>
      <c r="DI1293">
        <f t="shared" si="1682"/>
        <v>1</v>
      </c>
      <c r="DJ1293" t="str">
        <f t="shared" si="1679"/>
        <v>EnergyInput</v>
      </c>
      <c r="DK1293">
        <f t="shared" si="1683"/>
        <v>0</v>
      </c>
      <c r="DL1293" t="str">
        <f t="shared" si="1684"/>
        <v>Energy</v>
      </c>
      <c r="DM1293">
        <f t="shared" si="1685"/>
        <v>0</v>
      </c>
      <c r="DN1293">
        <f t="shared" si="1686"/>
        <v>0</v>
      </c>
      <c r="DO1293">
        <v>0</v>
      </c>
      <c r="DP1293">
        <v>1</v>
      </c>
      <c r="DQ1293" t="s">
        <v>2145</v>
      </c>
      <c r="DR1293">
        <v>0</v>
      </c>
      <c r="DS1293">
        <v>0</v>
      </c>
      <c r="DT1293">
        <f t="shared" si="1688"/>
        <v>1</v>
      </c>
      <c r="DU1293" s="143" t="str">
        <f t="shared" si="1687"/>
        <v>external DF used</v>
      </c>
      <c r="DV1293">
        <v>1</v>
      </c>
      <c r="DW1293">
        <v>1</v>
      </c>
      <c r="DX1293">
        <v>1</v>
      </c>
      <c r="DY1293">
        <v>1</v>
      </c>
      <c r="DZ1293">
        <v>1</v>
      </c>
      <c r="EA1293">
        <v>0</v>
      </c>
      <c r="EB1293">
        <v>1</v>
      </c>
      <c r="EC1293">
        <v>1</v>
      </c>
      <c r="ED1293">
        <v>0</v>
      </c>
      <c r="EE1293">
        <v>0</v>
      </c>
      <c r="EF1293">
        <v>1</v>
      </c>
      <c r="EG1293">
        <v>0</v>
      </c>
      <c r="EH1293">
        <v>0</v>
      </c>
      <c r="EI1293" s="2">
        <v>0</v>
      </c>
      <c r="EK1293" t="str">
        <f t="shared" si="1680"/>
        <v>Whole sector</v>
      </c>
      <c r="EL1293" t="str">
        <f t="shared" si="1681"/>
        <v/>
      </c>
      <c r="EM1293" s="2" t="str">
        <f t="shared" si="1662"/>
        <v/>
      </c>
      <c r="EP1293" t="b">
        <f>IF(ISNUMBER(BU1293),IF(ABS(BU1293-[4]QC_indicators!$B$2)&gt;3*[4]QC_indicators!$C$2,"C ratio",IF(ISNUMBER(BY1293),IF(ABS(BY1293-[4]QC_indicators!$B$1)&gt;3*[4]QC_indicators!$C$1,"DF","no"))),IF(ISNUMBER(BY1293),IF(ABS(BY1293-[4]QC_indicators!$B$1)&gt;3*[4]QC_indicators!$C$1,"DF","no")))</f>
        <v>0</v>
      </c>
      <c r="ER1293" s="294" t="s">
        <v>2170</v>
      </c>
      <c r="ET1293" s="264" t="s">
        <v>3406</v>
      </c>
    </row>
    <row r="1294" spans="1:150" hidden="1">
      <c r="A1294" s="1" t="s">
        <v>1359</v>
      </c>
      <c r="B1294" t="s">
        <v>2134</v>
      </c>
      <c r="C1294" t="s">
        <v>2135</v>
      </c>
      <c r="D1294" t="s">
        <v>2136</v>
      </c>
      <c r="E1294" t="s">
        <v>2137</v>
      </c>
      <c r="F1294" t="s">
        <v>2138</v>
      </c>
      <c r="G1294" t="s">
        <v>1365</v>
      </c>
      <c r="H1294" t="s">
        <v>254</v>
      </c>
      <c r="I1294">
        <v>2012</v>
      </c>
      <c r="J1294">
        <v>21</v>
      </c>
      <c r="K1294" t="s">
        <v>2139</v>
      </c>
      <c r="L1294" s="192"/>
      <c r="M1294" t="str">
        <f t="shared" si="1689"/>
        <v>Pyorala_2012</v>
      </c>
      <c r="N1294" t="s">
        <v>222</v>
      </c>
      <c r="O1294" s="145" t="s">
        <v>341</v>
      </c>
      <c r="Q1294" s="264" t="s">
        <v>256</v>
      </c>
      <c r="R1294" s="269" t="s">
        <v>1153</v>
      </c>
      <c r="S1294" s="1" t="s">
        <v>2200</v>
      </c>
      <c r="T1294" t="s">
        <v>798</v>
      </c>
      <c r="U1294" t="s">
        <v>2167</v>
      </c>
      <c r="V1294">
        <v>0</v>
      </c>
      <c r="W1294">
        <v>0</v>
      </c>
      <c r="X1294">
        <v>0</v>
      </c>
      <c r="Y1294">
        <v>0</v>
      </c>
      <c r="Z1294">
        <v>0</v>
      </c>
      <c r="AA1294">
        <v>0</v>
      </c>
      <c r="AB1294">
        <v>0</v>
      </c>
      <c r="AC1294">
        <v>0</v>
      </c>
      <c r="AD1294">
        <v>0</v>
      </c>
      <c r="AE1294">
        <v>0</v>
      </c>
      <c r="AF1294">
        <v>0</v>
      </c>
      <c r="AG1294">
        <v>0</v>
      </c>
      <c r="AH1294">
        <v>0</v>
      </c>
      <c r="AI1294">
        <v>0</v>
      </c>
      <c r="AJ1294">
        <v>0</v>
      </c>
      <c r="AK1294">
        <v>1</v>
      </c>
      <c r="AL1294">
        <v>0</v>
      </c>
      <c r="AM1294">
        <v>0</v>
      </c>
      <c r="AN1294">
        <v>0</v>
      </c>
      <c r="AO1294">
        <v>0</v>
      </c>
      <c r="AP1294">
        <v>0</v>
      </c>
      <c r="AQ1294">
        <v>0</v>
      </c>
      <c r="AR1294">
        <v>0</v>
      </c>
      <c r="AS1294">
        <v>0</v>
      </c>
      <c r="AT1294">
        <v>0</v>
      </c>
      <c r="AU1294">
        <v>0</v>
      </c>
      <c r="AV1294">
        <v>0</v>
      </c>
      <c r="AW1294">
        <v>0</v>
      </c>
      <c r="AX1294" s="141">
        <f t="shared" si="1665"/>
        <v>1</v>
      </c>
      <c r="AY1294" s="141">
        <f t="shared" si="1666"/>
        <v>1</v>
      </c>
      <c r="AZ1294">
        <f t="shared" si="1667"/>
        <v>0</v>
      </c>
      <c r="BA1294">
        <f t="shared" si="1668"/>
        <v>0</v>
      </c>
      <c r="BB1294">
        <f t="shared" si="1669"/>
        <v>1</v>
      </c>
      <c r="BC1294">
        <f t="shared" si="1670"/>
        <v>0</v>
      </c>
      <c r="BD1294">
        <f t="shared" si="1671"/>
        <v>0</v>
      </c>
      <c r="BE1294" t="str" cm="1">
        <f t="array" ref="BE1294">IF(AY1294=1,INDEX($V$7:$AL$7,MATCH(TRUE,INDEX($V1294:$AW1294&lt;&gt;0,),0)),IF(AY1294=0,INDEX($AM$7:$AW$7,MATCH(1,$AM1294:$AW1294,0)),IF(BF1294="Multiple strategies","mixed drivers",IF(BF1294="Supply chain","multiple supply","multiple silviculture"))))</f>
        <v>technologies/design switch</v>
      </c>
      <c r="BF1294" s="2" t="str" cm="1">
        <f t="array" ref="BF1294">IF(COUNTIF(AZ1294:BB1294,"&lt;&gt;0")=1,INDEX($V$4:$AW$4,MATCH(TRUE,INDEX($V1294:$AW1294&lt;&gt;0,),0)),IF(COUNTIF(AZ1294:BB1294,"&lt;&gt;0")=0,INDEX($AM$4:$AW$4,MATCH(1,$AM1294:$AW1294,0)),"Multiple strategies"))</f>
        <v>Technology</v>
      </c>
      <c r="BH1294" t="s">
        <v>2168</v>
      </c>
      <c r="BN1294" s="143"/>
      <c r="BP1294" s="264" t="s">
        <v>232</v>
      </c>
      <c r="BQ1294" s="264"/>
      <c r="BR1294" t="s">
        <v>2169</v>
      </c>
      <c r="BS1294">
        <v>-157</v>
      </c>
      <c r="BT1294">
        <v>-559</v>
      </c>
      <c r="BU1294" s="144">
        <v>1.6392961876832846</v>
      </c>
      <c r="BV1294">
        <v>-218</v>
      </c>
      <c r="BX1294">
        <f t="shared" si="1663"/>
        <v>-0.218</v>
      </c>
      <c r="BY1294" t="str">
        <f t="shared" si="1661"/>
        <v/>
      </c>
      <c r="BZ1294">
        <v>0</v>
      </c>
      <c r="CA1294">
        <v>0</v>
      </c>
      <c r="CB1294">
        <v>0</v>
      </c>
      <c r="CC1294">
        <v>0</v>
      </c>
      <c r="CD1294">
        <v>0</v>
      </c>
      <c r="CE1294">
        <v>0</v>
      </c>
      <c r="CF1294">
        <v>0</v>
      </c>
      <c r="CG1294">
        <v>0</v>
      </c>
      <c r="CH1294">
        <v>0</v>
      </c>
      <c r="CI1294">
        <v>0</v>
      </c>
      <c r="CJ1294">
        <v>0</v>
      </c>
      <c r="CK1294">
        <v>0</v>
      </c>
      <c r="CL1294">
        <v>0</v>
      </c>
      <c r="CM1294">
        <v>0</v>
      </c>
      <c r="CN1294" t="str">
        <f t="shared" si="1664"/>
        <v>refOK</v>
      </c>
      <c r="CO1294"/>
      <c r="CP1294"/>
      <c r="CQ1294"/>
      <c r="CR1294">
        <f t="shared" si="1672"/>
        <v>-157</v>
      </c>
      <c r="CS1294">
        <f t="shared" si="1673"/>
        <v>-559</v>
      </c>
      <c r="CT1294">
        <f t="shared" si="1674"/>
        <v>-0.218</v>
      </c>
      <c r="CU1294" t="str">
        <f t="shared" si="1675"/>
        <v/>
      </c>
      <c r="CV1294" s="2">
        <f t="shared" si="1676"/>
        <v>-2.5605095541401273</v>
      </c>
      <c r="CW1294" s="1" t="s">
        <v>1198</v>
      </c>
      <c r="CX1294" s="264" t="str">
        <f t="shared" si="1677"/>
        <v>reg</v>
      </c>
      <c r="CY1294" t="s">
        <v>235</v>
      </c>
      <c r="DB1294">
        <v>30</v>
      </c>
      <c r="DC1294" t="str">
        <f t="shared" si="1678"/>
        <v>1-30</v>
      </c>
      <c r="DD1294">
        <v>0</v>
      </c>
      <c r="DE1294">
        <v>1</v>
      </c>
      <c r="DF1294">
        <v>0</v>
      </c>
      <c r="DG1294">
        <v>0</v>
      </c>
      <c r="DI1294">
        <f t="shared" si="1682"/>
        <v>1</v>
      </c>
      <c r="DJ1294" t="str">
        <f t="shared" si="1679"/>
        <v>EnergyInput</v>
      </c>
      <c r="DK1294">
        <f t="shared" si="1683"/>
        <v>0</v>
      </c>
      <c r="DL1294" t="str">
        <f t="shared" si="1684"/>
        <v>Energy</v>
      </c>
      <c r="DM1294">
        <f t="shared" si="1685"/>
        <v>0</v>
      </c>
      <c r="DN1294">
        <f t="shared" si="1686"/>
        <v>0</v>
      </c>
      <c r="DO1294">
        <v>0</v>
      </c>
      <c r="DP1294">
        <v>1</v>
      </c>
      <c r="DQ1294" t="s">
        <v>2145</v>
      </c>
      <c r="DR1294">
        <v>0</v>
      </c>
      <c r="DS1294">
        <v>0</v>
      </c>
      <c r="DT1294">
        <f t="shared" si="1688"/>
        <v>1</v>
      </c>
      <c r="DU1294" s="143" t="str">
        <f t="shared" si="1687"/>
        <v>external DF used</v>
      </c>
      <c r="DV1294">
        <v>1</v>
      </c>
      <c r="DW1294">
        <v>1</v>
      </c>
      <c r="DX1294">
        <v>1</v>
      </c>
      <c r="DY1294">
        <v>1</v>
      </c>
      <c r="DZ1294">
        <v>1</v>
      </c>
      <c r="EA1294">
        <v>0</v>
      </c>
      <c r="EB1294">
        <v>1</v>
      </c>
      <c r="EC1294">
        <v>1</v>
      </c>
      <c r="ED1294">
        <v>0</v>
      </c>
      <c r="EE1294">
        <v>0</v>
      </c>
      <c r="EF1294">
        <v>1</v>
      </c>
      <c r="EG1294">
        <v>0</v>
      </c>
      <c r="EH1294">
        <v>0</v>
      </c>
      <c r="EI1294" s="2">
        <v>0</v>
      </c>
      <c r="EK1294" t="str">
        <f t="shared" si="1680"/>
        <v>Whole sector</v>
      </c>
      <c r="EL1294" t="str">
        <f t="shared" si="1681"/>
        <v/>
      </c>
      <c r="EM1294" s="2" t="str">
        <f t="shared" si="1662"/>
        <v/>
      </c>
      <c r="EP1294" t="b">
        <f>IF(ISNUMBER(BU1294),IF(ABS(BU1294-[4]QC_indicators!$B$2)&gt;3*[4]QC_indicators!$C$2,"C ratio",IF(ISNUMBER(BY1294),IF(ABS(BY1294-[4]QC_indicators!$B$1)&gt;3*[4]QC_indicators!$C$1,"DF","no"))),IF(ISNUMBER(BY1294),IF(ABS(BY1294-[4]QC_indicators!$B$1)&gt;3*[4]QC_indicators!$C$1,"DF","no")))</f>
        <v>0</v>
      </c>
      <c r="ER1294" s="294" t="s">
        <v>2170</v>
      </c>
      <c r="ET1294" s="264" t="s">
        <v>3406</v>
      </c>
    </row>
    <row r="1295" spans="1:150" hidden="1">
      <c r="A1295" s="1" t="s">
        <v>1359</v>
      </c>
      <c r="B1295" t="s">
        <v>2134</v>
      </c>
      <c r="C1295" t="s">
        <v>2135</v>
      </c>
      <c r="D1295" t="s">
        <v>2136</v>
      </c>
      <c r="E1295" t="s">
        <v>2137</v>
      </c>
      <c r="F1295" t="s">
        <v>2138</v>
      </c>
      <c r="G1295" t="s">
        <v>1365</v>
      </c>
      <c r="H1295" t="s">
        <v>254</v>
      </c>
      <c r="I1295">
        <v>2012</v>
      </c>
      <c r="J1295">
        <v>21</v>
      </c>
      <c r="K1295" t="s">
        <v>2139</v>
      </c>
      <c r="M1295" t="str">
        <f t="shared" si="1689"/>
        <v>Pyorala_2012</v>
      </c>
      <c r="N1295" t="s">
        <v>222</v>
      </c>
      <c r="O1295" s="145" t="s">
        <v>341</v>
      </c>
      <c r="Q1295" s="264" t="s">
        <v>256</v>
      </c>
      <c r="R1295" s="269" t="s">
        <v>1153</v>
      </c>
      <c r="S1295" s="1" t="s">
        <v>2201</v>
      </c>
      <c r="T1295" t="s">
        <v>798</v>
      </c>
      <c r="U1295" t="s">
        <v>2167</v>
      </c>
      <c r="V1295">
        <v>0</v>
      </c>
      <c r="W1295">
        <v>0</v>
      </c>
      <c r="X1295">
        <v>0</v>
      </c>
      <c r="Y1295">
        <v>0</v>
      </c>
      <c r="Z1295">
        <v>0</v>
      </c>
      <c r="AA1295">
        <v>0</v>
      </c>
      <c r="AB1295">
        <v>0</v>
      </c>
      <c r="AC1295">
        <v>0</v>
      </c>
      <c r="AD1295">
        <v>0</v>
      </c>
      <c r="AE1295">
        <v>0</v>
      </c>
      <c r="AF1295">
        <v>0</v>
      </c>
      <c r="AG1295">
        <v>0</v>
      </c>
      <c r="AH1295">
        <v>0</v>
      </c>
      <c r="AI1295">
        <v>0</v>
      </c>
      <c r="AJ1295">
        <v>0</v>
      </c>
      <c r="AK1295">
        <v>1</v>
      </c>
      <c r="AL1295">
        <v>0</v>
      </c>
      <c r="AM1295">
        <v>0</v>
      </c>
      <c r="AN1295">
        <v>0</v>
      </c>
      <c r="AO1295">
        <v>0</v>
      </c>
      <c r="AP1295">
        <v>0</v>
      </c>
      <c r="AQ1295">
        <v>0</v>
      </c>
      <c r="AR1295">
        <v>0</v>
      </c>
      <c r="AS1295">
        <v>0</v>
      </c>
      <c r="AT1295">
        <v>0</v>
      </c>
      <c r="AU1295">
        <v>0</v>
      </c>
      <c r="AV1295">
        <v>0</v>
      </c>
      <c r="AW1295">
        <v>0</v>
      </c>
      <c r="AX1295" s="141">
        <f t="shared" si="1665"/>
        <v>1</v>
      </c>
      <c r="AY1295" s="141">
        <f t="shared" si="1666"/>
        <v>1</v>
      </c>
      <c r="AZ1295">
        <f t="shared" si="1667"/>
        <v>0</v>
      </c>
      <c r="BA1295">
        <f t="shared" si="1668"/>
        <v>0</v>
      </c>
      <c r="BB1295">
        <f t="shared" si="1669"/>
        <v>1</v>
      </c>
      <c r="BC1295">
        <f t="shared" si="1670"/>
        <v>0</v>
      </c>
      <c r="BD1295">
        <f t="shared" si="1671"/>
        <v>0</v>
      </c>
      <c r="BE1295" t="str" cm="1">
        <f t="array" ref="BE1295">IF(AY1295=1,INDEX($V$7:$AL$7,MATCH(TRUE,INDEX($V1295:$AW1295&lt;&gt;0,),0)),IF(AY1295=0,INDEX($AM$7:$AW$7,MATCH(1,$AM1295:$AW1295,0)),IF(BF1295="Multiple strategies","mixed drivers",IF(BF1295="Supply chain","multiple supply","multiple silviculture"))))</f>
        <v>technologies/design switch</v>
      </c>
      <c r="BF1295" s="2" t="str" cm="1">
        <f t="array" ref="BF1295">IF(COUNTIF(AZ1295:BB1295,"&lt;&gt;0")=1,INDEX($V$4:$AW$4,MATCH(TRUE,INDEX($V1295:$AW1295&lt;&gt;0,),0)),IF(COUNTIF(AZ1295:BB1295,"&lt;&gt;0")=0,INDEX($AM$4:$AW$4,MATCH(1,$AM1295:$AW1295,0)),"Multiple strategies"))</f>
        <v>Technology</v>
      </c>
      <c r="BH1295" t="s">
        <v>2168</v>
      </c>
      <c r="BN1295" s="143"/>
      <c r="BP1295" s="264" t="s">
        <v>232</v>
      </c>
      <c r="BQ1295" s="264"/>
      <c r="BR1295" t="s">
        <v>2169</v>
      </c>
      <c r="BS1295">
        <v>-157</v>
      </c>
      <c r="BT1295">
        <v>-560</v>
      </c>
      <c r="BU1295" s="144">
        <v>1.6422287390029326</v>
      </c>
      <c r="BV1295">
        <v>-219</v>
      </c>
      <c r="BX1295">
        <f t="shared" si="1663"/>
        <v>-0.219</v>
      </c>
      <c r="BY1295" t="str">
        <f t="shared" si="1661"/>
        <v/>
      </c>
      <c r="BZ1295">
        <v>0</v>
      </c>
      <c r="CA1295">
        <v>0</v>
      </c>
      <c r="CB1295">
        <v>0</v>
      </c>
      <c r="CC1295">
        <v>0</v>
      </c>
      <c r="CD1295">
        <v>0</v>
      </c>
      <c r="CE1295">
        <v>0</v>
      </c>
      <c r="CF1295">
        <v>0</v>
      </c>
      <c r="CG1295">
        <v>0</v>
      </c>
      <c r="CH1295">
        <v>0</v>
      </c>
      <c r="CI1295">
        <v>0</v>
      </c>
      <c r="CJ1295">
        <v>0</v>
      </c>
      <c r="CK1295">
        <v>0</v>
      </c>
      <c r="CL1295">
        <v>0</v>
      </c>
      <c r="CM1295">
        <v>0</v>
      </c>
      <c r="CN1295" t="str">
        <f t="shared" si="1664"/>
        <v>refOK</v>
      </c>
      <c r="CO1295"/>
      <c r="CP1295"/>
      <c r="CQ1295"/>
      <c r="CR1295">
        <f t="shared" si="1672"/>
        <v>-157</v>
      </c>
      <c r="CS1295">
        <f t="shared" si="1673"/>
        <v>-560</v>
      </c>
      <c r="CT1295">
        <f t="shared" si="1674"/>
        <v>-0.219</v>
      </c>
      <c r="CU1295" t="str">
        <f t="shared" si="1675"/>
        <v/>
      </c>
      <c r="CV1295" s="2">
        <f t="shared" si="1676"/>
        <v>-2.5668789808917198</v>
      </c>
      <c r="CW1295" s="1" t="s">
        <v>1198</v>
      </c>
      <c r="CX1295" s="264" t="str">
        <f t="shared" si="1677"/>
        <v>reg</v>
      </c>
      <c r="CY1295" t="s">
        <v>235</v>
      </c>
      <c r="DB1295">
        <v>30</v>
      </c>
      <c r="DC1295" t="str">
        <f t="shared" si="1678"/>
        <v>1-30</v>
      </c>
      <c r="DD1295">
        <v>0</v>
      </c>
      <c r="DE1295">
        <v>1</v>
      </c>
      <c r="DF1295">
        <v>0</v>
      </c>
      <c r="DG1295">
        <v>0</v>
      </c>
      <c r="DI1295">
        <f t="shared" si="1682"/>
        <v>1</v>
      </c>
      <c r="DJ1295" t="str">
        <f t="shared" si="1679"/>
        <v>EnergyInput</v>
      </c>
      <c r="DK1295">
        <f t="shared" si="1683"/>
        <v>0</v>
      </c>
      <c r="DL1295" t="str">
        <f t="shared" si="1684"/>
        <v>Energy</v>
      </c>
      <c r="DM1295">
        <f t="shared" si="1685"/>
        <v>0</v>
      </c>
      <c r="DN1295">
        <f t="shared" si="1686"/>
        <v>0</v>
      </c>
      <c r="DO1295">
        <v>0</v>
      </c>
      <c r="DP1295">
        <v>1</v>
      </c>
      <c r="DQ1295" t="s">
        <v>2145</v>
      </c>
      <c r="DR1295">
        <v>0</v>
      </c>
      <c r="DS1295">
        <v>0</v>
      </c>
      <c r="DT1295">
        <f t="shared" si="1688"/>
        <v>1</v>
      </c>
      <c r="DU1295" s="143" t="str">
        <f t="shared" si="1687"/>
        <v>external DF used</v>
      </c>
      <c r="DV1295">
        <v>1</v>
      </c>
      <c r="DW1295">
        <v>1</v>
      </c>
      <c r="DX1295">
        <v>1</v>
      </c>
      <c r="DY1295">
        <v>1</v>
      </c>
      <c r="DZ1295">
        <v>1</v>
      </c>
      <c r="EA1295">
        <v>0</v>
      </c>
      <c r="EB1295">
        <v>1</v>
      </c>
      <c r="EC1295">
        <v>1</v>
      </c>
      <c r="ED1295">
        <v>0</v>
      </c>
      <c r="EE1295">
        <v>0</v>
      </c>
      <c r="EF1295">
        <v>1</v>
      </c>
      <c r="EG1295">
        <v>0</v>
      </c>
      <c r="EH1295">
        <v>0</v>
      </c>
      <c r="EI1295" s="2">
        <v>0</v>
      </c>
      <c r="EK1295" t="str">
        <f t="shared" si="1680"/>
        <v>Whole sector</v>
      </c>
      <c r="EL1295" t="str">
        <f t="shared" si="1681"/>
        <v/>
      </c>
      <c r="EM1295" s="2" t="str">
        <f t="shared" si="1662"/>
        <v/>
      </c>
      <c r="EP1295" t="b">
        <f>IF(ISNUMBER(BU1295),IF(ABS(BU1295-[4]QC_indicators!$B$2)&gt;3*[4]QC_indicators!$C$2,"C ratio",IF(ISNUMBER(BY1295),IF(ABS(BY1295-[4]QC_indicators!$B$1)&gt;3*[4]QC_indicators!$C$1,"DF","no"))),IF(ISNUMBER(BY1295),IF(ABS(BY1295-[4]QC_indicators!$B$1)&gt;3*[4]QC_indicators!$C$1,"DF","no")))</f>
        <v>0</v>
      </c>
      <c r="ER1295" s="294" t="s">
        <v>2170</v>
      </c>
      <c r="ET1295" s="264" t="s">
        <v>3406</v>
      </c>
    </row>
    <row r="1296" spans="1:150" hidden="1">
      <c r="A1296" s="1" t="s">
        <v>1359</v>
      </c>
      <c r="B1296" t="s">
        <v>2134</v>
      </c>
      <c r="C1296" t="s">
        <v>2135</v>
      </c>
      <c r="D1296" t="s">
        <v>2136</v>
      </c>
      <c r="E1296" t="s">
        <v>2137</v>
      </c>
      <c r="F1296" t="s">
        <v>2138</v>
      </c>
      <c r="G1296" t="s">
        <v>1365</v>
      </c>
      <c r="H1296" t="s">
        <v>254</v>
      </c>
      <c r="I1296">
        <v>2012</v>
      </c>
      <c r="J1296">
        <v>21</v>
      </c>
      <c r="K1296" t="s">
        <v>2139</v>
      </c>
      <c r="M1296" t="str">
        <f t="shared" si="1689"/>
        <v>Pyorala_2012</v>
      </c>
      <c r="N1296" t="s">
        <v>222</v>
      </c>
      <c r="O1296" s="145" t="s">
        <v>341</v>
      </c>
      <c r="Q1296" s="264" t="s">
        <v>256</v>
      </c>
      <c r="R1296" s="269" t="s">
        <v>1153</v>
      </c>
      <c r="S1296" s="1" t="s">
        <v>2202</v>
      </c>
      <c r="T1296" t="s">
        <v>798</v>
      </c>
      <c r="U1296" t="s">
        <v>2167</v>
      </c>
      <c r="V1296">
        <v>0</v>
      </c>
      <c r="W1296">
        <v>0</v>
      </c>
      <c r="X1296">
        <v>0</v>
      </c>
      <c r="Y1296">
        <v>0</v>
      </c>
      <c r="Z1296">
        <v>0</v>
      </c>
      <c r="AA1296">
        <v>0</v>
      </c>
      <c r="AB1296">
        <v>0</v>
      </c>
      <c r="AC1296">
        <v>0</v>
      </c>
      <c r="AD1296">
        <v>0</v>
      </c>
      <c r="AE1296">
        <v>0</v>
      </c>
      <c r="AF1296">
        <v>0</v>
      </c>
      <c r="AG1296">
        <v>0</v>
      </c>
      <c r="AH1296">
        <v>0</v>
      </c>
      <c r="AI1296">
        <v>0</v>
      </c>
      <c r="AJ1296">
        <v>0</v>
      </c>
      <c r="AK1296">
        <v>1</v>
      </c>
      <c r="AL1296">
        <v>0</v>
      </c>
      <c r="AM1296">
        <v>0</v>
      </c>
      <c r="AN1296">
        <v>0</v>
      </c>
      <c r="AO1296">
        <v>0</v>
      </c>
      <c r="AP1296">
        <v>0</v>
      </c>
      <c r="AQ1296">
        <v>0</v>
      </c>
      <c r="AR1296">
        <v>0</v>
      </c>
      <c r="AS1296">
        <v>0</v>
      </c>
      <c r="AT1296">
        <v>0</v>
      </c>
      <c r="AU1296">
        <v>0</v>
      </c>
      <c r="AV1296">
        <v>0</v>
      </c>
      <c r="AW1296">
        <v>0</v>
      </c>
      <c r="AX1296" s="141">
        <f t="shared" ref="AX1296:AX1327" si="1690">COUNTIF(V1296:AW1296,"&lt;&gt;0")</f>
        <v>1</v>
      </c>
      <c r="AY1296" s="141">
        <f t="shared" ref="AY1296:AY1315" si="1691">COUNTIF(V1296:AL1296,"&lt;&gt;0")</f>
        <v>1</v>
      </c>
      <c r="AZ1296">
        <f t="shared" ref="AZ1296:AZ1315" si="1692">COUNTIF(V1296:AC1296,"&lt;&gt;0")</f>
        <v>0</v>
      </c>
      <c r="BA1296">
        <f t="shared" ref="BA1296:BA1315" si="1693">COUNTIF(AD1296:AI1296,"&lt;&gt;0")</f>
        <v>0</v>
      </c>
      <c r="BB1296">
        <f t="shared" ref="BB1296:BB1315" si="1694">COUNTIF(AJ1296:AL1296,"&lt;&gt;0")</f>
        <v>1</v>
      </c>
      <c r="BC1296">
        <f t="shared" ref="BC1296:BC1315" si="1695">COUNTIF(AS1296:AW1296,"&lt;&gt;0")</f>
        <v>0</v>
      </c>
      <c r="BD1296">
        <f t="shared" ref="BD1296:BD1315" si="1696">COUNTIF(AM1296:AR1296,"&lt;&gt;0")</f>
        <v>0</v>
      </c>
      <c r="BE1296" t="str" cm="1">
        <f t="array" ref="BE1296">IF(AY1296=1,INDEX($V$7:$AL$7,MATCH(TRUE,INDEX($V1296:$AW1296&lt;&gt;0,),0)),IF(AY1296=0,INDEX($AM$7:$AW$7,MATCH(1,$AM1296:$AW1296,0)),IF(BF1296="Multiple strategies","mixed drivers",IF(BF1296="Supply chain","multiple supply","multiple silviculture"))))</f>
        <v>technologies/design switch</v>
      </c>
      <c r="BF1296" s="2" t="str" cm="1">
        <f t="array" ref="BF1296">IF(COUNTIF(AZ1296:BB1296,"&lt;&gt;0")=1,INDEX($V$4:$AW$4,MATCH(TRUE,INDEX($V1296:$AW1296&lt;&gt;0,),0)),IF(COUNTIF(AZ1296:BB1296,"&lt;&gt;0")=0,INDEX($AM$4:$AW$4,MATCH(1,$AM1296:$AW1296,0)),"Multiple strategies"))</f>
        <v>Technology</v>
      </c>
      <c r="BH1296" t="s">
        <v>2168</v>
      </c>
      <c r="BN1296" s="143"/>
      <c r="BP1296" s="264" t="s">
        <v>232</v>
      </c>
      <c r="BQ1296" s="264"/>
      <c r="BR1296" t="s">
        <v>2169</v>
      </c>
      <c r="BS1296">
        <v>-157</v>
      </c>
      <c r="BT1296">
        <v>-561</v>
      </c>
      <c r="BU1296" s="144">
        <v>1.6451612903225807</v>
      </c>
      <c r="BV1296">
        <v>-220</v>
      </c>
      <c r="BX1296">
        <f t="shared" si="1663"/>
        <v>-0.22</v>
      </c>
      <c r="BY1296" t="str">
        <f t="shared" si="1661"/>
        <v/>
      </c>
      <c r="BZ1296">
        <v>0</v>
      </c>
      <c r="CA1296">
        <v>0</v>
      </c>
      <c r="CB1296">
        <v>0</v>
      </c>
      <c r="CC1296">
        <v>0</v>
      </c>
      <c r="CD1296">
        <v>0</v>
      </c>
      <c r="CE1296">
        <v>0</v>
      </c>
      <c r="CF1296">
        <v>0</v>
      </c>
      <c r="CG1296">
        <v>0</v>
      </c>
      <c r="CH1296">
        <v>0</v>
      </c>
      <c r="CI1296">
        <v>0</v>
      </c>
      <c r="CJ1296">
        <v>0</v>
      </c>
      <c r="CK1296">
        <v>0</v>
      </c>
      <c r="CL1296">
        <v>0</v>
      </c>
      <c r="CM1296">
        <v>0</v>
      </c>
      <c r="CN1296" t="str">
        <f t="shared" si="1664"/>
        <v>refOK</v>
      </c>
      <c r="CO1296"/>
      <c r="CP1296"/>
      <c r="CQ1296"/>
      <c r="CR1296">
        <f t="shared" ref="CR1296:CR1315" si="1697">IF($CN1296="refOK",$BS1296,$BT1296)*IF($BP1296="Emissions positive",-1,1)</f>
        <v>-157</v>
      </c>
      <c r="CS1296">
        <f t="shared" ref="CS1296:CS1315" si="1698">IF($CN1296="refOK",$BT1296,$BS1296)*IF($BP1296="Emissions positive",-1,1)</f>
        <v>-561</v>
      </c>
      <c r="CT1296">
        <f t="shared" ref="CT1296:CT1315" si="1699">IF($CN1296="refNeedCorrection",-BX1296,BX1296)*IF($BP1296="Emissions positive",-1,1)</f>
        <v>-0.22</v>
      </c>
      <c r="CU1296" t="str">
        <f t="shared" ref="CU1296:CU1327" si="1700">IFERROR(CT1296/CQ1296,"")</f>
        <v/>
      </c>
      <c r="CV1296" s="2">
        <f t="shared" ref="CV1296:CV1315" si="1701">IFERROR((CS1296-CR1296)/ABS(CR1296),"")</f>
        <v>-2.573248407643312</v>
      </c>
      <c r="CW1296" s="1" t="s">
        <v>1198</v>
      </c>
      <c r="CX1296" s="264" t="str">
        <f t="shared" ref="CX1296:CX1315" si="1702">IF(OR($CW1296="prd",$CW1296="std",$CW1296="cit"),"loc",IF(OR($CW1296="eur",$CW1296="reg",$CW1296="coy"),"reg",$CW1296))</f>
        <v>reg</v>
      </c>
      <c r="CY1296" t="s">
        <v>235</v>
      </c>
      <c r="DB1296">
        <v>30</v>
      </c>
      <c r="DC1296" t="str">
        <f t="shared" ref="DC1296:DC1327" si="1703">IF(DB1296=0,"0",IF(AND(DB1296&gt;=1,DB1296&lt;=30),"1-30",IF(AND(DB1296&gt;30,DB1296&lt;=70),"31-70",IF(AND(DB1296&gt;70,DB1296&lt;=100),"71-100",IF(DB1296&gt;100,"+100")))))</f>
        <v>1-30</v>
      </c>
      <c r="DD1296">
        <v>0</v>
      </c>
      <c r="DE1296">
        <v>1</v>
      </c>
      <c r="DF1296">
        <v>0</v>
      </c>
      <c r="DG1296">
        <v>0</v>
      </c>
      <c r="DI1296">
        <f t="shared" si="1682"/>
        <v>1</v>
      </c>
      <c r="DJ1296" t="str">
        <f t="shared" ref="DJ1296:DJ1327" si="1704">IF(DI1296=1,INDEX($DD$7:$DG$7,MATCH(1,$DD1296:$DG1296,0)),"mixedProduct")</f>
        <v>EnergyInput</v>
      </c>
      <c r="DK1296">
        <f t="shared" si="1683"/>
        <v>0</v>
      </c>
      <c r="DL1296" t="str">
        <f t="shared" si="1684"/>
        <v>Energy</v>
      </c>
      <c r="DM1296">
        <f t="shared" si="1685"/>
        <v>0</v>
      </c>
      <c r="DN1296">
        <f t="shared" si="1686"/>
        <v>0</v>
      </c>
      <c r="DO1296">
        <v>0</v>
      </c>
      <c r="DP1296">
        <v>1</v>
      </c>
      <c r="DQ1296" t="s">
        <v>2145</v>
      </c>
      <c r="DR1296">
        <v>0</v>
      </c>
      <c r="DS1296">
        <v>0</v>
      </c>
      <c r="DT1296">
        <f t="shared" si="1688"/>
        <v>1</v>
      </c>
      <c r="DU1296" s="143" t="str">
        <f t="shared" si="1687"/>
        <v>external DF used</v>
      </c>
      <c r="DV1296">
        <v>1</v>
      </c>
      <c r="DW1296">
        <v>1</v>
      </c>
      <c r="DX1296">
        <v>1</v>
      </c>
      <c r="DY1296">
        <v>1</v>
      </c>
      <c r="DZ1296">
        <v>1</v>
      </c>
      <c r="EA1296">
        <v>0</v>
      </c>
      <c r="EB1296">
        <v>1</v>
      </c>
      <c r="EC1296">
        <v>1</v>
      </c>
      <c r="ED1296">
        <v>0</v>
      </c>
      <c r="EE1296">
        <v>0</v>
      </c>
      <c r="EF1296">
        <v>1</v>
      </c>
      <c r="EG1296">
        <v>0</v>
      </c>
      <c r="EH1296">
        <v>0</v>
      </c>
      <c r="EI1296" s="2">
        <v>0</v>
      </c>
      <c r="EK1296" t="str">
        <f t="shared" si="1680"/>
        <v>Whole sector</v>
      </c>
      <c r="EL1296" t="str">
        <f t="shared" si="1681"/>
        <v/>
      </c>
      <c r="EM1296" s="2" t="str">
        <f t="shared" si="1662"/>
        <v/>
      </c>
      <c r="EP1296" t="b">
        <f>IF(ISNUMBER(BU1296),IF(ABS(BU1296-[4]QC_indicators!$B$2)&gt;3*[4]QC_indicators!$C$2,"C ratio",IF(ISNUMBER(BY1296),IF(ABS(BY1296-[4]QC_indicators!$B$1)&gt;3*[4]QC_indicators!$C$1,"DF","no"))),IF(ISNUMBER(BY1296),IF(ABS(BY1296-[4]QC_indicators!$B$1)&gt;3*[4]QC_indicators!$C$1,"DF","no")))</f>
        <v>0</v>
      </c>
      <c r="ER1296" s="294" t="s">
        <v>2170</v>
      </c>
      <c r="ET1296" s="264" t="s">
        <v>3406</v>
      </c>
    </row>
    <row r="1297" spans="1:150" ht="15" hidden="1" customHeight="1">
      <c r="A1297" s="1" t="s">
        <v>1359</v>
      </c>
      <c r="B1297" t="s">
        <v>2134</v>
      </c>
      <c r="C1297" t="s">
        <v>2135</v>
      </c>
      <c r="D1297" t="s">
        <v>2136</v>
      </c>
      <c r="E1297" t="s">
        <v>2137</v>
      </c>
      <c r="F1297" t="s">
        <v>2138</v>
      </c>
      <c r="G1297" t="s">
        <v>1365</v>
      </c>
      <c r="H1297" t="s">
        <v>254</v>
      </c>
      <c r="I1297">
        <v>2012</v>
      </c>
      <c r="J1297">
        <v>21</v>
      </c>
      <c r="K1297" t="s">
        <v>2139</v>
      </c>
      <c r="L1297" s="192"/>
      <c r="M1297" t="str">
        <f t="shared" si="1689"/>
        <v>Pyorala_2012</v>
      </c>
      <c r="N1297" t="s">
        <v>222</v>
      </c>
      <c r="O1297" s="145" t="s">
        <v>341</v>
      </c>
      <c r="Q1297" s="264" t="s">
        <v>256</v>
      </c>
      <c r="R1297" s="269" t="s">
        <v>1153</v>
      </c>
      <c r="S1297" s="1" t="s">
        <v>2203</v>
      </c>
      <c r="T1297" t="s">
        <v>798</v>
      </c>
      <c r="U1297" t="s">
        <v>2167</v>
      </c>
      <c r="V1297">
        <v>0</v>
      </c>
      <c r="W1297">
        <v>0</v>
      </c>
      <c r="X1297">
        <v>0</v>
      </c>
      <c r="Y1297">
        <v>0</v>
      </c>
      <c r="Z1297">
        <v>0</v>
      </c>
      <c r="AA1297">
        <v>0</v>
      </c>
      <c r="AB1297">
        <v>0</v>
      </c>
      <c r="AC1297">
        <v>0</v>
      </c>
      <c r="AD1297">
        <v>0</v>
      </c>
      <c r="AE1297">
        <v>0</v>
      </c>
      <c r="AF1297">
        <v>0</v>
      </c>
      <c r="AG1297">
        <v>0</v>
      </c>
      <c r="AH1297">
        <v>0</v>
      </c>
      <c r="AI1297">
        <v>0</v>
      </c>
      <c r="AJ1297">
        <v>0</v>
      </c>
      <c r="AK1297">
        <v>1</v>
      </c>
      <c r="AL1297">
        <v>0</v>
      </c>
      <c r="AM1297">
        <v>0</v>
      </c>
      <c r="AN1297">
        <v>0</v>
      </c>
      <c r="AO1297">
        <v>0</v>
      </c>
      <c r="AP1297">
        <v>0</v>
      </c>
      <c r="AQ1297">
        <v>0</v>
      </c>
      <c r="AR1297">
        <v>0</v>
      </c>
      <c r="AS1297">
        <v>0</v>
      </c>
      <c r="AT1297">
        <v>0</v>
      </c>
      <c r="AU1297">
        <v>0</v>
      </c>
      <c r="AV1297">
        <v>0</v>
      </c>
      <c r="AW1297">
        <v>0</v>
      </c>
      <c r="AX1297" s="141">
        <f t="shared" si="1690"/>
        <v>1</v>
      </c>
      <c r="AY1297" s="141">
        <f t="shared" si="1691"/>
        <v>1</v>
      </c>
      <c r="AZ1297">
        <f t="shared" si="1692"/>
        <v>0</v>
      </c>
      <c r="BA1297">
        <f t="shared" si="1693"/>
        <v>0</v>
      </c>
      <c r="BB1297">
        <f t="shared" si="1694"/>
        <v>1</v>
      </c>
      <c r="BC1297">
        <f t="shared" si="1695"/>
        <v>0</v>
      </c>
      <c r="BD1297">
        <f t="shared" si="1696"/>
        <v>0</v>
      </c>
      <c r="BE1297" t="str" cm="1">
        <f t="array" ref="BE1297">IF(AY1297=1,INDEX($V$7:$AL$7,MATCH(TRUE,INDEX($V1297:$AW1297&lt;&gt;0,),0)),IF(AY1297=0,INDEX($AM$7:$AW$7,MATCH(1,$AM1297:$AW1297,0)),IF(BF1297="Multiple strategies","mixed drivers",IF(BF1297="Supply chain","multiple supply","multiple silviculture"))))</f>
        <v>technologies/design switch</v>
      </c>
      <c r="BF1297" s="2" t="str" cm="1">
        <f t="array" ref="BF1297">IF(COUNTIF(AZ1297:BB1297,"&lt;&gt;0")=1,INDEX($V$4:$AW$4,MATCH(TRUE,INDEX($V1297:$AW1297&lt;&gt;0,),0)),IF(COUNTIF(AZ1297:BB1297,"&lt;&gt;0")=0,INDEX($AM$4:$AW$4,MATCH(1,$AM1297:$AW1297,0)),"Multiple strategies"))</f>
        <v>Technology</v>
      </c>
      <c r="BH1297" t="s">
        <v>2168</v>
      </c>
      <c r="BN1297" s="143"/>
      <c r="BP1297" s="264" t="s">
        <v>232</v>
      </c>
      <c r="BQ1297" s="264"/>
      <c r="BR1297" t="s">
        <v>2169</v>
      </c>
      <c r="BS1297">
        <v>-157</v>
      </c>
      <c r="BT1297">
        <v>-562</v>
      </c>
      <c r="BU1297" s="144">
        <v>1.6480938416422288</v>
      </c>
      <c r="BV1297">
        <v>-221</v>
      </c>
      <c r="BX1297">
        <f t="shared" si="1663"/>
        <v>-0.221</v>
      </c>
      <c r="BY1297" t="str">
        <f t="shared" si="1661"/>
        <v/>
      </c>
      <c r="BZ1297">
        <v>0</v>
      </c>
      <c r="CA1297">
        <v>0</v>
      </c>
      <c r="CB1297">
        <v>0</v>
      </c>
      <c r="CC1297">
        <v>0</v>
      </c>
      <c r="CD1297">
        <v>0</v>
      </c>
      <c r="CE1297">
        <v>0</v>
      </c>
      <c r="CF1297">
        <v>0</v>
      </c>
      <c r="CG1297">
        <v>0</v>
      </c>
      <c r="CH1297">
        <v>0</v>
      </c>
      <c r="CI1297">
        <v>0</v>
      </c>
      <c r="CJ1297">
        <v>0</v>
      </c>
      <c r="CK1297">
        <v>0</v>
      </c>
      <c r="CL1297">
        <v>0</v>
      </c>
      <c r="CM1297">
        <v>0</v>
      </c>
      <c r="CN1297" t="str">
        <f t="shared" si="1664"/>
        <v>refOK</v>
      </c>
      <c r="CO1297"/>
      <c r="CP1297"/>
      <c r="CQ1297"/>
      <c r="CR1297">
        <f t="shared" si="1697"/>
        <v>-157</v>
      </c>
      <c r="CS1297">
        <f t="shared" si="1698"/>
        <v>-562</v>
      </c>
      <c r="CT1297">
        <f t="shared" si="1699"/>
        <v>-0.221</v>
      </c>
      <c r="CU1297" t="str">
        <f t="shared" si="1700"/>
        <v/>
      </c>
      <c r="CV1297" s="2">
        <f t="shared" si="1701"/>
        <v>-2.5796178343949046</v>
      </c>
      <c r="CW1297" s="1" t="s">
        <v>1198</v>
      </c>
      <c r="CX1297" s="264" t="str">
        <f t="shared" si="1702"/>
        <v>reg</v>
      </c>
      <c r="CY1297" t="s">
        <v>235</v>
      </c>
      <c r="DB1297">
        <v>30</v>
      </c>
      <c r="DC1297" t="str">
        <f t="shared" si="1703"/>
        <v>1-30</v>
      </c>
      <c r="DD1297">
        <v>0</v>
      </c>
      <c r="DE1297">
        <v>1</v>
      </c>
      <c r="DF1297">
        <v>0</v>
      </c>
      <c r="DG1297">
        <v>0</v>
      </c>
      <c r="DI1297">
        <f t="shared" si="1682"/>
        <v>1</v>
      </c>
      <c r="DJ1297" t="str">
        <f t="shared" si="1704"/>
        <v>EnergyInput</v>
      </c>
      <c r="DK1297">
        <f t="shared" si="1683"/>
        <v>0</v>
      </c>
      <c r="DL1297" t="str">
        <f t="shared" si="1684"/>
        <v>Energy</v>
      </c>
      <c r="DM1297">
        <f t="shared" si="1685"/>
        <v>0</v>
      </c>
      <c r="DN1297">
        <f t="shared" si="1686"/>
        <v>0</v>
      </c>
      <c r="DO1297">
        <v>0</v>
      </c>
      <c r="DP1297">
        <v>1</v>
      </c>
      <c r="DQ1297" t="s">
        <v>2145</v>
      </c>
      <c r="DR1297">
        <v>0</v>
      </c>
      <c r="DS1297">
        <v>0</v>
      </c>
      <c r="DT1297">
        <f t="shared" si="1688"/>
        <v>1</v>
      </c>
      <c r="DU1297" s="143" t="str">
        <f t="shared" si="1687"/>
        <v>external DF used</v>
      </c>
      <c r="DV1297">
        <v>1</v>
      </c>
      <c r="DW1297">
        <v>1</v>
      </c>
      <c r="DX1297">
        <v>1</v>
      </c>
      <c r="DY1297">
        <v>1</v>
      </c>
      <c r="DZ1297">
        <v>1</v>
      </c>
      <c r="EA1297">
        <v>0</v>
      </c>
      <c r="EB1297">
        <v>1</v>
      </c>
      <c r="EC1297">
        <v>1</v>
      </c>
      <c r="ED1297">
        <v>0</v>
      </c>
      <c r="EE1297">
        <v>0</v>
      </c>
      <c r="EF1297">
        <v>1</v>
      </c>
      <c r="EG1297">
        <v>0</v>
      </c>
      <c r="EH1297">
        <v>0</v>
      </c>
      <c r="EI1297" s="2">
        <v>0</v>
      </c>
      <c r="EK1297" t="str">
        <f t="shared" si="1680"/>
        <v>Whole sector</v>
      </c>
      <c r="EL1297" t="str">
        <f t="shared" si="1681"/>
        <v/>
      </c>
      <c r="EM1297" s="2" t="str">
        <f t="shared" si="1662"/>
        <v/>
      </c>
      <c r="EP1297" t="b">
        <f>IF(ISNUMBER(BU1297),IF(ABS(BU1297-[4]QC_indicators!$B$2)&gt;3*[4]QC_indicators!$C$2,"C ratio",IF(ISNUMBER(BY1297),IF(ABS(BY1297-[4]QC_indicators!$B$1)&gt;3*[4]QC_indicators!$C$1,"DF","no"))),IF(ISNUMBER(BY1297),IF(ABS(BY1297-[4]QC_indicators!$B$1)&gt;3*[4]QC_indicators!$C$1,"DF","no")))</f>
        <v>0</v>
      </c>
      <c r="ER1297" s="294" t="s">
        <v>2170</v>
      </c>
      <c r="ET1297" s="264" t="s">
        <v>3406</v>
      </c>
    </row>
    <row r="1298" spans="1:150" ht="15" hidden="1" customHeight="1">
      <c r="A1298" s="1" t="s">
        <v>1359</v>
      </c>
      <c r="B1298" t="s">
        <v>2134</v>
      </c>
      <c r="C1298" t="s">
        <v>2135</v>
      </c>
      <c r="D1298" t="s">
        <v>2136</v>
      </c>
      <c r="E1298" t="s">
        <v>2137</v>
      </c>
      <c r="F1298" t="s">
        <v>2138</v>
      </c>
      <c r="G1298" t="s">
        <v>1365</v>
      </c>
      <c r="H1298" t="s">
        <v>254</v>
      </c>
      <c r="I1298">
        <v>2012</v>
      </c>
      <c r="J1298">
        <v>21</v>
      </c>
      <c r="K1298" t="s">
        <v>2139</v>
      </c>
      <c r="L1298" s="192"/>
      <c r="M1298" t="str">
        <f t="shared" si="1689"/>
        <v>Pyorala_2012</v>
      </c>
      <c r="N1298" t="s">
        <v>222</v>
      </c>
      <c r="O1298" s="145" t="s">
        <v>341</v>
      </c>
      <c r="Q1298" s="264" t="s">
        <v>256</v>
      </c>
      <c r="R1298" s="269" t="s">
        <v>1153</v>
      </c>
      <c r="S1298" s="1" t="s">
        <v>2204</v>
      </c>
      <c r="T1298" t="s">
        <v>798</v>
      </c>
      <c r="U1298" t="s">
        <v>2167</v>
      </c>
      <c r="V1298">
        <v>0</v>
      </c>
      <c r="W1298">
        <v>0</v>
      </c>
      <c r="X1298">
        <v>0</v>
      </c>
      <c r="Y1298">
        <v>0</v>
      </c>
      <c r="Z1298">
        <v>0</v>
      </c>
      <c r="AA1298">
        <v>0</v>
      </c>
      <c r="AB1298">
        <v>0</v>
      </c>
      <c r="AC1298">
        <v>0</v>
      </c>
      <c r="AD1298">
        <v>0</v>
      </c>
      <c r="AE1298">
        <v>0</v>
      </c>
      <c r="AF1298">
        <v>0</v>
      </c>
      <c r="AG1298">
        <v>0</v>
      </c>
      <c r="AH1298">
        <v>0</v>
      </c>
      <c r="AI1298">
        <v>0</v>
      </c>
      <c r="AJ1298">
        <v>0</v>
      </c>
      <c r="AK1298">
        <v>1</v>
      </c>
      <c r="AL1298">
        <v>0</v>
      </c>
      <c r="AM1298">
        <v>0</v>
      </c>
      <c r="AN1298">
        <v>0</v>
      </c>
      <c r="AO1298">
        <v>0</v>
      </c>
      <c r="AP1298">
        <v>0</v>
      </c>
      <c r="AQ1298">
        <v>0</v>
      </c>
      <c r="AR1298">
        <v>0</v>
      </c>
      <c r="AS1298">
        <v>0</v>
      </c>
      <c r="AT1298">
        <v>0</v>
      </c>
      <c r="AU1298">
        <v>0</v>
      </c>
      <c r="AV1298">
        <v>0</v>
      </c>
      <c r="AW1298">
        <v>0</v>
      </c>
      <c r="AX1298" s="141">
        <f t="shared" si="1690"/>
        <v>1</v>
      </c>
      <c r="AY1298" s="141">
        <f t="shared" si="1691"/>
        <v>1</v>
      </c>
      <c r="AZ1298">
        <f t="shared" si="1692"/>
        <v>0</v>
      </c>
      <c r="BA1298">
        <f t="shared" si="1693"/>
        <v>0</v>
      </c>
      <c r="BB1298">
        <f t="shared" si="1694"/>
        <v>1</v>
      </c>
      <c r="BC1298">
        <f t="shared" si="1695"/>
        <v>0</v>
      </c>
      <c r="BD1298">
        <f t="shared" si="1696"/>
        <v>0</v>
      </c>
      <c r="BE1298" t="str" cm="1">
        <f t="array" ref="BE1298">IF(AY1298=1,INDEX($V$7:$AL$7,MATCH(TRUE,INDEX($V1298:$AW1298&lt;&gt;0,),0)),IF(AY1298=0,INDEX($AM$7:$AW$7,MATCH(1,$AM1298:$AW1298,0)),IF(BF1298="Multiple strategies","mixed drivers",IF(BF1298="Supply chain","multiple supply","multiple silviculture"))))</f>
        <v>technologies/design switch</v>
      </c>
      <c r="BF1298" s="2" t="str" cm="1">
        <f t="array" ref="BF1298">IF(COUNTIF(AZ1298:BB1298,"&lt;&gt;0")=1,INDEX($V$4:$AW$4,MATCH(TRUE,INDEX($V1298:$AW1298&lt;&gt;0,),0)),IF(COUNTIF(AZ1298:BB1298,"&lt;&gt;0")=0,INDEX($AM$4:$AW$4,MATCH(1,$AM1298:$AW1298,0)),"Multiple strategies"))</f>
        <v>Technology</v>
      </c>
      <c r="BH1298" t="s">
        <v>2168</v>
      </c>
      <c r="BN1298" s="143"/>
      <c r="BP1298" s="264" t="s">
        <v>232</v>
      </c>
      <c r="BQ1298" s="264"/>
      <c r="BR1298" t="s">
        <v>2169</v>
      </c>
      <c r="BS1298">
        <v>-157</v>
      </c>
      <c r="BT1298">
        <v>-564</v>
      </c>
      <c r="BU1298" s="144">
        <v>1.653958944281525</v>
      </c>
      <c r="BV1298">
        <v>-223</v>
      </c>
      <c r="BX1298">
        <f t="shared" si="1663"/>
        <v>-0.223</v>
      </c>
      <c r="BY1298" t="str">
        <f t="shared" si="1661"/>
        <v/>
      </c>
      <c r="BZ1298">
        <v>0</v>
      </c>
      <c r="CA1298">
        <v>0</v>
      </c>
      <c r="CB1298">
        <v>0</v>
      </c>
      <c r="CC1298">
        <v>0</v>
      </c>
      <c r="CD1298">
        <v>0</v>
      </c>
      <c r="CE1298">
        <v>0</v>
      </c>
      <c r="CF1298">
        <v>0</v>
      </c>
      <c r="CG1298">
        <v>0</v>
      </c>
      <c r="CH1298">
        <v>0</v>
      </c>
      <c r="CI1298">
        <v>0</v>
      </c>
      <c r="CJ1298">
        <v>0</v>
      </c>
      <c r="CK1298">
        <v>0</v>
      </c>
      <c r="CL1298">
        <v>0</v>
      </c>
      <c r="CM1298">
        <v>0</v>
      </c>
      <c r="CN1298" t="str">
        <f t="shared" si="1664"/>
        <v>refOK</v>
      </c>
      <c r="CO1298"/>
      <c r="CP1298"/>
      <c r="CQ1298"/>
      <c r="CR1298">
        <f t="shared" si="1697"/>
        <v>-157</v>
      </c>
      <c r="CS1298">
        <f t="shared" si="1698"/>
        <v>-564</v>
      </c>
      <c r="CT1298">
        <f t="shared" si="1699"/>
        <v>-0.223</v>
      </c>
      <c r="CU1298" t="str">
        <f t="shared" si="1700"/>
        <v/>
      </c>
      <c r="CV1298" s="2">
        <f t="shared" si="1701"/>
        <v>-2.5923566878980893</v>
      </c>
      <c r="CW1298" s="1" t="s">
        <v>1198</v>
      </c>
      <c r="CX1298" s="264" t="str">
        <f t="shared" si="1702"/>
        <v>reg</v>
      </c>
      <c r="CY1298" t="s">
        <v>235</v>
      </c>
      <c r="DB1298">
        <v>30</v>
      </c>
      <c r="DC1298" t="str">
        <f t="shared" si="1703"/>
        <v>1-30</v>
      </c>
      <c r="DD1298">
        <v>0</v>
      </c>
      <c r="DE1298">
        <v>1</v>
      </c>
      <c r="DF1298">
        <v>0</v>
      </c>
      <c r="DG1298">
        <v>0</v>
      </c>
      <c r="DI1298">
        <f t="shared" si="1682"/>
        <v>1</v>
      </c>
      <c r="DJ1298" t="str">
        <f t="shared" si="1704"/>
        <v>EnergyInput</v>
      </c>
      <c r="DK1298">
        <f t="shared" si="1683"/>
        <v>0</v>
      </c>
      <c r="DL1298" t="str">
        <f t="shared" si="1684"/>
        <v>Energy</v>
      </c>
      <c r="DM1298">
        <f t="shared" si="1685"/>
        <v>0</v>
      </c>
      <c r="DN1298">
        <f t="shared" si="1686"/>
        <v>0</v>
      </c>
      <c r="DO1298">
        <v>0</v>
      </c>
      <c r="DP1298">
        <v>1</v>
      </c>
      <c r="DQ1298" t="s">
        <v>2145</v>
      </c>
      <c r="DR1298">
        <v>0</v>
      </c>
      <c r="DS1298">
        <v>0</v>
      </c>
      <c r="DT1298">
        <f t="shared" si="1688"/>
        <v>1</v>
      </c>
      <c r="DU1298" s="143" t="str">
        <f t="shared" si="1687"/>
        <v>external DF used</v>
      </c>
      <c r="DV1298">
        <v>1</v>
      </c>
      <c r="DW1298">
        <v>1</v>
      </c>
      <c r="DX1298">
        <v>1</v>
      </c>
      <c r="DY1298">
        <v>1</v>
      </c>
      <c r="DZ1298">
        <v>1</v>
      </c>
      <c r="EA1298">
        <v>0</v>
      </c>
      <c r="EB1298">
        <v>1</v>
      </c>
      <c r="EC1298">
        <v>1</v>
      </c>
      <c r="ED1298">
        <v>0</v>
      </c>
      <c r="EE1298">
        <v>0</v>
      </c>
      <c r="EF1298">
        <v>1</v>
      </c>
      <c r="EG1298">
        <v>0</v>
      </c>
      <c r="EH1298">
        <v>0</v>
      </c>
      <c r="EI1298" s="2">
        <v>0</v>
      </c>
      <c r="EK1298" t="str">
        <f t="shared" si="1680"/>
        <v>Whole sector</v>
      </c>
      <c r="EL1298" t="str">
        <f t="shared" si="1681"/>
        <v/>
      </c>
      <c r="EM1298" s="2" t="str">
        <f t="shared" si="1662"/>
        <v/>
      </c>
      <c r="EP1298" t="b">
        <f>IF(ISNUMBER(BU1298),IF(ABS(BU1298-[4]QC_indicators!$B$2)&gt;3*[4]QC_indicators!$C$2,"C ratio",IF(ISNUMBER(BY1298),IF(ABS(BY1298-[4]QC_indicators!$B$1)&gt;3*[4]QC_indicators!$C$1,"DF","no"))),IF(ISNUMBER(BY1298),IF(ABS(BY1298-[4]QC_indicators!$B$1)&gt;3*[4]QC_indicators!$C$1,"DF","no")))</f>
        <v>0</v>
      </c>
      <c r="ER1298" s="294" t="s">
        <v>2170</v>
      </c>
      <c r="ET1298" s="264" t="s">
        <v>3406</v>
      </c>
    </row>
    <row r="1299" spans="1:150" ht="15" hidden="1" customHeight="1">
      <c r="A1299" s="1" t="s">
        <v>1044</v>
      </c>
      <c r="B1299" t="s">
        <v>1045</v>
      </c>
      <c r="C1299" t="s">
        <v>1046</v>
      </c>
      <c r="D1299" t="s">
        <v>1047</v>
      </c>
      <c r="E1299" t="s">
        <v>1048</v>
      </c>
      <c r="F1299" t="s">
        <v>1049</v>
      </c>
      <c r="G1299" t="s">
        <v>1050</v>
      </c>
      <c r="H1299" t="s">
        <v>254</v>
      </c>
      <c r="I1299">
        <v>2014</v>
      </c>
      <c r="J1299">
        <v>23</v>
      </c>
      <c r="K1299" t="s">
        <v>1051</v>
      </c>
      <c r="M1299" t="str">
        <f t="shared" si="1689"/>
        <v>Pyorala_2014</v>
      </c>
      <c r="N1299" t="s">
        <v>222</v>
      </c>
      <c r="O1299" s="171" t="s">
        <v>341</v>
      </c>
      <c r="P1299" t="s">
        <v>225</v>
      </c>
      <c r="Q1299" s="264" t="s">
        <v>389</v>
      </c>
      <c r="R1299" s="269" t="s">
        <v>1153</v>
      </c>
      <c r="S1299" s="1" t="s">
        <v>1066</v>
      </c>
      <c r="T1299" t="s">
        <v>1054</v>
      </c>
      <c r="U1299" t="s">
        <v>1064</v>
      </c>
      <c r="V1299">
        <v>0</v>
      </c>
      <c r="W1299">
        <v>0</v>
      </c>
      <c r="X1299">
        <v>0</v>
      </c>
      <c r="Y1299">
        <v>0</v>
      </c>
      <c r="Z1299">
        <v>0</v>
      </c>
      <c r="AA1299">
        <v>0</v>
      </c>
      <c r="AB1299">
        <v>1</v>
      </c>
      <c r="AC1299">
        <v>0</v>
      </c>
      <c r="AD1299">
        <v>0</v>
      </c>
      <c r="AE1299">
        <v>0</v>
      </c>
      <c r="AF1299">
        <v>0</v>
      </c>
      <c r="AG1299">
        <v>0</v>
      </c>
      <c r="AH1299">
        <v>0</v>
      </c>
      <c r="AI1299">
        <v>0</v>
      </c>
      <c r="AJ1299">
        <v>0</v>
      </c>
      <c r="AK1299">
        <v>0</v>
      </c>
      <c r="AL1299">
        <v>0</v>
      </c>
      <c r="AM1299">
        <v>0</v>
      </c>
      <c r="AN1299">
        <v>0</v>
      </c>
      <c r="AO1299">
        <v>0</v>
      </c>
      <c r="AP1299">
        <v>0</v>
      </c>
      <c r="AQ1299">
        <v>0</v>
      </c>
      <c r="AR1299">
        <v>0</v>
      </c>
      <c r="AS1299">
        <v>0</v>
      </c>
      <c r="AT1299">
        <v>0</v>
      </c>
      <c r="AU1299">
        <v>0</v>
      </c>
      <c r="AV1299">
        <v>0</v>
      </c>
      <c r="AW1299">
        <v>0</v>
      </c>
      <c r="AX1299" s="141">
        <f t="shared" si="1690"/>
        <v>1</v>
      </c>
      <c r="AY1299" s="141">
        <f t="shared" si="1691"/>
        <v>1</v>
      </c>
      <c r="AZ1299">
        <f t="shared" si="1692"/>
        <v>1</v>
      </c>
      <c r="BA1299">
        <f t="shared" si="1693"/>
        <v>0</v>
      </c>
      <c r="BB1299">
        <f t="shared" si="1694"/>
        <v>0</v>
      </c>
      <c r="BC1299">
        <f t="shared" si="1695"/>
        <v>0</v>
      </c>
      <c r="BD1299">
        <f t="shared" si="1696"/>
        <v>0</v>
      </c>
      <c r="BE1299" t="str" cm="1">
        <f t="array" ref="BE1299">IF(AY1299=1,INDEX($V$7:$AL$7,MATCH(TRUE,INDEX($V1299:$AW1299&lt;&gt;0,),0)),IF(AY1299=0,INDEX($AM$7:$AW$7,MATCH(1,$AM1299:$AW1299,0)),IF(BF1299="Multiple strategies","mixed drivers",IF(BF1299="Supply chain","multiple supply","multiple silviculture"))))</f>
        <v>fertilisation</v>
      </c>
      <c r="BF1299" s="2" t="str" cm="1">
        <f t="array" ref="BF1299">IF(COUNTIF(AZ1299:BB1299,"&lt;&gt;0")=1,INDEX($V$4:$AW$4,MATCH(TRUE,INDEX($V1299:$AW1299&lt;&gt;0,),0)),IF(COUNTIF(AZ1299:BB1299,"&lt;&gt;0")=0,INDEX($AM$4:$AW$4,MATCH(1,$AM1299:$AW1299,0)),"Multiple strategies"))</f>
        <v>Silviculture for productivity</v>
      </c>
      <c r="BG1299" s="1" t="s">
        <v>321</v>
      </c>
      <c r="BH1299" t="s">
        <v>1055</v>
      </c>
      <c r="BI1299" s="264" t="s">
        <v>1056</v>
      </c>
      <c r="BJ1299" s="264" t="s">
        <v>1057</v>
      </c>
      <c r="BK1299">
        <v>3.5</v>
      </c>
      <c r="BL1299">
        <v>3.8</v>
      </c>
      <c r="BM1299">
        <f>IFERROR(BL1299/BK1299,"")</f>
        <v>1.0857142857142856</v>
      </c>
      <c r="BN1299">
        <f t="shared" ref="BN1299:BN1315" si="1705">BL1299-BK1299</f>
        <v>0.29999999999999982</v>
      </c>
      <c r="BO1299">
        <f t="shared" ref="BO1299:BO1311" si="1706">BN1299*t_to_m3</f>
        <v>0.61224489795918335</v>
      </c>
      <c r="BP1299" t="s">
        <v>395</v>
      </c>
      <c r="BQ1299" t="s">
        <v>971</v>
      </c>
      <c r="BR1299" t="s">
        <v>1058</v>
      </c>
      <c r="BS1299" s="172">
        <v>-19.5</v>
      </c>
      <c r="BT1299" s="172">
        <v>-189</v>
      </c>
      <c r="BU1299" s="144"/>
      <c r="BV1299">
        <f t="shared" ref="BV1299:BV1315" si="1707">BT1299-BS1299</f>
        <v>-169.5</v>
      </c>
      <c r="BX1299">
        <f t="shared" ref="BX1299:BX1311" si="1708">BV1299*10^-6*10^4</f>
        <v>-1.6950000000000001</v>
      </c>
      <c r="BY1299">
        <f t="shared" si="1661"/>
        <v>-2.7685000000000017</v>
      </c>
      <c r="BZ1299">
        <v>0</v>
      </c>
      <c r="CA1299">
        <v>0</v>
      </c>
      <c r="CB1299">
        <v>0</v>
      </c>
      <c r="CC1299">
        <v>0</v>
      </c>
      <c r="CD1299">
        <v>0</v>
      </c>
      <c r="CE1299">
        <v>0</v>
      </c>
      <c r="CF1299">
        <v>0</v>
      </c>
      <c r="CG1299">
        <v>0</v>
      </c>
      <c r="CH1299">
        <v>0</v>
      </c>
      <c r="CI1299">
        <v>0</v>
      </c>
      <c r="CJ1299">
        <v>0</v>
      </c>
      <c r="CK1299">
        <v>0</v>
      </c>
      <c r="CL1299">
        <v>0</v>
      </c>
      <c r="CM1299">
        <v>0</v>
      </c>
      <c r="CN1299" t="str">
        <f t="shared" ref="CN1299:CN1315" si="1709">IF($BL1299&lt;$BK1299,"refNeedCorrection","refOK")</f>
        <v>refOK</v>
      </c>
      <c r="CO1299">
        <f t="shared" ref="CO1299:CO1315" si="1710">IF($CN1299="refOK",$BK1299,$BL1299)</f>
        <v>3.5</v>
      </c>
      <c r="CP1299">
        <f t="shared" ref="CP1299:CP1315" si="1711">IF($CN1299="refOK",$BL1299,$BK1299)</f>
        <v>3.8</v>
      </c>
      <c r="CQ1299">
        <f t="shared" ref="CQ1299:CQ1315" si="1712">IF($CN1299="refOK",$BO1299,-$BO1299)</f>
        <v>0.61224489795918335</v>
      </c>
      <c r="CR1299">
        <f t="shared" si="1697"/>
        <v>19.5</v>
      </c>
      <c r="CS1299">
        <f t="shared" si="1698"/>
        <v>189</v>
      </c>
      <c r="CT1299">
        <f t="shared" si="1699"/>
        <v>1.6950000000000001</v>
      </c>
      <c r="CU1299">
        <f t="shared" si="1700"/>
        <v>2.7685000000000017</v>
      </c>
      <c r="CV1299" s="2">
        <f t="shared" si="1701"/>
        <v>8.6923076923076916</v>
      </c>
      <c r="CW1299" s="1" t="s">
        <v>263</v>
      </c>
      <c r="CX1299" s="264" t="str">
        <f t="shared" si="1702"/>
        <v>loc</v>
      </c>
      <c r="CY1299" t="s">
        <v>235</v>
      </c>
      <c r="DB1299">
        <v>50</v>
      </c>
      <c r="DC1299" t="str">
        <f t="shared" si="1703"/>
        <v>31-70</v>
      </c>
      <c r="DD1299">
        <v>0</v>
      </c>
      <c r="DE1299">
        <v>1</v>
      </c>
      <c r="DF1299">
        <v>0</v>
      </c>
      <c r="DG1299">
        <v>1</v>
      </c>
      <c r="DI1299">
        <f t="shared" si="1682"/>
        <v>2</v>
      </c>
      <c r="DJ1299" t="str">
        <f t="shared" si="1704"/>
        <v>mixedProduct</v>
      </c>
      <c r="DK1299">
        <f t="shared" si="1683"/>
        <v>0</v>
      </c>
      <c r="DL1299" t="str">
        <f t="shared" si="1684"/>
        <v>Energy</v>
      </c>
      <c r="DM1299">
        <f t="shared" si="1685"/>
        <v>0</v>
      </c>
      <c r="DN1299" t="str">
        <f t="shared" si="1686"/>
        <v>Timber</v>
      </c>
      <c r="DO1299">
        <v>0</v>
      </c>
      <c r="DP1299">
        <v>1</v>
      </c>
      <c r="DQ1299" t="s">
        <v>1059</v>
      </c>
      <c r="DT1299">
        <f t="shared" si="1688"/>
        <v>1</v>
      </c>
      <c r="DU1299" s="143" t="str">
        <f t="shared" si="1687"/>
        <v>external DF used</v>
      </c>
      <c r="DV1299">
        <v>1</v>
      </c>
      <c r="DW1299">
        <v>1</v>
      </c>
      <c r="DX1299">
        <v>1</v>
      </c>
      <c r="DY1299">
        <v>0</v>
      </c>
      <c r="DZ1299">
        <v>0</v>
      </c>
      <c r="EA1299" s="143">
        <v>0</v>
      </c>
      <c r="EB1299">
        <v>1</v>
      </c>
      <c r="EC1299">
        <v>1</v>
      </c>
      <c r="ED1299">
        <v>0</v>
      </c>
      <c r="EE1299">
        <v>0</v>
      </c>
      <c r="EF1299">
        <v>1</v>
      </c>
      <c r="EG1299">
        <v>0</v>
      </c>
      <c r="EH1299">
        <v>0</v>
      </c>
      <c r="EI1299" s="2">
        <v>0</v>
      </c>
      <c r="EK1299" t="str">
        <f t="shared" ref="EK1299:EK1315" si="1713">IF(AND(AND(AND(OR($DX1299=1,$DW1299=1),OR($EC1299=1,$EA1299=1)),SUM($DV1299:$DZ1299,$EF1299)&gt;=4),SUM($EA1299:$EE1299)&gt;=2),"Whole sector","")</f>
        <v>Whole sector</v>
      </c>
      <c r="EL1299" t="str">
        <f t="shared" ref="EL1299:EL1315" si="1714">IF(AND(AND(OR($DX1299=1,$DW1299=1),AND($EC1299=0,$EA1299=0)),SUM($DV1299:$DZ1299,$EF1299)&gt;=4),"Ecosystem approach","")</f>
        <v/>
      </c>
      <c r="EM1299" s="2" t="str">
        <f t="shared" si="1662"/>
        <v/>
      </c>
      <c r="EP1299" t="str">
        <f>IF(ISNUMBER(BU1299),IF(ABS(BU1299-[4]QC_indicators!$B$2)&gt;3*[4]QC_indicators!$C$2,"C ratio",IF(ISNUMBER(BY1299),IF(ABS(BY1299-[4]QC_indicators!$B$1)&gt;3*[4]QC_indicators!$C$1,"DF","no"))),IF(ISNUMBER(BY1299),IF(ABS(BY1299-[4]QC_indicators!$B$1)&gt;3*[4]QC_indicators!$C$1,"DF","no")))</f>
        <v>no</v>
      </c>
      <c r="ER1299" s="264" t="s">
        <v>1060</v>
      </c>
      <c r="ET1299" s="264" t="s">
        <v>3406</v>
      </c>
    </row>
    <row r="1300" spans="1:150" ht="15" hidden="1" customHeight="1">
      <c r="A1300" s="1" t="s">
        <v>1044</v>
      </c>
      <c r="B1300" t="s">
        <v>1045</v>
      </c>
      <c r="C1300" t="s">
        <v>1046</v>
      </c>
      <c r="D1300" t="s">
        <v>1047</v>
      </c>
      <c r="E1300" t="s">
        <v>1048</v>
      </c>
      <c r="F1300" t="s">
        <v>1049</v>
      </c>
      <c r="G1300" t="s">
        <v>1050</v>
      </c>
      <c r="H1300" t="s">
        <v>254</v>
      </c>
      <c r="I1300">
        <v>2014</v>
      </c>
      <c r="J1300">
        <v>23</v>
      </c>
      <c r="K1300" t="s">
        <v>1051</v>
      </c>
      <c r="M1300" t="str">
        <f t="shared" si="1689"/>
        <v>Pyorala_2014</v>
      </c>
      <c r="N1300" t="s">
        <v>222</v>
      </c>
      <c r="O1300" s="171" t="s">
        <v>341</v>
      </c>
      <c r="P1300" t="s">
        <v>225</v>
      </c>
      <c r="Q1300" s="264" t="s">
        <v>389</v>
      </c>
      <c r="R1300" s="269" t="s">
        <v>1153</v>
      </c>
      <c r="S1300" s="263" t="s">
        <v>95</v>
      </c>
      <c r="T1300" s="264" t="s">
        <v>1078</v>
      </c>
      <c r="U1300" s="264" t="s">
        <v>1079</v>
      </c>
      <c r="V1300">
        <v>0</v>
      </c>
      <c r="W1300">
        <v>0</v>
      </c>
      <c r="X1300">
        <v>0</v>
      </c>
      <c r="Y1300">
        <v>0</v>
      </c>
      <c r="Z1300">
        <v>0</v>
      </c>
      <c r="AA1300">
        <v>0</v>
      </c>
      <c r="AB1300">
        <v>0</v>
      </c>
      <c r="AC1300">
        <v>1</v>
      </c>
      <c r="AD1300">
        <v>0</v>
      </c>
      <c r="AE1300">
        <v>0</v>
      </c>
      <c r="AF1300">
        <v>0</v>
      </c>
      <c r="AG1300">
        <v>0</v>
      </c>
      <c r="AH1300">
        <v>0</v>
      </c>
      <c r="AI1300">
        <v>0</v>
      </c>
      <c r="AJ1300">
        <v>0</v>
      </c>
      <c r="AK1300">
        <v>0</v>
      </c>
      <c r="AL1300">
        <v>0</v>
      </c>
      <c r="AM1300">
        <v>0</v>
      </c>
      <c r="AN1300">
        <v>0</v>
      </c>
      <c r="AO1300">
        <v>0</v>
      </c>
      <c r="AP1300">
        <v>0</v>
      </c>
      <c r="AQ1300">
        <v>0</v>
      </c>
      <c r="AR1300">
        <v>0</v>
      </c>
      <c r="AS1300">
        <v>0</v>
      </c>
      <c r="AT1300">
        <v>0</v>
      </c>
      <c r="AU1300">
        <v>0</v>
      </c>
      <c r="AV1300">
        <v>0</v>
      </c>
      <c r="AW1300">
        <v>0</v>
      </c>
      <c r="AX1300" s="141">
        <f t="shared" si="1690"/>
        <v>1</v>
      </c>
      <c r="AY1300" s="141">
        <f t="shared" si="1691"/>
        <v>1</v>
      </c>
      <c r="AZ1300">
        <f t="shared" si="1692"/>
        <v>1</v>
      </c>
      <c r="BA1300">
        <f t="shared" si="1693"/>
        <v>0</v>
      </c>
      <c r="BB1300">
        <f t="shared" si="1694"/>
        <v>0</v>
      </c>
      <c r="BC1300">
        <f t="shared" si="1695"/>
        <v>0</v>
      </c>
      <c r="BD1300">
        <f t="shared" si="1696"/>
        <v>0</v>
      </c>
      <c r="BE1300" t="str" cm="1">
        <f t="array" ref="BE1300">IF(AY1300=1,INDEX($V$7:$AL$7,MATCH(TRUE,INDEX($V1300:$AW1300&lt;&gt;0,),0)),IF(AY1300=0,INDEX($AM$7:$AW$7,MATCH(1,$AM1300:$AW1300,0)),IF(BF1300="Multiple strategies","mixed drivers",IF(BF1300="Supply chain","multiple supply","multiple silviculture"))))</f>
        <v>site fertility</v>
      </c>
      <c r="BF1300" s="2" t="str" cm="1">
        <f t="array" ref="BF1300">IF(COUNTIF(AZ1300:BB1300,"&lt;&gt;0")=1,INDEX($V$4:$AW$4,MATCH(TRUE,INDEX($V1300:$AW1300&lt;&gt;0,),0)),IF(COUNTIF(AZ1300:BB1300,"&lt;&gt;0")=0,INDEX($AM$4:$AW$4,MATCH(1,$AM1300:$AW1300,0)),"Multiple strategies"))</f>
        <v>Silviculture for productivity</v>
      </c>
      <c r="BG1300" s="1" t="s">
        <v>321</v>
      </c>
      <c r="BH1300" t="s">
        <v>1055</v>
      </c>
      <c r="BI1300" s="264" t="s">
        <v>1056</v>
      </c>
      <c r="BJ1300" s="264" t="s">
        <v>1057</v>
      </c>
      <c r="BK1300">
        <v>5.2</v>
      </c>
      <c r="BL1300">
        <v>6.1</v>
      </c>
      <c r="BM1300" t="str">
        <f>IFERROR(BK1300/#REF!,"")</f>
        <v/>
      </c>
      <c r="BN1300">
        <f t="shared" si="1705"/>
        <v>0.89999999999999947</v>
      </c>
      <c r="BO1300">
        <f t="shared" si="1706"/>
        <v>1.83673469387755</v>
      </c>
      <c r="BP1300" t="s">
        <v>395</v>
      </c>
      <c r="BQ1300" s="264" t="s">
        <v>581</v>
      </c>
      <c r="BR1300" t="s">
        <v>1058</v>
      </c>
      <c r="BS1300" s="172">
        <v>-200.5</v>
      </c>
      <c r="BT1300" s="172">
        <v>-460.5</v>
      </c>
      <c r="BU1300" s="144"/>
      <c r="BV1300">
        <f t="shared" si="1707"/>
        <v>-260</v>
      </c>
      <c r="BX1300">
        <f t="shared" si="1708"/>
        <v>-2.5999999999999996</v>
      </c>
      <c r="BY1300">
        <f t="shared" si="1661"/>
        <v>-1.4155555555555561</v>
      </c>
      <c r="BZ1300">
        <v>0</v>
      </c>
      <c r="CA1300">
        <v>0</v>
      </c>
      <c r="CB1300">
        <v>0</v>
      </c>
      <c r="CC1300">
        <v>0</v>
      </c>
      <c r="CD1300">
        <v>0</v>
      </c>
      <c r="CE1300">
        <v>0</v>
      </c>
      <c r="CF1300">
        <v>0</v>
      </c>
      <c r="CG1300">
        <v>0</v>
      </c>
      <c r="CH1300">
        <v>0</v>
      </c>
      <c r="CI1300">
        <v>0</v>
      </c>
      <c r="CJ1300">
        <v>0</v>
      </c>
      <c r="CK1300">
        <v>0</v>
      </c>
      <c r="CL1300">
        <v>0</v>
      </c>
      <c r="CM1300">
        <v>0</v>
      </c>
      <c r="CN1300" t="str">
        <f t="shared" si="1709"/>
        <v>refOK</v>
      </c>
      <c r="CO1300">
        <f t="shared" si="1710"/>
        <v>5.2</v>
      </c>
      <c r="CP1300">
        <f t="shared" si="1711"/>
        <v>6.1</v>
      </c>
      <c r="CQ1300">
        <f t="shared" si="1712"/>
        <v>1.83673469387755</v>
      </c>
      <c r="CR1300">
        <f t="shared" si="1697"/>
        <v>200.5</v>
      </c>
      <c r="CS1300">
        <f t="shared" si="1698"/>
        <v>460.5</v>
      </c>
      <c r="CT1300">
        <f t="shared" si="1699"/>
        <v>2.5999999999999996</v>
      </c>
      <c r="CU1300">
        <f t="shared" si="1700"/>
        <v>1.4155555555555561</v>
      </c>
      <c r="CV1300" s="2">
        <f t="shared" si="1701"/>
        <v>1.2967581047381547</v>
      </c>
      <c r="CW1300" s="1" t="s">
        <v>263</v>
      </c>
      <c r="CX1300" s="264" t="str">
        <f t="shared" si="1702"/>
        <v>loc</v>
      </c>
      <c r="CY1300" t="s">
        <v>235</v>
      </c>
      <c r="DB1300">
        <v>80</v>
      </c>
      <c r="DC1300" t="str">
        <f t="shared" si="1703"/>
        <v>71-100</v>
      </c>
      <c r="DD1300">
        <v>0</v>
      </c>
      <c r="DE1300">
        <v>1</v>
      </c>
      <c r="DF1300">
        <v>0</v>
      </c>
      <c r="DG1300">
        <v>1</v>
      </c>
      <c r="DI1300">
        <f t="shared" si="1682"/>
        <v>2</v>
      </c>
      <c r="DJ1300" t="str">
        <f t="shared" si="1704"/>
        <v>mixedProduct</v>
      </c>
      <c r="DK1300">
        <f t="shared" si="1683"/>
        <v>0</v>
      </c>
      <c r="DL1300" t="str">
        <f t="shared" si="1684"/>
        <v>Energy</v>
      </c>
      <c r="DM1300">
        <f t="shared" si="1685"/>
        <v>0</v>
      </c>
      <c r="DN1300" t="str">
        <f t="shared" si="1686"/>
        <v>Timber</v>
      </c>
      <c r="DO1300">
        <v>0</v>
      </c>
      <c r="DP1300">
        <v>1</v>
      </c>
      <c r="DQ1300" t="s">
        <v>1059</v>
      </c>
      <c r="DT1300">
        <f t="shared" si="1688"/>
        <v>1</v>
      </c>
      <c r="DU1300" s="143" t="str">
        <f t="shared" si="1687"/>
        <v>external DF used</v>
      </c>
      <c r="DV1300">
        <v>1</v>
      </c>
      <c r="DW1300">
        <v>1</v>
      </c>
      <c r="DX1300">
        <v>1</v>
      </c>
      <c r="DY1300">
        <v>0</v>
      </c>
      <c r="DZ1300">
        <v>0</v>
      </c>
      <c r="EA1300" s="143">
        <v>0</v>
      </c>
      <c r="EB1300">
        <v>1</v>
      </c>
      <c r="EC1300">
        <v>1</v>
      </c>
      <c r="ED1300">
        <v>0</v>
      </c>
      <c r="EE1300">
        <v>0</v>
      </c>
      <c r="EF1300">
        <v>1</v>
      </c>
      <c r="EG1300" s="143">
        <v>0</v>
      </c>
      <c r="EH1300" s="143">
        <v>0</v>
      </c>
      <c r="EI1300" s="2">
        <v>0</v>
      </c>
      <c r="EK1300" t="str">
        <f t="shared" si="1713"/>
        <v>Whole sector</v>
      </c>
      <c r="EL1300" t="str">
        <f t="shared" si="1714"/>
        <v/>
      </c>
      <c r="EM1300" s="2" t="str">
        <f t="shared" si="1662"/>
        <v/>
      </c>
      <c r="EP1300" t="str">
        <f>IF(ISNUMBER(BU1300),IF(ABS(BU1300-[4]QC_indicators!$B$2)&gt;3*[4]QC_indicators!$C$2,"C ratio",IF(ISNUMBER(BY1300),IF(ABS(BY1300-[4]QC_indicators!$B$1)&gt;3*[4]QC_indicators!$C$1,"DF","no"))),IF(ISNUMBER(BY1300),IF(ABS(BY1300-[4]QC_indicators!$B$1)&gt;3*[4]QC_indicators!$C$1,"DF","no")))</f>
        <v>no</v>
      </c>
      <c r="ER1300" s="264" t="s">
        <v>1069</v>
      </c>
      <c r="ET1300" s="264" t="s">
        <v>3406</v>
      </c>
    </row>
    <row r="1301" spans="1:150" ht="15" hidden="1" customHeight="1">
      <c r="A1301" s="1" t="s">
        <v>1044</v>
      </c>
      <c r="B1301" t="s">
        <v>1045</v>
      </c>
      <c r="C1301" t="s">
        <v>1046</v>
      </c>
      <c r="D1301" t="s">
        <v>1047</v>
      </c>
      <c r="E1301" t="s">
        <v>1048</v>
      </c>
      <c r="F1301" t="s">
        <v>1049</v>
      </c>
      <c r="G1301" t="s">
        <v>1050</v>
      </c>
      <c r="H1301" t="s">
        <v>254</v>
      </c>
      <c r="I1301">
        <v>2014</v>
      </c>
      <c r="J1301">
        <v>23</v>
      </c>
      <c r="K1301" t="s">
        <v>1051</v>
      </c>
      <c r="M1301" t="str">
        <f t="shared" si="1689"/>
        <v>Pyorala_2014</v>
      </c>
      <c r="N1301" t="s">
        <v>222</v>
      </c>
      <c r="O1301" s="171" t="s">
        <v>341</v>
      </c>
      <c r="P1301" t="s">
        <v>225</v>
      </c>
      <c r="Q1301" s="264" t="s">
        <v>389</v>
      </c>
      <c r="R1301" s="269" t="s">
        <v>1153</v>
      </c>
      <c r="S1301" s="1" t="s">
        <v>1066</v>
      </c>
      <c r="T1301" t="s">
        <v>1061</v>
      </c>
      <c r="U1301" t="s">
        <v>1063</v>
      </c>
      <c r="V1301">
        <v>0</v>
      </c>
      <c r="W1301">
        <v>0</v>
      </c>
      <c r="X1301">
        <v>0</v>
      </c>
      <c r="Y1301">
        <v>0</v>
      </c>
      <c r="Z1301">
        <v>0</v>
      </c>
      <c r="AA1301">
        <v>0</v>
      </c>
      <c r="AB1301">
        <v>1</v>
      </c>
      <c r="AC1301">
        <v>0</v>
      </c>
      <c r="AD1301">
        <v>0</v>
      </c>
      <c r="AE1301">
        <v>0</v>
      </c>
      <c r="AF1301">
        <v>0</v>
      </c>
      <c r="AG1301">
        <v>0</v>
      </c>
      <c r="AH1301">
        <v>0</v>
      </c>
      <c r="AI1301">
        <v>0</v>
      </c>
      <c r="AJ1301">
        <v>0</v>
      </c>
      <c r="AK1301">
        <v>0</v>
      </c>
      <c r="AL1301">
        <v>0</v>
      </c>
      <c r="AM1301">
        <v>0</v>
      </c>
      <c r="AN1301">
        <v>0</v>
      </c>
      <c r="AO1301">
        <v>0</v>
      </c>
      <c r="AP1301">
        <v>0</v>
      </c>
      <c r="AQ1301">
        <v>0</v>
      </c>
      <c r="AR1301">
        <v>0</v>
      </c>
      <c r="AS1301">
        <v>0</v>
      </c>
      <c r="AT1301">
        <v>0</v>
      </c>
      <c r="AU1301">
        <v>0</v>
      </c>
      <c r="AV1301">
        <v>0</v>
      </c>
      <c r="AW1301">
        <v>0</v>
      </c>
      <c r="AX1301" s="141">
        <f t="shared" si="1690"/>
        <v>1</v>
      </c>
      <c r="AY1301" s="141">
        <f t="shared" si="1691"/>
        <v>1</v>
      </c>
      <c r="AZ1301">
        <f t="shared" si="1692"/>
        <v>1</v>
      </c>
      <c r="BA1301">
        <f t="shared" si="1693"/>
        <v>0</v>
      </c>
      <c r="BB1301">
        <f t="shared" si="1694"/>
        <v>0</v>
      </c>
      <c r="BC1301">
        <f t="shared" si="1695"/>
        <v>0</v>
      </c>
      <c r="BD1301">
        <f t="shared" si="1696"/>
        <v>0</v>
      </c>
      <c r="BE1301" t="str" cm="1">
        <f t="array" ref="BE1301">IF(AY1301=1,INDEX($V$7:$AL$7,MATCH(TRUE,INDEX($V1301:$AW1301&lt;&gt;0,),0)),IF(AY1301=0,INDEX($AM$7:$AW$7,MATCH(1,$AM1301:$AW1301,0)),IF(BF1301="Multiple strategies","mixed drivers",IF(BF1301="Supply chain","multiple supply","multiple silviculture"))))</f>
        <v>fertilisation</v>
      </c>
      <c r="BF1301" s="2" t="str" cm="1">
        <f t="array" ref="BF1301">IF(COUNTIF(AZ1301:BB1301,"&lt;&gt;0")=1,INDEX($V$4:$AW$4,MATCH(TRUE,INDEX($V1301:$AW1301&lt;&gt;0,),0)),IF(COUNTIF(AZ1301:BB1301,"&lt;&gt;0")=0,INDEX($AM$4:$AW$4,MATCH(1,$AM1301:$AW1301,0)),"Multiple strategies"))</f>
        <v>Silviculture for productivity</v>
      </c>
      <c r="BG1301" s="1" t="s">
        <v>321</v>
      </c>
      <c r="BH1301" t="s">
        <v>1055</v>
      </c>
      <c r="BI1301" s="264" t="s">
        <v>1056</v>
      </c>
      <c r="BJ1301" s="264" t="s">
        <v>1057</v>
      </c>
      <c r="BK1301">
        <v>3.3</v>
      </c>
      <c r="BL1301">
        <v>3.65</v>
      </c>
      <c r="BM1301">
        <f>IFERROR(BL1301/BK1301,"")</f>
        <v>1.1060606060606062</v>
      </c>
      <c r="BN1301">
        <f t="shared" si="1705"/>
        <v>0.35000000000000009</v>
      </c>
      <c r="BO1301">
        <f t="shared" si="1706"/>
        <v>0.71428571428571452</v>
      </c>
      <c r="BP1301" t="s">
        <v>395</v>
      </c>
      <c r="BQ1301" t="s">
        <v>971</v>
      </c>
      <c r="BR1301" t="s">
        <v>1058</v>
      </c>
      <c r="BS1301" s="172">
        <v>-171</v>
      </c>
      <c r="BT1301" s="172">
        <v>-236.5</v>
      </c>
      <c r="BU1301" s="144"/>
      <c r="BV1301">
        <f t="shared" si="1707"/>
        <v>-65.5</v>
      </c>
      <c r="BX1301">
        <f t="shared" si="1708"/>
        <v>-0.65499999999999992</v>
      </c>
      <c r="BY1301">
        <f t="shared" si="1661"/>
        <v>-0.91699999999999959</v>
      </c>
      <c r="BZ1301">
        <v>0</v>
      </c>
      <c r="CA1301">
        <v>0</v>
      </c>
      <c r="CB1301">
        <v>0</v>
      </c>
      <c r="CC1301">
        <v>0</v>
      </c>
      <c r="CD1301">
        <v>0</v>
      </c>
      <c r="CE1301">
        <v>0</v>
      </c>
      <c r="CF1301">
        <v>0</v>
      </c>
      <c r="CG1301">
        <v>0</v>
      </c>
      <c r="CH1301">
        <v>0</v>
      </c>
      <c r="CI1301">
        <v>0</v>
      </c>
      <c r="CJ1301">
        <v>0</v>
      </c>
      <c r="CK1301">
        <v>0</v>
      </c>
      <c r="CL1301">
        <v>0</v>
      </c>
      <c r="CM1301">
        <v>0</v>
      </c>
      <c r="CN1301" t="str">
        <f t="shared" si="1709"/>
        <v>refOK</v>
      </c>
      <c r="CO1301">
        <f t="shared" si="1710"/>
        <v>3.3</v>
      </c>
      <c r="CP1301">
        <f t="shared" si="1711"/>
        <v>3.65</v>
      </c>
      <c r="CQ1301">
        <f t="shared" si="1712"/>
        <v>0.71428571428571452</v>
      </c>
      <c r="CR1301">
        <f t="shared" si="1697"/>
        <v>171</v>
      </c>
      <c r="CS1301">
        <f t="shared" si="1698"/>
        <v>236.5</v>
      </c>
      <c r="CT1301">
        <f t="shared" si="1699"/>
        <v>0.65499999999999992</v>
      </c>
      <c r="CU1301">
        <f t="shared" si="1700"/>
        <v>0.91699999999999959</v>
      </c>
      <c r="CV1301" s="2">
        <f t="shared" si="1701"/>
        <v>0.38304093567251463</v>
      </c>
      <c r="CW1301" s="1" t="s">
        <v>263</v>
      </c>
      <c r="CX1301" s="264" t="str">
        <f t="shared" si="1702"/>
        <v>loc</v>
      </c>
      <c r="CY1301" t="s">
        <v>235</v>
      </c>
      <c r="DB1301">
        <v>50</v>
      </c>
      <c r="DC1301" t="str">
        <f t="shared" si="1703"/>
        <v>31-70</v>
      </c>
      <c r="DD1301">
        <v>0</v>
      </c>
      <c r="DE1301">
        <v>1</v>
      </c>
      <c r="DF1301">
        <v>0</v>
      </c>
      <c r="DG1301">
        <v>1</v>
      </c>
      <c r="DI1301">
        <f t="shared" si="1682"/>
        <v>2</v>
      </c>
      <c r="DJ1301" t="str">
        <f t="shared" si="1704"/>
        <v>mixedProduct</v>
      </c>
      <c r="DK1301">
        <f t="shared" si="1683"/>
        <v>0</v>
      </c>
      <c r="DL1301" t="str">
        <f t="shared" si="1684"/>
        <v>Energy</v>
      </c>
      <c r="DM1301">
        <f t="shared" si="1685"/>
        <v>0</v>
      </c>
      <c r="DN1301" t="str">
        <f t="shared" si="1686"/>
        <v>Timber</v>
      </c>
      <c r="DO1301">
        <v>0</v>
      </c>
      <c r="DP1301">
        <v>1</v>
      </c>
      <c r="DQ1301" t="s">
        <v>1059</v>
      </c>
      <c r="DT1301">
        <f t="shared" si="1688"/>
        <v>1</v>
      </c>
      <c r="DU1301" s="143" t="str">
        <f t="shared" si="1687"/>
        <v>external DF used</v>
      </c>
      <c r="DV1301">
        <v>1</v>
      </c>
      <c r="DW1301">
        <v>1</v>
      </c>
      <c r="DX1301">
        <v>1</v>
      </c>
      <c r="DY1301" s="143">
        <v>0</v>
      </c>
      <c r="DZ1301">
        <v>0</v>
      </c>
      <c r="EA1301" s="143">
        <v>0</v>
      </c>
      <c r="EB1301">
        <v>1</v>
      </c>
      <c r="EC1301">
        <v>1</v>
      </c>
      <c r="ED1301" s="143">
        <v>0</v>
      </c>
      <c r="EE1301">
        <v>0</v>
      </c>
      <c r="EF1301">
        <v>1</v>
      </c>
      <c r="EG1301">
        <v>0</v>
      </c>
      <c r="EH1301">
        <v>0</v>
      </c>
      <c r="EI1301" s="2">
        <v>0</v>
      </c>
      <c r="EK1301" t="str">
        <f t="shared" si="1713"/>
        <v>Whole sector</v>
      </c>
      <c r="EL1301" t="str">
        <f t="shared" si="1714"/>
        <v/>
      </c>
      <c r="EM1301" s="2" t="str">
        <f t="shared" si="1662"/>
        <v/>
      </c>
      <c r="EP1301" t="str">
        <f>IF(ISNUMBER(BU1301),IF(ABS(BU1301-[4]QC_indicators!$B$2)&gt;3*[4]QC_indicators!$C$2,"C ratio",IF(ISNUMBER(BY1301),IF(ABS(BY1301-[4]QC_indicators!$B$1)&gt;3*[4]QC_indicators!$C$1,"DF","no"))),IF(ISNUMBER(BY1301),IF(ABS(BY1301-[4]QC_indicators!$B$1)&gt;3*[4]QC_indicators!$C$1,"DF","no")))</f>
        <v>no</v>
      </c>
      <c r="ER1301" s="264" t="s">
        <v>1060</v>
      </c>
      <c r="ET1301" s="264" t="s">
        <v>3406</v>
      </c>
    </row>
    <row r="1302" spans="1:150" ht="15" hidden="1" customHeight="1">
      <c r="A1302" s="1" t="s">
        <v>1044</v>
      </c>
      <c r="B1302" t="s">
        <v>1045</v>
      </c>
      <c r="C1302" t="s">
        <v>1046</v>
      </c>
      <c r="D1302" t="s">
        <v>1047</v>
      </c>
      <c r="E1302" t="s">
        <v>1048</v>
      </c>
      <c r="F1302" t="s">
        <v>1049</v>
      </c>
      <c r="G1302" t="s">
        <v>1050</v>
      </c>
      <c r="H1302" t="s">
        <v>254</v>
      </c>
      <c r="I1302">
        <v>2014</v>
      </c>
      <c r="J1302">
        <v>23</v>
      </c>
      <c r="K1302" t="s">
        <v>1051</v>
      </c>
      <c r="M1302" t="str">
        <f t="shared" si="1689"/>
        <v>Pyorala_2014</v>
      </c>
      <c r="N1302" t="s">
        <v>222</v>
      </c>
      <c r="O1302" s="171" t="s">
        <v>341</v>
      </c>
      <c r="P1302" t="s">
        <v>225</v>
      </c>
      <c r="Q1302" s="264" t="s">
        <v>389</v>
      </c>
      <c r="R1302" s="269" t="s">
        <v>1153</v>
      </c>
      <c r="S1302" s="1" t="s">
        <v>1066</v>
      </c>
      <c r="T1302" t="s">
        <v>1053</v>
      </c>
      <c r="U1302" t="s">
        <v>1065</v>
      </c>
      <c r="V1302">
        <v>0</v>
      </c>
      <c r="W1302">
        <v>0</v>
      </c>
      <c r="X1302">
        <v>0</v>
      </c>
      <c r="Y1302">
        <v>0</v>
      </c>
      <c r="Z1302">
        <v>0</v>
      </c>
      <c r="AA1302">
        <v>0</v>
      </c>
      <c r="AB1302">
        <v>1</v>
      </c>
      <c r="AC1302">
        <v>0</v>
      </c>
      <c r="AD1302">
        <v>0</v>
      </c>
      <c r="AE1302">
        <v>0</v>
      </c>
      <c r="AF1302">
        <v>0</v>
      </c>
      <c r="AG1302">
        <v>0</v>
      </c>
      <c r="AH1302">
        <v>0</v>
      </c>
      <c r="AI1302">
        <v>0</v>
      </c>
      <c r="AJ1302">
        <v>0</v>
      </c>
      <c r="AK1302">
        <v>0</v>
      </c>
      <c r="AL1302">
        <v>0</v>
      </c>
      <c r="AM1302">
        <v>0</v>
      </c>
      <c r="AN1302">
        <v>0</v>
      </c>
      <c r="AO1302">
        <v>0</v>
      </c>
      <c r="AP1302">
        <v>0</v>
      </c>
      <c r="AQ1302">
        <v>0</v>
      </c>
      <c r="AR1302">
        <v>0</v>
      </c>
      <c r="AS1302">
        <v>0</v>
      </c>
      <c r="AT1302">
        <v>0</v>
      </c>
      <c r="AU1302">
        <v>0</v>
      </c>
      <c r="AV1302">
        <v>0</v>
      </c>
      <c r="AW1302">
        <v>0</v>
      </c>
      <c r="AX1302" s="141">
        <f t="shared" si="1690"/>
        <v>1</v>
      </c>
      <c r="AY1302" s="141">
        <f t="shared" si="1691"/>
        <v>1</v>
      </c>
      <c r="AZ1302">
        <f t="shared" si="1692"/>
        <v>1</v>
      </c>
      <c r="BA1302">
        <f t="shared" si="1693"/>
        <v>0</v>
      </c>
      <c r="BB1302">
        <f t="shared" si="1694"/>
        <v>0</v>
      </c>
      <c r="BC1302">
        <f t="shared" si="1695"/>
        <v>0</v>
      </c>
      <c r="BD1302">
        <f t="shared" si="1696"/>
        <v>0</v>
      </c>
      <c r="BE1302" t="str" cm="1">
        <f t="array" ref="BE1302">IF(AY1302=1,INDEX($V$7:$AL$7,MATCH(TRUE,INDEX($V1302:$AW1302&lt;&gt;0,),0)),IF(AY1302=0,INDEX($AM$7:$AW$7,MATCH(1,$AM1302:$AW1302,0)),IF(BF1302="Multiple strategies","mixed drivers",IF(BF1302="Supply chain","multiple supply","multiple silviculture"))))</f>
        <v>fertilisation</v>
      </c>
      <c r="BF1302" s="2" t="str" cm="1">
        <f t="array" ref="BF1302">IF(COUNTIF(AZ1302:BB1302,"&lt;&gt;0")=1,INDEX($V$4:$AW$4,MATCH(TRUE,INDEX($V1302:$AW1302&lt;&gt;0,),0)),IF(COUNTIF(AZ1302:BB1302,"&lt;&gt;0")=0,INDEX($AM$4:$AW$4,MATCH(1,$AM1302:$AW1302,0)),"Multiple strategies"))</f>
        <v>Silviculture for productivity</v>
      </c>
      <c r="BG1302" s="1" t="s">
        <v>321</v>
      </c>
      <c r="BH1302" t="s">
        <v>1055</v>
      </c>
      <c r="BI1302" s="264" t="s">
        <v>1056</v>
      </c>
      <c r="BJ1302" s="264" t="s">
        <v>1057</v>
      </c>
      <c r="BK1302">
        <v>3.45</v>
      </c>
      <c r="BL1302">
        <v>3.75</v>
      </c>
      <c r="BM1302">
        <f>IFERROR(BL1302/BK1302,"")</f>
        <v>1.0869565217391304</v>
      </c>
      <c r="BN1302">
        <f t="shared" si="1705"/>
        <v>0.29999999999999982</v>
      </c>
      <c r="BO1302">
        <f t="shared" si="1706"/>
        <v>0.61224489795918335</v>
      </c>
      <c r="BP1302" t="s">
        <v>395</v>
      </c>
      <c r="BQ1302" t="s">
        <v>971</v>
      </c>
      <c r="BR1302" t="s">
        <v>1058</v>
      </c>
      <c r="BS1302" s="172">
        <v>-129</v>
      </c>
      <c r="BT1302" s="172">
        <v>-183</v>
      </c>
      <c r="BU1302" s="144"/>
      <c r="BV1302">
        <f t="shared" si="1707"/>
        <v>-54</v>
      </c>
      <c r="BX1302">
        <f t="shared" si="1708"/>
        <v>-0.53999999999999992</v>
      </c>
      <c r="BY1302">
        <f t="shared" si="1661"/>
        <v>-0.88200000000000034</v>
      </c>
      <c r="BZ1302">
        <v>0</v>
      </c>
      <c r="CA1302">
        <v>0</v>
      </c>
      <c r="CB1302">
        <v>0</v>
      </c>
      <c r="CC1302">
        <v>0</v>
      </c>
      <c r="CD1302">
        <v>0</v>
      </c>
      <c r="CE1302">
        <v>0</v>
      </c>
      <c r="CF1302">
        <v>0</v>
      </c>
      <c r="CG1302">
        <v>0</v>
      </c>
      <c r="CH1302">
        <v>0</v>
      </c>
      <c r="CI1302">
        <v>0</v>
      </c>
      <c r="CJ1302">
        <v>0</v>
      </c>
      <c r="CK1302">
        <v>0</v>
      </c>
      <c r="CL1302">
        <v>0</v>
      </c>
      <c r="CM1302">
        <v>0</v>
      </c>
      <c r="CN1302" t="str">
        <f t="shared" si="1709"/>
        <v>refOK</v>
      </c>
      <c r="CO1302">
        <f t="shared" si="1710"/>
        <v>3.45</v>
      </c>
      <c r="CP1302">
        <f t="shared" si="1711"/>
        <v>3.75</v>
      </c>
      <c r="CQ1302">
        <f t="shared" si="1712"/>
        <v>0.61224489795918335</v>
      </c>
      <c r="CR1302">
        <f t="shared" si="1697"/>
        <v>129</v>
      </c>
      <c r="CS1302">
        <f t="shared" si="1698"/>
        <v>183</v>
      </c>
      <c r="CT1302">
        <f t="shared" si="1699"/>
        <v>0.53999999999999992</v>
      </c>
      <c r="CU1302">
        <f t="shared" si="1700"/>
        <v>0.88200000000000034</v>
      </c>
      <c r="CV1302" s="2">
        <f t="shared" si="1701"/>
        <v>0.41860465116279072</v>
      </c>
      <c r="CW1302" s="1" t="s">
        <v>263</v>
      </c>
      <c r="CX1302" s="264" t="str">
        <f t="shared" si="1702"/>
        <v>loc</v>
      </c>
      <c r="CY1302" t="s">
        <v>235</v>
      </c>
      <c r="DB1302">
        <v>50</v>
      </c>
      <c r="DC1302" t="str">
        <f t="shared" si="1703"/>
        <v>31-70</v>
      </c>
      <c r="DD1302">
        <v>0</v>
      </c>
      <c r="DE1302">
        <v>1</v>
      </c>
      <c r="DF1302">
        <v>0</v>
      </c>
      <c r="DG1302">
        <v>1</v>
      </c>
      <c r="DI1302">
        <f t="shared" si="1682"/>
        <v>2</v>
      </c>
      <c r="DJ1302" t="str">
        <f t="shared" si="1704"/>
        <v>mixedProduct</v>
      </c>
      <c r="DK1302">
        <f t="shared" si="1683"/>
        <v>0</v>
      </c>
      <c r="DL1302" t="str">
        <f t="shared" si="1684"/>
        <v>Energy</v>
      </c>
      <c r="DM1302">
        <f t="shared" si="1685"/>
        <v>0</v>
      </c>
      <c r="DN1302" t="str">
        <f t="shared" si="1686"/>
        <v>Timber</v>
      </c>
      <c r="DO1302">
        <v>0</v>
      </c>
      <c r="DP1302">
        <v>1</v>
      </c>
      <c r="DQ1302" t="s">
        <v>1059</v>
      </c>
      <c r="DT1302">
        <f t="shared" si="1688"/>
        <v>1</v>
      </c>
      <c r="DU1302" s="143" t="str">
        <f t="shared" si="1687"/>
        <v>external DF used</v>
      </c>
      <c r="DV1302">
        <v>1</v>
      </c>
      <c r="DW1302">
        <v>1</v>
      </c>
      <c r="DX1302">
        <v>1</v>
      </c>
      <c r="DY1302" s="143">
        <v>0</v>
      </c>
      <c r="DZ1302">
        <v>0</v>
      </c>
      <c r="EA1302" s="143">
        <v>0</v>
      </c>
      <c r="EB1302">
        <v>1</v>
      </c>
      <c r="EC1302">
        <v>1</v>
      </c>
      <c r="ED1302" s="143">
        <v>0</v>
      </c>
      <c r="EE1302">
        <v>0</v>
      </c>
      <c r="EF1302">
        <v>1</v>
      </c>
      <c r="EG1302">
        <v>0</v>
      </c>
      <c r="EH1302">
        <v>0</v>
      </c>
      <c r="EI1302" s="2">
        <v>0</v>
      </c>
      <c r="EK1302" t="str">
        <f t="shared" si="1713"/>
        <v>Whole sector</v>
      </c>
      <c r="EL1302" t="str">
        <f t="shared" si="1714"/>
        <v/>
      </c>
      <c r="EM1302" s="2" t="str">
        <f t="shared" si="1662"/>
        <v/>
      </c>
      <c r="EP1302" t="str">
        <f>IF(ISNUMBER(BU1302),IF(ABS(BU1302-[4]QC_indicators!$B$2)&gt;3*[4]QC_indicators!$C$2,"C ratio",IF(ISNUMBER(BY1302),IF(ABS(BY1302-[4]QC_indicators!$B$1)&gt;3*[4]QC_indicators!$C$1,"DF","no"))),IF(ISNUMBER(BY1302),IF(ABS(BY1302-[4]QC_indicators!$B$1)&gt;3*[4]QC_indicators!$C$1,"DF","no")))</f>
        <v>no</v>
      </c>
      <c r="ER1302" s="264" t="s">
        <v>1060</v>
      </c>
      <c r="ET1302" s="264" t="s">
        <v>3406</v>
      </c>
    </row>
    <row r="1303" spans="1:150" ht="15" hidden="1" customHeight="1">
      <c r="A1303" s="1" t="s">
        <v>1044</v>
      </c>
      <c r="B1303" t="s">
        <v>1045</v>
      </c>
      <c r="C1303" t="s">
        <v>1046</v>
      </c>
      <c r="D1303" t="s">
        <v>1047</v>
      </c>
      <c r="E1303" t="s">
        <v>1048</v>
      </c>
      <c r="F1303" t="s">
        <v>1049</v>
      </c>
      <c r="G1303" t="s">
        <v>1050</v>
      </c>
      <c r="H1303" t="s">
        <v>254</v>
      </c>
      <c r="I1303">
        <v>2014</v>
      </c>
      <c r="J1303">
        <v>23</v>
      </c>
      <c r="K1303" t="s">
        <v>1051</v>
      </c>
      <c r="M1303" t="str">
        <f t="shared" si="1689"/>
        <v>Pyorala_2014</v>
      </c>
      <c r="N1303" t="s">
        <v>222</v>
      </c>
      <c r="O1303" s="171" t="s">
        <v>341</v>
      </c>
      <c r="P1303" t="s">
        <v>225</v>
      </c>
      <c r="Q1303" s="264" t="s">
        <v>389</v>
      </c>
      <c r="R1303" s="269" t="s">
        <v>1153</v>
      </c>
      <c r="S1303" s="1" t="s">
        <v>1052</v>
      </c>
      <c r="T1303" t="s">
        <v>1065</v>
      </c>
      <c r="U1303" t="s">
        <v>1064</v>
      </c>
      <c r="V1303">
        <v>0</v>
      </c>
      <c r="W1303">
        <v>0</v>
      </c>
      <c r="X1303">
        <v>0</v>
      </c>
      <c r="Y1303">
        <v>1</v>
      </c>
      <c r="Z1303">
        <v>0</v>
      </c>
      <c r="AA1303">
        <v>0</v>
      </c>
      <c r="AB1303">
        <v>0</v>
      </c>
      <c r="AC1303">
        <v>0</v>
      </c>
      <c r="AD1303">
        <v>0</v>
      </c>
      <c r="AE1303">
        <v>0</v>
      </c>
      <c r="AF1303">
        <v>0</v>
      </c>
      <c r="AG1303">
        <v>0</v>
      </c>
      <c r="AH1303">
        <v>0</v>
      </c>
      <c r="AI1303">
        <v>0</v>
      </c>
      <c r="AJ1303">
        <v>0</v>
      </c>
      <c r="AK1303">
        <v>0</v>
      </c>
      <c r="AL1303">
        <v>0</v>
      </c>
      <c r="AM1303">
        <v>0</v>
      </c>
      <c r="AN1303">
        <v>0</v>
      </c>
      <c r="AO1303">
        <v>0</v>
      </c>
      <c r="AP1303">
        <v>0</v>
      </c>
      <c r="AQ1303">
        <v>0</v>
      </c>
      <c r="AR1303">
        <v>0</v>
      </c>
      <c r="AS1303">
        <v>0</v>
      </c>
      <c r="AT1303">
        <v>0</v>
      </c>
      <c r="AU1303">
        <v>0</v>
      </c>
      <c r="AV1303">
        <v>0</v>
      </c>
      <c r="AW1303">
        <v>0</v>
      </c>
      <c r="AX1303" s="141">
        <f t="shared" si="1690"/>
        <v>1</v>
      </c>
      <c r="AY1303" s="141">
        <f t="shared" si="1691"/>
        <v>1</v>
      </c>
      <c r="AZ1303">
        <f t="shared" si="1692"/>
        <v>1</v>
      </c>
      <c r="BA1303">
        <f t="shared" si="1693"/>
        <v>0</v>
      </c>
      <c r="BB1303">
        <f t="shared" si="1694"/>
        <v>0</v>
      </c>
      <c r="BC1303">
        <f t="shared" si="1695"/>
        <v>0</v>
      </c>
      <c r="BD1303">
        <f t="shared" si="1696"/>
        <v>0</v>
      </c>
      <c r="BE1303" t="str" cm="1">
        <f t="array" ref="BE1303">IF(AY1303=1,INDEX($V$7:$AL$7,MATCH(TRUE,INDEX($V1303:$AW1303&lt;&gt;0,),0)),IF(AY1303=0,INDEX($AM$7:$AW$7,MATCH(1,$AM1303:$AW1303,0)),IF(BF1303="Multiple strategies","mixed drivers",IF(BF1303="Supply chain","multiple supply","multiple silviculture"))))</f>
        <v xml:space="preserve">cutting intensity </v>
      </c>
      <c r="BF1303" s="2" t="str" cm="1">
        <f t="array" ref="BF1303">IF(COUNTIF(AZ1303:BB1303,"&lt;&gt;0")=1,INDEX($V$4:$AW$4,MATCH(TRUE,INDEX($V1303:$AW1303&lt;&gt;0,),0)),IF(COUNTIF(AZ1303:BB1303,"&lt;&gt;0")=0,INDEX($AM$4:$AW$4,MATCH(1,$AM1303:$AW1303,0)),"Multiple strategies"))</f>
        <v>Silviculture for removals</v>
      </c>
      <c r="BG1303" s="1" t="s">
        <v>321</v>
      </c>
      <c r="BH1303" t="s">
        <v>1055</v>
      </c>
      <c r="BI1303" s="264" t="s">
        <v>1056</v>
      </c>
      <c r="BJ1303" s="264" t="s">
        <v>1057</v>
      </c>
      <c r="BK1303">
        <v>3.75</v>
      </c>
      <c r="BL1303">
        <v>3.8</v>
      </c>
      <c r="BM1303">
        <f>IFERROR(BL1303/BK1303,"")</f>
        <v>1.0133333333333332</v>
      </c>
      <c r="BN1303">
        <f t="shared" si="1705"/>
        <v>4.9999999999999822E-2</v>
      </c>
      <c r="BO1303">
        <f t="shared" si="1706"/>
        <v>0.10204081632653025</v>
      </c>
      <c r="BP1303" t="s">
        <v>395</v>
      </c>
      <c r="BQ1303" t="s">
        <v>971</v>
      </c>
      <c r="BR1303" t="s">
        <v>1058</v>
      </c>
      <c r="BS1303" s="172">
        <v>-183</v>
      </c>
      <c r="BT1303" s="172">
        <v>-189</v>
      </c>
      <c r="BU1303" s="144"/>
      <c r="BV1303">
        <f t="shared" si="1707"/>
        <v>-6</v>
      </c>
      <c r="BX1303">
        <f t="shared" si="1708"/>
        <v>-6.0000000000000005E-2</v>
      </c>
      <c r="BY1303">
        <f t="shared" si="1661"/>
        <v>-0.58800000000000208</v>
      </c>
      <c r="BZ1303">
        <v>0</v>
      </c>
      <c r="CA1303">
        <v>0</v>
      </c>
      <c r="CB1303">
        <v>0</v>
      </c>
      <c r="CC1303">
        <v>0</v>
      </c>
      <c r="CD1303">
        <v>0</v>
      </c>
      <c r="CE1303">
        <v>0</v>
      </c>
      <c r="CF1303">
        <v>0</v>
      </c>
      <c r="CG1303">
        <v>0</v>
      </c>
      <c r="CH1303">
        <v>0</v>
      </c>
      <c r="CI1303">
        <v>0</v>
      </c>
      <c r="CJ1303">
        <v>0</v>
      </c>
      <c r="CK1303">
        <v>0</v>
      </c>
      <c r="CL1303">
        <v>0</v>
      </c>
      <c r="CM1303">
        <v>0</v>
      </c>
      <c r="CN1303" t="str">
        <f t="shared" si="1709"/>
        <v>refOK</v>
      </c>
      <c r="CO1303">
        <f t="shared" si="1710"/>
        <v>3.75</v>
      </c>
      <c r="CP1303">
        <f t="shared" si="1711"/>
        <v>3.8</v>
      </c>
      <c r="CQ1303">
        <f t="shared" si="1712"/>
        <v>0.10204081632653025</v>
      </c>
      <c r="CR1303">
        <f t="shared" si="1697"/>
        <v>183</v>
      </c>
      <c r="CS1303">
        <f t="shared" si="1698"/>
        <v>189</v>
      </c>
      <c r="CT1303">
        <f t="shared" si="1699"/>
        <v>6.0000000000000005E-2</v>
      </c>
      <c r="CU1303">
        <f t="shared" si="1700"/>
        <v>0.58800000000000208</v>
      </c>
      <c r="CV1303" s="2">
        <f t="shared" si="1701"/>
        <v>3.2786885245901641E-2</v>
      </c>
      <c r="CW1303" s="1" t="s">
        <v>263</v>
      </c>
      <c r="CX1303" s="264" t="str">
        <f t="shared" si="1702"/>
        <v>loc</v>
      </c>
      <c r="CY1303" t="s">
        <v>235</v>
      </c>
      <c r="DB1303">
        <v>50</v>
      </c>
      <c r="DC1303" t="str">
        <f t="shared" si="1703"/>
        <v>31-70</v>
      </c>
      <c r="DD1303">
        <v>0</v>
      </c>
      <c r="DE1303">
        <v>1</v>
      </c>
      <c r="DF1303">
        <v>0</v>
      </c>
      <c r="DG1303">
        <v>1</v>
      </c>
      <c r="DI1303">
        <f t="shared" si="1682"/>
        <v>2</v>
      </c>
      <c r="DJ1303" t="str">
        <f t="shared" si="1704"/>
        <v>mixedProduct</v>
      </c>
      <c r="DK1303">
        <f t="shared" si="1683"/>
        <v>0</v>
      </c>
      <c r="DL1303" t="str">
        <f t="shared" si="1684"/>
        <v>Energy</v>
      </c>
      <c r="DM1303">
        <f t="shared" si="1685"/>
        <v>0</v>
      </c>
      <c r="DN1303" t="str">
        <f t="shared" si="1686"/>
        <v>Timber</v>
      </c>
      <c r="DO1303">
        <v>0</v>
      </c>
      <c r="DP1303">
        <v>1</v>
      </c>
      <c r="DQ1303" t="s">
        <v>1059</v>
      </c>
      <c r="DT1303">
        <f t="shared" si="1688"/>
        <v>1</v>
      </c>
      <c r="DU1303" s="143" t="str">
        <f t="shared" si="1687"/>
        <v>external DF used</v>
      </c>
      <c r="DV1303">
        <v>1</v>
      </c>
      <c r="DW1303">
        <v>1</v>
      </c>
      <c r="DX1303">
        <v>1</v>
      </c>
      <c r="DY1303">
        <v>0</v>
      </c>
      <c r="DZ1303">
        <v>0</v>
      </c>
      <c r="EA1303" s="143">
        <v>0</v>
      </c>
      <c r="EB1303">
        <v>1</v>
      </c>
      <c r="EC1303">
        <v>1</v>
      </c>
      <c r="ED1303">
        <v>0</v>
      </c>
      <c r="EE1303">
        <v>0</v>
      </c>
      <c r="EF1303">
        <v>1</v>
      </c>
      <c r="EG1303">
        <v>0</v>
      </c>
      <c r="EH1303">
        <v>0</v>
      </c>
      <c r="EI1303" s="2">
        <v>0</v>
      </c>
      <c r="EK1303" t="str">
        <f t="shared" si="1713"/>
        <v>Whole sector</v>
      </c>
      <c r="EL1303" t="str">
        <f t="shared" si="1714"/>
        <v/>
      </c>
      <c r="EM1303" s="2" t="str">
        <f t="shared" si="1662"/>
        <v/>
      </c>
      <c r="EP1303" t="str">
        <f>IF(ISNUMBER(BU1303),IF(ABS(BU1303-[4]QC_indicators!$B$2)&gt;3*[4]QC_indicators!$C$2,"C ratio",IF(ISNUMBER(BY1303),IF(ABS(BY1303-[4]QC_indicators!$B$1)&gt;3*[4]QC_indicators!$C$1,"DF","no"))),IF(ISNUMBER(BY1303),IF(ABS(BY1303-[4]QC_indicators!$B$1)&gt;3*[4]QC_indicators!$C$1,"DF","no")))</f>
        <v>no</v>
      </c>
      <c r="ER1303" s="264" t="s">
        <v>1060</v>
      </c>
      <c r="ET1303" s="264" t="s">
        <v>3406</v>
      </c>
    </row>
    <row r="1304" spans="1:150" ht="15" hidden="1" customHeight="1">
      <c r="A1304" s="1" t="s">
        <v>1044</v>
      </c>
      <c r="B1304" t="s">
        <v>1045</v>
      </c>
      <c r="C1304" t="s">
        <v>1046</v>
      </c>
      <c r="D1304" t="s">
        <v>1047</v>
      </c>
      <c r="E1304" t="s">
        <v>1048</v>
      </c>
      <c r="F1304" t="s">
        <v>1049</v>
      </c>
      <c r="G1304" t="s">
        <v>1050</v>
      </c>
      <c r="H1304" t="s">
        <v>254</v>
      </c>
      <c r="I1304">
        <v>2014</v>
      </c>
      <c r="J1304">
        <v>23</v>
      </c>
      <c r="K1304" t="s">
        <v>1051</v>
      </c>
      <c r="M1304" t="str">
        <f t="shared" si="1689"/>
        <v>Pyorala_2014</v>
      </c>
      <c r="N1304" t="s">
        <v>222</v>
      </c>
      <c r="O1304" s="171" t="s">
        <v>341</v>
      </c>
      <c r="P1304" t="s">
        <v>225</v>
      </c>
      <c r="Q1304" s="264" t="s">
        <v>389</v>
      </c>
      <c r="R1304" s="269" t="s">
        <v>1153</v>
      </c>
      <c r="S1304" s="263" t="s">
        <v>95</v>
      </c>
      <c r="T1304" s="264" t="s">
        <v>1076</v>
      </c>
      <c r="U1304" s="264" t="s">
        <v>1077</v>
      </c>
      <c r="V1304">
        <v>0</v>
      </c>
      <c r="W1304">
        <v>0</v>
      </c>
      <c r="X1304">
        <v>0</v>
      </c>
      <c r="Y1304">
        <v>0</v>
      </c>
      <c r="Z1304">
        <v>0</v>
      </c>
      <c r="AA1304">
        <v>0</v>
      </c>
      <c r="AB1304">
        <v>0</v>
      </c>
      <c r="AC1304">
        <v>1</v>
      </c>
      <c r="AD1304">
        <v>0</v>
      </c>
      <c r="AE1304">
        <v>0</v>
      </c>
      <c r="AF1304">
        <v>0</v>
      </c>
      <c r="AG1304">
        <v>0</v>
      </c>
      <c r="AH1304">
        <v>0</v>
      </c>
      <c r="AI1304">
        <v>0</v>
      </c>
      <c r="AJ1304">
        <v>0</v>
      </c>
      <c r="AK1304">
        <v>0</v>
      </c>
      <c r="AL1304">
        <v>0</v>
      </c>
      <c r="AM1304">
        <v>0</v>
      </c>
      <c r="AN1304">
        <v>0</v>
      </c>
      <c r="AO1304">
        <v>0</v>
      </c>
      <c r="AP1304">
        <v>0</v>
      </c>
      <c r="AQ1304">
        <v>0</v>
      </c>
      <c r="AR1304">
        <v>0</v>
      </c>
      <c r="AS1304">
        <v>0</v>
      </c>
      <c r="AT1304">
        <v>0</v>
      </c>
      <c r="AU1304">
        <v>0</v>
      </c>
      <c r="AV1304">
        <v>0</v>
      </c>
      <c r="AW1304">
        <v>0</v>
      </c>
      <c r="AX1304" s="141">
        <f t="shared" si="1690"/>
        <v>1</v>
      </c>
      <c r="AY1304" s="141">
        <f t="shared" si="1691"/>
        <v>1</v>
      </c>
      <c r="AZ1304">
        <f t="shared" si="1692"/>
        <v>1</v>
      </c>
      <c r="BA1304">
        <f t="shared" si="1693"/>
        <v>0</v>
      </c>
      <c r="BB1304">
        <f t="shared" si="1694"/>
        <v>0</v>
      </c>
      <c r="BC1304">
        <f t="shared" si="1695"/>
        <v>0</v>
      </c>
      <c r="BD1304">
        <f t="shared" si="1696"/>
        <v>0</v>
      </c>
      <c r="BE1304" t="str" cm="1">
        <f t="array" ref="BE1304">IF(AY1304=1,INDEX($V$7:$AL$7,MATCH(TRUE,INDEX($V1304:$AW1304&lt;&gt;0,),0)),IF(AY1304=0,INDEX($AM$7:$AW$7,MATCH(1,$AM1304:$AW1304,0)),IF(BF1304="Multiple strategies","mixed drivers",IF(BF1304="Supply chain","multiple supply","multiple silviculture"))))</f>
        <v>site fertility</v>
      </c>
      <c r="BF1304" s="2" t="str" cm="1">
        <f t="array" ref="BF1304">IF(COUNTIF(AZ1304:BB1304,"&lt;&gt;0")=1,INDEX($V$4:$AW$4,MATCH(TRUE,INDEX($V1304:$AW1304&lt;&gt;0,),0)),IF(COUNTIF(AZ1304:BB1304,"&lt;&gt;0")=0,INDEX($AM$4:$AW$4,MATCH(1,$AM1304:$AW1304,0)),"Multiple strategies"))</f>
        <v>Silviculture for productivity</v>
      </c>
      <c r="BG1304" s="1" t="s">
        <v>321</v>
      </c>
      <c r="BH1304" t="s">
        <v>1055</v>
      </c>
      <c r="BI1304" s="264" t="s">
        <v>1056</v>
      </c>
      <c r="BJ1304" s="264" t="s">
        <v>1057</v>
      </c>
      <c r="BK1304">
        <v>5.25</v>
      </c>
      <c r="BL1304">
        <v>6.1</v>
      </c>
      <c r="BM1304" t="str">
        <f>IFERROR(BK1304/#REF!,"")</f>
        <v/>
      </c>
      <c r="BN1304">
        <f t="shared" si="1705"/>
        <v>0.84999999999999964</v>
      </c>
      <c r="BO1304">
        <f t="shared" si="1706"/>
        <v>1.7346938775510197</v>
      </c>
      <c r="BP1304" t="s">
        <v>395</v>
      </c>
      <c r="BQ1304" t="s">
        <v>971</v>
      </c>
      <c r="BR1304" t="s">
        <v>1058</v>
      </c>
      <c r="BS1304" s="172">
        <v>-389.5</v>
      </c>
      <c r="BT1304" s="172">
        <v>-489</v>
      </c>
      <c r="BU1304" s="144"/>
      <c r="BV1304">
        <f t="shared" si="1707"/>
        <v>-99.5</v>
      </c>
      <c r="BX1304">
        <f t="shared" si="1708"/>
        <v>-0.99499999999999988</v>
      </c>
      <c r="BY1304">
        <f t="shared" si="1661"/>
        <v>-0.57358823529411784</v>
      </c>
      <c r="BZ1304">
        <v>0</v>
      </c>
      <c r="CA1304">
        <v>0</v>
      </c>
      <c r="CB1304">
        <v>0</v>
      </c>
      <c r="CC1304">
        <v>0</v>
      </c>
      <c r="CD1304">
        <v>0</v>
      </c>
      <c r="CE1304">
        <v>0</v>
      </c>
      <c r="CF1304">
        <v>0</v>
      </c>
      <c r="CG1304">
        <v>0</v>
      </c>
      <c r="CH1304">
        <v>0</v>
      </c>
      <c r="CI1304">
        <v>0</v>
      </c>
      <c r="CJ1304">
        <v>0</v>
      </c>
      <c r="CK1304">
        <v>0</v>
      </c>
      <c r="CL1304">
        <v>0</v>
      </c>
      <c r="CM1304">
        <v>0</v>
      </c>
      <c r="CN1304" t="str">
        <f t="shared" si="1709"/>
        <v>refOK</v>
      </c>
      <c r="CO1304">
        <f t="shared" si="1710"/>
        <v>5.25</v>
      </c>
      <c r="CP1304">
        <f t="shared" si="1711"/>
        <v>6.1</v>
      </c>
      <c r="CQ1304">
        <f t="shared" si="1712"/>
        <v>1.7346938775510197</v>
      </c>
      <c r="CR1304">
        <f t="shared" si="1697"/>
        <v>389.5</v>
      </c>
      <c r="CS1304">
        <f t="shared" si="1698"/>
        <v>489</v>
      </c>
      <c r="CT1304">
        <f t="shared" si="1699"/>
        <v>0.99499999999999988</v>
      </c>
      <c r="CU1304">
        <f t="shared" si="1700"/>
        <v>0.57358823529411784</v>
      </c>
      <c r="CV1304" s="2">
        <f t="shared" si="1701"/>
        <v>0.25545571245186138</v>
      </c>
      <c r="CW1304" s="1" t="s">
        <v>263</v>
      </c>
      <c r="CX1304" s="264" t="str">
        <f t="shared" si="1702"/>
        <v>loc</v>
      </c>
      <c r="CY1304" t="s">
        <v>235</v>
      </c>
      <c r="DB1304">
        <v>80</v>
      </c>
      <c r="DC1304" t="str">
        <f t="shared" si="1703"/>
        <v>71-100</v>
      </c>
      <c r="DD1304">
        <v>0</v>
      </c>
      <c r="DE1304">
        <v>1</v>
      </c>
      <c r="DF1304">
        <v>0</v>
      </c>
      <c r="DG1304">
        <v>1</v>
      </c>
      <c r="DI1304">
        <f t="shared" si="1682"/>
        <v>2</v>
      </c>
      <c r="DJ1304" t="str">
        <f t="shared" si="1704"/>
        <v>mixedProduct</v>
      </c>
      <c r="DK1304">
        <f t="shared" si="1683"/>
        <v>0</v>
      </c>
      <c r="DL1304" t="str">
        <f t="shared" si="1684"/>
        <v>Energy</v>
      </c>
      <c r="DM1304">
        <f t="shared" si="1685"/>
        <v>0</v>
      </c>
      <c r="DN1304" t="str">
        <f t="shared" si="1686"/>
        <v>Timber</v>
      </c>
      <c r="DO1304">
        <v>0</v>
      </c>
      <c r="DP1304">
        <v>1</v>
      </c>
      <c r="DQ1304" t="s">
        <v>1059</v>
      </c>
      <c r="DT1304">
        <f t="shared" si="1688"/>
        <v>1</v>
      </c>
      <c r="DU1304" s="143" t="str">
        <f t="shared" si="1687"/>
        <v>external DF used</v>
      </c>
      <c r="DV1304">
        <v>1</v>
      </c>
      <c r="DW1304">
        <v>1</v>
      </c>
      <c r="DX1304">
        <v>1</v>
      </c>
      <c r="DY1304" s="143">
        <v>0</v>
      </c>
      <c r="DZ1304">
        <v>0</v>
      </c>
      <c r="EA1304" s="143">
        <v>0</v>
      </c>
      <c r="EB1304">
        <v>1</v>
      </c>
      <c r="EC1304">
        <v>1</v>
      </c>
      <c r="ED1304" s="143">
        <v>0</v>
      </c>
      <c r="EE1304">
        <v>0</v>
      </c>
      <c r="EF1304">
        <v>1</v>
      </c>
      <c r="EG1304" s="143">
        <v>0</v>
      </c>
      <c r="EH1304" s="143">
        <v>0</v>
      </c>
      <c r="EI1304" s="2">
        <v>0</v>
      </c>
      <c r="EK1304" t="str">
        <f t="shared" si="1713"/>
        <v>Whole sector</v>
      </c>
      <c r="EL1304" t="str">
        <f t="shared" si="1714"/>
        <v/>
      </c>
      <c r="EM1304" s="2" t="str">
        <f t="shared" si="1662"/>
        <v/>
      </c>
      <c r="EP1304" t="str">
        <f>IF(ISNUMBER(BU1304),IF(ABS(BU1304-[4]QC_indicators!$B$2)&gt;3*[4]QC_indicators!$C$2,"C ratio",IF(ISNUMBER(BY1304),IF(ABS(BY1304-[4]QC_indicators!$B$1)&gt;3*[4]QC_indicators!$C$1,"DF","no"))),IF(ISNUMBER(BY1304),IF(ABS(BY1304-[4]QC_indicators!$B$1)&gt;3*[4]QC_indicators!$C$1,"DF","no")))</f>
        <v>no</v>
      </c>
      <c r="ER1304" s="264" t="s">
        <v>1069</v>
      </c>
      <c r="ET1304" s="264" t="s">
        <v>3406</v>
      </c>
    </row>
    <row r="1305" spans="1:150" ht="15" hidden="1" customHeight="1">
      <c r="A1305" s="1" t="s">
        <v>1044</v>
      </c>
      <c r="B1305" t="s">
        <v>1045</v>
      </c>
      <c r="C1305" t="s">
        <v>1046</v>
      </c>
      <c r="D1305" t="s">
        <v>1047</v>
      </c>
      <c r="E1305" t="s">
        <v>1048</v>
      </c>
      <c r="F1305" t="s">
        <v>1049</v>
      </c>
      <c r="G1305" t="s">
        <v>1050</v>
      </c>
      <c r="H1305" t="s">
        <v>254</v>
      </c>
      <c r="I1305">
        <v>2014</v>
      </c>
      <c r="J1305">
        <v>23</v>
      </c>
      <c r="K1305" t="s">
        <v>1051</v>
      </c>
      <c r="M1305" t="str">
        <f t="shared" si="1689"/>
        <v>Pyorala_2014</v>
      </c>
      <c r="N1305" t="s">
        <v>222</v>
      </c>
      <c r="O1305" s="171" t="s">
        <v>341</v>
      </c>
      <c r="P1305" t="s">
        <v>225</v>
      </c>
      <c r="Q1305" s="264" t="s">
        <v>389</v>
      </c>
      <c r="R1305" s="269" t="s">
        <v>1153</v>
      </c>
      <c r="S1305" s="263" t="s">
        <v>95</v>
      </c>
      <c r="T1305" s="264" t="s">
        <v>1074</v>
      </c>
      <c r="U1305" s="264" t="s">
        <v>1075</v>
      </c>
      <c r="V1305">
        <v>0</v>
      </c>
      <c r="W1305">
        <v>0</v>
      </c>
      <c r="X1305">
        <v>0</v>
      </c>
      <c r="Y1305">
        <v>0</v>
      </c>
      <c r="Z1305">
        <v>0</v>
      </c>
      <c r="AA1305">
        <v>0</v>
      </c>
      <c r="AB1305">
        <v>0</v>
      </c>
      <c r="AC1305">
        <v>1</v>
      </c>
      <c r="AD1305">
        <v>0</v>
      </c>
      <c r="AE1305">
        <v>0</v>
      </c>
      <c r="AF1305">
        <v>0</v>
      </c>
      <c r="AG1305">
        <v>0</v>
      </c>
      <c r="AH1305">
        <v>0</v>
      </c>
      <c r="AI1305">
        <v>0</v>
      </c>
      <c r="AJ1305">
        <v>0</v>
      </c>
      <c r="AK1305">
        <v>0</v>
      </c>
      <c r="AL1305">
        <v>0</v>
      </c>
      <c r="AM1305">
        <v>0</v>
      </c>
      <c r="AN1305">
        <v>0</v>
      </c>
      <c r="AO1305">
        <v>0</v>
      </c>
      <c r="AP1305">
        <v>0</v>
      </c>
      <c r="AQ1305">
        <v>0</v>
      </c>
      <c r="AR1305">
        <v>0</v>
      </c>
      <c r="AS1305">
        <v>0</v>
      </c>
      <c r="AT1305">
        <v>0</v>
      </c>
      <c r="AU1305">
        <v>0</v>
      </c>
      <c r="AV1305">
        <v>0</v>
      </c>
      <c r="AW1305">
        <v>0</v>
      </c>
      <c r="AX1305" s="141">
        <f t="shared" si="1690"/>
        <v>1</v>
      </c>
      <c r="AY1305" s="141">
        <f t="shared" si="1691"/>
        <v>1</v>
      </c>
      <c r="AZ1305">
        <f t="shared" si="1692"/>
        <v>1</v>
      </c>
      <c r="BA1305">
        <f t="shared" si="1693"/>
        <v>0</v>
      </c>
      <c r="BB1305">
        <f t="shared" si="1694"/>
        <v>0</v>
      </c>
      <c r="BC1305">
        <f t="shared" si="1695"/>
        <v>0</v>
      </c>
      <c r="BD1305">
        <f t="shared" si="1696"/>
        <v>0</v>
      </c>
      <c r="BE1305" t="str" cm="1">
        <f t="array" ref="BE1305">IF(AY1305=1,INDEX($V$7:$AL$7,MATCH(TRUE,INDEX($V1305:$AW1305&lt;&gt;0,),0)),IF(AY1305=0,INDEX($AM$7:$AW$7,MATCH(1,$AM1305:$AW1305,0)),IF(BF1305="Multiple strategies","mixed drivers",IF(BF1305="Supply chain","multiple supply","multiple silviculture"))))</f>
        <v>site fertility</v>
      </c>
      <c r="BF1305" s="2" t="str" cm="1">
        <f t="array" ref="BF1305">IF(COUNTIF(AZ1305:BB1305,"&lt;&gt;0")=1,INDEX($V$4:$AW$4,MATCH(TRUE,INDEX($V1305:$AW1305&lt;&gt;0,),0)),IF(COUNTIF(AZ1305:BB1305,"&lt;&gt;0")=0,INDEX($AM$4:$AW$4,MATCH(1,$AM1305:$AW1305,0)),"Multiple strategies"))</f>
        <v>Silviculture for productivity</v>
      </c>
      <c r="BG1305" s="1" t="s">
        <v>321</v>
      </c>
      <c r="BH1305" t="s">
        <v>1055</v>
      </c>
      <c r="BI1305" s="264" t="s">
        <v>1056</v>
      </c>
      <c r="BJ1305" s="264" t="s">
        <v>1057</v>
      </c>
      <c r="BK1305">
        <v>5.6</v>
      </c>
      <c r="BL1305">
        <v>6.4</v>
      </c>
      <c r="BM1305" t="str">
        <f>IFERROR(BK1305/#REF!,"")</f>
        <v/>
      </c>
      <c r="BN1305">
        <f t="shared" si="1705"/>
        <v>0.80000000000000071</v>
      </c>
      <c r="BO1305">
        <f t="shared" si="1706"/>
        <v>1.6326530612244914</v>
      </c>
      <c r="BP1305" t="s">
        <v>395</v>
      </c>
      <c r="BQ1305" t="s">
        <v>971</v>
      </c>
      <c r="BR1305" t="s">
        <v>1058</v>
      </c>
      <c r="BS1305" s="172">
        <v>-457</v>
      </c>
      <c r="BT1305" s="172">
        <v>-534</v>
      </c>
      <c r="BU1305" s="144"/>
      <c r="BV1305">
        <f t="shared" si="1707"/>
        <v>-77</v>
      </c>
      <c r="BX1305">
        <f t="shared" si="1708"/>
        <v>-0.77</v>
      </c>
      <c r="BY1305">
        <f t="shared" si="1661"/>
        <v>-0.47162499999999957</v>
      </c>
      <c r="BZ1305">
        <v>0</v>
      </c>
      <c r="CA1305">
        <v>0</v>
      </c>
      <c r="CB1305">
        <v>0</v>
      </c>
      <c r="CC1305">
        <v>0</v>
      </c>
      <c r="CD1305">
        <v>0</v>
      </c>
      <c r="CE1305">
        <v>0</v>
      </c>
      <c r="CF1305">
        <v>0</v>
      </c>
      <c r="CG1305">
        <v>0</v>
      </c>
      <c r="CH1305">
        <v>0</v>
      </c>
      <c r="CI1305">
        <v>0</v>
      </c>
      <c r="CJ1305">
        <v>0</v>
      </c>
      <c r="CK1305">
        <v>0</v>
      </c>
      <c r="CL1305">
        <v>0</v>
      </c>
      <c r="CM1305">
        <v>0</v>
      </c>
      <c r="CN1305" t="str">
        <f t="shared" si="1709"/>
        <v>refOK</v>
      </c>
      <c r="CO1305">
        <f t="shared" si="1710"/>
        <v>5.6</v>
      </c>
      <c r="CP1305">
        <f t="shared" si="1711"/>
        <v>6.4</v>
      </c>
      <c r="CQ1305">
        <f t="shared" si="1712"/>
        <v>1.6326530612244914</v>
      </c>
      <c r="CR1305">
        <f t="shared" si="1697"/>
        <v>457</v>
      </c>
      <c r="CS1305">
        <f t="shared" si="1698"/>
        <v>534</v>
      </c>
      <c r="CT1305">
        <f t="shared" si="1699"/>
        <v>0.77</v>
      </c>
      <c r="CU1305">
        <f t="shared" si="1700"/>
        <v>0.47162499999999957</v>
      </c>
      <c r="CV1305" s="2">
        <f t="shared" si="1701"/>
        <v>0.16849015317286653</v>
      </c>
      <c r="CW1305" s="1" t="s">
        <v>263</v>
      </c>
      <c r="CX1305" s="264" t="str">
        <f t="shared" si="1702"/>
        <v>loc</v>
      </c>
      <c r="CY1305" t="s">
        <v>235</v>
      </c>
      <c r="DB1305">
        <v>80</v>
      </c>
      <c r="DC1305" t="str">
        <f t="shared" si="1703"/>
        <v>71-100</v>
      </c>
      <c r="DD1305">
        <v>0</v>
      </c>
      <c r="DE1305">
        <v>1</v>
      </c>
      <c r="DF1305">
        <v>0</v>
      </c>
      <c r="DG1305">
        <v>1</v>
      </c>
      <c r="DI1305">
        <f t="shared" si="1682"/>
        <v>2</v>
      </c>
      <c r="DJ1305" t="str">
        <f t="shared" si="1704"/>
        <v>mixedProduct</v>
      </c>
      <c r="DK1305">
        <f t="shared" si="1683"/>
        <v>0</v>
      </c>
      <c r="DL1305" t="str">
        <f t="shared" si="1684"/>
        <v>Energy</v>
      </c>
      <c r="DM1305">
        <f t="shared" si="1685"/>
        <v>0</v>
      </c>
      <c r="DN1305" t="str">
        <f t="shared" si="1686"/>
        <v>Timber</v>
      </c>
      <c r="DO1305">
        <v>0</v>
      </c>
      <c r="DP1305">
        <v>1</v>
      </c>
      <c r="DQ1305" t="s">
        <v>1059</v>
      </c>
      <c r="DT1305">
        <f t="shared" si="1688"/>
        <v>1</v>
      </c>
      <c r="DU1305" s="143" t="str">
        <f t="shared" si="1687"/>
        <v>external DF used</v>
      </c>
      <c r="DV1305">
        <v>1</v>
      </c>
      <c r="DW1305">
        <v>1</v>
      </c>
      <c r="DX1305">
        <v>1</v>
      </c>
      <c r="DY1305" s="143">
        <v>0</v>
      </c>
      <c r="DZ1305">
        <v>0</v>
      </c>
      <c r="EA1305" s="143">
        <v>0</v>
      </c>
      <c r="EB1305">
        <v>1</v>
      </c>
      <c r="EC1305">
        <v>1</v>
      </c>
      <c r="ED1305" s="143">
        <v>0</v>
      </c>
      <c r="EE1305">
        <v>0</v>
      </c>
      <c r="EF1305">
        <v>1</v>
      </c>
      <c r="EG1305" s="143">
        <v>0</v>
      </c>
      <c r="EH1305" s="143">
        <v>0</v>
      </c>
      <c r="EI1305" s="2">
        <v>0</v>
      </c>
      <c r="EK1305" t="str">
        <f t="shared" si="1713"/>
        <v>Whole sector</v>
      </c>
      <c r="EL1305" t="str">
        <f t="shared" si="1714"/>
        <v/>
      </c>
      <c r="EM1305" s="2" t="str">
        <f t="shared" si="1662"/>
        <v/>
      </c>
      <c r="EP1305" t="str">
        <f>IF(ISNUMBER(BU1305),IF(ABS(BU1305-[4]QC_indicators!$B$2)&gt;3*[4]QC_indicators!$C$2,"C ratio",IF(ISNUMBER(BY1305),IF(ABS(BY1305-[4]QC_indicators!$B$1)&gt;3*[4]QC_indicators!$C$1,"DF","no"))),IF(ISNUMBER(BY1305),IF(ABS(BY1305-[4]QC_indicators!$B$1)&gt;3*[4]QC_indicators!$C$1,"DF","no")))</f>
        <v>no</v>
      </c>
      <c r="ER1305" s="264" t="s">
        <v>1069</v>
      </c>
      <c r="ET1305" s="264" t="s">
        <v>3406</v>
      </c>
    </row>
    <row r="1306" spans="1:150" ht="15" hidden="1" customHeight="1">
      <c r="A1306" s="1" t="s">
        <v>1044</v>
      </c>
      <c r="B1306" t="s">
        <v>1045</v>
      </c>
      <c r="C1306" t="s">
        <v>1046</v>
      </c>
      <c r="D1306" t="s">
        <v>1047</v>
      </c>
      <c r="E1306" t="s">
        <v>1048</v>
      </c>
      <c r="F1306" t="s">
        <v>1049</v>
      </c>
      <c r="G1306" t="s">
        <v>1050</v>
      </c>
      <c r="H1306" t="s">
        <v>254</v>
      </c>
      <c r="I1306">
        <v>2014</v>
      </c>
      <c r="J1306">
        <v>23</v>
      </c>
      <c r="K1306" t="s">
        <v>1051</v>
      </c>
      <c r="M1306" t="str">
        <f t="shared" si="1689"/>
        <v>Pyorala_2014</v>
      </c>
      <c r="N1306" t="s">
        <v>222</v>
      </c>
      <c r="O1306" s="171" t="s">
        <v>341</v>
      </c>
      <c r="P1306" t="s">
        <v>225</v>
      </c>
      <c r="Q1306" s="264" t="s">
        <v>389</v>
      </c>
      <c r="R1306" s="269" t="s">
        <v>1153</v>
      </c>
      <c r="S1306" s="263" t="s">
        <v>95</v>
      </c>
      <c r="T1306" s="264" t="s">
        <v>1072</v>
      </c>
      <c r="U1306" s="264" t="s">
        <v>1073</v>
      </c>
      <c r="V1306">
        <v>0</v>
      </c>
      <c r="W1306">
        <v>0</v>
      </c>
      <c r="X1306">
        <v>0</v>
      </c>
      <c r="Y1306">
        <v>0</v>
      </c>
      <c r="Z1306">
        <v>0</v>
      </c>
      <c r="AA1306">
        <v>0</v>
      </c>
      <c r="AB1306">
        <v>0</v>
      </c>
      <c r="AC1306">
        <v>1</v>
      </c>
      <c r="AD1306">
        <v>0</v>
      </c>
      <c r="AE1306">
        <v>0</v>
      </c>
      <c r="AF1306">
        <v>0</v>
      </c>
      <c r="AG1306">
        <v>0</v>
      </c>
      <c r="AH1306">
        <v>0</v>
      </c>
      <c r="AI1306">
        <v>0</v>
      </c>
      <c r="AJ1306">
        <v>0</v>
      </c>
      <c r="AK1306">
        <v>0</v>
      </c>
      <c r="AL1306">
        <v>0</v>
      </c>
      <c r="AM1306">
        <v>0</v>
      </c>
      <c r="AN1306">
        <v>0</v>
      </c>
      <c r="AO1306">
        <v>0</v>
      </c>
      <c r="AP1306">
        <v>0</v>
      </c>
      <c r="AQ1306">
        <v>0</v>
      </c>
      <c r="AR1306">
        <v>0</v>
      </c>
      <c r="AS1306">
        <v>0</v>
      </c>
      <c r="AT1306">
        <v>0</v>
      </c>
      <c r="AU1306">
        <v>0</v>
      </c>
      <c r="AV1306">
        <v>0</v>
      </c>
      <c r="AW1306">
        <v>0</v>
      </c>
      <c r="AX1306" s="141">
        <f t="shared" si="1690"/>
        <v>1</v>
      </c>
      <c r="AY1306" s="141">
        <f t="shared" si="1691"/>
        <v>1</v>
      </c>
      <c r="AZ1306">
        <f t="shared" si="1692"/>
        <v>1</v>
      </c>
      <c r="BA1306">
        <f t="shared" si="1693"/>
        <v>0</v>
      </c>
      <c r="BB1306">
        <f t="shared" si="1694"/>
        <v>0</v>
      </c>
      <c r="BC1306">
        <f t="shared" si="1695"/>
        <v>0</v>
      </c>
      <c r="BD1306">
        <f t="shared" si="1696"/>
        <v>0</v>
      </c>
      <c r="BE1306" t="str" cm="1">
        <f t="array" ref="BE1306">IF(AY1306=1,INDEX($V$7:$AL$7,MATCH(TRUE,INDEX($V1306:$AW1306&lt;&gt;0,),0)),IF(AY1306=0,INDEX($AM$7:$AW$7,MATCH(1,$AM1306:$AW1306,0)),IF(BF1306="Multiple strategies","mixed drivers",IF(BF1306="Supply chain","multiple supply","multiple silviculture"))))</f>
        <v>site fertility</v>
      </c>
      <c r="BF1306" s="2" t="str" cm="1">
        <f t="array" ref="BF1306">IF(COUNTIF(AZ1306:BB1306,"&lt;&gt;0")=1,INDEX($V$4:$AW$4,MATCH(TRUE,INDEX($V1306:$AW1306&lt;&gt;0,),0)),IF(COUNTIF(AZ1306:BB1306,"&lt;&gt;0")=0,INDEX($AM$4:$AW$4,MATCH(1,$AM1306:$AW1306,0)),"Multiple strategies"))</f>
        <v>Silviculture for productivity</v>
      </c>
      <c r="BG1306" s="1" t="s">
        <v>321</v>
      </c>
      <c r="BH1306" t="s">
        <v>1055</v>
      </c>
      <c r="BI1306" s="264" t="s">
        <v>1056</v>
      </c>
      <c r="BJ1306" s="264" t="s">
        <v>1057</v>
      </c>
      <c r="BK1306">
        <v>5.25</v>
      </c>
      <c r="BL1306">
        <v>6.15</v>
      </c>
      <c r="BM1306" t="str">
        <f>IFERROR(BK1306/#REF!,"")</f>
        <v/>
      </c>
      <c r="BN1306">
        <f t="shared" si="1705"/>
        <v>0.90000000000000036</v>
      </c>
      <c r="BO1306">
        <f t="shared" si="1706"/>
        <v>1.8367346938775517</v>
      </c>
      <c r="BP1306" t="s">
        <v>395</v>
      </c>
      <c r="BQ1306" t="s">
        <v>971</v>
      </c>
      <c r="BR1306" t="s">
        <v>1058</v>
      </c>
      <c r="BS1306" s="172">
        <v>-446.5</v>
      </c>
      <c r="BT1306" s="172">
        <v>-529</v>
      </c>
      <c r="BU1306" s="144"/>
      <c r="BV1306">
        <f t="shared" si="1707"/>
        <v>-82.5</v>
      </c>
      <c r="BX1306">
        <f t="shared" si="1708"/>
        <v>-0.82499999999999996</v>
      </c>
      <c r="BY1306">
        <f t="shared" si="1661"/>
        <v>-0.44916666666666649</v>
      </c>
      <c r="BZ1306">
        <v>0</v>
      </c>
      <c r="CA1306">
        <v>0</v>
      </c>
      <c r="CB1306">
        <v>0</v>
      </c>
      <c r="CC1306">
        <v>0</v>
      </c>
      <c r="CD1306">
        <v>0</v>
      </c>
      <c r="CE1306">
        <v>0</v>
      </c>
      <c r="CF1306">
        <v>0</v>
      </c>
      <c r="CG1306">
        <v>0</v>
      </c>
      <c r="CH1306">
        <v>0</v>
      </c>
      <c r="CI1306">
        <v>0</v>
      </c>
      <c r="CJ1306">
        <v>0</v>
      </c>
      <c r="CK1306">
        <v>0</v>
      </c>
      <c r="CL1306">
        <v>0</v>
      </c>
      <c r="CM1306">
        <v>0</v>
      </c>
      <c r="CN1306" t="str">
        <f t="shared" si="1709"/>
        <v>refOK</v>
      </c>
      <c r="CO1306">
        <f t="shared" si="1710"/>
        <v>5.25</v>
      </c>
      <c r="CP1306">
        <f t="shared" si="1711"/>
        <v>6.15</v>
      </c>
      <c r="CQ1306">
        <f t="shared" si="1712"/>
        <v>1.8367346938775517</v>
      </c>
      <c r="CR1306">
        <f t="shared" si="1697"/>
        <v>446.5</v>
      </c>
      <c r="CS1306">
        <f t="shared" si="1698"/>
        <v>529</v>
      </c>
      <c r="CT1306">
        <f t="shared" si="1699"/>
        <v>0.82499999999999996</v>
      </c>
      <c r="CU1306">
        <f t="shared" si="1700"/>
        <v>0.44916666666666649</v>
      </c>
      <c r="CV1306" s="2">
        <f t="shared" si="1701"/>
        <v>0.18477043673012317</v>
      </c>
      <c r="CW1306" s="1" t="s">
        <v>263</v>
      </c>
      <c r="CX1306" s="264" t="str">
        <f t="shared" si="1702"/>
        <v>loc</v>
      </c>
      <c r="CY1306" t="s">
        <v>235</v>
      </c>
      <c r="DB1306">
        <v>80</v>
      </c>
      <c r="DC1306" t="str">
        <f t="shared" si="1703"/>
        <v>71-100</v>
      </c>
      <c r="DD1306">
        <v>0</v>
      </c>
      <c r="DE1306">
        <v>1</v>
      </c>
      <c r="DF1306">
        <v>0</v>
      </c>
      <c r="DG1306">
        <v>1</v>
      </c>
      <c r="DI1306">
        <f t="shared" si="1682"/>
        <v>2</v>
      </c>
      <c r="DJ1306" t="str">
        <f t="shared" si="1704"/>
        <v>mixedProduct</v>
      </c>
      <c r="DK1306">
        <f t="shared" si="1683"/>
        <v>0</v>
      </c>
      <c r="DL1306" t="str">
        <f t="shared" si="1684"/>
        <v>Energy</v>
      </c>
      <c r="DM1306">
        <f t="shared" si="1685"/>
        <v>0</v>
      </c>
      <c r="DN1306" t="str">
        <f t="shared" si="1686"/>
        <v>Timber</v>
      </c>
      <c r="DO1306">
        <v>0</v>
      </c>
      <c r="DP1306">
        <v>1</v>
      </c>
      <c r="DQ1306" t="s">
        <v>1059</v>
      </c>
      <c r="DT1306">
        <f t="shared" si="1688"/>
        <v>1</v>
      </c>
      <c r="DU1306" s="143" t="str">
        <f t="shared" si="1687"/>
        <v>external DF used</v>
      </c>
      <c r="DV1306">
        <v>1</v>
      </c>
      <c r="DW1306">
        <v>1</v>
      </c>
      <c r="DX1306">
        <v>1</v>
      </c>
      <c r="DY1306" s="143">
        <v>0</v>
      </c>
      <c r="DZ1306">
        <v>0</v>
      </c>
      <c r="EA1306" s="143">
        <v>0</v>
      </c>
      <c r="EB1306">
        <v>1</v>
      </c>
      <c r="EC1306">
        <v>1</v>
      </c>
      <c r="ED1306" s="143">
        <v>0</v>
      </c>
      <c r="EE1306">
        <v>0</v>
      </c>
      <c r="EF1306">
        <v>1</v>
      </c>
      <c r="EG1306" s="143">
        <v>0</v>
      </c>
      <c r="EH1306" s="143">
        <v>0</v>
      </c>
      <c r="EI1306" s="2">
        <v>0</v>
      </c>
      <c r="EK1306" t="str">
        <f t="shared" si="1713"/>
        <v>Whole sector</v>
      </c>
      <c r="EL1306" t="str">
        <f t="shared" si="1714"/>
        <v/>
      </c>
      <c r="EM1306" s="2" t="str">
        <f t="shared" si="1662"/>
        <v/>
      </c>
      <c r="EP1306" t="str">
        <f>IF(ISNUMBER(BU1306),IF(ABS(BU1306-[4]QC_indicators!$B$2)&gt;3*[4]QC_indicators!$C$2,"C ratio",IF(ISNUMBER(BY1306),IF(ABS(BY1306-[4]QC_indicators!$B$1)&gt;3*[4]QC_indicators!$C$1,"DF","no"))),IF(ISNUMBER(BY1306),IF(ABS(BY1306-[4]QC_indicators!$B$1)&gt;3*[4]QC_indicators!$C$1,"DF","no")))</f>
        <v>no</v>
      </c>
      <c r="ER1306" s="264" t="s">
        <v>1069</v>
      </c>
      <c r="ET1306" s="264" t="s">
        <v>3406</v>
      </c>
    </row>
    <row r="1307" spans="1:150" ht="15" hidden="1" customHeight="1">
      <c r="A1307" s="1" t="s">
        <v>1044</v>
      </c>
      <c r="B1307" t="s">
        <v>1045</v>
      </c>
      <c r="C1307" t="s">
        <v>1046</v>
      </c>
      <c r="D1307" t="s">
        <v>1047</v>
      </c>
      <c r="E1307" t="s">
        <v>1048</v>
      </c>
      <c r="F1307" t="s">
        <v>1049</v>
      </c>
      <c r="G1307" t="s">
        <v>1050</v>
      </c>
      <c r="H1307" t="s">
        <v>254</v>
      </c>
      <c r="I1307">
        <v>2014</v>
      </c>
      <c r="J1307">
        <v>23</v>
      </c>
      <c r="K1307" t="s">
        <v>1051</v>
      </c>
      <c r="M1307" t="str">
        <f t="shared" si="1689"/>
        <v>Pyorala_2014</v>
      </c>
      <c r="N1307" t="s">
        <v>222</v>
      </c>
      <c r="O1307" s="171" t="s">
        <v>341</v>
      </c>
      <c r="P1307" t="s">
        <v>225</v>
      </c>
      <c r="Q1307" s="264" t="s">
        <v>389</v>
      </c>
      <c r="R1307" s="269" t="s">
        <v>1153</v>
      </c>
      <c r="S1307" s="263" t="s">
        <v>95</v>
      </c>
      <c r="T1307" s="264" t="s">
        <v>1070</v>
      </c>
      <c r="U1307" s="264" t="s">
        <v>1071</v>
      </c>
      <c r="V1307">
        <v>0</v>
      </c>
      <c r="W1307">
        <v>0</v>
      </c>
      <c r="X1307">
        <v>0</v>
      </c>
      <c r="Y1307">
        <v>0</v>
      </c>
      <c r="Z1307">
        <v>0</v>
      </c>
      <c r="AA1307">
        <v>0</v>
      </c>
      <c r="AB1307">
        <v>0</v>
      </c>
      <c r="AC1307">
        <v>1</v>
      </c>
      <c r="AD1307">
        <v>0</v>
      </c>
      <c r="AE1307">
        <v>0</v>
      </c>
      <c r="AF1307">
        <v>0</v>
      </c>
      <c r="AG1307">
        <v>0</v>
      </c>
      <c r="AH1307">
        <v>0</v>
      </c>
      <c r="AI1307">
        <v>0</v>
      </c>
      <c r="AJ1307">
        <v>0</v>
      </c>
      <c r="AK1307">
        <v>0</v>
      </c>
      <c r="AL1307">
        <v>0</v>
      </c>
      <c r="AM1307">
        <v>0</v>
      </c>
      <c r="AN1307">
        <v>0</v>
      </c>
      <c r="AO1307">
        <v>0</v>
      </c>
      <c r="AP1307">
        <v>0</v>
      </c>
      <c r="AQ1307">
        <v>0</v>
      </c>
      <c r="AR1307">
        <v>0</v>
      </c>
      <c r="AS1307">
        <v>0</v>
      </c>
      <c r="AT1307">
        <v>0</v>
      </c>
      <c r="AU1307">
        <v>0</v>
      </c>
      <c r="AV1307">
        <v>0</v>
      </c>
      <c r="AW1307">
        <v>0</v>
      </c>
      <c r="AX1307" s="141">
        <f t="shared" si="1690"/>
        <v>1</v>
      </c>
      <c r="AY1307" s="141">
        <f t="shared" si="1691"/>
        <v>1</v>
      </c>
      <c r="AZ1307">
        <f t="shared" si="1692"/>
        <v>1</v>
      </c>
      <c r="BA1307">
        <f t="shared" si="1693"/>
        <v>0</v>
      </c>
      <c r="BB1307">
        <f t="shared" si="1694"/>
        <v>0</v>
      </c>
      <c r="BC1307">
        <f t="shared" si="1695"/>
        <v>0</v>
      </c>
      <c r="BD1307">
        <f t="shared" si="1696"/>
        <v>0</v>
      </c>
      <c r="BE1307" t="str" cm="1">
        <f t="array" ref="BE1307">IF(AY1307=1,INDEX($V$7:$AL$7,MATCH(TRUE,INDEX($V1307:$AW1307&lt;&gt;0,),0)),IF(AY1307=0,INDEX($AM$7:$AW$7,MATCH(1,$AM1307:$AW1307,0)),IF(BF1307="Multiple strategies","mixed drivers",IF(BF1307="Supply chain","multiple supply","multiple silviculture"))))</f>
        <v>site fertility</v>
      </c>
      <c r="BF1307" s="2" t="str" cm="1">
        <f t="array" ref="BF1307">IF(COUNTIF(AZ1307:BB1307,"&lt;&gt;0")=1,INDEX($V$4:$AW$4,MATCH(TRUE,INDEX($V1307:$AW1307&lt;&gt;0,),0)),IF(COUNTIF(AZ1307:BB1307,"&lt;&gt;0")=0,INDEX($AM$4:$AW$4,MATCH(1,$AM1307:$AW1307,0)),"Multiple strategies"))</f>
        <v>Silviculture for productivity</v>
      </c>
      <c r="BG1307" s="1" t="s">
        <v>321</v>
      </c>
      <c r="BH1307" t="s">
        <v>1055</v>
      </c>
      <c r="BI1307" s="264" t="s">
        <v>1056</v>
      </c>
      <c r="BJ1307" s="264" t="s">
        <v>1057</v>
      </c>
      <c r="BK1307">
        <v>5.45</v>
      </c>
      <c r="BL1307">
        <v>6.4</v>
      </c>
      <c r="BM1307" t="str">
        <f>IFERROR(BK1307/#REF!,"")</f>
        <v/>
      </c>
      <c r="BN1307">
        <f t="shared" si="1705"/>
        <v>0.95000000000000018</v>
      </c>
      <c r="BO1307">
        <f t="shared" si="1706"/>
        <v>1.938775510204082</v>
      </c>
      <c r="BP1307" t="s">
        <v>395</v>
      </c>
      <c r="BQ1307" t="s">
        <v>971</v>
      </c>
      <c r="BR1307" t="s">
        <v>1058</v>
      </c>
      <c r="BS1307" s="172">
        <v>-431</v>
      </c>
      <c r="BT1307" s="172">
        <v>-514.5</v>
      </c>
      <c r="BU1307" s="144"/>
      <c r="BV1307">
        <f t="shared" si="1707"/>
        <v>-83.5</v>
      </c>
      <c r="BX1307">
        <f t="shared" si="1708"/>
        <v>-0.83499999999999996</v>
      </c>
      <c r="BY1307">
        <f t="shared" si="1661"/>
        <v>-0.43068421052631567</v>
      </c>
      <c r="BZ1307">
        <v>0</v>
      </c>
      <c r="CA1307">
        <v>0</v>
      </c>
      <c r="CB1307">
        <v>0</v>
      </c>
      <c r="CC1307">
        <v>0</v>
      </c>
      <c r="CD1307">
        <v>0</v>
      </c>
      <c r="CE1307">
        <v>0</v>
      </c>
      <c r="CF1307">
        <v>0</v>
      </c>
      <c r="CG1307">
        <v>0</v>
      </c>
      <c r="CH1307">
        <v>0</v>
      </c>
      <c r="CI1307">
        <v>0</v>
      </c>
      <c r="CJ1307">
        <v>0</v>
      </c>
      <c r="CK1307">
        <v>0</v>
      </c>
      <c r="CL1307">
        <v>0</v>
      </c>
      <c r="CM1307">
        <v>0</v>
      </c>
      <c r="CN1307" t="str">
        <f t="shared" si="1709"/>
        <v>refOK</v>
      </c>
      <c r="CO1307">
        <f t="shared" si="1710"/>
        <v>5.45</v>
      </c>
      <c r="CP1307">
        <f t="shared" si="1711"/>
        <v>6.4</v>
      </c>
      <c r="CQ1307">
        <f t="shared" si="1712"/>
        <v>1.938775510204082</v>
      </c>
      <c r="CR1307">
        <f t="shared" si="1697"/>
        <v>431</v>
      </c>
      <c r="CS1307">
        <f t="shared" si="1698"/>
        <v>514.5</v>
      </c>
      <c r="CT1307">
        <f t="shared" si="1699"/>
        <v>0.83499999999999996</v>
      </c>
      <c r="CU1307">
        <f t="shared" si="1700"/>
        <v>0.43068421052631567</v>
      </c>
      <c r="CV1307" s="2">
        <f t="shared" si="1701"/>
        <v>0.19373549883990721</v>
      </c>
      <c r="CW1307" s="1" t="s">
        <v>263</v>
      </c>
      <c r="CX1307" s="264" t="str">
        <f t="shared" si="1702"/>
        <v>loc</v>
      </c>
      <c r="CY1307" t="s">
        <v>235</v>
      </c>
      <c r="DB1307">
        <v>80</v>
      </c>
      <c r="DC1307" t="str">
        <f t="shared" si="1703"/>
        <v>71-100</v>
      </c>
      <c r="DD1307">
        <v>0</v>
      </c>
      <c r="DE1307">
        <v>1</v>
      </c>
      <c r="DF1307">
        <v>0</v>
      </c>
      <c r="DG1307">
        <v>1</v>
      </c>
      <c r="DI1307">
        <f t="shared" si="1682"/>
        <v>2</v>
      </c>
      <c r="DJ1307" t="str">
        <f t="shared" si="1704"/>
        <v>mixedProduct</v>
      </c>
      <c r="DK1307">
        <f t="shared" si="1683"/>
        <v>0</v>
      </c>
      <c r="DL1307" t="str">
        <f t="shared" si="1684"/>
        <v>Energy</v>
      </c>
      <c r="DM1307">
        <f t="shared" si="1685"/>
        <v>0</v>
      </c>
      <c r="DN1307" t="str">
        <f t="shared" si="1686"/>
        <v>Timber</v>
      </c>
      <c r="DO1307">
        <v>0</v>
      </c>
      <c r="DP1307">
        <v>1</v>
      </c>
      <c r="DQ1307" t="s">
        <v>1059</v>
      </c>
      <c r="DT1307">
        <f t="shared" si="1688"/>
        <v>1</v>
      </c>
      <c r="DU1307" s="143" t="str">
        <f t="shared" si="1687"/>
        <v>external DF used</v>
      </c>
      <c r="DV1307">
        <v>1</v>
      </c>
      <c r="DW1307">
        <v>1</v>
      </c>
      <c r="DX1307">
        <v>1</v>
      </c>
      <c r="DY1307" s="143">
        <v>0</v>
      </c>
      <c r="DZ1307">
        <v>0</v>
      </c>
      <c r="EA1307" s="143">
        <v>0</v>
      </c>
      <c r="EB1307">
        <v>1</v>
      </c>
      <c r="EC1307">
        <v>1</v>
      </c>
      <c r="ED1307" s="143">
        <v>0</v>
      </c>
      <c r="EE1307">
        <v>0</v>
      </c>
      <c r="EF1307">
        <v>1</v>
      </c>
      <c r="EG1307" s="143">
        <v>0</v>
      </c>
      <c r="EH1307" s="143">
        <v>0</v>
      </c>
      <c r="EI1307" s="2">
        <v>0</v>
      </c>
      <c r="EK1307" t="str">
        <f t="shared" si="1713"/>
        <v>Whole sector</v>
      </c>
      <c r="EL1307" t="str">
        <f t="shared" si="1714"/>
        <v/>
      </c>
      <c r="EM1307" s="2" t="str">
        <f t="shared" si="1662"/>
        <v/>
      </c>
      <c r="EP1307" t="str">
        <f>IF(ISNUMBER(BU1307),IF(ABS(BU1307-[4]QC_indicators!$B$2)&gt;3*[4]QC_indicators!$C$2,"C ratio",IF(ISNUMBER(BY1307),IF(ABS(BY1307-[4]QC_indicators!$B$1)&gt;3*[4]QC_indicators!$C$1,"DF","no"))),IF(ISNUMBER(BY1307),IF(ABS(BY1307-[4]QC_indicators!$B$1)&gt;3*[4]QC_indicators!$C$1,"DF","no")))</f>
        <v>no</v>
      </c>
      <c r="ER1307" s="264" t="s">
        <v>1069</v>
      </c>
      <c r="ET1307" s="264" t="s">
        <v>3406</v>
      </c>
    </row>
    <row r="1308" spans="1:150" ht="15" hidden="1" customHeight="1">
      <c r="A1308" s="1" t="s">
        <v>1044</v>
      </c>
      <c r="B1308" t="s">
        <v>1045</v>
      </c>
      <c r="C1308" t="s">
        <v>1046</v>
      </c>
      <c r="D1308" t="s">
        <v>1047</v>
      </c>
      <c r="E1308" t="s">
        <v>1048</v>
      </c>
      <c r="F1308" t="s">
        <v>1049</v>
      </c>
      <c r="G1308" t="s">
        <v>1050</v>
      </c>
      <c r="H1308" t="s">
        <v>254</v>
      </c>
      <c r="I1308">
        <v>2014</v>
      </c>
      <c r="J1308">
        <v>23</v>
      </c>
      <c r="K1308" t="s">
        <v>1051</v>
      </c>
      <c r="M1308" t="str">
        <f t="shared" si="1689"/>
        <v>Pyorala_2014</v>
      </c>
      <c r="N1308" t="s">
        <v>222</v>
      </c>
      <c r="O1308" s="171" t="s">
        <v>341</v>
      </c>
      <c r="P1308" t="s">
        <v>225</v>
      </c>
      <c r="Q1308" s="264" t="s">
        <v>389</v>
      </c>
      <c r="R1308" s="269" t="s">
        <v>1153</v>
      </c>
      <c r="S1308" s="263" t="s">
        <v>95</v>
      </c>
      <c r="T1308" s="264" t="s">
        <v>1067</v>
      </c>
      <c r="U1308" s="264" t="s">
        <v>1068</v>
      </c>
      <c r="V1308">
        <v>0</v>
      </c>
      <c r="W1308">
        <v>0</v>
      </c>
      <c r="X1308">
        <v>0</v>
      </c>
      <c r="Y1308">
        <v>0</v>
      </c>
      <c r="Z1308">
        <v>0</v>
      </c>
      <c r="AA1308">
        <v>0</v>
      </c>
      <c r="AB1308">
        <v>0</v>
      </c>
      <c r="AC1308">
        <v>1</v>
      </c>
      <c r="AD1308">
        <v>0</v>
      </c>
      <c r="AE1308">
        <v>0</v>
      </c>
      <c r="AF1308">
        <v>0</v>
      </c>
      <c r="AG1308">
        <v>0</v>
      </c>
      <c r="AH1308">
        <v>0</v>
      </c>
      <c r="AI1308">
        <v>0</v>
      </c>
      <c r="AJ1308">
        <v>0</v>
      </c>
      <c r="AK1308">
        <v>0</v>
      </c>
      <c r="AL1308">
        <v>0</v>
      </c>
      <c r="AM1308">
        <v>0</v>
      </c>
      <c r="AN1308">
        <v>0</v>
      </c>
      <c r="AO1308">
        <v>0</v>
      </c>
      <c r="AP1308">
        <v>0</v>
      </c>
      <c r="AQ1308">
        <v>0</v>
      </c>
      <c r="AR1308">
        <v>0</v>
      </c>
      <c r="AS1308">
        <v>0</v>
      </c>
      <c r="AT1308">
        <v>0</v>
      </c>
      <c r="AU1308">
        <v>0</v>
      </c>
      <c r="AV1308">
        <v>0</v>
      </c>
      <c r="AW1308">
        <v>0</v>
      </c>
      <c r="AX1308" s="141">
        <f t="shared" si="1690"/>
        <v>1</v>
      </c>
      <c r="AY1308" s="141">
        <f t="shared" si="1691"/>
        <v>1</v>
      </c>
      <c r="AZ1308">
        <f t="shared" si="1692"/>
        <v>1</v>
      </c>
      <c r="BA1308">
        <f t="shared" si="1693"/>
        <v>0</v>
      </c>
      <c r="BB1308">
        <f t="shared" si="1694"/>
        <v>0</v>
      </c>
      <c r="BC1308">
        <f t="shared" si="1695"/>
        <v>0</v>
      </c>
      <c r="BD1308">
        <f t="shared" si="1696"/>
        <v>0</v>
      </c>
      <c r="BE1308" t="str" cm="1">
        <f t="array" ref="BE1308">IF(AY1308=1,INDEX($V$7:$AL$7,MATCH(TRUE,INDEX($V1308:$AW1308&lt;&gt;0,),0)),IF(AY1308=0,INDEX($AM$7:$AW$7,MATCH(1,$AM1308:$AW1308,0)),IF(BF1308="Multiple strategies","mixed drivers",IF(BF1308="Supply chain","multiple supply","multiple silviculture"))))</f>
        <v>site fertility</v>
      </c>
      <c r="BF1308" s="2" t="str" cm="1">
        <f t="array" ref="BF1308">IF(COUNTIF(AZ1308:BB1308,"&lt;&gt;0")=1,INDEX($V$4:$AW$4,MATCH(TRUE,INDEX($V1308:$AW1308&lt;&gt;0,),0)),IF(COUNTIF(AZ1308:BB1308,"&lt;&gt;0")=0,INDEX($AM$4:$AW$4,MATCH(1,$AM1308:$AW1308,0)),"Multiple strategies"))</f>
        <v>Silviculture for productivity</v>
      </c>
      <c r="BG1308" s="1" t="s">
        <v>321</v>
      </c>
      <c r="BH1308" t="s">
        <v>1055</v>
      </c>
      <c r="BI1308" s="264" t="s">
        <v>1056</v>
      </c>
      <c r="BJ1308" s="264" t="s">
        <v>1057</v>
      </c>
      <c r="BK1308">
        <v>4.95</v>
      </c>
      <c r="BL1308">
        <v>5.9</v>
      </c>
      <c r="BM1308" t="str">
        <f>IFERROR(BK1308/#REF!,"")</f>
        <v/>
      </c>
      <c r="BN1308">
        <f t="shared" si="1705"/>
        <v>0.95000000000000018</v>
      </c>
      <c r="BO1308">
        <f t="shared" si="1706"/>
        <v>1.938775510204082</v>
      </c>
      <c r="BP1308" t="s">
        <v>395</v>
      </c>
      <c r="BQ1308" t="s">
        <v>971</v>
      </c>
      <c r="BR1308" t="s">
        <v>1058</v>
      </c>
      <c r="BS1308" s="172">
        <v>-392</v>
      </c>
      <c r="BT1308" s="172">
        <v>-465</v>
      </c>
      <c r="BU1308" s="144"/>
      <c r="BV1308">
        <f t="shared" si="1707"/>
        <v>-73</v>
      </c>
      <c r="BX1308">
        <f t="shared" si="1708"/>
        <v>-0.73</v>
      </c>
      <c r="BY1308">
        <f t="shared" si="1661"/>
        <v>-0.3765263157894736</v>
      </c>
      <c r="BZ1308">
        <v>0</v>
      </c>
      <c r="CA1308">
        <v>0</v>
      </c>
      <c r="CB1308">
        <v>0</v>
      </c>
      <c r="CC1308">
        <v>0</v>
      </c>
      <c r="CD1308">
        <v>0</v>
      </c>
      <c r="CE1308">
        <v>0</v>
      </c>
      <c r="CF1308">
        <v>0</v>
      </c>
      <c r="CG1308">
        <v>0</v>
      </c>
      <c r="CH1308">
        <v>0</v>
      </c>
      <c r="CI1308">
        <v>0</v>
      </c>
      <c r="CJ1308">
        <v>0</v>
      </c>
      <c r="CK1308">
        <v>0</v>
      </c>
      <c r="CL1308">
        <v>0</v>
      </c>
      <c r="CM1308">
        <v>0</v>
      </c>
      <c r="CN1308" t="str">
        <f t="shared" si="1709"/>
        <v>refOK</v>
      </c>
      <c r="CO1308">
        <f t="shared" si="1710"/>
        <v>4.95</v>
      </c>
      <c r="CP1308">
        <f t="shared" si="1711"/>
        <v>5.9</v>
      </c>
      <c r="CQ1308">
        <f t="shared" si="1712"/>
        <v>1.938775510204082</v>
      </c>
      <c r="CR1308">
        <f t="shared" si="1697"/>
        <v>392</v>
      </c>
      <c r="CS1308">
        <f t="shared" si="1698"/>
        <v>465</v>
      </c>
      <c r="CT1308">
        <f t="shared" si="1699"/>
        <v>0.73</v>
      </c>
      <c r="CU1308">
        <f t="shared" si="1700"/>
        <v>0.3765263157894736</v>
      </c>
      <c r="CV1308" s="2">
        <f t="shared" si="1701"/>
        <v>0.18622448979591838</v>
      </c>
      <c r="CW1308" s="1" t="s">
        <v>263</v>
      </c>
      <c r="CX1308" s="264" t="str">
        <f t="shared" si="1702"/>
        <v>loc</v>
      </c>
      <c r="CY1308" t="s">
        <v>235</v>
      </c>
      <c r="DB1308">
        <v>80</v>
      </c>
      <c r="DC1308" t="str">
        <f t="shared" si="1703"/>
        <v>71-100</v>
      </c>
      <c r="DD1308">
        <v>0</v>
      </c>
      <c r="DE1308">
        <v>1</v>
      </c>
      <c r="DF1308">
        <v>0</v>
      </c>
      <c r="DG1308">
        <v>1</v>
      </c>
      <c r="DI1308">
        <f t="shared" si="1682"/>
        <v>2</v>
      </c>
      <c r="DJ1308" t="str">
        <f t="shared" si="1704"/>
        <v>mixedProduct</v>
      </c>
      <c r="DK1308">
        <f t="shared" si="1683"/>
        <v>0</v>
      </c>
      <c r="DL1308" t="str">
        <f t="shared" si="1684"/>
        <v>Energy</v>
      </c>
      <c r="DM1308">
        <f t="shared" si="1685"/>
        <v>0</v>
      </c>
      <c r="DN1308" t="str">
        <f t="shared" si="1686"/>
        <v>Timber</v>
      </c>
      <c r="DO1308">
        <v>0</v>
      </c>
      <c r="DP1308">
        <v>1</v>
      </c>
      <c r="DQ1308" t="s">
        <v>1059</v>
      </c>
      <c r="DT1308">
        <f t="shared" si="1688"/>
        <v>1</v>
      </c>
      <c r="DU1308" s="143" t="str">
        <f t="shared" si="1687"/>
        <v>external DF used</v>
      </c>
      <c r="DV1308">
        <v>1</v>
      </c>
      <c r="DW1308">
        <v>1</v>
      </c>
      <c r="DX1308">
        <v>1</v>
      </c>
      <c r="DY1308" s="143">
        <v>0</v>
      </c>
      <c r="DZ1308">
        <v>0</v>
      </c>
      <c r="EA1308" s="143">
        <v>0</v>
      </c>
      <c r="EB1308">
        <v>1</v>
      </c>
      <c r="EC1308">
        <v>1</v>
      </c>
      <c r="ED1308" s="143">
        <v>0</v>
      </c>
      <c r="EE1308">
        <v>0</v>
      </c>
      <c r="EF1308">
        <v>1</v>
      </c>
      <c r="EG1308" s="143">
        <v>0</v>
      </c>
      <c r="EH1308" s="143">
        <v>0</v>
      </c>
      <c r="EI1308" s="2">
        <v>0</v>
      </c>
      <c r="EK1308" t="str">
        <f t="shared" si="1713"/>
        <v>Whole sector</v>
      </c>
      <c r="EL1308" t="str">
        <f t="shared" si="1714"/>
        <v/>
      </c>
      <c r="EM1308" s="2" t="str">
        <f t="shared" si="1662"/>
        <v/>
      </c>
      <c r="EP1308" t="str">
        <f>IF(ISNUMBER(BU1308),IF(ABS(BU1308-[4]QC_indicators!$B$2)&gt;3*[4]QC_indicators!$C$2,"C ratio",IF(ISNUMBER(BY1308),IF(ABS(BY1308-[4]QC_indicators!$B$1)&gt;3*[4]QC_indicators!$C$1,"DF","no"))),IF(ISNUMBER(BY1308),IF(ABS(BY1308-[4]QC_indicators!$B$1)&gt;3*[4]QC_indicators!$C$1,"DF","no")))</f>
        <v>no</v>
      </c>
      <c r="ER1308" s="264" t="s">
        <v>1069</v>
      </c>
      <c r="ET1308" s="264" t="s">
        <v>3406</v>
      </c>
    </row>
    <row r="1309" spans="1:150" ht="15" hidden="1" customHeight="1">
      <c r="A1309" s="1" t="s">
        <v>1044</v>
      </c>
      <c r="B1309" t="s">
        <v>1045</v>
      </c>
      <c r="C1309" t="s">
        <v>1046</v>
      </c>
      <c r="D1309" t="s">
        <v>1047</v>
      </c>
      <c r="E1309" t="s">
        <v>1048</v>
      </c>
      <c r="F1309" t="s">
        <v>1049</v>
      </c>
      <c r="G1309" t="s">
        <v>1050</v>
      </c>
      <c r="H1309" t="s">
        <v>254</v>
      </c>
      <c r="I1309">
        <v>2014</v>
      </c>
      <c r="J1309">
        <v>23</v>
      </c>
      <c r="K1309" t="s">
        <v>1051</v>
      </c>
      <c r="M1309" t="str">
        <f t="shared" si="1689"/>
        <v>Pyorala_2014</v>
      </c>
      <c r="N1309" t="s">
        <v>222</v>
      </c>
      <c r="O1309" s="171" t="s">
        <v>341</v>
      </c>
      <c r="P1309" t="s">
        <v>225</v>
      </c>
      <c r="Q1309" s="264" t="s">
        <v>389</v>
      </c>
      <c r="R1309" s="269" t="s">
        <v>1153</v>
      </c>
      <c r="S1309" s="1" t="s">
        <v>1052</v>
      </c>
      <c r="T1309" s="264" t="s">
        <v>1063</v>
      </c>
      <c r="U1309" s="264" t="s">
        <v>1064</v>
      </c>
      <c r="V1309">
        <v>0</v>
      </c>
      <c r="W1309">
        <v>0</v>
      </c>
      <c r="X1309">
        <v>0</v>
      </c>
      <c r="Y1309">
        <v>1</v>
      </c>
      <c r="Z1309">
        <v>0</v>
      </c>
      <c r="AA1309">
        <v>0</v>
      </c>
      <c r="AB1309">
        <v>0</v>
      </c>
      <c r="AC1309">
        <v>0</v>
      </c>
      <c r="AD1309">
        <v>0</v>
      </c>
      <c r="AE1309">
        <v>0</v>
      </c>
      <c r="AF1309">
        <v>0</v>
      </c>
      <c r="AG1309">
        <v>0</v>
      </c>
      <c r="AH1309">
        <v>0</v>
      </c>
      <c r="AI1309">
        <v>0</v>
      </c>
      <c r="AJ1309">
        <v>0</v>
      </c>
      <c r="AK1309">
        <v>0</v>
      </c>
      <c r="AL1309">
        <v>0</v>
      </c>
      <c r="AM1309">
        <v>0</v>
      </c>
      <c r="AN1309">
        <v>0</v>
      </c>
      <c r="AO1309">
        <v>0</v>
      </c>
      <c r="AP1309">
        <v>0</v>
      </c>
      <c r="AQ1309">
        <v>0</v>
      </c>
      <c r="AR1309">
        <v>0</v>
      </c>
      <c r="AS1309">
        <v>0</v>
      </c>
      <c r="AT1309">
        <v>0</v>
      </c>
      <c r="AU1309">
        <v>0</v>
      </c>
      <c r="AV1309">
        <v>0</v>
      </c>
      <c r="AW1309">
        <v>0</v>
      </c>
      <c r="AX1309" s="141">
        <f t="shared" si="1690"/>
        <v>1</v>
      </c>
      <c r="AY1309" s="141">
        <f t="shared" si="1691"/>
        <v>1</v>
      </c>
      <c r="AZ1309">
        <f t="shared" si="1692"/>
        <v>1</v>
      </c>
      <c r="BA1309">
        <f t="shared" si="1693"/>
        <v>0</v>
      </c>
      <c r="BB1309">
        <f t="shared" si="1694"/>
        <v>0</v>
      </c>
      <c r="BC1309">
        <f t="shared" si="1695"/>
        <v>0</v>
      </c>
      <c r="BD1309">
        <f t="shared" si="1696"/>
        <v>0</v>
      </c>
      <c r="BE1309" t="str" cm="1">
        <f t="array" ref="BE1309">IF(AY1309=1,INDEX($V$7:$AL$7,MATCH(TRUE,INDEX($V1309:$AW1309&lt;&gt;0,),0)),IF(AY1309=0,INDEX($AM$7:$AW$7,MATCH(1,$AM1309:$AW1309,0)),IF(BF1309="Multiple strategies","mixed drivers",IF(BF1309="Supply chain","multiple supply","multiple silviculture"))))</f>
        <v xml:space="preserve">cutting intensity </v>
      </c>
      <c r="BF1309" s="2" t="str" cm="1">
        <f t="array" ref="BF1309">IF(COUNTIF(AZ1309:BB1309,"&lt;&gt;0")=1,INDEX($V$4:$AW$4,MATCH(TRUE,INDEX($V1309:$AW1309&lt;&gt;0,),0)),IF(COUNTIF(AZ1309:BB1309,"&lt;&gt;0")=0,INDEX($AM$4:$AW$4,MATCH(1,$AM1309:$AW1309,0)),"Multiple strategies"))</f>
        <v>Silviculture for removals</v>
      </c>
      <c r="BG1309" s="1" t="s">
        <v>321</v>
      </c>
      <c r="BH1309" t="s">
        <v>1055</v>
      </c>
      <c r="BI1309" s="264" t="s">
        <v>1056</v>
      </c>
      <c r="BJ1309" s="264" t="s">
        <v>1057</v>
      </c>
      <c r="BK1309">
        <v>3.65</v>
      </c>
      <c r="BL1309">
        <v>3.8</v>
      </c>
      <c r="BM1309">
        <f>IFERROR(BL1309/BK1309,"")</f>
        <v>1.0410958904109588</v>
      </c>
      <c r="BN1309">
        <f t="shared" si="1705"/>
        <v>0.14999999999999991</v>
      </c>
      <c r="BO1309">
        <f t="shared" si="1706"/>
        <v>0.30612244897959168</v>
      </c>
      <c r="BP1309" t="s">
        <v>395</v>
      </c>
      <c r="BQ1309" t="s">
        <v>971</v>
      </c>
      <c r="BR1309" t="s">
        <v>1058</v>
      </c>
      <c r="BS1309" s="172">
        <v>-236.5</v>
      </c>
      <c r="BT1309" s="172">
        <v>-189</v>
      </c>
      <c r="BU1309" s="144"/>
      <c r="BV1309">
        <f t="shared" si="1707"/>
        <v>47.5</v>
      </c>
      <c r="BX1309">
        <f t="shared" si="1708"/>
        <v>0.47499999999999998</v>
      </c>
      <c r="BY1309">
        <f t="shared" si="1661"/>
        <v>1.5516666666666674</v>
      </c>
      <c r="BZ1309">
        <v>0</v>
      </c>
      <c r="CA1309">
        <v>0</v>
      </c>
      <c r="CB1309">
        <v>0</v>
      </c>
      <c r="CC1309">
        <v>0</v>
      </c>
      <c r="CD1309">
        <v>0</v>
      </c>
      <c r="CE1309">
        <v>0</v>
      </c>
      <c r="CF1309">
        <v>0</v>
      </c>
      <c r="CG1309">
        <v>0</v>
      </c>
      <c r="CH1309">
        <v>0</v>
      </c>
      <c r="CI1309">
        <v>0</v>
      </c>
      <c r="CJ1309">
        <v>0</v>
      </c>
      <c r="CK1309">
        <v>0</v>
      </c>
      <c r="CL1309">
        <v>0</v>
      </c>
      <c r="CM1309">
        <v>0</v>
      </c>
      <c r="CN1309" t="str">
        <f t="shared" si="1709"/>
        <v>refOK</v>
      </c>
      <c r="CO1309">
        <f t="shared" si="1710"/>
        <v>3.65</v>
      </c>
      <c r="CP1309">
        <f t="shared" si="1711"/>
        <v>3.8</v>
      </c>
      <c r="CQ1309">
        <f t="shared" si="1712"/>
        <v>0.30612244897959168</v>
      </c>
      <c r="CR1309">
        <f t="shared" si="1697"/>
        <v>236.5</v>
      </c>
      <c r="CS1309">
        <f t="shared" si="1698"/>
        <v>189</v>
      </c>
      <c r="CT1309">
        <f t="shared" si="1699"/>
        <v>-0.47499999999999998</v>
      </c>
      <c r="CU1309">
        <f t="shared" si="1700"/>
        <v>-1.5516666666666674</v>
      </c>
      <c r="CV1309" s="2">
        <f t="shared" si="1701"/>
        <v>-0.20084566596194503</v>
      </c>
      <c r="CW1309" s="1" t="s">
        <v>263</v>
      </c>
      <c r="CX1309" s="264" t="str">
        <f t="shared" si="1702"/>
        <v>loc</v>
      </c>
      <c r="CY1309" t="s">
        <v>235</v>
      </c>
      <c r="DB1309">
        <v>50</v>
      </c>
      <c r="DC1309" t="str">
        <f t="shared" si="1703"/>
        <v>31-70</v>
      </c>
      <c r="DD1309">
        <v>0</v>
      </c>
      <c r="DE1309">
        <v>1</v>
      </c>
      <c r="DF1309">
        <v>0</v>
      </c>
      <c r="DG1309">
        <v>1</v>
      </c>
      <c r="DI1309">
        <f t="shared" ref="DI1309:DI1315" si="1715">SUM(DD1309:DG1309)</f>
        <v>2</v>
      </c>
      <c r="DJ1309" t="str">
        <f t="shared" si="1704"/>
        <v>mixedProduct</v>
      </c>
      <c r="DK1309">
        <f t="shared" ref="DK1309:DK1315" si="1716">IF(DD1309=1,DK$7,0)</f>
        <v>0</v>
      </c>
      <c r="DL1309" t="str">
        <f t="shared" ref="DL1309:DL1315" si="1717">IF(DE1309=1,DL$7,0)</f>
        <v>Energy</v>
      </c>
      <c r="DM1309">
        <f t="shared" ref="DM1309:DM1315" si="1718">IF(DF1309=1,DM$7,0)</f>
        <v>0</v>
      </c>
      <c r="DN1309" t="str">
        <f t="shared" ref="DN1309:DN1315" si="1719">IF(DG1309=1,DN$7,0)</f>
        <v>Timber</v>
      </c>
      <c r="DO1309">
        <v>0</v>
      </c>
      <c r="DP1309">
        <v>1</v>
      </c>
      <c r="DQ1309" t="s">
        <v>1059</v>
      </c>
      <c r="DT1309">
        <f t="shared" si="1688"/>
        <v>1</v>
      </c>
      <c r="DU1309" s="143" t="str">
        <f t="shared" si="1687"/>
        <v>external DF used</v>
      </c>
      <c r="DV1309">
        <v>1</v>
      </c>
      <c r="DW1309">
        <v>1</v>
      </c>
      <c r="DX1309">
        <v>1</v>
      </c>
      <c r="DY1309">
        <v>0</v>
      </c>
      <c r="DZ1309">
        <v>0</v>
      </c>
      <c r="EA1309" s="143">
        <v>0</v>
      </c>
      <c r="EB1309">
        <v>1</v>
      </c>
      <c r="EC1309">
        <v>1</v>
      </c>
      <c r="ED1309">
        <v>0</v>
      </c>
      <c r="EE1309">
        <v>0</v>
      </c>
      <c r="EF1309">
        <v>1</v>
      </c>
      <c r="EG1309">
        <v>0</v>
      </c>
      <c r="EH1309">
        <v>0</v>
      </c>
      <c r="EI1309" s="2">
        <v>0</v>
      </c>
      <c r="EK1309" t="str">
        <f t="shared" si="1713"/>
        <v>Whole sector</v>
      </c>
      <c r="EL1309" t="str">
        <f t="shared" si="1714"/>
        <v/>
      </c>
      <c r="EM1309" s="2" t="str">
        <f t="shared" si="1662"/>
        <v/>
      </c>
      <c r="EP1309" t="str">
        <f>IF(ISNUMBER(BU1309),IF(ABS(BU1309-[4]QC_indicators!$B$2)&gt;3*[4]QC_indicators!$C$2,"C ratio",IF(ISNUMBER(BY1309),IF(ABS(BY1309-[4]QC_indicators!$B$1)&gt;3*[4]QC_indicators!$C$1,"DF","no"))),IF(ISNUMBER(BY1309),IF(ABS(BY1309-[4]QC_indicators!$B$1)&gt;3*[4]QC_indicators!$C$1,"DF","no")))</f>
        <v>no</v>
      </c>
      <c r="ER1309" s="264" t="s">
        <v>1060</v>
      </c>
      <c r="ET1309" s="264" t="s">
        <v>3406</v>
      </c>
    </row>
    <row r="1310" spans="1:150" ht="15" hidden="1" customHeight="1">
      <c r="A1310" s="1" t="s">
        <v>1044</v>
      </c>
      <c r="B1310" t="s">
        <v>1045</v>
      </c>
      <c r="C1310" t="s">
        <v>1046</v>
      </c>
      <c r="D1310" t="s">
        <v>1047</v>
      </c>
      <c r="E1310" t="s">
        <v>1048</v>
      </c>
      <c r="F1310" t="s">
        <v>1049</v>
      </c>
      <c r="G1310" t="s">
        <v>1050</v>
      </c>
      <c r="H1310" t="s">
        <v>254</v>
      </c>
      <c r="I1310">
        <v>2014</v>
      </c>
      <c r="J1310">
        <v>23</v>
      </c>
      <c r="K1310" t="s">
        <v>1051</v>
      </c>
      <c r="M1310" t="str">
        <f t="shared" si="1689"/>
        <v>Pyorala_2014</v>
      </c>
      <c r="N1310" t="s">
        <v>222</v>
      </c>
      <c r="O1310" s="171" t="s">
        <v>341</v>
      </c>
      <c r="P1310" t="s">
        <v>225</v>
      </c>
      <c r="Q1310" s="264" t="s">
        <v>389</v>
      </c>
      <c r="R1310" s="269" t="s">
        <v>1153</v>
      </c>
      <c r="S1310" s="1" t="s">
        <v>1052</v>
      </c>
      <c r="T1310" s="264" t="s">
        <v>1061</v>
      </c>
      <c r="U1310" s="264" t="s">
        <v>1054</v>
      </c>
      <c r="V1310">
        <v>0</v>
      </c>
      <c r="W1310">
        <v>0</v>
      </c>
      <c r="X1310">
        <v>0</v>
      </c>
      <c r="Y1310">
        <v>1</v>
      </c>
      <c r="Z1310">
        <v>0</v>
      </c>
      <c r="AA1310">
        <v>0</v>
      </c>
      <c r="AB1310">
        <v>0</v>
      </c>
      <c r="AC1310">
        <v>0</v>
      </c>
      <c r="AD1310">
        <v>0</v>
      </c>
      <c r="AE1310">
        <v>0</v>
      </c>
      <c r="AF1310">
        <v>0</v>
      </c>
      <c r="AG1310">
        <v>0</v>
      </c>
      <c r="AH1310">
        <v>0</v>
      </c>
      <c r="AI1310">
        <v>0</v>
      </c>
      <c r="AJ1310">
        <v>0</v>
      </c>
      <c r="AK1310">
        <v>0</v>
      </c>
      <c r="AL1310">
        <v>0</v>
      </c>
      <c r="AM1310">
        <v>0</v>
      </c>
      <c r="AN1310">
        <v>0</v>
      </c>
      <c r="AO1310">
        <v>0</v>
      </c>
      <c r="AP1310">
        <v>0</v>
      </c>
      <c r="AQ1310">
        <v>0</v>
      </c>
      <c r="AR1310">
        <v>0</v>
      </c>
      <c r="AS1310">
        <v>0</v>
      </c>
      <c r="AT1310">
        <v>0</v>
      </c>
      <c r="AU1310">
        <v>0</v>
      </c>
      <c r="AV1310">
        <v>0</v>
      </c>
      <c r="AW1310">
        <v>0</v>
      </c>
      <c r="AX1310" s="141">
        <f t="shared" si="1690"/>
        <v>1</v>
      </c>
      <c r="AY1310" s="141">
        <f t="shared" si="1691"/>
        <v>1</v>
      </c>
      <c r="AZ1310">
        <f t="shared" si="1692"/>
        <v>1</v>
      </c>
      <c r="BA1310">
        <f t="shared" si="1693"/>
        <v>0</v>
      </c>
      <c r="BB1310">
        <f t="shared" si="1694"/>
        <v>0</v>
      </c>
      <c r="BC1310">
        <f t="shared" si="1695"/>
        <v>0</v>
      </c>
      <c r="BD1310">
        <f t="shared" si="1696"/>
        <v>0</v>
      </c>
      <c r="BE1310" t="str" cm="1">
        <f t="array" ref="BE1310">IF(AY1310=1,INDEX($V$7:$AL$7,MATCH(TRUE,INDEX($V1310:$AW1310&lt;&gt;0,),0)),IF(AY1310=0,INDEX($AM$7:$AW$7,MATCH(1,$AM1310:$AW1310,0)),IF(BF1310="Multiple strategies","mixed drivers",IF(BF1310="Supply chain","multiple supply","multiple silviculture"))))</f>
        <v xml:space="preserve">cutting intensity </v>
      </c>
      <c r="BF1310" s="2" t="str" cm="1">
        <f t="array" ref="BF1310">IF(COUNTIF(AZ1310:BB1310,"&lt;&gt;0")=1,INDEX($V$4:$AW$4,MATCH(TRUE,INDEX($V1310:$AW1310&lt;&gt;0,),0)),IF(COUNTIF(AZ1310:BB1310,"&lt;&gt;0")=0,INDEX($AM$4:$AW$4,MATCH(1,$AM1310:$AW1310,0)),"Multiple strategies"))</f>
        <v>Silviculture for removals</v>
      </c>
      <c r="BG1310" s="1" t="s">
        <v>321</v>
      </c>
      <c r="BH1310" t="s">
        <v>1055</v>
      </c>
      <c r="BI1310" s="264" t="s">
        <v>1056</v>
      </c>
      <c r="BJ1310" s="264" t="s">
        <v>1057</v>
      </c>
      <c r="BK1310">
        <v>3.3</v>
      </c>
      <c r="BL1310">
        <v>3.5</v>
      </c>
      <c r="BM1310">
        <f>IFERROR(BL1310/BK1310,"")</f>
        <v>1.0606060606060606</v>
      </c>
      <c r="BN1310">
        <f t="shared" si="1705"/>
        <v>0.20000000000000018</v>
      </c>
      <c r="BO1310">
        <f t="shared" si="1706"/>
        <v>0.40816326530612285</v>
      </c>
      <c r="BP1310" t="s">
        <v>395</v>
      </c>
      <c r="BQ1310" t="s">
        <v>971</v>
      </c>
      <c r="BR1310" t="s">
        <v>1058</v>
      </c>
      <c r="BS1310" s="172">
        <v>-171</v>
      </c>
      <c r="BT1310" s="172">
        <v>-19.5</v>
      </c>
      <c r="BU1310" s="144"/>
      <c r="BV1310">
        <f t="shared" si="1707"/>
        <v>151.5</v>
      </c>
      <c r="BX1310">
        <f t="shared" si="1708"/>
        <v>1.5149999999999999</v>
      </c>
      <c r="BY1310">
        <f t="shared" si="1661"/>
        <v>3.7117499999999963</v>
      </c>
      <c r="BZ1310">
        <v>0</v>
      </c>
      <c r="CA1310">
        <v>0</v>
      </c>
      <c r="CB1310">
        <v>0</v>
      </c>
      <c r="CC1310">
        <v>0</v>
      </c>
      <c r="CD1310">
        <v>0</v>
      </c>
      <c r="CE1310">
        <v>0</v>
      </c>
      <c r="CF1310">
        <v>0</v>
      </c>
      <c r="CG1310">
        <v>0</v>
      </c>
      <c r="CH1310">
        <v>0</v>
      </c>
      <c r="CI1310">
        <v>0</v>
      </c>
      <c r="CJ1310">
        <v>0</v>
      </c>
      <c r="CK1310">
        <v>0</v>
      </c>
      <c r="CL1310">
        <v>0</v>
      </c>
      <c r="CM1310">
        <v>0</v>
      </c>
      <c r="CN1310" t="str">
        <f t="shared" si="1709"/>
        <v>refOK</v>
      </c>
      <c r="CO1310">
        <f t="shared" si="1710"/>
        <v>3.3</v>
      </c>
      <c r="CP1310">
        <f t="shared" si="1711"/>
        <v>3.5</v>
      </c>
      <c r="CQ1310">
        <f t="shared" si="1712"/>
        <v>0.40816326530612285</v>
      </c>
      <c r="CR1310">
        <f t="shared" si="1697"/>
        <v>171</v>
      </c>
      <c r="CS1310">
        <f t="shared" si="1698"/>
        <v>19.5</v>
      </c>
      <c r="CT1310">
        <f t="shared" si="1699"/>
        <v>-1.5149999999999999</v>
      </c>
      <c r="CU1310">
        <f t="shared" si="1700"/>
        <v>-3.7117499999999963</v>
      </c>
      <c r="CV1310" s="2">
        <f t="shared" si="1701"/>
        <v>-0.88596491228070173</v>
      </c>
      <c r="CW1310" s="1" t="s">
        <v>263</v>
      </c>
      <c r="CX1310" s="264" t="str">
        <f t="shared" si="1702"/>
        <v>loc</v>
      </c>
      <c r="CY1310" t="s">
        <v>235</v>
      </c>
      <c r="DB1310">
        <v>50</v>
      </c>
      <c r="DC1310" t="str">
        <f t="shared" si="1703"/>
        <v>31-70</v>
      </c>
      <c r="DD1310">
        <v>0</v>
      </c>
      <c r="DE1310">
        <v>1</v>
      </c>
      <c r="DF1310">
        <v>0</v>
      </c>
      <c r="DG1310">
        <v>1</v>
      </c>
      <c r="DI1310">
        <f t="shared" si="1715"/>
        <v>2</v>
      </c>
      <c r="DJ1310" t="str">
        <f t="shared" si="1704"/>
        <v>mixedProduct</v>
      </c>
      <c r="DK1310">
        <f t="shared" si="1716"/>
        <v>0</v>
      </c>
      <c r="DL1310" t="str">
        <f t="shared" si="1717"/>
        <v>Energy</v>
      </c>
      <c r="DM1310">
        <f t="shared" si="1718"/>
        <v>0</v>
      </c>
      <c r="DN1310" t="str">
        <f t="shared" si="1719"/>
        <v>Timber</v>
      </c>
      <c r="DO1310">
        <v>0</v>
      </c>
      <c r="DP1310">
        <v>1</v>
      </c>
      <c r="DQ1310" t="s">
        <v>1059</v>
      </c>
      <c r="DT1310">
        <f t="shared" si="1688"/>
        <v>1</v>
      </c>
      <c r="DU1310" s="143" t="str">
        <f t="shared" ref="DU1310:DU1315" si="1720">IF(DO1310=1,"self-calculated DF",IF(DP1310=1,"external DF used","explicit C balance"))</f>
        <v>external DF used</v>
      </c>
      <c r="DV1310">
        <v>1</v>
      </c>
      <c r="DW1310">
        <v>1</v>
      </c>
      <c r="DX1310">
        <v>1</v>
      </c>
      <c r="DY1310">
        <v>0</v>
      </c>
      <c r="DZ1310">
        <v>0</v>
      </c>
      <c r="EA1310" s="143">
        <v>0</v>
      </c>
      <c r="EB1310">
        <v>1</v>
      </c>
      <c r="EC1310">
        <v>1</v>
      </c>
      <c r="ED1310">
        <v>0</v>
      </c>
      <c r="EE1310">
        <v>0</v>
      </c>
      <c r="EF1310">
        <v>1</v>
      </c>
      <c r="EG1310">
        <v>0</v>
      </c>
      <c r="EH1310">
        <v>0</v>
      </c>
      <c r="EI1310" s="2">
        <v>0</v>
      </c>
      <c r="EK1310" t="str">
        <f t="shared" si="1713"/>
        <v>Whole sector</v>
      </c>
      <c r="EL1310" t="str">
        <f t="shared" si="1714"/>
        <v/>
      </c>
      <c r="EM1310" s="2" t="str">
        <f t="shared" si="1662"/>
        <v/>
      </c>
      <c r="EN1310" s="264" t="s">
        <v>1062</v>
      </c>
      <c r="EP1310" t="str">
        <f>IF(ISNUMBER(BU1310),IF(ABS(BU1310-[4]QC_indicators!$B$2)&gt;3*[4]QC_indicators!$C$2,"C ratio",IF(ISNUMBER(BY1310),IF(ABS(BY1310-[4]QC_indicators!$B$1)&gt;3*[4]QC_indicators!$C$1,"DF","no"))),IF(ISNUMBER(BY1310),IF(ABS(BY1310-[4]QC_indicators!$B$1)&gt;3*[4]QC_indicators!$C$1,"DF","no")))</f>
        <v>no</v>
      </c>
      <c r="ER1310" s="264" t="s">
        <v>1060</v>
      </c>
      <c r="ET1310" s="264" t="s">
        <v>3406</v>
      </c>
    </row>
    <row r="1311" spans="1:150" ht="15" hidden="1" customHeight="1">
      <c r="A1311" s="1" t="s">
        <v>1044</v>
      </c>
      <c r="B1311" t="s">
        <v>1045</v>
      </c>
      <c r="C1311" t="s">
        <v>1046</v>
      </c>
      <c r="D1311" t="s">
        <v>1047</v>
      </c>
      <c r="E1311" t="s">
        <v>1048</v>
      </c>
      <c r="F1311" t="s">
        <v>1049</v>
      </c>
      <c r="G1311" t="s">
        <v>1050</v>
      </c>
      <c r="H1311" t="s">
        <v>254</v>
      </c>
      <c r="I1311">
        <v>2014</v>
      </c>
      <c r="J1311">
        <v>23</v>
      </c>
      <c r="K1311" t="s">
        <v>1051</v>
      </c>
      <c r="M1311" t="str">
        <f t="shared" si="1689"/>
        <v>Pyorala_2014</v>
      </c>
      <c r="N1311" t="s">
        <v>222</v>
      </c>
      <c r="O1311" s="171" t="s">
        <v>341</v>
      </c>
      <c r="P1311" t="s">
        <v>225</v>
      </c>
      <c r="Q1311" s="264" t="s">
        <v>389</v>
      </c>
      <c r="R1311" s="269" t="s">
        <v>1153</v>
      </c>
      <c r="S1311" s="1" t="s">
        <v>1052</v>
      </c>
      <c r="T1311" s="264" t="s">
        <v>1053</v>
      </c>
      <c r="U1311" s="264" t="s">
        <v>1054</v>
      </c>
      <c r="V1311">
        <v>0</v>
      </c>
      <c r="W1311">
        <v>0</v>
      </c>
      <c r="X1311">
        <v>0</v>
      </c>
      <c r="Y1311">
        <v>1</v>
      </c>
      <c r="Z1311">
        <v>0</v>
      </c>
      <c r="AA1311">
        <v>0</v>
      </c>
      <c r="AB1311">
        <v>0</v>
      </c>
      <c r="AC1311">
        <v>0</v>
      </c>
      <c r="AD1311">
        <v>0</v>
      </c>
      <c r="AE1311">
        <v>0</v>
      </c>
      <c r="AF1311">
        <v>0</v>
      </c>
      <c r="AG1311">
        <v>0</v>
      </c>
      <c r="AH1311">
        <v>0</v>
      </c>
      <c r="AI1311">
        <v>0</v>
      </c>
      <c r="AJ1311">
        <v>0</v>
      </c>
      <c r="AK1311">
        <v>0</v>
      </c>
      <c r="AL1311">
        <v>0</v>
      </c>
      <c r="AM1311">
        <v>0</v>
      </c>
      <c r="AN1311">
        <v>0</v>
      </c>
      <c r="AO1311">
        <v>0</v>
      </c>
      <c r="AP1311">
        <v>0</v>
      </c>
      <c r="AQ1311">
        <v>0</v>
      </c>
      <c r="AR1311">
        <v>0</v>
      </c>
      <c r="AS1311">
        <v>0</v>
      </c>
      <c r="AT1311">
        <v>0</v>
      </c>
      <c r="AU1311">
        <v>0</v>
      </c>
      <c r="AV1311">
        <v>0</v>
      </c>
      <c r="AW1311">
        <v>0</v>
      </c>
      <c r="AX1311" s="141">
        <f t="shared" si="1690"/>
        <v>1</v>
      </c>
      <c r="AY1311" s="141">
        <f t="shared" si="1691"/>
        <v>1</v>
      </c>
      <c r="AZ1311">
        <f t="shared" si="1692"/>
        <v>1</v>
      </c>
      <c r="BA1311">
        <f t="shared" si="1693"/>
        <v>0</v>
      </c>
      <c r="BB1311">
        <f t="shared" si="1694"/>
        <v>0</v>
      </c>
      <c r="BC1311">
        <f t="shared" si="1695"/>
        <v>0</v>
      </c>
      <c r="BD1311">
        <f t="shared" si="1696"/>
        <v>0</v>
      </c>
      <c r="BE1311" t="str" cm="1">
        <f t="array" ref="BE1311">IF(AY1311=1,INDEX($V$7:$AL$7,MATCH(TRUE,INDEX($V1311:$AW1311&lt;&gt;0,),0)),IF(AY1311=0,INDEX($AM$7:$AW$7,MATCH(1,$AM1311:$AW1311,0)),IF(BF1311="Multiple strategies","mixed drivers",IF(BF1311="Supply chain","multiple supply","multiple silviculture"))))</f>
        <v xml:space="preserve">cutting intensity </v>
      </c>
      <c r="BF1311" s="2" t="str" cm="1">
        <f t="array" ref="BF1311">IF(COUNTIF(AZ1311:BB1311,"&lt;&gt;0")=1,INDEX($V$4:$AW$4,MATCH(TRUE,INDEX($V1311:$AW1311&lt;&gt;0,),0)),IF(COUNTIF(AZ1311:BB1311,"&lt;&gt;0")=0,INDEX($AM$4:$AW$4,MATCH(1,$AM1311:$AW1311,0)),"Multiple strategies"))</f>
        <v>Silviculture for removals</v>
      </c>
      <c r="BG1311" s="1" t="s">
        <v>321</v>
      </c>
      <c r="BH1311" t="s">
        <v>1055</v>
      </c>
      <c r="BI1311" s="264" t="s">
        <v>1056</v>
      </c>
      <c r="BJ1311" s="264" t="s">
        <v>1057</v>
      </c>
      <c r="BK1311">
        <v>3.45</v>
      </c>
      <c r="BL1311">
        <v>3.5</v>
      </c>
      <c r="BM1311">
        <f>IFERROR(BL1311/BK1311,"")</f>
        <v>1.0144927536231882</v>
      </c>
      <c r="BN1311">
        <f t="shared" si="1705"/>
        <v>4.9999999999999822E-2</v>
      </c>
      <c r="BO1311">
        <f t="shared" si="1706"/>
        <v>0.10204081632653025</v>
      </c>
      <c r="BP1311" t="s">
        <v>395</v>
      </c>
      <c r="BQ1311" t="s">
        <v>971</v>
      </c>
      <c r="BR1311" t="s">
        <v>1058</v>
      </c>
      <c r="BS1311" s="172">
        <v>-129</v>
      </c>
      <c r="BT1311" s="172">
        <v>-19.5</v>
      </c>
      <c r="BU1311" s="144"/>
      <c r="BV1311">
        <f t="shared" si="1707"/>
        <v>109.5</v>
      </c>
      <c r="BX1311">
        <f t="shared" si="1708"/>
        <v>1.095</v>
      </c>
      <c r="BY1311">
        <f t="shared" si="1661"/>
        <v>10.731000000000037</v>
      </c>
      <c r="BZ1311">
        <v>0</v>
      </c>
      <c r="CA1311">
        <v>0</v>
      </c>
      <c r="CB1311">
        <v>0</v>
      </c>
      <c r="CC1311">
        <v>0</v>
      </c>
      <c r="CD1311">
        <v>0</v>
      </c>
      <c r="CE1311">
        <v>0</v>
      </c>
      <c r="CF1311">
        <v>0</v>
      </c>
      <c r="CG1311">
        <v>0</v>
      </c>
      <c r="CH1311">
        <v>0</v>
      </c>
      <c r="CI1311">
        <v>0</v>
      </c>
      <c r="CJ1311">
        <v>0</v>
      </c>
      <c r="CK1311">
        <v>0</v>
      </c>
      <c r="CL1311">
        <v>0</v>
      </c>
      <c r="CM1311">
        <v>0</v>
      </c>
      <c r="CN1311" t="str">
        <f t="shared" si="1709"/>
        <v>refOK</v>
      </c>
      <c r="CO1311">
        <f t="shared" si="1710"/>
        <v>3.45</v>
      </c>
      <c r="CP1311">
        <f t="shared" si="1711"/>
        <v>3.5</v>
      </c>
      <c r="CQ1311">
        <f t="shared" si="1712"/>
        <v>0.10204081632653025</v>
      </c>
      <c r="CR1311">
        <f t="shared" si="1697"/>
        <v>129</v>
      </c>
      <c r="CS1311">
        <f t="shared" si="1698"/>
        <v>19.5</v>
      </c>
      <c r="CT1311">
        <f t="shared" si="1699"/>
        <v>-1.095</v>
      </c>
      <c r="CU1311">
        <f t="shared" si="1700"/>
        <v>-10.731000000000037</v>
      </c>
      <c r="CV1311" s="2">
        <f t="shared" si="1701"/>
        <v>-0.84883720930232553</v>
      </c>
      <c r="CW1311" s="1" t="s">
        <v>263</v>
      </c>
      <c r="CX1311" s="264" t="str">
        <f t="shared" si="1702"/>
        <v>loc</v>
      </c>
      <c r="CY1311" t="s">
        <v>235</v>
      </c>
      <c r="DB1311">
        <v>50</v>
      </c>
      <c r="DC1311" t="str">
        <f t="shared" si="1703"/>
        <v>31-70</v>
      </c>
      <c r="DD1311">
        <v>0</v>
      </c>
      <c r="DE1311">
        <v>1</v>
      </c>
      <c r="DF1311">
        <v>0</v>
      </c>
      <c r="DG1311">
        <v>1</v>
      </c>
      <c r="DI1311">
        <f t="shared" si="1715"/>
        <v>2</v>
      </c>
      <c r="DJ1311" t="str">
        <f t="shared" si="1704"/>
        <v>mixedProduct</v>
      </c>
      <c r="DK1311">
        <f t="shared" si="1716"/>
        <v>0</v>
      </c>
      <c r="DL1311" t="str">
        <f t="shared" si="1717"/>
        <v>Energy</v>
      </c>
      <c r="DM1311">
        <f t="shared" si="1718"/>
        <v>0</v>
      </c>
      <c r="DN1311" t="str">
        <f t="shared" si="1719"/>
        <v>Timber</v>
      </c>
      <c r="DO1311">
        <v>0</v>
      </c>
      <c r="DP1311">
        <v>1</v>
      </c>
      <c r="DQ1311" t="s">
        <v>1059</v>
      </c>
      <c r="DT1311">
        <f t="shared" si="1688"/>
        <v>1</v>
      </c>
      <c r="DU1311" s="143" t="str">
        <f t="shared" si="1720"/>
        <v>external DF used</v>
      </c>
      <c r="DV1311">
        <v>1</v>
      </c>
      <c r="DW1311">
        <v>1</v>
      </c>
      <c r="DX1311">
        <v>1</v>
      </c>
      <c r="DY1311">
        <v>0</v>
      </c>
      <c r="DZ1311">
        <v>0</v>
      </c>
      <c r="EA1311" s="143">
        <v>0</v>
      </c>
      <c r="EB1311">
        <v>1</v>
      </c>
      <c r="EC1311">
        <v>1</v>
      </c>
      <c r="ED1311">
        <v>0</v>
      </c>
      <c r="EE1311">
        <v>0</v>
      </c>
      <c r="EF1311">
        <v>1</v>
      </c>
      <c r="EG1311">
        <v>0</v>
      </c>
      <c r="EH1311">
        <v>0</v>
      </c>
      <c r="EI1311" s="2">
        <v>0</v>
      </c>
      <c r="EK1311" t="str">
        <f t="shared" si="1713"/>
        <v>Whole sector</v>
      </c>
      <c r="EL1311" t="str">
        <f t="shared" si="1714"/>
        <v/>
      </c>
      <c r="EM1311" s="2" t="str">
        <f t="shared" si="1662"/>
        <v/>
      </c>
      <c r="EP1311" t="str">
        <f>IF(ISNUMBER(BU1311),IF(ABS(BU1311-[4]QC_indicators!$B$2)&gt;3*[4]QC_indicators!$C$2,"C ratio",IF(ISNUMBER(BY1311),IF(ABS(BY1311-[4]QC_indicators!$B$1)&gt;3*[4]QC_indicators!$C$1,"DF","no"))),IF(ISNUMBER(BY1311),IF(ABS(BY1311-[4]QC_indicators!$B$1)&gt;3*[4]QC_indicators!$C$1,"DF","no")))</f>
        <v>DF</v>
      </c>
      <c r="ER1311" s="264" t="s">
        <v>1060</v>
      </c>
      <c r="ET1311" s="264" t="s">
        <v>3406</v>
      </c>
    </row>
    <row r="1312" spans="1:150" ht="15" hidden="1" customHeight="1">
      <c r="A1312" s="1" t="s">
        <v>1137</v>
      </c>
      <c r="B1312" t="s">
        <v>2205</v>
      </c>
      <c r="C1312" t="s">
        <v>2206</v>
      </c>
      <c r="D1312" t="s">
        <v>2207</v>
      </c>
      <c r="E1312" t="s">
        <v>2208</v>
      </c>
      <c r="F1312" t="s">
        <v>2209</v>
      </c>
      <c r="G1312" t="s">
        <v>1138</v>
      </c>
      <c r="H1312" t="s">
        <v>254</v>
      </c>
      <c r="I1312">
        <v>2017</v>
      </c>
      <c r="J1312">
        <v>12</v>
      </c>
      <c r="K1312" t="s">
        <v>2210</v>
      </c>
      <c r="M1312" t="str">
        <f t="shared" si="1689"/>
        <v>Qin_2017</v>
      </c>
      <c r="N1312" t="s">
        <v>222</v>
      </c>
      <c r="O1312" s="145" t="s">
        <v>341</v>
      </c>
      <c r="Q1312" t="s">
        <v>256</v>
      </c>
      <c r="R1312" s="262" t="s">
        <v>223</v>
      </c>
      <c r="S1312" s="1" t="s">
        <v>2214</v>
      </c>
      <c r="T1312" s="264" t="s">
        <v>3231</v>
      </c>
      <c r="U1312" t="s">
        <v>2212</v>
      </c>
      <c r="V1312">
        <v>0</v>
      </c>
      <c r="W1312">
        <v>0</v>
      </c>
      <c r="X1312">
        <v>0</v>
      </c>
      <c r="Y1312">
        <v>1</v>
      </c>
      <c r="Z1312">
        <v>0</v>
      </c>
      <c r="AA1312">
        <v>0</v>
      </c>
      <c r="AB1312">
        <v>0</v>
      </c>
      <c r="AC1312">
        <v>0</v>
      </c>
      <c r="AD1312">
        <v>0</v>
      </c>
      <c r="AE1312">
        <v>0</v>
      </c>
      <c r="AF1312">
        <v>0</v>
      </c>
      <c r="AG1312">
        <v>0</v>
      </c>
      <c r="AH1312">
        <v>0</v>
      </c>
      <c r="AI1312">
        <v>0</v>
      </c>
      <c r="AJ1312">
        <v>0</v>
      </c>
      <c r="AK1312">
        <v>0</v>
      </c>
      <c r="AL1312">
        <v>0</v>
      </c>
      <c r="AM1312">
        <v>0</v>
      </c>
      <c r="AN1312">
        <v>0</v>
      </c>
      <c r="AO1312">
        <v>0</v>
      </c>
      <c r="AP1312">
        <v>0</v>
      </c>
      <c r="AQ1312">
        <v>0</v>
      </c>
      <c r="AR1312">
        <v>0</v>
      </c>
      <c r="AS1312">
        <v>0</v>
      </c>
      <c r="AT1312">
        <v>0</v>
      </c>
      <c r="AU1312">
        <v>0</v>
      </c>
      <c r="AV1312">
        <v>1</v>
      </c>
      <c r="AW1312">
        <v>0</v>
      </c>
      <c r="AX1312" s="141">
        <f t="shared" si="1690"/>
        <v>2</v>
      </c>
      <c r="AY1312" s="141">
        <f t="shared" si="1691"/>
        <v>1</v>
      </c>
      <c r="AZ1312">
        <f t="shared" si="1692"/>
        <v>1</v>
      </c>
      <c r="BA1312">
        <f t="shared" si="1693"/>
        <v>0</v>
      </c>
      <c r="BB1312">
        <f t="shared" si="1694"/>
        <v>0</v>
      </c>
      <c r="BC1312">
        <f t="shared" si="1695"/>
        <v>1</v>
      </c>
      <c r="BD1312">
        <f t="shared" si="1696"/>
        <v>0</v>
      </c>
      <c r="BE1312" t="str">
        <f t="array" ref="BE1312">IF(AY1312=1,INDEX($V$7:$AL$7,MATCH(TRUE,INDEX($V1312:$AW1312&lt;&gt;0,),0)),IF(AY1312=0,INDEX($AM$7:$AW$7,MATCH(1,$AM1312:$AW1312,0)),IF(BF1312="Multiple strategies","mixed drivers",IF(BF1312="Supply chain","multiple supply","multiple silviculture"))))</f>
        <v xml:space="preserve">cutting intensity </v>
      </c>
      <c r="BF1312" s="2" t="str" cm="1">
        <f t="array" ref="BF1312">IF(COUNTIF(AZ1312:BB1312,"&lt;&gt;0")=1,INDEX($V$4:$AW$4,MATCH(TRUE,INDEX($V1312:$AW1312&lt;&gt;0,),0)),IF(COUNTIF(AZ1312:BB1312,"&lt;&gt;0")=0,INDEX($AM$4:$AW$4,MATCH(1,$AM1312:$AW1312,0)),"Multiple strategies"))</f>
        <v>Silviculture for removals</v>
      </c>
      <c r="BG1312" s="1" t="s">
        <v>321</v>
      </c>
      <c r="BH1312" s="264" t="s">
        <v>3224</v>
      </c>
      <c r="BI1312" s="264" t="s">
        <v>3225</v>
      </c>
      <c r="BJ1312" s="264" t="s">
        <v>1322</v>
      </c>
      <c r="BK1312">
        <v>1.95</v>
      </c>
      <c r="BL1312">
        <v>3.7</v>
      </c>
      <c r="BN1312">
        <f t="shared" si="1705"/>
        <v>1.7500000000000002</v>
      </c>
      <c r="BO1312" s="143">
        <f>BN1312*10^6</f>
        <v>1750000.0000000002</v>
      </c>
      <c r="BP1312" t="s">
        <v>232</v>
      </c>
      <c r="BQ1312" s="153" t="s">
        <v>3226</v>
      </c>
      <c r="BR1312" s="264" t="s">
        <v>3227</v>
      </c>
      <c r="BS1312">
        <v>1.18</v>
      </c>
      <c r="BT1312">
        <v>-0.57999999999999996</v>
      </c>
      <c r="BU1312" s="144">
        <f>IFERROR(BT1312/BS1312,"")</f>
        <v>-0.49152542372881353</v>
      </c>
      <c r="BV1312">
        <f t="shared" si="1707"/>
        <v>-1.7599999999999998</v>
      </c>
      <c r="BX1312">
        <f>BV1312*C_to_CO2</f>
        <v>-6.4591999999999992</v>
      </c>
      <c r="BY1312">
        <f t="shared" si="1661"/>
        <v>-3.6909714285714275E-6</v>
      </c>
      <c r="BZ1312">
        <v>0</v>
      </c>
      <c r="CA1312">
        <v>0</v>
      </c>
      <c r="CB1312">
        <v>0</v>
      </c>
      <c r="CC1312">
        <v>0</v>
      </c>
      <c r="CD1312">
        <v>0</v>
      </c>
      <c r="CE1312">
        <v>0</v>
      </c>
      <c r="CF1312">
        <v>0</v>
      </c>
      <c r="CG1312">
        <v>0</v>
      </c>
      <c r="CH1312">
        <v>0</v>
      </c>
      <c r="CI1312">
        <v>0</v>
      </c>
      <c r="CJ1312">
        <v>0</v>
      </c>
      <c r="CK1312">
        <v>0</v>
      </c>
      <c r="CL1312">
        <v>0</v>
      </c>
      <c r="CM1312">
        <v>0</v>
      </c>
      <c r="CN1312" t="str">
        <f t="shared" si="1709"/>
        <v>refOK</v>
      </c>
      <c r="CO1312">
        <f t="shared" si="1710"/>
        <v>1.95</v>
      </c>
      <c r="CP1312">
        <f t="shared" si="1711"/>
        <v>3.7</v>
      </c>
      <c r="CQ1312">
        <f t="shared" si="1712"/>
        <v>1750000.0000000002</v>
      </c>
      <c r="CR1312">
        <f t="shared" si="1697"/>
        <v>1.18</v>
      </c>
      <c r="CS1312">
        <f t="shared" si="1698"/>
        <v>-0.57999999999999996</v>
      </c>
      <c r="CT1312">
        <f t="shared" si="1699"/>
        <v>-6.4591999999999992</v>
      </c>
      <c r="CU1312">
        <f t="shared" si="1700"/>
        <v>-3.6909714285714275E-6</v>
      </c>
      <c r="CV1312" s="2">
        <f t="shared" si="1701"/>
        <v>-1.4915254237288134</v>
      </c>
      <c r="CW1312" s="1" t="s">
        <v>1198</v>
      </c>
      <c r="CX1312" t="str">
        <f t="shared" si="1702"/>
        <v>reg</v>
      </c>
      <c r="CY1312" t="s">
        <v>690</v>
      </c>
      <c r="DB1312">
        <v>30</v>
      </c>
      <c r="DC1312" t="str">
        <f t="shared" si="1703"/>
        <v>1-30</v>
      </c>
      <c r="DD1312">
        <v>1</v>
      </c>
      <c r="DE1312">
        <v>0</v>
      </c>
      <c r="DF1312">
        <v>0</v>
      </c>
      <c r="DG1312">
        <v>0</v>
      </c>
      <c r="DI1312">
        <f t="shared" si="1715"/>
        <v>1</v>
      </c>
      <c r="DJ1312" t="str">
        <f t="shared" si="1704"/>
        <v>UpstreamInput</v>
      </c>
      <c r="DK1312" t="str">
        <f t="shared" si="1716"/>
        <v>Upstream</v>
      </c>
      <c r="DL1312">
        <f t="shared" si="1717"/>
        <v>0</v>
      </c>
      <c r="DM1312">
        <f t="shared" si="1718"/>
        <v>0</v>
      </c>
      <c r="DN1312">
        <f t="shared" si="1719"/>
        <v>0</v>
      </c>
      <c r="DO1312">
        <v>1</v>
      </c>
      <c r="DP1312">
        <v>0</v>
      </c>
      <c r="DQ1312">
        <v>0</v>
      </c>
      <c r="DR1312">
        <v>0</v>
      </c>
      <c r="DS1312">
        <v>0</v>
      </c>
      <c r="DT1312">
        <f t="shared" si="1688"/>
        <v>1</v>
      </c>
      <c r="DU1312" s="143" t="str">
        <f t="shared" si="1720"/>
        <v>self-calculated DF</v>
      </c>
      <c r="DV1312">
        <v>0</v>
      </c>
      <c r="DW1312">
        <v>0</v>
      </c>
      <c r="DX1312">
        <v>1</v>
      </c>
      <c r="DY1312">
        <v>0</v>
      </c>
      <c r="DZ1312">
        <v>0</v>
      </c>
      <c r="EA1312" s="143">
        <v>0</v>
      </c>
      <c r="EB1312">
        <v>0</v>
      </c>
      <c r="EC1312">
        <v>0</v>
      </c>
      <c r="ED1312">
        <v>0</v>
      </c>
      <c r="EE1312">
        <v>0</v>
      </c>
      <c r="EF1312">
        <v>1</v>
      </c>
      <c r="EG1312">
        <v>0</v>
      </c>
      <c r="EH1312">
        <v>0</v>
      </c>
      <c r="EI1312" s="2">
        <v>0</v>
      </c>
      <c r="EK1312" t="str">
        <f t="shared" si="1713"/>
        <v/>
      </c>
      <c r="EL1312" t="str">
        <f t="shared" si="1714"/>
        <v/>
      </c>
      <c r="EM1312" s="2" t="str">
        <f t="shared" si="1662"/>
        <v/>
      </c>
      <c r="EP1312" t="str">
        <f>IF(ISNUMBER(BU1312),IF(ABS(BU1312-[3]QC_indicators!$B$2)&gt;3*[3]QC_indicators!$C$2,"C ratio",IF(ISNUMBER(BY1312),IF(ABS(BY1312-[3]QC_indicators!$B$1)&gt;3*[3]QC_indicators!$C$1,"DF","no"))),IF(ISNUMBER(BY1312),IF(ABS(BY1312-[3]QC_indicators!$B$1)&gt;3*[3]QC_indicators!$C$1,"DF","no")))</f>
        <v>no</v>
      </c>
      <c r="ET1312" s="264" t="s">
        <v>3228</v>
      </c>
    </row>
    <row r="1313" spans="1:150" ht="15" hidden="1" customHeight="1">
      <c r="A1313" s="1" t="s">
        <v>1137</v>
      </c>
      <c r="B1313" t="s">
        <v>2205</v>
      </c>
      <c r="C1313" t="s">
        <v>2206</v>
      </c>
      <c r="D1313" t="s">
        <v>2207</v>
      </c>
      <c r="E1313" t="s">
        <v>2208</v>
      </c>
      <c r="F1313" t="s">
        <v>2209</v>
      </c>
      <c r="G1313" t="s">
        <v>1138</v>
      </c>
      <c r="H1313" t="s">
        <v>254</v>
      </c>
      <c r="I1313">
        <v>2017</v>
      </c>
      <c r="J1313">
        <v>12</v>
      </c>
      <c r="K1313" t="s">
        <v>2210</v>
      </c>
      <c r="M1313" t="str">
        <f t="shared" si="1689"/>
        <v>Qin_2017</v>
      </c>
      <c r="N1313" t="s">
        <v>222</v>
      </c>
      <c r="O1313" s="145" t="s">
        <v>341</v>
      </c>
      <c r="Q1313" t="s">
        <v>256</v>
      </c>
      <c r="R1313" s="262" t="s">
        <v>223</v>
      </c>
      <c r="S1313" s="1" t="s">
        <v>2213</v>
      </c>
      <c r="T1313" s="264" t="s">
        <v>3229</v>
      </c>
      <c r="U1313" t="s">
        <v>2212</v>
      </c>
      <c r="V1313">
        <v>0</v>
      </c>
      <c r="W1313">
        <v>0</v>
      </c>
      <c r="X1313">
        <v>0</v>
      </c>
      <c r="Y1313">
        <v>1</v>
      </c>
      <c r="Z1313">
        <v>0</v>
      </c>
      <c r="AA1313">
        <v>0</v>
      </c>
      <c r="AB1313">
        <v>0</v>
      </c>
      <c r="AC1313">
        <v>0</v>
      </c>
      <c r="AD1313">
        <v>0</v>
      </c>
      <c r="AE1313">
        <v>0</v>
      </c>
      <c r="AF1313">
        <v>0</v>
      </c>
      <c r="AG1313">
        <v>0</v>
      </c>
      <c r="AH1313">
        <v>0</v>
      </c>
      <c r="AI1313">
        <v>0</v>
      </c>
      <c r="AJ1313">
        <v>0</v>
      </c>
      <c r="AK1313">
        <v>0</v>
      </c>
      <c r="AL1313">
        <v>0</v>
      </c>
      <c r="AM1313">
        <v>0</v>
      </c>
      <c r="AN1313">
        <v>0</v>
      </c>
      <c r="AO1313">
        <v>0</v>
      </c>
      <c r="AP1313">
        <v>0</v>
      </c>
      <c r="AQ1313">
        <v>0</v>
      </c>
      <c r="AR1313">
        <v>0</v>
      </c>
      <c r="AS1313">
        <v>0</v>
      </c>
      <c r="AT1313">
        <v>0</v>
      </c>
      <c r="AU1313">
        <v>0</v>
      </c>
      <c r="AV1313">
        <v>1</v>
      </c>
      <c r="AW1313">
        <v>0</v>
      </c>
      <c r="AX1313" s="141">
        <f t="shared" si="1690"/>
        <v>2</v>
      </c>
      <c r="AY1313" s="141">
        <f t="shared" si="1691"/>
        <v>1</v>
      </c>
      <c r="AZ1313">
        <f t="shared" si="1692"/>
        <v>1</v>
      </c>
      <c r="BA1313">
        <f t="shared" si="1693"/>
        <v>0</v>
      </c>
      <c r="BB1313">
        <f t="shared" si="1694"/>
        <v>0</v>
      </c>
      <c r="BC1313">
        <f t="shared" si="1695"/>
        <v>1</v>
      </c>
      <c r="BD1313">
        <f t="shared" si="1696"/>
        <v>0</v>
      </c>
      <c r="BE1313" t="str">
        <f t="array" ref="BE1313">IF(AY1313=1,INDEX($V$7:$AL$7,MATCH(TRUE,INDEX($V1313:$AW1313&lt;&gt;0,),0)),IF(AY1313=0,INDEX($AM$7:$AW$7,MATCH(1,$AM1313:$AW1313,0)),IF(BF1313="Multiple strategies","mixed drivers",IF(BF1313="Supply chain","multiple supply","multiple silviculture"))))</f>
        <v xml:space="preserve">cutting intensity </v>
      </c>
      <c r="BF1313" s="2" t="str" cm="1">
        <f t="array" ref="BF1313">IF(COUNTIF(AZ1313:BB1313,"&lt;&gt;0")=1,INDEX($V$4:$AW$4,MATCH(TRUE,INDEX($V1313:$AW1313&lt;&gt;0,),0)),IF(COUNTIF(AZ1313:BB1313,"&lt;&gt;0")=0,INDEX($AM$4:$AW$4,MATCH(1,$AM1313:$AW1313,0)),"Multiple strategies"))</f>
        <v>Silviculture for removals</v>
      </c>
      <c r="BG1313" s="1" t="s">
        <v>321</v>
      </c>
      <c r="BH1313" s="264" t="s">
        <v>3224</v>
      </c>
      <c r="BI1313" s="264" t="s">
        <v>3225</v>
      </c>
      <c r="BJ1313" s="264" t="s">
        <v>1322</v>
      </c>
      <c r="BK1313">
        <v>0.65</v>
      </c>
      <c r="BL1313">
        <v>3.7</v>
      </c>
      <c r="BN1313">
        <f t="shared" si="1705"/>
        <v>3.0500000000000003</v>
      </c>
      <c r="BO1313" s="143">
        <f>BN1313*10^6</f>
        <v>3050000.0000000005</v>
      </c>
      <c r="BP1313" t="s">
        <v>232</v>
      </c>
      <c r="BQ1313" s="153" t="s">
        <v>3226</v>
      </c>
      <c r="BR1313" s="264" t="s">
        <v>3230</v>
      </c>
      <c r="BS1313">
        <v>1.76</v>
      </c>
      <c r="BT1313">
        <v>-0.57999999999999996</v>
      </c>
      <c r="BU1313" s="144">
        <f>IFERROR(BT1313/BS1313,"")</f>
        <v>-0.32954545454545453</v>
      </c>
      <c r="BV1313">
        <f t="shared" si="1707"/>
        <v>-2.34</v>
      </c>
      <c r="BX1313">
        <f>BV1313*C_to_CO2</f>
        <v>-8.5877999999999997</v>
      </c>
      <c r="BY1313">
        <f t="shared" si="1661"/>
        <v>-2.8156721311475402E-6</v>
      </c>
      <c r="BZ1313">
        <v>0</v>
      </c>
      <c r="CA1313">
        <v>0</v>
      </c>
      <c r="CB1313">
        <v>0</v>
      </c>
      <c r="CC1313">
        <v>0</v>
      </c>
      <c r="CD1313">
        <v>0</v>
      </c>
      <c r="CE1313">
        <v>0</v>
      </c>
      <c r="CF1313">
        <v>0</v>
      </c>
      <c r="CG1313">
        <v>0</v>
      </c>
      <c r="CH1313">
        <v>0</v>
      </c>
      <c r="CI1313">
        <v>0</v>
      </c>
      <c r="CJ1313">
        <v>0</v>
      </c>
      <c r="CK1313">
        <v>0</v>
      </c>
      <c r="CL1313">
        <v>0</v>
      </c>
      <c r="CM1313">
        <v>0</v>
      </c>
      <c r="CN1313" t="str">
        <f t="shared" si="1709"/>
        <v>refOK</v>
      </c>
      <c r="CO1313">
        <f t="shared" si="1710"/>
        <v>0.65</v>
      </c>
      <c r="CP1313">
        <f t="shared" si="1711"/>
        <v>3.7</v>
      </c>
      <c r="CQ1313">
        <f t="shared" si="1712"/>
        <v>3050000.0000000005</v>
      </c>
      <c r="CR1313">
        <f t="shared" si="1697"/>
        <v>1.76</v>
      </c>
      <c r="CS1313">
        <f t="shared" si="1698"/>
        <v>-0.57999999999999996</v>
      </c>
      <c r="CT1313">
        <f t="shared" si="1699"/>
        <v>-8.5877999999999997</v>
      </c>
      <c r="CU1313">
        <f t="shared" si="1700"/>
        <v>-2.8156721311475402E-6</v>
      </c>
      <c r="CV1313" s="2">
        <f t="shared" si="1701"/>
        <v>-1.3295454545454544</v>
      </c>
      <c r="CW1313" s="1" t="s">
        <v>1198</v>
      </c>
      <c r="CX1313" t="str">
        <f t="shared" si="1702"/>
        <v>reg</v>
      </c>
      <c r="CY1313" t="s">
        <v>690</v>
      </c>
      <c r="DB1313">
        <v>30</v>
      </c>
      <c r="DC1313" t="str">
        <f t="shared" si="1703"/>
        <v>1-30</v>
      </c>
      <c r="DD1313">
        <v>1</v>
      </c>
      <c r="DE1313">
        <v>0</v>
      </c>
      <c r="DF1313">
        <v>0</v>
      </c>
      <c r="DG1313">
        <v>0</v>
      </c>
      <c r="DI1313">
        <f t="shared" si="1715"/>
        <v>1</v>
      </c>
      <c r="DJ1313" t="str">
        <f t="shared" si="1704"/>
        <v>UpstreamInput</v>
      </c>
      <c r="DK1313" t="str">
        <f t="shared" si="1716"/>
        <v>Upstream</v>
      </c>
      <c r="DL1313">
        <f t="shared" si="1717"/>
        <v>0</v>
      </c>
      <c r="DM1313">
        <f t="shared" si="1718"/>
        <v>0</v>
      </c>
      <c r="DN1313">
        <f t="shared" si="1719"/>
        <v>0</v>
      </c>
      <c r="DO1313">
        <v>1</v>
      </c>
      <c r="DP1313">
        <v>0</v>
      </c>
      <c r="DQ1313">
        <v>0</v>
      </c>
      <c r="DR1313">
        <v>0</v>
      </c>
      <c r="DS1313">
        <v>0</v>
      </c>
      <c r="DT1313">
        <f t="shared" si="1688"/>
        <v>1</v>
      </c>
      <c r="DU1313" s="143" t="str">
        <f t="shared" si="1720"/>
        <v>self-calculated DF</v>
      </c>
      <c r="DV1313">
        <v>0</v>
      </c>
      <c r="DW1313">
        <v>0</v>
      </c>
      <c r="DX1313">
        <v>1</v>
      </c>
      <c r="DY1313">
        <v>0</v>
      </c>
      <c r="DZ1313">
        <v>0</v>
      </c>
      <c r="EA1313" s="143">
        <v>0</v>
      </c>
      <c r="EB1313">
        <v>0</v>
      </c>
      <c r="EC1313">
        <v>0</v>
      </c>
      <c r="ED1313">
        <v>0</v>
      </c>
      <c r="EE1313">
        <v>0</v>
      </c>
      <c r="EF1313">
        <v>1</v>
      </c>
      <c r="EG1313">
        <v>0</v>
      </c>
      <c r="EH1313">
        <v>0</v>
      </c>
      <c r="EI1313" s="2">
        <v>0</v>
      </c>
      <c r="EK1313" t="str">
        <f t="shared" si="1713"/>
        <v/>
      </c>
      <c r="EL1313" t="str">
        <f t="shared" si="1714"/>
        <v/>
      </c>
      <c r="EM1313" s="2" t="str">
        <f t="shared" si="1662"/>
        <v/>
      </c>
      <c r="EP1313" t="str">
        <f>IF(ISNUMBER(BU1313),IF(ABS(BU1313-[3]QC_indicators!$B$2)&gt;3*[3]QC_indicators!$C$2,"C ratio",IF(ISNUMBER(BY1313),IF(ABS(BY1313-[3]QC_indicators!$B$1)&gt;3*[3]QC_indicators!$C$1,"DF","no"))),IF(ISNUMBER(BY1313),IF(ABS(BY1313-[3]QC_indicators!$B$1)&gt;3*[3]QC_indicators!$C$1,"DF","no")))</f>
        <v>no</v>
      </c>
      <c r="ET1313" s="264" t="s">
        <v>3228</v>
      </c>
    </row>
    <row r="1314" spans="1:150" ht="15" hidden="1" customHeight="1">
      <c r="A1314" s="1" t="s">
        <v>1137</v>
      </c>
      <c r="B1314" t="s">
        <v>2205</v>
      </c>
      <c r="C1314" t="s">
        <v>2206</v>
      </c>
      <c r="D1314" t="s">
        <v>2207</v>
      </c>
      <c r="E1314" t="s">
        <v>2208</v>
      </c>
      <c r="F1314" t="s">
        <v>2209</v>
      </c>
      <c r="G1314" t="s">
        <v>1138</v>
      </c>
      <c r="H1314" t="s">
        <v>254</v>
      </c>
      <c r="I1314">
        <v>2017</v>
      </c>
      <c r="J1314">
        <v>12</v>
      </c>
      <c r="K1314" t="s">
        <v>2210</v>
      </c>
      <c r="M1314" t="str">
        <f t="shared" si="1689"/>
        <v>Qin_2017</v>
      </c>
      <c r="N1314" t="s">
        <v>222</v>
      </c>
      <c r="O1314" s="145" t="s">
        <v>341</v>
      </c>
      <c r="Q1314" t="s">
        <v>256</v>
      </c>
      <c r="R1314" s="262" t="s">
        <v>223</v>
      </c>
      <c r="S1314" s="1" t="s">
        <v>2211</v>
      </c>
      <c r="T1314" s="264" t="s">
        <v>3223</v>
      </c>
      <c r="U1314" t="s">
        <v>2212</v>
      </c>
      <c r="V1314">
        <v>0</v>
      </c>
      <c r="W1314">
        <v>0</v>
      </c>
      <c r="X1314">
        <v>0</v>
      </c>
      <c r="Y1314">
        <v>1</v>
      </c>
      <c r="Z1314">
        <v>0</v>
      </c>
      <c r="AA1314">
        <v>0</v>
      </c>
      <c r="AB1314">
        <v>0</v>
      </c>
      <c r="AC1314">
        <v>0</v>
      </c>
      <c r="AD1314">
        <v>0</v>
      </c>
      <c r="AE1314">
        <v>0</v>
      </c>
      <c r="AF1314">
        <v>0</v>
      </c>
      <c r="AG1314">
        <v>0</v>
      </c>
      <c r="AH1314">
        <v>0</v>
      </c>
      <c r="AI1314">
        <v>0</v>
      </c>
      <c r="AJ1314">
        <v>0</v>
      </c>
      <c r="AK1314">
        <v>0</v>
      </c>
      <c r="AL1314">
        <v>0</v>
      </c>
      <c r="AM1314">
        <v>0</v>
      </c>
      <c r="AN1314">
        <v>0</v>
      </c>
      <c r="AO1314">
        <v>0</v>
      </c>
      <c r="AP1314">
        <v>0</v>
      </c>
      <c r="AQ1314">
        <v>0</v>
      </c>
      <c r="AR1314">
        <v>0</v>
      </c>
      <c r="AS1314">
        <v>0</v>
      </c>
      <c r="AT1314">
        <v>0</v>
      </c>
      <c r="AU1314">
        <v>0</v>
      </c>
      <c r="AV1314">
        <v>1</v>
      </c>
      <c r="AW1314">
        <v>0</v>
      </c>
      <c r="AX1314" s="141">
        <f t="shared" si="1690"/>
        <v>2</v>
      </c>
      <c r="AY1314" s="141">
        <f t="shared" si="1691"/>
        <v>1</v>
      </c>
      <c r="AZ1314">
        <f t="shared" si="1692"/>
        <v>1</v>
      </c>
      <c r="BA1314">
        <f t="shared" si="1693"/>
        <v>0</v>
      </c>
      <c r="BB1314">
        <f t="shared" si="1694"/>
        <v>0</v>
      </c>
      <c r="BC1314">
        <f t="shared" si="1695"/>
        <v>1</v>
      </c>
      <c r="BD1314">
        <f t="shared" si="1696"/>
        <v>0</v>
      </c>
      <c r="BE1314" t="str">
        <f t="array" ref="BE1314">IF(AY1314=1,INDEX($V$7:$AL$7,MATCH(TRUE,INDEX($V1314:$AW1314&lt;&gt;0,),0)),IF(AY1314=0,INDEX($AM$7:$AW$7,MATCH(1,$AM1314:$AW1314,0)),IF(BF1314="Multiple strategies","mixed drivers",IF(BF1314="Supply chain","multiple supply","multiple silviculture"))))</f>
        <v xml:space="preserve">cutting intensity </v>
      </c>
      <c r="BF1314" s="2" t="str" cm="1">
        <f t="array" ref="BF1314">IF(COUNTIF(AZ1314:BB1314,"&lt;&gt;0")=1,INDEX($V$4:$AW$4,MATCH(TRUE,INDEX($V1314:$AW1314&lt;&gt;0,),0)),IF(COUNTIF(AZ1314:BB1314,"&lt;&gt;0")=0,INDEX($AM$4:$AW$4,MATCH(1,$AM1314:$AW1314,0)),"Multiple strategies"))</f>
        <v>Silviculture for removals</v>
      </c>
      <c r="BG1314" s="1" t="s">
        <v>321</v>
      </c>
      <c r="BH1314" s="264" t="s">
        <v>3224</v>
      </c>
      <c r="BI1314" s="264" t="s">
        <v>3225</v>
      </c>
      <c r="BJ1314" s="264" t="s">
        <v>1322</v>
      </c>
      <c r="BK1314">
        <v>0.14000000000000001</v>
      </c>
      <c r="BL1314">
        <v>3.7</v>
      </c>
      <c r="BN1314">
        <f t="shared" si="1705"/>
        <v>3.56</v>
      </c>
      <c r="BO1314" s="143">
        <f>BN1314*10^6</f>
        <v>3560000</v>
      </c>
      <c r="BP1314" t="s">
        <v>232</v>
      </c>
      <c r="BQ1314" s="153" t="s">
        <v>3226</v>
      </c>
      <c r="BR1314" s="264" t="s">
        <v>3227</v>
      </c>
      <c r="BS1314">
        <v>1.9</v>
      </c>
      <c r="BT1314">
        <v>-0.57999999999999996</v>
      </c>
      <c r="BU1314" s="144">
        <f>IFERROR(BT1314/BS1314,"")</f>
        <v>-0.30526315789473685</v>
      </c>
      <c r="BV1314">
        <f t="shared" si="1707"/>
        <v>-2.48</v>
      </c>
      <c r="BX1314">
        <f>BV1314*C_to_CO2</f>
        <v>-9.1015999999999995</v>
      </c>
      <c r="BY1314">
        <f t="shared" si="1661"/>
        <v>-2.5566292134831461E-6</v>
      </c>
      <c r="BZ1314">
        <v>0</v>
      </c>
      <c r="CA1314">
        <v>0</v>
      </c>
      <c r="CB1314">
        <v>0</v>
      </c>
      <c r="CC1314">
        <v>0</v>
      </c>
      <c r="CD1314">
        <v>0</v>
      </c>
      <c r="CE1314">
        <v>0</v>
      </c>
      <c r="CF1314">
        <v>0</v>
      </c>
      <c r="CG1314">
        <v>0</v>
      </c>
      <c r="CH1314">
        <v>0</v>
      </c>
      <c r="CI1314">
        <v>0</v>
      </c>
      <c r="CJ1314">
        <v>0</v>
      </c>
      <c r="CK1314">
        <v>0</v>
      </c>
      <c r="CL1314">
        <v>0</v>
      </c>
      <c r="CM1314">
        <v>0</v>
      </c>
      <c r="CN1314" t="str">
        <f t="shared" si="1709"/>
        <v>refOK</v>
      </c>
      <c r="CO1314">
        <f t="shared" si="1710"/>
        <v>0.14000000000000001</v>
      </c>
      <c r="CP1314">
        <f t="shared" si="1711"/>
        <v>3.7</v>
      </c>
      <c r="CQ1314">
        <f t="shared" si="1712"/>
        <v>3560000</v>
      </c>
      <c r="CR1314">
        <f t="shared" si="1697"/>
        <v>1.9</v>
      </c>
      <c r="CS1314">
        <f t="shared" si="1698"/>
        <v>-0.57999999999999996</v>
      </c>
      <c r="CT1314">
        <f t="shared" si="1699"/>
        <v>-9.1015999999999995</v>
      </c>
      <c r="CU1314">
        <f t="shared" si="1700"/>
        <v>-2.5566292134831461E-6</v>
      </c>
      <c r="CV1314" s="2">
        <f t="shared" si="1701"/>
        <v>-1.3052631578947369</v>
      </c>
      <c r="CW1314" s="1" t="s">
        <v>1198</v>
      </c>
      <c r="CX1314" t="str">
        <f t="shared" si="1702"/>
        <v>reg</v>
      </c>
      <c r="CY1314" t="s">
        <v>690</v>
      </c>
      <c r="DB1314">
        <v>30</v>
      </c>
      <c r="DC1314" t="str">
        <f t="shared" si="1703"/>
        <v>1-30</v>
      </c>
      <c r="DD1314">
        <v>1</v>
      </c>
      <c r="DE1314">
        <v>0</v>
      </c>
      <c r="DF1314">
        <v>0</v>
      </c>
      <c r="DG1314">
        <v>0</v>
      </c>
      <c r="DI1314">
        <f t="shared" si="1715"/>
        <v>1</v>
      </c>
      <c r="DJ1314" t="str">
        <f t="shared" si="1704"/>
        <v>UpstreamInput</v>
      </c>
      <c r="DK1314" t="str">
        <f t="shared" si="1716"/>
        <v>Upstream</v>
      </c>
      <c r="DL1314">
        <f t="shared" si="1717"/>
        <v>0</v>
      </c>
      <c r="DM1314">
        <f t="shared" si="1718"/>
        <v>0</v>
      </c>
      <c r="DN1314">
        <f t="shared" si="1719"/>
        <v>0</v>
      </c>
      <c r="DO1314">
        <v>1</v>
      </c>
      <c r="DP1314">
        <v>0</v>
      </c>
      <c r="DQ1314">
        <v>0</v>
      </c>
      <c r="DR1314">
        <v>0</v>
      </c>
      <c r="DS1314">
        <v>0</v>
      </c>
      <c r="DT1314">
        <f t="shared" si="1688"/>
        <v>1</v>
      </c>
      <c r="DU1314" s="143" t="str">
        <f t="shared" si="1720"/>
        <v>self-calculated DF</v>
      </c>
      <c r="DV1314">
        <v>0</v>
      </c>
      <c r="DW1314">
        <v>0</v>
      </c>
      <c r="DX1314">
        <v>1</v>
      </c>
      <c r="DY1314">
        <v>0</v>
      </c>
      <c r="DZ1314">
        <v>0</v>
      </c>
      <c r="EA1314" s="143">
        <v>0</v>
      </c>
      <c r="EB1314">
        <v>0</v>
      </c>
      <c r="EC1314">
        <v>0</v>
      </c>
      <c r="ED1314">
        <v>0</v>
      </c>
      <c r="EE1314">
        <v>0</v>
      </c>
      <c r="EF1314">
        <v>1</v>
      </c>
      <c r="EG1314">
        <v>0</v>
      </c>
      <c r="EH1314">
        <v>0</v>
      </c>
      <c r="EI1314" s="2">
        <v>0</v>
      </c>
      <c r="EK1314" t="str">
        <f t="shared" si="1713"/>
        <v/>
      </c>
      <c r="EL1314" t="str">
        <f t="shared" si="1714"/>
        <v/>
      </c>
      <c r="EM1314" s="2" t="str">
        <f t="shared" si="1662"/>
        <v/>
      </c>
      <c r="EP1314" t="str">
        <f>IF(ISNUMBER(BU1314),IF(ABS(BU1314-[3]QC_indicators!$B$2)&gt;3*[3]QC_indicators!$C$2,"C ratio",IF(ISNUMBER(BY1314),IF(ABS(BY1314-[3]QC_indicators!$B$1)&gt;3*[3]QC_indicators!$C$1,"DF","no"))),IF(ISNUMBER(BY1314),IF(ABS(BY1314-[3]QC_indicators!$B$1)&gt;3*[3]QC_indicators!$C$1,"DF","no")))</f>
        <v>no</v>
      </c>
      <c r="ET1314" s="304" t="s">
        <v>3409</v>
      </c>
    </row>
    <row r="1315" spans="1:150" ht="15" hidden="1" customHeight="1">
      <c r="A1315" s="1" t="s">
        <v>1137</v>
      </c>
      <c r="B1315" t="s">
        <v>2205</v>
      </c>
      <c r="C1315" t="s">
        <v>2206</v>
      </c>
      <c r="D1315" t="s">
        <v>2207</v>
      </c>
      <c r="E1315" t="s">
        <v>2208</v>
      </c>
      <c r="F1315" t="s">
        <v>2209</v>
      </c>
      <c r="G1315" t="s">
        <v>1138</v>
      </c>
      <c r="H1315" t="s">
        <v>254</v>
      </c>
      <c r="I1315">
        <v>2017</v>
      </c>
      <c r="J1315">
        <v>12</v>
      </c>
      <c r="K1315" t="s">
        <v>2210</v>
      </c>
      <c r="M1315" t="str">
        <f t="shared" si="1689"/>
        <v>Qin_2017</v>
      </c>
      <c r="N1315" t="s">
        <v>222</v>
      </c>
      <c r="O1315" s="145" t="s">
        <v>341</v>
      </c>
      <c r="Q1315" t="s">
        <v>256</v>
      </c>
      <c r="R1315" s="262" t="s">
        <v>223</v>
      </c>
      <c r="S1315" s="1" t="s">
        <v>2215</v>
      </c>
      <c r="T1315" s="264" t="s">
        <v>3232</v>
      </c>
      <c r="U1315" t="s">
        <v>2212</v>
      </c>
      <c r="V1315">
        <v>0</v>
      </c>
      <c r="W1315">
        <v>0</v>
      </c>
      <c r="X1315">
        <v>0</v>
      </c>
      <c r="Y1315">
        <v>1</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1</v>
      </c>
      <c r="AW1315">
        <v>0</v>
      </c>
      <c r="AX1315" s="141">
        <f t="shared" si="1690"/>
        <v>2</v>
      </c>
      <c r="AY1315" s="141">
        <f t="shared" si="1691"/>
        <v>1</v>
      </c>
      <c r="AZ1315">
        <f t="shared" si="1692"/>
        <v>1</v>
      </c>
      <c r="BA1315">
        <f t="shared" si="1693"/>
        <v>0</v>
      </c>
      <c r="BB1315">
        <f t="shared" si="1694"/>
        <v>0</v>
      </c>
      <c r="BC1315">
        <f t="shared" si="1695"/>
        <v>1</v>
      </c>
      <c r="BD1315">
        <f t="shared" si="1696"/>
        <v>0</v>
      </c>
      <c r="BE1315" t="str">
        <f t="array" ref="BE1315">IF(AY1315=1,INDEX($V$7:$AL$7,MATCH(TRUE,INDEX($V1315:$AW1315&lt;&gt;0,),0)),IF(AY1315=0,INDEX($AM$7:$AW$7,MATCH(1,$AM1315:$AW1315,0)),IF(BF1315="Multiple strategies","mixed drivers",IF(BF1315="Supply chain","multiple supply","multiple silviculture"))))</f>
        <v xml:space="preserve">cutting intensity </v>
      </c>
      <c r="BF1315" s="2" t="str" cm="1">
        <f t="array" ref="BF1315">IF(COUNTIF(AZ1315:BB1315,"&lt;&gt;0")=1,INDEX($V$4:$AW$4,MATCH(TRUE,INDEX($V1315:$AW1315&lt;&gt;0,),0)),IF(COUNTIF(AZ1315:BB1315,"&lt;&gt;0")=0,INDEX($AM$4:$AW$4,MATCH(1,$AM1315:$AW1315,0)),"Multiple strategies"))</f>
        <v>Silviculture for removals</v>
      </c>
      <c r="BG1315" s="1" t="s">
        <v>321</v>
      </c>
      <c r="BH1315" s="264" t="s">
        <v>3224</v>
      </c>
      <c r="BI1315" s="264" t="s">
        <v>3225</v>
      </c>
      <c r="BJ1315" s="264" t="s">
        <v>1322</v>
      </c>
      <c r="BK1315">
        <v>3.67</v>
      </c>
      <c r="BL1315">
        <v>3.7</v>
      </c>
      <c r="BN1315">
        <f t="shared" si="1705"/>
        <v>3.0000000000000249E-2</v>
      </c>
      <c r="BO1315" s="143">
        <f>BN1315*10^6</f>
        <v>30000.000000000247</v>
      </c>
      <c r="BP1315" t="s">
        <v>232</v>
      </c>
      <c r="BQ1315" s="153" t="s">
        <v>3226</v>
      </c>
      <c r="BR1315" s="264" t="s">
        <v>3227</v>
      </c>
      <c r="BS1315">
        <v>-0.57999999999999996</v>
      </c>
      <c r="BT1315">
        <v>-0.57999999999999996</v>
      </c>
      <c r="BU1315" s="144">
        <f>IFERROR(BT1315/BS1315,"")</f>
        <v>1</v>
      </c>
      <c r="BV1315">
        <f t="shared" si="1707"/>
        <v>0</v>
      </c>
      <c r="BX1315">
        <f>BV1315*C_to_CO2</f>
        <v>0</v>
      </c>
      <c r="BY1315">
        <f t="shared" si="1661"/>
        <v>0</v>
      </c>
      <c r="BZ1315">
        <v>0</v>
      </c>
      <c r="CA1315">
        <v>0</v>
      </c>
      <c r="CB1315">
        <v>0</v>
      </c>
      <c r="CC1315">
        <v>0</v>
      </c>
      <c r="CD1315">
        <v>0</v>
      </c>
      <c r="CE1315">
        <v>0</v>
      </c>
      <c r="CF1315">
        <v>0</v>
      </c>
      <c r="CG1315">
        <v>0</v>
      </c>
      <c r="CH1315">
        <v>0</v>
      </c>
      <c r="CI1315">
        <v>0</v>
      </c>
      <c r="CJ1315">
        <v>0</v>
      </c>
      <c r="CK1315">
        <v>0</v>
      </c>
      <c r="CL1315">
        <v>0</v>
      </c>
      <c r="CM1315">
        <v>0</v>
      </c>
      <c r="CN1315" t="str">
        <f t="shared" si="1709"/>
        <v>refOK</v>
      </c>
      <c r="CO1315">
        <f t="shared" si="1710"/>
        <v>3.67</v>
      </c>
      <c r="CP1315">
        <f t="shared" si="1711"/>
        <v>3.7</v>
      </c>
      <c r="CQ1315">
        <f t="shared" si="1712"/>
        <v>30000.000000000247</v>
      </c>
      <c r="CR1315">
        <f t="shared" si="1697"/>
        <v>-0.57999999999999996</v>
      </c>
      <c r="CS1315">
        <f t="shared" si="1698"/>
        <v>-0.57999999999999996</v>
      </c>
      <c r="CT1315">
        <f t="shared" si="1699"/>
        <v>0</v>
      </c>
      <c r="CU1315">
        <f t="shared" si="1700"/>
        <v>0</v>
      </c>
      <c r="CV1315" s="2">
        <f t="shared" si="1701"/>
        <v>0</v>
      </c>
      <c r="CW1315" s="1" t="s">
        <v>1198</v>
      </c>
      <c r="CX1315" t="str">
        <f t="shared" si="1702"/>
        <v>reg</v>
      </c>
      <c r="CY1315" t="s">
        <v>690</v>
      </c>
      <c r="DB1315">
        <v>30</v>
      </c>
      <c r="DC1315" t="str">
        <f t="shared" si="1703"/>
        <v>1-30</v>
      </c>
      <c r="DD1315">
        <v>1</v>
      </c>
      <c r="DE1315">
        <v>0</v>
      </c>
      <c r="DF1315">
        <v>0</v>
      </c>
      <c r="DG1315">
        <v>0</v>
      </c>
      <c r="DI1315">
        <f t="shared" si="1715"/>
        <v>1</v>
      </c>
      <c r="DJ1315" t="str">
        <f t="shared" si="1704"/>
        <v>UpstreamInput</v>
      </c>
      <c r="DK1315" t="str">
        <f t="shared" si="1716"/>
        <v>Upstream</v>
      </c>
      <c r="DL1315">
        <f t="shared" si="1717"/>
        <v>0</v>
      </c>
      <c r="DM1315">
        <f t="shared" si="1718"/>
        <v>0</v>
      </c>
      <c r="DN1315">
        <f t="shared" si="1719"/>
        <v>0</v>
      </c>
      <c r="DO1315">
        <v>1</v>
      </c>
      <c r="DP1315">
        <v>0</v>
      </c>
      <c r="DQ1315">
        <v>0</v>
      </c>
      <c r="DR1315">
        <v>0</v>
      </c>
      <c r="DS1315">
        <v>0</v>
      </c>
      <c r="DT1315">
        <f t="shared" si="1688"/>
        <v>1</v>
      </c>
      <c r="DU1315" s="143" t="str">
        <f t="shared" si="1720"/>
        <v>self-calculated DF</v>
      </c>
      <c r="DV1315">
        <v>0</v>
      </c>
      <c r="DW1315">
        <v>0</v>
      </c>
      <c r="DX1315">
        <v>1</v>
      </c>
      <c r="DY1315">
        <v>0</v>
      </c>
      <c r="DZ1315">
        <v>0</v>
      </c>
      <c r="EA1315" s="143">
        <v>0</v>
      </c>
      <c r="EB1315">
        <v>0</v>
      </c>
      <c r="EC1315">
        <v>0</v>
      </c>
      <c r="ED1315">
        <v>0</v>
      </c>
      <c r="EE1315">
        <v>0</v>
      </c>
      <c r="EF1315">
        <v>1</v>
      </c>
      <c r="EG1315">
        <v>0</v>
      </c>
      <c r="EH1315">
        <v>0</v>
      </c>
      <c r="EI1315" s="2">
        <v>0</v>
      </c>
      <c r="EK1315" t="str">
        <f t="shared" si="1713"/>
        <v/>
      </c>
      <c r="EL1315" t="str">
        <f t="shared" si="1714"/>
        <v/>
      </c>
      <c r="EM1315" s="2" t="str">
        <f t="shared" si="1662"/>
        <v/>
      </c>
      <c r="EP1315" t="str">
        <f>IF(ISNUMBER(BU1315),IF(ABS(BU1315-[3]QC_indicators!$B$2)&gt;3*[3]QC_indicators!$C$2,"C ratio",IF(ISNUMBER(BY1315),IF(ABS(BY1315-[3]QC_indicators!$B$1)&gt;3*[3]QC_indicators!$C$1,"DF","no"))),IF(ISNUMBER(BY1315),IF(ABS(BY1315-[3]QC_indicators!$B$1)&gt;3*[3]QC_indicators!$C$1,"DF","no")))</f>
        <v>no</v>
      </c>
      <c r="ET1315" s="264" t="s">
        <v>3228</v>
      </c>
    </row>
    <row r="1316" spans="1:150" ht="15" hidden="1" customHeight="1">
      <c r="A1316" s="1" t="s">
        <v>3840</v>
      </c>
      <c r="B1316" t="s">
        <v>4640</v>
      </c>
      <c r="C1316" t="s">
        <v>4641</v>
      </c>
      <c r="D1316" t="s">
        <v>4642</v>
      </c>
      <c r="E1316" t="s">
        <v>4643</v>
      </c>
      <c r="F1316" t="s">
        <v>4644</v>
      </c>
      <c r="G1316" t="s">
        <v>3846</v>
      </c>
      <c r="H1316" t="s">
        <v>254</v>
      </c>
      <c r="I1316">
        <v>2016</v>
      </c>
      <c r="J1316">
        <v>6</v>
      </c>
      <c r="K1316" t="s">
        <v>4645</v>
      </c>
      <c r="M1316" t="str">
        <f t="shared" si="1689"/>
        <v>Radics_2016</v>
      </c>
      <c r="N1316" t="s">
        <v>2582</v>
      </c>
      <c r="O1316" s="145" t="s">
        <v>341</v>
      </c>
      <c r="Q1316" s="311" t="s">
        <v>256</v>
      </c>
      <c r="R1316" s="312"/>
      <c r="AX1316" s="141"/>
      <c r="AY1316" s="141"/>
      <c r="BE1316"/>
      <c r="BF1316" s="2"/>
      <c r="BU1316" s="144"/>
      <c r="BY1316" t="str">
        <f t="shared" si="1661"/>
        <v/>
      </c>
      <c r="CN1316"/>
      <c r="CO1316"/>
      <c r="CP1316"/>
      <c r="CQ1316"/>
      <c r="CR1316"/>
      <c r="CS1316"/>
      <c r="CT1316"/>
      <c r="CU1316"/>
      <c r="CV1316" s="2"/>
      <c r="CX1316"/>
      <c r="DC1316"/>
      <c r="DI1316"/>
      <c r="DJ1316"/>
      <c r="DK1316"/>
      <c r="DL1316"/>
      <c r="DM1316"/>
      <c r="DN1316"/>
      <c r="DT1316"/>
      <c r="DU1316" s="143"/>
      <c r="EK1316" t="str">
        <f>IF(AND(AND(AND(OR($DX1316=1,$DW1316=1),OR($EC1316=1,$EA1316=1)),SUM($DV1316:$DZ1316,$EF1316)&gt;=3),SUM($EA1316:$EE1316)&gt;=2),"Whole sector","")</f>
        <v/>
      </c>
      <c r="EL1316" t="str">
        <f>IF(AND(AND(OR($DX1316=1,$DW1316=1),AND($EC1316=0,$EA1316=0)),SUM($DV1316:$DZ1316,$EF1316)&gt;=3),"Ecosystem approach","")</f>
        <v/>
      </c>
      <c r="EM1316" s="2" t="str">
        <f t="shared" si="1662"/>
        <v/>
      </c>
      <c r="EO1316" t="s">
        <v>450</v>
      </c>
      <c r="EP1316" t="b">
        <f>IF(ISNUMBER(BU1316),IF(ABS(BU1316-[1]QC_indicators!$B$2)&gt;3*[1]QC_indicators!$C$2,"C ratio",IF(ISNUMBER(BY1316),IF(ABS(BY1316-[1]QC_indicators!$B$1)&gt;3*[1]QC_indicators!$C$1,"DF","no"))),IF(ISNUMBER(BY1316),IF(ABS(BY1316-[1]QC_indicators!$B$1)&gt;3*[1]QC_indicators!$C$1,"DF","no")))</f>
        <v>0</v>
      </c>
    </row>
    <row r="1317" spans="1:150" ht="15" hidden="1" customHeight="1">
      <c r="A1317" s="1" t="s">
        <v>1359</v>
      </c>
      <c r="B1317" t="s">
        <v>2216</v>
      </c>
      <c r="C1317" t="s">
        <v>2217</v>
      </c>
      <c r="D1317" t="s">
        <v>2218</v>
      </c>
      <c r="E1317" t="s">
        <v>2219</v>
      </c>
      <c r="F1317" t="s">
        <v>2220</v>
      </c>
      <c r="G1317" t="s">
        <v>1365</v>
      </c>
      <c r="H1317" t="s">
        <v>254</v>
      </c>
      <c r="I1317">
        <v>2009</v>
      </c>
      <c r="J1317">
        <v>27</v>
      </c>
      <c r="K1317" t="s">
        <v>2221</v>
      </c>
      <c r="M1317" t="str">
        <f t="shared" si="1689"/>
        <v>Raymer_2009</v>
      </c>
      <c r="N1317" t="s">
        <v>222</v>
      </c>
      <c r="O1317" s="145" t="s">
        <v>341</v>
      </c>
      <c r="Q1317" s="264" t="s">
        <v>256</v>
      </c>
      <c r="R1317" s="269" t="s">
        <v>1153</v>
      </c>
      <c r="S1317" s="1" t="s">
        <v>2222</v>
      </c>
      <c r="T1317" t="s">
        <v>2223</v>
      </c>
      <c r="U1317" t="s">
        <v>2224</v>
      </c>
      <c r="V1317">
        <v>0</v>
      </c>
      <c r="W1317">
        <v>0</v>
      </c>
      <c r="X1317">
        <v>0</v>
      </c>
      <c r="Y1317">
        <v>0</v>
      </c>
      <c r="Z1317">
        <v>2</v>
      </c>
      <c r="AA1317">
        <v>2</v>
      </c>
      <c r="AB1317">
        <v>2</v>
      </c>
      <c r="AC1317">
        <v>0</v>
      </c>
      <c r="AD1317">
        <v>0</v>
      </c>
      <c r="AE1317">
        <v>0</v>
      </c>
      <c r="AF1317">
        <v>1</v>
      </c>
      <c r="AG1317">
        <v>0</v>
      </c>
      <c r="AH1317">
        <v>0</v>
      </c>
      <c r="AI1317">
        <v>0</v>
      </c>
      <c r="AJ1317">
        <v>2</v>
      </c>
      <c r="AK1317">
        <v>0</v>
      </c>
      <c r="AL1317">
        <v>0</v>
      </c>
      <c r="AM1317">
        <v>0</v>
      </c>
      <c r="AN1317">
        <v>0</v>
      </c>
      <c r="AO1317">
        <v>0</v>
      </c>
      <c r="AP1317">
        <v>0</v>
      </c>
      <c r="AQ1317">
        <v>0</v>
      </c>
      <c r="AR1317">
        <v>0</v>
      </c>
      <c r="AS1317">
        <v>0</v>
      </c>
      <c r="AT1317">
        <v>0</v>
      </c>
      <c r="AU1317">
        <v>0</v>
      </c>
      <c r="AV1317">
        <v>1</v>
      </c>
      <c r="AW1317">
        <v>0</v>
      </c>
      <c r="AX1317" s="141">
        <f>COUNTIF(V1317:AW1317,"&lt;&gt;0")</f>
        <v>6</v>
      </c>
      <c r="AY1317" s="141">
        <f>COUNTIF(V1317:AL1317,"&lt;&gt;0")</f>
        <v>5</v>
      </c>
      <c r="AZ1317">
        <f>COUNTIF(V1317:AC1317,"&lt;&gt;0")</f>
        <v>3</v>
      </c>
      <c r="BA1317">
        <f>COUNTIF(AD1317:AI1317,"&lt;&gt;0")</f>
        <v>1</v>
      </c>
      <c r="BB1317">
        <f>COUNTIF(AJ1317:AL1317,"&lt;&gt;0")</f>
        <v>1</v>
      </c>
      <c r="BC1317">
        <f>COUNTIF(AS1317:AW1317,"&lt;&gt;0")</f>
        <v>1</v>
      </c>
      <c r="BD1317">
        <f>COUNTIF(AM1317:AR1317,"&lt;&gt;0")</f>
        <v>0</v>
      </c>
      <c r="BE1317" t="str" cm="1">
        <f t="array" ref="BE1317">IF(AY1317=1,INDEX($V$7:$AL$7,MATCH(TRUE,INDEX($V1317:$AW1317&lt;&gt;0,),0)),IF(AY1317=0,INDEX($AM$7:$AW$7,MATCH(1,$AM1317:$AW1317,0)),IF(BF1317="Multiple strategies","mixed drivers",IF(BF1317="Supply chain","multiple supply","multiple silviculture"))))</f>
        <v>mixed drivers</v>
      </c>
      <c r="BF1317" s="2" t="str" cm="1">
        <f t="array" ref="BF1317">IF(COUNTIF(AZ1317:BB1317,"&lt;&gt;0")=1,INDEX($V$4:$AW$4,MATCH(TRUE,INDEX($V1317:$AW1317&lt;&gt;0,),0)),IF(COUNTIF(AZ1317:BB1317,"&lt;&gt;0")=0,INDEX($AM$4:$AW$4,MATCH(1,$AM1317:$AW1317,0)),"Multiple strategies"))</f>
        <v>Multiple strategies</v>
      </c>
      <c r="BG1317" s="1" t="s">
        <v>321</v>
      </c>
      <c r="BH1317" t="s">
        <v>2225</v>
      </c>
      <c r="BJ1317" t="s">
        <v>2226</v>
      </c>
      <c r="BK1317">
        <v>150</v>
      </c>
      <c r="BL1317">
        <v>206</v>
      </c>
      <c r="BN1317">
        <f>BL1317-BK1317</f>
        <v>56</v>
      </c>
      <c r="BO1317" s="143">
        <f>BN1317*10^6</f>
        <v>56000000</v>
      </c>
      <c r="BP1317" t="s">
        <v>232</v>
      </c>
      <c r="BR1317" t="s">
        <v>1139</v>
      </c>
      <c r="BS1317">
        <v>1.5</v>
      </c>
      <c r="BT1317">
        <v>2.2999999999999998</v>
      </c>
      <c r="BU1317" s="144">
        <f>IFERROR(BT1317/BS1317,"")</f>
        <v>1.5333333333333332</v>
      </c>
      <c r="BV1317">
        <f>BT1317-BS1317</f>
        <v>0.79999999999999982</v>
      </c>
      <c r="BX1317">
        <f>BV1317*10^6</f>
        <v>799999.99999999977</v>
      </c>
      <c r="BY1317">
        <f t="shared" si="1661"/>
        <v>1.4285714285714282E-2</v>
      </c>
      <c r="BZ1317">
        <v>0</v>
      </c>
      <c r="CA1317">
        <v>0</v>
      </c>
      <c r="CB1317">
        <v>0</v>
      </c>
      <c r="CC1317">
        <v>0</v>
      </c>
      <c r="CD1317">
        <v>0</v>
      </c>
      <c r="CE1317">
        <v>0</v>
      </c>
      <c r="CF1317">
        <v>0</v>
      </c>
      <c r="CG1317">
        <v>0</v>
      </c>
      <c r="CH1317">
        <v>0</v>
      </c>
      <c r="CI1317">
        <v>0</v>
      </c>
      <c r="CJ1317">
        <v>0</v>
      </c>
      <c r="CK1317">
        <v>0</v>
      </c>
      <c r="CL1317">
        <v>0</v>
      </c>
      <c r="CM1317">
        <v>1</v>
      </c>
      <c r="CN1317" t="str">
        <f>IF($BL1317&lt;$BK1317,"refNeedCorrection","refOK")</f>
        <v>refOK</v>
      </c>
      <c r="CO1317">
        <f>IF($CN1317="refOK",$BK1317,$BL1317)</f>
        <v>150</v>
      </c>
      <c r="CP1317">
        <f>IF($CN1317="refOK",$BL1317,$BK1317)</f>
        <v>206</v>
      </c>
      <c r="CQ1317">
        <f>IF($CN1317="refOK",$BO1317,-$BO1317)</f>
        <v>56000000</v>
      </c>
      <c r="CR1317">
        <f>IF($CN1317="refOK",$BS1317,$BT1317)*IF($BP1317="Emissions positive",-1,1)</f>
        <v>1.5</v>
      </c>
      <c r="CS1317">
        <f>IF($CN1317="refOK",$BT1317,$BS1317)*IF($BP1317="Emissions positive",-1,1)</f>
        <v>2.2999999999999998</v>
      </c>
      <c r="CT1317">
        <f>IF($CN1317="refNeedCorrection",-BX1317,BX1317)*IF($BP1317="Emissions positive",-1,1)</f>
        <v>799999.99999999977</v>
      </c>
      <c r="CU1317">
        <f>IFERROR(CT1317/CQ1317,"")</f>
        <v>1.4285714285714282E-2</v>
      </c>
      <c r="CV1317" s="2">
        <f>IFERROR((CS1317-CR1317)/ABS(CR1317),"")</f>
        <v>0.53333333333333321</v>
      </c>
      <c r="CW1317" s="1" t="s">
        <v>1198</v>
      </c>
      <c r="CX1317" s="264" t="str">
        <f>IF(OR($CW1317="prd",$CW1317="std",$CW1317="cit"),"loc",IF(OR($CW1317="eur",$CW1317="reg",$CW1317="coy"),"reg",$CW1317))</f>
        <v>reg</v>
      </c>
      <c r="CY1317" t="s">
        <v>264</v>
      </c>
      <c r="DB1317">
        <v>120</v>
      </c>
      <c r="DC1317" t="str">
        <f>IF(DB1317=0,"0",IF(AND(DB1317&gt;=1,DB1317&lt;=30),"1-30",IF(AND(DB1317&gt;30,DB1317&lt;=70),"31-70",IF(AND(DB1317&gt;70,DB1317&lt;=100),"71-100",IF(DB1317&gt;100,"+100")))))</f>
        <v>+100</v>
      </c>
      <c r="DD1317">
        <v>0</v>
      </c>
      <c r="DE1317">
        <v>1</v>
      </c>
      <c r="DF1317">
        <v>1</v>
      </c>
      <c r="DG1317">
        <v>1</v>
      </c>
      <c r="DI1317">
        <f>SUM(DD1317:DG1317)</f>
        <v>3</v>
      </c>
      <c r="DJ1317" t="str">
        <f>IF(DI1317=1,INDEX($DD$7:$DG$7,MATCH(1,$DD1317:$DG1317,0)),"mixedProduct")</f>
        <v>mixedProduct</v>
      </c>
      <c r="DK1317">
        <f t="shared" ref="DK1317:DN1318" si="1721">IF(DD1317=1,DK$7,0)</f>
        <v>0</v>
      </c>
      <c r="DL1317" t="str">
        <f t="shared" si="1721"/>
        <v>Energy</v>
      </c>
      <c r="DM1317" t="str">
        <f t="shared" si="1721"/>
        <v>Pulp/Paper</v>
      </c>
      <c r="DN1317" t="str">
        <f t="shared" si="1721"/>
        <v>Timber</v>
      </c>
      <c r="DO1317">
        <v>1</v>
      </c>
      <c r="DP1317">
        <v>0</v>
      </c>
      <c r="DQ1317">
        <v>0</v>
      </c>
      <c r="DR1317">
        <v>0</v>
      </c>
      <c r="DS1317">
        <v>0</v>
      </c>
      <c r="DT1317">
        <f>SUM(DO1317:DP1317)</f>
        <v>1</v>
      </c>
      <c r="DU1317" s="143" t="str">
        <f>IF(DO1317=1,"self-calculated DF",IF(DP1317=1,"external DF used","explicit C balance"))</f>
        <v>self-calculated DF</v>
      </c>
      <c r="DV1317">
        <v>1</v>
      </c>
      <c r="DW1317">
        <v>1</v>
      </c>
      <c r="DX1317">
        <v>1</v>
      </c>
      <c r="DY1317">
        <v>1</v>
      </c>
      <c r="DZ1317">
        <v>1</v>
      </c>
      <c r="EA1317">
        <v>1</v>
      </c>
      <c r="EB1317">
        <v>1</v>
      </c>
      <c r="EC1317">
        <v>1</v>
      </c>
      <c r="ED1317">
        <v>0</v>
      </c>
      <c r="EE1317">
        <v>0</v>
      </c>
      <c r="EF1317">
        <v>1</v>
      </c>
      <c r="EG1317">
        <v>0</v>
      </c>
      <c r="EH1317">
        <v>0</v>
      </c>
      <c r="EI1317" s="2">
        <v>0</v>
      </c>
      <c r="EK1317" t="str">
        <f>IF(AND(AND(AND(OR($DX1317=1,$DW1317=1),OR($EC1317=1,$EA1317=1)),SUM($DV1317:$DZ1317,$EF1317)&gt;=4),SUM($EA1317:$EE1317)&gt;=2),"Whole sector","")</f>
        <v>Whole sector</v>
      </c>
      <c r="EL1317" t="str">
        <f>IF(AND(AND(OR($DX1317=1,$DW1317=1),AND($EC1317=0,$EA1317=0)),SUM($DV1317:$DZ1317,$EF1317)&gt;=4),"Ecosystem approach","")</f>
        <v/>
      </c>
      <c r="EM1317" s="2" t="str">
        <f t="shared" si="1662"/>
        <v/>
      </c>
      <c r="EP1317" t="str">
        <f>IF(ISNUMBER(BU1317),IF(ABS(BU1317-[4]QC_indicators!$B$2)&gt;3*[4]QC_indicators!$C$2,"C ratio",IF(ISNUMBER(BY1317),IF(ABS(BY1317-[4]QC_indicators!$B$1)&gt;3*[4]QC_indicators!$C$1,"DF","no"))),IF(ISNUMBER(BY1317),IF(ABS(BY1317-[4]QC_indicators!$B$1)&gt;3*[4]QC_indicators!$C$1,"DF","no")))</f>
        <v>no</v>
      </c>
      <c r="ET1317" s="264" t="s">
        <v>3406</v>
      </c>
    </row>
    <row r="1318" spans="1:150" ht="15" hidden="1" customHeight="1">
      <c r="A1318" s="1" t="s">
        <v>1359</v>
      </c>
      <c r="B1318" t="s">
        <v>2216</v>
      </c>
      <c r="C1318" t="s">
        <v>2217</v>
      </c>
      <c r="D1318" t="s">
        <v>2218</v>
      </c>
      <c r="E1318" t="s">
        <v>2219</v>
      </c>
      <c r="F1318" t="s">
        <v>2220</v>
      </c>
      <c r="G1318" t="s">
        <v>1365</v>
      </c>
      <c r="H1318" t="s">
        <v>254</v>
      </c>
      <c r="I1318">
        <v>2009</v>
      </c>
      <c r="J1318">
        <v>27</v>
      </c>
      <c r="K1318" t="s">
        <v>2221</v>
      </c>
      <c r="M1318" t="str">
        <f t="shared" si="1689"/>
        <v>Raymer_2009</v>
      </c>
      <c r="N1318" t="s">
        <v>222</v>
      </c>
      <c r="O1318" s="145" t="s">
        <v>341</v>
      </c>
      <c r="Q1318" s="264" t="s">
        <v>256</v>
      </c>
      <c r="R1318" s="269" t="s">
        <v>1153</v>
      </c>
      <c r="S1318" s="1" t="s">
        <v>2222</v>
      </c>
      <c r="T1318" t="s">
        <v>2223</v>
      </c>
      <c r="U1318" t="s">
        <v>2227</v>
      </c>
      <c r="V1318">
        <v>0</v>
      </c>
      <c r="W1318">
        <v>0</v>
      </c>
      <c r="X1318">
        <v>0</v>
      </c>
      <c r="Y1318">
        <v>0</v>
      </c>
      <c r="Z1318">
        <v>2</v>
      </c>
      <c r="AA1318">
        <v>2</v>
      </c>
      <c r="AB1318">
        <v>2</v>
      </c>
      <c r="AC1318">
        <v>0</v>
      </c>
      <c r="AD1318">
        <v>0</v>
      </c>
      <c r="AE1318">
        <v>0</v>
      </c>
      <c r="AF1318">
        <v>1</v>
      </c>
      <c r="AG1318">
        <v>0</v>
      </c>
      <c r="AH1318">
        <v>0</v>
      </c>
      <c r="AI1318">
        <v>0</v>
      </c>
      <c r="AJ1318">
        <v>2</v>
      </c>
      <c r="AK1318">
        <v>0</v>
      </c>
      <c r="AL1318">
        <v>0</v>
      </c>
      <c r="AM1318">
        <v>0</v>
      </c>
      <c r="AN1318">
        <v>0</v>
      </c>
      <c r="AO1318">
        <v>0</v>
      </c>
      <c r="AP1318">
        <v>0</v>
      </c>
      <c r="AQ1318">
        <v>0</v>
      </c>
      <c r="AR1318">
        <v>0</v>
      </c>
      <c r="AS1318">
        <v>0</v>
      </c>
      <c r="AT1318">
        <v>0</v>
      </c>
      <c r="AU1318">
        <v>0</v>
      </c>
      <c r="AV1318">
        <v>1</v>
      </c>
      <c r="AW1318">
        <v>0</v>
      </c>
      <c r="AX1318" s="141">
        <f>COUNTIF(V1318:AW1318,"&lt;&gt;0")</f>
        <v>6</v>
      </c>
      <c r="AY1318" s="141">
        <f>COUNTIF(V1318:AL1318,"&lt;&gt;0")</f>
        <v>5</v>
      </c>
      <c r="AZ1318">
        <f>COUNTIF(V1318:AC1318,"&lt;&gt;0")</f>
        <v>3</v>
      </c>
      <c r="BA1318">
        <f>COUNTIF(AD1318:AI1318,"&lt;&gt;0")</f>
        <v>1</v>
      </c>
      <c r="BB1318">
        <f>COUNTIF(AJ1318:AL1318,"&lt;&gt;0")</f>
        <v>1</v>
      </c>
      <c r="BC1318">
        <f>COUNTIF(AS1318:AW1318,"&lt;&gt;0")</f>
        <v>1</v>
      </c>
      <c r="BD1318">
        <f>COUNTIF(AM1318:AR1318,"&lt;&gt;0")</f>
        <v>0</v>
      </c>
      <c r="BE1318" t="str" cm="1">
        <f t="array" ref="BE1318">IF(AY1318=1,INDEX($V$7:$AL$7,MATCH(TRUE,INDEX($V1318:$AW1318&lt;&gt;0,),0)),IF(AY1318=0,INDEX($AM$7:$AW$7,MATCH(1,$AM1318:$AW1318,0)),IF(BF1318="Multiple strategies","mixed drivers",IF(BF1318="Supply chain","multiple supply","multiple silviculture"))))</f>
        <v>mixed drivers</v>
      </c>
      <c r="BF1318" s="2" t="str" cm="1">
        <f t="array" ref="BF1318">IF(COUNTIF(AZ1318:BB1318,"&lt;&gt;0")=1,INDEX($V$4:$AW$4,MATCH(TRUE,INDEX($V1318:$AW1318&lt;&gt;0,),0)),IF(COUNTIF(AZ1318:BB1318,"&lt;&gt;0")=0,INDEX($AM$4:$AW$4,MATCH(1,$AM1318:$AW1318,0)),"Multiple strategies"))</f>
        <v>Multiple strategies</v>
      </c>
      <c r="BG1318" s="1" t="s">
        <v>321</v>
      </c>
      <c r="BH1318" t="s">
        <v>2225</v>
      </c>
      <c r="BJ1318" t="s">
        <v>1354</v>
      </c>
      <c r="BK1318">
        <v>150</v>
      </c>
      <c r="BL1318">
        <v>207.6</v>
      </c>
      <c r="BN1318">
        <f>BL1318-BK1318</f>
        <v>57.599999999999994</v>
      </c>
      <c r="BO1318">
        <f>BN1318*10^6</f>
        <v>57599999.999999993</v>
      </c>
      <c r="BP1318" t="s">
        <v>232</v>
      </c>
      <c r="BR1318" t="s">
        <v>1139</v>
      </c>
      <c r="BS1318">
        <v>1.5</v>
      </c>
      <c r="BT1318">
        <v>2.4</v>
      </c>
      <c r="BU1318" s="144">
        <f>IFERROR(BT1318/BS1318,"")</f>
        <v>1.5999999999999999</v>
      </c>
      <c r="BV1318">
        <f>BT1318-BS1318</f>
        <v>0.89999999999999991</v>
      </c>
      <c r="BX1318">
        <f>BV1318*10^6</f>
        <v>899999.99999999988</v>
      </c>
      <c r="BY1318">
        <f t="shared" si="1661"/>
        <v>1.5625E-2</v>
      </c>
      <c r="BZ1318">
        <v>0</v>
      </c>
      <c r="CA1318">
        <v>0</v>
      </c>
      <c r="CB1318">
        <v>0</v>
      </c>
      <c r="CC1318">
        <v>0</v>
      </c>
      <c r="CD1318">
        <v>0</v>
      </c>
      <c r="CE1318">
        <v>0</v>
      </c>
      <c r="CF1318">
        <v>0</v>
      </c>
      <c r="CG1318">
        <v>0</v>
      </c>
      <c r="CH1318">
        <v>0</v>
      </c>
      <c r="CI1318">
        <v>0</v>
      </c>
      <c r="CJ1318">
        <v>0</v>
      </c>
      <c r="CK1318">
        <v>0</v>
      </c>
      <c r="CL1318">
        <v>0</v>
      </c>
      <c r="CM1318">
        <v>1</v>
      </c>
      <c r="CN1318" t="str">
        <f>IF($BL1318&lt;$BK1318,"refNeedCorrection","refOK")</f>
        <v>refOK</v>
      </c>
      <c r="CO1318">
        <f>IF($CN1318="refOK",$BK1318,$BL1318)</f>
        <v>150</v>
      </c>
      <c r="CP1318">
        <f>IF($CN1318="refOK",$BL1318,$BK1318)</f>
        <v>207.6</v>
      </c>
      <c r="CQ1318">
        <f>IF($CN1318="refOK",$BO1318,-$BO1318)</f>
        <v>57599999.999999993</v>
      </c>
      <c r="CR1318">
        <f>IF($CN1318="refOK",$BS1318,$BT1318)*IF($BP1318="Emissions positive",-1,1)</f>
        <v>1.5</v>
      </c>
      <c r="CS1318">
        <f>IF($CN1318="refOK",$BT1318,$BS1318)*IF($BP1318="Emissions positive",-1,1)</f>
        <v>2.4</v>
      </c>
      <c r="CT1318">
        <f>IF($CN1318="refNeedCorrection",-BX1318,BX1318)*IF($BP1318="Emissions positive",-1,1)</f>
        <v>899999.99999999988</v>
      </c>
      <c r="CU1318">
        <f>IFERROR(CT1318/CQ1318,"")</f>
        <v>1.5625E-2</v>
      </c>
      <c r="CV1318" s="2">
        <f>IFERROR((CS1318-CR1318)/ABS(CR1318),"")</f>
        <v>0.6</v>
      </c>
      <c r="CW1318" s="1" t="s">
        <v>1198</v>
      </c>
      <c r="CX1318" s="264" t="str">
        <f>IF(OR($CW1318="prd",$CW1318="std",$CW1318="cit"),"loc",IF(OR($CW1318="eur",$CW1318="reg",$CW1318="coy"),"reg",$CW1318))</f>
        <v>reg</v>
      </c>
      <c r="CY1318" t="s">
        <v>264</v>
      </c>
      <c r="DB1318">
        <v>120</v>
      </c>
      <c r="DC1318" t="str">
        <f>IF(DB1318=0,"0",IF(AND(DB1318&gt;=1,DB1318&lt;=30),"1-30",IF(AND(DB1318&gt;30,DB1318&lt;=70),"31-70",IF(AND(DB1318&gt;70,DB1318&lt;=100),"71-100",IF(DB1318&gt;100,"+100")))))</f>
        <v>+100</v>
      </c>
      <c r="DD1318">
        <v>0</v>
      </c>
      <c r="DE1318">
        <v>1</v>
      </c>
      <c r="DF1318">
        <v>1</v>
      </c>
      <c r="DG1318">
        <v>1</v>
      </c>
      <c r="DI1318">
        <f>SUM(DD1318:DG1318)</f>
        <v>3</v>
      </c>
      <c r="DJ1318" t="str">
        <f>IF(DI1318=1,INDEX($DD$7:$DG$7,MATCH(1,$DD1318:$DG1318,0)),"mixedProduct")</f>
        <v>mixedProduct</v>
      </c>
      <c r="DK1318">
        <f t="shared" si="1721"/>
        <v>0</v>
      </c>
      <c r="DL1318" t="str">
        <f t="shared" si="1721"/>
        <v>Energy</v>
      </c>
      <c r="DM1318" t="str">
        <f t="shared" si="1721"/>
        <v>Pulp/Paper</v>
      </c>
      <c r="DN1318" t="str">
        <f t="shared" si="1721"/>
        <v>Timber</v>
      </c>
      <c r="DO1318">
        <v>1</v>
      </c>
      <c r="DP1318">
        <v>0</v>
      </c>
      <c r="DQ1318">
        <v>0</v>
      </c>
      <c r="DR1318">
        <v>0</v>
      </c>
      <c r="DS1318">
        <v>0</v>
      </c>
      <c r="DT1318">
        <f>SUM(DO1318:DP1318)</f>
        <v>1</v>
      </c>
      <c r="DU1318" s="143" t="str">
        <f>IF(DO1318=1,"self-calculated DF",IF(DP1318=1,"external DF used","explicit C balance"))</f>
        <v>self-calculated DF</v>
      </c>
      <c r="DV1318">
        <v>1</v>
      </c>
      <c r="DW1318">
        <v>1</v>
      </c>
      <c r="DX1318">
        <v>1</v>
      </c>
      <c r="DY1318">
        <v>1</v>
      </c>
      <c r="DZ1318">
        <v>1</v>
      </c>
      <c r="EA1318">
        <v>1</v>
      </c>
      <c r="EB1318">
        <v>1</v>
      </c>
      <c r="EC1318">
        <v>1</v>
      </c>
      <c r="ED1318">
        <v>0</v>
      </c>
      <c r="EE1318">
        <v>0</v>
      </c>
      <c r="EF1318">
        <v>1</v>
      </c>
      <c r="EG1318">
        <v>0</v>
      </c>
      <c r="EH1318">
        <v>0</v>
      </c>
      <c r="EI1318" s="2">
        <v>0</v>
      </c>
      <c r="EK1318" t="str">
        <f>IF(AND(AND(AND(OR($DX1318=1,$DW1318=1),OR($EC1318=1,$EA1318=1)),SUM($DV1318:$DZ1318,$EF1318)&gt;=4),SUM($EA1318:$EE1318)&gt;=2),"Whole sector","")</f>
        <v>Whole sector</v>
      </c>
      <c r="EL1318" t="str">
        <f>IF(AND(AND(OR($DX1318=1,$DW1318=1),AND($EC1318=0,$EA1318=0)),SUM($DV1318:$DZ1318,$EF1318)&gt;=4),"Ecosystem approach","")</f>
        <v/>
      </c>
      <c r="EM1318" s="2" t="str">
        <f t="shared" si="1662"/>
        <v/>
      </c>
      <c r="EP1318" t="str">
        <f>IF(ISNUMBER(BU1318),IF(ABS(BU1318-[4]QC_indicators!$B$2)&gt;3*[4]QC_indicators!$C$2,"C ratio",IF(ISNUMBER(BY1318),IF(ABS(BY1318-[4]QC_indicators!$B$1)&gt;3*[4]QC_indicators!$C$1,"DF","no"))),IF(ISNUMBER(BY1318),IF(ABS(BY1318-[4]QC_indicators!$B$1)&gt;3*[4]QC_indicators!$C$1,"DF","no")))</f>
        <v>no</v>
      </c>
      <c r="ET1318" s="264" t="s">
        <v>3406</v>
      </c>
    </row>
    <row r="1319" spans="1:150" ht="15" hidden="1" customHeight="1">
      <c r="A1319" s="1" t="s">
        <v>5017</v>
      </c>
      <c r="B1319" t="s">
        <v>544</v>
      </c>
      <c r="C1319" t="s">
        <v>544</v>
      </c>
      <c r="D1319" t="s">
        <v>5018</v>
      </c>
      <c r="E1319" t="s">
        <v>5019</v>
      </c>
      <c r="F1319" t="s">
        <v>5020</v>
      </c>
      <c r="G1319" t="s">
        <v>544</v>
      </c>
      <c r="H1319" t="s">
        <v>3964</v>
      </c>
      <c r="I1319">
        <v>2003</v>
      </c>
      <c r="J1319">
        <v>0</v>
      </c>
      <c r="K1319" t="s">
        <v>544</v>
      </c>
      <c r="M1319" t="str">
        <f t="shared" si="1689"/>
        <v>Read_2003</v>
      </c>
      <c r="N1319" t="s">
        <v>2583</v>
      </c>
      <c r="O1319" s="145" t="s">
        <v>341</v>
      </c>
      <c r="Q1319" s="311" t="s">
        <v>256</v>
      </c>
      <c r="R1319" s="312"/>
      <c r="AX1319" s="141"/>
      <c r="AY1319" s="141"/>
      <c r="BE1319"/>
      <c r="BF1319" s="2"/>
      <c r="BU1319" s="144"/>
      <c r="BY1319" t="str">
        <f t="shared" si="1661"/>
        <v/>
      </c>
      <c r="CN1319"/>
      <c r="CO1319"/>
      <c r="CP1319"/>
      <c r="CQ1319"/>
      <c r="CR1319"/>
      <c r="CS1319"/>
      <c r="CT1319"/>
      <c r="CU1319"/>
      <c r="CV1319" s="2"/>
      <c r="CX1319"/>
      <c r="DC1319"/>
      <c r="DI1319"/>
      <c r="DJ1319"/>
      <c r="DK1319"/>
      <c r="DL1319"/>
      <c r="DM1319"/>
      <c r="DN1319"/>
      <c r="DT1319"/>
      <c r="DU1319" s="143"/>
      <c r="EK1319" t="str">
        <f t="shared" ref="EK1319:EK1339" si="1722">IF(AND(AND(AND(OR($DX1319=1,$DW1319=1),OR($EC1319=1,$EA1319=1)),SUM($DV1319:$DZ1319,$EF1319)&gt;=3),SUM($EA1319:$EE1319)&gt;=2),"Whole sector","")</f>
        <v/>
      </c>
      <c r="EL1319" t="str">
        <f t="shared" ref="EL1319:EL1339" si="1723">IF(AND(AND(OR($DX1319=1,$DW1319=1),AND($EC1319=0,$EA1319=0)),SUM($DV1319:$DZ1319,$EF1319)&gt;=3),"Ecosystem approach","")</f>
        <v/>
      </c>
      <c r="EM1319" s="2" t="str">
        <f t="shared" si="1662"/>
        <v/>
      </c>
      <c r="EO1319" t="s">
        <v>450</v>
      </c>
      <c r="EP1319" t="b">
        <f>IF(ISNUMBER(BU1319),IF(ABS(BU1319-[1]QC_indicators!$B$2)&gt;3*[1]QC_indicators!$C$2,"C ratio",IF(ISNUMBER(BY1319),IF(ABS(BY1319-[1]QC_indicators!$B$1)&gt;3*[1]QC_indicators!$C$1,"DF","no"))),IF(ISNUMBER(BY1319),IF(ABS(BY1319-[1]QC_indicators!$B$1)&gt;3*[1]QC_indicators!$C$1,"DF","no")))</f>
        <v>0</v>
      </c>
    </row>
    <row r="1320" spans="1:150" ht="15" hidden="1" customHeight="1">
      <c r="A1320" s="1" t="s">
        <v>4044</v>
      </c>
      <c r="B1320" t="s">
        <v>4045</v>
      </c>
      <c r="C1320" t="s">
        <v>4046</v>
      </c>
      <c r="D1320" t="s">
        <v>4047</v>
      </c>
      <c r="E1320" t="s">
        <v>4048</v>
      </c>
      <c r="F1320" t="s">
        <v>4049</v>
      </c>
      <c r="G1320" t="s">
        <v>4050</v>
      </c>
      <c r="H1320" t="s">
        <v>254</v>
      </c>
      <c r="I1320">
        <v>2020</v>
      </c>
      <c r="J1320">
        <v>2</v>
      </c>
      <c r="K1320" t="s">
        <v>4051</v>
      </c>
      <c r="M1320" t="str">
        <f t="shared" si="1689"/>
        <v>Rempelos_2020</v>
      </c>
      <c r="N1320" s="311" t="s">
        <v>4382</v>
      </c>
      <c r="O1320" s="171" t="s">
        <v>341</v>
      </c>
      <c r="P1320" t="s">
        <v>225</v>
      </c>
      <c r="Q1320" s="311" t="s">
        <v>389</v>
      </c>
      <c r="R1320" s="312"/>
      <c r="S1320" s="1" t="s">
        <v>4052</v>
      </c>
      <c r="T1320" t="s">
        <v>4053</v>
      </c>
      <c r="U1320" t="s">
        <v>4054</v>
      </c>
      <c r="V1320">
        <v>0</v>
      </c>
      <c r="W1320">
        <v>0</v>
      </c>
      <c r="X1320">
        <v>0</v>
      </c>
      <c r="Y1320">
        <v>0</v>
      </c>
      <c r="Z1320">
        <v>0</v>
      </c>
      <c r="AA1320">
        <v>0</v>
      </c>
      <c r="AB1320">
        <v>0</v>
      </c>
      <c r="AC1320">
        <v>0</v>
      </c>
      <c r="AD1320">
        <v>0</v>
      </c>
      <c r="AE1320">
        <v>0</v>
      </c>
      <c r="AF1320">
        <v>0</v>
      </c>
      <c r="AG1320">
        <v>0</v>
      </c>
      <c r="AH1320">
        <v>0</v>
      </c>
      <c r="AI1320">
        <v>0</v>
      </c>
      <c r="AJ1320">
        <v>0</v>
      </c>
      <c r="AK1320">
        <v>1</v>
      </c>
      <c r="AL1320">
        <v>0</v>
      </c>
      <c r="AM1320">
        <v>0</v>
      </c>
      <c r="AN1320">
        <v>0</v>
      </c>
      <c r="AO1320">
        <v>0</v>
      </c>
      <c r="AP1320">
        <v>0</v>
      </c>
      <c r="AQ1320">
        <v>0</v>
      </c>
      <c r="AR1320">
        <v>0</v>
      </c>
      <c r="AS1320">
        <v>0</v>
      </c>
      <c r="AT1320">
        <v>0</v>
      </c>
      <c r="AU1320">
        <v>0</v>
      </c>
      <c r="AV1320">
        <v>0</v>
      </c>
      <c r="AW1320">
        <v>0</v>
      </c>
      <c r="AX1320" s="141">
        <f t="shared" ref="AX1320:AX1343" si="1724">COUNTIF(V1320:AW1320,"&lt;&gt;0")</f>
        <v>1</v>
      </c>
      <c r="AY1320" s="141">
        <f t="shared" ref="AY1320:AY1343" si="1725">COUNTIF(V1320:AL1320,"&lt;&gt;0")</f>
        <v>1</v>
      </c>
      <c r="AZ1320">
        <f t="shared" ref="AZ1320:AZ1343" si="1726">COUNTIF(V1320:AC1320,"&lt;&gt;0")</f>
        <v>0</v>
      </c>
      <c r="BA1320">
        <f t="shared" ref="BA1320:BA1343" si="1727">COUNTIF(AD1320:AI1320,"&lt;&gt;0")</f>
        <v>0</v>
      </c>
      <c r="BB1320">
        <f t="shared" ref="BB1320:BB1343" si="1728">COUNTIF(AJ1320:AL1320,"&lt;&gt;0")</f>
        <v>1</v>
      </c>
      <c r="BC1320">
        <f t="shared" ref="BC1320:BC1343" si="1729">COUNTIF(AS1320:AW1320,"&lt;&gt;0")</f>
        <v>0</v>
      </c>
      <c r="BD1320">
        <f t="shared" ref="BD1320:BD1343" si="1730">COUNTIF(AM1320:AR1320,"&lt;&gt;0")</f>
        <v>0</v>
      </c>
      <c r="BE1320" t="str" cm="1">
        <f t="array" ref="BE1320">IF(AY1320=1,INDEX($V$7:$AL$7,MATCH(TRUE,INDEX($V1320:$AW1320&lt;&gt;0,),0)),IF(AY1320=0,INDEX($AM$7:$AW$7,MATCH(1,$AM1320:$AW1320,0)),IF(BF1320="Multiple strategies","mixed drivers",IF(BF1320="Supply chain","multiple supply","multiple silviculture"))))</f>
        <v>technologies/design switch</v>
      </c>
      <c r="BF1320" s="2" t="str" cm="1">
        <f t="array" ref="BF1320">IF(COUNTIF(AZ1320:BB1320,"&lt;&gt;0")=1,INDEX($V$4:$AW$4,MATCH(TRUE,INDEX($V1320:$AW1320&lt;&gt;0,),0)),IF(COUNTIF(AZ1320:BB1320,"&lt;&gt;0")=0,INDEX($AM$4:$AW$4,MATCH(1,$AM1320:$AW1320,0)),"Multiple strategies"))</f>
        <v>Technology</v>
      </c>
      <c r="BM1320" t="str">
        <f t="shared" ref="BM1320:BM1327" si="1731">IFERROR(BL1320/BK1320,"")</f>
        <v/>
      </c>
      <c r="BP1320" t="s">
        <v>395</v>
      </c>
      <c r="BQ1320" t="s">
        <v>4055</v>
      </c>
      <c r="BR1320" t="s">
        <v>4056</v>
      </c>
      <c r="BS1320">
        <v>335.9</v>
      </c>
      <c r="BT1320">
        <v>226.4</v>
      </c>
      <c r="BU1320" s="144">
        <f t="shared" ref="BU1320:BU1327" si="1732">BT1320/BS1320</f>
        <v>0.674010122060137</v>
      </c>
      <c r="BV1320">
        <f t="shared" ref="BV1320:BV1327" si="1733">BT1320-BS1320</f>
        <v>-109.49999999999997</v>
      </c>
      <c r="BY1320" t="str">
        <f t="shared" si="1661"/>
        <v/>
      </c>
      <c r="BZ1320">
        <v>0</v>
      </c>
      <c r="CA1320">
        <v>0</v>
      </c>
      <c r="CB1320">
        <v>0</v>
      </c>
      <c r="CC1320">
        <v>0</v>
      </c>
      <c r="CD1320">
        <v>0</v>
      </c>
      <c r="CE1320">
        <v>0</v>
      </c>
      <c r="CF1320">
        <v>0</v>
      </c>
      <c r="CG1320">
        <v>0</v>
      </c>
      <c r="CH1320">
        <v>0</v>
      </c>
      <c r="CI1320">
        <v>0</v>
      </c>
      <c r="CJ1320">
        <v>0</v>
      </c>
      <c r="CK1320">
        <v>0</v>
      </c>
      <c r="CL1320">
        <v>0</v>
      </c>
      <c r="CM1320">
        <v>0</v>
      </c>
      <c r="CN1320" t="str">
        <f t="shared" ref="CN1320:CN1327" si="1734">IF($BL1320&lt;$BK1320,"refNeedCorrection","refOK")</f>
        <v>refOK</v>
      </c>
      <c r="CO1320"/>
      <c r="CP1320"/>
      <c r="CQ1320"/>
      <c r="CR1320">
        <f t="shared" ref="CR1320:CR1339" si="1735">IF($CN1320="refOK",$BS1320,$BT1320)*IF($BP1320="Emissions positive",-1,1)</f>
        <v>-335.9</v>
      </c>
      <c r="CS1320">
        <f t="shared" ref="CS1320:CS1339" si="1736">IF($CN1320="refOK",$BT1320,$BS1320)*IF($BP1320="Emissions positive",-1,1)</f>
        <v>-226.4</v>
      </c>
      <c r="CT1320">
        <f t="shared" ref="CT1320:CT1339" si="1737">IF($CN1320="refNeedCorrection",-BX1320,BX1320)*IF($BP1320="Emissions positive",-1,1)</f>
        <v>0</v>
      </c>
      <c r="CU1320" t="str">
        <f t="shared" ref="CU1320:CU1339" si="1738">IFERROR(CT1320/CQ1320,"")</f>
        <v/>
      </c>
      <c r="CV1320" s="2">
        <f t="shared" ref="CV1320:CV1343" si="1739">IFERROR((CS1320-CR1320)/ABS(CR1320),"")</f>
        <v>0.325989877939863</v>
      </c>
      <c r="CW1320" s="1" t="s">
        <v>263</v>
      </c>
      <c r="CX1320" s="311" t="str">
        <f t="shared" ref="CX1320:CX1343" si="1740">IF(OR($CW1320="prd",$CW1320="std",$CW1320="cit"),"loc",IF(OR($CW1320="eur",$CW1320="reg",$CW1320="coy"),"reg",$CW1320))</f>
        <v>loc</v>
      </c>
      <c r="CY1320" t="s">
        <v>3493</v>
      </c>
      <c r="DB1320">
        <v>60</v>
      </c>
      <c r="DC1320" t="str">
        <f t="shared" ref="DC1320:DC1343" si="1741">IF(DB1320=0,"0",IF(AND(DB1320&gt;=1,DB1320&lt;=30),"1-30",IF(AND(DB1320&gt;30,DB1320&lt;=70),"31-70",IF(AND(DB1320&gt;70,DB1320&lt;=100),"71-100",IF(DB1320&gt;100,"+100")))))</f>
        <v>31-70</v>
      </c>
      <c r="DD1320">
        <v>0</v>
      </c>
      <c r="DE1320">
        <v>0</v>
      </c>
      <c r="DF1320">
        <v>0</v>
      </c>
      <c r="DG1320">
        <v>1</v>
      </c>
      <c r="DH1320">
        <v>1</v>
      </c>
      <c r="DI1320">
        <f t="shared" ref="DI1320:DI1343" si="1742">SUM(DD1320:DG1320)</f>
        <v>1</v>
      </c>
      <c r="DJ1320" t="str">
        <f t="shared" ref="DJ1320:DJ1343" si="1743">IF(DI1320=1,INDEX($DD$7:$DG$7,MATCH(1,$DD1320:$DG1320,0)),"mixedProduct")</f>
        <v>TimberInput</v>
      </c>
      <c r="DK1320">
        <f t="shared" ref="DK1320:DK1343" si="1744">IF(DD1320=1,DK$7,0)</f>
        <v>0</v>
      </c>
      <c r="DL1320">
        <f t="shared" ref="DL1320:DL1343" si="1745">IF(DE1320=1,DL$7,0)</f>
        <v>0</v>
      </c>
      <c r="DM1320">
        <f t="shared" ref="DM1320:DM1343" si="1746">IF(DF1320=1,DM$7,0)</f>
        <v>0</v>
      </c>
      <c r="DN1320" t="str">
        <f t="shared" ref="DN1320:DN1343" si="1747">IF(DG1320=1,DN$7,0)</f>
        <v>Timber</v>
      </c>
      <c r="DO1320">
        <v>1</v>
      </c>
      <c r="DP1320">
        <v>0</v>
      </c>
      <c r="DQ1320">
        <v>0</v>
      </c>
      <c r="DR1320">
        <v>0</v>
      </c>
      <c r="DS1320">
        <v>0</v>
      </c>
      <c r="DT1320">
        <f t="shared" ref="DT1320:DT1343" si="1748">SUM(DO1320:DP1320)</f>
        <v>1</v>
      </c>
      <c r="DU1320" s="143" t="str">
        <f t="shared" ref="DU1320:DU1343" si="1749">IF(DO1320=1,"self-calculated DF",IF(DP1320=1,"external DF used","explicit C balance"))</f>
        <v>self-calculated DF</v>
      </c>
      <c r="DV1320">
        <v>0</v>
      </c>
      <c r="DW1320">
        <v>0</v>
      </c>
      <c r="DX1320">
        <v>0</v>
      </c>
      <c r="DY1320">
        <v>0</v>
      </c>
      <c r="DZ1320">
        <v>0</v>
      </c>
      <c r="EA1320" s="143">
        <v>0</v>
      </c>
      <c r="EB1320">
        <v>0</v>
      </c>
      <c r="EC1320">
        <v>1</v>
      </c>
      <c r="ED1320">
        <v>1</v>
      </c>
      <c r="EE1320">
        <v>1</v>
      </c>
      <c r="EF1320">
        <v>0</v>
      </c>
      <c r="EG1320">
        <v>0</v>
      </c>
      <c r="EH1320">
        <v>0</v>
      </c>
      <c r="EI1320" s="2">
        <v>0</v>
      </c>
      <c r="EK1320" t="str">
        <f t="shared" si="1722"/>
        <v/>
      </c>
      <c r="EL1320" t="str">
        <f t="shared" si="1723"/>
        <v/>
      </c>
      <c r="EM1320" s="2" t="str">
        <f t="shared" si="1662"/>
        <v>Technology approach</v>
      </c>
      <c r="EP1320" t="b">
        <f>IF(ISNUMBER(BU1320),IF(ABS(BU1320-[1]QC_indicators!$B$2)&gt;3*[1]QC_indicators!$C$2,"C ratio",IF(ISNUMBER(BY1320),IF(ABS(BY1320-[1]QC_indicators!$B$1)&gt;3*[1]QC_indicators!$C$1,"DF","no"))),IF(ISNUMBER(BY1320),IF(ABS(BY1320-[1]QC_indicators!$B$1)&gt;3*[1]QC_indicators!$C$1,"DF","no")))</f>
        <v>0</v>
      </c>
    </row>
    <row r="1321" spans="1:150" ht="15" hidden="1" customHeight="1">
      <c r="A1321" s="1" t="s">
        <v>4044</v>
      </c>
      <c r="B1321" t="s">
        <v>4045</v>
      </c>
      <c r="C1321" t="s">
        <v>4046</v>
      </c>
      <c r="D1321" t="s">
        <v>4047</v>
      </c>
      <c r="E1321" t="s">
        <v>4048</v>
      </c>
      <c r="F1321" t="s">
        <v>4049</v>
      </c>
      <c r="G1321" t="s">
        <v>4050</v>
      </c>
      <c r="H1321" t="s">
        <v>254</v>
      </c>
      <c r="I1321">
        <v>2020</v>
      </c>
      <c r="J1321">
        <v>2</v>
      </c>
      <c r="K1321" t="s">
        <v>4051</v>
      </c>
      <c r="M1321" t="str">
        <f t="shared" si="1689"/>
        <v>Rempelos_2020</v>
      </c>
      <c r="N1321" s="311" t="s">
        <v>4382</v>
      </c>
      <c r="O1321" s="171" t="s">
        <v>341</v>
      </c>
      <c r="P1321" t="s">
        <v>225</v>
      </c>
      <c r="Q1321" s="311" t="s">
        <v>389</v>
      </c>
      <c r="R1321" s="312"/>
      <c r="S1321" s="1" t="s">
        <v>4057</v>
      </c>
      <c r="T1321" t="s">
        <v>4053</v>
      </c>
      <c r="U1321" t="s">
        <v>4054</v>
      </c>
      <c r="V1321">
        <v>0</v>
      </c>
      <c r="W1321">
        <v>0</v>
      </c>
      <c r="X1321">
        <v>0</v>
      </c>
      <c r="Y1321">
        <v>0</v>
      </c>
      <c r="Z1321">
        <v>0</v>
      </c>
      <c r="AA1321">
        <v>0</v>
      </c>
      <c r="AB1321">
        <v>0</v>
      </c>
      <c r="AC1321">
        <v>0</v>
      </c>
      <c r="AD1321">
        <v>0</v>
      </c>
      <c r="AE1321">
        <v>0</v>
      </c>
      <c r="AF1321">
        <v>0</v>
      </c>
      <c r="AG1321">
        <v>0</v>
      </c>
      <c r="AH1321">
        <v>0</v>
      </c>
      <c r="AI1321">
        <v>0</v>
      </c>
      <c r="AJ1321">
        <v>0</v>
      </c>
      <c r="AK1321">
        <v>1</v>
      </c>
      <c r="AL1321">
        <v>0</v>
      </c>
      <c r="AM1321">
        <v>0</v>
      </c>
      <c r="AN1321">
        <v>0</v>
      </c>
      <c r="AO1321">
        <v>0</v>
      </c>
      <c r="AP1321">
        <v>0</v>
      </c>
      <c r="AQ1321">
        <v>0</v>
      </c>
      <c r="AR1321">
        <v>0</v>
      </c>
      <c r="AS1321">
        <v>0</v>
      </c>
      <c r="AT1321">
        <v>0</v>
      </c>
      <c r="AU1321">
        <v>0</v>
      </c>
      <c r="AV1321">
        <v>0</v>
      </c>
      <c r="AW1321">
        <v>0</v>
      </c>
      <c r="AX1321" s="141">
        <f t="shared" si="1724"/>
        <v>1</v>
      </c>
      <c r="AY1321" s="141">
        <f t="shared" si="1725"/>
        <v>1</v>
      </c>
      <c r="AZ1321">
        <f t="shared" si="1726"/>
        <v>0</v>
      </c>
      <c r="BA1321">
        <f t="shared" si="1727"/>
        <v>0</v>
      </c>
      <c r="BB1321">
        <f t="shared" si="1728"/>
        <v>1</v>
      </c>
      <c r="BC1321">
        <f t="shared" si="1729"/>
        <v>0</v>
      </c>
      <c r="BD1321">
        <f t="shared" si="1730"/>
        <v>0</v>
      </c>
      <c r="BE1321" t="str" cm="1">
        <f t="array" ref="BE1321">IF(AY1321=1,INDEX($V$7:$AL$7,MATCH(TRUE,INDEX($V1321:$AW1321&lt;&gt;0,),0)),IF(AY1321=0,INDEX($AM$7:$AW$7,MATCH(1,$AM1321:$AW1321,0)),IF(BF1321="Multiple strategies","mixed drivers",IF(BF1321="Supply chain","multiple supply","multiple silviculture"))))</f>
        <v>technologies/design switch</v>
      </c>
      <c r="BF1321" s="2" t="str" cm="1">
        <f t="array" ref="BF1321">IF(COUNTIF(AZ1321:BB1321,"&lt;&gt;0")=1,INDEX($V$4:$AW$4,MATCH(TRUE,INDEX($V1321:$AW1321&lt;&gt;0,),0)),IF(COUNTIF(AZ1321:BB1321,"&lt;&gt;0")=0,INDEX($AM$4:$AW$4,MATCH(1,$AM1321:$AW1321,0)),"Multiple strategies"))</f>
        <v>Technology</v>
      </c>
      <c r="BM1321" t="str">
        <f t="shared" si="1731"/>
        <v/>
      </c>
      <c r="BP1321" t="s">
        <v>395</v>
      </c>
      <c r="BQ1321" t="s">
        <v>4055</v>
      </c>
      <c r="BR1321" t="s">
        <v>4056</v>
      </c>
      <c r="BS1321">
        <v>671.9</v>
      </c>
      <c r="BT1321">
        <v>490.9</v>
      </c>
      <c r="BU1321" s="144">
        <f t="shared" si="1732"/>
        <v>0.73061467480279807</v>
      </c>
      <c r="BV1321">
        <f t="shared" si="1733"/>
        <v>-181</v>
      </c>
      <c r="BY1321" t="str">
        <f t="shared" si="1661"/>
        <v/>
      </c>
      <c r="BZ1321">
        <v>0</v>
      </c>
      <c r="CA1321">
        <v>0</v>
      </c>
      <c r="CB1321">
        <v>0</v>
      </c>
      <c r="CC1321">
        <v>0</v>
      </c>
      <c r="CD1321">
        <v>0</v>
      </c>
      <c r="CE1321">
        <v>0</v>
      </c>
      <c r="CF1321">
        <v>0</v>
      </c>
      <c r="CG1321">
        <v>0</v>
      </c>
      <c r="CH1321">
        <v>0</v>
      </c>
      <c r="CI1321">
        <v>0</v>
      </c>
      <c r="CJ1321">
        <v>0</v>
      </c>
      <c r="CK1321">
        <v>0</v>
      </c>
      <c r="CL1321">
        <v>0</v>
      </c>
      <c r="CM1321">
        <v>0</v>
      </c>
      <c r="CN1321" t="str">
        <f t="shared" si="1734"/>
        <v>refOK</v>
      </c>
      <c r="CO1321"/>
      <c r="CP1321"/>
      <c r="CQ1321"/>
      <c r="CR1321">
        <f t="shared" si="1735"/>
        <v>-671.9</v>
      </c>
      <c r="CS1321">
        <f t="shared" si="1736"/>
        <v>-490.9</v>
      </c>
      <c r="CT1321">
        <f t="shared" si="1737"/>
        <v>0</v>
      </c>
      <c r="CU1321" t="str">
        <f t="shared" si="1738"/>
        <v/>
      </c>
      <c r="CV1321" s="2">
        <f t="shared" si="1739"/>
        <v>0.26938532519720199</v>
      </c>
      <c r="CW1321" s="1" t="s">
        <v>263</v>
      </c>
      <c r="CX1321" s="311" t="str">
        <f t="shared" si="1740"/>
        <v>loc</v>
      </c>
      <c r="CY1321" t="s">
        <v>3493</v>
      </c>
      <c r="DB1321">
        <v>60</v>
      </c>
      <c r="DC1321" t="str">
        <f t="shared" si="1741"/>
        <v>31-70</v>
      </c>
      <c r="DD1321">
        <v>0</v>
      </c>
      <c r="DE1321">
        <v>0</v>
      </c>
      <c r="DF1321">
        <v>0</v>
      </c>
      <c r="DG1321">
        <v>1</v>
      </c>
      <c r="DH1321">
        <v>1</v>
      </c>
      <c r="DI1321">
        <f t="shared" si="1742"/>
        <v>1</v>
      </c>
      <c r="DJ1321" t="str">
        <f t="shared" si="1743"/>
        <v>TimberInput</v>
      </c>
      <c r="DK1321">
        <f t="shared" si="1744"/>
        <v>0</v>
      </c>
      <c r="DL1321">
        <f t="shared" si="1745"/>
        <v>0</v>
      </c>
      <c r="DM1321">
        <f t="shared" si="1746"/>
        <v>0</v>
      </c>
      <c r="DN1321" t="str">
        <f t="shared" si="1747"/>
        <v>Timber</v>
      </c>
      <c r="DO1321">
        <v>1</v>
      </c>
      <c r="DP1321">
        <v>0</v>
      </c>
      <c r="DQ1321">
        <v>0</v>
      </c>
      <c r="DR1321">
        <v>0</v>
      </c>
      <c r="DS1321">
        <v>0</v>
      </c>
      <c r="DT1321">
        <f t="shared" si="1748"/>
        <v>1</v>
      </c>
      <c r="DU1321" s="143" t="str">
        <f t="shared" si="1749"/>
        <v>self-calculated DF</v>
      </c>
      <c r="DV1321">
        <v>0</v>
      </c>
      <c r="DW1321">
        <v>0</v>
      </c>
      <c r="DX1321">
        <v>0</v>
      </c>
      <c r="DY1321">
        <v>0</v>
      </c>
      <c r="DZ1321">
        <v>0</v>
      </c>
      <c r="EA1321" s="143">
        <v>0</v>
      </c>
      <c r="EB1321">
        <v>0</v>
      </c>
      <c r="EC1321">
        <v>1</v>
      </c>
      <c r="ED1321">
        <v>1</v>
      </c>
      <c r="EE1321">
        <v>1</v>
      </c>
      <c r="EF1321">
        <v>0</v>
      </c>
      <c r="EG1321">
        <v>0</v>
      </c>
      <c r="EH1321">
        <v>0</v>
      </c>
      <c r="EI1321" s="2">
        <v>0</v>
      </c>
      <c r="EK1321" t="str">
        <f t="shared" si="1722"/>
        <v/>
      </c>
      <c r="EL1321" t="str">
        <f t="shared" si="1723"/>
        <v/>
      </c>
      <c r="EM1321" s="2" t="str">
        <f t="shared" si="1662"/>
        <v>Technology approach</v>
      </c>
      <c r="EP1321" t="b">
        <f>IF(ISNUMBER(BU1321),IF(ABS(BU1321-[1]QC_indicators!$B$2)&gt;3*[1]QC_indicators!$C$2,"C ratio",IF(ISNUMBER(BY1321),IF(ABS(BY1321-[1]QC_indicators!$B$1)&gt;3*[1]QC_indicators!$C$1,"DF","no"))),IF(ISNUMBER(BY1321),IF(ABS(BY1321-[1]QC_indicators!$B$1)&gt;3*[1]QC_indicators!$C$1,"DF","no")))</f>
        <v>0</v>
      </c>
    </row>
    <row r="1322" spans="1:150" ht="15" hidden="1" customHeight="1">
      <c r="A1322" s="1" t="s">
        <v>4044</v>
      </c>
      <c r="B1322" t="s">
        <v>4045</v>
      </c>
      <c r="C1322" t="s">
        <v>4046</v>
      </c>
      <c r="D1322" t="s">
        <v>4047</v>
      </c>
      <c r="E1322" t="s">
        <v>4048</v>
      </c>
      <c r="F1322" t="s">
        <v>4049</v>
      </c>
      <c r="G1322" t="s">
        <v>4050</v>
      </c>
      <c r="H1322" t="s">
        <v>254</v>
      </c>
      <c r="I1322">
        <v>2020</v>
      </c>
      <c r="J1322">
        <v>2</v>
      </c>
      <c r="K1322" t="s">
        <v>4051</v>
      </c>
      <c r="M1322" t="str">
        <f t="shared" si="1689"/>
        <v>Rempelos_2020</v>
      </c>
      <c r="N1322" s="311" t="s">
        <v>4382</v>
      </c>
      <c r="O1322" s="171" t="s">
        <v>341</v>
      </c>
      <c r="P1322" t="s">
        <v>225</v>
      </c>
      <c r="Q1322" s="311" t="s">
        <v>389</v>
      </c>
      <c r="R1322" s="312"/>
      <c r="S1322" s="1" t="s">
        <v>4052</v>
      </c>
      <c r="T1322" t="s">
        <v>258</v>
      </c>
      <c r="U1322" t="s">
        <v>4054</v>
      </c>
      <c r="V1322">
        <v>0</v>
      </c>
      <c r="W1322">
        <v>0</v>
      </c>
      <c r="X1322">
        <v>0</v>
      </c>
      <c r="Y1322">
        <v>0</v>
      </c>
      <c r="Z1322">
        <v>0</v>
      </c>
      <c r="AA1322">
        <v>0</v>
      </c>
      <c r="AB1322">
        <v>0</v>
      </c>
      <c r="AC1322">
        <v>0</v>
      </c>
      <c r="AD1322">
        <v>0</v>
      </c>
      <c r="AE1322">
        <v>0</v>
      </c>
      <c r="AF1322">
        <v>0</v>
      </c>
      <c r="AG1322">
        <v>0</v>
      </c>
      <c r="AH1322">
        <v>0</v>
      </c>
      <c r="AI1322">
        <v>0</v>
      </c>
      <c r="AJ1322">
        <v>0</v>
      </c>
      <c r="AK1322">
        <v>1</v>
      </c>
      <c r="AL1322">
        <v>0</v>
      </c>
      <c r="AM1322">
        <v>0</v>
      </c>
      <c r="AN1322">
        <v>0</v>
      </c>
      <c r="AO1322">
        <v>0</v>
      </c>
      <c r="AP1322">
        <v>0</v>
      </c>
      <c r="AQ1322">
        <v>0</v>
      </c>
      <c r="AR1322">
        <v>0</v>
      </c>
      <c r="AS1322">
        <v>0</v>
      </c>
      <c r="AT1322">
        <v>0</v>
      </c>
      <c r="AU1322">
        <v>0</v>
      </c>
      <c r="AV1322">
        <v>0</v>
      </c>
      <c r="AW1322">
        <v>0</v>
      </c>
      <c r="AX1322" s="141">
        <f t="shared" si="1724"/>
        <v>1</v>
      </c>
      <c r="AY1322" s="141">
        <f t="shared" si="1725"/>
        <v>1</v>
      </c>
      <c r="AZ1322">
        <f t="shared" si="1726"/>
        <v>0</v>
      </c>
      <c r="BA1322">
        <f t="shared" si="1727"/>
        <v>0</v>
      </c>
      <c r="BB1322">
        <f t="shared" si="1728"/>
        <v>1</v>
      </c>
      <c r="BC1322">
        <f t="shared" si="1729"/>
        <v>0</v>
      </c>
      <c r="BD1322">
        <f t="shared" si="1730"/>
        <v>0</v>
      </c>
      <c r="BE1322" t="str" cm="1">
        <f t="array" ref="BE1322">IF(AY1322=1,INDEX($V$7:$AL$7,MATCH(TRUE,INDEX($V1322:$AW1322&lt;&gt;0,),0)),IF(AY1322=0,INDEX($AM$7:$AW$7,MATCH(1,$AM1322:$AW1322,0)),IF(BF1322="Multiple strategies","mixed drivers",IF(BF1322="Supply chain","multiple supply","multiple silviculture"))))</f>
        <v>technologies/design switch</v>
      </c>
      <c r="BF1322" s="2" t="str" cm="1">
        <f t="array" ref="BF1322">IF(COUNTIF(AZ1322:BB1322,"&lt;&gt;0")=1,INDEX($V$4:$AW$4,MATCH(TRUE,INDEX($V1322:$AW1322&lt;&gt;0,),0)),IF(COUNTIF(AZ1322:BB1322,"&lt;&gt;0")=0,INDEX($AM$4:$AW$4,MATCH(1,$AM1322:$AW1322,0)),"Multiple strategies"))</f>
        <v>Technology</v>
      </c>
      <c r="BM1322" t="str">
        <f t="shared" si="1731"/>
        <v/>
      </c>
      <c r="BP1322" t="s">
        <v>395</v>
      </c>
      <c r="BQ1322" t="s">
        <v>4055</v>
      </c>
      <c r="BR1322" t="s">
        <v>4056</v>
      </c>
      <c r="BS1322">
        <v>239.6</v>
      </c>
      <c r="BT1322">
        <v>226.4</v>
      </c>
      <c r="BU1322" s="144">
        <f t="shared" si="1732"/>
        <v>0.94490818030050083</v>
      </c>
      <c r="BV1322">
        <f t="shared" si="1733"/>
        <v>-13.199999999999989</v>
      </c>
      <c r="BY1322" t="str">
        <f t="shared" ref="BY1322:BY1385" si="1750">IFERROR(BX1322/BO1322,"")</f>
        <v/>
      </c>
      <c r="BZ1322">
        <v>0</v>
      </c>
      <c r="CA1322">
        <v>0</v>
      </c>
      <c r="CB1322">
        <v>0</v>
      </c>
      <c r="CC1322">
        <v>0</v>
      </c>
      <c r="CD1322">
        <v>0</v>
      </c>
      <c r="CE1322">
        <v>0</v>
      </c>
      <c r="CF1322">
        <v>0</v>
      </c>
      <c r="CG1322">
        <v>0</v>
      </c>
      <c r="CH1322">
        <v>0</v>
      </c>
      <c r="CI1322">
        <v>0</v>
      </c>
      <c r="CJ1322">
        <v>0</v>
      </c>
      <c r="CK1322">
        <v>0</v>
      </c>
      <c r="CL1322">
        <v>0</v>
      </c>
      <c r="CM1322">
        <v>0</v>
      </c>
      <c r="CN1322" t="str">
        <f t="shared" si="1734"/>
        <v>refOK</v>
      </c>
      <c r="CO1322"/>
      <c r="CP1322"/>
      <c r="CQ1322"/>
      <c r="CR1322">
        <f t="shared" si="1735"/>
        <v>-239.6</v>
      </c>
      <c r="CS1322">
        <f t="shared" si="1736"/>
        <v>-226.4</v>
      </c>
      <c r="CT1322">
        <f t="shared" si="1737"/>
        <v>0</v>
      </c>
      <c r="CU1322" t="str">
        <f t="shared" si="1738"/>
        <v/>
      </c>
      <c r="CV1322" s="2">
        <f t="shared" si="1739"/>
        <v>5.5091819699499119E-2</v>
      </c>
      <c r="CW1322" s="1" t="s">
        <v>263</v>
      </c>
      <c r="CX1322" s="311" t="str">
        <f t="shared" si="1740"/>
        <v>loc</v>
      </c>
      <c r="CY1322" t="s">
        <v>3493</v>
      </c>
      <c r="DB1322">
        <v>60</v>
      </c>
      <c r="DC1322" t="str">
        <f t="shared" si="1741"/>
        <v>31-70</v>
      </c>
      <c r="DD1322">
        <v>0</v>
      </c>
      <c r="DE1322">
        <v>0</v>
      </c>
      <c r="DF1322">
        <v>0</v>
      </c>
      <c r="DG1322">
        <v>1</v>
      </c>
      <c r="DH1322">
        <v>1</v>
      </c>
      <c r="DI1322">
        <f t="shared" si="1742"/>
        <v>1</v>
      </c>
      <c r="DJ1322" t="str">
        <f t="shared" si="1743"/>
        <v>TimberInput</v>
      </c>
      <c r="DK1322">
        <f t="shared" si="1744"/>
        <v>0</v>
      </c>
      <c r="DL1322">
        <f t="shared" si="1745"/>
        <v>0</v>
      </c>
      <c r="DM1322">
        <f t="shared" si="1746"/>
        <v>0</v>
      </c>
      <c r="DN1322" t="str">
        <f t="shared" si="1747"/>
        <v>Timber</v>
      </c>
      <c r="DO1322">
        <v>1</v>
      </c>
      <c r="DP1322">
        <v>0</v>
      </c>
      <c r="DQ1322">
        <v>0</v>
      </c>
      <c r="DR1322">
        <v>0</v>
      </c>
      <c r="DS1322">
        <v>0</v>
      </c>
      <c r="DT1322">
        <f t="shared" si="1748"/>
        <v>1</v>
      </c>
      <c r="DU1322" s="143" t="str">
        <f t="shared" si="1749"/>
        <v>self-calculated DF</v>
      </c>
      <c r="DV1322">
        <v>0</v>
      </c>
      <c r="DW1322">
        <v>0</v>
      </c>
      <c r="DX1322">
        <v>0</v>
      </c>
      <c r="DY1322">
        <v>0</v>
      </c>
      <c r="DZ1322">
        <v>0</v>
      </c>
      <c r="EA1322" s="143">
        <v>0</v>
      </c>
      <c r="EB1322">
        <v>0</v>
      </c>
      <c r="EC1322">
        <v>1</v>
      </c>
      <c r="ED1322">
        <v>1</v>
      </c>
      <c r="EE1322">
        <v>1</v>
      </c>
      <c r="EF1322">
        <v>0</v>
      </c>
      <c r="EG1322">
        <v>0</v>
      </c>
      <c r="EH1322">
        <v>0</v>
      </c>
      <c r="EI1322" s="2">
        <v>0</v>
      </c>
      <c r="EK1322" t="str">
        <f t="shared" si="1722"/>
        <v/>
      </c>
      <c r="EL1322" t="str">
        <f t="shared" si="1723"/>
        <v/>
      </c>
      <c r="EM1322" s="2" t="str">
        <f t="shared" si="1662"/>
        <v>Technology approach</v>
      </c>
      <c r="EP1322" t="b">
        <f>IF(ISNUMBER(BU1322),IF(ABS(BU1322-[1]QC_indicators!$B$2)&gt;3*[1]QC_indicators!$C$2,"C ratio",IF(ISNUMBER(BY1322),IF(ABS(BY1322-[1]QC_indicators!$B$1)&gt;3*[1]QC_indicators!$C$1,"DF","no"))),IF(ISNUMBER(BY1322),IF(ABS(BY1322-[1]QC_indicators!$B$1)&gt;3*[1]QC_indicators!$C$1,"DF","no")))</f>
        <v>0</v>
      </c>
    </row>
    <row r="1323" spans="1:150" ht="15" hidden="1" customHeight="1">
      <c r="A1323" s="1" t="s">
        <v>4044</v>
      </c>
      <c r="B1323" t="s">
        <v>4045</v>
      </c>
      <c r="C1323" t="s">
        <v>4046</v>
      </c>
      <c r="D1323" t="s">
        <v>4047</v>
      </c>
      <c r="E1323" t="s">
        <v>4048</v>
      </c>
      <c r="F1323" t="s">
        <v>4049</v>
      </c>
      <c r="G1323" t="s">
        <v>4050</v>
      </c>
      <c r="H1323" t="s">
        <v>254</v>
      </c>
      <c r="I1323">
        <v>2020</v>
      </c>
      <c r="J1323">
        <v>2</v>
      </c>
      <c r="K1323" t="s">
        <v>4051</v>
      </c>
      <c r="M1323" t="str">
        <f t="shared" si="1689"/>
        <v>Rempelos_2020</v>
      </c>
      <c r="N1323" s="311" t="s">
        <v>4382</v>
      </c>
      <c r="O1323" s="171" t="s">
        <v>341</v>
      </c>
      <c r="P1323" t="s">
        <v>225</v>
      </c>
      <c r="Q1323" s="311" t="s">
        <v>389</v>
      </c>
      <c r="R1323" s="312"/>
      <c r="S1323" s="1" t="s">
        <v>4057</v>
      </c>
      <c r="T1323" t="s">
        <v>258</v>
      </c>
      <c r="U1323" t="s">
        <v>4054</v>
      </c>
      <c r="V1323">
        <v>0</v>
      </c>
      <c r="W1323">
        <v>0</v>
      </c>
      <c r="X1323">
        <v>0</v>
      </c>
      <c r="Y1323">
        <v>0</v>
      </c>
      <c r="Z1323">
        <v>0</v>
      </c>
      <c r="AA1323">
        <v>0</v>
      </c>
      <c r="AB1323">
        <v>0</v>
      </c>
      <c r="AC1323">
        <v>0</v>
      </c>
      <c r="AD1323">
        <v>0</v>
      </c>
      <c r="AE1323">
        <v>0</v>
      </c>
      <c r="AF1323">
        <v>0</v>
      </c>
      <c r="AG1323">
        <v>0</v>
      </c>
      <c r="AH1323">
        <v>0</v>
      </c>
      <c r="AI1323">
        <v>0</v>
      </c>
      <c r="AJ1323">
        <v>0</v>
      </c>
      <c r="AK1323">
        <v>1</v>
      </c>
      <c r="AL1323">
        <v>0</v>
      </c>
      <c r="AM1323">
        <v>0</v>
      </c>
      <c r="AN1323">
        <v>0</v>
      </c>
      <c r="AO1323">
        <v>0</v>
      </c>
      <c r="AP1323">
        <v>0</v>
      </c>
      <c r="AQ1323">
        <v>0</v>
      </c>
      <c r="AR1323">
        <v>0</v>
      </c>
      <c r="AS1323">
        <v>0</v>
      </c>
      <c r="AT1323">
        <v>0</v>
      </c>
      <c r="AU1323">
        <v>0</v>
      </c>
      <c r="AV1323">
        <v>0</v>
      </c>
      <c r="AW1323">
        <v>0</v>
      </c>
      <c r="AX1323" s="141">
        <f t="shared" si="1724"/>
        <v>1</v>
      </c>
      <c r="AY1323" s="141">
        <f t="shared" si="1725"/>
        <v>1</v>
      </c>
      <c r="AZ1323">
        <f t="shared" si="1726"/>
        <v>0</v>
      </c>
      <c r="BA1323">
        <f t="shared" si="1727"/>
        <v>0</v>
      </c>
      <c r="BB1323">
        <f t="shared" si="1728"/>
        <v>1</v>
      </c>
      <c r="BC1323">
        <f t="shared" si="1729"/>
        <v>0</v>
      </c>
      <c r="BD1323">
        <f t="shared" si="1730"/>
        <v>0</v>
      </c>
      <c r="BE1323" t="str" cm="1">
        <f t="array" ref="BE1323">IF(AY1323=1,INDEX($V$7:$AL$7,MATCH(TRUE,INDEX($V1323:$AW1323&lt;&gt;0,),0)),IF(AY1323=0,INDEX($AM$7:$AW$7,MATCH(1,$AM1323:$AW1323,0)),IF(BF1323="Multiple strategies","mixed drivers",IF(BF1323="Supply chain","multiple supply","multiple silviculture"))))</f>
        <v>technologies/design switch</v>
      </c>
      <c r="BF1323" s="2" t="str" cm="1">
        <f t="array" ref="BF1323">IF(COUNTIF(AZ1323:BB1323,"&lt;&gt;0")=1,INDEX($V$4:$AW$4,MATCH(TRUE,INDEX($V1323:$AW1323&lt;&gt;0,),0)),IF(COUNTIF(AZ1323:BB1323,"&lt;&gt;0")=0,INDEX($AM$4:$AW$4,MATCH(1,$AM1323:$AW1323,0)),"Multiple strategies"))</f>
        <v>Technology</v>
      </c>
      <c r="BM1323" t="str">
        <f t="shared" si="1731"/>
        <v/>
      </c>
      <c r="BP1323" t="s">
        <v>395</v>
      </c>
      <c r="BQ1323" t="s">
        <v>4055</v>
      </c>
      <c r="BR1323" t="s">
        <v>4056</v>
      </c>
      <c r="BS1323">
        <v>362.1</v>
      </c>
      <c r="BT1323">
        <v>490.9</v>
      </c>
      <c r="BU1323" s="144">
        <f t="shared" si="1732"/>
        <v>1.3557028445180888</v>
      </c>
      <c r="BV1323">
        <f t="shared" si="1733"/>
        <v>128.79999999999995</v>
      </c>
      <c r="BY1323" t="str">
        <f t="shared" si="1750"/>
        <v/>
      </c>
      <c r="BZ1323">
        <v>0</v>
      </c>
      <c r="CA1323">
        <v>0</v>
      </c>
      <c r="CB1323">
        <v>0</v>
      </c>
      <c r="CC1323">
        <v>0</v>
      </c>
      <c r="CD1323">
        <v>0</v>
      </c>
      <c r="CE1323">
        <v>0</v>
      </c>
      <c r="CF1323">
        <v>0</v>
      </c>
      <c r="CG1323">
        <v>0</v>
      </c>
      <c r="CH1323">
        <v>0</v>
      </c>
      <c r="CI1323">
        <v>0</v>
      </c>
      <c r="CJ1323">
        <v>0</v>
      </c>
      <c r="CK1323">
        <v>0</v>
      </c>
      <c r="CL1323">
        <v>0</v>
      </c>
      <c r="CM1323">
        <v>0</v>
      </c>
      <c r="CN1323" t="str">
        <f t="shared" si="1734"/>
        <v>refOK</v>
      </c>
      <c r="CO1323"/>
      <c r="CP1323"/>
      <c r="CQ1323"/>
      <c r="CR1323">
        <f t="shared" si="1735"/>
        <v>-362.1</v>
      </c>
      <c r="CS1323">
        <f t="shared" si="1736"/>
        <v>-490.9</v>
      </c>
      <c r="CT1323">
        <f t="shared" si="1737"/>
        <v>0</v>
      </c>
      <c r="CU1323" t="str">
        <f t="shared" si="1738"/>
        <v/>
      </c>
      <c r="CV1323" s="2">
        <f t="shared" si="1739"/>
        <v>-0.35570284451808876</v>
      </c>
      <c r="CW1323" s="1" t="s">
        <v>263</v>
      </c>
      <c r="CX1323" s="311" t="str">
        <f t="shared" si="1740"/>
        <v>loc</v>
      </c>
      <c r="CY1323" t="s">
        <v>3493</v>
      </c>
      <c r="DB1323">
        <v>60</v>
      </c>
      <c r="DC1323" t="str">
        <f t="shared" si="1741"/>
        <v>31-70</v>
      </c>
      <c r="DD1323">
        <v>0</v>
      </c>
      <c r="DE1323">
        <v>0</v>
      </c>
      <c r="DF1323">
        <v>0</v>
      </c>
      <c r="DG1323">
        <v>1</v>
      </c>
      <c r="DH1323">
        <v>1</v>
      </c>
      <c r="DI1323">
        <f t="shared" si="1742"/>
        <v>1</v>
      </c>
      <c r="DJ1323" t="str">
        <f t="shared" si="1743"/>
        <v>TimberInput</v>
      </c>
      <c r="DK1323">
        <f t="shared" si="1744"/>
        <v>0</v>
      </c>
      <c r="DL1323">
        <f t="shared" si="1745"/>
        <v>0</v>
      </c>
      <c r="DM1323">
        <f t="shared" si="1746"/>
        <v>0</v>
      </c>
      <c r="DN1323" t="str">
        <f t="shared" si="1747"/>
        <v>Timber</v>
      </c>
      <c r="DO1323">
        <v>1</v>
      </c>
      <c r="DP1323">
        <v>0</v>
      </c>
      <c r="DQ1323">
        <v>0</v>
      </c>
      <c r="DR1323">
        <v>0</v>
      </c>
      <c r="DS1323">
        <v>0</v>
      </c>
      <c r="DT1323">
        <f t="shared" si="1748"/>
        <v>1</v>
      </c>
      <c r="DU1323" s="143" t="str">
        <f t="shared" si="1749"/>
        <v>self-calculated DF</v>
      </c>
      <c r="DV1323">
        <v>0</v>
      </c>
      <c r="DW1323">
        <v>0</v>
      </c>
      <c r="DX1323">
        <v>0</v>
      </c>
      <c r="DY1323">
        <v>0</v>
      </c>
      <c r="DZ1323">
        <v>0</v>
      </c>
      <c r="EA1323" s="143">
        <v>0</v>
      </c>
      <c r="EB1323">
        <v>0</v>
      </c>
      <c r="EC1323">
        <v>1</v>
      </c>
      <c r="ED1323">
        <v>1</v>
      </c>
      <c r="EE1323">
        <v>1</v>
      </c>
      <c r="EF1323">
        <v>0</v>
      </c>
      <c r="EG1323">
        <v>0</v>
      </c>
      <c r="EH1323">
        <v>0</v>
      </c>
      <c r="EI1323" s="2">
        <v>0</v>
      </c>
      <c r="EK1323" t="str">
        <f t="shared" si="1722"/>
        <v/>
      </c>
      <c r="EL1323" t="str">
        <f t="shared" si="1723"/>
        <v/>
      </c>
      <c r="EM1323" s="2" t="str">
        <f t="shared" si="1662"/>
        <v>Technology approach</v>
      </c>
      <c r="EP1323" t="b">
        <f>IF(ISNUMBER(BU1323),IF(ABS(BU1323-[1]QC_indicators!$B$2)&gt;3*[1]QC_indicators!$C$2,"C ratio",IF(ISNUMBER(BY1323),IF(ABS(BY1323-[1]QC_indicators!$B$1)&gt;3*[1]QC_indicators!$C$1,"DF","no"))),IF(ISNUMBER(BY1323),IF(ABS(BY1323-[1]QC_indicators!$B$1)&gt;3*[1]QC_indicators!$C$1,"DF","no")))</f>
        <v>0</v>
      </c>
    </row>
    <row r="1324" spans="1:150" ht="15" hidden="1" customHeight="1">
      <c r="A1324" s="1" t="s">
        <v>4044</v>
      </c>
      <c r="B1324" t="s">
        <v>4045</v>
      </c>
      <c r="C1324" t="s">
        <v>4046</v>
      </c>
      <c r="D1324" t="s">
        <v>4047</v>
      </c>
      <c r="E1324" t="s">
        <v>4048</v>
      </c>
      <c r="F1324" t="s">
        <v>4049</v>
      </c>
      <c r="G1324" t="s">
        <v>4050</v>
      </c>
      <c r="H1324" t="s">
        <v>254</v>
      </c>
      <c r="I1324">
        <v>2020</v>
      </c>
      <c r="J1324">
        <v>2</v>
      </c>
      <c r="K1324" t="s">
        <v>4051</v>
      </c>
      <c r="M1324" t="str">
        <f t="shared" si="1689"/>
        <v>Rempelos_2020</v>
      </c>
      <c r="N1324" s="311" t="s">
        <v>4382</v>
      </c>
      <c r="O1324" s="171" t="s">
        <v>341</v>
      </c>
      <c r="P1324" t="s">
        <v>225</v>
      </c>
      <c r="Q1324" s="311" t="s">
        <v>389</v>
      </c>
      <c r="R1324" s="312"/>
      <c r="S1324" s="1" t="s">
        <v>4052</v>
      </c>
      <c r="T1324" t="s">
        <v>795</v>
      </c>
      <c r="U1324" t="s">
        <v>4058</v>
      </c>
      <c r="V1324">
        <v>0</v>
      </c>
      <c r="W1324">
        <v>0</v>
      </c>
      <c r="X1324">
        <v>0</v>
      </c>
      <c r="Y1324">
        <v>0</v>
      </c>
      <c r="Z1324">
        <v>0</v>
      </c>
      <c r="AA1324">
        <v>0</v>
      </c>
      <c r="AB1324">
        <v>0</v>
      </c>
      <c r="AC1324">
        <v>0</v>
      </c>
      <c r="AD1324">
        <v>0</v>
      </c>
      <c r="AE1324">
        <v>0</v>
      </c>
      <c r="AF1324">
        <v>0</v>
      </c>
      <c r="AG1324">
        <v>0</v>
      </c>
      <c r="AH1324">
        <v>0</v>
      </c>
      <c r="AI1324">
        <v>0</v>
      </c>
      <c r="AJ1324">
        <v>0</v>
      </c>
      <c r="AK1324">
        <v>1</v>
      </c>
      <c r="AL1324">
        <v>0</v>
      </c>
      <c r="AM1324">
        <v>0</v>
      </c>
      <c r="AN1324">
        <v>0</v>
      </c>
      <c r="AO1324">
        <v>0</v>
      </c>
      <c r="AP1324">
        <v>0</v>
      </c>
      <c r="AQ1324">
        <v>0</v>
      </c>
      <c r="AR1324">
        <v>0</v>
      </c>
      <c r="AS1324">
        <v>0</v>
      </c>
      <c r="AT1324">
        <v>0</v>
      </c>
      <c r="AU1324">
        <v>0</v>
      </c>
      <c r="AV1324">
        <v>0</v>
      </c>
      <c r="AW1324">
        <v>0</v>
      </c>
      <c r="AX1324" s="141">
        <f t="shared" si="1724"/>
        <v>1</v>
      </c>
      <c r="AY1324" s="141">
        <f t="shared" si="1725"/>
        <v>1</v>
      </c>
      <c r="AZ1324">
        <f t="shared" si="1726"/>
        <v>0</v>
      </c>
      <c r="BA1324">
        <f t="shared" si="1727"/>
        <v>0</v>
      </c>
      <c r="BB1324">
        <f t="shared" si="1728"/>
        <v>1</v>
      </c>
      <c r="BC1324">
        <f t="shared" si="1729"/>
        <v>0</v>
      </c>
      <c r="BD1324">
        <f t="shared" si="1730"/>
        <v>0</v>
      </c>
      <c r="BE1324" t="str" cm="1">
        <f t="array" ref="BE1324">IF(AY1324=1,INDEX($V$7:$AL$7,MATCH(TRUE,INDEX($V1324:$AW1324&lt;&gt;0,),0)),IF(AY1324=0,INDEX($AM$7:$AW$7,MATCH(1,$AM1324:$AW1324,0)),IF(BF1324="Multiple strategies","mixed drivers",IF(BF1324="Supply chain","multiple supply","multiple silviculture"))))</f>
        <v>technologies/design switch</v>
      </c>
      <c r="BF1324" s="2" t="str" cm="1">
        <f t="array" ref="BF1324">IF(COUNTIF(AZ1324:BB1324,"&lt;&gt;0")=1,INDEX($V$4:$AW$4,MATCH(TRUE,INDEX($V1324:$AW1324&lt;&gt;0,),0)),IF(COUNTIF(AZ1324:BB1324,"&lt;&gt;0")=0,INDEX($AM$4:$AW$4,MATCH(1,$AM1324:$AW1324,0)),"Multiple strategies"))</f>
        <v>Technology</v>
      </c>
      <c r="BM1324" t="str">
        <f t="shared" si="1731"/>
        <v/>
      </c>
      <c r="BP1324" t="s">
        <v>395</v>
      </c>
      <c r="BQ1324" t="s">
        <v>4055</v>
      </c>
      <c r="BR1324" t="s">
        <v>4056</v>
      </c>
      <c r="BS1324">
        <v>335.9</v>
      </c>
      <c r="BT1324">
        <v>143</v>
      </c>
      <c r="BU1324" s="144">
        <f t="shared" si="1732"/>
        <v>0.42572194105388511</v>
      </c>
      <c r="BV1324">
        <f t="shared" si="1733"/>
        <v>-192.89999999999998</v>
      </c>
      <c r="BY1324" t="str">
        <f t="shared" si="1750"/>
        <v/>
      </c>
      <c r="BZ1324">
        <v>0</v>
      </c>
      <c r="CA1324">
        <v>0</v>
      </c>
      <c r="CB1324">
        <v>0</v>
      </c>
      <c r="CC1324">
        <v>0</v>
      </c>
      <c r="CD1324">
        <v>0</v>
      </c>
      <c r="CE1324">
        <v>0</v>
      </c>
      <c r="CF1324">
        <v>0</v>
      </c>
      <c r="CG1324">
        <v>0</v>
      </c>
      <c r="CH1324">
        <v>0</v>
      </c>
      <c r="CI1324">
        <v>0</v>
      </c>
      <c r="CJ1324">
        <v>0</v>
      </c>
      <c r="CK1324">
        <v>0</v>
      </c>
      <c r="CL1324">
        <v>0</v>
      </c>
      <c r="CM1324">
        <v>0</v>
      </c>
      <c r="CN1324" t="str">
        <f t="shared" si="1734"/>
        <v>refOK</v>
      </c>
      <c r="CO1324"/>
      <c r="CP1324"/>
      <c r="CQ1324"/>
      <c r="CR1324">
        <f t="shared" si="1735"/>
        <v>-335.9</v>
      </c>
      <c r="CS1324">
        <f t="shared" si="1736"/>
        <v>-143</v>
      </c>
      <c r="CT1324">
        <f t="shared" si="1737"/>
        <v>0</v>
      </c>
      <c r="CU1324" t="str">
        <f t="shared" si="1738"/>
        <v/>
      </c>
      <c r="CV1324" s="2">
        <f t="shared" si="1739"/>
        <v>0.57427805894611483</v>
      </c>
      <c r="CW1324" s="1" t="s">
        <v>263</v>
      </c>
      <c r="CX1324" s="311" t="str">
        <f t="shared" si="1740"/>
        <v>loc</v>
      </c>
      <c r="CY1324" t="s">
        <v>3493</v>
      </c>
      <c r="DB1324">
        <v>60</v>
      </c>
      <c r="DC1324" t="str">
        <f t="shared" si="1741"/>
        <v>31-70</v>
      </c>
      <c r="DD1324">
        <v>0</v>
      </c>
      <c r="DE1324">
        <v>0</v>
      </c>
      <c r="DF1324">
        <v>0</v>
      </c>
      <c r="DG1324">
        <v>1</v>
      </c>
      <c r="DH1324">
        <v>1</v>
      </c>
      <c r="DI1324">
        <f t="shared" si="1742"/>
        <v>1</v>
      </c>
      <c r="DJ1324" t="str">
        <f t="shared" si="1743"/>
        <v>TimberInput</v>
      </c>
      <c r="DK1324">
        <f t="shared" si="1744"/>
        <v>0</v>
      </c>
      <c r="DL1324">
        <f t="shared" si="1745"/>
        <v>0</v>
      </c>
      <c r="DM1324">
        <f t="shared" si="1746"/>
        <v>0</v>
      </c>
      <c r="DN1324" t="str">
        <f t="shared" si="1747"/>
        <v>Timber</v>
      </c>
      <c r="DO1324">
        <v>1</v>
      </c>
      <c r="DP1324">
        <v>0</v>
      </c>
      <c r="DQ1324">
        <v>0</v>
      </c>
      <c r="DR1324">
        <v>0</v>
      </c>
      <c r="DS1324">
        <v>0</v>
      </c>
      <c r="DT1324">
        <f t="shared" si="1748"/>
        <v>1</v>
      </c>
      <c r="DU1324" s="143" t="str">
        <f t="shared" si="1749"/>
        <v>self-calculated DF</v>
      </c>
      <c r="DV1324">
        <v>0</v>
      </c>
      <c r="DW1324">
        <v>0</v>
      </c>
      <c r="DX1324">
        <v>0</v>
      </c>
      <c r="DY1324">
        <v>0</v>
      </c>
      <c r="DZ1324">
        <v>0</v>
      </c>
      <c r="EA1324" s="143">
        <v>0</v>
      </c>
      <c r="EB1324">
        <v>0</v>
      </c>
      <c r="EC1324">
        <v>1</v>
      </c>
      <c r="ED1324">
        <v>1</v>
      </c>
      <c r="EE1324">
        <v>1</v>
      </c>
      <c r="EF1324">
        <v>0</v>
      </c>
      <c r="EG1324">
        <v>0</v>
      </c>
      <c r="EH1324">
        <v>0</v>
      </c>
      <c r="EI1324" s="2">
        <v>0</v>
      </c>
      <c r="EK1324" t="str">
        <f t="shared" si="1722"/>
        <v/>
      </c>
      <c r="EL1324" t="str">
        <f t="shared" si="1723"/>
        <v/>
      </c>
      <c r="EM1324" s="2" t="str">
        <f t="shared" ref="EM1324:EM1387" si="1751">IF(AND(AND(AND($DX1324=0,$DW1324=0),OR($EC1324=1,$EA1324=1)),SUM($EB1324:$EE1324)&gt;=2),"Technology approach","")</f>
        <v>Technology approach</v>
      </c>
      <c r="EP1324" t="b">
        <f>IF(ISNUMBER(BU1324),IF(ABS(BU1324-[1]QC_indicators!$B$2)&gt;3*[1]QC_indicators!$C$2,"C ratio",IF(ISNUMBER(BY1324),IF(ABS(BY1324-[1]QC_indicators!$B$1)&gt;3*[1]QC_indicators!$C$1,"DF","no"))),IF(ISNUMBER(BY1324),IF(ABS(BY1324-[1]QC_indicators!$B$1)&gt;3*[1]QC_indicators!$C$1,"DF","no")))</f>
        <v>0</v>
      </c>
    </row>
    <row r="1325" spans="1:150" ht="15" hidden="1" customHeight="1">
      <c r="A1325" s="1" t="s">
        <v>4044</v>
      </c>
      <c r="B1325" t="s">
        <v>4045</v>
      </c>
      <c r="C1325" t="s">
        <v>4046</v>
      </c>
      <c r="D1325" t="s">
        <v>4047</v>
      </c>
      <c r="E1325" t="s">
        <v>4048</v>
      </c>
      <c r="F1325" t="s">
        <v>4049</v>
      </c>
      <c r="G1325" t="s">
        <v>4050</v>
      </c>
      <c r="H1325" t="s">
        <v>254</v>
      </c>
      <c r="I1325">
        <v>2020</v>
      </c>
      <c r="J1325">
        <v>2</v>
      </c>
      <c r="K1325" t="s">
        <v>4051</v>
      </c>
      <c r="M1325" t="str">
        <f t="shared" si="1689"/>
        <v>Rempelos_2020</v>
      </c>
      <c r="N1325" s="311" t="s">
        <v>4382</v>
      </c>
      <c r="O1325" s="171" t="s">
        <v>341</v>
      </c>
      <c r="P1325" t="s">
        <v>225</v>
      </c>
      <c r="Q1325" s="311" t="s">
        <v>389</v>
      </c>
      <c r="R1325" s="312"/>
      <c r="S1325" s="1" t="s">
        <v>4052</v>
      </c>
      <c r="T1325" t="s">
        <v>258</v>
      </c>
      <c r="U1325" t="s">
        <v>4058</v>
      </c>
      <c r="V1325">
        <v>0</v>
      </c>
      <c r="W1325">
        <v>0</v>
      </c>
      <c r="X1325">
        <v>0</v>
      </c>
      <c r="Y1325">
        <v>0</v>
      </c>
      <c r="Z1325">
        <v>0</v>
      </c>
      <c r="AA1325">
        <v>0</v>
      </c>
      <c r="AB1325">
        <v>0</v>
      </c>
      <c r="AC1325">
        <v>0</v>
      </c>
      <c r="AD1325">
        <v>0</v>
      </c>
      <c r="AE1325">
        <v>0</v>
      </c>
      <c r="AF1325">
        <v>0</v>
      </c>
      <c r="AG1325">
        <v>0</v>
      </c>
      <c r="AH1325">
        <v>0</v>
      </c>
      <c r="AI1325">
        <v>0</v>
      </c>
      <c r="AJ1325">
        <v>0</v>
      </c>
      <c r="AK1325">
        <v>1</v>
      </c>
      <c r="AL1325">
        <v>0</v>
      </c>
      <c r="AM1325">
        <v>0</v>
      </c>
      <c r="AN1325">
        <v>0</v>
      </c>
      <c r="AO1325">
        <v>0</v>
      </c>
      <c r="AP1325">
        <v>0</v>
      </c>
      <c r="AQ1325">
        <v>0</v>
      </c>
      <c r="AR1325">
        <v>0</v>
      </c>
      <c r="AS1325">
        <v>0</v>
      </c>
      <c r="AT1325">
        <v>0</v>
      </c>
      <c r="AU1325">
        <v>0</v>
      </c>
      <c r="AV1325">
        <v>0</v>
      </c>
      <c r="AW1325">
        <v>0</v>
      </c>
      <c r="AX1325" s="141">
        <f t="shared" si="1724"/>
        <v>1</v>
      </c>
      <c r="AY1325" s="141">
        <f t="shared" si="1725"/>
        <v>1</v>
      </c>
      <c r="AZ1325">
        <f t="shared" si="1726"/>
        <v>0</v>
      </c>
      <c r="BA1325">
        <f t="shared" si="1727"/>
        <v>0</v>
      </c>
      <c r="BB1325">
        <f t="shared" si="1728"/>
        <v>1</v>
      </c>
      <c r="BC1325">
        <f t="shared" si="1729"/>
        <v>0</v>
      </c>
      <c r="BD1325">
        <f t="shared" si="1730"/>
        <v>0</v>
      </c>
      <c r="BE1325" t="str" cm="1">
        <f t="array" ref="BE1325">IF(AY1325=1,INDEX($V$7:$AL$7,MATCH(TRUE,INDEX($V1325:$AW1325&lt;&gt;0,),0)),IF(AY1325=0,INDEX($AM$7:$AW$7,MATCH(1,$AM1325:$AW1325,0)),IF(BF1325="Multiple strategies","mixed drivers",IF(BF1325="Supply chain","multiple supply","multiple silviculture"))))</f>
        <v>technologies/design switch</v>
      </c>
      <c r="BF1325" s="2" t="str" cm="1">
        <f t="array" ref="BF1325">IF(COUNTIF(AZ1325:BB1325,"&lt;&gt;0")=1,INDEX($V$4:$AW$4,MATCH(TRUE,INDEX($V1325:$AW1325&lt;&gt;0,),0)),IF(COUNTIF(AZ1325:BB1325,"&lt;&gt;0")=0,INDEX($AM$4:$AW$4,MATCH(1,$AM1325:$AW1325,0)),"Multiple strategies"))</f>
        <v>Technology</v>
      </c>
      <c r="BM1325" t="str">
        <f t="shared" si="1731"/>
        <v/>
      </c>
      <c r="BP1325" t="s">
        <v>395</v>
      </c>
      <c r="BQ1325" t="s">
        <v>4055</v>
      </c>
      <c r="BR1325" t="s">
        <v>4056</v>
      </c>
      <c r="BS1325">
        <v>239.6</v>
      </c>
      <c r="BT1325">
        <v>143</v>
      </c>
      <c r="BU1325" s="144">
        <f t="shared" si="1732"/>
        <v>0.59682804674457435</v>
      </c>
      <c r="BV1325">
        <f t="shared" si="1733"/>
        <v>-96.6</v>
      </c>
      <c r="BY1325" t="str">
        <f t="shared" si="1750"/>
        <v/>
      </c>
      <c r="BZ1325">
        <v>0</v>
      </c>
      <c r="CA1325">
        <v>0</v>
      </c>
      <c r="CB1325">
        <v>0</v>
      </c>
      <c r="CC1325">
        <v>0</v>
      </c>
      <c r="CD1325">
        <v>0</v>
      </c>
      <c r="CE1325">
        <v>0</v>
      </c>
      <c r="CF1325">
        <v>0</v>
      </c>
      <c r="CG1325">
        <v>0</v>
      </c>
      <c r="CH1325">
        <v>0</v>
      </c>
      <c r="CI1325">
        <v>0</v>
      </c>
      <c r="CJ1325">
        <v>0</v>
      </c>
      <c r="CK1325">
        <v>0</v>
      </c>
      <c r="CL1325">
        <v>0</v>
      </c>
      <c r="CM1325">
        <v>0</v>
      </c>
      <c r="CN1325" t="str">
        <f t="shared" si="1734"/>
        <v>refOK</v>
      </c>
      <c r="CO1325"/>
      <c r="CP1325"/>
      <c r="CQ1325"/>
      <c r="CR1325">
        <f t="shared" si="1735"/>
        <v>-239.6</v>
      </c>
      <c r="CS1325">
        <f t="shared" si="1736"/>
        <v>-143</v>
      </c>
      <c r="CT1325">
        <f t="shared" si="1737"/>
        <v>0</v>
      </c>
      <c r="CU1325" t="str">
        <f t="shared" si="1738"/>
        <v/>
      </c>
      <c r="CV1325" s="2">
        <f t="shared" si="1739"/>
        <v>0.40317195325542571</v>
      </c>
      <c r="CW1325" s="1" t="s">
        <v>263</v>
      </c>
      <c r="CX1325" s="311" t="str">
        <f t="shared" si="1740"/>
        <v>loc</v>
      </c>
      <c r="CY1325" t="s">
        <v>3493</v>
      </c>
      <c r="DB1325">
        <v>60</v>
      </c>
      <c r="DC1325" t="str">
        <f t="shared" si="1741"/>
        <v>31-70</v>
      </c>
      <c r="DD1325">
        <v>0</v>
      </c>
      <c r="DE1325">
        <v>0</v>
      </c>
      <c r="DF1325">
        <v>0</v>
      </c>
      <c r="DG1325">
        <v>1</v>
      </c>
      <c r="DH1325">
        <v>1</v>
      </c>
      <c r="DI1325">
        <f t="shared" si="1742"/>
        <v>1</v>
      </c>
      <c r="DJ1325" t="str">
        <f t="shared" si="1743"/>
        <v>TimberInput</v>
      </c>
      <c r="DK1325">
        <f t="shared" si="1744"/>
        <v>0</v>
      </c>
      <c r="DL1325">
        <f t="shared" si="1745"/>
        <v>0</v>
      </c>
      <c r="DM1325">
        <f t="shared" si="1746"/>
        <v>0</v>
      </c>
      <c r="DN1325" t="str">
        <f t="shared" si="1747"/>
        <v>Timber</v>
      </c>
      <c r="DO1325">
        <v>1</v>
      </c>
      <c r="DP1325">
        <v>0</v>
      </c>
      <c r="DQ1325">
        <v>0</v>
      </c>
      <c r="DR1325">
        <v>0</v>
      </c>
      <c r="DS1325">
        <v>0</v>
      </c>
      <c r="DT1325">
        <f t="shared" si="1748"/>
        <v>1</v>
      </c>
      <c r="DU1325" s="143" t="str">
        <f t="shared" si="1749"/>
        <v>self-calculated DF</v>
      </c>
      <c r="DV1325">
        <v>0</v>
      </c>
      <c r="DW1325">
        <v>0</v>
      </c>
      <c r="DX1325">
        <v>0</v>
      </c>
      <c r="DY1325">
        <v>0</v>
      </c>
      <c r="DZ1325">
        <v>0</v>
      </c>
      <c r="EA1325" s="143">
        <v>0</v>
      </c>
      <c r="EB1325">
        <v>0</v>
      </c>
      <c r="EC1325">
        <v>1</v>
      </c>
      <c r="ED1325">
        <v>1</v>
      </c>
      <c r="EE1325">
        <v>1</v>
      </c>
      <c r="EF1325">
        <v>0</v>
      </c>
      <c r="EG1325">
        <v>0</v>
      </c>
      <c r="EH1325">
        <v>0</v>
      </c>
      <c r="EI1325" s="2">
        <v>0</v>
      </c>
      <c r="EK1325" t="str">
        <f t="shared" si="1722"/>
        <v/>
      </c>
      <c r="EL1325" t="str">
        <f t="shared" si="1723"/>
        <v/>
      </c>
      <c r="EM1325" s="2" t="str">
        <f t="shared" si="1751"/>
        <v>Technology approach</v>
      </c>
      <c r="EP1325" t="b">
        <f>IF(ISNUMBER(BU1325),IF(ABS(BU1325-[1]QC_indicators!$B$2)&gt;3*[1]QC_indicators!$C$2,"C ratio",IF(ISNUMBER(BY1325),IF(ABS(BY1325-[1]QC_indicators!$B$1)&gt;3*[1]QC_indicators!$C$1,"DF","no"))),IF(ISNUMBER(BY1325),IF(ABS(BY1325-[1]QC_indicators!$B$1)&gt;3*[1]QC_indicators!$C$1,"DF","no")))</f>
        <v>0</v>
      </c>
    </row>
    <row r="1326" spans="1:150" ht="15" hidden="1" customHeight="1">
      <c r="A1326" s="1" t="s">
        <v>4044</v>
      </c>
      <c r="B1326" t="s">
        <v>4045</v>
      </c>
      <c r="C1326" t="s">
        <v>4046</v>
      </c>
      <c r="D1326" t="s">
        <v>4047</v>
      </c>
      <c r="E1326" t="s">
        <v>4048</v>
      </c>
      <c r="F1326" t="s">
        <v>4049</v>
      </c>
      <c r="G1326" t="s">
        <v>4050</v>
      </c>
      <c r="H1326" t="s">
        <v>254</v>
      </c>
      <c r="I1326">
        <v>2020</v>
      </c>
      <c r="J1326">
        <v>2</v>
      </c>
      <c r="K1326" t="s">
        <v>4051</v>
      </c>
      <c r="M1326" t="str">
        <f t="shared" si="1689"/>
        <v>Rempelos_2020</v>
      </c>
      <c r="N1326" s="311" t="s">
        <v>4382</v>
      </c>
      <c r="O1326" s="171" t="s">
        <v>341</v>
      </c>
      <c r="P1326" t="s">
        <v>225</v>
      </c>
      <c r="Q1326" s="311" t="s">
        <v>389</v>
      </c>
      <c r="R1326" s="312"/>
      <c r="S1326" s="1" t="s">
        <v>4057</v>
      </c>
      <c r="T1326" t="s">
        <v>795</v>
      </c>
      <c r="U1326" t="s">
        <v>4058</v>
      </c>
      <c r="V1326">
        <v>0</v>
      </c>
      <c r="W1326">
        <v>0</v>
      </c>
      <c r="X1326">
        <v>0</v>
      </c>
      <c r="Y1326">
        <v>0</v>
      </c>
      <c r="Z1326">
        <v>0</v>
      </c>
      <c r="AA1326">
        <v>0</v>
      </c>
      <c r="AB1326">
        <v>0</v>
      </c>
      <c r="AC1326">
        <v>0</v>
      </c>
      <c r="AD1326">
        <v>0</v>
      </c>
      <c r="AE1326">
        <v>0</v>
      </c>
      <c r="AF1326">
        <v>0</v>
      </c>
      <c r="AG1326">
        <v>0</v>
      </c>
      <c r="AH1326">
        <v>0</v>
      </c>
      <c r="AI1326">
        <v>0</v>
      </c>
      <c r="AJ1326">
        <v>0</v>
      </c>
      <c r="AK1326">
        <v>1</v>
      </c>
      <c r="AL1326">
        <v>0</v>
      </c>
      <c r="AM1326">
        <v>0</v>
      </c>
      <c r="AN1326">
        <v>0</v>
      </c>
      <c r="AO1326">
        <v>0</v>
      </c>
      <c r="AP1326">
        <v>0</v>
      </c>
      <c r="AQ1326">
        <v>0</v>
      </c>
      <c r="AR1326">
        <v>0</v>
      </c>
      <c r="AS1326">
        <v>0</v>
      </c>
      <c r="AT1326">
        <v>0</v>
      </c>
      <c r="AU1326">
        <v>0</v>
      </c>
      <c r="AV1326">
        <v>0</v>
      </c>
      <c r="AW1326">
        <v>0</v>
      </c>
      <c r="AX1326" s="141">
        <f t="shared" si="1724"/>
        <v>1</v>
      </c>
      <c r="AY1326" s="141">
        <f t="shared" si="1725"/>
        <v>1</v>
      </c>
      <c r="AZ1326">
        <f t="shared" si="1726"/>
        <v>0</v>
      </c>
      <c r="BA1326">
        <f t="shared" si="1727"/>
        <v>0</v>
      </c>
      <c r="BB1326">
        <f t="shared" si="1728"/>
        <v>1</v>
      </c>
      <c r="BC1326">
        <f t="shared" si="1729"/>
        <v>0</v>
      </c>
      <c r="BD1326">
        <f t="shared" si="1730"/>
        <v>0</v>
      </c>
      <c r="BE1326" t="str" cm="1">
        <f t="array" ref="BE1326">IF(AY1326=1,INDEX($V$7:$AL$7,MATCH(TRUE,INDEX($V1326:$AW1326&lt;&gt;0,),0)),IF(AY1326=0,INDEX($AM$7:$AW$7,MATCH(1,$AM1326:$AW1326,0)),IF(BF1326="Multiple strategies","mixed drivers",IF(BF1326="Supply chain","multiple supply","multiple silviculture"))))</f>
        <v>technologies/design switch</v>
      </c>
      <c r="BF1326" s="2" t="str" cm="1">
        <f t="array" ref="BF1326">IF(COUNTIF(AZ1326:BB1326,"&lt;&gt;0")=1,INDEX($V$4:$AW$4,MATCH(TRUE,INDEX($V1326:$AW1326&lt;&gt;0,),0)),IF(COUNTIF(AZ1326:BB1326,"&lt;&gt;0")=0,INDEX($AM$4:$AW$4,MATCH(1,$AM1326:$AW1326,0)),"Multiple strategies"))</f>
        <v>Technology</v>
      </c>
      <c r="BM1326" t="str">
        <f t="shared" si="1731"/>
        <v/>
      </c>
      <c r="BP1326" t="s">
        <v>395</v>
      </c>
      <c r="BQ1326" t="s">
        <v>4055</v>
      </c>
      <c r="BR1326" t="s">
        <v>4056</v>
      </c>
      <c r="BS1326">
        <v>671.9</v>
      </c>
      <c r="BT1326">
        <v>582.1</v>
      </c>
      <c r="BU1326" s="144">
        <f t="shared" si="1732"/>
        <v>0.86634915910105681</v>
      </c>
      <c r="BV1326">
        <f t="shared" si="1733"/>
        <v>-89.799999999999955</v>
      </c>
      <c r="BY1326" t="str">
        <f t="shared" si="1750"/>
        <v/>
      </c>
      <c r="BZ1326">
        <v>0</v>
      </c>
      <c r="CA1326">
        <v>0</v>
      </c>
      <c r="CB1326">
        <v>0</v>
      </c>
      <c r="CC1326">
        <v>0</v>
      </c>
      <c r="CD1326">
        <v>0</v>
      </c>
      <c r="CE1326">
        <v>0</v>
      </c>
      <c r="CF1326">
        <v>0</v>
      </c>
      <c r="CG1326">
        <v>0</v>
      </c>
      <c r="CH1326">
        <v>0</v>
      </c>
      <c r="CI1326">
        <v>0</v>
      </c>
      <c r="CJ1326">
        <v>0</v>
      </c>
      <c r="CK1326">
        <v>0</v>
      </c>
      <c r="CL1326">
        <v>0</v>
      </c>
      <c r="CM1326">
        <v>0</v>
      </c>
      <c r="CN1326" t="str">
        <f t="shared" si="1734"/>
        <v>refOK</v>
      </c>
      <c r="CO1326"/>
      <c r="CP1326"/>
      <c r="CQ1326"/>
      <c r="CR1326">
        <f t="shared" si="1735"/>
        <v>-671.9</v>
      </c>
      <c r="CS1326">
        <f t="shared" si="1736"/>
        <v>-582.1</v>
      </c>
      <c r="CT1326">
        <f t="shared" si="1737"/>
        <v>0</v>
      </c>
      <c r="CU1326" t="str">
        <f t="shared" si="1738"/>
        <v/>
      </c>
      <c r="CV1326" s="2">
        <f t="shared" si="1739"/>
        <v>0.13365084089894322</v>
      </c>
      <c r="CW1326" s="1" t="s">
        <v>263</v>
      </c>
      <c r="CX1326" s="311" t="str">
        <f t="shared" si="1740"/>
        <v>loc</v>
      </c>
      <c r="CY1326" t="s">
        <v>3493</v>
      </c>
      <c r="DB1326">
        <v>60</v>
      </c>
      <c r="DC1326" t="str">
        <f t="shared" si="1741"/>
        <v>31-70</v>
      </c>
      <c r="DD1326">
        <v>0</v>
      </c>
      <c r="DE1326">
        <v>0</v>
      </c>
      <c r="DF1326">
        <v>0</v>
      </c>
      <c r="DG1326">
        <v>1</v>
      </c>
      <c r="DH1326">
        <v>1</v>
      </c>
      <c r="DI1326">
        <f t="shared" si="1742"/>
        <v>1</v>
      </c>
      <c r="DJ1326" t="str">
        <f t="shared" si="1743"/>
        <v>TimberInput</v>
      </c>
      <c r="DK1326">
        <f t="shared" si="1744"/>
        <v>0</v>
      </c>
      <c r="DL1326">
        <f t="shared" si="1745"/>
        <v>0</v>
      </c>
      <c r="DM1326">
        <f t="shared" si="1746"/>
        <v>0</v>
      </c>
      <c r="DN1326" t="str">
        <f t="shared" si="1747"/>
        <v>Timber</v>
      </c>
      <c r="DO1326">
        <v>1</v>
      </c>
      <c r="DP1326">
        <v>0</v>
      </c>
      <c r="DQ1326">
        <v>0</v>
      </c>
      <c r="DR1326">
        <v>0</v>
      </c>
      <c r="DS1326">
        <v>0</v>
      </c>
      <c r="DT1326">
        <f t="shared" si="1748"/>
        <v>1</v>
      </c>
      <c r="DU1326" s="143" t="str">
        <f t="shared" si="1749"/>
        <v>self-calculated DF</v>
      </c>
      <c r="DV1326">
        <v>0</v>
      </c>
      <c r="DW1326">
        <v>0</v>
      </c>
      <c r="DX1326">
        <v>0</v>
      </c>
      <c r="DY1326">
        <v>0</v>
      </c>
      <c r="DZ1326">
        <v>0</v>
      </c>
      <c r="EA1326" s="143">
        <v>0</v>
      </c>
      <c r="EB1326">
        <v>0</v>
      </c>
      <c r="EC1326">
        <v>1</v>
      </c>
      <c r="ED1326">
        <v>1</v>
      </c>
      <c r="EE1326">
        <v>1</v>
      </c>
      <c r="EF1326">
        <v>0</v>
      </c>
      <c r="EG1326">
        <v>0</v>
      </c>
      <c r="EH1326">
        <v>0</v>
      </c>
      <c r="EI1326" s="2">
        <v>0</v>
      </c>
      <c r="EK1326" t="str">
        <f t="shared" si="1722"/>
        <v/>
      </c>
      <c r="EL1326" t="str">
        <f t="shared" si="1723"/>
        <v/>
      </c>
      <c r="EM1326" s="2" t="str">
        <f t="shared" si="1751"/>
        <v>Technology approach</v>
      </c>
      <c r="EP1326" t="b">
        <f>IF(ISNUMBER(BU1326),IF(ABS(BU1326-[1]QC_indicators!$B$2)&gt;3*[1]QC_indicators!$C$2,"C ratio",IF(ISNUMBER(BY1326),IF(ABS(BY1326-[1]QC_indicators!$B$1)&gt;3*[1]QC_indicators!$C$1,"DF","no"))),IF(ISNUMBER(BY1326),IF(ABS(BY1326-[1]QC_indicators!$B$1)&gt;3*[1]QC_indicators!$C$1,"DF","no")))</f>
        <v>0</v>
      </c>
    </row>
    <row r="1327" spans="1:150" ht="15" hidden="1" customHeight="1">
      <c r="A1327" s="1" t="s">
        <v>4044</v>
      </c>
      <c r="B1327" t="s">
        <v>4045</v>
      </c>
      <c r="C1327" t="s">
        <v>4046</v>
      </c>
      <c r="D1327" t="s">
        <v>4047</v>
      </c>
      <c r="E1327" t="s">
        <v>4048</v>
      </c>
      <c r="F1327" t="s">
        <v>4049</v>
      </c>
      <c r="G1327" t="s">
        <v>4050</v>
      </c>
      <c r="H1327" t="s">
        <v>254</v>
      </c>
      <c r="I1327">
        <v>2020</v>
      </c>
      <c r="J1327">
        <v>2</v>
      </c>
      <c r="K1327" t="s">
        <v>4051</v>
      </c>
      <c r="M1327" t="str">
        <f t="shared" si="1689"/>
        <v>Rempelos_2020</v>
      </c>
      <c r="N1327" s="311" t="s">
        <v>4382</v>
      </c>
      <c r="O1327" s="171" t="s">
        <v>341</v>
      </c>
      <c r="P1327" t="s">
        <v>225</v>
      </c>
      <c r="Q1327" s="311" t="s">
        <v>389</v>
      </c>
      <c r="R1327" s="312"/>
      <c r="S1327" s="1" t="s">
        <v>4057</v>
      </c>
      <c r="T1327" t="s">
        <v>258</v>
      </c>
      <c r="U1327" t="s">
        <v>4058</v>
      </c>
      <c r="V1327">
        <v>0</v>
      </c>
      <c r="W1327">
        <v>0</v>
      </c>
      <c r="X1327">
        <v>0</v>
      </c>
      <c r="Y1327">
        <v>0</v>
      </c>
      <c r="Z1327">
        <v>0</v>
      </c>
      <c r="AA1327">
        <v>0</v>
      </c>
      <c r="AB1327">
        <v>0</v>
      </c>
      <c r="AC1327">
        <v>0</v>
      </c>
      <c r="AD1327">
        <v>0</v>
      </c>
      <c r="AE1327">
        <v>0</v>
      </c>
      <c r="AF1327">
        <v>0</v>
      </c>
      <c r="AG1327">
        <v>0</v>
      </c>
      <c r="AH1327">
        <v>0</v>
      </c>
      <c r="AI1327">
        <v>0</v>
      </c>
      <c r="AJ1327">
        <v>0</v>
      </c>
      <c r="AK1327">
        <v>1</v>
      </c>
      <c r="AL1327">
        <v>0</v>
      </c>
      <c r="AM1327">
        <v>0</v>
      </c>
      <c r="AN1327">
        <v>0</v>
      </c>
      <c r="AO1327">
        <v>0</v>
      </c>
      <c r="AP1327">
        <v>0</v>
      </c>
      <c r="AQ1327">
        <v>0</v>
      </c>
      <c r="AR1327">
        <v>0</v>
      </c>
      <c r="AS1327">
        <v>0</v>
      </c>
      <c r="AT1327">
        <v>0</v>
      </c>
      <c r="AU1327">
        <v>0</v>
      </c>
      <c r="AV1327">
        <v>0</v>
      </c>
      <c r="AW1327">
        <v>0</v>
      </c>
      <c r="AX1327" s="141">
        <f t="shared" si="1724"/>
        <v>1</v>
      </c>
      <c r="AY1327" s="141">
        <f t="shared" si="1725"/>
        <v>1</v>
      </c>
      <c r="AZ1327">
        <f t="shared" si="1726"/>
        <v>0</v>
      </c>
      <c r="BA1327">
        <f t="shared" si="1727"/>
        <v>0</v>
      </c>
      <c r="BB1327">
        <f t="shared" si="1728"/>
        <v>1</v>
      </c>
      <c r="BC1327">
        <f t="shared" si="1729"/>
        <v>0</v>
      </c>
      <c r="BD1327">
        <f t="shared" si="1730"/>
        <v>0</v>
      </c>
      <c r="BE1327" t="str" cm="1">
        <f t="array" ref="BE1327">IF(AY1327=1,INDEX($V$7:$AL$7,MATCH(TRUE,INDEX($V1327:$AW1327&lt;&gt;0,),0)),IF(AY1327=0,INDEX($AM$7:$AW$7,MATCH(1,$AM1327:$AW1327,0)),IF(BF1327="Multiple strategies","mixed drivers",IF(BF1327="Supply chain","multiple supply","multiple silviculture"))))</f>
        <v>technologies/design switch</v>
      </c>
      <c r="BF1327" s="2" t="str" cm="1">
        <f t="array" ref="BF1327">IF(COUNTIF(AZ1327:BB1327,"&lt;&gt;0")=1,INDEX($V$4:$AW$4,MATCH(TRUE,INDEX($V1327:$AW1327&lt;&gt;0,),0)),IF(COUNTIF(AZ1327:BB1327,"&lt;&gt;0")=0,INDEX($AM$4:$AW$4,MATCH(1,$AM1327:$AW1327,0)),"Multiple strategies"))</f>
        <v>Technology</v>
      </c>
      <c r="BM1327" t="str">
        <f t="shared" si="1731"/>
        <v/>
      </c>
      <c r="BP1327" t="s">
        <v>395</v>
      </c>
      <c r="BQ1327" t="s">
        <v>4055</v>
      </c>
      <c r="BR1327" t="s">
        <v>4056</v>
      </c>
      <c r="BS1327">
        <v>362.1</v>
      </c>
      <c r="BT1327">
        <v>582.1</v>
      </c>
      <c r="BU1327" s="144">
        <f t="shared" si="1732"/>
        <v>1.6075669704501518</v>
      </c>
      <c r="BV1327">
        <f t="shared" si="1733"/>
        <v>220</v>
      </c>
      <c r="BY1327" t="str">
        <f t="shared" si="1750"/>
        <v/>
      </c>
      <c r="BZ1327">
        <v>0</v>
      </c>
      <c r="CA1327">
        <v>0</v>
      </c>
      <c r="CB1327">
        <v>0</v>
      </c>
      <c r="CC1327">
        <v>0</v>
      </c>
      <c r="CD1327">
        <v>0</v>
      </c>
      <c r="CE1327">
        <v>0</v>
      </c>
      <c r="CF1327">
        <v>0</v>
      </c>
      <c r="CG1327">
        <v>0</v>
      </c>
      <c r="CH1327">
        <v>0</v>
      </c>
      <c r="CI1327">
        <v>0</v>
      </c>
      <c r="CJ1327">
        <v>0</v>
      </c>
      <c r="CK1327">
        <v>0</v>
      </c>
      <c r="CL1327">
        <v>0</v>
      </c>
      <c r="CM1327">
        <v>0</v>
      </c>
      <c r="CN1327" t="str">
        <f t="shared" si="1734"/>
        <v>refOK</v>
      </c>
      <c r="CO1327"/>
      <c r="CP1327"/>
      <c r="CQ1327"/>
      <c r="CR1327">
        <f t="shared" si="1735"/>
        <v>-362.1</v>
      </c>
      <c r="CS1327">
        <f t="shared" si="1736"/>
        <v>-582.1</v>
      </c>
      <c r="CT1327">
        <f t="shared" si="1737"/>
        <v>0</v>
      </c>
      <c r="CU1327" t="str">
        <f t="shared" si="1738"/>
        <v/>
      </c>
      <c r="CV1327" s="2">
        <f t="shared" si="1739"/>
        <v>-0.60756697045015184</v>
      </c>
      <c r="CW1327" s="1" t="s">
        <v>263</v>
      </c>
      <c r="CX1327" s="311" t="str">
        <f t="shared" si="1740"/>
        <v>loc</v>
      </c>
      <c r="CY1327" t="s">
        <v>3493</v>
      </c>
      <c r="DB1327">
        <v>60</v>
      </c>
      <c r="DC1327" t="str">
        <f t="shared" si="1741"/>
        <v>31-70</v>
      </c>
      <c r="DD1327">
        <v>0</v>
      </c>
      <c r="DE1327">
        <v>0</v>
      </c>
      <c r="DF1327">
        <v>0</v>
      </c>
      <c r="DG1327">
        <v>1</v>
      </c>
      <c r="DH1327">
        <v>1</v>
      </c>
      <c r="DI1327">
        <f t="shared" si="1742"/>
        <v>1</v>
      </c>
      <c r="DJ1327" t="str">
        <f t="shared" si="1743"/>
        <v>TimberInput</v>
      </c>
      <c r="DK1327">
        <f t="shared" si="1744"/>
        <v>0</v>
      </c>
      <c r="DL1327">
        <f t="shared" si="1745"/>
        <v>0</v>
      </c>
      <c r="DM1327">
        <f t="shared" si="1746"/>
        <v>0</v>
      </c>
      <c r="DN1327" t="str">
        <f t="shared" si="1747"/>
        <v>Timber</v>
      </c>
      <c r="DO1327">
        <v>1</v>
      </c>
      <c r="DP1327">
        <v>0</v>
      </c>
      <c r="DQ1327">
        <v>0</v>
      </c>
      <c r="DR1327">
        <v>0</v>
      </c>
      <c r="DS1327">
        <v>0</v>
      </c>
      <c r="DT1327">
        <f t="shared" si="1748"/>
        <v>1</v>
      </c>
      <c r="DU1327" s="143" t="str">
        <f t="shared" si="1749"/>
        <v>self-calculated DF</v>
      </c>
      <c r="DV1327">
        <v>0</v>
      </c>
      <c r="DW1327">
        <v>0</v>
      </c>
      <c r="DX1327">
        <v>0</v>
      </c>
      <c r="DY1327">
        <v>0</v>
      </c>
      <c r="DZ1327">
        <v>0</v>
      </c>
      <c r="EA1327" s="143">
        <v>0</v>
      </c>
      <c r="EB1327">
        <v>0</v>
      </c>
      <c r="EC1327">
        <v>1</v>
      </c>
      <c r="ED1327">
        <v>1</v>
      </c>
      <c r="EE1327">
        <v>1</v>
      </c>
      <c r="EF1327">
        <v>0</v>
      </c>
      <c r="EG1327">
        <v>0</v>
      </c>
      <c r="EH1327">
        <v>0</v>
      </c>
      <c r="EI1327" s="2">
        <v>0</v>
      </c>
      <c r="EK1327" t="str">
        <f t="shared" si="1722"/>
        <v/>
      </c>
      <c r="EL1327" t="str">
        <f t="shared" si="1723"/>
        <v/>
      </c>
      <c r="EM1327" s="2" t="str">
        <f t="shared" si="1751"/>
        <v>Technology approach</v>
      </c>
      <c r="EP1327" t="b">
        <f>IF(ISNUMBER(BU1327),IF(ABS(BU1327-[1]QC_indicators!$B$2)&gt;3*[1]QC_indicators!$C$2,"C ratio",IF(ISNUMBER(BY1327),IF(ABS(BY1327-[1]QC_indicators!$B$1)&gt;3*[1]QC_indicators!$C$1,"DF","no"))),IF(ISNUMBER(BY1327),IF(ABS(BY1327-[1]QC_indicators!$B$1)&gt;3*[1]QC_indicators!$C$1,"DF","no")))</f>
        <v>0</v>
      </c>
    </row>
    <row r="1328" spans="1:150" ht="15" hidden="1" customHeight="1">
      <c r="D1328" t="s">
        <v>4059</v>
      </c>
      <c r="E1328" t="s">
        <v>4060</v>
      </c>
      <c r="G1328" t="s">
        <v>829</v>
      </c>
      <c r="I1328">
        <v>2012</v>
      </c>
      <c r="K1328" t="s">
        <v>4061</v>
      </c>
      <c r="M1328" t="str">
        <f t="shared" si="1689"/>
        <v>Repo_2012</v>
      </c>
      <c r="N1328" s="311" t="s">
        <v>4382</v>
      </c>
      <c r="O1328" s="145" t="s">
        <v>225</v>
      </c>
      <c r="Q1328" s="311" t="s">
        <v>256</v>
      </c>
      <c r="R1328" s="312"/>
      <c r="S1328" s="1" t="s">
        <v>2228</v>
      </c>
      <c r="T1328" t="s">
        <v>4062</v>
      </c>
      <c r="U1328" t="s">
        <v>4063</v>
      </c>
      <c r="V1328" s="143">
        <v>0</v>
      </c>
      <c r="W1328" s="143">
        <v>0</v>
      </c>
      <c r="X1328" s="143">
        <v>0</v>
      </c>
      <c r="Y1328" s="143">
        <v>1</v>
      </c>
      <c r="Z1328" s="143">
        <v>0</v>
      </c>
      <c r="AA1328" s="143">
        <v>0</v>
      </c>
      <c r="AB1328" s="143">
        <v>0</v>
      </c>
      <c r="AC1328" s="143">
        <v>0</v>
      </c>
      <c r="AD1328" s="143">
        <v>0</v>
      </c>
      <c r="AE1328" s="143">
        <v>0</v>
      </c>
      <c r="AF1328" s="143">
        <v>0</v>
      </c>
      <c r="AG1328" s="143">
        <v>0</v>
      </c>
      <c r="AH1328" s="143">
        <v>0</v>
      </c>
      <c r="AI1328" s="143">
        <v>0</v>
      </c>
      <c r="AJ1328" s="143">
        <v>0</v>
      </c>
      <c r="AK1328" s="143">
        <v>0</v>
      </c>
      <c r="AL1328" s="143">
        <v>0</v>
      </c>
      <c r="AM1328" s="143">
        <v>0</v>
      </c>
      <c r="AN1328" s="143">
        <v>0</v>
      </c>
      <c r="AO1328" s="143">
        <v>0</v>
      </c>
      <c r="AP1328" s="143">
        <v>0</v>
      </c>
      <c r="AQ1328" s="143">
        <v>0</v>
      </c>
      <c r="AR1328" s="143">
        <v>0</v>
      </c>
      <c r="AS1328" s="143">
        <v>0</v>
      </c>
      <c r="AT1328" s="143">
        <v>0</v>
      </c>
      <c r="AU1328" s="143">
        <v>0</v>
      </c>
      <c r="AV1328" s="143">
        <v>0</v>
      </c>
      <c r="AW1328" s="143">
        <v>0</v>
      </c>
      <c r="AX1328" s="141">
        <f t="shared" si="1724"/>
        <v>1</v>
      </c>
      <c r="AY1328" s="141">
        <f t="shared" si="1725"/>
        <v>1</v>
      </c>
      <c r="AZ1328">
        <f t="shared" si="1726"/>
        <v>1</v>
      </c>
      <c r="BA1328">
        <f t="shared" si="1727"/>
        <v>0</v>
      </c>
      <c r="BB1328">
        <f t="shared" si="1728"/>
        <v>0</v>
      </c>
      <c r="BC1328">
        <f t="shared" si="1729"/>
        <v>0</v>
      </c>
      <c r="BD1328">
        <f t="shared" si="1730"/>
        <v>0</v>
      </c>
      <c r="BE1328" t="str" cm="1">
        <f t="array" ref="BE1328">IF(AY1328=1,INDEX($V$7:$AL$7,MATCH(TRUE,INDEX($V1328:$AW1328&lt;&gt;0,),0)),IF(AY1328=0,INDEX($AM$7:$AW$7,MATCH(1,$AM1328:$AW1328,0)),IF(BF1328="Multiple strategies","mixed drivers",IF(BF1328="Supply chain","multiple supply","multiple silviculture"))))</f>
        <v xml:space="preserve">cutting intensity </v>
      </c>
      <c r="BF1328" s="2" t="str" cm="1">
        <f t="array" ref="BF1328">IF(COUNTIF(AZ1328:BB1328,"&lt;&gt;0")=1,INDEX($V$4:$AW$4,MATCH(TRUE,INDEX($V1328:$AW1328&lt;&gt;0,),0)),IF(COUNTIF(AZ1328:BB1328,"&lt;&gt;0")=0,INDEX($AM$4:$AW$4,MATCH(1,$AM1328:$AW1328,0)),"Multiple strategies"))</f>
        <v>Silviculture for removals</v>
      </c>
      <c r="BP1328" s="311" t="s">
        <v>232</v>
      </c>
      <c r="BQ1328" s="311"/>
      <c r="BR1328" t="s">
        <v>4064</v>
      </c>
      <c r="BS1328">
        <v>-46.669542900000003</v>
      </c>
      <c r="BT1328" s="141">
        <v>-25.616516900000001</v>
      </c>
      <c r="BU1328" s="144">
        <v>0.54889153199741325</v>
      </c>
      <c r="BV1328">
        <v>21.053026000000003</v>
      </c>
      <c r="BX1328">
        <f t="shared" ref="BX1328:BX1339" si="1752">BV1328/10^6</f>
        <v>2.1053026000000001E-5</v>
      </c>
      <c r="BY1328" t="str">
        <f t="shared" si="1750"/>
        <v/>
      </c>
      <c r="BZ1328" s="143">
        <v>0</v>
      </c>
      <c r="CA1328" s="143">
        <v>1</v>
      </c>
      <c r="CB1328" s="143">
        <v>0</v>
      </c>
      <c r="CC1328" s="143">
        <v>1</v>
      </c>
      <c r="CD1328" s="143">
        <v>0</v>
      </c>
      <c r="CE1328" s="143">
        <v>0</v>
      </c>
      <c r="CF1328" s="143">
        <v>0</v>
      </c>
      <c r="CG1328" s="143">
        <v>0</v>
      </c>
      <c r="CH1328" s="143">
        <v>0</v>
      </c>
      <c r="CI1328" s="143">
        <v>0</v>
      </c>
      <c r="CJ1328" s="143">
        <v>0</v>
      </c>
      <c r="CK1328" s="143">
        <v>0</v>
      </c>
      <c r="CL1328" s="143">
        <v>0</v>
      </c>
      <c r="CM1328" s="143">
        <v>0</v>
      </c>
      <c r="CN1328" t="str">
        <f t="shared" ref="CN1328:CN1343" si="1753">IF(BL1328&lt;BK1328,"refNeedCorrection","refOK")</f>
        <v>refOK</v>
      </c>
      <c r="CO1328"/>
      <c r="CP1328"/>
      <c r="CQ1328"/>
      <c r="CR1328">
        <f t="shared" si="1735"/>
        <v>-46.669542900000003</v>
      </c>
      <c r="CS1328">
        <f t="shared" si="1736"/>
        <v>-25.616516900000001</v>
      </c>
      <c r="CT1328">
        <f t="shared" si="1737"/>
        <v>2.1053026000000001E-5</v>
      </c>
      <c r="CU1328" t="str">
        <f t="shared" si="1738"/>
        <v/>
      </c>
      <c r="CV1328" s="2">
        <f t="shared" si="1739"/>
        <v>0.4511084680025868</v>
      </c>
      <c r="CW1328" s="1" t="s">
        <v>1202</v>
      </c>
      <c r="CX1328" s="311" t="str">
        <f t="shared" si="1740"/>
        <v>reg</v>
      </c>
      <c r="CY1328" t="s">
        <v>235</v>
      </c>
      <c r="CZ1328">
        <v>2010</v>
      </c>
      <c r="DA1328">
        <v>2110</v>
      </c>
      <c r="DB1328" s="143">
        <f t="shared" ref="DB1328:DB1338" si="1754">DA1328-CZ1328</f>
        <v>100</v>
      </c>
      <c r="DC1328" t="str">
        <f t="shared" si="1741"/>
        <v>71-100</v>
      </c>
      <c r="DD1328">
        <v>1</v>
      </c>
      <c r="DE1328">
        <v>1</v>
      </c>
      <c r="DF1328">
        <v>0</v>
      </c>
      <c r="DG1328">
        <v>0</v>
      </c>
      <c r="DI1328">
        <f t="shared" si="1742"/>
        <v>2</v>
      </c>
      <c r="DJ1328" t="str">
        <f t="shared" si="1743"/>
        <v>mixedProduct</v>
      </c>
      <c r="DK1328" t="str">
        <f t="shared" si="1744"/>
        <v>Upstream</v>
      </c>
      <c r="DL1328" t="str">
        <f t="shared" si="1745"/>
        <v>Energy</v>
      </c>
      <c r="DM1328">
        <f t="shared" si="1746"/>
        <v>0</v>
      </c>
      <c r="DN1328">
        <f t="shared" si="1747"/>
        <v>0</v>
      </c>
      <c r="DO1328">
        <v>0</v>
      </c>
      <c r="DP1328" s="143">
        <v>0</v>
      </c>
      <c r="DQ1328" t="s">
        <v>2229</v>
      </c>
      <c r="DR1328">
        <v>0</v>
      </c>
      <c r="DS1328">
        <v>0</v>
      </c>
      <c r="DT1328">
        <f t="shared" si="1748"/>
        <v>0</v>
      </c>
      <c r="DU1328" s="143" t="str">
        <f t="shared" si="1749"/>
        <v>explicit C balance</v>
      </c>
      <c r="DV1328" s="143">
        <v>1</v>
      </c>
      <c r="DW1328" s="143">
        <v>1</v>
      </c>
      <c r="DX1328" s="143">
        <v>1</v>
      </c>
      <c r="DY1328" s="143">
        <v>0</v>
      </c>
      <c r="DZ1328" s="143">
        <v>1</v>
      </c>
      <c r="EA1328" s="143">
        <v>0</v>
      </c>
      <c r="EB1328" s="143">
        <v>1</v>
      </c>
      <c r="EC1328" s="143">
        <v>1</v>
      </c>
      <c r="ED1328" s="143">
        <v>0</v>
      </c>
      <c r="EE1328" s="143">
        <v>0</v>
      </c>
      <c r="EF1328" s="143">
        <v>1</v>
      </c>
      <c r="EG1328" s="143">
        <v>0</v>
      </c>
      <c r="EH1328" s="143">
        <v>0</v>
      </c>
      <c r="EI1328" s="196">
        <v>0</v>
      </c>
      <c r="EK1328" t="str">
        <f t="shared" si="1722"/>
        <v>Whole sector</v>
      </c>
      <c r="EL1328" t="str">
        <f t="shared" si="1723"/>
        <v/>
      </c>
      <c r="EM1328" s="2" t="str">
        <f t="shared" si="1751"/>
        <v/>
      </c>
      <c r="EP1328" t="b">
        <f>IF(ISNUMBER(BU1328),IF(ABS(BU1328-[1]QC_indicators!$B$2)&gt;3*[1]QC_indicators!$C$2,"C ratio",IF(ISNUMBER(BY1328),IF(ABS(BY1328-[1]QC_indicators!$B$1)&gt;3*[1]QC_indicators!$C$1,"DF","no"))),IF(ISNUMBER(BY1328),IF(ABS(BY1328-[1]QC_indicators!$B$1)&gt;3*[1]QC_indicators!$C$1,"DF","no")))</f>
        <v>0</v>
      </c>
      <c r="ER1328" s="313" t="s">
        <v>349</v>
      </c>
    </row>
    <row r="1329" spans="1:150" ht="15" hidden="1" customHeight="1">
      <c r="D1329" t="s">
        <v>4059</v>
      </c>
      <c r="E1329" t="s">
        <v>4060</v>
      </c>
      <c r="G1329" t="s">
        <v>829</v>
      </c>
      <c r="I1329">
        <v>2012</v>
      </c>
      <c r="K1329" t="s">
        <v>4061</v>
      </c>
      <c r="M1329" t="str">
        <f t="shared" si="1689"/>
        <v>Repo_2012</v>
      </c>
      <c r="N1329" s="311" t="s">
        <v>4382</v>
      </c>
      <c r="O1329" s="145" t="s">
        <v>225</v>
      </c>
      <c r="Q1329" s="311" t="s">
        <v>256</v>
      </c>
      <c r="R1329" s="312"/>
      <c r="S1329" s="1" t="s">
        <v>2228</v>
      </c>
      <c r="T1329" t="s">
        <v>4062</v>
      </c>
      <c r="U1329" t="s">
        <v>4063</v>
      </c>
      <c r="V1329" s="143">
        <v>0</v>
      </c>
      <c r="W1329" s="143">
        <v>0</v>
      </c>
      <c r="X1329" s="143">
        <v>0</v>
      </c>
      <c r="Y1329" s="143">
        <v>1</v>
      </c>
      <c r="Z1329" s="143">
        <v>0</v>
      </c>
      <c r="AA1329" s="143">
        <v>0</v>
      </c>
      <c r="AB1329" s="143">
        <v>0</v>
      </c>
      <c r="AC1329" s="143">
        <v>0</v>
      </c>
      <c r="AD1329" s="143">
        <v>0</v>
      </c>
      <c r="AE1329" s="143">
        <v>0</v>
      </c>
      <c r="AF1329" s="143">
        <v>0</v>
      </c>
      <c r="AG1329" s="143">
        <v>0</v>
      </c>
      <c r="AH1329" s="143">
        <v>0</v>
      </c>
      <c r="AI1329" s="143">
        <v>0</v>
      </c>
      <c r="AJ1329" s="143">
        <v>0</v>
      </c>
      <c r="AK1329" s="143">
        <v>0</v>
      </c>
      <c r="AL1329" s="143">
        <v>0</v>
      </c>
      <c r="AM1329" s="143">
        <v>0</v>
      </c>
      <c r="AN1329" s="143">
        <v>0</v>
      </c>
      <c r="AO1329" s="143">
        <v>0</v>
      </c>
      <c r="AP1329" s="143">
        <v>0</v>
      </c>
      <c r="AQ1329" s="143">
        <v>0</v>
      </c>
      <c r="AR1329" s="143">
        <v>0</v>
      </c>
      <c r="AS1329" s="143">
        <v>0</v>
      </c>
      <c r="AT1329" s="143">
        <v>0</v>
      </c>
      <c r="AU1329" s="143">
        <v>0</v>
      </c>
      <c r="AV1329" s="143">
        <v>0</v>
      </c>
      <c r="AW1329" s="143">
        <v>0</v>
      </c>
      <c r="AX1329" s="141">
        <f t="shared" si="1724"/>
        <v>1</v>
      </c>
      <c r="AY1329" s="141">
        <f t="shared" si="1725"/>
        <v>1</v>
      </c>
      <c r="AZ1329">
        <f t="shared" si="1726"/>
        <v>1</v>
      </c>
      <c r="BA1329">
        <f t="shared" si="1727"/>
        <v>0</v>
      </c>
      <c r="BB1329">
        <f t="shared" si="1728"/>
        <v>0</v>
      </c>
      <c r="BC1329">
        <f t="shared" si="1729"/>
        <v>0</v>
      </c>
      <c r="BD1329">
        <f t="shared" si="1730"/>
        <v>0</v>
      </c>
      <c r="BE1329" t="str" cm="1">
        <f t="array" ref="BE1329">IF(AY1329=1,INDEX($V$7:$AL$7,MATCH(TRUE,INDEX($V1329:$AW1329&lt;&gt;0,),0)),IF(AY1329=0,INDEX($AM$7:$AW$7,MATCH(1,$AM1329:$AW1329,0)),IF(BF1329="Multiple strategies","mixed drivers",IF(BF1329="Supply chain","multiple supply","multiple silviculture"))))</f>
        <v xml:space="preserve">cutting intensity </v>
      </c>
      <c r="BF1329" s="2" t="str" cm="1">
        <f t="array" ref="BF1329">IF(COUNTIF(AZ1329:BB1329,"&lt;&gt;0")=1,INDEX($V$4:$AW$4,MATCH(TRUE,INDEX($V1329:$AW1329&lt;&gt;0,),0)),IF(COUNTIF(AZ1329:BB1329,"&lt;&gt;0")=0,INDEX($AM$4:$AW$4,MATCH(1,$AM1329:$AW1329,0)),"Multiple strategies"))</f>
        <v>Silviculture for removals</v>
      </c>
      <c r="BP1329" s="311" t="s">
        <v>232</v>
      </c>
      <c r="BQ1329" s="311"/>
      <c r="BR1329" t="s">
        <v>4064</v>
      </c>
      <c r="BS1329" s="141">
        <v>-81.193580800000007</v>
      </c>
      <c r="BT1329" s="141">
        <v>-52.1209816</v>
      </c>
      <c r="BU1329" s="144">
        <v>0.6419347574826999</v>
      </c>
      <c r="BV1329">
        <v>29.072599200000006</v>
      </c>
      <c r="BX1329">
        <f t="shared" si="1752"/>
        <v>2.9072599200000007E-5</v>
      </c>
      <c r="BY1329" t="str">
        <f t="shared" si="1750"/>
        <v/>
      </c>
      <c r="BZ1329" s="143">
        <v>0</v>
      </c>
      <c r="CA1329" s="143">
        <v>1</v>
      </c>
      <c r="CB1329" s="143">
        <v>0</v>
      </c>
      <c r="CC1329" s="143">
        <v>1</v>
      </c>
      <c r="CD1329" s="143">
        <v>0</v>
      </c>
      <c r="CE1329" s="143">
        <v>0</v>
      </c>
      <c r="CF1329" s="143">
        <v>0</v>
      </c>
      <c r="CG1329" s="143">
        <v>0</v>
      </c>
      <c r="CH1329" s="143">
        <v>0</v>
      </c>
      <c r="CI1329" s="143">
        <v>0</v>
      </c>
      <c r="CJ1329" s="143">
        <v>0</v>
      </c>
      <c r="CK1329" s="143">
        <v>0</v>
      </c>
      <c r="CL1329" s="143">
        <v>0</v>
      </c>
      <c r="CM1329" s="143">
        <v>0</v>
      </c>
      <c r="CN1329" t="str">
        <f t="shared" si="1753"/>
        <v>refOK</v>
      </c>
      <c r="CO1329"/>
      <c r="CP1329"/>
      <c r="CQ1329"/>
      <c r="CR1329">
        <f t="shared" si="1735"/>
        <v>-81.193580800000007</v>
      </c>
      <c r="CS1329">
        <f t="shared" si="1736"/>
        <v>-52.1209816</v>
      </c>
      <c r="CT1329">
        <f t="shared" si="1737"/>
        <v>2.9072599200000007E-5</v>
      </c>
      <c r="CU1329" t="str">
        <f t="shared" si="1738"/>
        <v/>
      </c>
      <c r="CV1329" s="2">
        <f t="shared" si="1739"/>
        <v>0.35806524251730015</v>
      </c>
      <c r="CW1329" s="1" t="s">
        <v>1202</v>
      </c>
      <c r="CX1329" s="311" t="str">
        <f t="shared" si="1740"/>
        <v>reg</v>
      </c>
      <c r="CY1329" t="s">
        <v>235</v>
      </c>
      <c r="CZ1329">
        <v>2010</v>
      </c>
      <c r="DA1329">
        <v>2030</v>
      </c>
      <c r="DB1329" s="143">
        <f t="shared" si="1754"/>
        <v>20</v>
      </c>
      <c r="DC1329" t="str">
        <f t="shared" si="1741"/>
        <v>1-30</v>
      </c>
      <c r="DD1329">
        <v>1</v>
      </c>
      <c r="DE1329">
        <v>1</v>
      </c>
      <c r="DF1329">
        <v>0</v>
      </c>
      <c r="DG1329">
        <v>0</v>
      </c>
      <c r="DI1329">
        <f t="shared" si="1742"/>
        <v>2</v>
      </c>
      <c r="DJ1329" t="str">
        <f t="shared" si="1743"/>
        <v>mixedProduct</v>
      </c>
      <c r="DK1329" t="str">
        <f t="shared" si="1744"/>
        <v>Upstream</v>
      </c>
      <c r="DL1329" t="str">
        <f t="shared" si="1745"/>
        <v>Energy</v>
      </c>
      <c r="DM1329">
        <f t="shared" si="1746"/>
        <v>0</v>
      </c>
      <c r="DN1329">
        <f t="shared" si="1747"/>
        <v>0</v>
      </c>
      <c r="DO1329">
        <v>0</v>
      </c>
      <c r="DP1329" s="143">
        <v>0</v>
      </c>
      <c r="DQ1329" t="s">
        <v>2229</v>
      </c>
      <c r="DR1329">
        <v>0</v>
      </c>
      <c r="DS1329">
        <v>0</v>
      </c>
      <c r="DT1329">
        <f t="shared" si="1748"/>
        <v>0</v>
      </c>
      <c r="DU1329" s="143" t="str">
        <f t="shared" si="1749"/>
        <v>explicit C balance</v>
      </c>
      <c r="DV1329" s="143">
        <v>1</v>
      </c>
      <c r="DW1329" s="143">
        <v>1</v>
      </c>
      <c r="DX1329" s="143">
        <v>1</v>
      </c>
      <c r="DY1329" s="143">
        <v>0</v>
      </c>
      <c r="DZ1329" s="143">
        <v>1</v>
      </c>
      <c r="EA1329" s="143">
        <v>0</v>
      </c>
      <c r="EB1329" s="143">
        <v>1</v>
      </c>
      <c r="EC1329" s="143">
        <v>1</v>
      </c>
      <c r="ED1329" s="143">
        <v>0</v>
      </c>
      <c r="EE1329" s="143">
        <v>0</v>
      </c>
      <c r="EF1329" s="143">
        <v>1</v>
      </c>
      <c r="EG1329" s="143">
        <v>0</v>
      </c>
      <c r="EH1329" s="143">
        <v>0</v>
      </c>
      <c r="EI1329" s="196">
        <v>0</v>
      </c>
      <c r="EK1329" t="str">
        <f t="shared" si="1722"/>
        <v>Whole sector</v>
      </c>
      <c r="EL1329" t="str">
        <f t="shared" si="1723"/>
        <v/>
      </c>
      <c r="EM1329" s="2" t="str">
        <f t="shared" si="1751"/>
        <v/>
      </c>
      <c r="EP1329" t="b">
        <f>IF(ISNUMBER(BU1329),IF(ABS(BU1329-[1]QC_indicators!$B$2)&gt;3*[1]QC_indicators!$C$2,"C ratio",IF(ISNUMBER(BY1329),IF(ABS(BY1329-[1]QC_indicators!$B$1)&gt;3*[1]QC_indicators!$C$1,"DF","no"))),IF(ISNUMBER(BY1329),IF(ABS(BY1329-[1]QC_indicators!$B$1)&gt;3*[1]QC_indicators!$C$1,"DF","no")))</f>
        <v>0</v>
      </c>
      <c r="ER1329" s="313" t="s">
        <v>349</v>
      </c>
    </row>
    <row r="1330" spans="1:150" ht="15" hidden="1" customHeight="1">
      <c r="D1330" t="s">
        <v>4059</v>
      </c>
      <c r="E1330" t="s">
        <v>4060</v>
      </c>
      <c r="G1330" t="s">
        <v>829</v>
      </c>
      <c r="I1330">
        <v>2012</v>
      </c>
      <c r="K1330" t="s">
        <v>4061</v>
      </c>
      <c r="M1330" t="str">
        <f t="shared" si="1689"/>
        <v>Repo_2012</v>
      </c>
      <c r="N1330" s="311" t="s">
        <v>4382</v>
      </c>
      <c r="O1330" s="145" t="s">
        <v>225</v>
      </c>
      <c r="Q1330" s="311" t="s">
        <v>256</v>
      </c>
      <c r="R1330" s="312"/>
      <c r="S1330" s="1" t="s">
        <v>2228</v>
      </c>
      <c r="T1330" t="s">
        <v>4062</v>
      </c>
      <c r="U1330" t="s">
        <v>4065</v>
      </c>
      <c r="V1330" s="143">
        <v>0</v>
      </c>
      <c r="W1330" s="143">
        <v>0</v>
      </c>
      <c r="X1330" s="143">
        <v>0</v>
      </c>
      <c r="Y1330" s="143">
        <v>1</v>
      </c>
      <c r="Z1330" s="143">
        <v>0</v>
      </c>
      <c r="AA1330" s="143">
        <v>0</v>
      </c>
      <c r="AB1330" s="143">
        <v>0</v>
      </c>
      <c r="AC1330" s="143">
        <v>0</v>
      </c>
      <c r="AD1330" s="143">
        <v>0</v>
      </c>
      <c r="AE1330" s="143">
        <v>0</v>
      </c>
      <c r="AF1330" s="143">
        <v>0</v>
      </c>
      <c r="AG1330" s="143">
        <v>0</v>
      </c>
      <c r="AH1330" s="143">
        <v>0</v>
      </c>
      <c r="AI1330" s="143">
        <v>0</v>
      </c>
      <c r="AJ1330" s="143">
        <v>0</v>
      </c>
      <c r="AK1330" s="143">
        <v>0</v>
      </c>
      <c r="AL1330" s="143">
        <v>0</v>
      </c>
      <c r="AM1330" s="143">
        <v>0</v>
      </c>
      <c r="AN1330" s="143">
        <v>0</v>
      </c>
      <c r="AO1330" s="143">
        <v>0</v>
      </c>
      <c r="AP1330" s="143">
        <v>0</v>
      </c>
      <c r="AQ1330" s="143">
        <v>0</v>
      </c>
      <c r="AR1330" s="143">
        <v>0</v>
      </c>
      <c r="AS1330" s="143">
        <v>0</v>
      </c>
      <c r="AT1330" s="143">
        <v>0</v>
      </c>
      <c r="AU1330" s="143">
        <v>0</v>
      </c>
      <c r="AV1330" s="143">
        <v>0</v>
      </c>
      <c r="AW1330" s="143">
        <v>0</v>
      </c>
      <c r="AX1330" s="141">
        <f t="shared" si="1724"/>
        <v>1</v>
      </c>
      <c r="AY1330" s="141">
        <f t="shared" si="1725"/>
        <v>1</v>
      </c>
      <c r="AZ1330">
        <f t="shared" si="1726"/>
        <v>1</v>
      </c>
      <c r="BA1330">
        <f t="shared" si="1727"/>
        <v>0</v>
      </c>
      <c r="BB1330">
        <f t="shared" si="1728"/>
        <v>0</v>
      </c>
      <c r="BC1330">
        <f t="shared" si="1729"/>
        <v>0</v>
      </c>
      <c r="BD1330">
        <f t="shared" si="1730"/>
        <v>0</v>
      </c>
      <c r="BE1330" t="str" cm="1">
        <f t="array" ref="BE1330">IF(AY1330=1,INDEX($V$7:$AL$7,MATCH(TRUE,INDEX($V1330:$AW1330&lt;&gt;0,),0)),IF(AY1330=0,INDEX($AM$7:$AW$7,MATCH(1,$AM1330:$AW1330,0)),IF(BF1330="Multiple strategies","mixed drivers",IF(BF1330="Supply chain","multiple supply","multiple silviculture"))))</f>
        <v xml:space="preserve">cutting intensity </v>
      </c>
      <c r="BF1330" s="2" t="str" cm="1">
        <f t="array" ref="BF1330">IF(COUNTIF(AZ1330:BB1330,"&lt;&gt;0")=1,INDEX($V$4:$AW$4,MATCH(TRUE,INDEX($V1330:$AW1330&lt;&gt;0,),0)),IF(COUNTIF(AZ1330:BB1330,"&lt;&gt;0")=0,INDEX($AM$4:$AW$4,MATCH(1,$AM1330:$AW1330,0)),"Multiple strategies"))</f>
        <v>Silviculture for removals</v>
      </c>
      <c r="BP1330" s="311" t="s">
        <v>232</v>
      </c>
      <c r="BQ1330" s="311"/>
      <c r="BR1330" t="s">
        <v>4064</v>
      </c>
      <c r="BS1330" s="141">
        <v>-81.193580800000007</v>
      </c>
      <c r="BT1330" s="141">
        <v>-91.619616399999998</v>
      </c>
      <c r="BU1330" s="144">
        <v>1.1284096045188832</v>
      </c>
      <c r="BV1330">
        <v>-10.426035599999992</v>
      </c>
      <c r="BX1330">
        <f t="shared" si="1752"/>
        <v>-1.0426035599999992E-5</v>
      </c>
      <c r="BY1330" t="str">
        <f t="shared" si="1750"/>
        <v/>
      </c>
      <c r="BZ1330" s="143">
        <v>0</v>
      </c>
      <c r="CA1330" s="143">
        <v>1</v>
      </c>
      <c r="CB1330" s="143">
        <v>0</v>
      </c>
      <c r="CC1330" s="143">
        <v>1</v>
      </c>
      <c r="CD1330" s="143">
        <v>0</v>
      </c>
      <c r="CE1330" s="143">
        <v>0</v>
      </c>
      <c r="CF1330" s="143">
        <v>0</v>
      </c>
      <c r="CG1330" s="143">
        <v>0</v>
      </c>
      <c r="CH1330" s="143">
        <v>0</v>
      </c>
      <c r="CI1330" s="143">
        <v>0</v>
      </c>
      <c r="CJ1330" s="143">
        <v>0</v>
      </c>
      <c r="CK1330" s="143">
        <v>0</v>
      </c>
      <c r="CL1330" s="143">
        <v>0</v>
      </c>
      <c r="CM1330" s="143">
        <v>0</v>
      </c>
      <c r="CN1330" t="str">
        <f t="shared" si="1753"/>
        <v>refOK</v>
      </c>
      <c r="CO1330"/>
      <c r="CP1330"/>
      <c r="CQ1330"/>
      <c r="CR1330">
        <f t="shared" si="1735"/>
        <v>-81.193580800000007</v>
      </c>
      <c r="CS1330">
        <f t="shared" si="1736"/>
        <v>-91.619616399999998</v>
      </c>
      <c r="CT1330">
        <f t="shared" si="1737"/>
        <v>-1.0426035599999992E-5</v>
      </c>
      <c r="CU1330" t="str">
        <f t="shared" si="1738"/>
        <v/>
      </c>
      <c r="CV1330" s="2">
        <f t="shared" si="1739"/>
        <v>-0.12840960451888322</v>
      </c>
      <c r="CW1330" s="1" t="s">
        <v>1202</v>
      </c>
      <c r="CX1330" s="311" t="str">
        <f t="shared" si="1740"/>
        <v>reg</v>
      </c>
      <c r="CY1330" t="s">
        <v>235</v>
      </c>
      <c r="CZ1330">
        <v>2010</v>
      </c>
      <c r="DA1330">
        <v>2030</v>
      </c>
      <c r="DB1330" s="143">
        <f t="shared" si="1754"/>
        <v>20</v>
      </c>
      <c r="DC1330" t="str">
        <f t="shared" si="1741"/>
        <v>1-30</v>
      </c>
      <c r="DD1330">
        <v>1</v>
      </c>
      <c r="DE1330">
        <v>1</v>
      </c>
      <c r="DF1330">
        <v>0</v>
      </c>
      <c r="DG1330">
        <v>0</v>
      </c>
      <c r="DI1330">
        <f t="shared" si="1742"/>
        <v>2</v>
      </c>
      <c r="DJ1330" t="str">
        <f t="shared" si="1743"/>
        <v>mixedProduct</v>
      </c>
      <c r="DK1330" t="str">
        <f t="shared" si="1744"/>
        <v>Upstream</v>
      </c>
      <c r="DL1330" t="str">
        <f t="shared" si="1745"/>
        <v>Energy</v>
      </c>
      <c r="DM1330">
        <f t="shared" si="1746"/>
        <v>0</v>
      </c>
      <c r="DN1330">
        <f t="shared" si="1747"/>
        <v>0</v>
      </c>
      <c r="DO1330">
        <v>0</v>
      </c>
      <c r="DP1330" s="143">
        <v>0</v>
      </c>
      <c r="DQ1330" t="s">
        <v>2229</v>
      </c>
      <c r="DR1330">
        <v>0</v>
      </c>
      <c r="DS1330">
        <v>0</v>
      </c>
      <c r="DT1330">
        <f t="shared" si="1748"/>
        <v>0</v>
      </c>
      <c r="DU1330" s="143" t="str">
        <f t="shared" si="1749"/>
        <v>explicit C balance</v>
      </c>
      <c r="DV1330" s="143">
        <v>1</v>
      </c>
      <c r="DW1330" s="143">
        <v>1</v>
      </c>
      <c r="DX1330" s="143">
        <v>1</v>
      </c>
      <c r="DY1330" s="143">
        <v>0</v>
      </c>
      <c r="DZ1330" s="143">
        <v>1</v>
      </c>
      <c r="EA1330" s="143">
        <v>0</v>
      </c>
      <c r="EB1330" s="143">
        <v>1</v>
      </c>
      <c r="EC1330" s="143">
        <v>1</v>
      </c>
      <c r="ED1330" s="143">
        <v>0</v>
      </c>
      <c r="EE1330" s="143">
        <v>0</v>
      </c>
      <c r="EF1330" s="143">
        <v>1</v>
      </c>
      <c r="EG1330" s="143">
        <v>0</v>
      </c>
      <c r="EH1330" s="143">
        <v>0</v>
      </c>
      <c r="EI1330" s="196">
        <v>0</v>
      </c>
      <c r="EK1330" t="str">
        <f t="shared" si="1722"/>
        <v>Whole sector</v>
      </c>
      <c r="EL1330" t="str">
        <f t="shared" si="1723"/>
        <v/>
      </c>
      <c r="EM1330" s="2" t="str">
        <f t="shared" si="1751"/>
        <v/>
      </c>
      <c r="EP1330" t="b">
        <f>IF(ISNUMBER(BU1330),IF(ABS(BU1330-[1]QC_indicators!$B$2)&gt;3*[1]QC_indicators!$C$2,"C ratio",IF(ISNUMBER(BY1330),IF(ABS(BY1330-[1]QC_indicators!$B$1)&gt;3*[1]QC_indicators!$C$1,"DF","no"))),IF(ISNUMBER(BY1330),IF(ABS(BY1330-[1]QC_indicators!$B$1)&gt;3*[1]QC_indicators!$C$1,"DF","no")))</f>
        <v>0</v>
      </c>
      <c r="ER1330" s="313" t="s">
        <v>349</v>
      </c>
    </row>
    <row r="1331" spans="1:150" ht="15" hidden="1" customHeight="1">
      <c r="D1331" t="s">
        <v>4059</v>
      </c>
      <c r="E1331" t="s">
        <v>4060</v>
      </c>
      <c r="G1331" t="s">
        <v>829</v>
      </c>
      <c r="I1331">
        <v>2012</v>
      </c>
      <c r="K1331" t="s">
        <v>4061</v>
      </c>
      <c r="M1331" t="str">
        <f t="shared" si="1689"/>
        <v>Repo_2012</v>
      </c>
      <c r="N1331" s="311" t="s">
        <v>4382</v>
      </c>
      <c r="O1331" s="145" t="s">
        <v>225</v>
      </c>
      <c r="Q1331" s="311" t="s">
        <v>256</v>
      </c>
      <c r="R1331" s="312"/>
      <c r="S1331" s="1" t="s">
        <v>2228</v>
      </c>
      <c r="T1331" t="s">
        <v>4062</v>
      </c>
      <c r="U1331" t="s">
        <v>4065</v>
      </c>
      <c r="V1331" s="143">
        <v>0</v>
      </c>
      <c r="W1331" s="143">
        <v>0</v>
      </c>
      <c r="X1331" s="143">
        <v>0</v>
      </c>
      <c r="Y1331" s="143">
        <v>1</v>
      </c>
      <c r="Z1331" s="143">
        <v>0</v>
      </c>
      <c r="AA1331" s="143">
        <v>0</v>
      </c>
      <c r="AB1331" s="143">
        <v>0</v>
      </c>
      <c r="AC1331" s="143">
        <v>0</v>
      </c>
      <c r="AD1331" s="143">
        <v>0</v>
      </c>
      <c r="AE1331" s="143">
        <v>0</v>
      </c>
      <c r="AF1331" s="143">
        <v>0</v>
      </c>
      <c r="AG1331" s="143">
        <v>0</v>
      </c>
      <c r="AH1331" s="143">
        <v>0</v>
      </c>
      <c r="AI1331" s="143">
        <v>0</v>
      </c>
      <c r="AJ1331" s="143">
        <v>0</v>
      </c>
      <c r="AK1331" s="143">
        <v>0</v>
      </c>
      <c r="AL1331" s="143">
        <v>0</v>
      </c>
      <c r="AM1331" s="143">
        <v>0</v>
      </c>
      <c r="AN1331" s="143">
        <v>0</v>
      </c>
      <c r="AO1331" s="143">
        <v>0</v>
      </c>
      <c r="AP1331" s="143">
        <v>0</v>
      </c>
      <c r="AQ1331" s="143">
        <v>0</v>
      </c>
      <c r="AR1331" s="143">
        <v>0</v>
      </c>
      <c r="AS1331" s="143">
        <v>0</v>
      </c>
      <c r="AT1331" s="143">
        <v>0</v>
      </c>
      <c r="AU1331" s="143">
        <v>0</v>
      </c>
      <c r="AV1331" s="143">
        <v>0</v>
      </c>
      <c r="AW1331" s="143">
        <v>0</v>
      </c>
      <c r="AX1331" s="141">
        <f t="shared" si="1724"/>
        <v>1</v>
      </c>
      <c r="AY1331" s="141">
        <f t="shared" si="1725"/>
        <v>1</v>
      </c>
      <c r="AZ1331">
        <f t="shared" si="1726"/>
        <v>1</v>
      </c>
      <c r="BA1331">
        <f t="shared" si="1727"/>
        <v>0</v>
      </c>
      <c r="BB1331">
        <f t="shared" si="1728"/>
        <v>0</v>
      </c>
      <c r="BC1331">
        <f t="shared" si="1729"/>
        <v>0</v>
      </c>
      <c r="BD1331">
        <f t="shared" si="1730"/>
        <v>0</v>
      </c>
      <c r="BE1331" t="str" cm="1">
        <f t="array" ref="BE1331">IF(AY1331=1,INDEX($V$7:$AL$7,MATCH(TRUE,INDEX($V1331:$AW1331&lt;&gt;0,),0)),IF(AY1331=0,INDEX($AM$7:$AW$7,MATCH(1,$AM1331:$AW1331,0)),IF(BF1331="Multiple strategies","mixed drivers",IF(BF1331="Supply chain","multiple supply","multiple silviculture"))))</f>
        <v xml:space="preserve">cutting intensity </v>
      </c>
      <c r="BF1331" s="2" t="str" cm="1">
        <f t="array" ref="BF1331">IF(COUNTIF(AZ1331:BB1331,"&lt;&gt;0")=1,INDEX($V$4:$AW$4,MATCH(TRUE,INDEX($V1331:$AW1331&lt;&gt;0,),0)),IF(COUNTIF(AZ1331:BB1331,"&lt;&gt;0")=0,INDEX($AM$4:$AW$4,MATCH(1,$AM1331:$AW1331,0)),"Multiple strategies"))</f>
        <v>Silviculture for removals</v>
      </c>
      <c r="BP1331" s="311" t="s">
        <v>232</v>
      </c>
      <c r="BQ1331" s="311"/>
      <c r="BR1331" t="s">
        <v>4064</v>
      </c>
      <c r="BS1331">
        <v>-46.669542900000003</v>
      </c>
      <c r="BT1331" s="141">
        <v>-59.701633200000003</v>
      </c>
      <c r="BU1331" s="144">
        <v>1.2792418671835759</v>
      </c>
      <c r="BV1331">
        <v>-13.0320903</v>
      </c>
      <c r="BX1331">
        <f t="shared" si="1752"/>
        <v>-1.3032090300000001E-5</v>
      </c>
      <c r="BY1331" t="str">
        <f t="shared" si="1750"/>
        <v/>
      </c>
      <c r="BZ1331" s="143">
        <v>0</v>
      </c>
      <c r="CA1331" s="143">
        <v>1</v>
      </c>
      <c r="CB1331" s="143">
        <v>0</v>
      </c>
      <c r="CC1331" s="143">
        <v>1</v>
      </c>
      <c r="CD1331" s="143">
        <v>0</v>
      </c>
      <c r="CE1331" s="143">
        <v>0</v>
      </c>
      <c r="CF1331" s="143">
        <v>0</v>
      </c>
      <c r="CG1331" s="143">
        <v>0</v>
      </c>
      <c r="CH1331" s="143">
        <v>0</v>
      </c>
      <c r="CI1331" s="143">
        <v>0</v>
      </c>
      <c r="CJ1331" s="143">
        <v>0</v>
      </c>
      <c r="CK1331" s="143">
        <v>0</v>
      </c>
      <c r="CL1331" s="143">
        <v>0</v>
      </c>
      <c r="CM1331" s="143">
        <v>0</v>
      </c>
      <c r="CN1331" t="str">
        <f t="shared" si="1753"/>
        <v>refOK</v>
      </c>
      <c r="CO1331"/>
      <c r="CP1331"/>
      <c r="CQ1331"/>
      <c r="CR1331">
        <f t="shared" si="1735"/>
        <v>-46.669542900000003</v>
      </c>
      <c r="CS1331">
        <f t="shared" si="1736"/>
        <v>-59.701633200000003</v>
      </c>
      <c r="CT1331">
        <f t="shared" si="1737"/>
        <v>-1.3032090300000001E-5</v>
      </c>
      <c r="CU1331" t="str">
        <f t="shared" si="1738"/>
        <v/>
      </c>
      <c r="CV1331" s="2">
        <f t="shared" si="1739"/>
        <v>-0.27924186718357591</v>
      </c>
      <c r="CW1331" s="1" t="s">
        <v>1202</v>
      </c>
      <c r="CX1331" s="311" t="str">
        <f t="shared" si="1740"/>
        <v>reg</v>
      </c>
      <c r="CY1331" t="s">
        <v>235</v>
      </c>
      <c r="CZ1331">
        <v>2010</v>
      </c>
      <c r="DA1331">
        <v>2110</v>
      </c>
      <c r="DB1331" s="143">
        <f t="shared" si="1754"/>
        <v>100</v>
      </c>
      <c r="DC1331" t="str">
        <f t="shared" si="1741"/>
        <v>71-100</v>
      </c>
      <c r="DD1331">
        <v>1</v>
      </c>
      <c r="DE1331">
        <v>1</v>
      </c>
      <c r="DF1331">
        <v>0</v>
      </c>
      <c r="DG1331">
        <v>0</v>
      </c>
      <c r="DI1331">
        <f t="shared" si="1742"/>
        <v>2</v>
      </c>
      <c r="DJ1331" t="str">
        <f t="shared" si="1743"/>
        <v>mixedProduct</v>
      </c>
      <c r="DK1331" t="str">
        <f t="shared" si="1744"/>
        <v>Upstream</v>
      </c>
      <c r="DL1331" t="str">
        <f t="shared" si="1745"/>
        <v>Energy</v>
      </c>
      <c r="DM1331">
        <f t="shared" si="1746"/>
        <v>0</v>
      </c>
      <c r="DN1331">
        <f t="shared" si="1747"/>
        <v>0</v>
      </c>
      <c r="DO1331">
        <v>0</v>
      </c>
      <c r="DP1331" s="143">
        <v>0</v>
      </c>
      <c r="DQ1331" t="s">
        <v>2229</v>
      </c>
      <c r="DR1331">
        <v>0</v>
      </c>
      <c r="DS1331">
        <v>0</v>
      </c>
      <c r="DT1331">
        <f t="shared" si="1748"/>
        <v>0</v>
      </c>
      <c r="DU1331" s="143" t="str">
        <f t="shared" si="1749"/>
        <v>explicit C balance</v>
      </c>
      <c r="DV1331" s="143">
        <v>1</v>
      </c>
      <c r="DW1331" s="143">
        <v>1</v>
      </c>
      <c r="DX1331" s="143">
        <v>1</v>
      </c>
      <c r="DY1331" s="143">
        <v>0</v>
      </c>
      <c r="DZ1331" s="143">
        <v>1</v>
      </c>
      <c r="EA1331" s="143">
        <v>0</v>
      </c>
      <c r="EB1331" s="143">
        <v>1</v>
      </c>
      <c r="EC1331" s="143">
        <v>1</v>
      </c>
      <c r="ED1331" s="143">
        <v>0</v>
      </c>
      <c r="EE1331" s="143">
        <v>0</v>
      </c>
      <c r="EF1331" s="143">
        <v>1</v>
      </c>
      <c r="EG1331" s="143">
        <v>0</v>
      </c>
      <c r="EH1331" s="143">
        <v>0</v>
      </c>
      <c r="EI1331" s="196">
        <v>0</v>
      </c>
      <c r="EK1331" t="str">
        <f t="shared" si="1722"/>
        <v>Whole sector</v>
      </c>
      <c r="EL1331" t="str">
        <f t="shared" si="1723"/>
        <v/>
      </c>
      <c r="EM1331" s="2" t="str">
        <f t="shared" si="1751"/>
        <v/>
      </c>
      <c r="EP1331" t="b">
        <f>IF(ISNUMBER(BU1331),IF(ABS(BU1331-[1]QC_indicators!$B$2)&gt;3*[1]QC_indicators!$C$2,"C ratio",IF(ISNUMBER(BY1331),IF(ABS(BY1331-[1]QC_indicators!$B$1)&gt;3*[1]QC_indicators!$C$1,"DF","no"))),IF(ISNUMBER(BY1331),IF(ABS(BY1331-[1]QC_indicators!$B$1)&gt;3*[1]QC_indicators!$C$1,"DF","no")))</f>
        <v>0</v>
      </c>
      <c r="ER1331" s="313" t="s">
        <v>349</v>
      </c>
    </row>
    <row r="1332" spans="1:150" ht="15" hidden="1" customHeight="1">
      <c r="D1332" t="s">
        <v>4059</v>
      </c>
      <c r="E1332" t="s">
        <v>4060</v>
      </c>
      <c r="G1332" t="s">
        <v>829</v>
      </c>
      <c r="I1332">
        <v>2012</v>
      </c>
      <c r="K1332" t="s">
        <v>4061</v>
      </c>
      <c r="M1332" t="str">
        <f t="shared" si="1689"/>
        <v>Repo_2012</v>
      </c>
      <c r="N1332" s="311" t="s">
        <v>4382</v>
      </c>
      <c r="O1332" s="145" t="s">
        <v>225</v>
      </c>
      <c r="Q1332" s="311" t="s">
        <v>256</v>
      </c>
      <c r="R1332" s="312"/>
      <c r="S1332" s="1" t="s">
        <v>4066</v>
      </c>
      <c r="T1332" t="s">
        <v>4062</v>
      </c>
      <c r="U1332" t="s">
        <v>4063</v>
      </c>
      <c r="V1332" s="143">
        <v>0</v>
      </c>
      <c r="W1332" s="143">
        <v>0</v>
      </c>
      <c r="X1332" s="143">
        <v>0</v>
      </c>
      <c r="Y1332" s="143">
        <v>0</v>
      </c>
      <c r="Z1332" s="143">
        <v>0</v>
      </c>
      <c r="AA1332" s="143">
        <v>0</v>
      </c>
      <c r="AB1332" s="143">
        <v>0</v>
      </c>
      <c r="AC1332" s="143">
        <v>0</v>
      </c>
      <c r="AD1332" s="143">
        <v>0</v>
      </c>
      <c r="AE1332" s="143">
        <v>0</v>
      </c>
      <c r="AF1332" s="143">
        <v>0</v>
      </c>
      <c r="AG1332" s="143">
        <v>0</v>
      </c>
      <c r="AH1332" s="143">
        <v>0</v>
      </c>
      <c r="AI1332" s="143">
        <v>0</v>
      </c>
      <c r="AJ1332" s="143">
        <v>1</v>
      </c>
      <c r="AK1332" s="143">
        <v>0</v>
      </c>
      <c r="AL1332" s="143">
        <v>0</v>
      </c>
      <c r="AM1332" s="143">
        <v>0</v>
      </c>
      <c r="AN1332" s="143">
        <v>0</v>
      </c>
      <c r="AO1332" s="143">
        <v>0</v>
      </c>
      <c r="AP1332" s="143">
        <v>0</v>
      </c>
      <c r="AQ1332" s="143">
        <v>0</v>
      </c>
      <c r="AR1332" s="143">
        <v>0</v>
      </c>
      <c r="AS1332" s="143">
        <v>0</v>
      </c>
      <c r="AT1332" s="143">
        <v>0</v>
      </c>
      <c r="AU1332" s="143">
        <v>0</v>
      </c>
      <c r="AV1332" s="143">
        <v>0</v>
      </c>
      <c r="AW1332" s="143">
        <v>0</v>
      </c>
      <c r="AX1332" s="141">
        <f t="shared" si="1724"/>
        <v>1</v>
      </c>
      <c r="AY1332" s="141">
        <f t="shared" si="1725"/>
        <v>1</v>
      </c>
      <c r="AZ1332">
        <f t="shared" si="1726"/>
        <v>0</v>
      </c>
      <c r="BA1332">
        <f t="shared" si="1727"/>
        <v>0</v>
      </c>
      <c r="BB1332">
        <f t="shared" si="1728"/>
        <v>1</v>
      </c>
      <c r="BC1332">
        <f t="shared" si="1729"/>
        <v>0</v>
      </c>
      <c r="BD1332">
        <f t="shared" si="1730"/>
        <v>0</v>
      </c>
      <c r="BE1332" t="str" cm="1">
        <f t="array" ref="BE1332">IF(AY1332=1,INDEX($V$7:$AL$7,MATCH(TRUE,INDEX($V1332:$AW1332&lt;&gt;0,),0)),IF(AY1332=0,INDEX($AM$7:$AW$7,MATCH(1,$AM1332:$AW1332,0)),IF(BF1332="Multiple strategies","mixed drivers",IF(BF1332="Supply chain","multiple supply","multiple silviculture"))))</f>
        <v>efficiency improvement</v>
      </c>
      <c r="BF1332" s="2" t="str" cm="1">
        <f t="array" ref="BF1332">IF(COUNTIF(AZ1332:BB1332,"&lt;&gt;0")=1,INDEX($V$4:$AW$4,MATCH(TRUE,INDEX($V1332:$AW1332&lt;&gt;0,),0)),IF(COUNTIF(AZ1332:BB1332,"&lt;&gt;0")=0,INDEX($AM$4:$AW$4,MATCH(1,$AM1332:$AW1332,0)),"Multiple strategies"))</f>
        <v>Technology</v>
      </c>
      <c r="BP1332" s="311" t="s">
        <v>232</v>
      </c>
      <c r="BQ1332" s="311"/>
      <c r="BR1332" t="s">
        <v>4064</v>
      </c>
      <c r="BS1332" s="141">
        <v>-110</v>
      </c>
      <c r="BT1332" s="141">
        <v>-56.411650799999997</v>
      </c>
      <c r="BU1332" s="144">
        <v>0.51283318909090903</v>
      </c>
      <c r="BV1332">
        <v>53.588349200000003</v>
      </c>
      <c r="BX1332">
        <f t="shared" si="1752"/>
        <v>5.35883492E-5</v>
      </c>
      <c r="BY1332" t="str">
        <f t="shared" si="1750"/>
        <v/>
      </c>
      <c r="BZ1332" s="143">
        <v>0</v>
      </c>
      <c r="CA1332" s="143">
        <v>1</v>
      </c>
      <c r="CB1332" s="143">
        <v>0</v>
      </c>
      <c r="CC1332" s="143">
        <v>1</v>
      </c>
      <c r="CD1332" s="143">
        <v>0</v>
      </c>
      <c r="CE1332" s="143">
        <v>0</v>
      </c>
      <c r="CF1332" s="143">
        <v>0</v>
      </c>
      <c r="CG1332" s="143">
        <v>0</v>
      </c>
      <c r="CH1332" s="143">
        <v>0</v>
      </c>
      <c r="CI1332" s="143">
        <v>0</v>
      </c>
      <c r="CJ1332" s="143">
        <v>0</v>
      </c>
      <c r="CK1332" s="143">
        <v>0</v>
      </c>
      <c r="CL1332" s="143">
        <v>0</v>
      </c>
      <c r="CM1332" s="143">
        <v>0</v>
      </c>
      <c r="CN1332" t="str">
        <f t="shared" si="1753"/>
        <v>refOK</v>
      </c>
      <c r="CO1332"/>
      <c r="CP1332"/>
      <c r="CQ1332"/>
      <c r="CR1332">
        <f t="shared" si="1735"/>
        <v>-110</v>
      </c>
      <c r="CS1332">
        <f t="shared" si="1736"/>
        <v>-56.411650799999997</v>
      </c>
      <c r="CT1332">
        <f t="shared" si="1737"/>
        <v>5.35883492E-5</v>
      </c>
      <c r="CU1332" t="str">
        <f t="shared" si="1738"/>
        <v/>
      </c>
      <c r="CV1332" s="2">
        <f t="shared" si="1739"/>
        <v>0.48716681090909092</v>
      </c>
      <c r="CW1332" s="1" t="s">
        <v>1202</v>
      </c>
      <c r="CX1332" s="311" t="str">
        <f t="shared" si="1740"/>
        <v>reg</v>
      </c>
      <c r="CY1332" t="s">
        <v>235</v>
      </c>
      <c r="CZ1332">
        <v>2010</v>
      </c>
      <c r="DA1332">
        <v>2070</v>
      </c>
      <c r="DB1332" s="143">
        <f t="shared" si="1754"/>
        <v>60</v>
      </c>
      <c r="DC1332" t="str">
        <f t="shared" si="1741"/>
        <v>31-70</v>
      </c>
      <c r="DD1332">
        <v>1</v>
      </c>
      <c r="DE1332">
        <v>1</v>
      </c>
      <c r="DF1332">
        <v>0</v>
      </c>
      <c r="DG1332">
        <v>0</v>
      </c>
      <c r="DI1332">
        <f t="shared" si="1742"/>
        <v>2</v>
      </c>
      <c r="DJ1332" t="str">
        <f t="shared" si="1743"/>
        <v>mixedProduct</v>
      </c>
      <c r="DK1332" t="str">
        <f t="shared" si="1744"/>
        <v>Upstream</v>
      </c>
      <c r="DL1332" t="str">
        <f t="shared" si="1745"/>
        <v>Energy</v>
      </c>
      <c r="DM1332">
        <f t="shared" si="1746"/>
        <v>0</v>
      </c>
      <c r="DN1332">
        <f t="shared" si="1747"/>
        <v>0</v>
      </c>
      <c r="DO1332">
        <v>0</v>
      </c>
      <c r="DP1332" s="143">
        <v>0</v>
      </c>
      <c r="DQ1332" t="s">
        <v>2229</v>
      </c>
      <c r="DR1332">
        <v>0</v>
      </c>
      <c r="DS1332">
        <v>0</v>
      </c>
      <c r="DT1332">
        <f t="shared" si="1748"/>
        <v>0</v>
      </c>
      <c r="DU1332" s="143" t="str">
        <f t="shared" si="1749"/>
        <v>explicit C balance</v>
      </c>
      <c r="DV1332" s="143">
        <v>1</v>
      </c>
      <c r="DW1332" s="143">
        <v>1</v>
      </c>
      <c r="DX1332" s="143">
        <v>1</v>
      </c>
      <c r="DY1332" s="143">
        <v>0</v>
      </c>
      <c r="DZ1332" s="143">
        <v>1</v>
      </c>
      <c r="EA1332" s="143">
        <v>0</v>
      </c>
      <c r="EB1332" s="143">
        <v>1</v>
      </c>
      <c r="EC1332" s="143">
        <v>1</v>
      </c>
      <c r="ED1332" s="143">
        <v>0</v>
      </c>
      <c r="EE1332" s="143">
        <v>0</v>
      </c>
      <c r="EF1332" s="143">
        <v>1</v>
      </c>
      <c r="EG1332" s="143">
        <v>0</v>
      </c>
      <c r="EH1332" s="143">
        <v>0</v>
      </c>
      <c r="EI1332" s="196">
        <v>0</v>
      </c>
      <c r="EK1332" t="str">
        <f t="shared" si="1722"/>
        <v>Whole sector</v>
      </c>
      <c r="EL1332" t="str">
        <f t="shared" si="1723"/>
        <v/>
      </c>
      <c r="EM1332" s="2" t="str">
        <f t="shared" si="1751"/>
        <v/>
      </c>
      <c r="EP1332" t="b">
        <f>IF(ISNUMBER(BU1332),IF(ABS(BU1332-[1]QC_indicators!$B$2)&gt;3*[1]QC_indicators!$C$2,"C ratio",IF(ISNUMBER(BY1332),IF(ABS(BY1332-[1]QC_indicators!$B$1)&gt;3*[1]QC_indicators!$C$1,"DF","no"))),IF(ISNUMBER(BY1332),IF(ABS(BY1332-[1]QC_indicators!$B$1)&gt;3*[1]QC_indicators!$C$1,"DF","no")))</f>
        <v>0</v>
      </c>
      <c r="ER1332" s="313" t="s">
        <v>349</v>
      </c>
    </row>
    <row r="1333" spans="1:150" ht="15" hidden="1" customHeight="1">
      <c r="D1333" t="s">
        <v>4059</v>
      </c>
      <c r="E1333" t="s">
        <v>4060</v>
      </c>
      <c r="G1333" t="s">
        <v>829</v>
      </c>
      <c r="I1333">
        <v>2012</v>
      </c>
      <c r="K1333" t="s">
        <v>4061</v>
      </c>
      <c r="M1333" t="str">
        <f t="shared" si="1689"/>
        <v>Repo_2012</v>
      </c>
      <c r="N1333" s="311" t="s">
        <v>4382</v>
      </c>
      <c r="O1333" s="145" t="s">
        <v>225</v>
      </c>
      <c r="Q1333" s="311" t="s">
        <v>256</v>
      </c>
      <c r="R1333" s="312"/>
      <c r="S1333" s="1" t="s">
        <v>4066</v>
      </c>
      <c r="T1333" t="s">
        <v>4062</v>
      </c>
      <c r="U1333" t="s">
        <v>4063</v>
      </c>
      <c r="V1333" s="143">
        <v>0</v>
      </c>
      <c r="W1333" s="143">
        <v>0</v>
      </c>
      <c r="X1333" s="143">
        <v>0</v>
      </c>
      <c r="Y1333" s="143">
        <v>0</v>
      </c>
      <c r="Z1333" s="143">
        <v>0</v>
      </c>
      <c r="AA1333" s="143">
        <v>0</v>
      </c>
      <c r="AB1333" s="143">
        <v>0</v>
      </c>
      <c r="AC1333" s="143">
        <v>0</v>
      </c>
      <c r="AD1333" s="143">
        <v>0</v>
      </c>
      <c r="AE1333" s="143">
        <v>0</v>
      </c>
      <c r="AF1333" s="143">
        <v>0</v>
      </c>
      <c r="AG1333" s="143">
        <v>0</v>
      </c>
      <c r="AH1333" s="143">
        <v>0</v>
      </c>
      <c r="AI1333" s="143">
        <v>0</v>
      </c>
      <c r="AJ1333" s="143">
        <v>1</v>
      </c>
      <c r="AK1333" s="143">
        <v>0</v>
      </c>
      <c r="AL1333" s="143">
        <v>0</v>
      </c>
      <c r="AM1333" s="143">
        <v>0</v>
      </c>
      <c r="AN1333" s="143">
        <v>0</v>
      </c>
      <c r="AO1333" s="143">
        <v>0</v>
      </c>
      <c r="AP1333" s="143">
        <v>0</v>
      </c>
      <c r="AQ1333" s="143">
        <v>0</v>
      </c>
      <c r="AR1333" s="143">
        <v>0</v>
      </c>
      <c r="AS1333" s="143">
        <v>0</v>
      </c>
      <c r="AT1333" s="143">
        <v>0</v>
      </c>
      <c r="AU1333" s="143">
        <v>0</v>
      </c>
      <c r="AV1333" s="143">
        <v>0</v>
      </c>
      <c r="AW1333" s="143">
        <v>0</v>
      </c>
      <c r="AX1333" s="141">
        <f t="shared" si="1724"/>
        <v>1</v>
      </c>
      <c r="AY1333" s="141">
        <f t="shared" si="1725"/>
        <v>1</v>
      </c>
      <c r="AZ1333">
        <f t="shared" si="1726"/>
        <v>0</v>
      </c>
      <c r="BA1333">
        <f t="shared" si="1727"/>
        <v>0</v>
      </c>
      <c r="BB1333">
        <f t="shared" si="1728"/>
        <v>1</v>
      </c>
      <c r="BC1333">
        <f t="shared" si="1729"/>
        <v>0</v>
      </c>
      <c r="BD1333">
        <f t="shared" si="1730"/>
        <v>0</v>
      </c>
      <c r="BE1333" t="str" cm="1">
        <f t="array" ref="BE1333">IF(AY1333=1,INDEX($V$7:$AL$7,MATCH(TRUE,INDEX($V1333:$AW1333&lt;&gt;0,),0)),IF(AY1333=0,INDEX($AM$7:$AW$7,MATCH(1,$AM1333:$AW1333,0)),IF(BF1333="Multiple strategies","mixed drivers",IF(BF1333="Supply chain","multiple supply","multiple silviculture"))))</f>
        <v>efficiency improvement</v>
      </c>
      <c r="BF1333" s="2" t="str" cm="1">
        <f t="array" ref="BF1333">IF(COUNTIF(AZ1333:BB1333,"&lt;&gt;0")=1,INDEX($V$4:$AW$4,MATCH(TRUE,INDEX($V1333:$AW1333&lt;&gt;0,),0)),IF(COUNTIF(AZ1333:BB1333,"&lt;&gt;0")=0,INDEX($AM$4:$AW$4,MATCH(1,$AM1333:$AW1333,0)),"Multiple strategies"))</f>
        <v>Technology</v>
      </c>
      <c r="BP1333" s="311" t="s">
        <v>232</v>
      </c>
      <c r="BQ1333" s="311"/>
      <c r="BR1333" t="s">
        <v>4064</v>
      </c>
      <c r="BS1333" s="141">
        <v>-110</v>
      </c>
      <c r="BT1333" s="141">
        <v>-81.193580800000007</v>
      </c>
      <c r="BU1333" s="144">
        <v>0.73812346181818189</v>
      </c>
      <c r="BV1333">
        <v>28.806419199999993</v>
      </c>
      <c r="BX1333">
        <f t="shared" si="1752"/>
        <v>2.8806419199999994E-5</v>
      </c>
      <c r="BY1333" t="str">
        <f t="shared" si="1750"/>
        <v/>
      </c>
      <c r="BZ1333" s="143">
        <v>0</v>
      </c>
      <c r="CA1333" s="143">
        <v>1</v>
      </c>
      <c r="CB1333" s="143">
        <v>0</v>
      </c>
      <c r="CC1333" s="143">
        <v>1</v>
      </c>
      <c r="CD1333" s="143">
        <v>0</v>
      </c>
      <c r="CE1333" s="143">
        <v>0</v>
      </c>
      <c r="CF1333" s="143">
        <v>0</v>
      </c>
      <c r="CG1333" s="143">
        <v>0</v>
      </c>
      <c r="CH1333" s="143">
        <v>0</v>
      </c>
      <c r="CI1333" s="143">
        <v>0</v>
      </c>
      <c r="CJ1333" s="143">
        <v>0</v>
      </c>
      <c r="CK1333" s="143">
        <v>0</v>
      </c>
      <c r="CL1333" s="143">
        <v>0</v>
      </c>
      <c r="CM1333" s="143">
        <v>0</v>
      </c>
      <c r="CN1333" t="str">
        <f t="shared" si="1753"/>
        <v>refOK</v>
      </c>
      <c r="CO1333"/>
      <c r="CP1333"/>
      <c r="CQ1333"/>
      <c r="CR1333">
        <f t="shared" si="1735"/>
        <v>-110</v>
      </c>
      <c r="CS1333">
        <f t="shared" si="1736"/>
        <v>-81.193580800000007</v>
      </c>
      <c r="CT1333">
        <f t="shared" si="1737"/>
        <v>2.8806419199999994E-5</v>
      </c>
      <c r="CU1333" t="str">
        <f t="shared" si="1738"/>
        <v/>
      </c>
      <c r="CV1333" s="2">
        <f t="shared" si="1739"/>
        <v>0.26187653818181811</v>
      </c>
      <c r="CW1333" s="1" t="s">
        <v>1202</v>
      </c>
      <c r="CX1333" s="311" t="str">
        <f t="shared" si="1740"/>
        <v>reg</v>
      </c>
      <c r="CY1333" t="s">
        <v>235</v>
      </c>
      <c r="CZ1333">
        <v>2010</v>
      </c>
      <c r="DA1333">
        <v>2030</v>
      </c>
      <c r="DB1333" s="143">
        <f t="shared" si="1754"/>
        <v>20</v>
      </c>
      <c r="DC1333" t="str">
        <f t="shared" si="1741"/>
        <v>1-30</v>
      </c>
      <c r="DD1333">
        <v>1</v>
      </c>
      <c r="DE1333">
        <v>1</v>
      </c>
      <c r="DF1333">
        <v>0</v>
      </c>
      <c r="DG1333">
        <v>0</v>
      </c>
      <c r="DI1333">
        <f t="shared" si="1742"/>
        <v>2</v>
      </c>
      <c r="DJ1333" t="str">
        <f t="shared" si="1743"/>
        <v>mixedProduct</v>
      </c>
      <c r="DK1333" t="str">
        <f t="shared" si="1744"/>
        <v>Upstream</v>
      </c>
      <c r="DL1333" t="str">
        <f t="shared" si="1745"/>
        <v>Energy</v>
      </c>
      <c r="DM1333">
        <f t="shared" si="1746"/>
        <v>0</v>
      </c>
      <c r="DN1333">
        <f t="shared" si="1747"/>
        <v>0</v>
      </c>
      <c r="DO1333">
        <v>0</v>
      </c>
      <c r="DP1333" s="143">
        <v>0</v>
      </c>
      <c r="DQ1333" t="s">
        <v>2229</v>
      </c>
      <c r="DR1333">
        <v>0</v>
      </c>
      <c r="DS1333">
        <v>0</v>
      </c>
      <c r="DT1333">
        <f t="shared" si="1748"/>
        <v>0</v>
      </c>
      <c r="DU1333" s="143" t="str">
        <f t="shared" si="1749"/>
        <v>explicit C balance</v>
      </c>
      <c r="DV1333" s="143">
        <v>1</v>
      </c>
      <c r="DW1333" s="143">
        <v>1</v>
      </c>
      <c r="DX1333" s="143">
        <v>1</v>
      </c>
      <c r="DY1333" s="143">
        <v>0</v>
      </c>
      <c r="DZ1333" s="143">
        <v>1</v>
      </c>
      <c r="EA1333" s="143">
        <v>0</v>
      </c>
      <c r="EB1333" s="143">
        <v>1</v>
      </c>
      <c r="EC1333" s="143">
        <v>1</v>
      </c>
      <c r="ED1333" s="143">
        <v>0</v>
      </c>
      <c r="EE1333" s="143">
        <v>0</v>
      </c>
      <c r="EF1333" s="143">
        <v>1</v>
      </c>
      <c r="EG1333" s="143">
        <v>0</v>
      </c>
      <c r="EH1333" s="143">
        <v>0</v>
      </c>
      <c r="EI1333" s="196">
        <v>0</v>
      </c>
      <c r="EK1333" t="str">
        <f t="shared" si="1722"/>
        <v>Whole sector</v>
      </c>
      <c r="EL1333" t="str">
        <f t="shared" si="1723"/>
        <v/>
      </c>
      <c r="EM1333" s="2" t="str">
        <f t="shared" si="1751"/>
        <v/>
      </c>
      <c r="EP1333" t="b">
        <f>IF(ISNUMBER(BU1333),IF(ABS(BU1333-[1]QC_indicators!$B$2)&gt;3*[1]QC_indicators!$C$2,"C ratio",IF(ISNUMBER(BY1333),IF(ABS(BY1333-[1]QC_indicators!$B$1)&gt;3*[1]QC_indicators!$C$1,"DF","no"))),IF(ISNUMBER(BY1333),IF(ABS(BY1333-[1]QC_indicators!$B$1)&gt;3*[1]QC_indicators!$C$1,"DF","no")))</f>
        <v>0</v>
      </c>
      <c r="ER1333" s="313" t="s">
        <v>349</v>
      </c>
    </row>
    <row r="1334" spans="1:150" ht="15" hidden="1" customHeight="1">
      <c r="D1334" t="s">
        <v>4059</v>
      </c>
      <c r="E1334" t="s">
        <v>4060</v>
      </c>
      <c r="G1334" t="s">
        <v>829</v>
      </c>
      <c r="I1334">
        <v>2012</v>
      </c>
      <c r="K1334" t="s">
        <v>4061</v>
      </c>
      <c r="M1334" t="str">
        <f t="shared" si="1689"/>
        <v>Repo_2012</v>
      </c>
      <c r="N1334" s="311" t="s">
        <v>4382</v>
      </c>
      <c r="O1334" s="145" t="s">
        <v>225</v>
      </c>
      <c r="Q1334" s="311" t="s">
        <v>256</v>
      </c>
      <c r="R1334" s="312"/>
      <c r="S1334" s="1" t="s">
        <v>4066</v>
      </c>
      <c r="T1334" t="s">
        <v>4062</v>
      </c>
      <c r="U1334" t="s">
        <v>4063</v>
      </c>
      <c r="V1334" s="143">
        <v>0</v>
      </c>
      <c r="W1334" s="143">
        <v>0</v>
      </c>
      <c r="X1334" s="143">
        <v>0</v>
      </c>
      <c r="Y1334" s="143">
        <v>0</v>
      </c>
      <c r="Z1334" s="143">
        <v>0</v>
      </c>
      <c r="AA1334" s="143">
        <v>0</v>
      </c>
      <c r="AB1334" s="143">
        <v>0</v>
      </c>
      <c r="AC1334" s="143">
        <v>0</v>
      </c>
      <c r="AD1334" s="143">
        <v>0</v>
      </c>
      <c r="AE1334" s="143">
        <v>0</v>
      </c>
      <c r="AF1334" s="143">
        <v>0</v>
      </c>
      <c r="AG1334" s="143">
        <v>0</v>
      </c>
      <c r="AH1334" s="143">
        <v>0</v>
      </c>
      <c r="AI1334" s="143">
        <v>0</v>
      </c>
      <c r="AJ1334" s="143">
        <v>1</v>
      </c>
      <c r="AK1334" s="143">
        <v>0</v>
      </c>
      <c r="AL1334" s="143">
        <v>0</v>
      </c>
      <c r="AM1334" s="143">
        <v>0</v>
      </c>
      <c r="AN1334" s="143">
        <v>0</v>
      </c>
      <c r="AO1334" s="143">
        <v>0</v>
      </c>
      <c r="AP1334" s="143">
        <v>0</v>
      </c>
      <c r="AQ1334" s="143">
        <v>0</v>
      </c>
      <c r="AR1334" s="143">
        <v>0</v>
      </c>
      <c r="AS1334" s="143">
        <v>0</v>
      </c>
      <c r="AT1334" s="143">
        <v>0</v>
      </c>
      <c r="AU1334" s="143">
        <v>0</v>
      </c>
      <c r="AV1334" s="143">
        <v>0</v>
      </c>
      <c r="AW1334" s="143">
        <v>0</v>
      </c>
      <c r="AX1334" s="141">
        <f t="shared" si="1724"/>
        <v>1</v>
      </c>
      <c r="AY1334" s="141">
        <f t="shared" si="1725"/>
        <v>1</v>
      </c>
      <c r="AZ1334">
        <f t="shared" si="1726"/>
        <v>0</v>
      </c>
      <c r="BA1334">
        <f t="shared" si="1727"/>
        <v>0</v>
      </c>
      <c r="BB1334">
        <f t="shared" si="1728"/>
        <v>1</v>
      </c>
      <c r="BC1334">
        <f t="shared" si="1729"/>
        <v>0</v>
      </c>
      <c r="BD1334">
        <f t="shared" si="1730"/>
        <v>0</v>
      </c>
      <c r="BE1334" t="str" cm="1">
        <f t="array" ref="BE1334">IF(AY1334=1,INDEX($V$7:$AL$7,MATCH(TRUE,INDEX($V1334:$AW1334&lt;&gt;0,),0)),IF(AY1334=0,INDEX($AM$7:$AW$7,MATCH(1,$AM1334:$AW1334,0)),IF(BF1334="Multiple strategies","mixed drivers",IF(BF1334="Supply chain","multiple supply","multiple silviculture"))))</f>
        <v>efficiency improvement</v>
      </c>
      <c r="BF1334" s="2" t="str" cm="1">
        <f t="array" ref="BF1334">IF(COUNTIF(AZ1334:BB1334,"&lt;&gt;0")=1,INDEX($V$4:$AW$4,MATCH(TRUE,INDEX($V1334:$AW1334&lt;&gt;0,),0)),IF(COUNTIF(AZ1334:BB1334,"&lt;&gt;0")=0,INDEX($AM$4:$AW$4,MATCH(1,$AM1334:$AW1334,0)),"Multiple strategies"))</f>
        <v>Technology</v>
      </c>
      <c r="BP1334" s="311" t="s">
        <v>232</v>
      </c>
      <c r="BQ1334" s="311"/>
      <c r="BR1334" t="s">
        <v>4064</v>
      </c>
      <c r="BS1334" s="141">
        <v>-110</v>
      </c>
      <c r="BT1334" s="141">
        <v>-107.01820499999999</v>
      </c>
      <c r="BU1334" s="144">
        <v>0.9728927727272727</v>
      </c>
      <c r="BV1334">
        <v>2.9817950000000053</v>
      </c>
      <c r="BX1334">
        <f t="shared" si="1752"/>
        <v>2.9817950000000051E-6</v>
      </c>
      <c r="BY1334" t="str">
        <f t="shared" si="1750"/>
        <v/>
      </c>
      <c r="BZ1334" s="143">
        <v>0</v>
      </c>
      <c r="CA1334" s="143">
        <v>1</v>
      </c>
      <c r="CB1334" s="143">
        <v>0</v>
      </c>
      <c r="CC1334" s="143">
        <v>1</v>
      </c>
      <c r="CD1334" s="143">
        <v>0</v>
      </c>
      <c r="CE1334" s="143">
        <v>0</v>
      </c>
      <c r="CF1334" s="143">
        <v>0</v>
      </c>
      <c r="CG1334" s="143">
        <v>0</v>
      </c>
      <c r="CH1334" s="143">
        <v>0</v>
      </c>
      <c r="CI1334" s="143">
        <v>0</v>
      </c>
      <c r="CJ1334" s="143">
        <v>0</v>
      </c>
      <c r="CK1334" s="143">
        <v>0</v>
      </c>
      <c r="CL1334" s="143">
        <v>0</v>
      </c>
      <c r="CM1334" s="143">
        <v>0</v>
      </c>
      <c r="CN1334" t="str">
        <f t="shared" si="1753"/>
        <v>refOK</v>
      </c>
      <c r="CO1334"/>
      <c r="CP1334"/>
      <c r="CQ1334"/>
      <c r="CR1334">
        <f t="shared" si="1735"/>
        <v>-110</v>
      </c>
      <c r="CS1334">
        <f t="shared" si="1736"/>
        <v>-107.01820499999999</v>
      </c>
      <c r="CT1334">
        <f t="shared" si="1737"/>
        <v>2.9817950000000051E-6</v>
      </c>
      <c r="CU1334" t="str">
        <f t="shared" si="1738"/>
        <v/>
      </c>
      <c r="CV1334" s="2">
        <f t="shared" si="1739"/>
        <v>2.7107227272727321E-2</v>
      </c>
      <c r="CW1334" s="1" t="s">
        <v>1202</v>
      </c>
      <c r="CX1334" s="311" t="str">
        <f t="shared" si="1740"/>
        <v>reg</v>
      </c>
      <c r="CY1334" t="s">
        <v>235</v>
      </c>
      <c r="CZ1334">
        <v>2010</v>
      </c>
      <c r="DA1334">
        <v>2010</v>
      </c>
      <c r="DB1334" s="143">
        <f t="shared" si="1754"/>
        <v>0</v>
      </c>
      <c r="DC1334" t="str">
        <f t="shared" si="1741"/>
        <v>0</v>
      </c>
      <c r="DD1334">
        <v>1</v>
      </c>
      <c r="DE1334">
        <v>1</v>
      </c>
      <c r="DF1334">
        <v>0</v>
      </c>
      <c r="DG1334">
        <v>0</v>
      </c>
      <c r="DI1334">
        <f t="shared" si="1742"/>
        <v>2</v>
      </c>
      <c r="DJ1334" t="str">
        <f t="shared" si="1743"/>
        <v>mixedProduct</v>
      </c>
      <c r="DK1334" t="str">
        <f t="shared" si="1744"/>
        <v>Upstream</v>
      </c>
      <c r="DL1334" t="str">
        <f t="shared" si="1745"/>
        <v>Energy</v>
      </c>
      <c r="DM1334">
        <f t="shared" si="1746"/>
        <v>0</v>
      </c>
      <c r="DN1334">
        <f t="shared" si="1747"/>
        <v>0</v>
      </c>
      <c r="DO1334">
        <v>0</v>
      </c>
      <c r="DP1334" s="143">
        <v>0</v>
      </c>
      <c r="DQ1334" t="s">
        <v>2229</v>
      </c>
      <c r="DR1334">
        <v>0</v>
      </c>
      <c r="DS1334">
        <v>0</v>
      </c>
      <c r="DT1334">
        <f t="shared" si="1748"/>
        <v>0</v>
      </c>
      <c r="DU1334" s="143" t="str">
        <f t="shared" si="1749"/>
        <v>explicit C balance</v>
      </c>
      <c r="DV1334" s="143">
        <v>1</v>
      </c>
      <c r="DW1334" s="143">
        <v>1</v>
      </c>
      <c r="DX1334" s="143">
        <v>1</v>
      </c>
      <c r="DY1334" s="143">
        <v>0</v>
      </c>
      <c r="DZ1334" s="143">
        <v>1</v>
      </c>
      <c r="EA1334" s="143">
        <v>0</v>
      </c>
      <c r="EB1334" s="143">
        <v>1</v>
      </c>
      <c r="EC1334" s="143">
        <v>1</v>
      </c>
      <c r="ED1334" s="143">
        <v>0</v>
      </c>
      <c r="EE1334" s="143">
        <v>0</v>
      </c>
      <c r="EF1334" s="143">
        <v>1</v>
      </c>
      <c r="EG1334" s="143">
        <v>0</v>
      </c>
      <c r="EH1334" s="143">
        <v>0</v>
      </c>
      <c r="EI1334" s="196">
        <v>0</v>
      </c>
      <c r="EK1334" t="str">
        <f t="shared" si="1722"/>
        <v>Whole sector</v>
      </c>
      <c r="EL1334" t="str">
        <f t="shared" si="1723"/>
        <v/>
      </c>
      <c r="EM1334" s="2" t="str">
        <f t="shared" si="1751"/>
        <v/>
      </c>
      <c r="EP1334" t="b">
        <f>IF(ISNUMBER(BU1334),IF(ABS(BU1334-[1]QC_indicators!$B$2)&gt;3*[1]QC_indicators!$C$2,"C ratio",IF(ISNUMBER(BY1334),IF(ABS(BY1334-[1]QC_indicators!$B$1)&gt;3*[1]QC_indicators!$C$1,"DF","no"))),IF(ISNUMBER(BY1334),IF(ABS(BY1334-[1]QC_indicators!$B$1)&gt;3*[1]QC_indicators!$C$1,"DF","no")))</f>
        <v>0</v>
      </c>
      <c r="ER1334" s="313" t="s">
        <v>349</v>
      </c>
    </row>
    <row r="1335" spans="1:150" ht="15" hidden="1" customHeight="1">
      <c r="D1335" t="s">
        <v>4059</v>
      </c>
      <c r="E1335" t="s">
        <v>4060</v>
      </c>
      <c r="G1335" t="s">
        <v>829</v>
      </c>
      <c r="I1335">
        <v>2012</v>
      </c>
      <c r="K1335" t="s">
        <v>4061</v>
      </c>
      <c r="M1335" t="str">
        <f t="shared" si="1689"/>
        <v>Repo_2012</v>
      </c>
      <c r="N1335" s="311" t="s">
        <v>4382</v>
      </c>
      <c r="O1335" s="145" t="s">
        <v>225</v>
      </c>
      <c r="Q1335" s="311" t="s">
        <v>256</v>
      </c>
      <c r="R1335" s="312"/>
      <c r="S1335" s="1" t="s">
        <v>514</v>
      </c>
      <c r="T1335" t="s">
        <v>4062</v>
      </c>
      <c r="U1335" t="s">
        <v>4063</v>
      </c>
      <c r="V1335" s="143">
        <v>0</v>
      </c>
      <c r="W1335" s="143">
        <v>0</v>
      </c>
      <c r="X1335" s="143">
        <v>0</v>
      </c>
      <c r="Y1335" s="143">
        <v>0</v>
      </c>
      <c r="Z1335" s="143">
        <v>0</v>
      </c>
      <c r="AA1335" s="143">
        <v>0</v>
      </c>
      <c r="AB1335" s="143">
        <v>0</v>
      </c>
      <c r="AC1335" s="143">
        <v>0</v>
      </c>
      <c r="AD1335" s="143">
        <v>0</v>
      </c>
      <c r="AE1335" s="143">
        <v>0</v>
      </c>
      <c r="AF1335" s="143">
        <v>0</v>
      </c>
      <c r="AG1335" s="143">
        <v>0</v>
      </c>
      <c r="AH1335" s="143">
        <v>0</v>
      </c>
      <c r="AI1335" s="143">
        <v>0</v>
      </c>
      <c r="AJ1335" s="143">
        <v>1</v>
      </c>
      <c r="AK1335" s="143">
        <v>0</v>
      </c>
      <c r="AL1335" s="143">
        <v>0</v>
      </c>
      <c r="AM1335" s="143">
        <v>0</v>
      </c>
      <c r="AN1335" s="143">
        <v>0</v>
      </c>
      <c r="AO1335" s="143">
        <v>0</v>
      </c>
      <c r="AP1335" s="143">
        <v>0</v>
      </c>
      <c r="AQ1335" s="143">
        <v>0</v>
      </c>
      <c r="AR1335" s="143">
        <v>0</v>
      </c>
      <c r="AS1335" s="143">
        <v>0</v>
      </c>
      <c r="AT1335" s="143">
        <v>0</v>
      </c>
      <c r="AU1335" s="143">
        <v>0</v>
      </c>
      <c r="AV1335" s="143">
        <v>0</v>
      </c>
      <c r="AW1335" s="143">
        <v>0</v>
      </c>
      <c r="AX1335" s="141">
        <f t="shared" si="1724"/>
        <v>1</v>
      </c>
      <c r="AY1335" s="141">
        <f t="shared" si="1725"/>
        <v>1</v>
      </c>
      <c r="AZ1335">
        <f t="shared" si="1726"/>
        <v>0</v>
      </c>
      <c r="BA1335">
        <f t="shared" si="1727"/>
        <v>0</v>
      </c>
      <c r="BB1335">
        <f t="shared" si="1728"/>
        <v>1</v>
      </c>
      <c r="BC1335">
        <f t="shared" si="1729"/>
        <v>0</v>
      </c>
      <c r="BD1335">
        <f t="shared" si="1730"/>
        <v>0</v>
      </c>
      <c r="BE1335" t="str" cm="1">
        <f t="array" ref="BE1335">IF(AY1335=1,INDEX($V$7:$AL$7,MATCH(TRUE,INDEX($V1335:$AW1335&lt;&gt;0,),0)),IF(AY1335=0,INDEX($AM$7:$AW$7,MATCH(1,$AM1335:$AW1335,0)),IF(BF1335="Multiple strategies","mixed drivers",IF(BF1335="Supply chain","multiple supply","multiple silviculture"))))</f>
        <v>efficiency improvement</v>
      </c>
      <c r="BF1335" s="2" t="str" cm="1">
        <f t="array" ref="BF1335">IF(COUNTIF(AZ1335:BB1335,"&lt;&gt;0")=1,INDEX($V$4:$AW$4,MATCH(TRUE,INDEX($V1335:$AW1335&lt;&gt;0,),0)),IF(COUNTIF(AZ1335:BB1335,"&lt;&gt;0")=0,INDEX($AM$4:$AW$4,MATCH(1,$AM1335:$AW1335,0)),"Multiple strategies"))</f>
        <v>Technology</v>
      </c>
      <c r="BP1335" s="311" t="s">
        <v>232</v>
      </c>
      <c r="BQ1335" s="311"/>
      <c r="BR1335" t="s">
        <v>4064</v>
      </c>
      <c r="BS1335" s="141">
        <v>-72.973052800000005</v>
      </c>
      <c r="BT1335" s="141">
        <v>-81.193580800000007</v>
      </c>
      <c r="BU1335" s="144">
        <v>1.1126515567675415</v>
      </c>
      <c r="BV1335">
        <v>-8.2205280000000016</v>
      </c>
      <c r="BX1335">
        <f t="shared" si="1752"/>
        <v>-8.2205280000000019E-6</v>
      </c>
      <c r="BY1335" t="str">
        <f t="shared" si="1750"/>
        <v/>
      </c>
      <c r="BZ1335" s="143">
        <v>0</v>
      </c>
      <c r="CA1335" s="143">
        <v>1</v>
      </c>
      <c r="CB1335" s="143">
        <v>0</v>
      </c>
      <c r="CC1335" s="143">
        <v>1</v>
      </c>
      <c r="CD1335" s="143">
        <v>0</v>
      </c>
      <c r="CE1335" s="143">
        <v>0</v>
      </c>
      <c r="CF1335" s="143">
        <v>0</v>
      </c>
      <c r="CG1335" s="143">
        <v>0</v>
      </c>
      <c r="CH1335" s="143">
        <v>0</v>
      </c>
      <c r="CI1335" s="143">
        <v>0</v>
      </c>
      <c r="CJ1335" s="143">
        <v>0</v>
      </c>
      <c r="CK1335" s="143">
        <v>0</v>
      </c>
      <c r="CL1335" s="143">
        <v>0</v>
      </c>
      <c r="CM1335" s="143">
        <v>0</v>
      </c>
      <c r="CN1335" t="str">
        <f t="shared" si="1753"/>
        <v>refOK</v>
      </c>
      <c r="CO1335"/>
      <c r="CP1335"/>
      <c r="CQ1335"/>
      <c r="CR1335">
        <f t="shared" si="1735"/>
        <v>-72.973052800000005</v>
      </c>
      <c r="CS1335">
        <f t="shared" si="1736"/>
        <v>-81.193580800000007</v>
      </c>
      <c r="CT1335">
        <f t="shared" si="1737"/>
        <v>-8.2205280000000019E-6</v>
      </c>
      <c r="CU1335" t="str">
        <f t="shared" si="1738"/>
        <v/>
      </c>
      <c r="CV1335" s="2">
        <f t="shared" si="1739"/>
        <v>-0.11265155676754147</v>
      </c>
      <c r="CW1335" s="1" t="s">
        <v>1202</v>
      </c>
      <c r="CX1335" s="311" t="str">
        <f t="shared" si="1740"/>
        <v>reg</v>
      </c>
      <c r="CY1335" t="s">
        <v>235</v>
      </c>
      <c r="CZ1335">
        <v>2010</v>
      </c>
      <c r="DA1335">
        <v>2030</v>
      </c>
      <c r="DB1335" s="143">
        <f t="shared" si="1754"/>
        <v>20</v>
      </c>
      <c r="DC1335" t="str">
        <f t="shared" si="1741"/>
        <v>1-30</v>
      </c>
      <c r="DD1335">
        <v>1</v>
      </c>
      <c r="DE1335">
        <v>1</v>
      </c>
      <c r="DF1335">
        <v>0</v>
      </c>
      <c r="DG1335">
        <v>0</v>
      </c>
      <c r="DI1335">
        <f t="shared" si="1742"/>
        <v>2</v>
      </c>
      <c r="DJ1335" t="str">
        <f t="shared" si="1743"/>
        <v>mixedProduct</v>
      </c>
      <c r="DK1335" t="str">
        <f t="shared" si="1744"/>
        <v>Upstream</v>
      </c>
      <c r="DL1335" t="str">
        <f t="shared" si="1745"/>
        <v>Energy</v>
      </c>
      <c r="DM1335">
        <f t="shared" si="1746"/>
        <v>0</v>
      </c>
      <c r="DN1335">
        <f t="shared" si="1747"/>
        <v>0</v>
      </c>
      <c r="DO1335">
        <v>0</v>
      </c>
      <c r="DP1335" s="143">
        <v>0</v>
      </c>
      <c r="DQ1335" t="s">
        <v>2229</v>
      </c>
      <c r="DR1335">
        <v>0</v>
      </c>
      <c r="DS1335">
        <v>0</v>
      </c>
      <c r="DT1335">
        <f t="shared" si="1748"/>
        <v>0</v>
      </c>
      <c r="DU1335" s="143" t="str">
        <f t="shared" si="1749"/>
        <v>explicit C balance</v>
      </c>
      <c r="DV1335" s="143">
        <v>1</v>
      </c>
      <c r="DW1335" s="143">
        <v>1</v>
      </c>
      <c r="DX1335" s="143">
        <v>1</v>
      </c>
      <c r="DY1335" s="143">
        <v>0</v>
      </c>
      <c r="DZ1335" s="143">
        <v>1</v>
      </c>
      <c r="EA1335" s="143">
        <v>0</v>
      </c>
      <c r="EB1335" s="143">
        <v>1</v>
      </c>
      <c r="EC1335" s="143">
        <v>1</v>
      </c>
      <c r="ED1335" s="143">
        <v>0</v>
      </c>
      <c r="EE1335" s="143">
        <v>0</v>
      </c>
      <c r="EF1335" s="143">
        <v>1</v>
      </c>
      <c r="EG1335" s="143">
        <v>0</v>
      </c>
      <c r="EH1335" s="143">
        <v>0</v>
      </c>
      <c r="EI1335" s="196">
        <v>0</v>
      </c>
      <c r="EK1335" t="str">
        <f t="shared" si="1722"/>
        <v>Whole sector</v>
      </c>
      <c r="EL1335" t="str">
        <f t="shared" si="1723"/>
        <v/>
      </c>
      <c r="EM1335" s="2" t="str">
        <f t="shared" si="1751"/>
        <v/>
      </c>
      <c r="EP1335" t="b">
        <f>IF(ISNUMBER(BU1335),IF(ABS(BU1335-[1]QC_indicators!$B$2)&gt;3*[1]QC_indicators!$C$2,"C ratio",IF(ISNUMBER(BY1335),IF(ABS(BY1335-[1]QC_indicators!$B$1)&gt;3*[1]QC_indicators!$C$1,"DF","no"))),IF(ISNUMBER(BY1335),IF(ABS(BY1335-[1]QC_indicators!$B$1)&gt;3*[1]QC_indicators!$C$1,"DF","no")))</f>
        <v>0</v>
      </c>
      <c r="ER1335" s="313" t="s">
        <v>349</v>
      </c>
    </row>
    <row r="1336" spans="1:150" ht="15" hidden="1" customHeight="1">
      <c r="D1336" t="s">
        <v>4059</v>
      </c>
      <c r="E1336" t="s">
        <v>4060</v>
      </c>
      <c r="G1336" t="s">
        <v>829</v>
      </c>
      <c r="I1336">
        <v>2012</v>
      </c>
      <c r="K1336" t="s">
        <v>4061</v>
      </c>
      <c r="M1336" t="str">
        <f t="shared" si="1689"/>
        <v>Repo_2012</v>
      </c>
      <c r="N1336" s="311" t="s">
        <v>4382</v>
      </c>
      <c r="O1336" s="145" t="s">
        <v>225</v>
      </c>
      <c r="Q1336" s="311" t="s">
        <v>256</v>
      </c>
      <c r="R1336" s="312"/>
      <c r="S1336" s="1" t="s">
        <v>4066</v>
      </c>
      <c r="T1336" t="s">
        <v>4062</v>
      </c>
      <c r="U1336" t="s">
        <v>4065</v>
      </c>
      <c r="V1336" s="143">
        <v>0</v>
      </c>
      <c r="W1336" s="143">
        <v>0</v>
      </c>
      <c r="X1336" s="143">
        <v>0</v>
      </c>
      <c r="Y1336" s="143">
        <v>0</v>
      </c>
      <c r="Z1336" s="143">
        <v>0</v>
      </c>
      <c r="AA1336" s="143">
        <v>0</v>
      </c>
      <c r="AB1336" s="143">
        <v>0</v>
      </c>
      <c r="AC1336" s="143">
        <v>0</v>
      </c>
      <c r="AD1336" s="143">
        <v>0</v>
      </c>
      <c r="AE1336" s="143">
        <v>0</v>
      </c>
      <c r="AF1336" s="143">
        <v>0</v>
      </c>
      <c r="AG1336" s="143">
        <v>0</v>
      </c>
      <c r="AH1336" s="143">
        <v>0</v>
      </c>
      <c r="AI1336" s="143">
        <v>0</v>
      </c>
      <c r="AJ1336" s="143">
        <v>1</v>
      </c>
      <c r="AK1336" s="143">
        <v>0</v>
      </c>
      <c r="AL1336" s="143">
        <v>0</v>
      </c>
      <c r="AM1336" s="143">
        <v>0</v>
      </c>
      <c r="AN1336" s="143">
        <v>0</v>
      </c>
      <c r="AO1336" s="143">
        <v>0</v>
      </c>
      <c r="AP1336" s="143">
        <v>0</v>
      </c>
      <c r="AQ1336" s="143">
        <v>0</v>
      </c>
      <c r="AR1336" s="143">
        <v>0</v>
      </c>
      <c r="AS1336" s="143">
        <v>0</v>
      </c>
      <c r="AT1336" s="143">
        <v>0</v>
      </c>
      <c r="AU1336" s="143">
        <v>0</v>
      </c>
      <c r="AV1336" s="143">
        <v>0</v>
      </c>
      <c r="AW1336" s="143">
        <v>0</v>
      </c>
      <c r="AX1336" s="141">
        <f t="shared" si="1724"/>
        <v>1</v>
      </c>
      <c r="AY1336" s="141">
        <f t="shared" si="1725"/>
        <v>1</v>
      </c>
      <c r="AZ1336">
        <f t="shared" si="1726"/>
        <v>0</v>
      </c>
      <c r="BA1336">
        <f t="shared" si="1727"/>
        <v>0</v>
      </c>
      <c r="BB1336">
        <f t="shared" si="1728"/>
        <v>1</v>
      </c>
      <c r="BC1336">
        <f t="shared" si="1729"/>
        <v>0</v>
      </c>
      <c r="BD1336">
        <f t="shared" si="1730"/>
        <v>0</v>
      </c>
      <c r="BE1336" t="str" cm="1">
        <f t="array" ref="BE1336">IF(AY1336=1,INDEX($V$7:$AL$7,MATCH(TRUE,INDEX($V1336:$AW1336&lt;&gt;0,),0)),IF(AY1336=0,INDEX($AM$7:$AW$7,MATCH(1,$AM1336:$AW1336,0)),IF(BF1336="Multiple strategies","mixed drivers",IF(BF1336="Supply chain","multiple supply","multiple silviculture"))))</f>
        <v>efficiency improvement</v>
      </c>
      <c r="BF1336" s="2" t="str" cm="1">
        <f t="array" ref="BF1336">IF(COUNTIF(AZ1336:BB1336,"&lt;&gt;0")=1,INDEX($V$4:$AW$4,MATCH(TRUE,INDEX($V1336:$AW1336&lt;&gt;0,),0)),IF(COUNTIF(AZ1336:BB1336,"&lt;&gt;0")=0,INDEX($AM$4:$AW$4,MATCH(1,$AM1336:$AW1336,0)),"Multiple strategies"))</f>
        <v>Technology</v>
      </c>
      <c r="BP1336" s="311" t="s">
        <v>232</v>
      </c>
      <c r="BQ1336" s="311"/>
      <c r="BR1336" t="s">
        <v>4064</v>
      </c>
      <c r="BS1336" s="141">
        <v>-78</v>
      </c>
      <c r="BT1336" s="141">
        <v>-56.411650799999997</v>
      </c>
      <c r="BU1336" s="144">
        <v>0.72322629230769231</v>
      </c>
      <c r="BV1336">
        <v>21.588349200000003</v>
      </c>
      <c r="BX1336">
        <f t="shared" si="1752"/>
        <v>2.1588349200000002E-5</v>
      </c>
      <c r="BY1336" t="str">
        <f t="shared" si="1750"/>
        <v/>
      </c>
      <c r="BZ1336" s="143">
        <v>0</v>
      </c>
      <c r="CA1336" s="143">
        <v>1</v>
      </c>
      <c r="CB1336" s="143">
        <v>0</v>
      </c>
      <c r="CC1336" s="143">
        <v>1</v>
      </c>
      <c r="CD1336" s="143">
        <v>0</v>
      </c>
      <c r="CE1336" s="143">
        <v>0</v>
      </c>
      <c r="CF1336" s="143">
        <v>0</v>
      </c>
      <c r="CG1336" s="143">
        <v>0</v>
      </c>
      <c r="CH1336" s="143">
        <v>0</v>
      </c>
      <c r="CI1336" s="143">
        <v>0</v>
      </c>
      <c r="CJ1336" s="143">
        <v>0</v>
      </c>
      <c r="CK1336" s="143">
        <v>0</v>
      </c>
      <c r="CL1336" s="143">
        <v>0</v>
      </c>
      <c r="CM1336" s="143">
        <v>0</v>
      </c>
      <c r="CN1336" t="str">
        <f t="shared" si="1753"/>
        <v>refOK</v>
      </c>
      <c r="CO1336"/>
      <c r="CP1336"/>
      <c r="CQ1336"/>
      <c r="CR1336">
        <f t="shared" si="1735"/>
        <v>-78</v>
      </c>
      <c r="CS1336">
        <f t="shared" si="1736"/>
        <v>-56.411650799999997</v>
      </c>
      <c r="CT1336">
        <f t="shared" si="1737"/>
        <v>2.1588349200000002E-5</v>
      </c>
      <c r="CU1336" t="str">
        <f t="shared" si="1738"/>
        <v/>
      </c>
      <c r="CV1336" s="2">
        <f t="shared" si="1739"/>
        <v>0.27677370769230775</v>
      </c>
      <c r="CW1336" s="1" t="s">
        <v>1202</v>
      </c>
      <c r="CX1336" s="311" t="str">
        <f t="shared" si="1740"/>
        <v>reg</v>
      </c>
      <c r="CY1336" t="s">
        <v>235</v>
      </c>
      <c r="CZ1336">
        <v>2010</v>
      </c>
      <c r="DA1336">
        <v>2070</v>
      </c>
      <c r="DB1336" s="143">
        <f t="shared" si="1754"/>
        <v>60</v>
      </c>
      <c r="DC1336" t="str">
        <f t="shared" si="1741"/>
        <v>31-70</v>
      </c>
      <c r="DD1336">
        <v>1</v>
      </c>
      <c r="DE1336">
        <v>1</v>
      </c>
      <c r="DF1336">
        <v>0</v>
      </c>
      <c r="DG1336">
        <v>0</v>
      </c>
      <c r="DI1336">
        <f t="shared" si="1742"/>
        <v>2</v>
      </c>
      <c r="DJ1336" t="str">
        <f t="shared" si="1743"/>
        <v>mixedProduct</v>
      </c>
      <c r="DK1336" t="str">
        <f t="shared" si="1744"/>
        <v>Upstream</v>
      </c>
      <c r="DL1336" t="str">
        <f t="shared" si="1745"/>
        <v>Energy</v>
      </c>
      <c r="DM1336">
        <f t="shared" si="1746"/>
        <v>0</v>
      </c>
      <c r="DN1336">
        <f t="shared" si="1747"/>
        <v>0</v>
      </c>
      <c r="DO1336">
        <v>0</v>
      </c>
      <c r="DP1336" s="143">
        <v>0</v>
      </c>
      <c r="DQ1336" t="s">
        <v>2229</v>
      </c>
      <c r="DR1336">
        <v>0</v>
      </c>
      <c r="DS1336">
        <v>0</v>
      </c>
      <c r="DT1336">
        <f t="shared" si="1748"/>
        <v>0</v>
      </c>
      <c r="DU1336" s="143" t="str">
        <f t="shared" si="1749"/>
        <v>explicit C balance</v>
      </c>
      <c r="DV1336" s="143">
        <v>1</v>
      </c>
      <c r="DW1336" s="143">
        <v>1</v>
      </c>
      <c r="DX1336" s="143">
        <v>1</v>
      </c>
      <c r="DY1336" s="143">
        <v>0</v>
      </c>
      <c r="DZ1336" s="143">
        <v>1</v>
      </c>
      <c r="EA1336" s="143">
        <v>0</v>
      </c>
      <c r="EB1336" s="143">
        <v>1</v>
      </c>
      <c r="EC1336" s="143">
        <v>1</v>
      </c>
      <c r="ED1336" s="143">
        <v>0</v>
      </c>
      <c r="EE1336" s="143">
        <v>0</v>
      </c>
      <c r="EF1336" s="143">
        <v>1</v>
      </c>
      <c r="EG1336" s="143">
        <v>0</v>
      </c>
      <c r="EH1336" s="143">
        <v>0</v>
      </c>
      <c r="EI1336" s="196">
        <v>0</v>
      </c>
      <c r="EK1336" t="str">
        <f t="shared" si="1722"/>
        <v>Whole sector</v>
      </c>
      <c r="EL1336" t="str">
        <f t="shared" si="1723"/>
        <v/>
      </c>
      <c r="EM1336" s="2" t="str">
        <f t="shared" si="1751"/>
        <v/>
      </c>
      <c r="EP1336" t="b">
        <f>IF(ISNUMBER(BU1336),IF(ABS(BU1336-[1]QC_indicators!$B$2)&gt;3*[1]QC_indicators!$C$2,"C ratio",IF(ISNUMBER(BY1336),IF(ABS(BY1336-[1]QC_indicators!$B$1)&gt;3*[1]QC_indicators!$C$1,"DF","no"))),IF(ISNUMBER(BY1336),IF(ABS(BY1336-[1]QC_indicators!$B$1)&gt;3*[1]QC_indicators!$C$1,"DF","no")))</f>
        <v>0</v>
      </c>
      <c r="ER1336" s="313" t="s">
        <v>349</v>
      </c>
    </row>
    <row r="1337" spans="1:150" ht="15" hidden="1" customHeight="1">
      <c r="D1337" t="s">
        <v>4059</v>
      </c>
      <c r="E1337" t="s">
        <v>4060</v>
      </c>
      <c r="G1337" t="s">
        <v>829</v>
      </c>
      <c r="I1337">
        <v>2012</v>
      </c>
      <c r="K1337" t="s">
        <v>4061</v>
      </c>
      <c r="M1337" t="str">
        <f t="shared" si="1689"/>
        <v>Repo_2012</v>
      </c>
      <c r="N1337" s="311" t="s">
        <v>4382</v>
      </c>
      <c r="O1337" s="145" t="s">
        <v>225</v>
      </c>
      <c r="Q1337" s="311" t="s">
        <v>256</v>
      </c>
      <c r="R1337" s="312"/>
      <c r="S1337" s="1" t="s">
        <v>4066</v>
      </c>
      <c r="T1337" t="s">
        <v>4062</v>
      </c>
      <c r="U1337" t="s">
        <v>4065</v>
      </c>
      <c r="V1337" s="143">
        <v>0</v>
      </c>
      <c r="W1337" s="143">
        <v>0</v>
      </c>
      <c r="X1337" s="143">
        <v>0</v>
      </c>
      <c r="Y1337" s="143">
        <v>0</v>
      </c>
      <c r="Z1337" s="143">
        <v>0</v>
      </c>
      <c r="AA1337" s="143">
        <v>0</v>
      </c>
      <c r="AB1337" s="143">
        <v>0</v>
      </c>
      <c r="AC1337" s="143">
        <v>0</v>
      </c>
      <c r="AD1337" s="143">
        <v>0</v>
      </c>
      <c r="AE1337" s="143">
        <v>0</v>
      </c>
      <c r="AF1337" s="143">
        <v>0</v>
      </c>
      <c r="AG1337" s="143">
        <v>0</v>
      </c>
      <c r="AH1337" s="143">
        <v>0</v>
      </c>
      <c r="AI1337" s="143">
        <v>0</v>
      </c>
      <c r="AJ1337" s="143">
        <v>1</v>
      </c>
      <c r="AK1337" s="143">
        <v>0</v>
      </c>
      <c r="AL1337" s="143">
        <v>0</v>
      </c>
      <c r="AM1337" s="143">
        <v>0</v>
      </c>
      <c r="AN1337" s="143">
        <v>0</v>
      </c>
      <c r="AO1337" s="143">
        <v>0</v>
      </c>
      <c r="AP1337" s="143">
        <v>0</v>
      </c>
      <c r="AQ1337" s="143">
        <v>0</v>
      </c>
      <c r="AR1337" s="143">
        <v>0</v>
      </c>
      <c r="AS1337" s="143">
        <v>0</v>
      </c>
      <c r="AT1337" s="143">
        <v>0</v>
      </c>
      <c r="AU1337" s="143">
        <v>0</v>
      </c>
      <c r="AV1337" s="143">
        <v>0</v>
      </c>
      <c r="AW1337" s="143">
        <v>0</v>
      </c>
      <c r="AX1337" s="141">
        <f t="shared" si="1724"/>
        <v>1</v>
      </c>
      <c r="AY1337" s="141">
        <f t="shared" si="1725"/>
        <v>1</v>
      </c>
      <c r="AZ1337">
        <f t="shared" si="1726"/>
        <v>0</v>
      </c>
      <c r="BA1337">
        <f t="shared" si="1727"/>
        <v>0</v>
      </c>
      <c r="BB1337">
        <f t="shared" si="1728"/>
        <v>1</v>
      </c>
      <c r="BC1337">
        <f t="shared" si="1729"/>
        <v>0</v>
      </c>
      <c r="BD1337">
        <f t="shared" si="1730"/>
        <v>0</v>
      </c>
      <c r="BE1337" t="str" cm="1">
        <f t="array" ref="BE1337">IF(AY1337=1,INDEX($V$7:$AL$7,MATCH(TRUE,INDEX($V1337:$AW1337&lt;&gt;0,),0)),IF(AY1337=0,INDEX($AM$7:$AW$7,MATCH(1,$AM1337:$AW1337,0)),IF(BF1337="Multiple strategies","mixed drivers",IF(BF1337="Supply chain","multiple supply","multiple silviculture"))))</f>
        <v>efficiency improvement</v>
      </c>
      <c r="BF1337" s="2" t="str" cm="1">
        <f t="array" ref="BF1337">IF(COUNTIF(AZ1337:BB1337,"&lt;&gt;0")=1,INDEX($V$4:$AW$4,MATCH(TRUE,INDEX($V1337:$AW1337&lt;&gt;0,),0)),IF(COUNTIF(AZ1337:BB1337,"&lt;&gt;0")=0,INDEX($AM$4:$AW$4,MATCH(1,$AM1337:$AW1337,0)),"Multiple strategies"))</f>
        <v>Technology</v>
      </c>
      <c r="BP1337" s="311" t="s">
        <v>232</v>
      </c>
      <c r="BQ1337" s="311"/>
      <c r="BR1337" t="s">
        <v>4064</v>
      </c>
      <c r="BS1337" s="141">
        <v>-78</v>
      </c>
      <c r="BT1337" s="141">
        <v>-81.193580800000007</v>
      </c>
      <c r="BU1337" s="144">
        <v>1.0409433435897437</v>
      </c>
      <c r="BV1337">
        <v>-3.1935808000000065</v>
      </c>
      <c r="BX1337">
        <f t="shared" si="1752"/>
        <v>-3.1935808000000064E-6</v>
      </c>
      <c r="BY1337" t="str">
        <f t="shared" si="1750"/>
        <v/>
      </c>
      <c r="BZ1337" s="143">
        <v>0</v>
      </c>
      <c r="CA1337" s="143">
        <v>1</v>
      </c>
      <c r="CB1337" s="143">
        <v>0</v>
      </c>
      <c r="CC1337" s="143">
        <v>1</v>
      </c>
      <c r="CD1337" s="143">
        <v>0</v>
      </c>
      <c r="CE1337" s="143">
        <v>0</v>
      </c>
      <c r="CF1337" s="143">
        <v>0</v>
      </c>
      <c r="CG1337" s="143">
        <v>0</v>
      </c>
      <c r="CH1337" s="143">
        <v>0</v>
      </c>
      <c r="CI1337" s="143">
        <v>0</v>
      </c>
      <c r="CJ1337" s="143">
        <v>0</v>
      </c>
      <c r="CK1337" s="143">
        <v>0</v>
      </c>
      <c r="CL1337" s="143">
        <v>0</v>
      </c>
      <c r="CM1337" s="143">
        <v>0</v>
      </c>
      <c r="CN1337" t="str">
        <f t="shared" si="1753"/>
        <v>refOK</v>
      </c>
      <c r="CO1337"/>
      <c r="CP1337"/>
      <c r="CQ1337"/>
      <c r="CR1337">
        <f t="shared" si="1735"/>
        <v>-78</v>
      </c>
      <c r="CS1337">
        <f t="shared" si="1736"/>
        <v>-81.193580800000007</v>
      </c>
      <c r="CT1337">
        <f t="shared" si="1737"/>
        <v>-3.1935808000000064E-6</v>
      </c>
      <c r="CU1337" t="str">
        <f t="shared" si="1738"/>
        <v/>
      </c>
      <c r="CV1337" s="2">
        <f t="shared" si="1739"/>
        <v>-4.0943343589743671E-2</v>
      </c>
      <c r="CW1337" s="1" t="s">
        <v>1202</v>
      </c>
      <c r="CX1337" s="311" t="str">
        <f t="shared" si="1740"/>
        <v>reg</v>
      </c>
      <c r="CY1337" t="s">
        <v>235</v>
      </c>
      <c r="CZ1337">
        <v>2010</v>
      </c>
      <c r="DA1337">
        <v>2030</v>
      </c>
      <c r="DB1337" s="143">
        <f t="shared" si="1754"/>
        <v>20</v>
      </c>
      <c r="DC1337" t="str">
        <f t="shared" si="1741"/>
        <v>1-30</v>
      </c>
      <c r="DD1337">
        <v>1</v>
      </c>
      <c r="DE1337">
        <v>1</v>
      </c>
      <c r="DF1337">
        <v>0</v>
      </c>
      <c r="DG1337">
        <v>0</v>
      </c>
      <c r="DI1337">
        <f t="shared" si="1742"/>
        <v>2</v>
      </c>
      <c r="DJ1337" t="str">
        <f t="shared" si="1743"/>
        <v>mixedProduct</v>
      </c>
      <c r="DK1337" t="str">
        <f t="shared" si="1744"/>
        <v>Upstream</v>
      </c>
      <c r="DL1337" t="str">
        <f t="shared" si="1745"/>
        <v>Energy</v>
      </c>
      <c r="DM1337">
        <f t="shared" si="1746"/>
        <v>0</v>
      </c>
      <c r="DN1337">
        <f t="shared" si="1747"/>
        <v>0</v>
      </c>
      <c r="DO1337">
        <v>0</v>
      </c>
      <c r="DP1337" s="143">
        <v>0</v>
      </c>
      <c r="DQ1337" t="s">
        <v>2229</v>
      </c>
      <c r="DR1337">
        <v>0</v>
      </c>
      <c r="DS1337">
        <v>0</v>
      </c>
      <c r="DT1337">
        <f t="shared" si="1748"/>
        <v>0</v>
      </c>
      <c r="DU1337" s="143" t="str">
        <f t="shared" si="1749"/>
        <v>explicit C balance</v>
      </c>
      <c r="DV1337" s="143">
        <v>1</v>
      </c>
      <c r="DW1337" s="143">
        <v>1</v>
      </c>
      <c r="DX1337" s="143">
        <v>1</v>
      </c>
      <c r="DY1337" s="143">
        <v>0</v>
      </c>
      <c r="DZ1337" s="143">
        <v>1</v>
      </c>
      <c r="EA1337" s="143">
        <v>0</v>
      </c>
      <c r="EB1337" s="143">
        <v>1</v>
      </c>
      <c r="EC1337" s="143">
        <v>1</v>
      </c>
      <c r="ED1337" s="143">
        <v>0</v>
      </c>
      <c r="EE1337" s="143">
        <v>0</v>
      </c>
      <c r="EF1337" s="143">
        <v>1</v>
      </c>
      <c r="EG1337" s="143">
        <v>0</v>
      </c>
      <c r="EH1337" s="143">
        <v>0</v>
      </c>
      <c r="EI1337" s="196">
        <v>0</v>
      </c>
      <c r="EK1337" t="str">
        <f t="shared" si="1722"/>
        <v>Whole sector</v>
      </c>
      <c r="EL1337" t="str">
        <f t="shared" si="1723"/>
        <v/>
      </c>
      <c r="EM1337" s="2" t="str">
        <f t="shared" si="1751"/>
        <v/>
      </c>
      <c r="EP1337" t="b">
        <f>IF(ISNUMBER(BU1337),IF(ABS(BU1337-[1]QC_indicators!$B$2)&gt;3*[1]QC_indicators!$C$2,"C ratio",IF(ISNUMBER(BY1337),IF(ABS(BY1337-[1]QC_indicators!$B$1)&gt;3*[1]QC_indicators!$C$1,"DF","no"))),IF(ISNUMBER(BY1337),IF(ABS(BY1337-[1]QC_indicators!$B$1)&gt;3*[1]QC_indicators!$C$1,"DF","no")))</f>
        <v>0</v>
      </c>
      <c r="ER1337" s="313" t="s">
        <v>349</v>
      </c>
    </row>
    <row r="1338" spans="1:150" ht="15" hidden="1" customHeight="1">
      <c r="D1338" t="s">
        <v>4059</v>
      </c>
      <c r="E1338" t="s">
        <v>4060</v>
      </c>
      <c r="G1338" t="s">
        <v>829</v>
      </c>
      <c r="I1338">
        <v>2012</v>
      </c>
      <c r="K1338" t="s">
        <v>4061</v>
      </c>
      <c r="M1338" t="str">
        <f t="shared" si="1689"/>
        <v>Repo_2012</v>
      </c>
      <c r="N1338" s="311" t="s">
        <v>4382</v>
      </c>
      <c r="O1338" s="145" t="s">
        <v>225</v>
      </c>
      <c r="Q1338" s="311" t="s">
        <v>256</v>
      </c>
      <c r="R1338" s="312"/>
      <c r="S1338" s="1" t="s">
        <v>514</v>
      </c>
      <c r="T1338" t="s">
        <v>4062</v>
      </c>
      <c r="U1338" t="s">
        <v>4065</v>
      </c>
      <c r="V1338" s="143">
        <v>0</v>
      </c>
      <c r="W1338" s="143">
        <v>0</v>
      </c>
      <c r="X1338" s="143">
        <v>0</v>
      </c>
      <c r="Y1338" s="143">
        <v>0</v>
      </c>
      <c r="Z1338" s="143">
        <v>0</v>
      </c>
      <c r="AA1338" s="143">
        <v>0</v>
      </c>
      <c r="AB1338" s="143">
        <v>0</v>
      </c>
      <c r="AC1338" s="143">
        <v>0</v>
      </c>
      <c r="AD1338" s="143">
        <v>0</v>
      </c>
      <c r="AE1338" s="143">
        <v>0</v>
      </c>
      <c r="AF1338" s="143">
        <v>0</v>
      </c>
      <c r="AG1338" s="143">
        <v>0</v>
      </c>
      <c r="AH1338" s="143">
        <v>0</v>
      </c>
      <c r="AI1338" s="143">
        <v>0</v>
      </c>
      <c r="AJ1338" s="143">
        <v>1</v>
      </c>
      <c r="AK1338" s="143">
        <v>0</v>
      </c>
      <c r="AL1338" s="143">
        <v>0</v>
      </c>
      <c r="AM1338" s="143">
        <v>0</v>
      </c>
      <c r="AN1338" s="143">
        <v>0</v>
      </c>
      <c r="AO1338" s="143">
        <v>0</v>
      </c>
      <c r="AP1338" s="143">
        <v>0</v>
      </c>
      <c r="AQ1338" s="143">
        <v>0</v>
      </c>
      <c r="AR1338" s="143">
        <v>0</v>
      </c>
      <c r="AS1338" s="143">
        <v>0</v>
      </c>
      <c r="AT1338" s="143">
        <v>0</v>
      </c>
      <c r="AU1338" s="143">
        <v>0</v>
      </c>
      <c r="AV1338" s="143">
        <v>0</v>
      </c>
      <c r="AW1338" s="143">
        <v>0</v>
      </c>
      <c r="AX1338" s="141">
        <f t="shared" si="1724"/>
        <v>1</v>
      </c>
      <c r="AY1338" s="141">
        <f t="shared" si="1725"/>
        <v>1</v>
      </c>
      <c r="AZ1338">
        <f t="shared" si="1726"/>
        <v>0</v>
      </c>
      <c r="BA1338">
        <f t="shared" si="1727"/>
        <v>0</v>
      </c>
      <c r="BB1338">
        <f t="shared" si="1728"/>
        <v>1</v>
      </c>
      <c r="BC1338">
        <f t="shared" si="1729"/>
        <v>0</v>
      </c>
      <c r="BD1338">
        <f t="shared" si="1730"/>
        <v>0</v>
      </c>
      <c r="BE1338" t="str" cm="1">
        <f t="array" ref="BE1338">IF(AY1338=1,INDEX($V$7:$AL$7,MATCH(TRUE,INDEX($V1338:$AW1338&lt;&gt;0,),0)),IF(AY1338=0,INDEX($AM$7:$AW$7,MATCH(1,$AM1338:$AW1338,0)),IF(BF1338="Multiple strategies","mixed drivers",IF(BF1338="Supply chain","multiple supply","multiple silviculture"))))</f>
        <v>efficiency improvement</v>
      </c>
      <c r="BF1338" s="2" t="str" cm="1">
        <f t="array" ref="BF1338">IF(COUNTIF(AZ1338:BB1338,"&lt;&gt;0")=1,INDEX($V$4:$AW$4,MATCH(TRUE,INDEX($V1338:$AW1338&lt;&gt;0,),0)),IF(COUNTIF(AZ1338:BB1338,"&lt;&gt;0")=0,INDEX($AM$4:$AW$4,MATCH(1,$AM1338:$AW1338,0)),"Multiple strategies"))</f>
        <v>Technology</v>
      </c>
      <c r="BP1338" s="311" t="s">
        <v>232</v>
      </c>
      <c r="BQ1338" s="311"/>
      <c r="BR1338" t="s">
        <v>4064</v>
      </c>
      <c r="BS1338" s="141">
        <v>-40.2526127</v>
      </c>
      <c r="BT1338" s="141">
        <v>-46.669542900000003</v>
      </c>
      <c r="BU1338" s="144">
        <v>1.1594164892556156</v>
      </c>
      <c r="BV1338">
        <v>-6.416930200000003</v>
      </c>
      <c r="BX1338">
        <f t="shared" si="1752"/>
        <v>-6.4169302000000032E-6</v>
      </c>
      <c r="BY1338" t="str">
        <f t="shared" si="1750"/>
        <v/>
      </c>
      <c r="BZ1338" s="143">
        <v>0</v>
      </c>
      <c r="CA1338" s="143">
        <v>1</v>
      </c>
      <c r="CB1338" s="143">
        <v>0</v>
      </c>
      <c r="CC1338" s="143">
        <v>1</v>
      </c>
      <c r="CD1338" s="143">
        <v>0</v>
      </c>
      <c r="CE1338" s="143">
        <v>0</v>
      </c>
      <c r="CF1338" s="143">
        <v>0</v>
      </c>
      <c r="CG1338" s="143">
        <v>0</v>
      </c>
      <c r="CH1338" s="143">
        <v>0</v>
      </c>
      <c r="CI1338" s="143">
        <v>0</v>
      </c>
      <c r="CJ1338" s="143">
        <v>0</v>
      </c>
      <c r="CK1338" s="143">
        <v>0</v>
      </c>
      <c r="CL1338" s="143">
        <v>0</v>
      </c>
      <c r="CM1338" s="143">
        <v>0</v>
      </c>
      <c r="CN1338" t="str">
        <f t="shared" si="1753"/>
        <v>refOK</v>
      </c>
      <c r="CO1338"/>
      <c r="CP1338"/>
      <c r="CQ1338"/>
      <c r="CR1338">
        <f t="shared" si="1735"/>
        <v>-40.2526127</v>
      </c>
      <c r="CS1338">
        <f t="shared" si="1736"/>
        <v>-46.669542900000003</v>
      </c>
      <c r="CT1338">
        <f t="shared" si="1737"/>
        <v>-6.4169302000000032E-6</v>
      </c>
      <c r="CU1338" t="str">
        <f t="shared" si="1738"/>
        <v/>
      </c>
      <c r="CV1338" s="2">
        <f t="shared" si="1739"/>
        <v>-0.15941648925561552</v>
      </c>
      <c r="CW1338" s="1" t="s">
        <v>1202</v>
      </c>
      <c r="CX1338" s="311" t="str">
        <f t="shared" si="1740"/>
        <v>reg</v>
      </c>
      <c r="CY1338" t="s">
        <v>235</v>
      </c>
      <c r="CZ1338">
        <v>2010</v>
      </c>
      <c r="DA1338">
        <v>2030</v>
      </c>
      <c r="DB1338" s="143">
        <f t="shared" si="1754"/>
        <v>20</v>
      </c>
      <c r="DC1338" t="str">
        <f t="shared" si="1741"/>
        <v>1-30</v>
      </c>
      <c r="DD1338">
        <v>1</v>
      </c>
      <c r="DE1338">
        <v>1</v>
      </c>
      <c r="DF1338">
        <v>0</v>
      </c>
      <c r="DG1338">
        <v>0</v>
      </c>
      <c r="DI1338">
        <f t="shared" si="1742"/>
        <v>2</v>
      </c>
      <c r="DJ1338" t="str">
        <f t="shared" si="1743"/>
        <v>mixedProduct</v>
      </c>
      <c r="DK1338" t="str">
        <f t="shared" si="1744"/>
        <v>Upstream</v>
      </c>
      <c r="DL1338" t="str">
        <f t="shared" si="1745"/>
        <v>Energy</v>
      </c>
      <c r="DM1338">
        <f t="shared" si="1746"/>
        <v>0</v>
      </c>
      <c r="DN1338">
        <f t="shared" si="1747"/>
        <v>0</v>
      </c>
      <c r="DO1338">
        <v>0</v>
      </c>
      <c r="DP1338" s="143">
        <v>0</v>
      </c>
      <c r="DQ1338" t="s">
        <v>2229</v>
      </c>
      <c r="DR1338">
        <v>0</v>
      </c>
      <c r="DS1338">
        <v>0</v>
      </c>
      <c r="DT1338">
        <f t="shared" si="1748"/>
        <v>0</v>
      </c>
      <c r="DU1338" s="143" t="str">
        <f t="shared" si="1749"/>
        <v>explicit C balance</v>
      </c>
      <c r="DV1338" s="143">
        <v>1</v>
      </c>
      <c r="DW1338" s="143">
        <v>1</v>
      </c>
      <c r="DX1338" s="143">
        <v>1</v>
      </c>
      <c r="DY1338" s="143">
        <v>0</v>
      </c>
      <c r="DZ1338" s="143">
        <v>1</v>
      </c>
      <c r="EA1338" s="143">
        <v>0</v>
      </c>
      <c r="EB1338" s="143">
        <v>1</v>
      </c>
      <c r="EC1338" s="143">
        <v>1</v>
      </c>
      <c r="ED1338" s="143">
        <v>0</v>
      </c>
      <c r="EE1338" s="143">
        <v>0</v>
      </c>
      <c r="EF1338" s="143">
        <v>1</v>
      </c>
      <c r="EG1338" s="143">
        <v>0</v>
      </c>
      <c r="EH1338" s="143">
        <v>0</v>
      </c>
      <c r="EI1338" s="196">
        <v>0</v>
      </c>
      <c r="EK1338" t="str">
        <f t="shared" si="1722"/>
        <v>Whole sector</v>
      </c>
      <c r="EL1338" t="str">
        <f t="shared" si="1723"/>
        <v/>
      </c>
      <c r="EM1338" s="2" t="str">
        <f t="shared" si="1751"/>
        <v/>
      </c>
      <c r="EP1338" t="b">
        <f>IF(ISNUMBER(BU1338),IF(ABS(BU1338-[1]QC_indicators!$B$2)&gt;3*[1]QC_indicators!$C$2,"C ratio",IF(ISNUMBER(BY1338),IF(ABS(BY1338-[1]QC_indicators!$B$1)&gt;3*[1]QC_indicators!$C$1,"DF","no"))),IF(ISNUMBER(BY1338),IF(ABS(BY1338-[1]QC_indicators!$B$1)&gt;3*[1]QC_indicators!$C$1,"DF","no")))</f>
        <v>0</v>
      </c>
      <c r="ER1338" s="313" t="s">
        <v>349</v>
      </c>
    </row>
    <row r="1339" spans="1:150" ht="15" hidden="1" customHeight="1">
      <c r="D1339" t="s">
        <v>4059</v>
      </c>
      <c r="E1339" t="s">
        <v>4060</v>
      </c>
      <c r="G1339" t="s">
        <v>829</v>
      </c>
      <c r="I1339">
        <v>2012</v>
      </c>
      <c r="K1339" t="s">
        <v>4061</v>
      </c>
      <c r="M1339" t="str">
        <f t="shared" si="1689"/>
        <v>Repo_2012</v>
      </c>
      <c r="N1339" s="311" t="s">
        <v>4382</v>
      </c>
      <c r="O1339" s="145" t="s">
        <v>225</v>
      </c>
      <c r="Q1339" s="311" t="s">
        <v>256</v>
      </c>
      <c r="R1339" s="312"/>
      <c r="S1339" s="1" t="s">
        <v>4066</v>
      </c>
      <c r="T1339" t="s">
        <v>4062</v>
      </c>
      <c r="U1339" t="s">
        <v>4065</v>
      </c>
      <c r="V1339" s="143">
        <v>0</v>
      </c>
      <c r="W1339" s="143">
        <v>0</v>
      </c>
      <c r="X1339" s="143">
        <v>0</v>
      </c>
      <c r="Y1339" s="143">
        <v>0</v>
      </c>
      <c r="Z1339" s="143">
        <v>0</v>
      </c>
      <c r="AA1339" s="143">
        <v>0</v>
      </c>
      <c r="AB1339" s="143">
        <v>0</v>
      </c>
      <c r="AC1339" s="143">
        <v>0</v>
      </c>
      <c r="AD1339" s="143">
        <v>0</v>
      </c>
      <c r="AE1339" s="143">
        <v>0</v>
      </c>
      <c r="AF1339" s="143">
        <v>0</v>
      </c>
      <c r="AG1339" s="143">
        <v>0</v>
      </c>
      <c r="AH1339" s="143">
        <v>0</v>
      </c>
      <c r="AI1339" s="143">
        <v>0</v>
      </c>
      <c r="AJ1339" s="143">
        <v>1</v>
      </c>
      <c r="AK1339" s="143">
        <v>0</v>
      </c>
      <c r="AL1339" s="143">
        <v>0</v>
      </c>
      <c r="AM1339" s="143">
        <v>0</v>
      </c>
      <c r="AN1339" s="143">
        <v>0</v>
      </c>
      <c r="AO1339" s="143">
        <v>0</v>
      </c>
      <c r="AP1339" s="143">
        <v>0</v>
      </c>
      <c r="AQ1339" s="143">
        <v>0</v>
      </c>
      <c r="AR1339" s="143">
        <v>0</v>
      </c>
      <c r="AS1339" s="143">
        <v>0</v>
      </c>
      <c r="AT1339" s="143">
        <v>0</v>
      </c>
      <c r="AU1339" s="143">
        <v>0</v>
      </c>
      <c r="AV1339" s="143">
        <v>0</v>
      </c>
      <c r="AW1339" s="143">
        <v>0</v>
      </c>
      <c r="AX1339" s="141">
        <f t="shared" si="1724"/>
        <v>1</v>
      </c>
      <c r="AY1339" s="141">
        <f t="shared" si="1725"/>
        <v>1</v>
      </c>
      <c r="AZ1339">
        <f t="shared" si="1726"/>
        <v>0</v>
      </c>
      <c r="BA1339">
        <f t="shared" si="1727"/>
        <v>0</v>
      </c>
      <c r="BB1339">
        <f t="shared" si="1728"/>
        <v>1</v>
      </c>
      <c r="BC1339">
        <f t="shared" si="1729"/>
        <v>0</v>
      </c>
      <c r="BD1339">
        <f t="shared" si="1730"/>
        <v>0</v>
      </c>
      <c r="BE1339" t="str" cm="1">
        <f t="array" ref="BE1339">IF(AY1339=1,INDEX($V$7:$AL$7,MATCH(TRUE,INDEX($V1339:$AW1339&lt;&gt;0,),0)),IF(AY1339=0,INDEX($AM$7:$AW$7,MATCH(1,$AM1339:$AW1339,0)),IF(BF1339="Multiple strategies","mixed drivers",IF(BF1339="Supply chain","multiple supply","multiple silviculture"))))</f>
        <v>efficiency improvement</v>
      </c>
      <c r="BF1339" s="2" t="str" cm="1">
        <f t="array" ref="BF1339">IF(COUNTIF(AZ1339:BB1339,"&lt;&gt;0")=1,INDEX($V$4:$AW$4,MATCH(TRUE,INDEX($V1339:$AW1339&lt;&gt;0,),0)),IF(COUNTIF(AZ1339:BB1339,"&lt;&gt;0")=0,INDEX($AM$4:$AW$4,MATCH(1,$AM1339:$AW1339,0)),"Multiple strategies"))</f>
        <v>Technology</v>
      </c>
      <c r="BP1339" s="311" t="s">
        <v>232</v>
      </c>
      <c r="BQ1339" s="311"/>
      <c r="BR1339" t="s">
        <v>4064</v>
      </c>
      <c r="BS1339" s="141">
        <v>-78</v>
      </c>
      <c r="BT1339" s="141">
        <v>-107.01820499999999</v>
      </c>
      <c r="BU1339" s="144">
        <v>1.3720282692307693</v>
      </c>
      <c r="BV1339">
        <v>-29.018204999999995</v>
      </c>
      <c r="BX1339">
        <f t="shared" si="1752"/>
        <v>-2.9018204999999996E-5</v>
      </c>
      <c r="BY1339" t="str">
        <f t="shared" si="1750"/>
        <v/>
      </c>
      <c r="BZ1339" s="143">
        <v>0</v>
      </c>
      <c r="CA1339" s="143">
        <v>1</v>
      </c>
      <c r="CB1339" s="143">
        <v>0</v>
      </c>
      <c r="CC1339" s="143">
        <v>1</v>
      </c>
      <c r="CD1339" s="143">
        <v>0</v>
      </c>
      <c r="CE1339" s="143">
        <v>0</v>
      </c>
      <c r="CF1339" s="143">
        <v>0</v>
      </c>
      <c r="CG1339" s="143">
        <v>0</v>
      </c>
      <c r="CH1339" s="143">
        <v>0</v>
      </c>
      <c r="CI1339" s="143">
        <v>0</v>
      </c>
      <c r="CJ1339" s="143">
        <v>0</v>
      </c>
      <c r="CK1339" s="143">
        <v>0</v>
      </c>
      <c r="CL1339" s="143">
        <v>0</v>
      </c>
      <c r="CM1339" s="143">
        <v>0</v>
      </c>
      <c r="CN1339" t="str">
        <f t="shared" si="1753"/>
        <v>refOK</v>
      </c>
      <c r="CO1339"/>
      <c r="CP1339"/>
      <c r="CQ1339"/>
      <c r="CR1339">
        <f t="shared" si="1735"/>
        <v>-78</v>
      </c>
      <c r="CS1339">
        <f t="shared" si="1736"/>
        <v>-107.01820499999999</v>
      </c>
      <c r="CT1339">
        <f t="shared" si="1737"/>
        <v>-2.9018204999999996E-5</v>
      </c>
      <c r="CU1339" t="str">
        <f t="shared" si="1738"/>
        <v/>
      </c>
      <c r="CV1339" s="2">
        <f t="shared" si="1739"/>
        <v>-0.37202826923076915</v>
      </c>
      <c r="CW1339" s="1" t="s">
        <v>1202</v>
      </c>
      <c r="CX1339" s="311" t="str">
        <f t="shared" si="1740"/>
        <v>reg</v>
      </c>
      <c r="CY1339" t="s">
        <v>235</v>
      </c>
      <c r="CZ1339">
        <v>2010</v>
      </c>
      <c r="DA1339">
        <v>2010</v>
      </c>
      <c r="DB1339" s="143">
        <v>0</v>
      </c>
      <c r="DC1339" t="str">
        <f t="shared" si="1741"/>
        <v>0</v>
      </c>
      <c r="DD1339">
        <v>1</v>
      </c>
      <c r="DE1339">
        <v>1</v>
      </c>
      <c r="DF1339">
        <v>0</v>
      </c>
      <c r="DG1339">
        <v>0</v>
      </c>
      <c r="DI1339">
        <f t="shared" si="1742"/>
        <v>2</v>
      </c>
      <c r="DJ1339" t="str">
        <f t="shared" si="1743"/>
        <v>mixedProduct</v>
      </c>
      <c r="DK1339" t="str">
        <f t="shared" si="1744"/>
        <v>Upstream</v>
      </c>
      <c r="DL1339" t="str">
        <f t="shared" si="1745"/>
        <v>Energy</v>
      </c>
      <c r="DM1339">
        <f t="shared" si="1746"/>
        <v>0</v>
      </c>
      <c r="DN1339">
        <f t="shared" si="1747"/>
        <v>0</v>
      </c>
      <c r="DO1339">
        <v>0</v>
      </c>
      <c r="DP1339" s="143">
        <v>0</v>
      </c>
      <c r="DQ1339" t="s">
        <v>2229</v>
      </c>
      <c r="DR1339">
        <v>0</v>
      </c>
      <c r="DS1339">
        <v>0</v>
      </c>
      <c r="DT1339">
        <f t="shared" si="1748"/>
        <v>0</v>
      </c>
      <c r="DU1339" s="143" t="str">
        <f t="shared" si="1749"/>
        <v>explicit C balance</v>
      </c>
      <c r="DV1339" s="143">
        <v>1</v>
      </c>
      <c r="DW1339" s="143">
        <v>1</v>
      </c>
      <c r="DX1339" s="143">
        <v>1</v>
      </c>
      <c r="DY1339" s="143">
        <v>0</v>
      </c>
      <c r="DZ1339" s="143">
        <v>1</v>
      </c>
      <c r="EA1339" s="143">
        <v>0</v>
      </c>
      <c r="EB1339" s="143">
        <v>1</v>
      </c>
      <c r="EC1339" s="143">
        <v>1</v>
      </c>
      <c r="ED1339" s="143">
        <v>0</v>
      </c>
      <c r="EE1339" s="143">
        <v>0</v>
      </c>
      <c r="EF1339" s="143">
        <v>1</v>
      </c>
      <c r="EG1339" s="143">
        <v>0</v>
      </c>
      <c r="EH1339" s="143">
        <v>0</v>
      </c>
      <c r="EI1339" s="196">
        <v>0</v>
      </c>
      <c r="EK1339" t="str">
        <f t="shared" si="1722"/>
        <v>Whole sector</v>
      </c>
      <c r="EL1339" t="str">
        <f t="shared" si="1723"/>
        <v/>
      </c>
      <c r="EM1339" s="2" t="str">
        <f t="shared" si="1751"/>
        <v/>
      </c>
      <c r="EP1339" t="b">
        <f>IF(ISNUMBER(BU1339),IF(ABS(BU1339-[1]QC_indicators!$B$2)&gt;3*[1]QC_indicators!$C$2,"C ratio",IF(ISNUMBER(BY1339),IF(ABS(BY1339-[1]QC_indicators!$B$1)&gt;3*[1]QC_indicators!$C$1,"DF","no"))),IF(ISNUMBER(BY1339),IF(ABS(BY1339-[1]QC_indicators!$B$1)&gt;3*[1]QC_indicators!$C$1,"DF","no")))</f>
        <v>0</v>
      </c>
      <c r="ER1339" s="313" t="s">
        <v>349</v>
      </c>
    </row>
    <row r="1340" spans="1:150" ht="15" hidden="1" customHeight="1">
      <c r="D1340" t="s">
        <v>2230</v>
      </c>
      <c r="E1340" t="s">
        <v>2231</v>
      </c>
      <c r="G1340" t="s">
        <v>2232</v>
      </c>
      <c r="I1340">
        <v>2015</v>
      </c>
      <c r="K1340" t="s">
        <v>2233</v>
      </c>
      <c r="M1340" t="str">
        <f t="shared" si="1689"/>
        <v>Repo_2015</v>
      </c>
      <c r="N1340" t="s">
        <v>2582</v>
      </c>
      <c r="O1340" s="145" t="s">
        <v>225</v>
      </c>
      <c r="Q1340" t="s">
        <v>256</v>
      </c>
      <c r="R1340" s="262" t="s">
        <v>223</v>
      </c>
      <c r="S1340" s="1" t="s">
        <v>2228</v>
      </c>
      <c r="T1340" t="s">
        <v>2234</v>
      </c>
      <c r="U1340" t="s">
        <v>2238</v>
      </c>
      <c r="V1340" s="143">
        <v>0</v>
      </c>
      <c r="W1340" s="143">
        <v>0</v>
      </c>
      <c r="X1340" s="143">
        <v>0</v>
      </c>
      <c r="Y1340" s="143">
        <v>0</v>
      </c>
      <c r="Z1340" s="143">
        <v>0</v>
      </c>
      <c r="AA1340" s="143">
        <v>0</v>
      </c>
      <c r="AB1340" s="143">
        <v>0</v>
      </c>
      <c r="AC1340" s="143">
        <v>0</v>
      </c>
      <c r="AD1340" s="143">
        <v>0</v>
      </c>
      <c r="AE1340" s="143">
        <v>0</v>
      </c>
      <c r="AF1340" s="143">
        <v>1</v>
      </c>
      <c r="AG1340" s="143">
        <v>0</v>
      </c>
      <c r="AH1340" s="143">
        <v>0</v>
      </c>
      <c r="AI1340" s="143">
        <v>0</v>
      </c>
      <c r="AJ1340" s="143">
        <v>0</v>
      </c>
      <c r="AK1340" s="143">
        <v>0</v>
      </c>
      <c r="AL1340" s="143">
        <v>0</v>
      </c>
      <c r="AM1340" s="143">
        <v>0</v>
      </c>
      <c r="AN1340" s="143">
        <v>0</v>
      </c>
      <c r="AO1340" s="143">
        <v>0</v>
      </c>
      <c r="AP1340" s="143">
        <v>0</v>
      </c>
      <c r="AQ1340" s="143">
        <v>0</v>
      </c>
      <c r="AR1340" s="143">
        <v>0</v>
      </c>
      <c r="AS1340" s="143">
        <v>0</v>
      </c>
      <c r="AT1340" s="143">
        <v>0</v>
      </c>
      <c r="AU1340" s="143">
        <v>0</v>
      </c>
      <c r="AV1340" s="143">
        <v>0</v>
      </c>
      <c r="AW1340" s="143">
        <v>0</v>
      </c>
      <c r="AX1340" s="141">
        <f t="shared" si="1724"/>
        <v>1</v>
      </c>
      <c r="AY1340" s="141">
        <f t="shared" si="1725"/>
        <v>1</v>
      </c>
      <c r="AZ1340">
        <f t="shared" si="1726"/>
        <v>0</v>
      </c>
      <c r="BA1340">
        <f t="shared" si="1727"/>
        <v>1</v>
      </c>
      <c r="BB1340">
        <f t="shared" si="1728"/>
        <v>0</v>
      </c>
      <c r="BC1340">
        <f t="shared" si="1729"/>
        <v>0</v>
      </c>
      <c r="BD1340">
        <f t="shared" si="1730"/>
        <v>0</v>
      </c>
      <c r="BE1340" t="str">
        <f t="array" ref="BE1340">IF(AY1340=1,INDEX($V$7:$AL$7,MATCH(TRUE,INDEX($V1340:$AW1340&lt;&gt;0,),0)),IF(AY1340=0,INDEX($AM$7:$AW$7,MATCH(1,$AM1340:$AW1340,0)),IF(BF1340="Multiple strategies","mixed drivers",IF(BF1340="Supply chain","multiple supply","multiple silviculture"))))</f>
        <v>supply chain organization</v>
      </c>
      <c r="BF1340" s="2" t="str" cm="1">
        <f t="array" ref="BF1340">IF(COUNTIF(AZ1340:BB1340,"&lt;&gt;0")=1,INDEX($V$4:$AW$4,MATCH(TRUE,INDEX($V1340:$AW1340&lt;&gt;0,),0)),IF(COUNTIF(AZ1340:BB1340,"&lt;&gt;0")=0,INDEX($AM$4:$AW$4,MATCH(1,$AM1340:$AW1340,0)),"Multiple strategies"))</f>
        <v>Supply chain</v>
      </c>
      <c r="BG1340" s="1" t="s">
        <v>321</v>
      </c>
      <c r="BH1340" t="s">
        <v>2236</v>
      </c>
      <c r="BI1340" s="264" t="s">
        <v>424</v>
      </c>
      <c r="BJ1340" s="264" t="s">
        <v>3233</v>
      </c>
      <c r="BK1340">
        <v>63</v>
      </c>
      <c r="BL1340">
        <v>69</v>
      </c>
      <c r="BN1340">
        <f>BL1340-BK1340</f>
        <v>6</v>
      </c>
      <c r="BO1340">
        <f>BN1340*t_to_m3</f>
        <v>12.244897959183675</v>
      </c>
      <c r="BP1340" t="s">
        <v>232</v>
      </c>
      <c r="BR1340" t="s">
        <v>2237</v>
      </c>
      <c r="BU1340" s="144"/>
      <c r="BV1340">
        <v>-1.7999999999999999E-2</v>
      </c>
      <c r="BY1340">
        <f t="shared" si="1750"/>
        <v>0</v>
      </c>
      <c r="BZ1340" s="143">
        <v>0</v>
      </c>
      <c r="CA1340" s="143">
        <v>1</v>
      </c>
      <c r="CB1340" s="143">
        <v>0</v>
      </c>
      <c r="CC1340" s="143">
        <v>1</v>
      </c>
      <c r="CD1340" s="143">
        <v>0</v>
      </c>
      <c r="CE1340" s="143">
        <v>0</v>
      </c>
      <c r="CF1340" s="143">
        <v>0</v>
      </c>
      <c r="CG1340" s="143">
        <v>0</v>
      </c>
      <c r="CH1340" s="143">
        <v>0</v>
      </c>
      <c r="CI1340" s="143">
        <v>0</v>
      </c>
      <c r="CJ1340" s="143">
        <v>0</v>
      </c>
      <c r="CK1340" s="143">
        <v>0</v>
      </c>
      <c r="CL1340" s="143">
        <v>0</v>
      </c>
      <c r="CM1340" s="143">
        <v>0</v>
      </c>
      <c r="CN1340" t="str">
        <f t="shared" si="1753"/>
        <v>refOK</v>
      </c>
      <c r="CO1340">
        <f>IF($CN1340="refOK",$BK1340,$BL1340)</f>
        <v>63</v>
      </c>
      <c r="CP1340">
        <f>IF($CN1340="refOK",$BL1340,$BK1340)</f>
        <v>69</v>
      </c>
      <c r="CQ1340">
        <f>IF($CN1340="refOK",$BO1340,-$BO1340)</f>
        <v>12.244897959183675</v>
      </c>
      <c r="CR1340"/>
      <c r="CS1340"/>
      <c r="CT1340"/>
      <c r="CU1340"/>
      <c r="CV1340" s="2" t="str">
        <f t="shared" si="1739"/>
        <v/>
      </c>
      <c r="CW1340" s="1" t="s">
        <v>1202</v>
      </c>
      <c r="CX1340" t="str">
        <f t="shared" si="1740"/>
        <v>reg</v>
      </c>
      <c r="CY1340" t="s">
        <v>235</v>
      </c>
      <c r="CZ1340">
        <v>2010</v>
      </c>
      <c r="DA1340">
        <v>2110</v>
      </c>
      <c r="DB1340" s="143">
        <f>DA1340-CZ1340</f>
        <v>100</v>
      </c>
      <c r="DC1340" t="str">
        <f t="shared" si="1741"/>
        <v>71-100</v>
      </c>
      <c r="DD1340">
        <v>1</v>
      </c>
      <c r="DE1340">
        <v>1</v>
      </c>
      <c r="DF1340">
        <v>0</v>
      </c>
      <c r="DG1340">
        <v>0</v>
      </c>
      <c r="DI1340">
        <f t="shared" si="1742"/>
        <v>2</v>
      </c>
      <c r="DJ1340" t="str">
        <f t="shared" si="1743"/>
        <v>mixedProduct</v>
      </c>
      <c r="DK1340" t="str">
        <f t="shared" si="1744"/>
        <v>Upstream</v>
      </c>
      <c r="DL1340" t="str">
        <f t="shared" si="1745"/>
        <v>Energy</v>
      </c>
      <c r="DM1340">
        <f t="shared" si="1746"/>
        <v>0</v>
      </c>
      <c r="DN1340">
        <f t="shared" si="1747"/>
        <v>0</v>
      </c>
      <c r="DO1340">
        <v>0</v>
      </c>
      <c r="DP1340" s="143">
        <v>0</v>
      </c>
      <c r="DQ1340" t="s">
        <v>2229</v>
      </c>
      <c r="DR1340">
        <v>0</v>
      </c>
      <c r="DS1340">
        <v>0</v>
      </c>
      <c r="DT1340">
        <f t="shared" si="1748"/>
        <v>0</v>
      </c>
      <c r="DU1340" s="143" t="str">
        <f t="shared" si="1749"/>
        <v>explicit C balance</v>
      </c>
      <c r="DV1340" s="143">
        <v>1</v>
      </c>
      <c r="DW1340" s="143">
        <v>1</v>
      </c>
      <c r="DX1340" s="143">
        <v>1</v>
      </c>
      <c r="DY1340" s="143">
        <v>0</v>
      </c>
      <c r="DZ1340" s="143">
        <v>1</v>
      </c>
      <c r="EA1340" s="143">
        <v>0</v>
      </c>
      <c r="EB1340" s="143">
        <v>1</v>
      </c>
      <c r="EC1340" s="143">
        <v>1</v>
      </c>
      <c r="ED1340" s="143">
        <v>0</v>
      </c>
      <c r="EE1340" s="143">
        <v>0</v>
      </c>
      <c r="EF1340" s="143">
        <v>0</v>
      </c>
      <c r="EG1340" s="143">
        <v>0</v>
      </c>
      <c r="EH1340" s="143">
        <v>0</v>
      </c>
      <c r="EI1340" s="196">
        <v>0</v>
      </c>
      <c r="EK1340" t="str">
        <f>IF(AND(AND(AND(OR($DX1340=1,$DW1340=1),OR($EC1340=1,$EA1340=1)),SUM($DV1340:$DZ1340,$EF1340)&gt;=4),SUM($EA1340:$EE1340)&gt;=2),"Whole sector","")</f>
        <v>Whole sector</v>
      </c>
      <c r="EL1340" t="str">
        <f>IF(AND(AND(OR($DX1340=1,$DW1340=1),AND($EC1340=0,$EA1340=0)),SUM($DV1340:$DZ1340,$EF1340)&gt;=4),"Ecosystem approach","")</f>
        <v/>
      </c>
      <c r="EM1340" s="2" t="str">
        <f t="shared" si="1751"/>
        <v/>
      </c>
      <c r="EP1340" t="str">
        <f>IF(ISNUMBER(BU1340),IF(ABS(BU1340-[3]QC_indicators!$B$2)&gt;3*[3]QC_indicators!$C$2,"C ratio",IF(ISNUMBER(BY1340),IF(ABS(BY1340-[3]QC_indicators!$B$1)&gt;3*[3]QC_indicators!$C$1,"DF","no"))),IF(ISNUMBER(BY1340),IF(ABS(BY1340-[3]QC_indicators!$B$1)&gt;3*[3]QC_indicators!$C$1,"DF","no")))</f>
        <v>no</v>
      </c>
      <c r="ER1340" s="149" t="s">
        <v>349</v>
      </c>
      <c r="ET1340" s="264" t="s">
        <v>3234</v>
      </c>
    </row>
    <row r="1341" spans="1:150" ht="15" hidden="1" customHeight="1">
      <c r="D1341" t="s">
        <v>2230</v>
      </c>
      <c r="E1341" t="s">
        <v>2231</v>
      </c>
      <c r="G1341" t="s">
        <v>2232</v>
      </c>
      <c r="I1341">
        <v>2015</v>
      </c>
      <c r="K1341" t="s">
        <v>2233</v>
      </c>
      <c r="M1341" t="str">
        <f t="shared" si="1689"/>
        <v>Repo_2015</v>
      </c>
      <c r="N1341" t="s">
        <v>2582</v>
      </c>
      <c r="O1341" s="145" t="s">
        <v>225</v>
      </c>
      <c r="Q1341" t="s">
        <v>256</v>
      </c>
      <c r="R1341" s="262" t="s">
        <v>223</v>
      </c>
      <c r="S1341" s="1" t="s">
        <v>2228</v>
      </c>
      <c r="T1341" t="s">
        <v>2234</v>
      </c>
      <c r="U1341" t="s">
        <v>2235</v>
      </c>
      <c r="V1341" s="143">
        <v>0</v>
      </c>
      <c r="W1341" s="143">
        <v>0</v>
      </c>
      <c r="X1341" s="143">
        <v>0</v>
      </c>
      <c r="Y1341" s="143">
        <v>0</v>
      </c>
      <c r="Z1341" s="143">
        <v>0</v>
      </c>
      <c r="AA1341" s="143">
        <v>0</v>
      </c>
      <c r="AB1341" s="143">
        <v>0</v>
      </c>
      <c r="AC1341" s="143">
        <v>0</v>
      </c>
      <c r="AD1341" s="143">
        <v>0</v>
      </c>
      <c r="AE1341" s="143">
        <v>0</v>
      </c>
      <c r="AF1341" s="143">
        <v>1</v>
      </c>
      <c r="AG1341" s="143">
        <v>0</v>
      </c>
      <c r="AH1341" s="143">
        <v>0</v>
      </c>
      <c r="AI1341" s="143">
        <v>0</v>
      </c>
      <c r="AJ1341" s="143">
        <v>0</v>
      </c>
      <c r="AK1341" s="143">
        <v>0</v>
      </c>
      <c r="AL1341" s="143">
        <v>0</v>
      </c>
      <c r="AM1341" s="143">
        <v>0</v>
      </c>
      <c r="AN1341" s="143">
        <v>0</v>
      </c>
      <c r="AO1341" s="143">
        <v>0</v>
      </c>
      <c r="AP1341" s="143">
        <v>0</v>
      </c>
      <c r="AQ1341" s="143">
        <v>0</v>
      </c>
      <c r="AR1341" s="143">
        <v>0</v>
      </c>
      <c r="AS1341" s="143">
        <v>0</v>
      </c>
      <c r="AT1341" s="143">
        <v>0</v>
      </c>
      <c r="AU1341" s="143">
        <v>0</v>
      </c>
      <c r="AV1341" s="143">
        <v>0</v>
      </c>
      <c r="AW1341" s="143">
        <v>0</v>
      </c>
      <c r="AX1341" s="141">
        <f t="shared" si="1724"/>
        <v>1</v>
      </c>
      <c r="AY1341" s="141">
        <f t="shared" si="1725"/>
        <v>1</v>
      </c>
      <c r="AZ1341">
        <f t="shared" si="1726"/>
        <v>0</v>
      </c>
      <c r="BA1341">
        <f t="shared" si="1727"/>
        <v>1</v>
      </c>
      <c r="BB1341">
        <f t="shared" si="1728"/>
        <v>0</v>
      </c>
      <c r="BC1341">
        <f t="shared" si="1729"/>
        <v>0</v>
      </c>
      <c r="BD1341">
        <f t="shared" si="1730"/>
        <v>0</v>
      </c>
      <c r="BE1341" t="str">
        <f t="array" ref="BE1341">IF(AY1341=1,INDEX($V$7:$AL$7,MATCH(TRUE,INDEX($V1341:$AW1341&lt;&gt;0,),0)),IF(AY1341=0,INDEX($AM$7:$AW$7,MATCH(1,$AM1341:$AW1341,0)),IF(BF1341="Multiple strategies","mixed drivers",IF(BF1341="Supply chain","multiple supply","multiple silviculture"))))</f>
        <v>supply chain organization</v>
      </c>
      <c r="BF1341" s="2" t="str" cm="1">
        <f t="array" ref="BF1341">IF(COUNTIF(AZ1341:BB1341,"&lt;&gt;0")=1,INDEX($V$4:$AW$4,MATCH(TRUE,INDEX($V1341:$AW1341&lt;&gt;0,),0)),IF(COUNTIF(AZ1341:BB1341,"&lt;&gt;0")=0,INDEX($AM$4:$AW$4,MATCH(1,$AM1341:$AW1341,0)),"Multiple strategies"))</f>
        <v>Supply chain</v>
      </c>
      <c r="BG1341" s="1" t="s">
        <v>321</v>
      </c>
      <c r="BH1341" t="s">
        <v>2236</v>
      </c>
      <c r="BI1341" s="264" t="s">
        <v>424</v>
      </c>
      <c r="BJ1341" s="264" t="s">
        <v>3233</v>
      </c>
      <c r="BK1341">
        <v>63</v>
      </c>
      <c r="BL1341">
        <v>87</v>
      </c>
      <c r="BN1341">
        <f>BL1341-BK1341</f>
        <v>24</v>
      </c>
      <c r="BO1341">
        <f>BN1341*t_to_m3</f>
        <v>48.979591836734699</v>
      </c>
      <c r="BP1341" t="s">
        <v>232</v>
      </c>
      <c r="BR1341" t="s">
        <v>2237</v>
      </c>
      <c r="BU1341" s="144"/>
      <c r="BV1341">
        <v>-1.4999999999999999E-2</v>
      </c>
      <c r="BY1341">
        <f t="shared" si="1750"/>
        <v>0</v>
      </c>
      <c r="BZ1341" s="143">
        <v>0</v>
      </c>
      <c r="CA1341" s="143">
        <v>1</v>
      </c>
      <c r="CB1341" s="143">
        <v>0</v>
      </c>
      <c r="CC1341" s="143">
        <v>1</v>
      </c>
      <c r="CD1341" s="143">
        <v>0</v>
      </c>
      <c r="CE1341" s="143">
        <v>0</v>
      </c>
      <c r="CF1341" s="143">
        <v>0</v>
      </c>
      <c r="CG1341" s="143">
        <v>0</v>
      </c>
      <c r="CH1341" s="143">
        <v>0</v>
      </c>
      <c r="CI1341" s="143">
        <v>0</v>
      </c>
      <c r="CJ1341" s="143">
        <v>0</v>
      </c>
      <c r="CK1341" s="143">
        <v>0</v>
      </c>
      <c r="CL1341" s="143">
        <v>0</v>
      </c>
      <c r="CM1341" s="143">
        <v>0</v>
      </c>
      <c r="CN1341" t="str">
        <f t="shared" si="1753"/>
        <v>refOK</v>
      </c>
      <c r="CO1341">
        <f>IF($CN1341="refOK",$BK1341,$BL1341)</f>
        <v>63</v>
      </c>
      <c r="CP1341">
        <f>IF($CN1341="refOK",$BL1341,$BK1341)</f>
        <v>87</v>
      </c>
      <c r="CQ1341">
        <f>IF($CN1341="refOK",$BO1341,-$BO1341)</f>
        <v>48.979591836734699</v>
      </c>
      <c r="CR1341"/>
      <c r="CS1341"/>
      <c r="CT1341"/>
      <c r="CU1341"/>
      <c r="CV1341" s="2" t="str">
        <f t="shared" si="1739"/>
        <v/>
      </c>
      <c r="CW1341" s="1" t="s">
        <v>1202</v>
      </c>
      <c r="CX1341" t="str">
        <f t="shared" si="1740"/>
        <v>reg</v>
      </c>
      <c r="CY1341" t="s">
        <v>235</v>
      </c>
      <c r="CZ1341">
        <v>2010</v>
      </c>
      <c r="DA1341">
        <v>2110</v>
      </c>
      <c r="DB1341" s="143">
        <f>DA1341-CZ1341</f>
        <v>100</v>
      </c>
      <c r="DC1341" t="str">
        <f t="shared" si="1741"/>
        <v>71-100</v>
      </c>
      <c r="DD1341">
        <v>1</v>
      </c>
      <c r="DE1341">
        <v>1</v>
      </c>
      <c r="DF1341">
        <v>0</v>
      </c>
      <c r="DG1341">
        <v>0</v>
      </c>
      <c r="DI1341">
        <f t="shared" si="1742"/>
        <v>2</v>
      </c>
      <c r="DJ1341" t="str">
        <f t="shared" si="1743"/>
        <v>mixedProduct</v>
      </c>
      <c r="DK1341" t="str">
        <f t="shared" si="1744"/>
        <v>Upstream</v>
      </c>
      <c r="DL1341" t="str">
        <f t="shared" si="1745"/>
        <v>Energy</v>
      </c>
      <c r="DM1341">
        <f t="shared" si="1746"/>
        <v>0</v>
      </c>
      <c r="DN1341">
        <f t="shared" si="1747"/>
        <v>0</v>
      </c>
      <c r="DO1341">
        <v>0</v>
      </c>
      <c r="DP1341" s="143">
        <v>0</v>
      </c>
      <c r="DQ1341" t="s">
        <v>2229</v>
      </c>
      <c r="DR1341">
        <v>0</v>
      </c>
      <c r="DS1341">
        <v>0</v>
      </c>
      <c r="DT1341">
        <f t="shared" si="1748"/>
        <v>0</v>
      </c>
      <c r="DU1341" s="143" t="str">
        <f t="shared" si="1749"/>
        <v>explicit C balance</v>
      </c>
      <c r="DV1341" s="143">
        <v>1</v>
      </c>
      <c r="DW1341" s="143">
        <v>1</v>
      </c>
      <c r="DX1341" s="143">
        <v>1</v>
      </c>
      <c r="DY1341" s="143">
        <v>0</v>
      </c>
      <c r="DZ1341" s="143">
        <v>1</v>
      </c>
      <c r="EA1341" s="143">
        <v>0</v>
      </c>
      <c r="EB1341" s="143">
        <v>1</v>
      </c>
      <c r="EC1341" s="143">
        <v>1</v>
      </c>
      <c r="ED1341" s="143">
        <v>0</v>
      </c>
      <c r="EE1341" s="143">
        <v>0</v>
      </c>
      <c r="EF1341" s="143">
        <v>0</v>
      </c>
      <c r="EG1341" s="143">
        <v>0</v>
      </c>
      <c r="EH1341" s="143">
        <v>0</v>
      </c>
      <c r="EI1341" s="196">
        <v>0</v>
      </c>
      <c r="EK1341" t="str">
        <f>IF(AND(AND(AND(OR($DX1341=1,$DW1341=1),OR($EC1341=1,$EA1341=1)),SUM($DV1341:$DZ1341,$EF1341)&gt;=4),SUM($EA1341:$EE1341)&gt;=2),"Whole sector","")</f>
        <v>Whole sector</v>
      </c>
      <c r="EL1341" t="str">
        <f>IF(AND(AND(OR($DX1341=1,$DW1341=1),AND($EC1341=0,$EA1341=0)),SUM($DV1341:$DZ1341,$EF1341)&gt;=4),"Ecosystem approach","")</f>
        <v/>
      </c>
      <c r="EM1341" s="2" t="str">
        <f t="shared" si="1751"/>
        <v/>
      </c>
      <c r="EP1341" t="str">
        <f>IF(ISNUMBER(BU1341),IF(ABS(BU1341-[3]QC_indicators!$B$2)&gt;3*[3]QC_indicators!$C$2,"C ratio",IF(ISNUMBER(BY1341),IF(ABS(BY1341-[3]QC_indicators!$B$1)&gt;3*[3]QC_indicators!$C$1,"DF","no"))),IF(ISNUMBER(BY1341),IF(ABS(BY1341-[3]QC_indicators!$B$1)&gt;3*[3]QC_indicators!$C$1,"DF","no")))</f>
        <v>no</v>
      </c>
      <c r="ER1341" s="149" t="s">
        <v>349</v>
      </c>
      <c r="ET1341" s="264" t="s">
        <v>3234</v>
      </c>
    </row>
    <row r="1342" spans="1:150" ht="15" hidden="1" customHeight="1">
      <c r="D1342" t="s">
        <v>2230</v>
      </c>
      <c r="E1342" t="s">
        <v>2231</v>
      </c>
      <c r="G1342" t="s">
        <v>2232</v>
      </c>
      <c r="I1342">
        <v>2015</v>
      </c>
      <c r="K1342" t="s">
        <v>2233</v>
      </c>
      <c r="M1342" t="str">
        <f t="shared" si="1689"/>
        <v>Repo_2015</v>
      </c>
      <c r="N1342" t="s">
        <v>2582</v>
      </c>
      <c r="O1342" s="145" t="s">
        <v>225</v>
      </c>
      <c r="Q1342" t="s">
        <v>256</v>
      </c>
      <c r="R1342" s="262" t="s">
        <v>223</v>
      </c>
      <c r="S1342" s="1" t="s">
        <v>2228</v>
      </c>
      <c r="T1342" t="s">
        <v>2234</v>
      </c>
      <c r="U1342" t="s">
        <v>2239</v>
      </c>
      <c r="V1342" s="143">
        <v>0</v>
      </c>
      <c r="W1342" s="143">
        <v>0</v>
      </c>
      <c r="X1342" s="143">
        <v>0</v>
      </c>
      <c r="Y1342" s="143">
        <v>0</v>
      </c>
      <c r="Z1342" s="143">
        <v>0</v>
      </c>
      <c r="AA1342" s="143">
        <v>0</v>
      </c>
      <c r="AB1342" s="143">
        <v>0</v>
      </c>
      <c r="AC1342" s="143">
        <v>0</v>
      </c>
      <c r="AD1342" s="143">
        <v>0</v>
      </c>
      <c r="AE1342" s="143">
        <v>0</v>
      </c>
      <c r="AF1342" s="143">
        <v>1</v>
      </c>
      <c r="AG1342" s="143">
        <v>0</v>
      </c>
      <c r="AH1342" s="143">
        <v>0</v>
      </c>
      <c r="AI1342" s="143">
        <v>0</v>
      </c>
      <c r="AJ1342" s="143">
        <v>0</v>
      </c>
      <c r="AK1342" s="143">
        <v>0</v>
      </c>
      <c r="AL1342" s="143">
        <v>0</v>
      </c>
      <c r="AM1342" s="143">
        <v>0</v>
      </c>
      <c r="AN1342" s="143">
        <v>0</v>
      </c>
      <c r="AO1342" s="143">
        <v>0</v>
      </c>
      <c r="AP1342" s="143">
        <v>0</v>
      </c>
      <c r="AQ1342" s="143">
        <v>0</v>
      </c>
      <c r="AR1342" s="143">
        <v>0</v>
      </c>
      <c r="AS1342" s="143">
        <v>0</v>
      </c>
      <c r="AT1342" s="143">
        <v>0</v>
      </c>
      <c r="AU1342" s="143">
        <v>0</v>
      </c>
      <c r="AV1342" s="143">
        <v>0</v>
      </c>
      <c r="AW1342" s="143">
        <v>0</v>
      </c>
      <c r="AX1342" s="141">
        <f t="shared" si="1724"/>
        <v>1</v>
      </c>
      <c r="AY1342" s="141">
        <f t="shared" si="1725"/>
        <v>1</v>
      </c>
      <c r="AZ1342">
        <f t="shared" si="1726"/>
        <v>0</v>
      </c>
      <c r="BA1342">
        <f t="shared" si="1727"/>
        <v>1</v>
      </c>
      <c r="BB1342">
        <f t="shared" si="1728"/>
        <v>0</v>
      </c>
      <c r="BC1342">
        <f t="shared" si="1729"/>
        <v>0</v>
      </c>
      <c r="BD1342">
        <f t="shared" si="1730"/>
        <v>0</v>
      </c>
      <c r="BE1342" t="str">
        <f t="array" ref="BE1342">IF(AY1342=1,INDEX($V$7:$AL$7,MATCH(TRUE,INDEX($V1342:$AW1342&lt;&gt;0,),0)),IF(AY1342=0,INDEX($AM$7:$AW$7,MATCH(1,$AM1342:$AW1342,0)),IF(BF1342="Multiple strategies","mixed drivers",IF(BF1342="Supply chain","multiple supply","multiple silviculture"))))</f>
        <v>supply chain organization</v>
      </c>
      <c r="BF1342" s="2" t="str" cm="1">
        <f t="array" ref="BF1342">IF(COUNTIF(AZ1342:BB1342,"&lt;&gt;0")=1,INDEX($V$4:$AW$4,MATCH(TRUE,INDEX($V1342:$AW1342&lt;&gt;0,),0)),IF(COUNTIF(AZ1342:BB1342,"&lt;&gt;0")=0,INDEX($AM$4:$AW$4,MATCH(1,$AM1342:$AW1342,0)),"Multiple strategies"))</f>
        <v>Supply chain</v>
      </c>
      <c r="BG1342" s="1" t="s">
        <v>321</v>
      </c>
      <c r="BH1342" t="s">
        <v>2236</v>
      </c>
      <c r="BI1342" s="264" t="s">
        <v>424</v>
      </c>
      <c r="BJ1342" s="264" t="s">
        <v>3233</v>
      </c>
      <c r="BK1342">
        <v>63</v>
      </c>
      <c r="BL1342">
        <v>63</v>
      </c>
      <c r="BN1342">
        <f>BL1342-BK1342</f>
        <v>0</v>
      </c>
      <c r="BO1342">
        <f>BN1342*t_to_m3</f>
        <v>0</v>
      </c>
      <c r="BP1342" t="s">
        <v>232</v>
      </c>
      <c r="BR1342" t="s">
        <v>2237</v>
      </c>
      <c r="BU1342" s="144"/>
      <c r="BV1342">
        <v>-3.4000000000000002E-2</v>
      </c>
      <c r="BY1342" t="str">
        <f t="shared" si="1750"/>
        <v/>
      </c>
      <c r="BZ1342" s="143">
        <v>0</v>
      </c>
      <c r="CA1342" s="143">
        <v>1</v>
      </c>
      <c r="CB1342" s="143">
        <v>0</v>
      </c>
      <c r="CC1342" s="143">
        <v>1</v>
      </c>
      <c r="CD1342" s="143">
        <v>0</v>
      </c>
      <c r="CE1342" s="143">
        <v>0</v>
      </c>
      <c r="CF1342" s="143">
        <v>0</v>
      </c>
      <c r="CG1342" s="143">
        <v>0</v>
      </c>
      <c r="CH1342" s="143">
        <v>0</v>
      </c>
      <c r="CI1342" s="143">
        <v>0</v>
      </c>
      <c r="CJ1342" s="143">
        <v>0</v>
      </c>
      <c r="CK1342" s="143">
        <v>0</v>
      </c>
      <c r="CL1342" s="143">
        <v>0</v>
      </c>
      <c r="CM1342" s="143">
        <v>0</v>
      </c>
      <c r="CN1342" t="str">
        <f t="shared" si="1753"/>
        <v>refOK</v>
      </c>
      <c r="CO1342">
        <f>IF($CN1342="refOK",$BK1342,$BL1342)</f>
        <v>63</v>
      </c>
      <c r="CP1342">
        <f>IF($CN1342="refOK",$BL1342,$BK1342)</f>
        <v>63</v>
      </c>
      <c r="CQ1342">
        <f>IF($CN1342="refOK",$BO1342,-$BO1342)</f>
        <v>0</v>
      </c>
      <c r="CR1342"/>
      <c r="CS1342"/>
      <c r="CT1342"/>
      <c r="CU1342" t="str">
        <f>IFERROR(CT1342/CQ1342,"")</f>
        <v/>
      </c>
      <c r="CV1342" s="2" t="str">
        <f t="shared" si="1739"/>
        <v/>
      </c>
      <c r="CW1342" s="1" t="s">
        <v>1202</v>
      </c>
      <c r="CX1342" t="str">
        <f t="shared" si="1740"/>
        <v>reg</v>
      </c>
      <c r="CY1342" t="s">
        <v>235</v>
      </c>
      <c r="CZ1342">
        <v>2010</v>
      </c>
      <c r="DA1342">
        <v>2110</v>
      </c>
      <c r="DB1342" s="143">
        <f>DA1342-CZ1342</f>
        <v>100</v>
      </c>
      <c r="DC1342" t="str">
        <f t="shared" si="1741"/>
        <v>71-100</v>
      </c>
      <c r="DD1342">
        <v>1</v>
      </c>
      <c r="DE1342">
        <v>1</v>
      </c>
      <c r="DF1342">
        <v>0</v>
      </c>
      <c r="DG1342">
        <v>0</v>
      </c>
      <c r="DI1342">
        <f t="shared" si="1742"/>
        <v>2</v>
      </c>
      <c r="DJ1342" t="str">
        <f t="shared" si="1743"/>
        <v>mixedProduct</v>
      </c>
      <c r="DK1342" t="str">
        <f t="shared" si="1744"/>
        <v>Upstream</v>
      </c>
      <c r="DL1342" t="str">
        <f t="shared" si="1745"/>
        <v>Energy</v>
      </c>
      <c r="DM1342">
        <f t="shared" si="1746"/>
        <v>0</v>
      </c>
      <c r="DN1342">
        <f t="shared" si="1747"/>
        <v>0</v>
      </c>
      <c r="DO1342">
        <v>0</v>
      </c>
      <c r="DP1342" s="143">
        <v>0</v>
      </c>
      <c r="DQ1342" t="s">
        <v>2229</v>
      </c>
      <c r="DR1342">
        <v>0</v>
      </c>
      <c r="DS1342">
        <v>0</v>
      </c>
      <c r="DT1342">
        <f t="shared" si="1748"/>
        <v>0</v>
      </c>
      <c r="DU1342" s="143" t="str">
        <f t="shared" si="1749"/>
        <v>explicit C balance</v>
      </c>
      <c r="DV1342" s="143">
        <v>1</v>
      </c>
      <c r="DW1342" s="143">
        <v>1</v>
      </c>
      <c r="DX1342" s="143">
        <v>1</v>
      </c>
      <c r="DY1342" s="143">
        <v>0</v>
      </c>
      <c r="DZ1342" s="143">
        <v>1</v>
      </c>
      <c r="EA1342" s="143">
        <v>0</v>
      </c>
      <c r="EB1342" s="143">
        <v>1</v>
      </c>
      <c r="EC1342" s="143">
        <v>1</v>
      </c>
      <c r="ED1342" s="143">
        <v>0</v>
      </c>
      <c r="EE1342" s="143">
        <v>0</v>
      </c>
      <c r="EF1342" s="143">
        <v>0</v>
      </c>
      <c r="EG1342" s="143">
        <v>0</v>
      </c>
      <c r="EH1342" s="143">
        <v>0</v>
      </c>
      <c r="EI1342" s="196">
        <v>0</v>
      </c>
      <c r="EK1342" t="str">
        <f>IF(AND(AND(AND(OR($DX1342=1,$DW1342=1),OR($EC1342=1,$EA1342=1)),SUM($DV1342:$DZ1342,$EF1342)&gt;=4),SUM($EA1342:$EE1342)&gt;=2),"Whole sector","")</f>
        <v>Whole sector</v>
      </c>
      <c r="EL1342" t="str">
        <f>IF(AND(AND(OR($DX1342=1,$DW1342=1),AND($EC1342=0,$EA1342=0)),SUM($DV1342:$DZ1342,$EF1342)&gt;=4),"Ecosystem approach","")</f>
        <v/>
      </c>
      <c r="EM1342" s="2" t="str">
        <f t="shared" si="1751"/>
        <v/>
      </c>
      <c r="EP1342" t="b">
        <f>IF(ISNUMBER(BU1342),IF(ABS(BU1342-[3]QC_indicators!$B$2)&gt;3*[3]QC_indicators!$C$2,"C ratio",IF(ISNUMBER(BY1342),IF(ABS(BY1342-[3]QC_indicators!$B$1)&gt;3*[3]QC_indicators!$C$1,"DF","no"))),IF(ISNUMBER(BY1342),IF(ABS(BY1342-[3]QC_indicators!$B$1)&gt;3*[3]QC_indicators!$C$1,"DF","no")))</f>
        <v>0</v>
      </c>
      <c r="ER1342" s="149" t="s">
        <v>349</v>
      </c>
      <c r="ET1342" s="264" t="s">
        <v>3234</v>
      </c>
    </row>
    <row r="1343" spans="1:150" ht="15" hidden="1" customHeight="1">
      <c r="D1343" t="s">
        <v>2230</v>
      </c>
      <c r="E1343" t="s">
        <v>2231</v>
      </c>
      <c r="G1343" t="s">
        <v>2232</v>
      </c>
      <c r="I1343">
        <v>2015</v>
      </c>
      <c r="K1343" t="s">
        <v>2233</v>
      </c>
      <c r="M1343" t="str">
        <f t="shared" si="1689"/>
        <v>Repo_2015</v>
      </c>
      <c r="N1343" t="s">
        <v>2582</v>
      </c>
      <c r="O1343" s="145" t="s">
        <v>225</v>
      </c>
      <c r="Q1343" t="s">
        <v>256</v>
      </c>
      <c r="R1343" s="262" t="s">
        <v>223</v>
      </c>
      <c r="S1343" s="1" t="s">
        <v>2228</v>
      </c>
      <c r="T1343" t="s">
        <v>2234</v>
      </c>
      <c r="U1343" t="s">
        <v>2240</v>
      </c>
      <c r="V1343" s="143">
        <v>0</v>
      </c>
      <c r="W1343" s="143">
        <v>0</v>
      </c>
      <c r="X1343" s="143">
        <v>0</v>
      </c>
      <c r="Y1343" s="143">
        <v>0</v>
      </c>
      <c r="Z1343" s="143">
        <v>0</v>
      </c>
      <c r="AA1343" s="143">
        <v>0</v>
      </c>
      <c r="AB1343" s="143">
        <v>0</v>
      </c>
      <c r="AC1343" s="143">
        <v>0</v>
      </c>
      <c r="AD1343" s="143">
        <v>0</v>
      </c>
      <c r="AE1343" s="143">
        <v>0</v>
      </c>
      <c r="AF1343" s="143">
        <v>1</v>
      </c>
      <c r="AG1343" s="143">
        <v>0</v>
      </c>
      <c r="AH1343" s="143">
        <v>0</v>
      </c>
      <c r="AI1343" s="143">
        <v>0</v>
      </c>
      <c r="AJ1343" s="143">
        <v>0</v>
      </c>
      <c r="AK1343" s="143">
        <v>0</v>
      </c>
      <c r="AL1343" s="143">
        <v>0</v>
      </c>
      <c r="AM1343" s="143">
        <v>0</v>
      </c>
      <c r="AN1343" s="143">
        <v>0</v>
      </c>
      <c r="AO1343" s="143">
        <v>0</v>
      </c>
      <c r="AP1343" s="143">
        <v>0</v>
      </c>
      <c r="AQ1343" s="143">
        <v>0</v>
      </c>
      <c r="AR1343" s="143">
        <v>0</v>
      </c>
      <c r="AS1343" s="143">
        <v>0</v>
      </c>
      <c r="AT1343" s="143">
        <v>0</v>
      </c>
      <c r="AU1343" s="143">
        <v>0</v>
      </c>
      <c r="AV1343" s="143">
        <v>0</v>
      </c>
      <c r="AW1343" s="143">
        <v>0</v>
      </c>
      <c r="AX1343" s="141">
        <f t="shared" si="1724"/>
        <v>1</v>
      </c>
      <c r="AY1343" s="141">
        <f t="shared" si="1725"/>
        <v>1</v>
      </c>
      <c r="AZ1343">
        <f t="shared" si="1726"/>
        <v>0</v>
      </c>
      <c r="BA1343">
        <f t="shared" si="1727"/>
        <v>1</v>
      </c>
      <c r="BB1343">
        <f t="shared" si="1728"/>
        <v>0</v>
      </c>
      <c r="BC1343">
        <f t="shared" si="1729"/>
        <v>0</v>
      </c>
      <c r="BD1343">
        <f t="shared" si="1730"/>
        <v>0</v>
      </c>
      <c r="BE1343" t="str">
        <f t="array" ref="BE1343">IF(AY1343=1,INDEX($V$7:$AL$7,MATCH(TRUE,INDEX($V1343:$AW1343&lt;&gt;0,),0)),IF(AY1343=0,INDEX($AM$7:$AW$7,MATCH(1,$AM1343:$AW1343,0)),IF(BF1343="Multiple strategies","mixed drivers",IF(BF1343="Supply chain","multiple supply","multiple silviculture"))))</f>
        <v>supply chain organization</v>
      </c>
      <c r="BF1343" s="2" t="str" cm="1">
        <f t="array" ref="BF1343">IF(COUNTIF(AZ1343:BB1343,"&lt;&gt;0")=1,INDEX($V$4:$AW$4,MATCH(TRUE,INDEX($V1343:$AW1343&lt;&gt;0,),0)),IF(COUNTIF(AZ1343:BB1343,"&lt;&gt;0")=0,INDEX($AM$4:$AW$4,MATCH(1,$AM1343:$AW1343,0)),"Multiple strategies"))</f>
        <v>Supply chain</v>
      </c>
      <c r="BG1343" s="1" t="s">
        <v>321</v>
      </c>
      <c r="BH1343" t="s">
        <v>2236</v>
      </c>
      <c r="BI1343" s="264" t="s">
        <v>424</v>
      </c>
      <c r="BJ1343" s="264" t="s">
        <v>3233</v>
      </c>
      <c r="BK1343">
        <v>63</v>
      </c>
      <c r="BL1343">
        <v>63</v>
      </c>
      <c r="BN1343">
        <f>BL1343-BK1343</f>
        <v>0</v>
      </c>
      <c r="BO1343">
        <f>BN1343*t_to_m3</f>
        <v>0</v>
      </c>
      <c r="BP1343" t="s">
        <v>232</v>
      </c>
      <c r="BR1343" t="s">
        <v>2237</v>
      </c>
      <c r="BU1343" s="144"/>
      <c r="BV1343">
        <v>2.7E-2</v>
      </c>
      <c r="BY1343" t="str">
        <f t="shared" si="1750"/>
        <v/>
      </c>
      <c r="BZ1343" s="143">
        <v>0</v>
      </c>
      <c r="CA1343" s="143">
        <v>1</v>
      </c>
      <c r="CB1343" s="143">
        <v>0</v>
      </c>
      <c r="CC1343" s="143">
        <v>1</v>
      </c>
      <c r="CD1343" s="143">
        <v>0</v>
      </c>
      <c r="CE1343" s="143">
        <v>0</v>
      </c>
      <c r="CF1343" s="143">
        <v>0</v>
      </c>
      <c r="CG1343" s="143">
        <v>0</v>
      </c>
      <c r="CH1343" s="143">
        <v>0</v>
      </c>
      <c r="CI1343" s="143">
        <v>0</v>
      </c>
      <c r="CJ1343" s="143">
        <v>0</v>
      </c>
      <c r="CK1343" s="143">
        <v>0</v>
      </c>
      <c r="CL1343" s="143">
        <v>0</v>
      </c>
      <c r="CM1343" s="143">
        <v>0</v>
      </c>
      <c r="CN1343" t="str">
        <f t="shared" si="1753"/>
        <v>refOK</v>
      </c>
      <c r="CO1343">
        <f>IF($CN1343="refOK",$BK1343,$BL1343)</f>
        <v>63</v>
      </c>
      <c r="CP1343">
        <f>IF($CN1343="refOK",$BL1343,$BK1343)</f>
        <v>63</v>
      </c>
      <c r="CQ1343">
        <f>IF($CN1343="refOK",$BO1343,-$BO1343)</f>
        <v>0</v>
      </c>
      <c r="CR1343"/>
      <c r="CS1343"/>
      <c r="CT1343"/>
      <c r="CU1343" t="str">
        <f>IFERROR(CT1343/CQ1343,"")</f>
        <v/>
      </c>
      <c r="CV1343" s="2" t="str">
        <f t="shared" si="1739"/>
        <v/>
      </c>
      <c r="CW1343" s="1" t="s">
        <v>1202</v>
      </c>
      <c r="CX1343" t="str">
        <f t="shared" si="1740"/>
        <v>reg</v>
      </c>
      <c r="CY1343" t="s">
        <v>235</v>
      </c>
      <c r="CZ1343">
        <v>2010</v>
      </c>
      <c r="DA1343">
        <v>2110</v>
      </c>
      <c r="DB1343" s="143">
        <f>DA1343-CZ1343</f>
        <v>100</v>
      </c>
      <c r="DC1343" t="str">
        <f t="shared" si="1741"/>
        <v>71-100</v>
      </c>
      <c r="DD1343">
        <v>1</v>
      </c>
      <c r="DE1343">
        <v>1</v>
      </c>
      <c r="DF1343">
        <v>0</v>
      </c>
      <c r="DG1343">
        <v>0</v>
      </c>
      <c r="DI1343">
        <f t="shared" si="1742"/>
        <v>2</v>
      </c>
      <c r="DJ1343" t="str">
        <f t="shared" si="1743"/>
        <v>mixedProduct</v>
      </c>
      <c r="DK1343" t="str">
        <f t="shared" si="1744"/>
        <v>Upstream</v>
      </c>
      <c r="DL1343" t="str">
        <f t="shared" si="1745"/>
        <v>Energy</v>
      </c>
      <c r="DM1343">
        <f t="shared" si="1746"/>
        <v>0</v>
      </c>
      <c r="DN1343">
        <f t="shared" si="1747"/>
        <v>0</v>
      </c>
      <c r="DO1343">
        <v>0</v>
      </c>
      <c r="DP1343" s="143">
        <v>0</v>
      </c>
      <c r="DQ1343" t="s">
        <v>2241</v>
      </c>
      <c r="DR1343">
        <v>0</v>
      </c>
      <c r="DS1343">
        <v>0</v>
      </c>
      <c r="DT1343">
        <f t="shared" si="1748"/>
        <v>0</v>
      </c>
      <c r="DU1343" s="143" t="str">
        <f t="shared" si="1749"/>
        <v>explicit C balance</v>
      </c>
      <c r="DV1343" s="143">
        <v>1</v>
      </c>
      <c r="DW1343" s="143">
        <v>1</v>
      </c>
      <c r="DX1343" s="143">
        <v>1</v>
      </c>
      <c r="DY1343" s="143">
        <v>0</v>
      </c>
      <c r="DZ1343" s="143">
        <v>1</v>
      </c>
      <c r="EA1343" s="143">
        <v>0</v>
      </c>
      <c r="EB1343" s="143">
        <v>1</v>
      </c>
      <c r="EC1343" s="143">
        <v>1</v>
      </c>
      <c r="ED1343" s="143">
        <v>0</v>
      </c>
      <c r="EE1343" s="143">
        <v>0</v>
      </c>
      <c r="EF1343" s="143">
        <v>0</v>
      </c>
      <c r="EG1343" s="143">
        <v>0</v>
      </c>
      <c r="EH1343" s="143">
        <v>0</v>
      </c>
      <c r="EI1343" s="196">
        <v>0</v>
      </c>
      <c r="EK1343" t="str">
        <f>IF(AND(AND(AND(OR($DX1343=1,$DW1343=1),OR($EC1343=1,$EA1343=1)),SUM($DV1343:$DZ1343,$EF1343)&gt;=4),SUM($EA1343:$EE1343)&gt;=2),"Whole sector","")</f>
        <v>Whole sector</v>
      </c>
      <c r="EL1343" t="str">
        <f>IF(AND(AND(OR($DX1343=1,$DW1343=1),AND($EC1343=0,$EA1343=0)),SUM($DV1343:$DZ1343,$EF1343)&gt;=4),"Ecosystem approach","")</f>
        <v/>
      </c>
      <c r="EM1343" s="2" t="str">
        <f t="shared" si="1751"/>
        <v/>
      </c>
      <c r="EP1343" t="b">
        <f>IF(ISNUMBER(BU1343),IF(ABS(BU1343-[3]QC_indicators!$B$2)&gt;3*[3]QC_indicators!$C$2,"C ratio",IF(ISNUMBER(BY1343),IF(ABS(BY1343-[3]QC_indicators!$B$1)&gt;3*[3]QC_indicators!$C$1,"DF","no"))),IF(ISNUMBER(BY1343),IF(ABS(BY1343-[3]QC_indicators!$B$1)&gt;3*[3]QC_indicators!$C$1,"DF","no")))</f>
        <v>0</v>
      </c>
      <c r="ER1343" s="149" t="s">
        <v>349</v>
      </c>
      <c r="ET1343" s="264" t="s">
        <v>3234</v>
      </c>
    </row>
    <row r="1344" spans="1:150" ht="15" hidden="1" customHeight="1">
      <c r="A1344" s="1" t="s">
        <v>333</v>
      </c>
      <c r="B1344" t="s">
        <v>5171</v>
      </c>
      <c r="C1344" t="s">
        <v>5172</v>
      </c>
      <c r="D1344" t="s">
        <v>5173</v>
      </c>
      <c r="E1344" t="s">
        <v>5174</v>
      </c>
      <c r="F1344" t="s">
        <v>5175</v>
      </c>
      <c r="G1344" t="s">
        <v>339</v>
      </c>
      <c r="H1344" t="s">
        <v>254</v>
      </c>
      <c r="I1344">
        <v>2021</v>
      </c>
      <c r="J1344">
        <v>10</v>
      </c>
      <c r="K1344" t="s">
        <v>5176</v>
      </c>
      <c r="M1344" t="str">
        <f t="shared" si="1689"/>
        <v>Resch_2021</v>
      </c>
      <c r="N1344" t="s">
        <v>2585</v>
      </c>
      <c r="O1344" s="145" t="s">
        <v>341</v>
      </c>
      <c r="Q1344" s="311" t="s">
        <v>256</v>
      </c>
      <c r="R1344" s="312"/>
      <c r="AX1344" s="141"/>
      <c r="AY1344" s="141"/>
      <c r="BE1344"/>
      <c r="BF1344" s="2"/>
      <c r="BU1344" s="144"/>
      <c r="BY1344" t="str">
        <f t="shared" si="1750"/>
        <v/>
      </c>
      <c r="CN1344"/>
      <c r="CO1344"/>
      <c r="CP1344"/>
      <c r="CQ1344"/>
      <c r="CR1344"/>
      <c r="CS1344"/>
      <c r="CT1344"/>
      <c r="CU1344"/>
      <c r="CV1344" s="2"/>
      <c r="CX1344"/>
      <c r="DC1344"/>
      <c r="DI1344"/>
      <c r="DJ1344"/>
      <c r="DK1344"/>
      <c r="DL1344"/>
      <c r="DM1344"/>
      <c r="DN1344"/>
      <c r="DT1344"/>
      <c r="DU1344" s="143"/>
      <c r="EK1344" t="str">
        <f>IF(AND(AND(AND(OR($DX1344=1,$DW1344=1),OR($EC1344=1,$EA1344=1)),SUM($DV1344:$DZ1344,$EF1344)&gt;=3),SUM($EA1344:$EE1344)&gt;=2),"Whole sector","")</f>
        <v/>
      </c>
      <c r="EL1344" t="str">
        <f>IF(AND(AND(OR($DX1344=1,$DW1344=1),AND($EC1344=0,$EA1344=0)),SUM($DV1344:$DZ1344,$EF1344)&gt;=3),"Ecosystem approach","")</f>
        <v/>
      </c>
      <c r="EM1344" s="2" t="str">
        <f t="shared" si="1751"/>
        <v/>
      </c>
      <c r="EN1344" t="s">
        <v>5177</v>
      </c>
      <c r="EO1344" t="s">
        <v>450</v>
      </c>
      <c r="EP1344" t="b">
        <f>IF(ISNUMBER(BU1344),IF(ABS(BU1344-[1]QC_indicators!$B$2)&gt;3*[1]QC_indicators!$C$2,"C ratio",IF(ISNUMBER(BY1344),IF(ABS(BY1344-[1]QC_indicators!$B$1)&gt;3*[1]QC_indicators!$C$1,"DF","no"))),IF(ISNUMBER(BY1344),IF(ABS(BY1344-[1]QC_indicators!$B$1)&gt;3*[1]QC_indicators!$C$1,"DF","no")))</f>
        <v>0</v>
      </c>
    </row>
    <row r="1345" spans="1:150" ht="15" hidden="1" customHeight="1">
      <c r="A1345" s="1" t="s">
        <v>1352</v>
      </c>
      <c r="B1345" t="s">
        <v>544</v>
      </c>
      <c r="C1345" t="s">
        <v>2242</v>
      </c>
      <c r="D1345" t="s">
        <v>2243</v>
      </c>
      <c r="E1345" t="s">
        <v>2244</v>
      </c>
      <c r="F1345" t="s">
        <v>2245</v>
      </c>
      <c r="G1345" t="s">
        <v>1353</v>
      </c>
      <c r="H1345" t="s">
        <v>254</v>
      </c>
      <c r="I1345">
        <v>2021</v>
      </c>
      <c r="J1345">
        <v>1</v>
      </c>
      <c r="K1345" t="s">
        <v>2246</v>
      </c>
      <c r="M1345" t="str">
        <f t="shared" ref="M1345:M1408" si="1755">LEFT($D1345,FIND(",",$D1345)-1)&amp;"_"&amp;I1345&amp;L1345</f>
        <v>Riviere_2021</v>
      </c>
      <c r="N1345" t="s">
        <v>222</v>
      </c>
      <c r="O1345" s="145" t="s">
        <v>341</v>
      </c>
      <c r="Q1345" t="s">
        <v>256</v>
      </c>
      <c r="R1345" s="262" t="s">
        <v>223</v>
      </c>
      <c r="S1345" s="1" t="s">
        <v>2247</v>
      </c>
      <c r="T1345" t="s">
        <v>2248</v>
      </c>
      <c r="U1345" t="s">
        <v>1110</v>
      </c>
      <c r="V1345">
        <v>0</v>
      </c>
      <c r="W1345">
        <v>0</v>
      </c>
      <c r="X1345">
        <v>0</v>
      </c>
      <c r="Y1345">
        <v>1</v>
      </c>
      <c r="Z1345">
        <v>0</v>
      </c>
      <c r="AA1345">
        <v>0</v>
      </c>
      <c r="AB1345">
        <v>0</v>
      </c>
      <c r="AC1345">
        <v>0</v>
      </c>
      <c r="AD1345">
        <v>0</v>
      </c>
      <c r="AE1345">
        <v>0</v>
      </c>
      <c r="AF1345">
        <v>0</v>
      </c>
      <c r="AG1345">
        <v>0</v>
      </c>
      <c r="AH1345">
        <v>0</v>
      </c>
      <c r="AI1345">
        <v>0</v>
      </c>
      <c r="AJ1345">
        <v>0</v>
      </c>
      <c r="AK1345">
        <v>0</v>
      </c>
      <c r="AL1345">
        <v>0</v>
      </c>
      <c r="AM1345">
        <v>0</v>
      </c>
      <c r="AN1345">
        <v>0</v>
      </c>
      <c r="AO1345">
        <v>0</v>
      </c>
      <c r="AP1345">
        <v>0</v>
      </c>
      <c r="AQ1345">
        <v>0</v>
      </c>
      <c r="AR1345">
        <v>0</v>
      </c>
      <c r="AS1345">
        <v>0</v>
      </c>
      <c r="AT1345">
        <v>0</v>
      </c>
      <c r="AU1345">
        <v>0</v>
      </c>
      <c r="AV1345">
        <v>1</v>
      </c>
      <c r="AW1345">
        <v>0</v>
      </c>
      <c r="AX1345" s="141">
        <f t="shared" ref="AX1345:AX1369" si="1756">COUNTIF(V1345:AW1345,"&lt;&gt;0")</f>
        <v>2</v>
      </c>
      <c r="AY1345" s="141">
        <f t="shared" ref="AY1345:AY1369" si="1757">COUNTIF(V1345:AL1345,"&lt;&gt;0")</f>
        <v>1</v>
      </c>
      <c r="AZ1345">
        <f t="shared" ref="AZ1345:AZ1369" si="1758">COUNTIF(V1345:AC1345,"&lt;&gt;0")</f>
        <v>1</v>
      </c>
      <c r="BA1345">
        <f t="shared" ref="BA1345:BA1369" si="1759">COUNTIF(AD1345:AI1345,"&lt;&gt;0")</f>
        <v>0</v>
      </c>
      <c r="BB1345">
        <f t="shared" ref="BB1345:BB1369" si="1760">COUNTIF(AJ1345:AL1345,"&lt;&gt;0")</f>
        <v>0</v>
      </c>
      <c r="BC1345">
        <f t="shared" ref="BC1345:BC1369" si="1761">COUNTIF(AS1345:AW1345,"&lt;&gt;0")</f>
        <v>1</v>
      </c>
      <c r="BD1345">
        <f t="shared" ref="BD1345:BD1369" si="1762">COUNTIF(AM1345:AR1345,"&lt;&gt;0")</f>
        <v>0</v>
      </c>
      <c r="BE1345" t="str">
        <f t="array" ref="BE1345">IF(AY1345=1,INDEX($V$7:$AL$7,MATCH(TRUE,INDEX($V1345:$AW1345&lt;&gt;0,),0)),IF(AY1345=0,INDEX($AM$7:$AW$7,MATCH(1,$AM1345:$AW1345,0)),IF(BF1345="Multiple strategies","mixed drivers",IF(BF1345="Supply chain","multiple supply","multiple silviculture"))))</f>
        <v xml:space="preserve">cutting intensity </v>
      </c>
      <c r="BF1345" s="2" t="str" cm="1">
        <f t="array" ref="BF1345">IF(COUNTIF(AZ1345:BB1345,"&lt;&gt;0")=1,INDEX($V$4:$AW$4,MATCH(TRUE,INDEX($V1345:$AW1345&lt;&gt;0,),0)),IF(COUNTIF(AZ1345:BB1345,"&lt;&gt;0")=0,INDEX($AM$4:$AW$4,MATCH(1,$AM1345:$AW1345,0)),"Multiple strategies"))</f>
        <v>Silviculture for removals</v>
      </c>
      <c r="BG1345" s="1" t="s">
        <v>321</v>
      </c>
      <c r="BH1345" t="s">
        <v>2249</v>
      </c>
      <c r="BI1345" s="264" t="s">
        <v>424</v>
      </c>
      <c r="BJ1345" t="s">
        <v>1354</v>
      </c>
      <c r="BK1345">
        <f>45.53*80</f>
        <v>3642.4</v>
      </c>
      <c r="BL1345">
        <f>47.33*80</f>
        <v>3786.3999999999996</v>
      </c>
      <c r="BN1345">
        <f t="shared" ref="BN1345:BN1357" si="1763">BL1345-BK1345</f>
        <v>143.99999999999955</v>
      </c>
      <c r="BO1345">
        <f>BN1345*10^6</f>
        <v>143999999.99999955</v>
      </c>
      <c r="BP1345" t="s">
        <v>232</v>
      </c>
      <c r="BQ1345" s="153" t="s">
        <v>426</v>
      </c>
      <c r="BR1345" s="264" t="s">
        <v>2324</v>
      </c>
      <c r="BS1345">
        <v>390</v>
      </c>
      <c r="BT1345">
        <v>0</v>
      </c>
      <c r="BU1345" s="144">
        <f t="shared" ref="BU1345:BU1354" si="1764">IFERROR(BT1345/BS1345,"")</f>
        <v>0</v>
      </c>
      <c r="BV1345">
        <f t="shared" ref="BV1345:BV1369" si="1765">BT1345-BS1345</f>
        <v>-390</v>
      </c>
      <c r="BX1345">
        <f>BV1345*10^6</f>
        <v>-390000000</v>
      </c>
      <c r="BY1345">
        <f t="shared" si="1750"/>
        <v>-2.7083333333333419</v>
      </c>
      <c r="BZ1345">
        <v>0</v>
      </c>
      <c r="CA1345">
        <v>0</v>
      </c>
      <c r="CB1345">
        <v>0</v>
      </c>
      <c r="CC1345">
        <v>0</v>
      </c>
      <c r="CD1345">
        <v>0</v>
      </c>
      <c r="CE1345">
        <v>0</v>
      </c>
      <c r="CF1345">
        <v>0</v>
      </c>
      <c r="CG1345">
        <v>0</v>
      </c>
      <c r="CH1345">
        <v>0</v>
      </c>
      <c r="CI1345">
        <v>0</v>
      </c>
      <c r="CJ1345">
        <v>0</v>
      </c>
      <c r="CK1345">
        <v>0</v>
      </c>
      <c r="CL1345">
        <v>0</v>
      </c>
      <c r="CM1345">
        <v>1</v>
      </c>
      <c r="CN1345" t="str">
        <f t="shared" ref="CN1345:CN1357" si="1766">IF($BL1345&lt;$BK1345,"refNeedCorrection","refOK")</f>
        <v>refOK</v>
      </c>
      <c r="CO1345">
        <f>IF($CN1345="refNeedCorrection",BK1345,BL1345)</f>
        <v>3786.3999999999996</v>
      </c>
      <c r="CP1345">
        <f>IF($CN1345="refNeedCorrection",BL1345,BK1345)</f>
        <v>3642.4</v>
      </c>
      <c r="CQ1345">
        <f t="shared" ref="CQ1345:CQ1357" si="1767">IF($CN1345="refOK",$BO1345,-$BO1345)</f>
        <v>143999999.99999955</v>
      </c>
      <c r="CR1345">
        <f t="shared" ref="CR1345:CR1369" si="1768">IF($CN1345="refOK",$BS1345,$BT1345)*IF($BP1345="Emissions positive",-1,1)</f>
        <v>390</v>
      </c>
      <c r="CS1345">
        <f t="shared" ref="CS1345:CS1369" si="1769">IF($CN1345="refOK",$BT1345,$BS1345)*IF($BP1345="Emissions positive",-1,1)</f>
        <v>0</v>
      </c>
      <c r="CT1345">
        <f t="shared" ref="CT1345:CT1369" si="1770">IF($CN1345="refNeedCorrection",-BX1345,BX1345)*IF($BP1345="Emissions positive",-1,1)</f>
        <v>-390000000</v>
      </c>
      <c r="CU1345">
        <f t="shared" ref="CU1345:CU1369" si="1771">IFERROR(CT1345/CQ1345,"")</f>
        <v>-2.7083333333333419</v>
      </c>
      <c r="CV1345" s="2">
        <f t="shared" ref="CV1345:CV1369" si="1772">IFERROR((CS1345-CR1345)/ABS(CR1345),"")</f>
        <v>-1</v>
      </c>
      <c r="CW1345" s="1" t="s">
        <v>1202</v>
      </c>
      <c r="CX1345" t="str">
        <f t="shared" ref="CX1345:CX1369" si="1773">IF(OR($CW1345="prd",$CW1345="std",$CW1345="cit"),"loc",IF(OR($CW1345="eur",$CW1345="reg",$CW1345="coy"),"reg",$CW1345))</f>
        <v>reg</v>
      </c>
      <c r="CY1345" t="s">
        <v>729</v>
      </c>
      <c r="CZ1345">
        <v>2020</v>
      </c>
      <c r="DA1345">
        <v>2100</v>
      </c>
      <c r="DB1345">
        <v>81</v>
      </c>
      <c r="DC1345" t="str">
        <f t="shared" ref="DC1345:DC1369" si="1774">IF(DB1345=0,"0",IF(AND(DB1345&gt;=1,DB1345&lt;=30),"1-30",IF(AND(DB1345&gt;30,DB1345&lt;=70),"31-70",IF(AND(DB1345&gt;70,DB1345&lt;=100),"71-100",IF(DB1345&gt;100,"+100")))))</f>
        <v>71-100</v>
      </c>
      <c r="DD1345">
        <v>0</v>
      </c>
      <c r="DE1345">
        <v>0</v>
      </c>
      <c r="DF1345">
        <v>1</v>
      </c>
      <c r="DG1345">
        <v>1</v>
      </c>
      <c r="DI1345">
        <f t="shared" ref="DI1345:DI1369" si="1775">SUM(DD1345:DG1345)</f>
        <v>2</v>
      </c>
      <c r="DJ1345" t="str">
        <f t="shared" ref="DJ1345:DJ1369" si="1776">IF(DI1345=1,INDEX($DD$7:$DG$7,MATCH(1,$DD1345:$DG1345,0)),"mixedProduct")</f>
        <v>mixedProduct</v>
      </c>
      <c r="DK1345">
        <f t="shared" ref="DK1345:DK1369" si="1777">IF(DD1345=1,DK$7,0)</f>
        <v>0</v>
      </c>
      <c r="DL1345">
        <f t="shared" ref="DL1345:DL1369" si="1778">IF(DE1345=1,DL$7,0)</f>
        <v>0</v>
      </c>
      <c r="DM1345" t="str">
        <f t="shared" ref="DM1345:DM1369" si="1779">IF(DF1345=1,DM$7,0)</f>
        <v>Pulp/Paper</v>
      </c>
      <c r="DN1345" t="str">
        <f t="shared" ref="DN1345:DN1369" si="1780">IF(DG1345=1,DN$7,0)</f>
        <v>Timber</v>
      </c>
      <c r="DO1345">
        <v>0</v>
      </c>
      <c r="DP1345">
        <v>0</v>
      </c>
      <c r="DQ1345">
        <v>0</v>
      </c>
      <c r="DR1345">
        <v>0</v>
      </c>
      <c r="DS1345">
        <v>0</v>
      </c>
      <c r="DT1345">
        <f t="shared" ref="DT1345:DT1369" si="1781">SUM(DO1345:DP1345)</f>
        <v>0</v>
      </c>
      <c r="DU1345" s="143" t="str">
        <f t="shared" ref="DU1345:DU1369" si="1782">IF(DO1345=1,"self-calculated DF",IF(DP1345=1,"external DF used","explicit C balance"))</f>
        <v>explicit C balance</v>
      </c>
      <c r="DV1345">
        <v>0</v>
      </c>
      <c r="DW1345">
        <v>0</v>
      </c>
      <c r="DX1345">
        <v>1</v>
      </c>
      <c r="DY1345">
        <v>0</v>
      </c>
      <c r="DZ1345">
        <v>0</v>
      </c>
      <c r="EA1345" s="143">
        <v>0</v>
      </c>
      <c r="EB1345">
        <v>0</v>
      </c>
      <c r="EC1345">
        <v>0</v>
      </c>
      <c r="ED1345">
        <v>0</v>
      </c>
      <c r="EE1345">
        <v>0</v>
      </c>
      <c r="EF1345">
        <v>1</v>
      </c>
      <c r="EG1345">
        <v>0</v>
      </c>
      <c r="EH1345">
        <v>0</v>
      </c>
      <c r="EI1345" s="2">
        <v>0</v>
      </c>
      <c r="EK1345" t="str">
        <f t="shared" ref="EK1345:EK1357" si="1783">IF(AND(AND(AND(OR($DX1345=1,$DW1345=1),OR($EC1345=1,$EA1345=1)),SUM($DV1345:$DZ1345,$EF1345)&gt;=4),SUM($EA1345:$EE1345)&gt;=2),"Whole sector","")</f>
        <v/>
      </c>
      <c r="EL1345" t="str">
        <f t="shared" ref="EL1345:EL1357" si="1784">IF(AND(AND(OR($DX1345=1,$DW1345=1),AND($EC1345=0,$EA1345=0)),SUM($DV1345:$DZ1345,$EF1345)&gt;=4),"Ecosystem approach","")</f>
        <v/>
      </c>
      <c r="EM1345" s="2" t="str">
        <f t="shared" si="1751"/>
        <v/>
      </c>
      <c r="EP1345" t="str">
        <f>IF(ISNUMBER(BU1345),IF(ABS(BU1345-[3]QC_indicators!$B$2)&gt;3*[3]QC_indicators!$C$2,"C ratio",IF(ISNUMBER(BY1345),IF(ABS(BY1345-[3]QC_indicators!$B$1)&gt;3*[3]QC_indicators!$C$1,"DF","no"))),IF(ISNUMBER(BY1345),IF(ABS(BY1345-[3]QC_indicators!$B$1)&gt;3*[3]QC_indicators!$C$1,"DF","no")))</f>
        <v>no</v>
      </c>
      <c r="ER1345" s="264" t="s">
        <v>3235</v>
      </c>
      <c r="ET1345" s="304" t="s">
        <v>3408</v>
      </c>
    </row>
    <row r="1346" spans="1:150" ht="15" hidden="1" customHeight="1">
      <c r="A1346" s="1" t="s">
        <v>1352</v>
      </c>
      <c r="B1346" t="s">
        <v>544</v>
      </c>
      <c r="C1346" t="s">
        <v>2242</v>
      </c>
      <c r="D1346" t="s">
        <v>2243</v>
      </c>
      <c r="E1346" t="s">
        <v>2244</v>
      </c>
      <c r="F1346" t="s">
        <v>2245</v>
      </c>
      <c r="G1346" t="s">
        <v>1353</v>
      </c>
      <c r="H1346" t="s">
        <v>254</v>
      </c>
      <c r="I1346">
        <v>2021</v>
      </c>
      <c r="J1346">
        <v>1</v>
      </c>
      <c r="K1346" t="s">
        <v>2246</v>
      </c>
      <c r="M1346" t="str">
        <f t="shared" si="1755"/>
        <v>Riviere_2021</v>
      </c>
      <c r="N1346" t="s">
        <v>222</v>
      </c>
      <c r="O1346" s="145" t="s">
        <v>341</v>
      </c>
      <c r="Q1346" t="s">
        <v>256</v>
      </c>
      <c r="R1346" s="262" t="s">
        <v>223</v>
      </c>
      <c r="S1346" s="1" t="s">
        <v>2250</v>
      </c>
      <c r="T1346" t="s">
        <v>2251</v>
      </c>
      <c r="U1346" t="s">
        <v>1110</v>
      </c>
      <c r="V1346">
        <v>0</v>
      </c>
      <c r="W1346">
        <v>0</v>
      </c>
      <c r="X1346">
        <v>0</v>
      </c>
      <c r="Y1346">
        <v>1</v>
      </c>
      <c r="Z1346">
        <v>0</v>
      </c>
      <c r="AA1346">
        <v>0</v>
      </c>
      <c r="AB1346">
        <v>0</v>
      </c>
      <c r="AC1346">
        <v>0</v>
      </c>
      <c r="AD1346">
        <v>0</v>
      </c>
      <c r="AE1346">
        <v>0</v>
      </c>
      <c r="AF1346">
        <v>0</v>
      </c>
      <c r="AG1346">
        <v>0</v>
      </c>
      <c r="AH1346">
        <v>0</v>
      </c>
      <c r="AI1346">
        <v>0</v>
      </c>
      <c r="AJ1346">
        <v>0</v>
      </c>
      <c r="AK1346">
        <v>0</v>
      </c>
      <c r="AL1346">
        <v>0</v>
      </c>
      <c r="AM1346">
        <v>0</v>
      </c>
      <c r="AN1346">
        <v>0</v>
      </c>
      <c r="AO1346">
        <v>0</v>
      </c>
      <c r="AP1346">
        <v>0</v>
      </c>
      <c r="AQ1346">
        <v>0</v>
      </c>
      <c r="AR1346">
        <v>0</v>
      </c>
      <c r="AS1346">
        <v>0</v>
      </c>
      <c r="AT1346">
        <v>0</v>
      </c>
      <c r="AU1346">
        <v>0</v>
      </c>
      <c r="AV1346">
        <v>1</v>
      </c>
      <c r="AW1346">
        <v>0</v>
      </c>
      <c r="AX1346" s="141">
        <f t="shared" si="1756"/>
        <v>2</v>
      </c>
      <c r="AY1346" s="141">
        <f t="shared" si="1757"/>
        <v>1</v>
      </c>
      <c r="AZ1346">
        <f t="shared" si="1758"/>
        <v>1</v>
      </c>
      <c r="BA1346">
        <f t="shared" si="1759"/>
        <v>0</v>
      </c>
      <c r="BB1346">
        <f t="shared" si="1760"/>
        <v>0</v>
      </c>
      <c r="BC1346">
        <f t="shared" si="1761"/>
        <v>1</v>
      </c>
      <c r="BD1346">
        <f t="shared" si="1762"/>
        <v>0</v>
      </c>
      <c r="BE1346" t="str">
        <f t="array" ref="BE1346">IF(AY1346=1,INDEX($V$7:$AL$7,MATCH(TRUE,INDEX($V1346:$AW1346&lt;&gt;0,),0)),IF(AY1346=0,INDEX($AM$7:$AW$7,MATCH(1,$AM1346:$AW1346,0)),IF(BF1346="Multiple strategies","mixed drivers",IF(BF1346="Supply chain","multiple supply","multiple silviculture"))))</f>
        <v xml:space="preserve">cutting intensity </v>
      </c>
      <c r="BF1346" s="2" t="str" cm="1">
        <f t="array" ref="BF1346">IF(COUNTIF(AZ1346:BB1346,"&lt;&gt;0")=1,INDEX($V$4:$AW$4,MATCH(TRUE,INDEX($V1346:$AW1346&lt;&gt;0,),0)),IF(COUNTIF(AZ1346:BB1346,"&lt;&gt;0")=0,INDEX($AM$4:$AW$4,MATCH(1,$AM1346:$AW1346,0)),"Multiple strategies"))</f>
        <v>Silviculture for removals</v>
      </c>
      <c r="BG1346" s="1" t="s">
        <v>321</v>
      </c>
      <c r="BH1346" t="s">
        <v>2249</v>
      </c>
      <c r="BI1346" s="264" t="s">
        <v>424</v>
      </c>
      <c r="BJ1346" t="s">
        <v>1354</v>
      </c>
      <c r="BK1346">
        <f>45.04*80</f>
        <v>3603.2</v>
      </c>
      <c r="BL1346">
        <f>47.33*80</f>
        <v>3786.3999999999996</v>
      </c>
      <c r="BN1346">
        <f t="shared" si="1763"/>
        <v>183.19999999999982</v>
      </c>
      <c r="BO1346">
        <f>BN1346*10^6</f>
        <v>183199999.99999982</v>
      </c>
      <c r="BP1346" t="s">
        <v>232</v>
      </c>
      <c r="BQ1346" s="153" t="s">
        <v>426</v>
      </c>
      <c r="BR1346" s="264" t="s">
        <v>2324</v>
      </c>
      <c r="BS1346">
        <v>490</v>
      </c>
      <c r="BT1346">
        <v>0</v>
      </c>
      <c r="BU1346" s="144">
        <f t="shared" si="1764"/>
        <v>0</v>
      </c>
      <c r="BV1346">
        <f t="shared" si="1765"/>
        <v>-490</v>
      </c>
      <c r="BX1346">
        <f>BV1346*10^6</f>
        <v>-490000000</v>
      </c>
      <c r="BY1346">
        <f t="shared" si="1750"/>
        <v>-2.6746724890829721</v>
      </c>
      <c r="BZ1346">
        <v>0</v>
      </c>
      <c r="CA1346">
        <v>0</v>
      </c>
      <c r="CB1346">
        <v>0</v>
      </c>
      <c r="CC1346">
        <v>0</v>
      </c>
      <c r="CD1346">
        <v>0</v>
      </c>
      <c r="CE1346">
        <v>0</v>
      </c>
      <c r="CF1346">
        <v>0</v>
      </c>
      <c r="CG1346">
        <v>0</v>
      </c>
      <c r="CH1346">
        <v>0</v>
      </c>
      <c r="CI1346">
        <v>0</v>
      </c>
      <c r="CJ1346">
        <v>0</v>
      </c>
      <c r="CK1346">
        <v>0</v>
      </c>
      <c r="CL1346">
        <v>0</v>
      </c>
      <c r="CM1346">
        <v>1</v>
      </c>
      <c r="CN1346" t="str">
        <f t="shared" si="1766"/>
        <v>refOK</v>
      </c>
      <c r="CO1346">
        <f>IF($CN1346="refNeedCorrection",BK1346,BL1346)</f>
        <v>3786.3999999999996</v>
      </c>
      <c r="CP1346">
        <f>IF($CN1346="refNeedCorrection",BL1346,BK1346)</f>
        <v>3603.2</v>
      </c>
      <c r="CQ1346">
        <f t="shared" si="1767"/>
        <v>183199999.99999982</v>
      </c>
      <c r="CR1346">
        <f t="shared" si="1768"/>
        <v>490</v>
      </c>
      <c r="CS1346">
        <f t="shared" si="1769"/>
        <v>0</v>
      </c>
      <c r="CT1346">
        <f t="shared" si="1770"/>
        <v>-490000000</v>
      </c>
      <c r="CU1346">
        <f t="shared" si="1771"/>
        <v>-2.6746724890829721</v>
      </c>
      <c r="CV1346" s="2">
        <f t="shared" si="1772"/>
        <v>-1</v>
      </c>
      <c r="CW1346" s="1" t="s">
        <v>1202</v>
      </c>
      <c r="CX1346" t="str">
        <f t="shared" si="1773"/>
        <v>reg</v>
      </c>
      <c r="CY1346" t="s">
        <v>729</v>
      </c>
      <c r="CZ1346">
        <v>2020</v>
      </c>
      <c r="DA1346">
        <v>2100</v>
      </c>
      <c r="DB1346">
        <v>81</v>
      </c>
      <c r="DC1346" t="str">
        <f t="shared" si="1774"/>
        <v>71-100</v>
      </c>
      <c r="DD1346">
        <v>0</v>
      </c>
      <c r="DE1346">
        <v>0</v>
      </c>
      <c r="DF1346">
        <v>1</v>
      </c>
      <c r="DG1346">
        <v>1</v>
      </c>
      <c r="DI1346">
        <f t="shared" si="1775"/>
        <v>2</v>
      </c>
      <c r="DJ1346" t="str">
        <f t="shared" si="1776"/>
        <v>mixedProduct</v>
      </c>
      <c r="DK1346">
        <f t="shared" si="1777"/>
        <v>0</v>
      </c>
      <c r="DL1346">
        <f t="shared" si="1778"/>
        <v>0</v>
      </c>
      <c r="DM1346" t="str">
        <f t="shared" si="1779"/>
        <v>Pulp/Paper</v>
      </c>
      <c r="DN1346" t="str">
        <f t="shared" si="1780"/>
        <v>Timber</v>
      </c>
      <c r="DO1346">
        <v>0</v>
      </c>
      <c r="DP1346">
        <v>0</v>
      </c>
      <c r="DQ1346">
        <v>0</v>
      </c>
      <c r="DR1346">
        <v>0</v>
      </c>
      <c r="DS1346">
        <v>0</v>
      </c>
      <c r="DT1346">
        <f t="shared" si="1781"/>
        <v>0</v>
      </c>
      <c r="DU1346" s="143" t="str">
        <f t="shared" si="1782"/>
        <v>explicit C balance</v>
      </c>
      <c r="DV1346">
        <v>0</v>
      </c>
      <c r="DW1346">
        <v>0</v>
      </c>
      <c r="DX1346">
        <v>1</v>
      </c>
      <c r="DY1346">
        <v>0</v>
      </c>
      <c r="DZ1346">
        <v>0</v>
      </c>
      <c r="EA1346" s="143">
        <v>0</v>
      </c>
      <c r="EB1346">
        <v>0</v>
      </c>
      <c r="EC1346">
        <v>0</v>
      </c>
      <c r="ED1346">
        <v>0</v>
      </c>
      <c r="EE1346">
        <v>0</v>
      </c>
      <c r="EF1346">
        <v>1</v>
      </c>
      <c r="EG1346">
        <v>0</v>
      </c>
      <c r="EH1346">
        <v>0</v>
      </c>
      <c r="EI1346" s="2">
        <v>0</v>
      </c>
      <c r="EK1346" t="str">
        <f t="shared" si="1783"/>
        <v/>
      </c>
      <c r="EL1346" t="str">
        <f t="shared" si="1784"/>
        <v/>
      </c>
      <c r="EM1346" s="2" t="str">
        <f t="shared" si="1751"/>
        <v/>
      </c>
      <c r="EP1346" t="str">
        <f>IF(ISNUMBER(BU1346),IF(ABS(BU1346-[3]QC_indicators!$B$2)&gt;3*[3]QC_indicators!$C$2,"C ratio",IF(ISNUMBER(BY1346),IF(ABS(BY1346-[3]QC_indicators!$B$1)&gt;3*[3]QC_indicators!$C$1,"DF","no"))),IF(ISNUMBER(BY1346),IF(ABS(BY1346-[3]QC_indicators!$B$1)&gt;3*[3]QC_indicators!$C$1,"DF","no")))</f>
        <v>no</v>
      </c>
      <c r="ER1346" s="264" t="s">
        <v>3235</v>
      </c>
      <c r="ET1346" s="304" t="s">
        <v>3408</v>
      </c>
    </row>
    <row r="1347" spans="1:150" ht="15" hidden="1" customHeight="1">
      <c r="A1347" s="1" t="s">
        <v>1352</v>
      </c>
      <c r="B1347" t="s">
        <v>544</v>
      </c>
      <c r="C1347" t="s">
        <v>2242</v>
      </c>
      <c r="D1347" t="s">
        <v>2243</v>
      </c>
      <c r="E1347" t="s">
        <v>2244</v>
      </c>
      <c r="F1347" t="s">
        <v>2245</v>
      </c>
      <c r="G1347" t="s">
        <v>1353</v>
      </c>
      <c r="H1347" t="s">
        <v>254</v>
      </c>
      <c r="I1347">
        <v>2021</v>
      </c>
      <c r="J1347">
        <v>1</v>
      </c>
      <c r="K1347" t="s">
        <v>2246</v>
      </c>
      <c r="M1347" t="str">
        <f t="shared" si="1755"/>
        <v>Riviere_2021</v>
      </c>
      <c r="N1347" t="s">
        <v>222</v>
      </c>
      <c r="O1347" s="145" t="s">
        <v>341</v>
      </c>
      <c r="Q1347" t="s">
        <v>256</v>
      </c>
      <c r="R1347" s="262" t="s">
        <v>223</v>
      </c>
      <c r="S1347" s="1" t="s">
        <v>2252</v>
      </c>
      <c r="T1347" t="s">
        <v>2253</v>
      </c>
      <c r="U1347" t="s">
        <v>1110</v>
      </c>
      <c r="V1347">
        <v>0</v>
      </c>
      <c r="W1347">
        <v>0</v>
      </c>
      <c r="X1347">
        <v>0</v>
      </c>
      <c r="Y1347">
        <v>1</v>
      </c>
      <c r="Z1347">
        <v>0</v>
      </c>
      <c r="AA1347">
        <v>0</v>
      </c>
      <c r="AB1347">
        <v>0</v>
      </c>
      <c r="AC1347">
        <v>0</v>
      </c>
      <c r="AD1347">
        <v>0</v>
      </c>
      <c r="AE1347">
        <v>0</v>
      </c>
      <c r="AF1347">
        <v>0</v>
      </c>
      <c r="AG1347">
        <v>0</v>
      </c>
      <c r="AH1347">
        <v>0</v>
      </c>
      <c r="AI1347">
        <v>0</v>
      </c>
      <c r="AJ1347">
        <v>0</v>
      </c>
      <c r="AK1347">
        <v>0</v>
      </c>
      <c r="AL1347">
        <v>0</v>
      </c>
      <c r="AM1347">
        <v>0</v>
      </c>
      <c r="AN1347">
        <v>0</v>
      </c>
      <c r="AO1347">
        <v>0</v>
      </c>
      <c r="AP1347">
        <v>0</v>
      </c>
      <c r="AQ1347">
        <v>0</v>
      </c>
      <c r="AR1347">
        <v>0</v>
      </c>
      <c r="AS1347">
        <v>0</v>
      </c>
      <c r="AT1347">
        <v>0</v>
      </c>
      <c r="AU1347">
        <v>0</v>
      </c>
      <c r="AV1347">
        <v>1</v>
      </c>
      <c r="AW1347">
        <v>0</v>
      </c>
      <c r="AX1347" s="141">
        <f t="shared" si="1756"/>
        <v>2</v>
      </c>
      <c r="AY1347" s="141">
        <f t="shared" si="1757"/>
        <v>1</v>
      </c>
      <c r="AZ1347">
        <f t="shared" si="1758"/>
        <v>1</v>
      </c>
      <c r="BA1347">
        <f t="shared" si="1759"/>
        <v>0</v>
      </c>
      <c r="BB1347">
        <f t="shared" si="1760"/>
        <v>0</v>
      </c>
      <c r="BC1347">
        <f t="shared" si="1761"/>
        <v>1</v>
      </c>
      <c r="BD1347">
        <f t="shared" si="1762"/>
        <v>0</v>
      </c>
      <c r="BE1347" t="str">
        <f t="array" ref="BE1347">IF(AY1347=1,INDEX($V$7:$AL$7,MATCH(TRUE,INDEX($V1347:$AW1347&lt;&gt;0,),0)),IF(AY1347=0,INDEX($AM$7:$AW$7,MATCH(1,$AM1347:$AW1347,0)),IF(BF1347="Multiple strategies","mixed drivers",IF(BF1347="Supply chain","multiple supply","multiple silviculture"))))</f>
        <v xml:space="preserve">cutting intensity </v>
      </c>
      <c r="BF1347" s="2" t="str" cm="1">
        <f t="array" ref="BF1347">IF(COUNTIF(AZ1347:BB1347,"&lt;&gt;0")=1,INDEX($V$4:$AW$4,MATCH(TRUE,INDEX($V1347:$AW1347&lt;&gt;0,),0)),IF(COUNTIF(AZ1347:BB1347,"&lt;&gt;0")=0,INDEX($AM$4:$AW$4,MATCH(1,$AM1347:$AW1347,0)),"Multiple strategies"))</f>
        <v>Silviculture for removals</v>
      </c>
      <c r="BG1347" s="1" t="s">
        <v>321</v>
      </c>
      <c r="BH1347" t="s">
        <v>2249</v>
      </c>
      <c r="BI1347" s="264" t="s">
        <v>424</v>
      </c>
      <c r="BJ1347" t="s">
        <v>1354</v>
      </c>
      <c r="BK1347">
        <f>44.68*80</f>
        <v>3574.4</v>
      </c>
      <c r="BL1347">
        <f>47.33*80</f>
        <v>3786.3999999999996</v>
      </c>
      <c r="BN1347">
        <f t="shared" si="1763"/>
        <v>211.99999999999955</v>
      </c>
      <c r="BO1347">
        <f>BN1347*10^6</f>
        <v>211999999.99999955</v>
      </c>
      <c r="BP1347" t="s">
        <v>232</v>
      </c>
      <c r="BQ1347" s="153" t="s">
        <v>426</v>
      </c>
      <c r="BR1347" s="264" t="s">
        <v>2324</v>
      </c>
      <c r="BS1347">
        <v>550</v>
      </c>
      <c r="BT1347">
        <v>0</v>
      </c>
      <c r="BU1347" s="144">
        <f t="shared" si="1764"/>
        <v>0</v>
      </c>
      <c r="BV1347">
        <f t="shared" si="1765"/>
        <v>-550</v>
      </c>
      <c r="BX1347">
        <f>BV1347*10^6</f>
        <v>-550000000</v>
      </c>
      <c r="BY1347">
        <f t="shared" si="1750"/>
        <v>-2.594339622641515</v>
      </c>
      <c r="BZ1347">
        <v>0</v>
      </c>
      <c r="CA1347">
        <v>0</v>
      </c>
      <c r="CB1347">
        <v>0</v>
      </c>
      <c r="CC1347">
        <v>0</v>
      </c>
      <c r="CD1347">
        <v>0</v>
      </c>
      <c r="CE1347">
        <v>0</v>
      </c>
      <c r="CF1347">
        <v>0</v>
      </c>
      <c r="CG1347">
        <v>0</v>
      </c>
      <c r="CH1347">
        <v>0</v>
      </c>
      <c r="CI1347">
        <v>0</v>
      </c>
      <c r="CJ1347">
        <v>0</v>
      </c>
      <c r="CK1347">
        <v>0</v>
      </c>
      <c r="CL1347">
        <v>0</v>
      </c>
      <c r="CM1347">
        <v>1</v>
      </c>
      <c r="CN1347" t="str">
        <f t="shared" si="1766"/>
        <v>refOK</v>
      </c>
      <c r="CO1347">
        <f>IF($CN1347="refNeedCorrection",BK1347,BL1347)</f>
        <v>3786.3999999999996</v>
      </c>
      <c r="CP1347">
        <f>IF($CN1347="refNeedCorrection",BL1347,BK1347)</f>
        <v>3574.4</v>
      </c>
      <c r="CQ1347">
        <f t="shared" si="1767"/>
        <v>211999999.99999955</v>
      </c>
      <c r="CR1347">
        <f t="shared" si="1768"/>
        <v>550</v>
      </c>
      <c r="CS1347">
        <f t="shared" si="1769"/>
        <v>0</v>
      </c>
      <c r="CT1347">
        <f t="shared" si="1770"/>
        <v>-550000000</v>
      </c>
      <c r="CU1347">
        <f t="shared" si="1771"/>
        <v>-2.594339622641515</v>
      </c>
      <c r="CV1347" s="2">
        <f t="shared" si="1772"/>
        <v>-1</v>
      </c>
      <c r="CW1347" s="1" t="s">
        <v>1202</v>
      </c>
      <c r="CX1347" t="str">
        <f t="shared" si="1773"/>
        <v>reg</v>
      </c>
      <c r="CY1347" t="s">
        <v>729</v>
      </c>
      <c r="CZ1347">
        <v>2020</v>
      </c>
      <c r="DA1347">
        <v>2100</v>
      </c>
      <c r="DB1347">
        <v>81</v>
      </c>
      <c r="DC1347" t="str">
        <f t="shared" si="1774"/>
        <v>71-100</v>
      </c>
      <c r="DD1347">
        <v>0</v>
      </c>
      <c r="DE1347">
        <v>0</v>
      </c>
      <c r="DF1347">
        <v>1</v>
      </c>
      <c r="DG1347">
        <v>1</v>
      </c>
      <c r="DI1347">
        <f t="shared" si="1775"/>
        <v>2</v>
      </c>
      <c r="DJ1347" t="str">
        <f t="shared" si="1776"/>
        <v>mixedProduct</v>
      </c>
      <c r="DK1347">
        <f t="shared" si="1777"/>
        <v>0</v>
      </c>
      <c r="DL1347">
        <f t="shared" si="1778"/>
        <v>0</v>
      </c>
      <c r="DM1347" t="str">
        <f t="shared" si="1779"/>
        <v>Pulp/Paper</v>
      </c>
      <c r="DN1347" t="str">
        <f t="shared" si="1780"/>
        <v>Timber</v>
      </c>
      <c r="DO1347">
        <v>0</v>
      </c>
      <c r="DP1347">
        <v>0</v>
      </c>
      <c r="DQ1347">
        <v>0</v>
      </c>
      <c r="DR1347">
        <v>0</v>
      </c>
      <c r="DS1347">
        <v>0</v>
      </c>
      <c r="DT1347">
        <f t="shared" si="1781"/>
        <v>0</v>
      </c>
      <c r="DU1347" s="143" t="str">
        <f t="shared" si="1782"/>
        <v>explicit C balance</v>
      </c>
      <c r="DV1347">
        <v>0</v>
      </c>
      <c r="DW1347">
        <v>0</v>
      </c>
      <c r="DX1347">
        <v>1</v>
      </c>
      <c r="DY1347">
        <v>0</v>
      </c>
      <c r="DZ1347">
        <v>0</v>
      </c>
      <c r="EA1347" s="143">
        <v>0</v>
      </c>
      <c r="EB1347">
        <v>0</v>
      </c>
      <c r="EC1347">
        <v>0</v>
      </c>
      <c r="ED1347">
        <v>0</v>
      </c>
      <c r="EE1347">
        <v>0</v>
      </c>
      <c r="EF1347">
        <v>1</v>
      </c>
      <c r="EG1347">
        <v>0</v>
      </c>
      <c r="EH1347">
        <v>0</v>
      </c>
      <c r="EI1347" s="2">
        <v>0</v>
      </c>
      <c r="EK1347" t="str">
        <f t="shared" si="1783"/>
        <v/>
      </c>
      <c r="EL1347" t="str">
        <f t="shared" si="1784"/>
        <v/>
      </c>
      <c r="EM1347" s="2" t="str">
        <f t="shared" si="1751"/>
        <v/>
      </c>
      <c r="EP1347" t="str">
        <f>IF(ISNUMBER(BU1347),IF(ABS(BU1347-[3]QC_indicators!$B$2)&gt;3*[3]QC_indicators!$C$2,"C ratio",IF(ISNUMBER(BY1347),IF(ABS(BY1347-[3]QC_indicators!$B$1)&gt;3*[3]QC_indicators!$C$1,"DF","no"))),IF(ISNUMBER(BY1347),IF(ABS(BY1347-[3]QC_indicators!$B$1)&gt;3*[3]QC_indicators!$C$1,"DF","no")))</f>
        <v>no</v>
      </c>
      <c r="ER1347" s="264" t="s">
        <v>3235</v>
      </c>
      <c r="ET1347" s="304" t="s">
        <v>3408</v>
      </c>
    </row>
    <row r="1348" spans="1:150" ht="15" hidden="1" customHeight="1">
      <c r="A1348" s="1" t="s">
        <v>1352</v>
      </c>
      <c r="B1348" t="s">
        <v>544</v>
      </c>
      <c r="C1348" t="s">
        <v>2242</v>
      </c>
      <c r="D1348" t="s">
        <v>2243</v>
      </c>
      <c r="E1348" t="s">
        <v>2244</v>
      </c>
      <c r="F1348" t="s">
        <v>2245</v>
      </c>
      <c r="G1348" t="s">
        <v>1353</v>
      </c>
      <c r="H1348" t="s">
        <v>254</v>
      </c>
      <c r="I1348">
        <v>2021</v>
      </c>
      <c r="J1348">
        <v>1</v>
      </c>
      <c r="K1348" t="s">
        <v>2246</v>
      </c>
      <c r="M1348" t="str">
        <f t="shared" si="1755"/>
        <v>Riviere_2021</v>
      </c>
      <c r="N1348" t="s">
        <v>222</v>
      </c>
      <c r="O1348" s="145" t="s">
        <v>341</v>
      </c>
      <c r="Q1348" t="s">
        <v>256</v>
      </c>
      <c r="R1348" s="262" t="s">
        <v>223</v>
      </c>
      <c r="S1348" s="1" t="s">
        <v>2254</v>
      </c>
      <c r="T1348" t="s">
        <v>2255</v>
      </c>
      <c r="U1348" t="s">
        <v>1110</v>
      </c>
      <c r="V1348">
        <v>0</v>
      </c>
      <c r="W1348">
        <v>0</v>
      </c>
      <c r="X1348">
        <v>0</v>
      </c>
      <c r="Y1348">
        <v>1</v>
      </c>
      <c r="Z1348">
        <v>0</v>
      </c>
      <c r="AA1348">
        <v>0</v>
      </c>
      <c r="AB1348">
        <v>0</v>
      </c>
      <c r="AC1348">
        <v>0</v>
      </c>
      <c r="AD1348">
        <v>0</v>
      </c>
      <c r="AE1348">
        <v>0</v>
      </c>
      <c r="AF1348">
        <v>0</v>
      </c>
      <c r="AG1348">
        <v>0</v>
      </c>
      <c r="AH1348">
        <v>0</v>
      </c>
      <c r="AI1348">
        <v>0</v>
      </c>
      <c r="AJ1348">
        <v>0</v>
      </c>
      <c r="AK1348">
        <v>0</v>
      </c>
      <c r="AL1348">
        <v>0</v>
      </c>
      <c r="AM1348">
        <v>0</v>
      </c>
      <c r="AN1348">
        <v>0</v>
      </c>
      <c r="AO1348">
        <v>0</v>
      </c>
      <c r="AP1348">
        <v>0</v>
      </c>
      <c r="AQ1348">
        <v>0</v>
      </c>
      <c r="AR1348">
        <v>0</v>
      </c>
      <c r="AS1348">
        <v>0</v>
      </c>
      <c r="AT1348">
        <v>0</v>
      </c>
      <c r="AU1348">
        <v>0</v>
      </c>
      <c r="AV1348">
        <v>1</v>
      </c>
      <c r="AW1348">
        <v>0</v>
      </c>
      <c r="AX1348" s="141">
        <f t="shared" si="1756"/>
        <v>2</v>
      </c>
      <c r="AY1348" s="141">
        <f t="shared" si="1757"/>
        <v>1</v>
      </c>
      <c r="AZ1348">
        <f t="shared" si="1758"/>
        <v>1</v>
      </c>
      <c r="BA1348">
        <f t="shared" si="1759"/>
        <v>0</v>
      </c>
      <c r="BB1348">
        <f t="shared" si="1760"/>
        <v>0</v>
      </c>
      <c r="BC1348">
        <f t="shared" si="1761"/>
        <v>1</v>
      </c>
      <c r="BD1348">
        <f t="shared" si="1762"/>
        <v>0</v>
      </c>
      <c r="BE1348" t="str">
        <f t="array" ref="BE1348">IF(AY1348=1,INDEX($V$7:$AL$7,MATCH(TRUE,INDEX($V1348:$AW1348&lt;&gt;0,),0)),IF(AY1348=0,INDEX($AM$7:$AW$7,MATCH(1,$AM1348:$AW1348,0)),IF(BF1348="Multiple strategies","mixed drivers",IF(BF1348="Supply chain","multiple supply","multiple silviculture"))))</f>
        <v xml:space="preserve">cutting intensity </v>
      </c>
      <c r="BF1348" s="2" t="str" cm="1">
        <f t="array" ref="BF1348">IF(COUNTIF(AZ1348:BB1348,"&lt;&gt;0")=1,INDEX($V$4:$AW$4,MATCH(TRUE,INDEX($V1348:$AW1348&lt;&gt;0,),0)),IF(COUNTIF(AZ1348:BB1348,"&lt;&gt;0")=0,INDEX($AM$4:$AW$4,MATCH(1,$AM1348:$AW1348,0)),"Multiple strategies"))</f>
        <v>Silviculture for removals</v>
      </c>
      <c r="BG1348" s="1" t="s">
        <v>321</v>
      </c>
      <c r="BH1348" t="s">
        <v>2249</v>
      </c>
      <c r="BI1348" s="264" t="s">
        <v>424</v>
      </c>
      <c r="BJ1348" t="s">
        <v>1354</v>
      </c>
      <c r="BK1348">
        <f>45.09*80</f>
        <v>3607.2000000000003</v>
      </c>
      <c r="BL1348">
        <f>47.33*80</f>
        <v>3786.3999999999996</v>
      </c>
      <c r="BN1348">
        <f t="shared" si="1763"/>
        <v>179.19999999999936</v>
      </c>
      <c r="BO1348">
        <f>BN1348*10^6</f>
        <v>179199999.99999937</v>
      </c>
      <c r="BP1348" t="s">
        <v>232</v>
      </c>
      <c r="BQ1348" s="153" t="s">
        <v>426</v>
      </c>
      <c r="BR1348" s="264" t="s">
        <v>2324</v>
      </c>
      <c r="BS1348">
        <v>420</v>
      </c>
      <c r="BT1348">
        <v>0</v>
      </c>
      <c r="BU1348" s="144">
        <f t="shared" si="1764"/>
        <v>0</v>
      </c>
      <c r="BV1348">
        <f t="shared" si="1765"/>
        <v>-420</v>
      </c>
      <c r="BX1348">
        <f>BV1348*10^6</f>
        <v>-420000000</v>
      </c>
      <c r="BY1348">
        <f t="shared" si="1750"/>
        <v>-2.343750000000008</v>
      </c>
      <c r="BZ1348">
        <v>0</v>
      </c>
      <c r="CA1348">
        <v>0</v>
      </c>
      <c r="CB1348">
        <v>0</v>
      </c>
      <c r="CC1348">
        <v>0</v>
      </c>
      <c r="CD1348">
        <v>0</v>
      </c>
      <c r="CE1348">
        <v>0</v>
      </c>
      <c r="CF1348">
        <v>0</v>
      </c>
      <c r="CG1348">
        <v>0</v>
      </c>
      <c r="CH1348">
        <v>0</v>
      </c>
      <c r="CI1348">
        <v>0</v>
      </c>
      <c r="CJ1348">
        <v>0</v>
      </c>
      <c r="CK1348">
        <v>0</v>
      </c>
      <c r="CL1348">
        <v>0</v>
      </c>
      <c r="CM1348">
        <v>1</v>
      </c>
      <c r="CN1348" t="str">
        <f t="shared" si="1766"/>
        <v>refOK</v>
      </c>
      <c r="CO1348">
        <f>IF($CN1348="refNeedCorrection",BK1348,BL1348)</f>
        <v>3786.3999999999996</v>
      </c>
      <c r="CP1348">
        <f>IF($CN1348="refNeedCorrection",BL1348,BK1348)</f>
        <v>3607.2000000000003</v>
      </c>
      <c r="CQ1348">
        <f t="shared" si="1767"/>
        <v>179199999.99999937</v>
      </c>
      <c r="CR1348">
        <f t="shared" si="1768"/>
        <v>420</v>
      </c>
      <c r="CS1348">
        <f t="shared" si="1769"/>
        <v>0</v>
      </c>
      <c r="CT1348">
        <f t="shared" si="1770"/>
        <v>-420000000</v>
      </c>
      <c r="CU1348">
        <f t="shared" si="1771"/>
        <v>-2.343750000000008</v>
      </c>
      <c r="CV1348" s="2">
        <f t="shared" si="1772"/>
        <v>-1</v>
      </c>
      <c r="CW1348" s="1" t="s">
        <v>1202</v>
      </c>
      <c r="CX1348" t="str">
        <f t="shared" si="1773"/>
        <v>reg</v>
      </c>
      <c r="CY1348" t="s">
        <v>729</v>
      </c>
      <c r="CZ1348">
        <v>2020</v>
      </c>
      <c r="DA1348">
        <v>2100</v>
      </c>
      <c r="DB1348">
        <v>81</v>
      </c>
      <c r="DC1348" t="str">
        <f t="shared" si="1774"/>
        <v>71-100</v>
      </c>
      <c r="DD1348">
        <v>0</v>
      </c>
      <c r="DE1348">
        <v>0</v>
      </c>
      <c r="DF1348">
        <v>1</v>
      </c>
      <c r="DG1348">
        <v>1</v>
      </c>
      <c r="DI1348">
        <f t="shared" si="1775"/>
        <v>2</v>
      </c>
      <c r="DJ1348" t="str">
        <f t="shared" si="1776"/>
        <v>mixedProduct</v>
      </c>
      <c r="DK1348">
        <f t="shared" si="1777"/>
        <v>0</v>
      </c>
      <c r="DL1348">
        <f t="shared" si="1778"/>
        <v>0</v>
      </c>
      <c r="DM1348" t="str">
        <f t="shared" si="1779"/>
        <v>Pulp/Paper</v>
      </c>
      <c r="DN1348" t="str">
        <f t="shared" si="1780"/>
        <v>Timber</v>
      </c>
      <c r="DO1348">
        <v>0</v>
      </c>
      <c r="DP1348">
        <v>0</v>
      </c>
      <c r="DQ1348">
        <v>0</v>
      </c>
      <c r="DR1348">
        <v>0</v>
      </c>
      <c r="DS1348">
        <v>0</v>
      </c>
      <c r="DT1348">
        <f t="shared" si="1781"/>
        <v>0</v>
      </c>
      <c r="DU1348" s="143" t="str">
        <f t="shared" si="1782"/>
        <v>explicit C balance</v>
      </c>
      <c r="DV1348">
        <v>0</v>
      </c>
      <c r="DW1348">
        <v>0</v>
      </c>
      <c r="DX1348">
        <v>1</v>
      </c>
      <c r="DY1348">
        <v>0</v>
      </c>
      <c r="DZ1348">
        <v>0</v>
      </c>
      <c r="EA1348" s="143">
        <v>0</v>
      </c>
      <c r="EB1348">
        <v>0</v>
      </c>
      <c r="EC1348">
        <v>0</v>
      </c>
      <c r="ED1348">
        <v>0</v>
      </c>
      <c r="EE1348">
        <v>0</v>
      </c>
      <c r="EF1348">
        <v>1</v>
      </c>
      <c r="EG1348">
        <v>0</v>
      </c>
      <c r="EH1348">
        <v>0</v>
      </c>
      <c r="EI1348" s="2">
        <v>0</v>
      </c>
      <c r="EK1348" t="str">
        <f t="shared" si="1783"/>
        <v/>
      </c>
      <c r="EL1348" t="str">
        <f t="shared" si="1784"/>
        <v/>
      </c>
      <c r="EM1348" s="2" t="str">
        <f t="shared" si="1751"/>
        <v/>
      </c>
      <c r="EP1348" t="str">
        <f>IF(ISNUMBER(BU1348),IF(ABS(BU1348-[3]QC_indicators!$B$2)&gt;3*[3]QC_indicators!$C$2,"C ratio",IF(ISNUMBER(BY1348),IF(ABS(BY1348-[3]QC_indicators!$B$1)&gt;3*[3]QC_indicators!$C$1,"DF","no"))),IF(ISNUMBER(BY1348),IF(ABS(BY1348-[3]QC_indicators!$B$1)&gt;3*[3]QC_indicators!$C$1,"DF","no")))</f>
        <v>no</v>
      </c>
      <c r="ER1348" s="264" t="s">
        <v>3235</v>
      </c>
      <c r="ET1348" s="304" t="s">
        <v>3408</v>
      </c>
    </row>
    <row r="1349" spans="1:150" ht="15" hidden="1" customHeight="1">
      <c r="A1349" s="1" t="s">
        <v>333</v>
      </c>
      <c r="B1349" t="s">
        <v>1080</v>
      </c>
      <c r="C1349" t="s">
        <v>1081</v>
      </c>
      <c r="D1349" t="s">
        <v>1082</v>
      </c>
      <c r="E1349" t="s">
        <v>1083</v>
      </c>
      <c r="F1349" t="s">
        <v>1084</v>
      </c>
      <c r="G1349" t="s">
        <v>339</v>
      </c>
      <c r="H1349" t="s">
        <v>254</v>
      </c>
      <c r="I1349">
        <v>2022</v>
      </c>
      <c r="J1349">
        <v>3</v>
      </c>
      <c r="K1349" t="s">
        <v>1085</v>
      </c>
      <c r="M1349" t="str">
        <f t="shared" si="1755"/>
        <v>Robati_2022</v>
      </c>
      <c r="N1349" t="s">
        <v>222</v>
      </c>
      <c r="O1349" s="264" t="s">
        <v>223</v>
      </c>
      <c r="Q1349" s="264" t="s">
        <v>389</v>
      </c>
      <c r="R1349" s="269" t="s">
        <v>1153</v>
      </c>
      <c r="S1349" s="263" t="s">
        <v>1094</v>
      </c>
      <c r="T1349" s="264" t="s">
        <v>1095</v>
      </c>
      <c r="U1349" s="264" t="s">
        <v>1088</v>
      </c>
      <c r="V1349">
        <v>0</v>
      </c>
      <c r="W1349">
        <v>0</v>
      </c>
      <c r="X1349">
        <v>0</v>
      </c>
      <c r="Y1349">
        <v>0</v>
      </c>
      <c r="Z1349">
        <v>0</v>
      </c>
      <c r="AA1349">
        <v>0</v>
      </c>
      <c r="AB1349">
        <v>0</v>
      </c>
      <c r="AC1349">
        <v>0</v>
      </c>
      <c r="AD1349">
        <v>0</v>
      </c>
      <c r="AE1349">
        <v>0</v>
      </c>
      <c r="AF1349">
        <v>0</v>
      </c>
      <c r="AG1349">
        <v>0</v>
      </c>
      <c r="AH1349">
        <v>0</v>
      </c>
      <c r="AI1349">
        <v>0</v>
      </c>
      <c r="AJ1349">
        <v>0</v>
      </c>
      <c r="AK1349">
        <v>1</v>
      </c>
      <c r="AL1349">
        <v>0</v>
      </c>
      <c r="AM1349">
        <v>0</v>
      </c>
      <c r="AN1349">
        <v>0</v>
      </c>
      <c r="AO1349">
        <v>0</v>
      </c>
      <c r="AP1349">
        <v>0</v>
      </c>
      <c r="AQ1349">
        <v>0</v>
      </c>
      <c r="AR1349">
        <v>0</v>
      </c>
      <c r="AS1349">
        <v>0</v>
      </c>
      <c r="AT1349">
        <v>0</v>
      </c>
      <c r="AU1349">
        <v>0</v>
      </c>
      <c r="AV1349">
        <v>0</v>
      </c>
      <c r="AW1349">
        <v>0</v>
      </c>
      <c r="AX1349" s="141">
        <f t="shared" si="1756"/>
        <v>1</v>
      </c>
      <c r="AY1349" s="141">
        <f t="shared" si="1757"/>
        <v>1</v>
      </c>
      <c r="AZ1349">
        <f t="shared" si="1758"/>
        <v>0</v>
      </c>
      <c r="BA1349">
        <f t="shared" si="1759"/>
        <v>0</v>
      </c>
      <c r="BB1349">
        <f t="shared" si="1760"/>
        <v>1</v>
      </c>
      <c r="BC1349">
        <f t="shared" si="1761"/>
        <v>0</v>
      </c>
      <c r="BD1349">
        <f t="shared" si="1762"/>
        <v>0</v>
      </c>
      <c r="BE1349" t="str" cm="1">
        <f t="array" ref="BE1349">IF(AY1349=1,INDEX($V$7:$AL$7,MATCH(TRUE,INDEX($V1349:$AW1349&lt;&gt;0,),0)),IF(AY1349=0,INDEX($AM$7:$AW$7,MATCH(1,$AM1349:$AW1349,0)),IF(BF1349="Multiple strategies","mixed drivers",IF(BF1349="Supply chain","multiple supply","multiple silviculture"))))</f>
        <v>technologies/design switch</v>
      </c>
      <c r="BF1349" s="2" t="str" cm="1">
        <f t="array" ref="BF1349">IF(COUNTIF(AZ1349:BB1349,"&lt;&gt;0")=1,INDEX($V$4:$AW$4,MATCH(TRUE,INDEX($V1349:$AW1349&lt;&gt;0,),0)),IF(COUNTIF(AZ1349:BB1349,"&lt;&gt;0")=0,INDEX($AM$4:$AW$4,MATCH(1,$AM1349:$AW1349,0)),"Multiple strategies"))</f>
        <v>Technology</v>
      </c>
      <c r="BG1349" s="1" t="s">
        <v>229</v>
      </c>
      <c r="BH1349" s="264" t="s">
        <v>1089</v>
      </c>
      <c r="BI1349" s="264" t="s">
        <v>716</v>
      </c>
      <c r="BJ1349" s="264" t="s">
        <v>1090</v>
      </c>
      <c r="BK1349">
        <f t="shared" ref="BK1349:BK1354" si="1785">(6.17+4901.94+10375.04)/43229</f>
        <v>0.35353929075389212</v>
      </c>
      <c r="BL1349">
        <f t="shared" ref="BL1349:BL1357" si="1786">(6.17+4901.94+10375.04+8069.52+1195.9)/43229</f>
        <v>0.56787272432857583</v>
      </c>
      <c r="BN1349">
        <f t="shared" si="1763"/>
        <v>0.21433343357468371</v>
      </c>
      <c r="BO1349">
        <f t="shared" ref="BO1349:BO1357" si="1787">BL1349-BK1349</f>
        <v>0.21433343357468371</v>
      </c>
      <c r="BP1349" s="264" t="s">
        <v>395</v>
      </c>
      <c r="BQ1349" s="264" t="s">
        <v>785</v>
      </c>
      <c r="BR1349" s="264" t="s">
        <v>1091</v>
      </c>
      <c r="BS1349">
        <f>379+0.18</f>
        <v>379.18</v>
      </c>
      <c r="BT1349">
        <f>350.8-104.9</f>
        <v>245.9</v>
      </c>
      <c r="BU1349" s="144">
        <f t="shared" si="1764"/>
        <v>0.64850466796771977</v>
      </c>
      <c r="BV1349">
        <f t="shared" si="1765"/>
        <v>-133.28</v>
      </c>
      <c r="BX1349">
        <f t="shared" ref="BX1349:BX1357" si="1788">BV1349/1000</f>
        <v>-0.13328000000000001</v>
      </c>
      <c r="BY1349">
        <f t="shared" si="1750"/>
        <v>-0.62183485691959983</v>
      </c>
      <c r="BZ1349">
        <v>0</v>
      </c>
      <c r="CA1349">
        <v>0</v>
      </c>
      <c r="CB1349">
        <v>0</v>
      </c>
      <c r="CC1349">
        <v>0</v>
      </c>
      <c r="CD1349">
        <v>0</v>
      </c>
      <c r="CE1349">
        <v>0</v>
      </c>
      <c r="CF1349">
        <v>0</v>
      </c>
      <c r="CG1349">
        <v>0</v>
      </c>
      <c r="CH1349">
        <v>0</v>
      </c>
      <c r="CI1349">
        <v>0</v>
      </c>
      <c r="CJ1349">
        <v>0</v>
      </c>
      <c r="CK1349">
        <v>0</v>
      </c>
      <c r="CL1349">
        <v>0</v>
      </c>
      <c r="CM1349">
        <v>0</v>
      </c>
      <c r="CN1349" t="str">
        <f t="shared" si="1766"/>
        <v>refOK</v>
      </c>
      <c r="CO1349">
        <f t="shared" ref="CO1349:CO1357" si="1789">IF($CN1349="refOK",$BK1349,$BL1349)</f>
        <v>0.35353929075389212</v>
      </c>
      <c r="CP1349">
        <f t="shared" ref="CP1349:CP1357" si="1790">IF($CN1349="refOK",$BL1349,$BK1349)</f>
        <v>0.56787272432857583</v>
      </c>
      <c r="CQ1349">
        <f t="shared" si="1767"/>
        <v>0.21433343357468371</v>
      </c>
      <c r="CR1349">
        <f t="shared" si="1768"/>
        <v>-379.18</v>
      </c>
      <c r="CS1349">
        <f t="shared" si="1769"/>
        <v>-245.9</v>
      </c>
      <c r="CT1349">
        <f t="shared" si="1770"/>
        <v>0.13328000000000001</v>
      </c>
      <c r="CU1349">
        <f t="shared" si="1771"/>
        <v>0.62183485691959983</v>
      </c>
      <c r="CV1349" s="2">
        <f t="shared" si="1772"/>
        <v>0.35149533203228017</v>
      </c>
      <c r="CW1349" s="263" t="s">
        <v>263</v>
      </c>
      <c r="CX1349" s="264" t="str">
        <f t="shared" si="1773"/>
        <v>loc</v>
      </c>
      <c r="CY1349" s="264" t="s">
        <v>574</v>
      </c>
      <c r="DB1349">
        <v>0</v>
      </c>
      <c r="DC1349" t="str">
        <f t="shared" si="1774"/>
        <v>0</v>
      </c>
      <c r="DD1349">
        <v>0</v>
      </c>
      <c r="DE1349">
        <v>0</v>
      </c>
      <c r="DF1349">
        <v>0</v>
      </c>
      <c r="DG1349">
        <v>1</v>
      </c>
      <c r="DH1349">
        <v>0</v>
      </c>
      <c r="DI1349">
        <f t="shared" si="1775"/>
        <v>1</v>
      </c>
      <c r="DJ1349" t="str">
        <f t="shared" si="1776"/>
        <v>TimberInput</v>
      </c>
      <c r="DK1349">
        <f t="shared" si="1777"/>
        <v>0</v>
      </c>
      <c r="DL1349">
        <f t="shared" si="1778"/>
        <v>0</v>
      </c>
      <c r="DM1349">
        <f t="shared" si="1779"/>
        <v>0</v>
      </c>
      <c r="DN1349" t="str">
        <f t="shared" si="1780"/>
        <v>Timber</v>
      </c>
      <c r="DO1349">
        <v>0</v>
      </c>
      <c r="DP1349">
        <v>0</v>
      </c>
      <c r="DQ1349">
        <v>0</v>
      </c>
      <c r="DR1349">
        <v>0</v>
      </c>
      <c r="DS1349">
        <v>0</v>
      </c>
      <c r="DT1349">
        <f t="shared" si="1781"/>
        <v>0</v>
      </c>
      <c r="DU1349" s="143" t="str">
        <f t="shared" si="1782"/>
        <v>explicit C balance</v>
      </c>
      <c r="DV1349">
        <v>0</v>
      </c>
      <c r="DW1349">
        <v>1</v>
      </c>
      <c r="DX1349">
        <v>0</v>
      </c>
      <c r="DY1349">
        <v>1</v>
      </c>
      <c r="DZ1349">
        <v>0</v>
      </c>
      <c r="EA1349">
        <v>0</v>
      </c>
      <c r="EB1349">
        <v>1</v>
      </c>
      <c r="EC1349">
        <v>1</v>
      </c>
      <c r="ED1349">
        <v>0</v>
      </c>
      <c r="EE1349">
        <v>0</v>
      </c>
      <c r="EF1349">
        <v>0</v>
      </c>
      <c r="EG1349">
        <v>0</v>
      </c>
      <c r="EH1349">
        <v>0</v>
      </c>
      <c r="EI1349" s="2">
        <v>0</v>
      </c>
      <c r="EK1349" t="str">
        <f t="shared" si="1783"/>
        <v/>
      </c>
      <c r="EL1349" t="str">
        <f t="shared" si="1784"/>
        <v/>
      </c>
      <c r="EM1349" s="2" t="str">
        <f t="shared" si="1751"/>
        <v/>
      </c>
      <c r="EP1349" t="str">
        <f>IF(ISNUMBER(BU1349),IF(ABS(BU1349-[4]QC_indicators!$B$2)&gt;3*[4]QC_indicators!$C$2,"C ratio",IF(ISNUMBER(BY1349),IF(ABS(BY1349-[4]QC_indicators!$B$1)&gt;3*[4]QC_indicators!$C$1,"DF","no"))),IF(ISNUMBER(BY1349),IF(ABS(BY1349-[4]QC_indicators!$B$1)&gt;3*[4]QC_indicators!$C$1,"DF","no")))</f>
        <v>no</v>
      </c>
      <c r="ET1349" s="264" t="s">
        <v>3406</v>
      </c>
    </row>
    <row r="1350" spans="1:150" ht="15" hidden="1" customHeight="1">
      <c r="A1350" s="1" t="s">
        <v>333</v>
      </c>
      <c r="B1350" t="s">
        <v>1080</v>
      </c>
      <c r="C1350" t="s">
        <v>1081</v>
      </c>
      <c r="D1350" t="s">
        <v>1082</v>
      </c>
      <c r="E1350" t="s">
        <v>1083</v>
      </c>
      <c r="F1350" t="s">
        <v>1084</v>
      </c>
      <c r="G1350" t="s">
        <v>339</v>
      </c>
      <c r="H1350" t="s">
        <v>254</v>
      </c>
      <c r="I1350">
        <v>2022</v>
      </c>
      <c r="J1350">
        <v>3</v>
      </c>
      <c r="K1350" t="s">
        <v>1085</v>
      </c>
      <c r="M1350" t="str">
        <f t="shared" si="1755"/>
        <v>Robati_2022</v>
      </c>
      <c r="N1350" t="s">
        <v>222</v>
      </c>
      <c r="O1350" s="264" t="s">
        <v>223</v>
      </c>
      <c r="Q1350" s="264" t="s">
        <v>389</v>
      </c>
      <c r="R1350" s="269" t="s">
        <v>1153</v>
      </c>
      <c r="S1350" s="263" t="s">
        <v>1096</v>
      </c>
      <c r="T1350" s="264" t="s">
        <v>1095</v>
      </c>
      <c r="U1350" s="264" t="s">
        <v>1088</v>
      </c>
      <c r="V1350">
        <v>0</v>
      </c>
      <c r="W1350">
        <v>0</v>
      </c>
      <c r="X1350">
        <v>0</v>
      </c>
      <c r="Y1350">
        <v>0</v>
      </c>
      <c r="Z1350">
        <v>0</v>
      </c>
      <c r="AA1350">
        <v>0</v>
      </c>
      <c r="AB1350">
        <v>0</v>
      </c>
      <c r="AC1350">
        <v>0</v>
      </c>
      <c r="AD1350">
        <v>0</v>
      </c>
      <c r="AE1350">
        <v>0</v>
      </c>
      <c r="AF1350">
        <v>0</v>
      </c>
      <c r="AG1350">
        <v>0</v>
      </c>
      <c r="AH1350">
        <v>0</v>
      </c>
      <c r="AI1350">
        <v>0</v>
      </c>
      <c r="AJ1350">
        <v>0</v>
      </c>
      <c r="AK1350">
        <v>1</v>
      </c>
      <c r="AL1350">
        <v>0</v>
      </c>
      <c r="AM1350">
        <v>0</v>
      </c>
      <c r="AN1350">
        <v>0</v>
      </c>
      <c r="AO1350">
        <v>0</v>
      </c>
      <c r="AP1350">
        <v>0</v>
      </c>
      <c r="AQ1350">
        <v>0</v>
      </c>
      <c r="AR1350">
        <v>0</v>
      </c>
      <c r="AS1350">
        <v>0</v>
      </c>
      <c r="AT1350">
        <v>0</v>
      </c>
      <c r="AU1350">
        <v>0</v>
      </c>
      <c r="AV1350">
        <v>0</v>
      </c>
      <c r="AW1350">
        <v>0</v>
      </c>
      <c r="AX1350" s="141">
        <f t="shared" si="1756"/>
        <v>1</v>
      </c>
      <c r="AY1350" s="141">
        <f t="shared" si="1757"/>
        <v>1</v>
      </c>
      <c r="AZ1350">
        <f t="shared" si="1758"/>
        <v>0</v>
      </c>
      <c r="BA1350">
        <f t="shared" si="1759"/>
        <v>0</v>
      </c>
      <c r="BB1350">
        <f t="shared" si="1760"/>
        <v>1</v>
      </c>
      <c r="BC1350">
        <f t="shared" si="1761"/>
        <v>0</v>
      </c>
      <c r="BD1350">
        <f t="shared" si="1762"/>
        <v>0</v>
      </c>
      <c r="BE1350" t="str" cm="1">
        <f t="array" ref="BE1350">IF(AY1350=1,INDEX($V$7:$AL$7,MATCH(TRUE,INDEX($V1350:$AW1350&lt;&gt;0,),0)),IF(AY1350=0,INDEX($AM$7:$AW$7,MATCH(1,$AM1350:$AW1350,0)),IF(BF1350="Multiple strategies","mixed drivers",IF(BF1350="Supply chain","multiple supply","multiple silviculture"))))</f>
        <v>technologies/design switch</v>
      </c>
      <c r="BF1350" s="2" t="str" cm="1">
        <f t="array" ref="BF1350">IF(COUNTIF(AZ1350:BB1350,"&lt;&gt;0")=1,INDEX($V$4:$AW$4,MATCH(TRUE,INDEX($V1350:$AW1350&lt;&gt;0,),0)),IF(COUNTIF(AZ1350:BB1350,"&lt;&gt;0")=0,INDEX($AM$4:$AW$4,MATCH(1,$AM1350:$AW1350,0)),"Multiple strategies"))</f>
        <v>Technology</v>
      </c>
      <c r="BG1350" s="1" t="s">
        <v>229</v>
      </c>
      <c r="BH1350" s="264" t="s">
        <v>1089</v>
      </c>
      <c r="BI1350" s="264" t="s">
        <v>716</v>
      </c>
      <c r="BJ1350" s="264" t="s">
        <v>1090</v>
      </c>
      <c r="BK1350">
        <f t="shared" si="1785"/>
        <v>0.35353929075389212</v>
      </c>
      <c r="BL1350">
        <f t="shared" si="1786"/>
        <v>0.56787272432857583</v>
      </c>
      <c r="BN1350">
        <f t="shared" si="1763"/>
        <v>0.21433343357468371</v>
      </c>
      <c r="BO1350">
        <f t="shared" si="1787"/>
        <v>0.21433343357468371</v>
      </c>
      <c r="BP1350" s="264" t="s">
        <v>395</v>
      </c>
      <c r="BQ1350" s="264" t="s">
        <v>785</v>
      </c>
      <c r="BR1350" s="264" t="s">
        <v>1091</v>
      </c>
      <c r="BS1350">
        <v>0.19</v>
      </c>
      <c r="BT1350">
        <v>-104.9</v>
      </c>
      <c r="BU1350" s="144">
        <f t="shared" si="1764"/>
        <v>-552.1052631578948</v>
      </c>
      <c r="BV1350">
        <f t="shared" si="1765"/>
        <v>-105.09</v>
      </c>
      <c r="BX1350">
        <f t="shared" si="1788"/>
        <v>-0.10509</v>
      </c>
      <c r="BY1350">
        <f t="shared" si="1750"/>
        <v>-0.49031081267767668</v>
      </c>
      <c r="BZ1350">
        <v>0</v>
      </c>
      <c r="CA1350">
        <v>0</v>
      </c>
      <c r="CB1350">
        <v>0</v>
      </c>
      <c r="CC1350">
        <v>0</v>
      </c>
      <c r="CD1350">
        <v>0</v>
      </c>
      <c r="CE1350">
        <v>0</v>
      </c>
      <c r="CF1350">
        <v>0</v>
      </c>
      <c r="CG1350">
        <v>0</v>
      </c>
      <c r="CH1350">
        <v>0</v>
      </c>
      <c r="CI1350">
        <v>0</v>
      </c>
      <c r="CJ1350">
        <v>0</v>
      </c>
      <c r="CK1350">
        <v>0</v>
      </c>
      <c r="CL1350">
        <v>0</v>
      </c>
      <c r="CM1350">
        <v>0</v>
      </c>
      <c r="CN1350" t="str">
        <f t="shared" si="1766"/>
        <v>refOK</v>
      </c>
      <c r="CO1350">
        <f t="shared" si="1789"/>
        <v>0.35353929075389212</v>
      </c>
      <c r="CP1350">
        <f t="shared" si="1790"/>
        <v>0.56787272432857583</v>
      </c>
      <c r="CQ1350">
        <f t="shared" si="1767"/>
        <v>0.21433343357468371</v>
      </c>
      <c r="CR1350">
        <f t="shared" si="1768"/>
        <v>-0.19</v>
      </c>
      <c r="CS1350">
        <f t="shared" si="1769"/>
        <v>104.9</v>
      </c>
      <c r="CT1350">
        <f t="shared" si="1770"/>
        <v>0.10509</v>
      </c>
      <c r="CU1350">
        <f t="shared" si="1771"/>
        <v>0.49031081267767668</v>
      </c>
      <c r="CV1350" s="2">
        <f t="shared" si="1772"/>
        <v>553.1052631578948</v>
      </c>
      <c r="CW1350" s="263" t="s">
        <v>263</v>
      </c>
      <c r="CX1350" s="264" t="str">
        <f t="shared" si="1773"/>
        <v>loc</v>
      </c>
      <c r="CY1350" s="264" t="s">
        <v>574</v>
      </c>
      <c r="DB1350">
        <v>0</v>
      </c>
      <c r="DC1350" t="str">
        <f t="shared" si="1774"/>
        <v>0</v>
      </c>
      <c r="DD1350">
        <v>0</v>
      </c>
      <c r="DE1350">
        <v>0</v>
      </c>
      <c r="DF1350">
        <v>0</v>
      </c>
      <c r="DG1350">
        <v>1</v>
      </c>
      <c r="DH1350">
        <v>0</v>
      </c>
      <c r="DI1350">
        <f t="shared" si="1775"/>
        <v>1</v>
      </c>
      <c r="DJ1350" t="str">
        <f t="shared" si="1776"/>
        <v>TimberInput</v>
      </c>
      <c r="DK1350">
        <f t="shared" si="1777"/>
        <v>0</v>
      </c>
      <c r="DL1350">
        <f t="shared" si="1778"/>
        <v>0</v>
      </c>
      <c r="DM1350">
        <f t="shared" si="1779"/>
        <v>0</v>
      </c>
      <c r="DN1350" t="str">
        <f t="shared" si="1780"/>
        <v>Timber</v>
      </c>
      <c r="DO1350">
        <v>0</v>
      </c>
      <c r="DP1350">
        <v>0</v>
      </c>
      <c r="DQ1350">
        <v>0</v>
      </c>
      <c r="DR1350">
        <v>0</v>
      </c>
      <c r="DS1350">
        <v>0</v>
      </c>
      <c r="DT1350">
        <f t="shared" si="1781"/>
        <v>0</v>
      </c>
      <c r="DU1350" s="143" t="str">
        <f t="shared" si="1782"/>
        <v>explicit C balance</v>
      </c>
      <c r="DV1350">
        <v>0</v>
      </c>
      <c r="DW1350">
        <v>1</v>
      </c>
      <c r="DX1350">
        <v>0</v>
      </c>
      <c r="DY1350">
        <v>1</v>
      </c>
      <c r="DZ1350">
        <v>0</v>
      </c>
      <c r="EA1350">
        <v>0</v>
      </c>
      <c r="EB1350">
        <v>1</v>
      </c>
      <c r="EC1350">
        <v>0</v>
      </c>
      <c r="ED1350">
        <v>0</v>
      </c>
      <c r="EE1350">
        <v>0</v>
      </c>
      <c r="EF1350">
        <v>0</v>
      </c>
      <c r="EG1350">
        <v>0</v>
      </c>
      <c r="EH1350">
        <v>0</v>
      </c>
      <c r="EI1350" s="2">
        <v>0</v>
      </c>
      <c r="EK1350" t="str">
        <f t="shared" si="1783"/>
        <v/>
      </c>
      <c r="EL1350" t="str">
        <f t="shared" si="1784"/>
        <v/>
      </c>
      <c r="EM1350" s="2" t="str">
        <f t="shared" si="1751"/>
        <v/>
      </c>
      <c r="EP1350" t="str">
        <f>IF(ISNUMBER(BU1350),IF(ABS(BU1350-[4]QC_indicators!$B$2)&gt;3*[4]QC_indicators!$C$2,"C ratio",IF(ISNUMBER(BY1350),IF(ABS(BY1350-[4]QC_indicators!$B$1)&gt;3*[4]QC_indicators!$C$1,"DF","no"))),IF(ISNUMBER(BY1350),IF(ABS(BY1350-[4]QC_indicators!$B$1)&gt;3*[4]QC_indicators!$C$1,"DF","no")))</f>
        <v>C ratio</v>
      </c>
      <c r="ET1350" s="264" t="s">
        <v>3406</v>
      </c>
    </row>
    <row r="1351" spans="1:150" ht="15" hidden="1" customHeight="1">
      <c r="A1351" s="1" t="s">
        <v>333</v>
      </c>
      <c r="B1351" t="s">
        <v>1080</v>
      </c>
      <c r="C1351" t="s">
        <v>1081</v>
      </c>
      <c r="D1351" t="s">
        <v>1082</v>
      </c>
      <c r="E1351" t="s">
        <v>1083</v>
      </c>
      <c r="F1351" t="s">
        <v>1084</v>
      </c>
      <c r="G1351" t="s">
        <v>339</v>
      </c>
      <c r="H1351" t="s">
        <v>254</v>
      </c>
      <c r="I1351">
        <v>2022</v>
      </c>
      <c r="J1351">
        <v>3</v>
      </c>
      <c r="K1351" t="s">
        <v>1085</v>
      </c>
      <c r="M1351" t="str">
        <f t="shared" si="1755"/>
        <v>Robati_2022</v>
      </c>
      <c r="N1351" t="s">
        <v>222</v>
      </c>
      <c r="O1351" s="264" t="s">
        <v>223</v>
      </c>
      <c r="Q1351" s="264" t="s">
        <v>389</v>
      </c>
      <c r="R1351" s="269" t="s">
        <v>1153</v>
      </c>
      <c r="S1351" s="263" t="s">
        <v>1097</v>
      </c>
      <c r="T1351" s="264" t="s">
        <v>1098</v>
      </c>
      <c r="U1351" s="264" t="s">
        <v>1088</v>
      </c>
      <c r="V1351">
        <v>0</v>
      </c>
      <c r="W1351">
        <v>0</v>
      </c>
      <c r="X1351">
        <v>0</v>
      </c>
      <c r="Y1351">
        <v>0</v>
      </c>
      <c r="Z1351">
        <v>0</v>
      </c>
      <c r="AA1351">
        <v>0</v>
      </c>
      <c r="AB1351">
        <v>0</v>
      </c>
      <c r="AC1351">
        <v>0</v>
      </c>
      <c r="AD1351">
        <v>0</v>
      </c>
      <c r="AE1351">
        <v>0</v>
      </c>
      <c r="AF1351">
        <v>0</v>
      </c>
      <c r="AG1351">
        <v>0</v>
      </c>
      <c r="AH1351">
        <v>0</v>
      </c>
      <c r="AI1351">
        <v>0</v>
      </c>
      <c r="AJ1351">
        <v>0</v>
      </c>
      <c r="AK1351">
        <v>1</v>
      </c>
      <c r="AL1351">
        <v>0</v>
      </c>
      <c r="AM1351">
        <v>0</v>
      </c>
      <c r="AN1351">
        <v>0</v>
      </c>
      <c r="AO1351">
        <v>0</v>
      </c>
      <c r="AP1351">
        <v>0</v>
      </c>
      <c r="AQ1351">
        <v>0</v>
      </c>
      <c r="AR1351">
        <v>0</v>
      </c>
      <c r="AS1351">
        <v>0</v>
      </c>
      <c r="AT1351">
        <v>0</v>
      </c>
      <c r="AU1351">
        <v>0</v>
      </c>
      <c r="AV1351">
        <v>0</v>
      </c>
      <c r="AW1351">
        <v>0</v>
      </c>
      <c r="AX1351" s="141">
        <f t="shared" si="1756"/>
        <v>1</v>
      </c>
      <c r="AY1351" s="141">
        <f t="shared" si="1757"/>
        <v>1</v>
      </c>
      <c r="AZ1351">
        <f t="shared" si="1758"/>
        <v>0</v>
      </c>
      <c r="BA1351">
        <f t="shared" si="1759"/>
        <v>0</v>
      </c>
      <c r="BB1351">
        <f t="shared" si="1760"/>
        <v>1</v>
      </c>
      <c r="BC1351">
        <f t="shared" si="1761"/>
        <v>0</v>
      </c>
      <c r="BD1351">
        <f t="shared" si="1762"/>
        <v>0</v>
      </c>
      <c r="BE1351" t="str" cm="1">
        <f t="array" ref="BE1351">IF(AY1351=1,INDEX($V$7:$AL$7,MATCH(TRUE,INDEX($V1351:$AW1351&lt;&gt;0,),0)),IF(AY1351=0,INDEX($AM$7:$AW$7,MATCH(1,$AM1351:$AW1351,0)),IF(BF1351="Multiple strategies","mixed drivers",IF(BF1351="Supply chain","multiple supply","multiple silviculture"))))</f>
        <v>technologies/design switch</v>
      </c>
      <c r="BF1351" s="2" t="str" cm="1">
        <f t="array" ref="BF1351">IF(COUNTIF(AZ1351:BB1351,"&lt;&gt;0")=1,INDEX($V$4:$AW$4,MATCH(TRUE,INDEX($V1351:$AW1351&lt;&gt;0,),0)),IF(COUNTIF(AZ1351:BB1351,"&lt;&gt;0")=0,INDEX($AM$4:$AW$4,MATCH(1,$AM1351:$AW1351,0)),"Multiple strategies"))</f>
        <v>Technology</v>
      </c>
      <c r="BG1351" s="1" t="s">
        <v>229</v>
      </c>
      <c r="BH1351" s="264" t="s">
        <v>1089</v>
      </c>
      <c r="BI1351" s="264" t="s">
        <v>716</v>
      </c>
      <c r="BJ1351" s="264" t="s">
        <v>1090</v>
      </c>
      <c r="BK1351">
        <f t="shared" si="1785"/>
        <v>0.35353929075389212</v>
      </c>
      <c r="BL1351">
        <f t="shared" si="1786"/>
        <v>0.56787272432857583</v>
      </c>
      <c r="BN1351">
        <f t="shared" si="1763"/>
        <v>0.21433343357468371</v>
      </c>
      <c r="BO1351">
        <f t="shared" si="1787"/>
        <v>0.21433343357468371</v>
      </c>
      <c r="BP1351" s="264" t="s">
        <v>395</v>
      </c>
      <c r="BQ1351" s="264" t="s">
        <v>426</v>
      </c>
      <c r="BR1351" s="264" t="s">
        <v>1091</v>
      </c>
      <c r="BS1351">
        <v>751</v>
      </c>
      <c r="BT1351">
        <v>653</v>
      </c>
      <c r="BU1351" s="144">
        <f t="shared" si="1764"/>
        <v>0.86950732356857519</v>
      </c>
      <c r="BV1351">
        <f t="shared" si="1765"/>
        <v>-98</v>
      </c>
      <c r="BX1351">
        <f t="shared" si="1788"/>
        <v>-9.8000000000000004E-2</v>
      </c>
      <c r="BY1351">
        <f t="shared" si="1750"/>
        <v>-0.45723151244088228</v>
      </c>
      <c r="BZ1351">
        <v>0</v>
      </c>
      <c r="CA1351">
        <v>0</v>
      </c>
      <c r="CB1351">
        <v>0</v>
      </c>
      <c r="CC1351">
        <v>0</v>
      </c>
      <c r="CD1351">
        <v>0</v>
      </c>
      <c r="CE1351">
        <v>0</v>
      </c>
      <c r="CF1351">
        <v>0</v>
      </c>
      <c r="CG1351">
        <v>0</v>
      </c>
      <c r="CH1351">
        <v>0</v>
      </c>
      <c r="CI1351">
        <v>0</v>
      </c>
      <c r="CJ1351">
        <v>0</v>
      </c>
      <c r="CK1351">
        <v>0</v>
      </c>
      <c r="CL1351">
        <v>0</v>
      </c>
      <c r="CM1351">
        <v>0</v>
      </c>
      <c r="CN1351" t="str">
        <f t="shared" si="1766"/>
        <v>refOK</v>
      </c>
      <c r="CO1351">
        <f t="shared" si="1789"/>
        <v>0.35353929075389212</v>
      </c>
      <c r="CP1351">
        <f t="shared" si="1790"/>
        <v>0.56787272432857583</v>
      </c>
      <c r="CQ1351">
        <f t="shared" si="1767"/>
        <v>0.21433343357468371</v>
      </c>
      <c r="CR1351">
        <f t="shared" si="1768"/>
        <v>-751</v>
      </c>
      <c r="CS1351">
        <f t="shared" si="1769"/>
        <v>-653</v>
      </c>
      <c r="CT1351">
        <f t="shared" si="1770"/>
        <v>9.8000000000000004E-2</v>
      </c>
      <c r="CU1351">
        <f t="shared" si="1771"/>
        <v>0.45723151244088228</v>
      </c>
      <c r="CV1351" s="2">
        <f t="shared" si="1772"/>
        <v>0.13049267643142476</v>
      </c>
      <c r="CW1351" s="263" t="s">
        <v>263</v>
      </c>
      <c r="CX1351" s="264" t="str">
        <f t="shared" si="1773"/>
        <v>loc</v>
      </c>
      <c r="CY1351" s="264" t="s">
        <v>574</v>
      </c>
      <c r="DB1351">
        <v>0</v>
      </c>
      <c r="DC1351" t="str">
        <f t="shared" si="1774"/>
        <v>0</v>
      </c>
      <c r="DD1351">
        <v>0</v>
      </c>
      <c r="DE1351">
        <v>0</v>
      </c>
      <c r="DF1351">
        <v>0</v>
      </c>
      <c r="DG1351">
        <v>1</v>
      </c>
      <c r="DH1351">
        <v>0</v>
      </c>
      <c r="DI1351">
        <f t="shared" si="1775"/>
        <v>1</v>
      </c>
      <c r="DJ1351" t="str">
        <f t="shared" si="1776"/>
        <v>TimberInput</v>
      </c>
      <c r="DK1351">
        <f t="shared" si="1777"/>
        <v>0</v>
      </c>
      <c r="DL1351">
        <f t="shared" si="1778"/>
        <v>0</v>
      </c>
      <c r="DM1351">
        <f t="shared" si="1779"/>
        <v>0</v>
      </c>
      <c r="DN1351" t="str">
        <f t="shared" si="1780"/>
        <v>Timber</v>
      </c>
      <c r="DO1351">
        <v>0</v>
      </c>
      <c r="DP1351">
        <v>0</v>
      </c>
      <c r="DQ1351">
        <v>0</v>
      </c>
      <c r="DR1351">
        <v>0</v>
      </c>
      <c r="DS1351">
        <v>0</v>
      </c>
      <c r="DT1351">
        <f t="shared" si="1781"/>
        <v>0</v>
      </c>
      <c r="DU1351" s="143" t="str">
        <f t="shared" si="1782"/>
        <v>explicit C balance</v>
      </c>
      <c r="DV1351">
        <v>0</v>
      </c>
      <c r="DW1351">
        <v>1</v>
      </c>
      <c r="DX1351">
        <v>0</v>
      </c>
      <c r="DY1351">
        <v>1</v>
      </c>
      <c r="DZ1351">
        <v>1</v>
      </c>
      <c r="EA1351">
        <v>0</v>
      </c>
      <c r="EB1351">
        <v>1</v>
      </c>
      <c r="EC1351">
        <v>1</v>
      </c>
      <c r="ED1351">
        <v>1</v>
      </c>
      <c r="EE1351">
        <v>1</v>
      </c>
      <c r="EF1351">
        <v>0</v>
      </c>
      <c r="EG1351">
        <v>0</v>
      </c>
      <c r="EH1351">
        <v>0</v>
      </c>
      <c r="EI1351" s="2">
        <v>0</v>
      </c>
      <c r="EK1351" t="str">
        <f t="shared" si="1783"/>
        <v/>
      </c>
      <c r="EL1351" t="str">
        <f t="shared" si="1784"/>
        <v/>
      </c>
      <c r="EM1351" s="2" t="str">
        <f t="shared" si="1751"/>
        <v/>
      </c>
      <c r="EP1351" t="str">
        <f>IF(ISNUMBER(BU1351),IF(ABS(BU1351-[4]QC_indicators!$B$2)&gt;3*[4]QC_indicators!$C$2,"C ratio",IF(ISNUMBER(BY1351),IF(ABS(BY1351-[4]QC_indicators!$B$1)&gt;3*[4]QC_indicators!$C$1,"DF","no"))),IF(ISNUMBER(BY1351),IF(ABS(BY1351-[4]QC_indicators!$B$1)&gt;3*[4]QC_indicators!$C$1,"DF","no")))</f>
        <v>no</v>
      </c>
      <c r="ET1351" s="264" t="s">
        <v>3406</v>
      </c>
    </row>
    <row r="1352" spans="1:150" ht="15" hidden="1" customHeight="1">
      <c r="A1352" s="1" t="s">
        <v>333</v>
      </c>
      <c r="B1352" t="s">
        <v>1080</v>
      </c>
      <c r="C1352" t="s">
        <v>1081</v>
      </c>
      <c r="D1352" t="s">
        <v>1082</v>
      </c>
      <c r="E1352" t="s">
        <v>1083</v>
      </c>
      <c r="F1352" t="s">
        <v>1084</v>
      </c>
      <c r="G1352" t="s">
        <v>339</v>
      </c>
      <c r="H1352" t="s">
        <v>254</v>
      </c>
      <c r="I1352">
        <v>2022</v>
      </c>
      <c r="J1352">
        <v>3</v>
      </c>
      <c r="K1352" t="s">
        <v>1085</v>
      </c>
      <c r="M1352" t="str">
        <f t="shared" si="1755"/>
        <v>Robati_2022</v>
      </c>
      <c r="N1352" t="s">
        <v>222</v>
      </c>
      <c r="O1352" s="264" t="s">
        <v>223</v>
      </c>
      <c r="Q1352" s="264" t="s">
        <v>389</v>
      </c>
      <c r="R1352" s="269" t="s">
        <v>1153</v>
      </c>
      <c r="S1352" s="263" t="s">
        <v>1099</v>
      </c>
      <c r="T1352" s="264" t="s">
        <v>1095</v>
      </c>
      <c r="U1352" s="264" t="s">
        <v>1088</v>
      </c>
      <c r="V1352">
        <v>0</v>
      </c>
      <c r="W1352">
        <v>0</v>
      </c>
      <c r="X1352">
        <v>0</v>
      </c>
      <c r="Y1352">
        <v>0</v>
      </c>
      <c r="Z1352">
        <v>0</v>
      </c>
      <c r="AA1352">
        <v>0</v>
      </c>
      <c r="AB1352">
        <v>0</v>
      </c>
      <c r="AC1352">
        <v>0</v>
      </c>
      <c r="AD1352">
        <v>0</v>
      </c>
      <c r="AE1352">
        <v>0</v>
      </c>
      <c r="AF1352">
        <v>0</v>
      </c>
      <c r="AG1352">
        <v>0</v>
      </c>
      <c r="AH1352">
        <v>0</v>
      </c>
      <c r="AI1352">
        <v>0</v>
      </c>
      <c r="AJ1352">
        <v>0</v>
      </c>
      <c r="AK1352">
        <v>1</v>
      </c>
      <c r="AL1352">
        <v>0</v>
      </c>
      <c r="AM1352">
        <v>0</v>
      </c>
      <c r="AN1352">
        <v>0</v>
      </c>
      <c r="AO1352">
        <v>0</v>
      </c>
      <c r="AP1352">
        <v>0</v>
      </c>
      <c r="AQ1352">
        <v>0</v>
      </c>
      <c r="AR1352">
        <v>0</v>
      </c>
      <c r="AS1352">
        <v>0</v>
      </c>
      <c r="AT1352">
        <v>0</v>
      </c>
      <c r="AU1352">
        <v>0</v>
      </c>
      <c r="AV1352">
        <v>0</v>
      </c>
      <c r="AW1352">
        <v>0</v>
      </c>
      <c r="AX1352" s="141">
        <f t="shared" si="1756"/>
        <v>1</v>
      </c>
      <c r="AY1352" s="141">
        <f t="shared" si="1757"/>
        <v>1</v>
      </c>
      <c r="AZ1352">
        <f t="shared" si="1758"/>
        <v>0</v>
      </c>
      <c r="BA1352">
        <f t="shared" si="1759"/>
        <v>0</v>
      </c>
      <c r="BB1352">
        <f t="shared" si="1760"/>
        <v>1</v>
      </c>
      <c r="BC1352">
        <f t="shared" si="1761"/>
        <v>0</v>
      </c>
      <c r="BD1352">
        <f t="shared" si="1762"/>
        <v>0</v>
      </c>
      <c r="BE1352" t="str" cm="1">
        <f t="array" ref="BE1352">IF(AY1352=1,INDEX($V$7:$AL$7,MATCH(TRUE,INDEX($V1352:$AW1352&lt;&gt;0,),0)),IF(AY1352=0,INDEX($AM$7:$AW$7,MATCH(1,$AM1352:$AW1352,0)),IF(BF1352="Multiple strategies","mixed drivers",IF(BF1352="Supply chain","multiple supply","multiple silviculture"))))</f>
        <v>technologies/design switch</v>
      </c>
      <c r="BF1352" s="2" t="str" cm="1">
        <f t="array" ref="BF1352">IF(COUNTIF(AZ1352:BB1352,"&lt;&gt;0")=1,INDEX($V$4:$AW$4,MATCH(TRUE,INDEX($V1352:$AW1352&lt;&gt;0,),0)),IF(COUNTIF(AZ1352:BB1352,"&lt;&gt;0")=0,INDEX($AM$4:$AW$4,MATCH(1,$AM1352:$AW1352,0)),"Multiple strategies"))</f>
        <v>Technology</v>
      </c>
      <c r="BG1352" s="1" t="s">
        <v>229</v>
      </c>
      <c r="BH1352" s="264" t="s">
        <v>1089</v>
      </c>
      <c r="BI1352" s="264" t="s">
        <v>716</v>
      </c>
      <c r="BJ1352" s="264" t="s">
        <v>1090</v>
      </c>
      <c r="BK1352">
        <f t="shared" si="1785"/>
        <v>0.35353929075389212</v>
      </c>
      <c r="BL1352">
        <f t="shared" si="1786"/>
        <v>0.56787272432857583</v>
      </c>
      <c r="BN1352">
        <f t="shared" si="1763"/>
        <v>0.21433343357468371</v>
      </c>
      <c r="BO1352">
        <f t="shared" si="1787"/>
        <v>0.21433343357468371</v>
      </c>
      <c r="BP1352" s="264" t="s">
        <v>395</v>
      </c>
      <c r="BQ1352" s="264" t="s">
        <v>426</v>
      </c>
      <c r="BR1352" s="264" t="s">
        <v>1091</v>
      </c>
      <c r="BS1352">
        <v>464.97</v>
      </c>
      <c r="BT1352">
        <v>417.21</v>
      </c>
      <c r="BU1352" s="144">
        <f t="shared" si="1764"/>
        <v>0.8972836957223046</v>
      </c>
      <c r="BV1352">
        <f t="shared" si="1765"/>
        <v>-47.760000000000048</v>
      </c>
      <c r="BX1352">
        <f t="shared" si="1788"/>
        <v>-4.7760000000000045E-2</v>
      </c>
      <c r="BY1352">
        <f t="shared" si="1750"/>
        <v>-0.22283037789976079</v>
      </c>
      <c r="BZ1352">
        <v>0</v>
      </c>
      <c r="CA1352">
        <v>0</v>
      </c>
      <c r="CB1352">
        <v>0</v>
      </c>
      <c r="CC1352">
        <v>0</v>
      </c>
      <c r="CD1352">
        <v>0</v>
      </c>
      <c r="CE1352">
        <v>0</v>
      </c>
      <c r="CF1352">
        <v>0</v>
      </c>
      <c r="CG1352">
        <v>0</v>
      </c>
      <c r="CH1352">
        <v>0</v>
      </c>
      <c r="CI1352">
        <v>0</v>
      </c>
      <c r="CJ1352">
        <v>0</v>
      </c>
      <c r="CK1352">
        <v>0</v>
      </c>
      <c r="CL1352">
        <v>0</v>
      </c>
      <c r="CM1352">
        <v>0</v>
      </c>
      <c r="CN1352" t="str">
        <f t="shared" si="1766"/>
        <v>refOK</v>
      </c>
      <c r="CO1352">
        <f t="shared" si="1789"/>
        <v>0.35353929075389212</v>
      </c>
      <c r="CP1352">
        <f t="shared" si="1790"/>
        <v>0.56787272432857583</v>
      </c>
      <c r="CQ1352">
        <f t="shared" si="1767"/>
        <v>0.21433343357468371</v>
      </c>
      <c r="CR1352">
        <f t="shared" si="1768"/>
        <v>-464.97</v>
      </c>
      <c r="CS1352">
        <f t="shared" si="1769"/>
        <v>-417.21</v>
      </c>
      <c r="CT1352">
        <f t="shared" si="1770"/>
        <v>4.7760000000000045E-2</v>
      </c>
      <c r="CU1352">
        <f t="shared" si="1771"/>
        <v>0.22283037789976079</v>
      </c>
      <c r="CV1352" s="2">
        <f t="shared" si="1772"/>
        <v>0.10271630427769543</v>
      </c>
      <c r="CW1352" s="263" t="s">
        <v>263</v>
      </c>
      <c r="CX1352" s="264" t="str">
        <f t="shared" si="1773"/>
        <v>loc</v>
      </c>
      <c r="CY1352" s="264" t="s">
        <v>574</v>
      </c>
      <c r="DB1352">
        <v>0</v>
      </c>
      <c r="DC1352" t="str">
        <f t="shared" si="1774"/>
        <v>0</v>
      </c>
      <c r="DD1352">
        <v>0</v>
      </c>
      <c r="DE1352">
        <v>0</v>
      </c>
      <c r="DF1352">
        <v>0</v>
      </c>
      <c r="DG1352">
        <v>1</v>
      </c>
      <c r="DH1352">
        <v>0</v>
      </c>
      <c r="DI1352">
        <f t="shared" si="1775"/>
        <v>1</v>
      </c>
      <c r="DJ1352" t="str">
        <f t="shared" si="1776"/>
        <v>TimberInput</v>
      </c>
      <c r="DK1352">
        <f t="shared" si="1777"/>
        <v>0</v>
      </c>
      <c r="DL1352">
        <f t="shared" si="1778"/>
        <v>0</v>
      </c>
      <c r="DM1352">
        <f t="shared" si="1779"/>
        <v>0</v>
      </c>
      <c r="DN1352" t="str">
        <f t="shared" si="1780"/>
        <v>Timber</v>
      </c>
      <c r="DO1352">
        <v>0</v>
      </c>
      <c r="DP1352">
        <v>0</v>
      </c>
      <c r="DQ1352">
        <v>0</v>
      </c>
      <c r="DR1352">
        <v>0</v>
      </c>
      <c r="DS1352">
        <v>0</v>
      </c>
      <c r="DT1352">
        <f t="shared" si="1781"/>
        <v>0</v>
      </c>
      <c r="DU1352" s="143" t="str">
        <f t="shared" si="1782"/>
        <v>explicit C balance</v>
      </c>
      <c r="DV1352">
        <v>0</v>
      </c>
      <c r="DW1352">
        <v>1</v>
      </c>
      <c r="DX1352">
        <v>0</v>
      </c>
      <c r="DY1352">
        <v>1</v>
      </c>
      <c r="DZ1352">
        <v>1</v>
      </c>
      <c r="EA1352">
        <v>0</v>
      </c>
      <c r="EB1352">
        <v>1</v>
      </c>
      <c r="EC1352">
        <v>1</v>
      </c>
      <c r="ED1352">
        <v>1</v>
      </c>
      <c r="EE1352">
        <v>1</v>
      </c>
      <c r="EF1352">
        <v>0</v>
      </c>
      <c r="EG1352">
        <v>0</v>
      </c>
      <c r="EH1352">
        <v>0</v>
      </c>
      <c r="EI1352" s="2">
        <v>0</v>
      </c>
      <c r="EK1352" t="str">
        <f t="shared" si="1783"/>
        <v/>
      </c>
      <c r="EL1352" t="str">
        <f t="shared" si="1784"/>
        <v/>
      </c>
      <c r="EM1352" s="2" t="str">
        <f t="shared" si="1751"/>
        <v/>
      </c>
      <c r="EP1352" t="str">
        <f>IF(ISNUMBER(BU1352),IF(ABS(BU1352-[4]QC_indicators!$B$2)&gt;3*[4]QC_indicators!$C$2,"C ratio",IF(ISNUMBER(BY1352),IF(ABS(BY1352-[4]QC_indicators!$B$1)&gt;3*[4]QC_indicators!$C$1,"DF","no"))),IF(ISNUMBER(BY1352),IF(ABS(BY1352-[4]QC_indicators!$B$1)&gt;3*[4]QC_indicators!$C$1,"DF","no")))</f>
        <v>no</v>
      </c>
      <c r="ET1352" s="264" t="s">
        <v>3406</v>
      </c>
    </row>
    <row r="1353" spans="1:150" ht="15" hidden="1" customHeight="1">
      <c r="A1353" s="1" t="s">
        <v>333</v>
      </c>
      <c r="B1353" t="s">
        <v>1080</v>
      </c>
      <c r="C1353" t="s">
        <v>1081</v>
      </c>
      <c r="D1353" t="s">
        <v>1082</v>
      </c>
      <c r="E1353" t="s">
        <v>1083</v>
      </c>
      <c r="F1353" t="s">
        <v>1084</v>
      </c>
      <c r="G1353" t="s">
        <v>339</v>
      </c>
      <c r="H1353" t="s">
        <v>254</v>
      </c>
      <c r="I1353">
        <v>2022</v>
      </c>
      <c r="J1353">
        <v>3</v>
      </c>
      <c r="K1353" t="s">
        <v>1085</v>
      </c>
      <c r="M1353" t="str">
        <f t="shared" si="1755"/>
        <v>Robati_2022</v>
      </c>
      <c r="N1353" t="s">
        <v>222</v>
      </c>
      <c r="O1353" s="264" t="s">
        <v>223</v>
      </c>
      <c r="Q1353" s="264" t="s">
        <v>389</v>
      </c>
      <c r="R1353" s="269" t="s">
        <v>1153</v>
      </c>
      <c r="S1353" s="263" t="s">
        <v>1096</v>
      </c>
      <c r="T1353" s="264" t="s">
        <v>1095</v>
      </c>
      <c r="U1353" s="264" t="s">
        <v>1088</v>
      </c>
      <c r="V1353">
        <v>0</v>
      </c>
      <c r="W1353">
        <v>0</v>
      </c>
      <c r="X1353">
        <v>0</v>
      </c>
      <c r="Y1353">
        <v>0</v>
      </c>
      <c r="Z1353">
        <v>0</v>
      </c>
      <c r="AA1353">
        <v>0</v>
      </c>
      <c r="AB1353">
        <v>0</v>
      </c>
      <c r="AC1353">
        <v>0</v>
      </c>
      <c r="AD1353">
        <v>0</v>
      </c>
      <c r="AE1353">
        <v>0</v>
      </c>
      <c r="AF1353">
        <v>0</v>
      </c>
      <c r="AG1353">
        <v>0</v>
      </c>
      <c r="AH1353">
        <v>0</v>
      </c>
      <c r="AI1353">
        <v>0</v>
      </c>
      <c r="AJ1353">
        <v>0</v>
      </c>
      <c r="AK1353">
        <v>1</v>
      </c>
      <c r="AL1353">
        <v>0</v>
      </c>
      <c r="AM1353">
        <v>0</v>
      </c>
      <c r="AN1353">
        <v>0</v>
      </c>
      <c r="AO1353">
        <v>0</v>
      </c>
      <c r="AP1353">
        <v>0</v>
      </c>
      <c r="AQ1353">
        <v>0</v>
      </c>
      <c r="AR1353">
        <v>0</v>
      </c>
      <c r="AS1353">
        <v>0</v>
      </c>
      <c r="AT1353">
        <v>0</v>
      </c>
      <c r="AU1353">
        <v>0</v>
      </c>
      <c r="AV1353">
        <v>0</v>
      </c>
      <c r="AW1353">
        <v>0</v>
      </c>
      <c r="AX1353" s="141">
        <f t="shared" si="1756"/>
        <v>1</v>
      </c>
      <c r="AY1353" s="141">
        <f t="shared" si="1757"/>
        <v>1</v>
      </c>
      <c r="AZ1353">
        <f t="shared" si="1758"/>
        <v>0</v>
      </c>
      <c r="BA1353">
        <f t="shared" si="1759"/>
        <v>0</v>
      </c>
      <c r="BB1353">
        <f t="shared" si="1760"/>
        <v>1</v>
      </c>
      <c r="BC1353">
        <f t="shared" si="1761"/>
        <v>0</v>
      </c>
      <c r="BD1353">
        <f t="shared" si="1762"/>
        <v>0</v>
      </c>
      <c r="BE1353" t="str" cm="1">
        <f t="array" ref="BE1353">IF(AY1353=1,INDEX($V$7:$AL$7,MATCH(TRUE,INDEX($V1353:$AW1353&lt;&gt;0,),0)),IF(AY1353=0,INDEX($AM$7:$AW$7,MATCH(1,$AM1353:$AW1353,0)),IF(BF1353="Multiple strategies","mixed drivers",IF(BF1353="Supply chain","multiple supply","multiple silviculture"))))</f>
        <v>technologies/design switch</v>
      </c>
      <c r="BF1353" s="2" t="str" cm="1">
        <f t="array" ref="BF1353">IF(COUNTIF(AZ1353:BB1353,"&lt;&gt;0")=1,INDEX($V$4:$AW$4,MATCH(TRUE,INDEX($V1353:$AW1353&lt;&gt;0,),0)),IF(COUNTIF(AZ1353:BB1353,"&lt;&gt;0")=0,INDEX($AM$4:$AW$4,MATCH(1,$AM1353:$AW1353,0)),"Multiple strategies"))</f>
        <v>Technology</v>
      </c>
      <c r="BG1353" s="1" t="s">
        <v>229</v>
      </c>
      <c r="BH1353" s="264" t="s">
        <v>1089</v>
      </c>
      <c r="BI1353" s="264" t="s">
        <v>716</v>
      </c>
      <c r="BJ1353" s="264" t="s">
        <v>1090</v>
      </c>
      <c r="BK1353">
        <f t="shared" si="1785"/>
        <v>0.35353929075389212</v>
      </c>
      <c r="BL1353">
        <f t="shared" si="1786"/>
        <v>0.56787272432857583</v>
      </c>
      <c r="BN1353">
        <f t="shared" si="1763"/>
        <v>0.21433343357468371</v>
      </c>
      <c r="BO1353">
        <f t="shared" si="1787"/>
        <v>0.21433343357468371</v>
      </c>
      <c r="BP1353" s="264" t="s">
        <v>395</v>
      </c>
      <c r="BQ1353" s="264" t="s">
        <v>785</v>
      </c>
      <c r="BR1353" s="264" t="s">
        <v>1091</v>
      </c>
      <c r="BS1353">
        <f>379</f>
        <v>379</v>
      </c>
      <c r="BT1353">
        <f>350.8</f>
        <v>350.8</v>
      </c>
      <c r="BU1353" s="144">
        <f t="shared" si="1764"/>
        <v>0.92559366754617423</v>
      </c>
      <c r="BV1353">
        <f t="shared" si="1765"/>
        <v>-28.199999999999989</v>
      </c>
      <c r="BX1353">
        <f t="shared" si="1788"/>
        <v>-2.8199999999999989E-2</v>
      </c>
      <c r="BY1353">
        <f t="shared" si="1750"/>
        <v>-0.13157070051870279</v>
      </c>
      <c r="BZ1353">
        <v>0</v>
      </c>
      <c r="CA1353">
        <v>0</v>
      </c>
      <c r="CB1353">
        <v>0</v>
      </c>
      <c r="CC1353">
        <v>0</v>
      </c>
      <c r="CD1353">
        <v>0</v>
      </c>
      <c r="CE1353">
        <v>0</v>
      </c>
      <c r="CF1353">
        <v>0</v>
      </c>
      <c r="CG1353">
        <v>0</v>
      </c>
      <c r="CH1353">
        <v>0</v>
      </c>
      <c r="CI1353">
        <v>0</v>
      </c>
      <c r="CJ1353">
        <v>0</v>
      </c>
      <c r="CK1353">
        <v>0</v>
      </c>
      <c r="CL1353">
        <v>0</v>
      </c>
      <c r="CM1353">
        <v>0</v>
      </c>
      <c r="CN1353" t="str">
        <f t="shared" si="1766"/>
        <v>refOK</v>
      </c>
      <c r="CO1353">
        <f t="shared" si="1789"/>
        <v>0.35353929075389212</v>
      </c>
      <c r="CP1353">
        <f t="shared" si="1790"/>
        <v>0.56787272432857583</v>
      </c>
      <c r="CQ1353">
        <f t="shared" si="1767"/>
        <v>0.21433343357468371</v>
      </c>
      <c r="CR1353">
        <f t="shared" si="1768"/>
        <v>-379</v>
      </c>
      <c r="CS1353">
        <f t="shared" si="1769"/>
        <v>-350.8</v>
      </c>
      <c r="CT1353">
        <f t="shared" si="1770"/>
        <v>2.8199999999999989E-2</v>
      </c>
      <c r="CU1353">
        <f t="shared" si="1771"/>
        <v>0.13157070051870279</v>
      </c>
      <c r="CV1353" s="2">
        <f t="shared" si="1772"/>
        <v>7.440633245382583E-2</v>
      </c>
      <c r="CW1353" s="263" t="s">
        <v>263</v>
      </c>
      <c r="CX1353" s="264" t="str">
        <f t="shared" si="1773"/>
        <v>loc</v>
      </c>
      <c r="CY1353" s="264" t="s">
        <v>574</v>
      </c>
      <c r="DB1353">
        <v>0</v>
      </c>
      <c r="DC1353" t="str">
        <f t="shared" si="1774"/>
        <v>0</v>
      </c>
      <c r="DD1353">
        <v>0</v>
      </c>
      <c r="DE1353">
        <v>0</v>
      </c>
      <c r="DF1353">
        <v>0</v>
      </c>
      <c r="DG1353">
        <v>1</v>
      </c>
      <c r="DH1353">
        <v>0</v>
      </c>
      <c r="DI1353">
        <f t="shared" si="1775"/>
        <v>1</v>
      </c>
      <c r="DJ1353" t="str">
        <f t="shared" si="1776"/>
        <v>TimberInput</v>
      </c>
      <c r="DK1353">
        <f t="shared" si="1777"/>
        <v>0</v>
      </c>
      <c r="DL1353">
        <f t="shared" si="1778"/>
        <v>0</v>
      </c>
      <c r="DM1353">
        <f t="shared" si="1779"/>
        <v>0</v>
      </c>
      <c r="DN1353" t="str">
        <f t="shared" si="1780"/>
        <v>Timber</v>
      </c>
      <c r="DO1353">
        <v>0</v>
      </c>
      <c r="DP1353">
        <v>0</v>
      </c>
      <c r="DQ1353">
        <v>0</v>
      </c>
      <c r="DR1353">
        <v>0</v>
      </c>
      <c r="DS1353">
        <v>0</v>
      </c>
      <c r="DT1353">
        <f t="shared" si="1781"/>
        <v>0</v>
      </c>
      <c r="DU1353" s="143" t="str">
        <f t="shared" si="1782"/>
        <v>explicit C balance</v>
      </c>
      <c r="DV1353">
        <v>0</v>
      </c>
      <c r="DW1353">
        <v>0</v>
      </c>
      <c r="DX1353">
        <v>0</v>
      </c>
      <c r="DY1353">
        <v>0</v>
      </c>
      <c r="DZ1353">
        <v>0</v>
      </c>
      <c r="EA1353">
        <v>0</v>
      </c>
      <c r="EB1353">
        <v>0</v>
      </c>
      <c r="EC1353">
        <v>1</v>
      </c>
      <c r="ED1353">
        <v>0</v>
      </c>
      <c r="EE1353">
        <v>0</v>
      </c>
      <c r="EF1353">
        <v>0</v>
      </c>
      <c r="EG1353">
        <v>0</v>
      </c>
      <c r="EH1353">
        <v>0</v>
      </c>
      <c r="EI1353" s="2">
        <v>0</v>
      </c>
      <c r="EK1353" t="str">
        <f t="shared" si="1783"/>
        <v/>
      </c>
      <c r="EL1353" t="str">
        <f t="shared" si="1784"/>
        <v/>
      </c>
      <c r="EM1353" s="2" t="str">
        <f t="shared" si="1751"/>
        <v/>
      </c>
      <c r="EP1353" t="str">
        <f>IF(ISNUMBER(BU1353),IF(ABS(BU1353-[4]QC_indicators!$B$2)&gt;3*[4]QC_indicators!$C$2,"C ratio",IF(ISNUMBER(BY1353),IF(ABS(BY1353-[4]QC_indicators!$B$1)&gt;3*[4]QC_indicators!$C$1,"DF","no"))),IF(ISNUMBER(BY1353),IF(ABS(BY1353-[4]QC_indicators!$B$1)&gt;3*[4]QC_indicators!$C$1,"DF","no")))</f>
        <v>no</v>
      </c>
      <c r="ET1353" s="264" t="s">
        <v>3406</v>
      </c>
    </row>
    <row r="1354" spans="1:150" ht="15" hidden="1" customHeight="1">
      <c r="A1354" s="1" t="s">
        <v>333</v>
      </c>
      <c r="B1354" t="s">
        <v>1080</v>
      </c>
      <c r="C1354" t="s">
        <v>1081</v>
      </c>
      <c r="D1354" t="s">
        <v>1082</v>
      </c>
      <c r="E1354" t="s">
        <v>1083</v>
      </c>
      <c r="F1354" t="s">
        <v>1084</v>
      </c>
      <c r="G1354" t="s">
        <v>339</v>
      </c>
      <c r="H1354" t="s">
        <v>254</v>
      </c>
      <c r="I1354">
        <v>2022</v>
      </c>
      <c r="J1354">
        <v>3</v>
      </c>
      <c r="K1354" t="s">
        <v>1085</v>
      </c>
      <c r="M1354" t="str">
        <f t="shared" si="1755"/>
        <v>Robati_2022</v>
      </c>
      <c r="N1354" t="s">
        <v>222</v>
      </c>
      <c r="O1354" s="264" t="s">
        <v>223</v>
      </c>
      <c r="Q1354" s="264" t="s">
        <v>389</v>
      </c>
      <c r="R1354" s="269" t="s">
        <v>1153</v>
      </c>
      <c r="S1354" s="263" t="s">
        <v>1100</v>
      </c>
      <c r="T1354" s="264" t="s">
        <v>1095</v>
      </c>
      <c r="U1354" s="264" t="s">
        <v>1088</v>
      </c>
      <c r="V1354">
        <v>0</v>
      </c>
      <c r="W1354">
        <v>0</v>
      </c>
      <c r="X1354">
        <v>0</v>
      </c>
      <c r="Y1354">
        <v>0</v>
      </c>
      <c r="Z1354">
        <v>0</v>
      </c>
      <c r="AA1354">
        <v>0</v>
      </c>
      <c r="AB1354">
        <v>0</v>
      </c>
      <c r="AC1354">
        <v>0</v>
      </c>
      <c r="AD1354">
        <v>0</v>
      </c>
      <c r="AE1354">
        <v>0</v>
      </c>
      <c r="AF1354">
        <v>0</v>
      </c>
      <c r="AG1354">
        <v>0</v>
      </c>
      <c r="AH1354">
        <v>0</v>
      </c>
      <c r="AI1354">
        <v>0</v>
      </c>
      <c r="AJ1354">
        <v>0</v>
      </c>
      <c r="AK1354">
        <v>1</v>
      </c>
      <c r="AL1354">
        <v>0</v>
      </c>
      <c r="AM1354">
        <v>0</v>
      </c>
      <c r="AN1354">
        <v>0</v>
      </c>
      <c r="AO1354">
        <v>0</v>
      </c>
      <c r="AP1354">
        <v>0</v>
      </c>
      <c r="AQ1354">
        <v>0</v>
      </c>
      <c r="AR1354">
        <v>0</v>
      </c>
      <c r="AS1354">
        <v>0</v>
      </c>
      <c r="AT1354">
        <v>0</v>
      </c>
      <c r="AU1354">
        <v>0</v>
      </c>
      <c r="AV1354">
        <v>0</v>
      </c>
      <c r="AW1354">
        <v>0</v>
      </c>
      <c r="AX1354" s="141">
        <f t="shared" si="1756"/>
        <v>1</v>
      </c>
      <c r="AY1354" s="141">
        <f t="shared" si="1757"/>
        <v>1</v>
      </c>
      <c r="AZ1354">
        <f t="shared" si="1758"/>
        <v>0</v>
      </c>
      <c r="BA1354">
        <f t="shared" si="1759"/>
        <v>0</v>
      </c>
      <c r="BB1354">
        <f t="shared" si="1760"/>
        <v>1</v>
      </c>
      <c r="BC1354">
        <f t="shared" si="1761"/>
        <v>0</v>
      </c>
      <c r="BD1354">
        <f t="shared" si="1762"/>
        <v>0</v>
      </c>
      <c r="BE1354" t="str" cm="1">
        <f t="array" ref="BE1354">IF(AY1354=1,INDEX($V$7:$AL$7,MATCH(TRUE,INDEX($V1354:$AW1354&lt;&gt;0,),0)),IF(AY1354=0,INDEX($AM$7:$AW$7,MATCH(1,$AM1354:$AW1354,0)),IF(BF1354="Multiple strategies","mixed drivers",IF(BF1354="Supply chain","multiple supply","multiple silviculture"))))</f>
        <v>technologies/design switch</v>
      </c>
      <c r="BF1354" s="2" t="str" cm="1">
        <f t="array" ref="BF1354">IF(COUNTIF(AZ1354:BB1354,"&lt;&gt;0")=1,INDEX($V$4:$AW$4,MATCH(TRUE,INDEX($V1354:$AW1354&lt;&gt;0,),0)),IF(COUNTIF(AZ1354:BB1354,"&lt;&gt;0")=0,INDEX($AM$4:$AW$4,MATCH(1,$AM1354:$AW1354,0)),"Multiple strategies"))</f>
        <v>Technology</v>
      </c>
      <c r="BG1354" s="1" t="s">
        <v>229</v>
      </c>
      <c r="BH1354" s="264" t="s">
        <v>1089</v>
      </c>
      <c r="BI1354" s="264" t="s">
        <v>716</v>
      </c>
      <c r="BJ1354" s="264" t="s">
        <v>1090</v>
      </c>
      <c r="BK1354">
        <f t="shared" si="1785"/>
        <v>0.35353929075389212</v>
      </c>
      <c r="BL1354">
        <f t="shared" si="1786"/>
        <v>0.56787272432857583</v>
      </c>
      <c r="BN1354">
        <f t="shared" si="1763"/>
        <v>0.21433343357468371</v>
      </c>
      <c r="BO1354">
        <f t="shared" si="1787"/>
        <v>0.21433343357468371</v>
      </c>
      <c r="BP1354" s="264" t="s">
        <v>395</v>
      </c>
      <c r="BQ1354" s="264" t="s">
        <v>785</v>
      </c>
      <c r="BR1354" s="264" t="s">
        <v>1091</v>
      </c>
      <c r="BS1354">
        <v>-5.6</v>
      </c>
      <c r="BT1354">
        <v>97.6</v>
      </c>
      <c r="BU1354" s="144">
        <f t="shared" si="1764"/>
        <v>-17.428571428571427</v>
      </c>
      <c r="BV1354">
        <f t="shared" si="1765"/>
        <v>103.19999999999999</v>
      </c>
      <c r="BX1354">
        <f t="shared" si="1788"/>
        <v>0.10319999999999999</v>
      </c>
      <c r="BY1354">
        <f t="shared" si="1750"/>
        <v>0.48149277636631677</v>
      </c>
      <c r="BZ1354">
        <v>0</v>
      </c>
      <c r="CA1354">
        <v>0</v>
      </c>
      <c r="CB1354">
        <v>0</v>
      </c>
      <c r="CC1354">
        <v>0</v>
      </c>
      <c r="CD1354">
        <v>0</v>
      </c>
      <c r="CE1354">
        <v>0</v>
      </c>
      <c r="CF1354">
        <v>0</v>
      </c>
      <c r="CG1354">
        <v>0</v>
      </c>
      <c r="CH1354">
        <v>0</v>
      </c>
      <c r="CI1354">
        <v>0</v>
      </c>
      <c r="CJ1354">
        <v>0</v>
      </c>
      <c r="CK1354">
        <v>0</v>
      </c>
      <c r="CL1354">
        <v>0</v>
      </c>
      <c r="CM1354">
        <v>0</v>
      </c>
      <c r="CN1354" t="str">
        <f t="shared" si="1766"/>
        <v>refOK</v>
      </c>
      <c r="CO1354">
        <f t="shared" si="1789"/>
        <v>0.35353929075389212</v>
      </c>
      <c r="CP1354">
        <f t="shared" si="1790"/>
        <v>0.56787272432857583</v>
      </c>
      <c r="CQ1354">
        <f t="shared" si="1767"/>
        <v>0.21433343357468371</v>
      </c>
      <c r="CR1354">
        <f t="shared" si="1768"/>
        <v>5.6</v>
      </c>
      <c r="CS1354">
        <f t="shared" si="1769"/>
        <v>-97.6</v>
      </c>
      <c r="CT1354">
        <f t="shared" si="1770"/>
        <v>-0.10319999999999999</v>
      </c>
      <c r="CU1354">
        <f t="shared" si="1771"/>
        <v>-0.48149277636631677</v>
      </c>
      <c r="CV1354" s="2">
        <f t="shared" si="1772"/>
        <v>-18.428571428571427</v>
      </c>
      <c r="CW1354" s="263" t="s">
        <v>263</v>
      </c>
      <c r="CX1354" s="264" t="str">
        <f t="shared" si="1773"/>
        <v>loc</v>
      </c>
      <c r="CY1354" s="264" t="s">
        <v>574</v>
      </c>
      <c r="DB1354">
        <v>0</v>
      </c>
      <c r="DC1354" t="str">
        <f t="shared" si="1774"/>
        <v>0</v>
      </c>
      <c r="DD1354">
        <v>0</v>
      </c>
      <c r="DE1354">
        <v>0</v>
      </c>
      <c r="DF1354">
        <v>0</v>
      </c>
      <c r="DG1354">
        <v>1</v>
      </c>
      <c r="DH1354">
        <v>0</v>
      </c>
      <c r="DI1354">
        <f t="shared" si="1775"/>
        <v>1</v>
      </c>
      <c r="DJ1354" t="str">
        <f t="shared" si="1776"/>
        <v>TimberInput</v>
      </c>
      <c r="DK1354">
        <f t="shared" si="1777"/>
        <v>0</v>
      </c>
      <c r="DL1354">
        <f t="shared" si="1778"/>
        <v>0</v>
      </c>
      <c r="DM1354">
        <f t="shared" si="1779"/>
        <v>0</v>
      </c>
      <c r="DN1354" t="str">
        <f t="shared" si="1780"/>
        <v>Timber</v>
      </c>
      <c r="DO1354">
        <v>0</v>
      </c>
      <c r="DP1354">
        <v>0</v>
      </c>
      <c r="DQ1354">
        <v>0</v>
      </c>
      <c r="DR1354">
        <v>0</v>
      </c>
      <c r="DS1354">
        <v>0</v>
      </c>
      <c r="DT1354">
        <f t="shared" si="1781"/>
        <v>0</v>
      </c>
      <c r="DU1354" s="143" t="str">
        <f t="shared" si="1782"/>
        <v>explicit C balance</v>
      </c>
      <c r="DV1354">
        <v>0</v>
      </c>
      <c r="DW1354">
        <v>0</v>
      </c>
      <c r="DX1354">
        <v>0</v>
      </c>
      <c r="DY1354">
        <v>0</v>
      </c>
      <c r="DZ1354">
        <v>1</v>
      </c>
      <c r="EA1354">
        <v>0</v>
      </c>
      <c r="EB1354">
        <v>0</v>
      </c>
      <c r="EC1354">
        <v>0</v>
      </c>
      <c r="ED1354">
        <v>0</v>
      </c>
      <c r="EE1354">
        <v>1</v>
      </c>
      <c r="EF1354">
        <v>0</v>
      </c>
      <c r="EG1354">
        <v>0</v>
      </c>
      <c r="EH1354">
        <v>0</v>
      </c>
      <c r="EI1354" s="2">
        <v>0</v>
      </c>
      <c r="EK1354" t="str">
        <f t="shared" si="1783"/>
        <v/>
      </c>
      <c r="EL1354" t="str">
        <f t="shared" si="1784"/>
        <v/>
      </c>
      <c r="EM1354" s="2" t="str">
        <f t="shared" si="1751"/>
        <v/>
      </c>
      <c r="EP1354" t="str">
        <f>IF(ISNUMBER(BU1354),IF(ABS(BU1354-[4]QC_indicators!$B$2)&gt;3*[4]QC_indicators!$C$2,"C ratio",IF(ISNUMBER(BY1354),IF(ABS(BY1354-[4]QC_indicators!$B$1)&gt;3*[4]QC_indicators!$C$1,"DF","no"))),IF(ISNUMBER(BY1354),IF(ABS(BY1354-[4]QC_indicators!$B$1)&gt;3*[4]QC_indicators!$C$1,"DF","no")))</f>
        <v>no</v>
      </c>
      <c r="ET1354" s="264" t="s">
        <v>3406</v>
      </c>
    </row>
    <row r="1355" spans="1:150" ht="15" hidden="1" customHeight="1">
      <c r="A1355" s="1" t="s">
        <v>333</v>
      </c>
      <c r="B1355" t="s">
        <v>1080</v>
      </c>
      <c r="C1355" t="s">
        <v>1081</v>
      </c>
      <c r="D1355" t="s">
        <v>1082</v>
      </c>
      <c r="E1355" t="s">
        <v>1083</v>
      </c>
      <c r="F1355" t="s">
        <v>1084</v>
      </c>
      <c r="G1355" t="s">
        <v>339</v>
      </c>
      <c r="H1355" t="s">
        <v>254</v>
      </c>
      <c r="I1355">
        <v>2022</v>
      </c>
      <c r="J1355">
        <v>3</v>
      </c>
      <c r="K1355" t="s">
        <v>1085</v>
      </c>
      <c r="M1355" t="str">
        <f t="shared" si="1755"/>
        <v>Robati_2022</v>
      </c>
      <c r="N1355" t="s">
        <v>222</v>
      </c>
      <c r="O1355" s="264" t="s">
        <v>223</v>
      </c>
      <c r="Q1355" s="264" t="s">
        <v>389</v>
      </c>
      <c r="R1355" s="269" t="s">
        <v>1153</v>
      </c>
      <c r="S1355" s="263" t="s">
        <v>1086</v>
      </c>
      <c r="T1355" s="264" t="s">
        <v>1087</v>
      </c>
      <c r="U1355" s="264" t="s">
        <v>1088</v>
      </c>
      <c r="V1355">
        <v>0</v>
      </c>
      <c r="W1355">
        <v>0</v>
      </c>
      <c r="X1355">
        <v>0</v>
      </c>
      <c r="Y1355">
        <v>0</v>
      </c>
      <c r="Z1355">
        <v>0</v>
      </c>
      <c r="AA1355">
        <v>0</v>
      </c>
      <c r="AB1355">
        <v>0</v>
      </c>
      <c r="AC1355">
        <v>0</v>
      </c>
      <c r="AD1355">
        <v>0</v>
      </c>
      <c r="AE1355">
        <v>0</v>
      </c>
      <c r="AF1355">
        <v>0</v>
      </c>
      <c r="AG1355">
        <v>0</v>
      </c>
      <c r="AH1355">
        <v>1</v>
      </c>
      <c r="AI1355">
        <v>0</v>
      </c>
      <c r="AJ1355">
        <v>0</v>
      </c>
      <c r="AK1355">
        <v>0</v>
      </c>
      <c r="AL1355">
        <v>0</v>
      </c>
      <c r="AM1355">
        <v>0</v>
      </c>
      <c r="AN1355">
        <v>0</v>
      </c>
      <c r="AO1355">
        <v>0</v>
      </c>
      <c r="AP1355">
        <v>0</v>
      </c>
      <c r="AQ1355">
        <v>0</v>
      </c>
      <c r="AR1355">
        <v>0</v>
      </c>
      <c r="AS1355">
        <v>0</v>
      </c>
      <c r="AT1355">
        <v>0</v>
      </c>
      <c r="AU1355">
        <v>0</v>
      </c>
      <c r="AV1355">
        <v>0</v>
      </c>
      <c r="AW1355">
        <v>0</v>
      </c>
      <c r="AX1355" s="141">
        <f t="shared" si="1756"/>
        <v>1</v>
      </c>
      <c r="AY1355" s="141">
        <f t="shared" si="1757"/>
        <v>1</v>
      </c>
      <c r="AZ1355">
        <f t="shared" si="1758"/>
        <v>0</v>
      </c>
      <c r="BA1355">
        <f t="shared" si="1759"/>
        <v>1</v>
      </c>
      <c r="BB1355">
        <f t="shared" si="1760"/>
        <v>0</v>
      </c>
      <c r="BC1355">
        <f t="shared" si="1761"/>
        <v>0</v>
      </c>
      <c r="BD1355">
        <f t="shared" si="1762"/>
        <v>0</v>
      </c>
      <c r="BE1355" t="str" cm="1">
        <f t="array" ref="BE1355">IF(AY1355=1,INDEX($V$7:$AL$7,MATCH(TRUE,INDEX($V1355:$AW1355&lt;&gt;0,),0)),IF(AY1355=0,INDEX($AM$7:$AW$7,MATCH(1,$AM1355:$AW1355,0)),IF(BF1355="Multiple strategies","mixed drivers",IF(BF1355="Supply chain","multiple supply","multiple silviculture"))))</f>
        <v xml:space="preserve">end of life disposal </v>
      </c>
      <c r="BF1355" s="2" t="str" cm="1">
        <f t="array" ref="BF1355">IF(COUNTIF(AZ1355:BB1355,"&lt;&gt;0")=1,INDEX($V$4:$AW$4,MATCH(TRUE,INDEX($V1355:$AW1355&lt;&gt;0,),0)),IF(COUNTIF(AZ1355:BB1355,"&lt;&gt;0")=0,INDEX($AM$4:$AW$4,MATCH(1,$AM1355:$AW1355,0)),"Multiple strategies"))</f>
        <v>Supply chain</v>
      </c>
      <c r="BG1355" s="1" t="s">
        <v>229</v>
      </c>
      <c r="BH1355" s="264" t="s">
        <v>1089</v>
      </c>
      <c r="BI1355" s="264" t="s">
        <v>716</v>
      </c>
      <c r="BJ1355" s="264" t="s">
        <v>1090</v>
      </c>
      <c r="BK1355">
        <f>(6.17+4901.94+10375.04+8069.52+1195.9)/43229</f>
        <v>0.56787272432857583</v>
      </c>
      <c r="BL1355">
        <f t="shared" si="1786"/>
        <v>0.56787272432857583</v>
      </c>
      <c r="BN1355">
        <f t="shared" si="1763"/>
        <v>0</v>
      </c>
      <c r="BO1355">
        <f t="shared" si="1787"/>
        <v>0</v>
      </c>
      <c r="BP1355" s="264" t="s">
        <v>395</v>
      </c>
      <c r="BQ1355" s="264" t="s">
        <v>429</v>
      </c>
      <c r="BR1355" s="264" t="s">
        <v>1091</v>
      </c>
      <c r="BT1355" s="299">
        <f>417.21+86.188</f>
        <v>503.39799999999997</v>
      </c>
      <c r="BU1355" s="144">
        <f>41.21-86.88</f>
        <v>-45.669999999999995</v>
      </c>
      <c r="BV1355">
        <f t="shared" si="1765"/>
        <v>503.39799999999997</v>
      </c>
      <c r="BX1355">
        <f t="shared" si="1788"/>
        <v>0.50339800000000001</v>
      </c>
      <c r="BY1355" t="str">
        <f t="shared" si="1750"/>
        <v/>
      </c>
      <c r="BZ1355">
        <v>0</v>
      </c>
      <c r="CA1355">
        <v>0</v>
      </c>
      <c r="CB1355">
        <v>0</v>
      </c>
      <c r="CC1355">
        <v>0</v>
      </c>
      <c r="CD1355">
        <v>0</v>
      </c>
      <c r="CE1355">
        <v>0</v>
      </c>
      <c r="CF1355">
        <v>0</v>
      </c>
      <c r="CG1355">
        <v>0</v>
      </c>
      <c r="CH1355">
        <v>0</v>
      </c>
      <c r="CI1355">
        <v>0</v>
      </c>
      <c r="CJ1355">
        <v>0</v>
      </c>
      <c r="CK1355">
        <v>0</v>
      </c>
      <c r="CL1355">
        <v>0</v>
      </c>
      <c r="CM1355">
        <v>0</v>
      </c>
      <c r="CN1355" t="str">
        <f t="shared" si="1766"/>
        <v>refOK</v>
      </c>
      <c r="CO1355">
        <f t="shared" si="1789"/>
        <v>0.56787272432857583</v>
      </c>
      <c r="CP1355">
        <f t="shared" si="1790"/>
        <v>0.56787272432857583</v>
      </c>
      <c r="CQ1355">
        <f t="shared" si="1767"/>
        <v>0</v>
      </c>
      <c r="CR1355">
        <f t="shared" si="1768"/>
        <v>0</v>
      </c>
      <c r="CS1355">
        <f t="shared" si="1769"/>
        <v>-503.39799999999997</v>
      </c>
      <c r="CT1355">
        <f t="shared" si="1770"/>
        <v>-0.50339800000000001</v>
      </c>
      <c r="CU1355" t="str">
        <f t="shared" si="1771"/>
        <v/>
      </c>
      <c r="CV1355" s="2" t="str">
        <f t="shared" si="1772"/>
        <v/>
      </c>
      <c r="CW1355" s="263" t="s">
        <v>263</v>
      </c>
      <c r="CX1355" s="264" t="str">
        <f t="shared" si="1773"/>
        <v>loc</v>
      </c>
      <c r="CY1355" s="264" t="s">
        <v>574</v>
      </c>
      <c r="DB1355">
        <v>0</v>
      </c>
      <c r="DC1355" t="str">
        <f t="shared" si="1774"/>
        <v>0</v>
      </c>
      <c r="DD1355">
        <v>0</v>
      </c>
      <c r="DE1355">
        <v>0</v>
      </c>
      <c r="DF1355">
        <v>0</v>
      </c>
      <c r="DG1355">
        <v>1</v>
      </c>
      <c r="DH1355">
        <v>0</v>
      </c>
      <c r="DI1355">
        <f t="shared" si="1775"/>
        <v>1</v>
      </c>
      <c r="DJ1355" t="str">
        <f t="shared" si="1776"/>
        <v>TimberInput</v>
      </c>
      <c r="DK1355">
        <f t="shared" si="1777"/>
        <v>0</v>
      </c>
      <c r="DL1355">
        <f t="shared" si="1778"/>
        <v>0</v>
      </c>
      <c r="DM1355">
        <f t="shared" si="1779"/>
        <v>0</v>
      </c>
      <c r="DN1355" t="str">
        <f t="shared" si="1780"/>
        <v>Timber</v>
      </c>
      <c r="DO1355">
        <v>0</v>
      </c>
      <c r="DP1355">
        <v>0</v>
      </c>
      <c r="DQ1355">
        <v>0</v>
      </c>
      <c r="DR1355">
        <v>0</v>
      </c>
      <c r="DS1355">
        <v>0</v>
      </c>
      <c r="DT1355">
        <f t="shared" si="1781"/>
        <v>0</v>
      </c>
      <c r="DU1355" s="143" t="str">
        <f t="shared" si="1782"/>
        <v>explicit C balance</v>
      </c>
      <c r="DV1355">
        <v>0</v>
      </c>
      <c r="DW1355">
        <v>1</v>
      </c>
      <c r="DX1355">
        <v>0</v>
      </c>
      <c r="DY1355">
        <v>1</v>
      </c>
      <c r="DZ1355">
        <v>1</v>
      </c>
      <c r="EA1355">
        <v>0</v>
      </c>
      <c r="EB1355">
        <v>1</v>
      </c>
      <c r="EC1355">
        <v>1</v>
      </c>
      <c r="ED1355">
        <v>1</v>
      </c>
      <c r="EE1355">
        <v>1</v>
      </c>
      <c r="EF1355">
        <v>0</v>
      </c>
      <c r="EG1355">
        <v>0</v>
      </c>
      <c r="EH1355">
        <v>0</v>
      </c>
      <c r="EI1355" s="2">
        <v>0</v>
      </c>
      <c r="EK1355" t="str">
        <f t="shared" si="1783"/>
        <v/>
      </c>
      <c r="EL1355" t="str">
        <f t="shared" si="1784"/>
        <v/>
      </c>
      <c r="EM1355" s="2" t="str">
        <f t="shared" si="1751"/>
        <v/>
      </c>
      <c r="EP1355" t="b">
        <f>IF(ISNUMBER(BU1355),IF(ABS(BU1355-[4]QC_indicators!$B$2)&gt;3*[4]QC_indicators!$C$2,"C ratio",IF(ISNUMBER(BY1355),IF(ABS(BY1355-[4]QC_indicators!$B$1)&gt;3*[4]QC_indicators!$C$1,"DF","no"))),IF(ISNUMBER(BY1355),IF(ABS(BY1355-[4]QC_indicators!$B$1)&gt;3*[4]QC_indicators!$C$1,"DF","no")))</f>
        <v>0</v>
      </c>
      <c r="ET1355" s="264" t="s">
        <v>3406</v>
      </c>
    </row>
    <row r="1356" spans="1:150" ht="15" hidden="1" customHeight="1">
      <c r="A1356" s="1" t="s">
        <v>333</v>
      </c>
      <c r="B1356" t="s">
        <v>1080</v>
      </c>
      <c r="C1356" t="s">
        <v>1081</v>
      </c>
      <c r="D1356" t="s">
        <v>1082</v>
      </c>
      <c r="E1356" t="s">
        <v>1083</v>
      </c>
      <c r="F1356" t="s">
        <v>1084</v>
      </c>
      <c r="G1356" t="s">
        <v>339</v>
      </c>
      <c r="H1356" t="s">
        <v>254</v>
      </c>
      <c r="I1356">
        <v>2022</v>
      </c>
      <c r="J1356">
        <v>3</v>
      </c>
      <c r="K1356" t="s">
        <v>1085</v>
      </c>
      <c r="M1356" t="str">
        <f t="shared" si="1755"/>
        <v>Robati_2022</v>
      </c>
      <c r="N1356" t="s">
        <v>222</v>
      </c>
      <c r="O1356" s="264" t="s">
        <v>223</v>
      </c>
      <c r="Q1356" s="264" t="s">
        <v>389</v>
      </c>
      <c r="R1356" s="269" t="s">
        <v>1153</v>
      </c>
      <c r="S1356" s="263" t="s">
        <v>1092</v>
      </c>
      <c r="T1356" s="264" t="s">
        <v>1087</v>
      </c>
      <c r="U1356" s="264" t="s">
        <v>1088</v>
      </c>
      <c r="V1356">
        <v>0</v>
      </c>
      <c r="W1356">
        <v>0</v>
      </c>
      <c r="X1356">
        <v>0</v>
      </c>
      <c r="Y1356">
        <v>0</v>
      </c>
      <c r="Z1356">
        <v>0</v>
      </c>
      <c r="AA1356">
        <v>0</v>
      </c>
      <c r="AB1356">
        <v>0</v>
      </c>
      <c r="AC1356">
        <v>0</v>
      </c>
      <c r="AD1356">
        <v>1</v>
      </c>
      <c r="AE1356">
        <v>0</v>
      </c>
      <c r="AF1356">
        <v>0</v>
      </c>
      <c r="AG1356">
        <v>0</v>
      </c>
      <c r="AH1356">
        <v>0</v>
      </c>
      <c r="AI1356">
        <v>0</v>
      </c>
      <c r="AJ1356">
        <v>0</v>
      </c>
      <c r="AK1356">
        <v>0</v>
      </c>
      <c r="AL1356">
        <v>0</v>
      </c>
      <c r="AM1356">
        <v>0</v>
      </c>
      <c r="AN1356">
        <v>0</v>
      </c>
      <c r="AO1356">
        <v>0</v>
      </c>
      <c r="AP1356">
        <v>0</v>
      </c>
      <c r="AQ1356">
        <v>0</v>
      </c>
      <c r="AR1356">
        <v>0</v>
      </c>
      <c r="AS1356">
        <v>0</v>
      </c>
      <c r="AT1356">
        <v>0</v>
      </c>
      <c r="AU1356">
        <v>0</v>
      </c>
      <c r="AV1356">
        <v>0</v>
      </c>
      <c r="AW1356">
        <v>0</v>
      </c>
      <c r="AX1356" s="141">
        <f t="shared" si="1756"/>
        <v>1</v>
      </c>
      <c r="AY1356" s="141">
        <f t="shared" si="1757"/>
        <v>1</v>
      </c>
      <c r="AZ1356">
        <f t="shared" si="1758"/>
        <v>0</v>
      </c>
      <c r="BA1356">
        <f t="shared" si="1759"/>
        <v>1</v>
      </c>
      <c r="BB1356">
        <f t="shared" si="1760"/>
        <v>0</v>
      </c>
      <c r="BC1356">
        <f t="shared" si="1761"/>
        <v>0</v>
      </c>
      <c r="BD1356">
        <f t="shared" si="1762"/>
        <v>0</v>
      </c>
      <c r="BE1356" t="str" cm="1">
        <f t="array" ref="BE1356">IF(AY1356=1,INDEX($V$7:$AL$7,MATCH(TRUE,INDEX($V1356:$AW1356&lt;&gt;0,),0)),IF(AY1356=0,INDEX($AM$7:$AW$7,MATCH(1,$AM1356:$AW1356,0)),IF(BF1356="Multiple strategies","mixed drivers",IF(BF1356="Supply chain","multiple supply","multiple silviculture"))))</f>
        <v>harvesting system</v>
      </c>
      <c r="BF1356" s="2" t="str" cm="1">
        <f t="array" ref="BF1356">IF(COUNTIF(AZ1356:BB1356,"&lt;&gt;0")=1,INDEX($V$4:$AW$4,MATCH(TRUE,INDEX($V1356:$AW1356&lt;&gt;0,),0)),IF(COUNTIF(AZ1356:BB1356,"&lt;&gt;0")=0,INDEX($AM$4:$AW$4,MATCH(1,$AM1356:$AW1356,0)),"Multiple strategies"))</f>
        <v>Supply chain</v>
      </c>
      <c r="BG1356" s="1" t="s">
        <v>229</v>
      </c>
      <c r="BH1356" s="264" t="s">
        <v>1089</v>
      </c>
      <c r="BI1356" s="264" t="s">
        <v>716</v>
      </c>
      <c r="BJ1356" s="264" t="s">
        <v>1090</v>
      </c>
      <c r="BK1356">
        <f>(6.17+4901.94+10375.04+8069.52+1195.9)/43229</f>
        <v>0.56787272432857583</v>
      </c>
      <c r="BL1356">
        <f t="shared" si="1786"/>
        <v>0.56787272432857583</v>
      </c>
      <c r="BN1356">
        <f t="shared" si="1763"/>
        <v>0</v>
      </c>
      <c r="BO1356">
        <f t="shared" si="1787"/>
        <v>0</v>
      </c>
      <c r="BP1356" s="264" t="s">
        <v>395</v>
      </c>
      <c r="BQ1356" s="264" t="s">
        <v>429</v>
      </c>
      <c r="BR1356" s="264" t="s">
        <v>1091</v>
      </c>
      <c r="BS1356">
        <f>417.21+64.7</f>
        <v>481.90999999999997</v>
      </c>
      <c r="BT1356" s="299">
        <f>417.21-64.7</f>
        <v>352.51</v>
      </c>
      <c r="BU1356" s="144">
        <f t="shared" ref="BU1356:BU1369" si="1791">IFERROR(BT1356/BS1356,"")</f>
        <v>0.73148513207860388</v>
      </c>
      <c r="BV1356">
        <f t="shared" si="1765"/>
        <v>-129.39999999999998</v>
      </c>
      <c r="BX1356">
        <f t="shared" si="1788"/>
        <v>-0.12939999999999999</v>
      </c>
      <c r="BY1356" t="str">
        <f t="shared" si="1750"/>
        <v/>
      </c>
      <c r="BZ1356">
        <v>0</v>
      </c>
      <c r="CA1356">
        <v>0</v>
      </c>
      <c r="CB1356">
        <v>0</v>
      </c>
      <c r="CC1356">
        <v>0</v>
      </c>
      <c r="CD1356">
        <v>0</v>
      </c>
      <c r="CE1356">
        <v>0</v>
      </c>
      <c r="CF1356">
        <v>0</v>
      </c>
      <c r="CG1356">
        <v>0</v>
      </c>
      <c r="CH1356">
        <v>0</v>
      </c>
      <c r="CI1356">
        <v>0</v>
      </c>
      <c r="CJ1356">
        <v>0</v>
      </c>
      <c r="CK1356">
        <v>0</v>
      </c>
      <c r="CL1356">
        <v>0</v>
      </c>
      <c r="CM1356">
        <v>0</v>
      </c>
      <c r="CN1356" t="str">
        <f t="shared" si="1766"/>
        <v>refOK</v>
      </c>
      <c r="CO1356">
        <f t="shared" si="1789"/>
        <v>0.56787272432857583</v>
      </c>
      <c r="CP1356">
        <f t="shared" si="1790"/>
        <v>0.56787272432857583</v>
      </c>
      <c r="CQ1356">
        <f t="shared" si="1767"/>
        <v>0</v>
      </c>
      <c r="CR1356">
        <f t="shared" si="1768"/>
        <v>-481.90999999999997</v>
      </c>
      <c r="CS1356">
        <f t="shared" si="1769"/>
        <v>-352.51</v>
      </c>
      <c r="CT1356">
        <f t="shared" si="1770"/>
        <v>0.12939999999999999</v>
      </c>
      <c r="CU1356" t="str">
        <f t="shared" si="1771"/>
        <v/>
      </c>
      <c r="CV1356" s="2">
        <f t="shared" si="1772"/>
        <v>0.26851486792139606</v>
      </c>
      <c r="CW1356" s="263" t="s">
        <v>263</v>
      </c>
      <c r="CX1356" s="264" t="str">
        <f t="shared" si="1773"/>
        <v>loc</v>
      </c>
      <c r="CY1356" s="264" t="s">
        <v>574</v>
      </c>
      <c r="DB1356">
        <v>0</v>
      </c>
      <c r="DC1356" t="str">
        <f t="shared" si="1774"/>
        <v>0</v>
      </c>
      <c r="DD1356">
        <v>0</v>
      </c>
      <c r="DE1356">
        <v>0</v>
      </c>
      <c r="DF1356">
        <v>0</v>
      </c>
      <c r="DG1356">
        <v>1</v>
      </c>
      <c r="DH1356">
        <v>0</v>
      </c>
      <c r="DI1356">
        <f t="shared" si="1775"/>
        <v>1</v>
      </c>
      <c r="DJ1356" t="str">
        <f t="shared" si="1776"/>
        <v>TimberInput</v>
      </c>
      <c r="DK1356">
        <f t="shared" si="1777"/>
        <v>0</v>
      </c>
      <c r="DL1356">
        <f t="shared" si="1778"/>
        <v>0</v>
      </c>
      <c r="DM1356">
        <f t="shared" si="1779"/>
        <v>0</v>
      </c>
      <c r="DN1356" t="str">
        <f t="shared" si="1780"/>
        <v>Timber</v>
      </c>
      <c r="DO1356">
        <v>0</v>
      </c>
      <c r="DP1356">
        <v>0</v>
      </c>
      <c r="DQ1356">
        <v>0</v>
      </c>
      <c r="DR1356">
        <v>0</v>
      </c>
      <c r="DS1356">
        <v>0</v>
      </c>
      <c r="DT1356">
        <f t="shared" si="1781"/>
        <v>0</v>
      </c>
      <c r="DU1356" s="143" t="str">
        <f t="shared" si="1782"/>
        <v>explicit C balance</v>
      </c>
      <c r="DV1356">
        <v>0</v>
      </c>
      <c r="DW1356">
        <v>1</v>
      </c>
      <c r="DX1356">
        <v>0</v>
      </c>
      <c r="DY1356">
        <v>1</v>
      </c>
      <c r="DZ1356">
        <v>1</v>
      </c>
      <c r="EA1356">
        <v>0</v>
      </c>
      <c r="EB1356">
        <v>1</v>
      </c>
      <c r="EC1356">
        <v>1</v>
      </c>
      <c r="ED1356">
        <v>1</v>
      </c>
      <c r="EE1356">
        <v>1</v>
      </c>
      <c r="EF1356">
        <v>0</v>
      </c>
      <c r="EG1356">
        <v>0</v>
      </c>
      <c r="EH1356">
        <v>0</v>
      </c>
      <c r="EI1356" s="2">
        <v>0</v>
      </c>
      <c r="EK1356" t="str">
        <f t="shared" si="1783"/>
        <v/>
      </c>
      <c r="EL1356" t="str">
        <f t="shared" si="1784"/>
        <v/>
      </c>
      <c r="EM1356" s="2" t="str">
        <f t="shared" si="1751"/>
        <v/>
      </c>
      <c r="EP1356" t="b">
        <f>IF(ISNUMBER(BU1356),IF(ABS(BU1356-[4]QC_indicators!$B$2)&gt;3*[4]QC_indicators!$C$2,"C ratio",IF(ISNUMBER(BY1356),IF(ABS(BY1356-[4]QC_indicators!$B$1)&gt;3*[4]QC_indicators!$C$1,"DF","no"))),IF(ISNUMBER(BY1356),IF(ABS(BY1356-[4]QC_indicators!$B$1)&gt;3*[4]QC_indicators!$C$1,"DF","no")))</f>
        <v>0</v>
      </c>
      <c r="ET1356" s="264" t="s">
        <v>3406</v>
      </c>
    </row>
    <row r="1357" spans="1:150" ht="15" hidden="1" customHeight="1">
      <c r="A1357" s="1" t="s">
        <v>333</v>
      </c>
      <c r="B1357" t="s">
        <v>1080</v>
      </c>
      <c r="C1357" t="s">
        <v>1081</v>
      </c>
      <c r="D1357" t="s">
        <v>1082</v>
      </c>
      <c r="E1357" t="s">
        <v>1083</v>
      </c>
      <c r="F1357" t="s">
        <v>1084</v>
      </c>
      <c r="G1357" t="s">
        <v>339</v>
      </c>
      <c r="H1357" t="s">
        <v>254</v>
      </c>
      <c r="I1357">
        <v>2022</v>
      </c>
      <c r="J1357">
        <v>3</v>
      </c>
      <c r="K1357" t="s">
        <v>1085</v>
      </c>
      <c r="M1357" t="str">
        <f t="shared" si="1755"/>
        <v>Robati_2022</v>
      </c>
      <c r="N1357" t="s">
        <v>222</v>
      </c>
      <c r="O1357" s="264" t="s">
        <v>223</v>
      </c>
      <c r="Q1357" s="264" t="s">
        <v>389</v>
      </c>
      <c r="R1357" s="269" t="s">
        <v>1153</v>
      </c>
      <c r="S1357" s="263" t="s">
        <v>1093</v>
      </c>
      <c r="T1357" s="264" t="s">
        <v>1087</v>
      </c>
      <c r="U1357" s="264" t="s">
        <v>1088</v>
      </c>
      <c r="V1357">
        <v>0</v>
      </c>
      <c r="W1357">
        <v>0</v>
      </c>
      <c r="X1357">
        <v>0</v>
      </c>
      <c r="Y1357">
        <v>0</v>
      </c>
      <c r="Z1357">
        <v>0</v>
      </c>
      <c r="AA1357">
        <v>0</v>
      </c>
      <c r="AB1357">
        <v>0</v>
      </c>
      <c r="AC1357">
        <v>0</v>
      </c>
      <c r="AD1357">
        <v>0</v>
      </c>
      <c r="AE1357">
        <v>0</v>
      </c>
      <c r="AF1357">
        <v>0</v>
      </c>
      <c r="AG1357">
        <v>0</v>
      </c>
      <c r="AH1357">
        <v>0</v>
      </c>
      <c r="AI1357">
        <v>1</v>
      </c>
      <c r="AJ1357">
        <v>0</v>
      </c>
      <c r="AK1357">
        <v>0</v>
      </c>
      <c r="AL1357">
        <v>0</v>
      </c>
      <c r="AM1357">
        <v>0</v>
      </c>
      <c r="AN1357">
        <v>0</v>
      </c>
      <c r="AO1357">
        <v>0</v>
      </c>
      <c r="AP1357">
        <v>0</v>
      </c>
      <c r="AQ1357">
        <v>0</v>
      </c>
      <c r="AR1357">
        <v>0</v>
      </c>
      <c r="AS1357">
        <v>0</v>
      </c>
      <c r="AT1357">
        <v>0</v>
      </c>
      <c r="AU1357">
        <v>0</v>
      </c>
      <c r="AV1357">
        <v>0</v>
      </c>
      <c r="AW1357">
        <v>0</v>
      </c>
      <c r="AX1357" s="141">
        <f t="shared" si="1756"/>
        <v>1</v>
      </c>
      <c r="AY1357" s="141">
        <f t="shared" si="1757"/>
        <v>1</v>
      </c>
      <c r="AZ1357">
        <f t="shared" si="1758"/>
        <v>0</v>
      </c>
      <c r="BA1357">
        <f t="shared" si="1759"/>
        <v>1</v>
      </c>
      <c r="BB1357">
        <f t="shared" si="1760"/>
        <v>0</v>
      </c>
      <c r="BC1357">
        <f t="shared" si="1761"/>
        <v>0</v>
      </c>
      <c r="BD1357">
        <f t="shared" si="1762"/>
        <v>0</v>
      </c>
      <c r="BE1357" t="str" cm="1">
        <f t="array" ref="BE1357">IF(AY1357=1,INDEX($V$7:$AL$7,MATCH(TRUE,INDEX($V1357:$AW1357&lt;&gt;0,),0)),IF(AY1357=0,INDEX($AM$7:$AW$7,MATCH(1,$AM1357:$AW1357,0)),IF(BF1357="Multiple strategies","mixed drivers",IF(BF1357="Supply chain","multiple supply","multiple silviculture"))))</f>
        <v>products lifespan</v>
      </c>
      <c r="BF1357" s="2" t="str" cm="1">
        <f t="array" ref="BF1357">IF(COUNTIF(AZ1357:BB1357,"&lt;&gt;0")=1,INDEX($V$4:$AW$4,MATCH(TRUE,INDEX($V1357:$AW1357&lt;&gt;0,),0)),IF(COUNTIF(AZ1357:BB1357,"&lt;&gt;0")=0,INDEX($AM$4:$AW$4,MATCH(1,$AM1357:$AW1357,0)),"Multiple strategies"))</f>
        <v>Supply chain</v>
      </c>
      <c r="BG1357" s="1" t="s">
        <v>229</v>
      </c>
      <c r="BH1357" s="264" t="s">
        <v>1089</v>
      </c>
      <c r="BI1357" s="264" t="s">
        <v>716</v>
      </c>
      <c r="BJ1357" s="264" t="s">
        <v>1090</v>
      </c>
      <c r="BK1357">
        <f>(6.17+4901.94+10375.04+8069.52+1195.9)/43229</f>
        <v>0.56787272432857583</v>
      </c>
      <c r="BL1357">
        <f t="shared" si="1786"/>
        <v>0.56787272432857583</v>
      </c>
      <c r="BN1357">
        <f t="shared" si="1763"/>
        <v>0</v>
      </c>
      <c r="BO1357">
        <f t="shared" si="1787"/>
        <v>0</v>
      </c>
      <c r="BP1357" s="264" t="s">
        <v>395</v>
      </c>
      <c r="BQ1357" s="264" t="s">
        <v>429</v>
      </c>
      <c r="BR1357" s="264" t="s">
        <v>1091</v>
      </c>
      <c r="BS1357">
        <f>417.21+49.8</f>
        <v>467.01</v>
      </c>
      <c r="BT1357" s="299">
        <f>417.21-49.8</f>
        <v>367.40999999999997</v>
      </c>
      <c r="BU1357" s="144">
        <f t="shared" si="1791"/>
        <v>0.78672833558167909</v>
      </c>
      <c r="BV1357">
        <f t="shared" si="1765"/>
        <v>-99.600000000000023</v>
      </c>
      <c r="BX1357">
        <f t="shared" si="1788"/>
        <v>-9.9600000000000022E-2</v>
      </c>
      <c r="BY1357" t="str">
        <f t="shared" si="1750"/>
        <v/>
      </c>
      <c r="BZ1357">
        <v>0</v>
      </c>
      <c r="CA1357">
        <v>0</v>
      </c>
      <c r="CB1357">
        <v>0</v>
      </c>
      <c r="CC1357">
        <v>0</v>
      </c>
      <c r="CD1357">
        <v>0</v>
      </c>
      <c r="CE1357">
        <v>0</v>
      </c>
      <c r="CF1357">
        <v>0</v>
      </c>
      <c r="CG1357">
        <v>0</v>
      </c>
      <c r="CH1357">
        <v>0</v>
      </c>
      <c r="CI1357">
        <v>0</v>
      </c>
      <c r="CJ1357">
        <v>0</v>
      </c>
      <c r="CK1357">
        <v>0</v>
      </c>
      <c r="CL1357">
        <v>0</v>
      </c>
      <c r="CM1357">
        <v>0</v>
      </c>
      <c r="CN1357" t="str">
        <f t="shared" si="1766"/>
        <v>refOK</v>
      </c>
      <c r="CO1357">
        <f t="shared" si="1789"/>
        <v>0.56787272432857583</v>
      </c>
      <c r="CP1357">
        <f t="shared" si="1790"/>
        <v>0.56787272432857583</v>
      </c>
      <c r="CQ1357">
        <f t="shared" si="1767"/>
        <v>0</v>
      </c>
      <c r="CR1357">
        <f t="shared" si="1768"/>
        <v>-467.01</v>
      </c>
      <c r="CS1357">
        <f t="shared" si="1769"/>
        <v>-367.40999999999997</v>
      </c>
      <c r="CT1357">
        <f t="shared" si="1770"/>
        <v>9.9600000000000022E-2</v>
      </c>
      <c r="CU1357" t="str">
        <f t="shared" si="1771"/>
        <v/>
      </c>
      <c r="CV1357" s="2">
        <f t="shared" si="1772"/>
        <v>0.21327166441832085</v>
      </c>
      <c r="CW1357" s="263" t="s">
        <v>263</v>
      </c>
      <c r="CX1357" s="264" t="str">
        <f t="shared" si="1773"/>
        <v>loc</v>
      </c>
      <c r="CY1357" s="264" t="s">
        <v>574</v>
      </c>
      <c r="DB1357">
        <v>0</v>
      </c>
      <c r="DC1357" t="str">
        <f t="shared" si="1774"/>
        <v>0</v>
      </c>
      <c r="DD1357">
        <v>0</v>
      </c>
      <c r="DE1357">
        <v>0</v>
      </c>
      <c r="DF1357">
        <v>0</v>
      </c>
      <c r="DG1357">
        <v>1</v>
      </c>
      <c r="DH1357">
        <v>0</v>
      </c>
      <c r="DI1357">
        <f t="shared" si="1775"/>
        <v>1</v>
      </c>
      <c r="DJ1357" t="str">
        <f t="shared" si="1776"/>
        <v>TimberInput</v>
      </c>
      <c r="DK1357">
        <f t="shared" si="1777"/>
        <v>0</v>
      </c>
      <c r="DL1357">
        <f t="shared" si="1778"/>
        <v>0</v>
      </c>
      <c r="DM1357">
        <f t="shared" si="1779"/>
        <v>0</v>
      </c>
      <c r="DN1357" t="str">
        <f t="shared" si="1780"/>
        <v>Timber</v>
      </c>
      <c r="DO1357">
        <v>0</v>
      </c>
      <c r="DP1357">
        <v>0</v>
      </c>
      <c r="DQ1357">
        <v>0</v>
      </c>
      <c r="DR1357">
        <v>0</v>
      </c>
      <c r="DS1357">
        <v>0</v>
      </c>
      <c r="DT1357">
        <f t="shared" si="1781"/>
        <v>0</v>
      </c>
      <c r="DU1357" s="143" t="str">
        <f t="shared" si="1782"/>
        <v>explicit C balance</v>
      </c>
      <c r="DV1357">
        <v>0</v>
      </c>
      <c r="DW1357">
        <v>1</v>
      </c>
      <c r="DX1357">
        <v>0</v>
      </c>
      <c r="DY1357">
        <v>1</v>
      </c>
      <c r="DZ1357">
        <v>1</v>
      </c>
      <c r="EA1357">
        <v>0</v>
      </c>
      <c r="EB1357">
        <v>1</v>
      </c>
      <c r="EC1357">
        <v>1</v>
      </c>
      <c r="ED1357">
        <v>1</v>
      </c>
      <c r="EE1357">
        <v>1</v>
      </c>
      <c r="EF1357">
        <v>0</v>
      </c>
      <c r="EG1357">
        <v>0</v>
      </c>
      <c r="EH1357">
        <v>0</v>
      </c>
      <c r="EI1357" s="2">
        <v>0</v>
      </c>
      <c r="EK1357" t="str">
        <f t="shared" si="1783"/>
        <v/>
      </c>
      <c r="EL1357" t="str">
        <f t="shared" si="1784"/>
        <v/>
      </c>
      <c r="EM1357" s="2" t="str">
        <f t="shared" si="1751"/>
        <v/>
      </c>
      <c r="EP1357" t="b">
        <f>IF(ISNUMBER(BU1357),IF(ABS(BU1357-[4]QC_indicators!$B$2)&gt;3*[4]QC_indicators!$C$2,"C ratio",IF(ISNUMBER(BY1357),IF(ABS(BY1357-[4]QC_indicators!$B$1)&gt;3*[4]QC_indicators!$C$1,"DF","no"))),IF(ISNUMBER(BY1357),IF(ABS(BY1357-[4]QC_indicators!$B$1)&gt;3*[4]QC_indicators!$C$1,"DF","no")))</f>
        <v>0</v>
      </c>
      <c r="ET1357" s="264" t="s">
        <v>3406</v>
      </c>
    </row>
    <row r="1358" spans="1:150" ht="15" hidden="1" customHeight="1">
      <c r="A1358" s="1" t="s">
        <v>4067</v>
      </c>
      <c r="B1358" t="s">
        <v>4068</v>
      </c>
      <c r="C1358" t="s">
        <v>4069</v>
      </c>
      <c r="D1358" t="s">
        <v>4070</v>
      </c>
      <c r="E1358" t="s">
        <v>4071</v>
      </c>
      <c r="F1358" t="s">
        <v>4072</v>
      </c>
      <c r="G1358" t="s">
        <v>4073</v>
      </c>
      <c r="H1358" t="s">
        <v>254</v>
      </c>
      <c r="I1358">
        <v>2021</v>
      </c>
      <c r="J1358">
        <v>0</v>
      </c>
      <c r="K1358" t="s">
        <v>4074</v>
      </c>
      <c r="M1358" t="str">
        <f t="shared" si="1755"/>
        <v>Robertson_2021</v>
      </c>
      <c r="N1358" s="311" t="s">
        <v>4382</v>
      </c>
      <c r="O1358" s="145" t="s">
        <v>341</v>
      </c>
      <c r="Q1358" s="311" t="s">
        <v>256</v>
      </c>
      <c r="R1358" s="312"/>
      <c r="S1358" s="1" t="s">
        <v>4075</v>
      </c>
      <c r="T1358" t="s">
        <v>1110</v>
      </c>
      <c r="U1358" s="311" t="s">
        <v>4076</v>
      </c>
      <c r="V1358">
        <v>1</v>
      </c>
      <c r="W1358">
        <v>0</v>
      </c>
      <c r="X1358">
        <v>0</v>
      </c>
      <c r="Y1358">
        <v>0</v>
      </c>
      <c r="Z1358">
        <v>0</v>
      </c>
      <c r="AA1358">
        <v>0</v>
      </c>
      <c r="AB1358">
        <v>0</v>
      </c>
      <c r="AC1358">
        <v>0</v>
      </c>
      <c r="AD1358">
        <v>0</v>
      </c>
      <c r="AE1358">
        <v>0</v>
      </c>
      <c r="AF1358">
        <v>0</v>
      </c>
      <c r="AG1358">
        <v>0</v>
      </c>
      <c r="AH1358">
        <v>0</v>
      </c>
      <c r="AI1358">
        <v>0</v>
      </c>
      <c r="AJ1358">
        <v>0</v>
      </c>
      <c r="AK1358">
        <v>0</v>
      </c>
      <c r="AL1358">
        <v>0</v>
      </c>
      <c r="AM1358">
        <v>0</v>
      </c>
      <c r="AN1358">
        <v>0</v>
      </c>
      <c r="AO1358">
        <v>0</v>
      </c>
      <c r="AP1358">
        <v>0</v>
      </c>
      <c r="AQ1358">
        <v>0</v>
      </c>
      <c r="AR1358">
        <v>0</v>
      </c>
      <c r="AS1358">
        <v>0</v>
      </c>
      <c r="AT1358">
        <v>0</v>
      </c>
      <c r="AU1358">
        <v>0</v>
      </c>
      <c r="AV1358">
        <v>0</v>
      </c>
      <c r="AW1358">
        <v>2</v>
      </c>
      <c r="AX1358" s="141">
        <f t="shared" si="1756"/>
        <v>2</v>
      </c>
      <c r="AY1358" s="141">
        <f t="shared" si="1757"/>
        <v>1</v>
      </c>
      <c r="AZ1358">
        <f t="shared" si="1758"/>
        <v>1</v>
      </c>
      <c r="BA1358">
        <f t="shared" si="1759"/>
        <v>0</v>
      </c>
      <c r="BB1358">
        <f t="shared" si="1760"/>
        <v>0</v>
      </c>
      <c r="BC1358">
        <f t="shared" si="1761"/>
        <v>1</v>
      </c>
      <c r="BD1358">
        <f t="shared" si="1762"/>
        <v>0</v>
      </c>
      <c r="BE1358" t="str" cm="1">
        <f t="array" ref="BE1358">IF(AY1358=1,INDEX($V$7:$AL$7,MATCH(TRUE,INDEX($V1358:$AW1358&lt;&gt;0,),0)),IF(AY1358=0,INDEX($AM$7:$AW$7,MATCH(1,$AM1358:$AW1358,0)),IF(BF1358="Multiple strategies","mixed drivers",IF(BF1358="Supply chain","multiple supply","multiple silviculture"))))</f>
        <v>area subject to harvest</v>
      </c>
      <c r="BF1358" s="2" t="str" cm="1">
        <f t="array" ref="BF1358">IF(COUNTIF(AZ1358:BB1358,"&lt;&gt;0")=1,INDEX($V$4:$AW$4,MATCH(TRUE,INDEX($V1358:$AW1358&lt;&gt;0,),0)),IF(COUNTIF(AZ1358:BB1358,"&lt;&gt;0")=0,INDEX($AM$4:$AW$4,MATCH(1,$AM1358:$AW1358,0)),"Multiple strategies"))</f>
        <v>Silviculture for removals</v>
      </c>
      <c r="BP1358" t="s">
        <v>232</v>
      </c>
      <c r="BR1358" t="s">
        <v>1139</v>
      </c>
      <c r="BS1358">
        <v>0</v>
      </c>
      <c r="BT1358">
        <v>0.04</v>
      </c>
      <c r="BU1358" s="144" t="str">
        <f t="shared" si="1791"/>
        <v/>
      </c>
      <c r="BV1358">
        <f t="shared" si="1765"/>
        <v>0.04</v>
      </c>
      <c r="BX1358">
        <f t="shared" ref="BX1358:BX1369" si="1792">BV1358*10^6</f>
        <v>40000</v>
      </c>
      <c r="BY1358" t="str">
        <f t="shared" si="1750"/>
        <v/>
      </c>
      <c r="BZ1358">
        <v>0</v>
      </c>
      <c r="CA1358">
        <v>0</v>
      </c>
      <c r="CB1358">
        <v>0</v>
      </c>
      <c r="CC1358">
        <v>0</v>
      </c>
      <c r="CD1358">
        <v>0</v>
      </c>
      <c r="CE1358">
        <v>0</v>
      </c>
      <c r="CF1358">
        <v>0</v>
      </c>
      <c r="CG1358">
        <v>0</v>
      </c>
      <c r="CH1358">
        <v>0</v>
      </c>
      <c r="CI1358">
        <v>0</v>
      </c>
      <c r="CJ1358">
        <v>0</v>
      </c>
      <c r="CK1358">
        <v>0</v>
      </c>
      <c r="CL1358">
        <v>0</v>
      </c>
      <c r="CM1358">
        <v>0</v>
      </c>
      <c r="CN1358" t="str">
        <f t="shared" ref="CN1358:CN1369" si="1793">IF(BL1358&lt;BK1358,"refNeedCorrection","refOK")</f>
        <v>refOK</v>
      </c>
      <c r="CO1358"/>
      <c r="CP1358"/>
      <c r="CQ1358"/>
      <c r="CR1358">
        <f t="shared" si="1768"/>
        <v>0</v>
      </c>
      <c r="CS1358">
        <f t="shared" si="1769"/>
        <v>0.04</v>
      </c>
      <c r="CT1358">
        <f t="shared" si="1770"/>
        <v>40000</v>
      </c>
      <c r="CU1358" t="str">
        <f t="shared" si="1771"/>
        <v/>
      </c>
      <c r="CV1358" s="2" t="str">
        <f t="shared" si="1772"/>
        <v/>
      </c>
      <c r="CW1358" s="1" t="s">
        <v>1198</v>
      </c>
      <c r="CX1358" s="311" t="str">
        <f t="shared" si="1773"/>
        <v>reg</v>
      </c>
      <c r="CY1358" t="s">
        <v>428</v>
      </c>
      <c r="CZ1358">
        <v>2020</v>
      </c>
      <c r="DA1358">
        <v>2050</v>
      </c>
      <c r="DB1358">
        <v>31</v>
      </c>
      <c r="DC1358" t="str">
        <f t="shared" si="1774"/>
        <v>31-70</v>
      </c>
      <c r="DD1358">
        <v>0</v>
      </c>
      <c r="DE1358">
        <v>1</v>
      </c>
      <c r="DF1358">
        <v>1</v>
      </c>
      <c r="DG1358">
        <v>1</v>
      </c>
      <c r="DI1358">
        <f t="shared" si="1775"/>
        <v>3</v>
      </c>
      <c r="DJ1358" t="str">
        <f t="shared" si="1776"/>
        <v>mixedProduct</v>
      </c>
      <c r="DK1358">
        <f t="shared" si="1777"/>
        <v>0</v>
      </c>
      <c r="DL1358" t="str">
        <f t="shared" si="1778"/>
        <v>Energy</v>
      </c>
      <c r="DM1358" t="str">
        <f t="shared" si="1779"/>
        <v>Pulp/Paper</v>
      </c>
      <c r="DN1358" t="str">
        <f t="shared" si="1780"/>
        <v>Timber</v>
      </c>
      <c r="DO1358">
        <v>0</v>
      </c>
      <c r="DP1358">
        <v>0</v>
      </c>
      <c r="DQ1358">
        <v>0</v>
      </c>
      <c r="DR1358">
        <v>0</v>
      </c>
      <c r="DS1358">
        <v>0</v>
      </c>
      <c r="DT1358">
        <f t="shared" si="1781"/>
        <v>0</v>
      </c>
      <c r="DU1358" s="143" t="str">
        <f t="shared" si="1782"/>
        <v>explicit C balance</v>
      </c>
      <c r="DV1358">
        <v>1</v>
      </c>
      <c r="DW1358">
        <v>1</v>
      </c>
      <c r="DX1358">
        <v>1</v>
      </c>
      <c r="DY1358">
        <v>1</v>
      </c>
      <c r="DZ1358">
        <v>0</v>
      </c>
      <c r="EA1358" s="143">
        <v>0</v>
      </c>
      <c r="EB1358">
        <v>1</v>
      </c>
      <c r="EC1358">
        <v>0</v>
      </c>
      <c r="ED1358">
        <v>0</v>
      </c>
      <c r="EE1358">
        <v>0</v>
      </c>
      <c r="EF1358">
        <v>1</v>
      </c>
      <c r="EG1358">
        <v>0</v>
      </c>
      <c r="EH1358">
        <v>0</v>
      </c>
      <c r="EI1358" s="2">
        <v>0</v>
      </c>
      <c r="EK1358" t="str">
        <f t="shared" ref="EK1358:EK1402" si="1794">IF(AND(AND(AND(OR($DX1358=1,$DW1358=1),OR($EC1358=1,$EA1358=1)),SUM($DV1358:$DZ1358,$EF1358)&gt;=3),SUM($EA1358:$EE1358)&gt;=2),"Whole sector","")</f>
        <v/>
      </c>
      <c r="EL1358" t="str">
        <f t="shared" ref="EL1358:EL1402" si="1795">IF(AND(AND(OR($DX1358=1,$DW1358=1),AND($EC1358=0,$EA1358=0)),SUM($DV1358:$DZ1358,$EF1358)&gt;=3),"Ecosystem approach","")</f>
        <v>Ecosystem approach</v>
      </c>
      <c r="EM1358" s="2" t="str">
        <f t="shared" si="1751"/>
        <v/>
      </c>
      <c r="EP1358" t="b">
        <f>IF(ISNUMBER(BU1358),IF(ABS(BU1358-[1]QC_indicators!$B$2)&gt;3*[1]QC_indicators!$C$2,"C ratio",IF(ISNUMBER(BY1358),IF(ABS(BY1358-[1]QC_indicators!$B$1)&gt;3*[1]QC_indicators!$C$1,"DF","no"))),IF(ISNUMBER(BY1358),IF(ABS(BY1358-[1]QC_indicators!$B$1)&gt;3*[1]QC_indicators!$C$1,"DF","no")))</f>
        <v>0</v>
      </c>
    </row>
    <row r="1359" spans="1:150" ht="15" hidden="1" customHeight="1">
      <c r="A1359" s="1" t="s">
        <v>4067</v>
      </c>
      <c r="B1359" t="s">
        <v>4068</v>
      </c>
      <c r="C1359" t="s">
        <v>4069</v>
      </c>
      <c r="D1359" t="s">
        <v>4070</v>
      </c>
      <c r="E1359" t="s">
        <v>4071</v>
      </c>
      <c r="F1359" t="s">
        <v>4072</v>
      </c>
      <c r="G1359" t="s">
        <v>4073</v>
      </c>
      <c r="H1359" t="s">
        <v>254</v>
      </c>
      <c r="I1359">
        <v>2021</v>
      </c>
      <c r="J1359">
        <v>0</v>
      </c>
      <c r="K1359" t="s">
        <v>4074</v>
      </c>
      <c r="M1359" t="str">
        <f t="shared" si="1755"/>
        <v>Robertson_2021</v>
      </c>
      <c r="N1359" s="311" t="s">
        <v>4382</v>
      </c>
      <c r="O1359" s="145" t="s">
        <v>341</v>
      </c>
      <c r="Q1359" s="311" t="s">
        <v>256</v>
      </c>
      <c r="R1359" s="312"/>
      <c r="S1359" s="1" t="s">
        <v>4077</v>
      </c>
      <c r="T1359" t="s">
        <v>1110</v>
      </c>
      <c r="U1359" s="311" t="s">
        <v>4076</v>
      </c>
      <c r="V1359">
        <v>1</v>
      </c>
      <c r="W1359">
        <v>0</v>
      </c>
      <c r="X1359">
        <v>0</v>
      </c>
      <c r="Y1359">
        <v>0</v>
      </c>
      <c r="Z1359">
        <v>0</v>
      </c>
      <c r="AA1359">
        <v>0</v>
      </c>
      <c r="AB1359">
        <v>0</v>
      </c>
      <c r="AC1359">
        <v>0</v>
      </c>
      <c r="AD1359">
        <v>0</v>
      </c>
      <c r="AE1359">
        <v>0</v>
      </c>
      <c r="AF1359">
        <v>0</v>
      </c>
      <c r="AG1359">
        <v>0</v>
      </c>
      <c r="AH1359">
        <v>0</v>
      </c>
      <c r="AI1359">
        <v>0</v>
      </c>
      <c r="AJ1359">
        <v>0</v>
      </c>
      <c r="AK1359">
        <v>0</v>
      </c>
      <c r="AL1359">
        <v>0</v>
      </c>
      <c r="AM1359">
        <v>0</v>
      </c>
      <c r="AN1359">
        <v>0</v>
      </c>
      <c r="AO1359">
        <v>0</v>
      </c>
      <c r="AP1359">
        <v>0</v>
      </c>
      <c r="AQ1359">
        <v>0</v>
      </c>
      <c r="AR1359">
        <v>0</v>
      </c>
      <c r="AS1359">
        <v>0</v>
      </c>
      <c r="AT1359">
        <v>0</v>
      </c>
      <c r="AU1359">
        <v>0</v>
      </c>
      <c r="AV1359">
        <v>0</v>
      </c>
      <c r="AW1359">
        <v>2</v>
      </c>
      <c r="AX1359" s="141">
        <f t="shared" si="1756"/>
        <v>2</v>
      </c>
      <c r="AY1359" s="141">
        <f t="shared" si="1757"/>
        <v>1</v>
      </c>
      <c r="AZ1359">
        <f t="shared" si="1758"/>
        <v>1</v>
      </c>
      <c r="BA1359">
        <f t="shared" si="1759"/>
        <v>0</v>
      </c>
      <c r="BB1359">
        <f t="shared" si="1760"/>
        <v>0</v>
      </c>
      <c r="BC1359">
        <f t="shared" si="1761"/>
        <v>1</v>
      </c>
      <c r="BD1359">
        <f t="shared" si="1762"/>
        <v>0</v>
      </c>
      <c r="BE1359" t="str" cm="1">
        <f t="array" ref="BE1359">IF(AY1359=1,INDEX($V$7:$AL$7,MATCH(TRUE,INDEX($V1359:$AW1359&lt;&gt;0,),0)),IF(AY1359=0,INDEX($AM$7:$AW$7,MATCH(1,$AM1359:$AW1359,0)),IF(BF1359="Multiple strategies","mixed drivers",IF(BF1359="Supply chain","multiple supply","multiple silviculture"))))</f>
        <v>area subject to harvest</v>
      </c>
      <c r="BF1359" s="2" t="str" cm="1">
        <f t="array" ref="BF1359">IF(COUNTIF(AZ1359:BB1359,"&lt;&gt;0")=1,INDEX($V$4:$AW$4,MATCH(TRUE,INDEX($V1359:$AW1359&lt;&gt;0,),0)),IF(COUNTIF(AZ1359:BB1359,"&lt;&gt;0")=0,INDEX($AM$4:$AW$4,MATCH(1,$AM1359:$AW1359,0)),"Multiple strategies"))</f>
        <v>Silviculture for removals</v>
      </c>
      <c r="BP1359" t="s">
        <v>232</v>
      </c>
      <c r="BR1359" t="s">
        <v>1139</v>
      </c>
      <c r="BS1359">
        <v>0</v>
      </c>
      <c r="BT1359">
        <v>0.13</v>
      </c>
      <c r="BU1359" s="144" t="str">
        <f t="shared" si="1791"/>
        <v/>
      </c>
      <c r="BV1359">
        <f t="shared" si="1765"/>
        <v>0.13</v>
      </c>
      <c r="BX1359">
        <f t="shared" si="1792"/>
        <v>130000</v>
      </c>
      <c r="BY1359" t="str">
        <f t="shared" si="1750"/>
        <v/>
      </c>
      <c r="BZ1359">
        <v>0</v>
      </c>
      <c r="CA1359">
        <v>0</v>
      </c>
      <c r="CB1359">
        <v>0</v>
      </c>
      <c r="CC1359">
        <v>0</v>
      </c>
      <c r="CD1359">
        <v>0</v>
      </c>
      <c r="CE1359">
        <v>0</v>
      </c>
      <c r="CF1359">
        <v>0</v>
      </c>
      <c r="CG1359">
        <v>0</v>
      </c>
      <c r="CH1359">
        <v>0</v>
      </c>
      <c r="CI1359">
        <v>0</v>
      </c>
      <c r="CJ1359">
        <v>0</v>
      </c>
      <c r="CK1359">
        <v>0</v>
      </c>
      <c r="CL1359">
        <v>0</v>
      </c>
      <c r="CM1359">
        <v>0</v>
      </c>
      <c r="CN1359" t="str">
        <f t="shared" si="1793"/>
        <v>refOK</v>
      </c>
      <c r="CO1359"/>
      <c r="CP1359"/>
      <c r="CQ1359"/>
      <c r="CR1359">
        <f t="shared" si="1768"/>
        <v>0</v>
      </c>
      <c r="CS1359">
        <f t="shared" si="1769"/>
        <v>0.13</v>
      </c>
      <c r="CT1359">
        <f t="shared" si="1770"/>
        <v>130000</v>
      </c>
      <c r="CU1359" t="str">
        <f t="shared" si="1771"/>
        <v/>
      </c>
      <c r="CV1359" s="2" t="str">
        <f t="shared" si="1772"/>
        <v/>
      </c>
      <c r="CW1359" s="1" t="s">
        <v>1198</v>
      </c>
      <c r="CX1359" s="311" t="str">
        <f t="shared" si="1773"/>
        <v>reg</v>
      </c>
      <c r="CY1359" t="s">
        <v>428</v>
      </c>
      <c r="CZ1359">
        <v>2020</v>
      </c>
      <c r="DA1359">
        <v>2050</v>
      </c>
      <c r="DB1359">
        <v>31</v>
      </c>
      <c r="DC1359" t="str">
        <f t="shared" si="1774"/>
        <v>31-70</v>
      </c>
      <c r="DD1359">
        <v>0</v>
      </c>
      <c r="DE1359">
        <v>1</v>
      </c>
      <c r="DF1359">
        <v>1</v>
      </c>
      <c r="DG1359">
        <v>1</v>
      </c>
      <c r="DI1359">
        <f t="shared" si="1775"/>
        <v>3</v>
      </c>
      <c r="DJ1359" t="str">
        <f t="shared" si="1776"/>
        <v>mixedProduct</v>
      </c>
      <c r="DK1359">
        <f t="shared" si="1777"/>
        <v>0</v>
      </c>
      <c r="DL1359" t="str">
        <f t="shared" si="1778"/>
        <v>Energy</v>
      </c>
      <c r="DM1359" t="str">
        <f t="shared" si="1779"/>
        <v>Pulp/Paper</v>
      </c>
      <c r="DN1359" t="str">
        <f t="shared" si="1780"/>
        <v>Timber</v>
      </c>
      <c r="DO1359">
        <v>0</v>
      </c>
      <c r="DP1359">
        <v>0</v>
      </c>
      <c r="DQ1359">
        <v>0</v>
      </c>
      <c r="DR1359">
        <v>0</v>
      </c>
      <c r="DS1359">
        <v>0</v>
      </c>
      <c r="DT1359">
        <f t="shared" si="1781"/>
        <v>0</v>
      </c>
      <c r="DU1359" s="143" t="str">
        <f t="shared" si="1782"/>
        <v>explicit C balance</v>
      </c>
      <c r="DV1359">
        <v>1</v>
      </c>
      <c r="DW1359">
        <v>1</v>
      </c>
      <c r="DX1359">
        <v>1</v>
      </c>
      <c r="DY1359">
        <v>1</v>
      </c>
      <c r="DZ1359">
        <v>0</v>
      </c>
      <c r="EA1359" s="143">
        <v>0</v>
      </c>
      <c r="EB1359">
        <v>1</v>
      </c>
      <c r="EC1359">
        <v>0</v>
      </c>
      <c r="ED1359">
        <v>0</v>
      </c>
      <c r="EE1359">
        <v>0</v>
      </c>
      <c r="EF1359">
        <v>1</v>
      </c>
      <c r="EG1359">
        <v>0</v>
      </c>
      <c r="EH1359">
        <v>0</v>
      </c>
      <c r="EI1359" s="2">
        <v>0</v>
      </c>
      <c r="EK1359" t="str">
        <f t="shared" si="1794"/>
        <v/>
      </c>
      <c r="EL1359" t="str">
        <f t="shared" si="1795"/>
        <v>Ecosystem approach</v>
      </c>
      <c r="EM1359" s="2" t="str">
        <f t="shared" si="1751"/>
        <v/>
      </c>
      <c r="EP1359" t="b">
        <f>IF(ISNUMBER(BU1359),IF(ABS(BU1359-[1]QC_indicators!$B$2)&gt;3*[1]QC_indicators!$C$2,"C ratio",IF(ISNUMBER(BY1359),IF(ABS(BY1359-[1]QC_indicators!$B$1)&gt;3*[1]QC_indicators!$C$1,"DF","no"))),IF(ISNUMBER(BY1359),IF(ABS(BY1359-[1]QC_indicators!$B$1)&gt;3*[1]QC_indicators!$C$1,"DF","no")))</f>
        <v>0</v>
      </c>
    </row>
    <row r="1360" spans="1:150" ht="15" hidden="1" customHeight="1">
      <c r="A1360" s="1" t="s">
        <v>4067</v>
      </c>
      <c r="B1360" t="s">
        <v>4068</v>
      </c>
      <c r="C1360" t="s">
        <v>4069</v>
      </c>
      <c r="D1360" t="s">
        <v>4070</v>
      </c>
      <c r="E1360" t="s">
        <v>4071</v>
      </c>
      <c r="F1360" t="s">
        <v>4072</v>
      </c>
      <c r="G1360" t="s">
        <v>4073</v>
      </c>
      <c r="H1360" t="s">
        <v>254</v>
      </c>
      <c r="I1360">
        <v>2021</v>
      </c>
      <c r="J1360">
        <v>0</v>
      </c>
      <c r="K1360" t="s">
        <v>4074</v>
      </c>
      <c r="M1360" t="str">
        <f t="shared" si="1755"/>
        <v>Robertson_2021</v>
      </c>
      <c r="N1360" s="311" t="s">
        <v>4382</v>
      </c>
      <c r="O1360" s="145" t="s">
        <v>341</v>
      </c>
      <c r="Q1360" s="311" t="s">
        <v>256</v>
      </c>
      <c r="R1360" s="312"/>
      <c r="S1360" s="1" t="s">
        <v>4078</v>
      </c>
      <c r="T1360" t="s">
        <v>1110</v>
      </c>
      <c r="U1360" s="311" t="s">
        <v>4076</v>
      </c>
      <c r="V1360">
        <v>1</v>
      </c>
      <c r="W1360">
        <v>0</v>
      </c>
      <c r="X1360">
        <v>0</v>
      </c>
      <c r="Y1360">
        <v>0</v>
      </c>
      <c r="Z1360">
        <v>0</v>
      </c>
      <c r="AA1360">
        <v>0</v>
      </c>
      <c r="AB1360">
        <v>0</v>
      </c>
      <c r="AC1360">
        <v>0</v>
      </c>
      <c r="AD1360">
        <v>0</v>
      </c>
      <c r="AE1360">
        <v>0</v>
      </c>
      <c r="AF1360">
        <v>0</v>
      </c>
      <c r="AG1360">
        <v>0</v>
      </c>
      <c r="AH1360">
        <v>0</v>
      </c>
      <c r="AI1360">
        <v>0</v>
      </c>
      <c r="AJ1360">
        <v>0</v>
      </c>
      <c r="AK1360">
        <v>0</v>
      </c>
      <c r="AL1360">
        <v>0</v>
      </c>
      <c r="AM1360">
        <v>0</v>
      </c>
      <c r="AN1360">
        <v>0</v>
      </c>
      <c r="AO1360">
        <v>0</v>
      </c>
      <c r="AP1360">
        <v>0</v>
      </c>
      <c r="AQ1360">
        <v>0</v>
      </c>
      <c r="AR1360">
        <v>0</v>
      </c>
      <c r="AS1360">
        <v>0</v>
      </c>
      <c r="AT1360">
        <v>0</v>
      </c>
      <c r="AU1360">
        <v>0</v>
      </c>
      <c r="AV1360">
        <v>0</v>
      </c>
      <c r="AW1360">
        <v>2</v>
      </c>
      <c r="AX1360" s="141">
        <f t="shared" si="1756"/>
        <v>2</v>
      </c>
      <c r="AY1360" s="141">
        <f t="shared" si="1757"/>
        <v>1</v>
      </c>
      <c r="AZ1360">
        <f t="shared" si="1758"/>
        <v>1</v>
      </c>
      <c r="BA1360">
        <f t="shared" si="1759"/>
        <v>0</v>
      </c>
      <c r="BB1360">
        <f t="shared" si="1760"/>
        <v>0</v>
      </c>
      <c r="BC1360">
        <f t="shared" si="1761"/>
        <v>1</v>
      </c>
      <c r="BD1360">
        <f t="shared" si="1762"/>
        <v>0</v>
      </c>
      <c r="BE1360" t="str" cm="1">
        <f t="array" ref="BE1360">IF(AY1360=1,INDEX($V$7:$AL$7,MATCH(TRUE,INDEX($V1360:$AW1360&lt;&gt;0,),0)),IF(AY1360=0,INDEX($AM$7:$AW$7,MATCH(1,$AM1360:$AW1360,0)),IF(BF1360="Multiple strategies","mixed drivers",IF(BF1360="Supply chain","multiple supply","multiple silviculture"))))</f>
        <v>area subject to harvest</v>
      </c>
      <c r="BF1360" s="2" t="str" cm="1">
        <f t="array" ref="BF1360">IF(COUNTIF(AZ1360:BB1360,"&lt;&gt;0")=1,INDEX($V$4:$AW$4,MATCH(TRUE,INDEX($V1360:$AW1360&lt;&gt;0,),0)),IF(COUNTIF(AZ1360:BB1360,"&lt;&gt;0")=0,INDEX($AM$4:$AW$4,MATCH(1,$AM1360:$AW1360,0)),"Multiple strategies"))</f>
        <v>Silviculture for removals</v>
      </c>
      <c r="BP1360" t="s">
        <v>232</v>
      </c>
      <c r="BR1360" t="s">
        <v>1139</v>
      </c>
      <c r="BS1360">
        <v>0</v>
      </c>
      <c r="BT1360">
        <v>0.4</v>
      </c>
      <c r="BU1360" s="144" t="str">
        <f t="shared" si="1791"/>
        <v/>
      </c>
      <c r="BV1360">
        <f t="shared" si="1765"/>
        <v>0.4</v>
      </c>
      <c r="BX1360">
        <f t="shared" si="1792"/>
        <v>400000</v>
      </c>
      <c r="BY1360" t="str">
        <f t="shared" si="1750"/>
        <v/>
      </c>
      <c r="BZ1360">
        <v>0</v>
      </c>
      <c r="CA1360">
        <v>0</v>
      </c>
      <c r="CB1360">
        <v>0</v>
      </c>
      <c r="CC1360">
        <v>0</v>
      </c>
      <c r="CD1360">
        <v>0</v>
      </c>
      <c r="CE1360">
        <v>0</v>
      </c>
      <c r="CF1360">
        <v>0</v>
      </c>
      <c r="CG1360">
        <v>0</v>
      </c>
      <c r="CH1360">
        <v>0</v>
      </c>
      <c r="CI1360">
        <v>0</v>
      </c>
      <c r="CJ1360">
        <v>0</v>
      </c>
      <c r="CK1360">
        <v>0</v>
      </c>
      <c r="CL1360">
        <v>0</v>
      </c>
      <c r="CM1360">
        <v>0</v>
      </c>
      <c r="CN1360" t="str">
        <f t="shared" si="1793"/>
        <v>refOK</v>
      </c>
      <c r="CO1360"/>
      <c r="CP1360"/>
      <c r="CQ1360"/>
      <c r="CR1360">
        <f t="shared" si="1768"/>
        <v>0</v>
      </c>
      <c r="CS1360">
        <f t="shared" si="1769"/>
        <v>0.4</v>
      </c>
      <c r="CT1360">
        <f t="shared" si="1770"/>
        <v>400000</v>
      </c>
      <c r="CU1360" t="str">
        <f t="shared" si="1771"/>
        <v/>
      </c>
      <c r="CV1360" s="2" t="str">
        <f t="shared" si="1772"/>
        <v/>
      </c>
      <c r="CW1360" s="1" t="s">
        <v>1198</v>
      </c>
      <c r="CX1360" s="311" t="str">
        <f t="shared" si="1773"/>
        <v>reg</v>
      </c>
      <c r="CY1360" t="s">
        <v>428</v>
      </c>
      <c r="CZ1360">
        <v>2020</v>
      </c>
      <c r="DA1360">
        <v>2050</v>
      </c>
      <c r="DB1360">
        <v>31</v>
      </c>
      <c r="DC1360" t="str">
        <f t="shared" si="1774"/>
        <v>31-70</v>
      </c>
      <c r="DD1360">
        <v>0</v>
      </c>
      <c r="DE1360">
        <v>1</v>
      </c>
      <c r="DF1360">
        <v>1</v>
      </c>
      <c r="DG1360">
        <v>1</v>
      </c>
      <c r="DI1360">
        <f t="shared" si="1775"/>
        <v>3</v>
      </c>
      <c r="DJ1360" t="str">
        <f t="shared" si="1776"/>
        <v>mixedProduct</v>
      </c>
      <c r="DK1360">
        <f t="shared" si="1777"/>
        <v>0</v>
      </c>
      <c r="DL1360" t="str">
        <f t="shared" si="1778"/>
        <v>Energy</v>
      </c>
      <c r="DM1360" t="str">
        <f t="shared" si="1779"/>
        <v>Pulp/Paper</v>
      </c>
      <c r="DN1360" t="str">
        <f t="shared" si="1780"/>
        <v>Timber</v>
      </c>
      <c r="DO1360">
        <v>0</v>
      </c>
      <c r="DP1360">
        <v>0</v>
      </c>
      <c r="DQ1360">
        <v>0</v>
      </c>
      <c r="DR1360">
        <v>0</v>
      </c>
      <c r="DS1360">
        <v>0</v>
      </c>
      <c r="DT1360">
        <f t="shared" si="1781"/>
        <v>0</v>
      </c>
      <c r="DU1360" s="143" t="str">
        <f t="shared" si="1782"/>
        <v>explicit C balance</v>
      </c>
      <c r="DV1360">
        <v>1</v>
      </c>
      <c r="DW1360">
        <v>1</v>
      </c>
      <c r="DX1360">
        <v>1</v>
      </c>
      <c r="DY1360">
        <v>1</v>
      </c>
      <c r="DZ1360">
        <v>0</v>
      </c>
      <c r="EA1360" s="143">
        <v>0</v>
      </c>
      <c r="EB1360">
        <v>1</v>
      </c>
      <c r="EC1360">
        <v>0</v>
      </c>
      <c r="ED1360">
        <v>0</v>
      </c>
      <c r="EE1360">
        <v>0</v>
      </c>
      <c r="EF1360">
        <v>1</v>
      </c>
      <c r="EG1360">
        <v>0</v>
      </c>
      <c r="EH1360">
        <v>0</v>
      </c>
      <c r="EI1360" s="2">
        <v>0</v>
      </c>
      <c r="EK1360" t="str">
        <f t="shared" si="1794"/>
        <v/>
      </c>
      <c r="EL1360" t="str">
        <f t="shared" si="1795"/>
        <v>Ecosystem approach</v>
      </c>
      <c r="EM1360" s="2" t="str">
        <f t="shared" si="1751"/>
        <v/>
      </c>
      <c r="EP1360" t="b">
        <f>IF(ISNUMBER(BU1360),IF(ABS(BU1360-[1]QC_indicators!$B$2)&gt;3*[1]QC_indicators!$C$2,"C ratio",IF(ISNUMBER(BY1360),IF(ABS(BY1360-[1]QC_indicators!$B$1)&gt;3*[1]QC_indicators!$C$1,"DF","no"))),IF(ISNUMBER(BY1360),IF(ABS(BY1360-[1]QC_indicators!$B$1)&gt;3*[1]QC_indicators!$C$1,"DF","no")))</f>
        <v>0</v>
      </c>
    </row>
    <row r="1361" spans="1:148" ht="15" hidden="1" customHeight="1">
      <c r="A1361" s="1" t="s">
        <v>4067</v>
      </c>
      <c r="B1361" t="s">
        <v>4068</v>
      </c>
      <c r="C1361" t="s">
        <v>4069</v>
      </c>
      <c r="D1361" t="s">
        <v>4070</v>
      </c>
      <c r="E1361" t="s">
        <v>4071</v>
      </c>
      <c r="F1361" t="s">
        <v>4072</v>
      </c>
      <c r="G1361" t="s">
        <v>4073</v>
      </c>
      <c r="H1361" t="s">
        <v>254</v>
      </c>
      <c r="I1361">
        <v>2021</v>
      </c>
      <c r="J1361">
        <v>0</v>
      </c>
      <c r="K1361" t="s">
        <v>4074</v>
      </c>
      <c r="M1361" t="str">
        <f t="shared" si="1755"/>
        <v>Robertson_2021</v>
      </c>
      <c r="N1361" s="311" t="s">
        <v>4382</v>
      </c>
      <c r="O1361" s="145" t="s">
        <v>341</v>
      </c>
      <c r="Q1361" s="311" t="s">
        <v>256</v>
      </c>
      <c r="R1361" s="312"/>
      <c r="S1361" s="1" t="s">
        <v>4079</v>
      </c>
      <c r="T1361" t="s">
        <v>1110</v>
      </c>
      <c r="U1361" t="e">
        <f>#REF!</f>
        <v>#REF!</v>
      </c>
      <c r="V1361">
        <v>1</v>
      </c>
      <c r="W1361">
        <v>0</v>
      </c>
      <c r="X1361">
        <v>0</v>
      </c>
      <c r="Y1361">
        <v>0</v>
      </c>
      <c r="Z1361">
        <v>0</v>
      </c>
      <c r="AA1361">
        <v>0</v>
      </c>
      <c r="AB1361">
        <v>0</v>
      </c>
      <c r="AC1361">
        <v>0</v>
      </c>
      <c r="AD1361">
        <v>0</v>
      </c>
      <c r="AE1361">
        <v>0</v>
      </c>
      <c r="AF1361">
        <v>0</v>
      </c>
      <c r="AG1361">
        <v>0</v>
      </c>
      <c r="AH1361">
        <v>0</v>
      </c>
      <c r="AI1361">
        <v>0</v>
      </c>
      <c r="AJ1361">
        <v>0</v>
      </c>
      <c r="AK1361">
        <v>0</v>
      </c>
      <c r="AL1361">
        <v>0</v>
      </c>
      <c r="AM1361">
        <v>0</v>
      </c>
      <c r="AN1361">
        <v>0</v>
      </c>
      <c r="AO1361">
        <v>0</v>
      </c>
      <c r="AP1361">
        <v>0</v>
      </c>
      <c r="AQ1361">
        <v>0</v>
      </c>
      <c r="AR1361">
        <v>0</v>
      </c>
      <c r="AS1361">
        <v>0</v>
      </c>
      <c r="AT1361">
        <v>0</v>
      </c>
      <c r="AU1361">
        <v>0</v>
      </c>
      <c r="AV1361">
        <v>0</v>
      </c>
      <c r="AW1361">
        <v>2</v>
      </c>
      <c r="AX1361" s="141">
        <f t="shared" si="1756"/>
        <v>2</v>
      </c>
      <c r="AY1361" s="141">
        <f t="shared" si="1757"/>
        <v>1</v>
      </c>
      <c r="AZ1361">
        <f t="shared" si="1758"/>
        <v>1</v>
      </c>
      <c r="BA1361">
        <f t="shared" si="1759"/>
        <v>0</v>
      </c>
      <c r="BB1361">
        <f t="shared" si="1760"/>
        <v>0</v>
      </c>
      <c r="BC1361">
        <f t="shared" si="1761"/>
        <v>1</v>
      </c>
      <c r="BD1361">
        <f t="shared" si="1762"/>
        <v>0</v>
      </c>
      <c r="BE1361" t="str" cm="1">
        <f t="array" ref="BE1361">IF(AY1361=1,INDEX($V$7:$AL$7,MATCH(TRUE,INDEX($V1361:$AW1361&lt;&gt;0,),0)),IF(AY1361=0,INDEX($AM$7:$AW$7,MATCH(1,$AM1361:$AW1361,0)),IF(BF1361="Multiple strategies","mixed drivers",IF(BF1361="Supply chain","multiple supply","multiple silviculture"))))</f>
        <v>area subject to harvest</v>
      </c>
      <c r="BF1361" s="2" t="str" cm="1">
        <f t="array" ref="BF1361">IF(COUNTIF(AZ1361:BB1361,"&lt;&gt;0")=1,INDEX($V$4:$AW$4,MATCH(TRUE,INDEX($V1361:$AW1361&lt;&gt;0,),0)),IF(COUNTIF(AZ1361:BB1361,"&lt;&gt;0")=0,INDEX($AM$4:$AW$4,MATCH(1,$AM1361:$AW1361,0)),"Multiple strategies"))</f>
        <v>Silviculture for removals</v>
      </c>
      <c r="BP1361" t="s">
        <v>232</v>
      </c>
      <c r="BR1361" t="s">
        <v>1139</v>
      </c>
      <c r="BS1361">
        <v>0</v>
      </c>
      <c r="BT1361">
        <v>0.12</v>
      </c>
      <c r="BU1361" s="144" t="str">
        <f t="shared" si="1791"/>
        <v/>
      </c>
      <c r="BV1361">
        <f t="shared" si="1765"/>
        <v>0.12</v>
      </c>
      <c r="BX1361">
        <f t="shared" si="1792"/>
        <v>120000</v>
      </c>
      <c r="BY1361" t="str">
        <f t="shared" si="1750"/>
        <v/>
      </c>
      <c r="BZ1361">
        <v>0</v>
      </c>
      <c r="CA1361">
        <v>0</v>
      </c>
      <c r="CB1361">
        <v>0</v>
      </c>
      <c r="CC1361">
        <v>0</v>
      </c>
      <c r="CD1361">
        <v>0</v>
      </c>
      <c r="CE1361">
        <v>0</v>
      </c>
      <c r="CF1361">
        <v>0</v>
      </c>
      <c r="CG1361">
        <v>0</v>
      </c>
      <c r="CH1361">
        <v>0</v>
      </c>
      <c r="CI1361">
        <v>0</v>
      </c>
      <c r="CJ1361">
        <v>0</v>
      </c>
      <c r="CK1361">
        <v>0</v>
      </c>
      <c r="CL1361">
        <v>0</v>
      </c>
      <c r="CM1361">
        <v>0</v>
      </c>
      <c r="CN1361" t="str">
        <f t="shared" si="1793"/>
        <v>refOK</v>
      </c>
      <c r="CO1361"/>
      <c r="CP1361"/>
      <c r="CQ1361"/>
      <c r="CR1361">
        <f t="shared" si="1768"/>
        <v>0</v>
      </c>
      <c r="CS1361">
        <f t="shared" si="1769"/>
        <v>0.12</v>
      </c>
      <c r="CT1361">
        <f t="shared" si="1770"/>
        <v>120000</v>
      </c>
      <c r="CU1361" t="str">
        <f t="shared" si="1771"/>
        <v/>
      </c>
      <c r="CV1361" s="2" t="str">
        <f t="shared" si="1772"/>
        <v/>
      </c>
      <c r="CW1361" s="1" t="s">
        <v>1198</v>
      </c>
      <c r="CX1361" s="311" t="str">
        <f t="shared" si="1773"/>
        <v>reg</v>
      </c>
      <c r="CY1361" t="s">
        <v>428</v>
      </c>
      <c r="CZ1361">
        <v>2020</v>
      </c>
      <c r="DA1361">
        <v>2050</v>
      </c>
      <c r="DB1361">
        <v>31</v>
      </c>
      <c r="DC1361" t="str">
        <f t="shared" si="1774"/>
        <v>31-70</v>
      </c>
      <c r="DD1361">
        <v>0</v>
      </c>
      <c r="DE1361">
        <v>1</v>
      </c>
      <c r="DF1361">
        <v>1</v>
      </c>
      <c r="DG1361">
        <v>1</v>
      </c>
      <c r="DI1361">
        <f t="shared" si="1775"/>
        <v>3</v>
      </c>
      <c r="DJ1361" t="str">
        <f t="shared" si="1776"/>
        <v>mixedProduct</v>
      </c>
      <c r="DK1361">
        <f t="shared" si="1777"/>
        <v>0</v>
      </c>
      <c r="DL1361" t="str">
        <f t="shared" si="1778"/>
        <v>Energy</v>
      </c>
      <c r="DM1361" t="str">
        <f t="shared" si="1779"/>
        <v>Pulp/Paper</v>
      </c>
      <c r="DN1361" t="str">
        <f t="shared" si="1780"/>
        <v>Timber</v>
      </c>
      <c r="DO1361">
        <v>0</v>
      </c>
      <c r="DP1361">
        <v>0</v>
      </c>
      <c r="DQ1361">
        <v>0</v>
      </c>
      <c r="DR1361">
        <v>0</v>
      </c>
      <c r="DS1361">
        <v>0</v>
      </c>
      <c r="DT1361">
        <f t="shared" si="1781"/>
        <v>0</v>
      </c>
      <c r="DU1361" s="143" t="str">
        <f t="shared" si="1782"/>
        <v>explicit C balance</v>
      </c>
      <c r="DV1361">
        <v>1</v>
      </c>
      <c r="DW1361">
        <v>1</v>
      </c>
      <c r="DX1361">
        <v>1</v>
      </c>
      <c r="DY1361">
        <v>1</v>
      </c>
      <c r="DZ1361">
        <v>0</v>
      </c>
      <c r="EA1361" s="143">
        <v>0</v>
      </c>
      <c r="EB1361">
        <v>1</v>
      </c>
      <c r="EC1361">
        <v>0</v>
      </c>
      <c r="ED1361">
        <v>0</v>
      </c>
      <c r="EE1361">
        <v>0</v>
      </c>
      <c r="EF1361">
        <v>1</v>
      </c>
      <c r="EG1361">
        <v>0</v>
      </c>
      <c r="EH1361">
        <v>0</v>
      </c>
      <c r="EI1361" s="2">
        <v>0</v>
      </c>
      <c r="EK1361" t="str">
        <f t="shared" si="1794"/>
        <v/>
      </c>
      <c r="EL1361" t="str">
        <f t="shared" si="1795"/>
        <v>Ecosystem approach</v>
      </c>
      <c r="EM1361" s="2" t="str">
        <f t="shared" si="1751"/>
        <v/>
      </c>
      <c r="EP1361" t="b">
        <f>IF(ISNUMBER(BU1361),IF(ABS(BU1361-[1]QC_indicators!$B$2)&gt;3*[1]QC_indicators!$C$2,"C ratio",IF(ISNUMBER(BY1361),IF(ABS(BY1361-[1]QC_indicators!$B$1)&gt;3*[1]QC_indicators!$C$1,"DF","no"))),IF(ISNUMBER(BY1361),IF(ABS(BY1361-[1]QC_indicators!$B$1)&gt;3*[1]QC_indicators!$C$1,"DF","no")))</f>
        <v>0</v>
      </c>
    </row>
    <row r="1362" spans="1:148" ht="15" hidden="1" customHeight="1">
      <c r="A1362" s="1" t="s">
        <v>4067</v>
      </c>
      <c r="B1362" t="s">
        <v>4068</v>
      </c>
      <c r="C1362" t="s">
        <v>4069</v>
      </c>
      <c r="D1362" t="s">
        <v>4070</v>
      </c>
      <c r="E1362" t="s">
        <v>4071</v>
      </c>
      <c r="F1362" t="s">
        <v>4072</v>
      </c>
      <c r="G1362" t="s">
        <v>4073</v>
      </c>
      <c r="H1362" t="s">
        <v>254</v>
      </c>
      <c r="I1362">
        <v>2021</v>
      </c>
      <c r="J1362">
        <v>0</v>
      </c>
      <c r="K1362" t="s">
        <v>4074</v>
      </c>
      <c r="M1362" t="str">
        <f t="shared" si="1755"/>
        <v>Robertson_2021</v>
      </c>
      <c r="N1362" s="311" t="s">
        <v>4382</v>
      </c>
      <c r="O1362" s="145" t="s">
        <v>341</v>
      </c>
      <c r="Q1362" s="311" t="s">
        <v>256</v>
      </c>
      <c r="R1362" s="312"/>
      <c r="S1362" s="1" t="s">
        <v>4080</v>
      </c>
      <c r="T1362" t="s">
        <v>1110</v>
      </c>
      <c r="U1362" t="e">
        <f>#REF!</f>
        <v>#REF!</v>
      </c>
      <c r="V1362">
        <v>1</v>
      </c>
      <c r="W1362">
        <v>0</v>
      </c>
      <c r="X1362">
        <v>0</v>
      </c>
      <c r="Y1362">
        <v>0</v>
      </c>
      <c r="Z1362">
        <v>0</v>
      </c>
      <c r="AA1362">
        <v>0</v>
      </c>
      <c r="AB1362">
        <v>0</v>
      </c>
      <c r="AC1362">
        <v>0</v>
      </c>
      <c r="AD1362">
        <v>0</v>
      </c>
      <c r="AE1362">
        <v>0</v>
      </c>
      <c r="AF1362">
        <v>0</v>
      </c>
      <c r="AG1362">
        <v>0</v>
      </c>
      <c r="AH1362">
        <v>0</v>
      </c>
      <c r="AI1362">
        <v>0</v>
      </c>
      <c r="AJ1362">
        <v>0</v>
      </c>
      <c r="AK1362">
        <v>0</v>
      </c>
      <c r="AL1362">
        <v>0</v>
      </c>
      <c r="AM1362">
        <v>0</v>
      </c>
      <c r="AN1362">
        <v>0</v>
      </c>
      <c r="AO1362">
        <v>0</v>
      </c>
      <c r="AP1362">
        <v>0</v>
      </c>
      <c r="AQ1362">
        <v>0</v>
      </c>
      <c r="AR1362">
        <v>0</v>
      </c>
      <c r="AS1362">
        <v>0</v>
      </c>
      <c r="AT1362">
        <v>0</v>
      </c>
      <c r="AU1362">
        <v>0</v>
      </c>
      <c r="AV1362">
        <v>0</v>
      </c>
      <c r="AW1362">
        <v>2</v>
      </c>
      <c r="AX1362" s="141">
        <f t="shared" si="1756"/>
        <v>2</v>
      </c>
      <c r="AY1362" s="141">
        <f t="shared" si="1757"/>
        <v>1</v>
      </c>
      <c r="AZ1362">
        <f t="shared" si="1758"/>
        <v>1</v>
      </c>
      <c r="BA1362">
        <f t="shared" si="1759"/>
        <v>0</v>
      </c>
      <c r="BB1362">
        <f t="shared" si="1760"/>
        <v>0</v>
      </c>
      <c r="BC1362">
        <f t="shared" si="1761"/>
        <v>1</v>
      </c>
      <c r="BD1362">
        <f t="shared" si="1762"/>
        <v>0</v>
      </c>
      <c r="BE1362" t="str" cm="1">
        <f t="array" ref="BE1362">IF(AY1362=1,INDEX($V$7:$AL$7,MATCH(TRUE,INDEX($V1362:$AW1362&lt;&gt;0,),0)),IF(AY1362=0,INDEX($AM$7:$AW$7,MATCH(1,$AM1362:$AW1362,0)),IF(BF1362="Multiple strategies","mixed drivers",IF(BF1362="Supply chain","multiple supply","multiple silviculture"))))</f>
        <v>area subject to harvest</v>
      </c>
      <c r="BF1362" s="2" t="str" cm="1">
        <f t="array" ref="BF1362">IF(COUNTIF(AZ1362:BB1362,"&lt;&gt;0")=1,INDEX($V$4:$AW$4,MATCH(TRUE,INDEX($V1362:$AW1362&lt;&gt;0,),0)),IF(COUNTIF(AZ1362:BB1362,"&lt;&gt;0")=0,INDEX($AM$4:$AW$4,MATCH(1,$AM1362:$AW1362,0)),"Multiple strategies"))</f>
        <v>Silviculture for removals</v>
      </c>
      <c r="BP1362" t="s">
        <v>232</v>
      </c>
      <c r="BR1362" t="s">
        <v>1139</v>
      </c>
      <c r="BS1362">
        <v>0</v>
      </c>
      <c r="BT1362">
        <v>0.57999999999999996</v>
      </c>
      <c r="BU1362" s="144" t="str">
        <f t="shared" si="1791"/>
        <v/>
      </c>
      <c r="BV1362">
        <f t="shared" si="1765"/>
        <v>0.57999999999999996</v>
      </c>
      <c r="BX1362">
        <f t="shared" si="1792"/>
        <v>580000</v>
      </c>
      <c r="BY1362" t="str">
        <f t="shared" si="1750"/>
        <v/>
      </c>
      <c r="BZ1362">
        <v>0</v>
      </c>
      <c r="CA1362">
        <v>0</v>
      </c>
      <c r="CB1362">
        <v>0</v>
      </c>
      <c r="CC1362">
        <v>0</v>
      </c>
      <c r="CD1362">
        <v>0</v>
      </c>
      <c r="CE1362">
        <v>0</v>
      </c>
      <c r="CF1362">
        <v>0</v>
      </c>
      <c r="CG1362">
        <v>0</v>
      </c>
      <c r="CH1362">
        <v>0</v>
      </c>
      <c r="CI1362">
        <v>0</v>
      </c>
      <c r="CJ1362">
        <v>0</v>
      </c>
      <c r="CK1362">
        <v>0</v>
      </c>
      <c r="CL1362">
        <v>0</v>
      </c>
      <c r="CM1362">
        <v>0</v>
      </c>
      <c r="CN1362" t="str">
        <f t="shared" si="1793"/>
        <v>refOK</v>
      </c>
      <c r="CO1362"/>
      <c r="CP1362"/>
      <c r="CQ1362"/>
      <c r="CR1362">
        <f t="shared" si="1768"/>
        <v>0</v>
      </c>
      <c r="CS1362">
        <f t="shared" si="1769"/>
        <v>0.57999999999999996</v>
      </c>
      <c r="CT1362">
        <f t="shared" si="1770"/>
        <v>580000</v>
      </c>
      <c r="CU1362" t="str">
        <f t="shared" si="1771"/>
        <v/>
      </c>
      <c r="CV1362" s="2" t="str">
        <f t="shared" si="1772"/>
        <v/>
      </c>
      <c r="CW1362" s="1" t="s">
        <v>1198</v>
      </c>
      <c r="CX1362" s="311" t="str">
        <f t="shared" si="1773"/>
        <v>reg</v>
      </c>
      <c r="CY1362" t="s">
        <v>428</v>
      </c>
      <c r="CZ1362">
        <v>2020</v>
      </c>
      <c r="DA1362">
        <v>2050</v>
      </c>
      <c r="DB1362">
        <v>31</v>
      </c>
      <c r="DC1362" t="str">
        <f t="shared" si="1774"/>
        <v>31-70</v>
      </c>
      <c r="DD1362">
        <v>0</v>
      </c>
      <c r="DE1362">
        <v>1</v>
      </c>
      <c r="DF1362">
        <v>1</v>
      </c>
      <c r="DG1362">
        <v>1</v>
      </c>
      <c r="DI1362">
        <f t="shared" si="1775"/>
        <v>3</v>
      </c>
      <c r="DJ1362" t="str">
        <f t="shared" si="1776"/>
        <v>mixedProduct</v>
      </c>
      <c r="DK1362">
        <f t="shared" si="1777"/>
        <v>0</v>
      </c>
      <c r="DL1362" t="str">
        <f t="shared" si="1778"/>
        <v>Energy</v>
      </c>
      <c r="DM1362" t="str">
        <f t="shared" si="1779"/>
        <v>Pulp/Paper</v>
      </c>
      <c r="DN1362" t="str">
        <f t="shared" si="1780"/>
        <v>Timber</v>
      </c>
      <c r="DO1362">
        <v>0</v>
      </c>
      <c r="DP1362">
        <v>0</v>
      </c>
      <c r="DQ1362">
        <v>0</v>
      </c>
      <c r="DR1362">
        <v>0</v>
      </c>
      <c r="DS1362">
        <v>0</v>
      </c>
      <c r="DT1362">
        <f t="shared" si="1781"/>
        <v>0</v>
      </c>
      <c r="DU1362" s="143" t="str">
        <f t="shared" si="1782"/>
        <v>explicit C balance</v>
      </c>
      <c r="DV1362">
        <v>1</v>
      </c>
      <c r="DW1362">
        <v>1</v>
      </c>
      <c r="DX1362">
        <v>1</v>
      </c>
      <c r="DY1362">
        <v>1</v>
      </c>
      <c r="DZ1362">
        <v>0</v>
      </c>
      <c r="EA1362" s="143">
        <v>0</v>
      </c>
      <c r="EB1362">
        <v>1</v>
      </c>
      <c r="EC1362">
        <v>0</v>
      </c>
      <c r="ED1362">
        <v>0</v>
      </c>
      <c r="EE1362">
        <v>0</v>
      </c>
      <c r="EF1362">
        <v>1</v>
      </c>
      <c r="EG1362">
        <v>0</v>
      </c>
      <c r="EH1362">
        <v>0</v>
      </c>
      <c r="EI1362" s="2">
        <v>0</v>
      </c>
      <c r="EK1362" t="str">
        <f t="shared" si="1794"/>
        <v/>
      </c>
      <c r="EL1362" t="str">
        <f t="shared" si="1795"/>
        <v>Ecosystem approach</v>
      </c>
      <c r="EM1362" s="2" t="str">
        <f t="shared" si="1751"/>
        <v/>
      </c>
      <c r="EP1362" t="b">
        <f>IF(ISNUMBER(BU1362),IF(ABS(BU1362-[1]QC_indicators!$B$2)&gt;3*[1]QC_indicators!$C$2,"C ratio",IF(ISNUMBER(BY1362),IF(ABS(BY1362-[1]QC_indicators!$B$1)&gt;3*[1]QC_indicators!$C$1,"DF","no"))),IF(ISNUMBER(BY1362),IF(ABS(BY1362-[1]QC_indicators!$B$1)&gt;3*[1]QC_indicators!$C$1,"DF","no")))</f>
        <v>0</v>
      </c>
    </row>
    <row r="1363" spans="1:148" ht="15" hidden="1" customHeight="1">
      <c r="A1363" s="1" t="s">
        <v>4067</v>
      </c>
      <c r="B1363" t="s">
        <v>4068</v>
      </c>
      <c r="C1363" t="s">
        <v>4069</v>
      </c>
      <c r="D1363" t="s">
        <v>4070</v>
      </c>
      <c r="E1363" t="s">
        <v>4071</v>
      </c>
      <c r="F1363" t="s">
        <v>4072</v>
      </c>
      <c r="G1363" t="s">
        <v>4073</v>
      </c>
      <c r="H1363" t="s">
        <v>254</v>
      </c>
      <c r="I1363">
        <v>2021</v>
      </c>
      <c r="J1363">
        <v>0</v>
      </c>
      <c r="K1363" t="s">
        <v>4074</v>
      </c>
      <c r="M1363" t="str">
        <f t="shared" si="1755"/>
        <v>Robertson_2021</v>
      </c>
      <c r="N1363" s="311" t="s">
        <v>4382</v>
      </c>
      <c r="O1363" s="145" t="s">
        <v>341</v>
      </c>
      <c r="Q1363" s="311" t="s">
        <v>256</v>
      </c>
      <c r="R1363" s="312"/>
      <c r="S1363" s="1" t="s">
        <v>4081</v>
      </c>
      <c r="T1363" t="s">
        <v>1110</v>
      </c>
      <c r="U1363" t="e">
        <f>#REF!</f>
        <v>#REF!</v>
      </c>
      <c r="V1363">
        <v>1</v>
      </c>
      <c r="W1363">
        <v>0</v>
      </c>
      <c r="X1363">
        <v>0</v>
      </c>
      <c r="Y1363">
        <v>0</v>
      </c>
      <c r="Z1363">
        <v>0</v>
      </c>
      <c r="AA1363">
        <v>0</v>
      </c>
      <c r="AB1363">
        <v>0</v>
      </c>
      <c r="AC1363">
        <v>0</v>
      </c>
      <c r="AD1363">
        <v>0</v>
      </c>
      <c r="AE1363">
        <v>0</v>
      </c>
      <c r="AF1363">
        <v>0</v>
      </c>
      <c r="AG1363">
        <v>0</v>
      </c>
      <c r="AH1363">
        <v>0</v>
      </c>
      <c r="AI1363">
        <v>0</v>
      </c>
      <c r="AJ1363">
        <v>0</v>
      </c>
      <c r="AK1363">
        <v>0</v>
      </c>
      <c r="AL1363">
        <v>0</v>
      </c>
      <c r="AM1363">
        <v>0</v>
      </c>
      <c r="AN1363">
        <v>0</v>
      </c>
      <c r="AO1363">
        <v>0</v>
      </c>
      <c r="AP1363">
        <v>0</v>
      </c>
      <c r="AQ1363">
        <v>0</v>
      </c>
      <c r="AR1363">
        <v>0</v>
      </c>
      <c r="AS1363">
        <v>0</v>
      </c>
      <c r="AT1363">
        <v>0</v>
      </c>
      <c r="AU1363">
        <v>0</v>
      </c>
      <c r="AV1363">
        <v>0</v>
      </c>
      <c r="AW1363">
        <v>2</v>
      </c>
      <c r="AX1363" s="141">
        <f t="shared" si="1756"/>
        <v>2</v>
      </c>
      <c r="AY1363" s="141">
        <f t="shared" si="1757"/>
        <v>1</v>
      </c>
      <c r="AZ1363">
        <f t="shared" si="1758"/>
        <v>1</v>
      </c>
      <c r="BA1363">
        <f t="shared" si="1759"/>
        <v>0</v>
      </c>
      <c r="BB1363">
        <f t="shared" si="1760"/>
        <v>0</v>
      </c>
      <c r="BC1363">
        <f t="shared" si="1761"/>
        <v>1</v>
      </c>
      <c r="BD1363">
        <f t="shared" si="1762"/>
        <v>0</v>
      </c>
      <c r="BE1363" t="str" cm="1">
        <f t="array" ref="BE1363">IF(AY1363=1,INDEX($V$7:$AL$7,MATCH(TRUE,INDEX($V1363:$AW1363&lt;&gt;0,),0)),IF(AY1363=0,INDEX($AM$7:$AW$7,MATCH(1,$AM1363:$AW1363,0)),IF(BF1363="Multiple strategies","mixed drivers",IF(BF1363="Supply chain","multiple supply","multiple silviculture"))))</f>
        <v>area subject to harvest</v>
      </c>
      <c r="BF1363" s="2" t="str" cm="1">
        <f t="array" ref="BF1363">IF(COUNTIF(AZ1363:BB1363,"&lt;&gt;0")=1,INDEX($V$4:$AW$4,MATCH(TRUE,INDEX($V1363:$AW1363&lt;&gt;0,),0)),IF(COUNTIF(AZ1363:BB1363,"&lt;&gt;0")=0,INDEX($AM$4:$AW$4,MATCH(1,$AM1363:$AW1363,0)),"Multiple strategies"))</f>
        <v>Silviculture for removals</v>
      </c>
      <c r="BP1363" t="s">
        <v>232</v>
      </c>
      <c r="BR1363" t="s">
        <v>1139</v>
      </c>
      <c r="BS1363">
        <v>0</v>
      </c>
      <c r="BT1363">
        <v>1.1599999999999999</v>
      </c>
      <c r="BU1363" s="144" t="str">
        <f t="shared" si="1791"/>
        <v/>
      </c>
      <c r="BV1363">
        <f t="shared" si="1765"/>
        <v>1.1599999999999999</v>
      </c>
      <c r="BX1363">
        <f t="shared" si="1792"/>
        <v>1160000</v>
      </c>
      <c r="BY1363" t="str">
        <f t="shared" si="1750"/>
        <v/>
      </c>
      <c r="BZ1363">
        <v>0</v>
      </c>
      <c r="CA1363">
        <v>0</v>
      </c>
      <c r="CB1363">
        <v>0</v>
      </c>
      <c r="CC1363">
        <v>0</v>
      </c>
      <c r="CD1363">
        <v>0</v>
      </c>
      <c r="CE1363">
        <v>0</v>
      </c>
      <c r="CF1363">
        <v>0</v>
      </c>
      <c r="CG1363">
        <v>0</v>
      </c>
      <c r="CH1363">
        <v>0</v>
      </c>
      <c r="CI1363">
        <v>0</v>
      </c>
      <c r="CJ1363">
        <v>0</v>
      </c>
      <c r="CK1363">
        <v>0</v>
      </c>
      <c r="CL1363">
        <v>0</v>
      </c>
      <c r="CM1363">
        <v>0</v>
      </c>
      <c r="CN1363" t="str">
        <f t="shared" si="1793"/>
        <v>refOK</v>
      </c>
      <c r="CO1363"/>
      <c r="CP1363"/>
      <c r="CQ1363"/>
      <c r="CR1363">
        <f t="shared" si="1768"/>
        <v>0</v>
      </c>
      <c r="CS1363">
        <f t="shared" si="1769"/>
        <v>1.1599999999999999</v>
      </c>
      <c r="CT1363">
        <f t="shared" si="1770"/>
        <v>1160000</v>
      </c>
      <c r="CU1363" t="str">
        <f t="shared" si="1771"/>
        <v/>
      </c>
      <c r="CV1363" s="2" t="str">
        <f t="shared" si="1772"/>
        <v/>
      </c>
      <c r="CW1363" s="1" t="s">
        <v>1198</v>
      </c>
      <c r="CX1363" s="311" t="str">
        <f t="shared" si="1773"/>
        <v>reg</v>
      </c>
      <c r="CY1363" t="s">
        <v>428</v>
      </c>
      <c r="CZ1363">
        <v>2020</v>
      </c>
      <c r="DA1363">
        <v>2050</v>
      </c>
      <c r="DB1363">
        <v>31</v>
      </c>
      <c r="DC1363" t="str">
        <f t="shared" si="1774"/>
        <v>31-70</v>
      </c>
      <c r="DD1363">
        <v>0</v>
      </c>
      <c r="DE1363">
        <v>1</v>
      </c>
      <c r="DF1363">
        <v>1</v>
      </c>
      <c r="DG1363">
        <v>1</v>
      </c>
      <c r="DI1363">
        <f t="shared" si="1775"/>
        <v>3</v>
      </c>
      <c r="DJ1363" t="str">
        <f t="shared" si="1776"/>
        <v>mixedProduct</v>
      </c>
      <c r="DK1363">
        <f t="shared" si="1777"/>
        <v>0</v>
      </c>
      <c r="DL1363" t="str">
        <f t="shared" si="1778"/>
        <v>Energy</v>
      </c>
      <c r="DM1363" t="str">
        <f t="shared" si="1779"/>
        <v>Pulp/Paper</v>
      </c>
      <c r="DN1363" t="str">
        <f t="shared" si="1780"/>
        <v>Timber</v>
      </c>
      <c r="DO1363">
        <v>0</v>
      </c>
      <c r="DP1363">
        <v>0</v>
      </c>
      <c r="DQ1363">
        <v>0</v>
      </c>
      <c r="DR1363">
        <v>0</v>
      </c>
      <c r="DS1363">
        <v>0</v>
      </c>
      <c r="DT1363">
        <f t="shared" si="1781"/>
        <v>0</v>
      </c>
      <c r="DU1363" s="143" t="str">
        <f t="shared" si="1782"/>
        <v>explicit C balance</v>
      </c>
      <c r="DV1363">
        <v>1</v>
      </c>
      <c r="DW1363">
        <v>1</v>
      </c>
      <c r="DX1363">
        <v>1</v>
      </c>
      <c r="DY1363">
        <v>1</v>
      </c>
      <c r="DZ1363">
        <v>0</v>
      </c>
      <c r="EA1363" s="143">
        <v>0</v>
      </c>
      <c r="EB1363">
        <v>1</v>
      </c>
      <c r="EC1363">
        <v>0</v>
      </c>
      <c r="ED1363">
        <v>0</v>
      </c>
      <c r="EE1363">
        <v>0</v>
      </c>
      <c r="EF1363">
        <v>1</v>
      </c>
      <c r="EG1363">
        <v>0</v>
      </c>
      <c r="EH1363">
        <v>0</v>
      </c>
      <c r="EI1363" s="2">
        <v>0</v>
      </c>
      <c r="EK1363" t="str">
        <f t="shared" si="1794"/>
        <v/>
      </c>
      <c r="EL1363" t="str">
        <f t="shared" si="1795"/>
        <v>Ecosystem approach</v>
      </c>
      <c r="EM1363" s="2" t="str">
        <f t="shared" si="1751"/>
        <v/>
      </c>
      <c r="EP1363" t="b">
        <f>IF(ISNUMBER(BU1363),IF(ABS(BU1363-[1]QC_indicators!$B$2)&gt;3*[1]QC_indicators!$C$2,"C ratio",IF(ISNUMBER(BY1363),IF(ABS(BY1363-[1]QC_indicators!$B$1)&gt;3*[1]QC_indicators!$C$1,"DF","no"))),IF(ISNUMBER(BY1363),IF(ABS(BY1363-[1]QC_indicators!$B$1)&gt;3*[1]QC_indicators!$C$1,"DF","no")))</f>
        <v>0</v>
      </c>
    </row>
    <row r="1364" spans="1:148" hidden="1">
      <c r="A1364" s="1" t="s">
        <v>4067</v>
      </c>
      <c r="B1364" t="s">
        <v>4068</v>
      </c>
      <c r="C1364" t="s">
        <v>4069</v>
      </c>
      <c r="D1364" t="s">
        <v>4070</v>
      </c>
      <c r="E1364" t="s">
        <v>4071</v>
      </c>
      <c r="F1364" t="s">
        <v>4072</v>
      </c>
      <c r="G1364" t="s">
        <v>4073</v>
      </c>
      <c r="H1364" t="s">
        <v>254</v>
      </c>
      <c r="I1364">
        <v>2021</v>
      </c>
      <c r="J1364">
        <v>0</v>
      </c>
      <c r="K1364" t="s">
        <v>4074</v>
      </c>
      <c r="M1364" t="str">
        <f t="shared" si="1755"/>
        <v>Robertson_2021</v>
      </c>
      <c r="N1364" s="311" t="s">
        <v>4382</v>
      </c>
      <c r="O1364" s="145" t="s">
        <v>341</v>
      </c>
      <c r="Q1364" s="311" t="s">
        <v>256</v>
      </c>
      <c r="R1364" s="312"/>
      <c r="S1364" s="1" t="s">
        <v>4082</v>
      </c>
      <c r="T1364" t="s">
        <v>1110</v>
      </c>
      <c r="U1364" t="e">
        <f>#REF!</f>
        <v>#REF!</v>
      </c>
      <c r="V1364">
        <v>0</v>
      </c>
      <c r="W1364">
        <v>0</v>
      </c>
      <c r="X1364">
        <v>0</v>
      </c>
      <c r="Y1364">
        <v>0</v>
      </c>
      <c r="Z1364">
        <v>0</v>
      </c>
      <c r="AA1364">
        <v>1</v>
      </c>
      <c r="AB1364">
        <v>0</v>
      </c>
      <c r="AC1364">
        <v>0</v>
      </c>
      <c r="AD1364">
        <v>0</v>
      </c>
      <c r="AE1364">
        <v>0</v>
      </c>
      <c r="AF1364">
        <v>0</v>
      </c>
      <c r="AG1364">
        <v>0</v>
      </c>
      <c r="AH1364">
        <v>0</v>
      </c>
      <c r="AI1364">
        <v>0</v>
      </c>
      <c r="AJ1364">
        <v>0</v>
      </c>
      <c r="AK1364">
        <v>0</v>
      </c>
      <c r="AL1364">
        <v>0</v>
      </c>
      <c r="AM1364">
        <v>0</v>
      </c>
      <c r="AN1364">
        <v>0</v>
      </c>
      <c r="AO1364">
        <v>0</v>
      </c>
      <c r="AP1364">
        <v>0</v>
      </c>
      <c r="AQ1364">
        <v>0</v>
      </c>
      <c r="AR1364">
        <v>0</v>
      </c>
      <c r="AS1364">
        <v>0</v>
      </c>
      <c r="AT1364">
        <v>0</v>
      </c>
      <c r="AU1364">
        <v>0</v>
      </c>
      <c r="AV1364">
        <v>0</v>
      </c>
      <c r="AW1364">
        <v>0</v>
      </c>
      <c r="AX1364" s="141">
        <f t="shared" si="1756"/>
        <v>1</v>
      </c>
      <c r="AY1364" s="141">
        <f t="shared" si="1757"/>
        <v>1</v>
      </c>
      <c r="AZ1364">
        <f t="shared" si="1758"/>
        <v>1</v>
      </c>
      <c r="BA1364">
        <f t="shared" si="1759"/>
        <v>0</v>
      </c>
      <c r="BB1364">
        <f t="shared" si="1760"/>
        <v>0</v>
      </c>
      <c r="BC1364">
        <f t="shared" si="1761"/>
        <v>0</v>
      </c>
      <c r="BD1364">
        <f t="shared" si="1762"/>
        <v>0</v>
      </c>
      <c r="BE1364" t="str" cm="1">
        <f t="array" ref="BE1364">IF(AY1364=1,INDEX($V$7:$AL$7,MATCH(TRUE,INDEX($V1364:$AW1364&lt;&gt;0,),0)),IF(AY1364=0,INDEX($AM$7:$AW$7,MATCH(1,$AM1364:$AW1364,0)),IF(BF1364="Multiple strategies","mixed drivers",IF(BF1364="Supply chain","multiple supply","multiple silviculture"))))</f>
        <v>plantation density</v>
      </c>
      <c r="BF1364" s="2" t="str" cm="1">
        <f t="array" ref="BF1364">IF(COUNTIF(AZ1364:BB1364,"&lt;&gt;0")=1,INDEX($V$4:$AW$4,MATCH(TRUE,INDEX($V1364:$AW1364&lt;&gt;0,),0)),IF(COUNTIF(AZ1364:BB1364,"&lt;&gt;0")=0,INDEX($AM$4:$AW$4,MATCH(1,$AM1364:$AW1364,0)),"Multiple strategies"))</f>
        <v>Silviculture for productivity</v>
      </c>
      <c r="BP1364" t="s">
        <v>232</v>
      </c>
      <c r="BR1364" t="s">
        <v>1139</v>
      </c>
      <c r="BS1364">
        <v>0</v>
      </c>
      <c r="BT1364">
        <v>0.03</v>
      </c>
      <c r="BU1364" s="144" t="str">
        <f t="shared" si="1791"/>
        <v/>
      </c>
      <c r="BV1364">
        <f t="shared" si="1765"/>
        <v>0.03</v>
      </c>
      <c r="BX1364">
        <f t="shared" si="1792"/>
        <v>30000</v>
      </c>
      <c r="BY1364" t="str">
        <f t="shared" si="1750"/>
        <v/>
      </c>
      <c r="BZ1364">
        <v>0</v>
      </c>
      <c r="CA1364">
        <v>0</v>
      </c>
      <c r="CB1364">
        <v>0</v>
      </c>
      <c r="CC1364">
        <v>0</v>
      </c>
      <c r="CD1364">
        <v>0</v>
      </c>
      <c r="CE1364">
        <v>0</v>
      </c>
      <c r="CF1364">
        <v>0</v>
      </c>
      <c r="CG1364">
        <v>0</v>
      </c>
      <c r="CH1364">
        <v>0</v>
      </c>
      <c r="CI1364">
        <v>0</v>
      </c>
      <c r="CJ1364">
        <v>0</v>
      </c>
      <c r="CK1364">
        <v>0</v>
      </c>
      <c r="CL1364">
        <v>0</v>
      </c>
      <c r="CM1364">
        <v>0</v>
      </c>
      <c r="CN1364" t="str">
        <f t="shared" si="1793"/>
        <v>refOK</v>
      </c>
      <c r="CO1364"/>
      <c r="CP1364"/>
      <c r="CQ1364"/>
      <c r="CR1364">
        <f t="shared" si="1768"/>
        <v>0</v>
      </c>
      <c r="CS1364">
        <f t="shared" si="1769"/>
        <v>0.03</v>
      </c>
      <c r="CT1364">
        <f t="shared" si="1770"/>
        <v>30000</v>
      </c>
      <c r="CU1364" t="str">
        <f t="shared" si="1771"/>
        <v/>
      </c>
      <c r="CV1364" s="2" t="str">
        <f t="shared" si="1772"/>
        <v/>
      </c>
      <c r="CW1364" s="1" t="s">
        <v>1198</v>
      </c>
      <c r="CX1364" s="311" t="str">
        <f t="shared" si="1773"/>
        <v>reg</v>
      </c>
      <c r="CY1364" t="s">
        <v>428</v>
      </c>
      <c r="CZ1364">
        <v>2020</v>
      </c>
      <c r="DA1364">
        <v>2050</v>
      </c>
      <c r="DB1364">
        <v>31</v>
      </c>
      <c r="DC1364" t="str">
        <f t="shared" si="1774"/>
        <v>31-70</v>
      </c>
      <c r="DD1364">
        <v>0</v>
      </c>
      <c r="DE1364">
        <v>1</v>
      </c>
      <c r="DF1364">
        <v>1</v>
      </c>
      <c r="DG1364">
        <v>1</v>
      </c>
      <c r="DI1364">
        <f t="shared" si="1775"/>
        <v>3</v>
      </c>
      <c r="DJ1364" t="str">
        <f t="shared" si="1776"/>
        <v>mixedProduct</v>
      </c>
      <c r="DK1364">
        <f t="shared" si="1777"/>
        <v>0</v>
      </c>
      <c r="DL1364" t="str">
        <f t="shared" si="1778"/>
        <v>Energy</v>
      </c>
      <c r="DM1364" t="str">
        <f t="shared" si="1779"/>
        <v>Pulp/Paper</v>
      </c>
      <c r="DN1364" t="str">
        <f t="shared" si="1780"/>
        <v>Timber</v>
      </c>
      <c r="DO1364">
        <v>0</v>
      </c>
      <c r="DP1364">
        <v>0</v>
      </c>
      <c r="DQ1364">
        <v>0</v>
      </c>
      <c r="DR1364">
        <v>0</v>
      </c>
      <c r="DS1364">
        <v>0</v>
      </c>
      <c r="DT1364">
        <f t="shared" si="1781"/>
        <v>0</v>
      </c>
      <c r="DU1364" s="143" t="str">
        <f t="shared" si="1782"/>
        <v>explicit C balance</v>
      </c>
      <c r="DV1364">
        <v>1</v>
      </c>
      <c r="DW1364">
        <v>1</v>
      </c>
      <c r="DX1364">
        <v>1</v>
      </c>
      <c r="DY1364">
        <v>1</v>
      </c>
      <c r="DZ1364">
        <v>0</v>
      </c>
      <c r="EA1364" s="143">
        <v>0</v>
      </c>
      <c r="EB1364">
        <v>1</v>
      </c>
      <c r="EC1364">
        <v>0</v>
      </c>
      <c r="ED1364">
        <v>0</v>
      </c>
      <c r="EE1364">
        <v>0</v>
      </c>
      <c r="EF1364">
        <v>1</v>
      </c>
      <c r="EG1364">
        <v>0</v>
      </c>
      <c r="EH1364">
        <v>0</v>
      </c>
      <c r="EI1364" s="2">
        <v>0</v>
      </c>
      <c r="EK1364" t="str">
        <f t="shared" si="1794"/>
        <v/>
      </c>
      <c r="EL1364" t="str">
        <f t="shared" si="1795"/>
        <v>Ecosystem approach</v>
      </c>
      <c r="EM1364" s="2" t="str">
        <f t="shared" si="1751"/>
        <v/>
      </c>
      <c r="EP1364" t="b">
        <f>IF(ISNUMBER(BU1364),IF(ABS(BU1364-[1]QC_indicators!$B$2)&gt;3*[1]QC_indicators!$C$2,"C ratio",IF(ISNUMBER(BY1364),IF(ABS(BY1364-[1]QC_indicators!$B$1)&gt;3*[1]QC_indicators!$C$1,"DF","no"))),IF(ISNUMBER(BY1364),IF(ABS(BY1364-[1]QC_indicators!$B$1)&gt;3*[1]QC_indicators!$C$1,"DF","no")))</f>
        <v>0</v>
      </c>
    </row>
    <row r="1365" spans="1:148" ht="15" hidden="1" customHeight="1">
      <c r="A1365" s="1" t="s">
        <v>4067</v>
      </c>
      <c r="B1365" t="s">
        <v>4068</v>
      </c>
      <c r="C1365" t="s">
        <v>4069</v>
      </c>
      <c r="D1365" t="s">
        <v>4070</v>
      </c>
      <c r="E1365" t="s">
        <v>4071</v>
      </c>
      <c r="F1365" t="s">
        <v>4072</v>
      </c>
      <c r="G1365" t="s">
        <v>4073</v>
      </c>
      <c r="H1365" t="s">
        <v>254</v>
      </c>
      <c r="I1365">
        <v>2021</v>
      </c>
      <c r="J1365">
        <v>0</v>
      </c>
      <c r="K1365" t="s">
        <v>4074</v>
      </c>
      <c r="M1365" t="str">
        <f t="shared" si="1755"/>
        <v>Robertson_2021</v>
      </c>
      <c r="N1365" s="311" t="s">
        <v>4382</v>
      </c>
      <c r="O1365" s="145" t="s">
        <v>341</v>
      </c>
      <c r="Q1365" s="311" t="s">
        <v>256</v>
      </c>
      <c r="R1365" s="312"/>
      <c r="S1365" s="1" t="s">
        <v>4083</v>
      </c>
      <c r="T1365" t="s">
        <v>1110</v>
      </c>
      <c r="U1365" t="e">
        <f>#REF!</f>
        <v>#REF!</v>
      </c>
      <c r="V1365">
        <v>0</v>
      </c>
      <c r="W1365">
        <v>0</v>
      </c>
      <c r="X1365">
        <v>0</v>
      </c>
      <c r="Y1365">
        <v>0</v>
      </c>
      <c r="Z1365">
        <v>0</v>
      </c>
      <c r="AA1365">
        <v>1</v>
      </c>
      <c r="AB1365">
        <v>0</v>
      </c>
      <c r="AC1365">
        <v>0</v>
      </c>
      <c r="AD1365">
        <v>0</v>
      </c>
      <c r="AE1365">
        <v>0</v>
      </c>
      <c r="AF1365">
        <v>0</v>
      </c>
      <c r="AG1365">
        <v>0</v>
      </c>
      <c r="AH1365">
        <v>0</v>
      </c>
      <c r="AI1365">
        <v>0</v>
      </c>
      <c r="AJ1365">
        <v>0</v>
      </c>
      <c r="AK1365">
        <v>0</v>
      </c>
      <c r="AL1365">
        <v>0</v>
      </c>
      <c r="AM1365">
        <v>0</v>
      </c>
      <c r="AN1365">
        <v>0</v>
      </c>
      <c r="AO1365">
        <v>0</v>
      </c>
      <c r="AP1365">
        <v>0</v>
      </c>
      <c r="AQ1365">
        <v>0</v>
      </c>
      <c r="AR1365">
        <v>0</v>
      </c>
      <c r="AS1365">
        <v>0</v>
      </c>
      <c r="AT1365">
        <v>0</v>
      </c>
      <c r="AU1365">
        <v>0</v>
      </c>
      <c r="AV1365">
        <v>0</v>
      </c>
      <c r="AW1365">
        <v>0</v>
      </c>
      <c r="AX1365" s="141">
        <f t="shared" si="1756"/>
        <v>1</v>
      </c>
      <c r="AY1365" s="141">
        <f t="shared" si="1757"/>
        <v>1</v>
      </c>
      <c r="AZ1365">
        <f t="shared" si="1758"/>
        <v>1</v>
      </c>
      <c r="BA1365">
        <f t="shared" si="1759"/>
        <v>0</v>
      </c>
      <c r="BB1365">
        <f t="shared" si="1760"/>
        <v>0</v>
      </c>
      <c r="BC1365">
        <f t="shared" si="1761"/>
        <v>0</v>
      </c>
      <c r="BD1365">
        <f t="shared" si="1762"/>
        <v>0</v>
      </c>
      <c r="BE1365" t="str" cm="1">
        <f t="array" ref="BE1365">IF(AY1365=1,INDEX($V$7:$AL$7,MATCH(TRUE,INDEX($V1365:$AW1365&lt;&gt;0,),0)),IF(AY1365=0,INDEX($AM$7:$AW$7,MATCH(1,$AM1365:$AW1365,0)),IF(BF1365="Multiple strategies","mixed drivers",IF(BF1365="Supply chain","multiple supply","multiple silviculture"))))</f>
        <v>plantation density</v>
      </c>
      <c r="BF1365" s="2" t="str" cm="1">
        <f t="array" ref="BF1365">IF(COUNTIF(AZ1365:BB1365,"&lt;&gt;0")=1,INDEX($V$4:$AW$4,MATCH(TRUE,INDEX($V1365:$AW1365&lt;&gt;0,),0)),IF(COUNTIF(AZ1365:BB1365,"&lt;&gt;0")=0,INDEX($AM$4:$AW$4,MATCH(1,$AM1365:$AW1365,0)),"Multiple strategies"))</f>
        <v>Silviculture for productivity</v>
      </c>
      <c r="BP1365" t="s">
        <v>232</v>
      </c>
      <c r="BR1365" t="s">
        <v>1139</v>
      </c>
      <c r="BS1365">
        <v>0</v>
      </c>
      <c r="BT1365">
        <v>0.06</v>
      </c>
      <c r="BU1365" s="144" t="str">
        <f t="shared" si="1791"/>
        <v/>
      </c>
      <c r="BV1365">
        <f t="shared" si="1765"/>
        <v>0.06</v>
      </c>
      <c r="BX1365">
        <f t="shared" si="1792"/>
        <v>60000</v>
      </c>
      <c r="BY1365" t="str">
        <f t="shared" si="1750"/>
        <v/>
      </c>
      <c r="BZ1365">
        <v>0</v>
      </c>
      <c r="CA1365">
        <v>0</v>
      </c>
      <c r="CB1365">
        <v>0</v>
      </c>
      <c r="CC1365">
        <v>0</v>
      </c>
      <c r="CD1365">
        <v>0</v>
      </c>
      <c r="CE1365">
        <v>0</v>
      </c>
      <c r="CF1365">
        <v>0</v>
      </c>
      <c r="CG1365">
        <v>0</v>
      </c>
      <c r="CH1365">
        <v>0</v>
      </c>
      <c r="CI1365">
        <v>0</v>
      </c>
      <c r="CJ1365">
        <v>0</v>
      </c>
      <c r="CK1365">
        <v>0</v>
      </c>
      <c r="CL1365">
        <v>0</v>
      </c>
      <c r="CM1365">
        <v>0</v>
      </c>
      <c r="CN1365" t="str">
        <f t="shared" si="1793"/>
        <v>refOK</v>
      </c>
      <c r="CO1365"/>
      <c r="CP1365"/>
      <c r="CQ1365"/>
      <c r="CR1365">
        <f t="shared" si="1768"/>
        <v>0</v>
      </c>
      <c r="CS1365">
        <f t="shared" si="1769"/>
        <v>0.06</v>
      </c>
      <c r="CT1365">
        <f t="shared" si="1770"/>
        <v>60000</v>
      </c>
      <c r="CU1365" t="str">
        <f t="shared" si="1771"/>
        <v/>
      </c>
      <c r="CV1365" s="2" t="str">
        <f t="shared" si="1772"/>
        <v/>
      </c>
      <c r="CW1365" s="1" t="s">
        <v>1198</v>
      </c>
      <c r="CX1365" s="311" t="str">
        <f t="shared" si="1773"/>
        <v>reg</v>
      </c>
      <c r="CY1365" t="s">
        <v>428</v>
      </c>
      <c r="CZ1365">
        <v>2020</v>
      </c>
      <c r="DA1365">
        <v>2050</v>
      </c>
      <c r="DB1365">
        <v>31</v>
      </c>
      <c r="DC1365" t="str">
        <f t="shared" si="1774"/>
        <v>31-70</v>
      </c>
      <c r="DD1365">
        <v>0</v>
      </c>
      <c r="DE1365">
        <v>1</v>
      </c>
      <c r="DF1365">
        <v>1</v>
      </c>
      <c r="DG1365">
        <v>1</v>
      </c>
      <c r="DI1365">
        <f t="shared" si="1775"/>
        <v>3</v>
      </c>
      <c r="DJ1365" t="str">
        <f t="shared" si="1776"/>
        <v>mixedProduct</v>
      </c>
      <c r="DK1365">
        <f t="shared" si="1777"/>
        <v>0</v>
      </c>
      <c r="DL1365" t="str">
        <f t="shared" si="1778"/>
        <v>Energy</v>
      </c>
      <c r="DM1365" t="str">
        <f t="shared" si="1779"/>
        <v>Pulp/Paper</v>
      </c>
      <c r="DN1365" t="str">
        <f t="shared" si="1780"/>
        <v>Timber</v>
      </c>
      <c r="DO1365">
        <v>0</v>
      </c>
      <c r="DP1365">
        <v>0</v>
      </c>
      <c r="DQ1365">
        <v>0</v>
      </c>
      <c r="DR1365">
        <v>0</v>
      </c>
      <c r="DS1365">
        <v>0</v>
      </c>
      <c r="DT1365">
        <f t="shared" si="1781"/>
        <v>0</v>
      </c>
      <c r="DU1365" s="143" t="str">
        <f t="shared" si="1782"/>
        <v>explicit C balance</v>
      </c>
      <c r="DV1365">
        <v>1</v>
      </c>
      <c r="DW1365">
        <v>1</v>
      </c>
      <c r="DX1365">
        <v>1</v>
      </c>
      <c r="DY1365">
        <v>1</v>
      </c>
      <c r="DZ1365">
        <v>0</v>
      </c>
      <c r="EA1365" s="143">
        <v>0</v>
      </c>
      <c r="EB1365">
        <v>1</v>
      </c>
      <c r="EC1365">
        <v>0</v>
      </c>
      <c r="ED1365">
        <v>0</v>
      </c>
      <c r="EE1365">
        <v>0</v>
      </c>
      <c r="EF1365">
        <v>1</v>
      </c>
      <c r="EG1365">
        <v>0</v>
      </c>
      <c r="EH1365">
        <v>0</v>
      </c>
      <c r="EI1365" s="2">
        <v>0</v>
      </c>
      <c r="EK1365" t="str">
        <f t="shared" si="1794"/>
        <v/>
      </c>
      <c r="EL1365" t="str">
        <f t="shared" si="1795"/>
        <v>Ecosystem approach</v>
      </c>
      <c r="EM1365" s="2" t="str">
        <f t="shared" si="1751"/>
        <v/>
      </c>
      <c r="EP1365" t="b">
        <f>IF(ISNUMBER(BU1365),IF(ABS(BU1365-[1]QC_indicators!$B$2)&gt;3*[1]QC_indicators!$C$2,"C ratio",IF(ISNUMBER(BY1365),IF(ABS(BY1365-[1]QC_indicators!$B$1)&gt;3*[1]QC_indicators!$C$1,"DF","no"))),IF(ISNUMBER(BY1365),IF(ABS(BY1365-[1]QC_indicators!$B$1)&gt;3*[1]QC_indicators!$C$1,"DF","no")))</f>
        <v>0</v>
      </c>
    </row>
    <row r="1366" spans="1:148" ht="15" hidden="1" customHeight="1">
      <c r="A1366" s="1" t="s">
        <v>4067</v>
      </c>
      <c r="B1366" t="s">
        <v>4068</v>
      </c>
      <c r="C1366" t="s">
        <v>4069</v>
      </c>
      <c r="D1366" t="s">
        <v>4070</v>
      </c>
      <c r="E1366" t="s">
        <v>4071</v>
      </c>
      <c r="F1366" t="s">
        <v>4072</v>
      </c>
      <c r="G1366" t="s">
        <v>4073</v>
      </c>
      <c r="H1366" t="s">
        <v>254</v>
      </c>
      <c r="I1366">
        <v>2021</v>
      </c>
      <c r="J1366">
        <v>0</v>
      </c>
      <c r="K1366" t="s">
        <v>4074</v>
      </c>
      <c r="M1366" t="str">
        <f t="shared" si="1755"/>
        <v>Robertson_2021</v>
      </c>
      <c r="N1366" s="311" t="s">
        <v>4382</v>
      </c>
      <c r="O1366" s="145" t="s">
        <v>341</v>
      </c>
      <c r="Q1366" s="311" t="s">
        <v>256</v>
      </c>
      <c r="R1366" s="312"/>
      <c r="S1366" s="1" t="s">
        <v>4084</v>
      </c>
      <c r="T1366" t="s">
        <v>1110</v>
      </c>
      <c r="U1366" t="e">
        <f>#REF!</f>
        <v>#REF!</v>
      </c>
      <c r="V1366">
        <v>0</v>
      </c>
      <c r="W1366">
        <v>0</v>
      </c>
      <c r="X1366">
        <v>0</v>
      </c>
      <c r="Y1366">
        <v>0</v>
      </c>
      <c r="Z1366">
        <v>0</v>
      </c>
      <c r="AA1366">
        <v>1</v>
      </c>
      <c r="AB1366">
        <v>0</v>
      </c>
      <c r="AC1366">
        <v>0</v>
      </c>
      <c r="AD1366">
        <v>0</v>
      </c>
      <c r="AE1366">
        <v>0</v>
      </c>
      <c r="AF1366">
        <v>0</v>
      </c>
      <c r="AG1366">
        <v>0</v>
      </c>
      <c r="AH1366">
        <v>0</v>
      </c>
      <c r="AI1366">
        <v>0</v>
      </c>
      <c r="AJ1366">
        <v>0</v>
      </c>
      <c r="AK1366">
        <v>0</v>
      </c>
      <c r="AL1366">
        <v>0</v>
      </c>
      <c r="AM1366">
        <v>0</v>
      </c>
      <c r="AN1366">
        <v>0</v>
      </c>
      <c r="AO1366">
        <v>0</v>
      </c>
      <c r="AP1366">
        <v>0</v>
      </c>
      <c r="AQ1366">
        <v>0</v>
      </c>
      <c r="AR1366">
        <v>0</v>
      </c>
      <c r="AS1366">
        <v>0</v>
      </c>
      <c r="AT1366">
        <v>0</v>
      </c>
      <c r="AU1366">
        <v>0</v>
      </c>
      <c r="AV1366">
        <v>0</v>
      </c>
      <c r="AW1366">
        <v>0</v>
      </c>
      <c r="AX1366" s="141">
        <f t="shared" si="1756"/>
        <v>1</v>
      </c>
      <c r="AY1366" s="141">
        <f t="shared" si="1757"/>
        <v>1</v>
      </c>
      <c r="AZ1366">
        <f t="shared" si="1758"/>
        <v>1</v>
      </c>
      <c r="BA1366">
        <f t="shared" si="1759"/>
        <v>0</v>
      </c>
      <c r="BB1366">
        <f t="shared" si="1760"/>
        <v>0</v>
      </c>
      <c r="BC1366">
        <f t="shared" si="1761"/>
        <v>0</v>
      </c>
      <c r="BD1366">
        <f t="shared" si="1762"/>
        <v>0</v>
      </c>
      <c r="BE1366" t="str" cm="1">
        <f t="array" ref="BE1366">IF(AY1366=1,INDEX($V$7:$AL$7,MATCH(TRUE,INDEX($V1366:$AW1366&lt;&gt;0,),0)),IF(AY1366=0,INDEX($AM$7:$AW$7,MATCH(1,$AM1366:$AW1366,0)),IF(BF1366="Multiple strategies","mixed drivers",IF(BF1366="Supply chain","multiple supply","multiple silviculture"))))</f>
        <v>plantation density</v>
      </c>
      <c r="BF1366" s="2" t="str" cm="1">
        <f t="array" ref="BF1366">IF(COUNTIF(AZ1366:BB1366,"&lt;&gt;0")=1,INDEX($V$4:$AW$4,MATCH(TRUE,INDEX($V1366:$AW1366&lt;&gt;0,),0)),IF(COUNTIF(AZ1366:BB1366,"&lt;&gt;0")=0,INDEX($AM$4:$AW$4,MATCH(1,$AM1366:$AW1366,0)),"Multiple strategies"))</f>
        <v>Silviculture for productivity</v>
      </c>
      <c r="BP1366" t="s">
        <v>232</v>
      </c>
      <c r="BR1366" t="s">
        <v>1139</v>
      </c>
      <c r="BS1366">
        <v>0</v>
      </c>
      <c r="BT1366">
        <v>0.11</v>
      </c>
      <c r="BU1366" s="144" t="str">
        <f t="shared" si="1791"/>
        <v/>
      </c>
      <c r="BV1366">
        <f t="shared" si="1765"/>
        <v>0.11</v>
      </c>
      <c r="BX1366">
        <f t="shared" si="1792"/>
        <v>110000</v>
      </c>
      <c r="BY1366" t="str">
        <f t="shared" si="1750"/>
        <v/>
      </c>
      <c r="BZ1366">
        <v>0</v>
      </c>
      <c r="CA1366">
        <v>0</v>
      </c>
      <c r="CB1366">
        <v>0</v>
      </c>
      <c r="CC1366">
        <v>0</v>
      </c>
      <c r="CD1366">
        <v>0</v>
      </c>
      <c r="CE1366">
        <v>0</v>
      </c>
      <c r="CF1366">
        <v>0</v>
      </c>
      <c r="CG1366">
        <v>0</v>
      </c>
      <c r="CH1366">
        <v>0</v>
      </c>
      <c r="CI1366">
        <v>0</v>
      </c>
      <c r="CJ1366">
        <v>0</v>
      </c>
      <c r="CK1366">
        <v>0</v>
      </c>
      <c r="CL1366">
        <v>0</v>
      </c>
      <c r="CM1366">
        <v>0</v>
      </c>
      <c r="CN1366" t="str">
        <f t="shared" si="1793"/>
        <v>refOK</v>
      </c>
      <c r="CO1366"/>
      <c r="CP1366"/>
      <c r="CQ1366"/>
      <c r="CR1366">
        <f t="shared" si="1768"/>
        <v>0</v>
      </c>
      <c r="CS1366">
        <f t="shared" si="1769"/>
        <v>0.11</v>
      </c>
      <c r="CT1366">
        <f t="shared" si="1770"/>
        <v>110000</v>
      </c>
      <c r="CU1366" t="str">
        <f t="shared" si="1771"/>
        <v/>
      </c>
      <c r="CV1366" s="2" t="str">
        <f t="shared" si="1772"/>
        <v/>
      </c>
      <c r="CW1366" s="1" t="s">
        <v>1198</v>
      </c>
      <c r="CX1366" s="311" t="str">
        <f t="shared" si="1773"/>
        <v>reg</v>
      </c>
      <c r="CY1366" t="s">
        <v>428</v>
      </c>
      <c r="CZ1366">
        <v>2020</v>
      </c>
      <c r="DA1366">
        <v>2050</v>
      </c>
      <c r="DB1366">
        <v>31</v>
      </c>
      <c r="DC1366" t="str">
        <f t="shared" si="1774"/>
        <v>31-70</v>
      </c>
      <c r="DD1366">
        <v>0</v>
      </c>
      <c r="DE1366">
        <v>1</v>
      </c>
      <c r="DF1366">
        <v>1</v>
      </c>
      <c r="DG1366">
        <v>1</v>
      </c>
      <c r="DI1366">
        <f t="shared" si="1775"/>
        <v>3</v>
      </c>
      <c r="DJ1366" t="str">
        <f t="shared" si="1776"/>
        <v>mixedProduct</v>
      </c>
      <c r="DK1366">
        <f t="shared" si="1777"/>
        <v>0</v>
      </c>
      <c r="DL1366" t="str">
        <f t="shared" si="1778"/>
        <v>Energy</v>
      </c>
      <c r="DM1366" t="str">
        <f t="shared" si="1779"/>
        <v>Pulp/Paper</v>
      </c>
      <c r="DN1366" t="str">
        <f t="shared" si="1780"/>
        <v>Timber</v>
      </c>
      <c r="DO1366">
        <v>0</v>
      </c>
      <c r="DP1366">
        <v>0</v>
      </c>
      <c r="DQ1366">
        <v>0</v>
      </c>
      <c r="DR1366">
        <v>0</v>
      </c>
      <c r="DS1366">
        <v>0</v>
      </c>
      <c r="DT1366">
        <f t="shared" si="1781"/>
        <v>0</v>
      </c>
      <c r="DU1366" s="143" t="str">
        <f t="shared" si="1782"/>
        <v>explicit C balance</v>
      </c>
      <c r="DV1366">
        <v>1</v>
      </c>
      <c r="DW1366">
        <v>1</v>
      </c>
      <c r="DX1366">
        <v>1</v>
      </c>
      <c r="DY1366">
        <v>1</v>
      </c>
      <c r="DZ1366">
        <v>0</v>
      </c>
      <c r="EA1366" s="143">
        <v>0</v>
      </c>
      <c r="EB1366">
        <v>1</v>
      </c>
      <c r="EC1366">
        <v>0</v>
      </c>
      <c r="ED1366">
        <v>0</v>
      </c>
      <c r="EE1366">
        <v>0</v>
      </c>
      <c r="EF1366">
        <v>1</v>
      </c>
      <c r="EG1366">
        <v>0</v>
      </c>
      <c r="EH1366">
        <v>0</v>
      </c>
      <c r="EI1366" s="2">
        <v>0</v>
      </c>
      <c r="EK1366" t="str">
        <f t="shared" si="1794"/>
        <v/>
      </c>
      <c r="EL1366" t="str">
        <f t="shared" si="1795"/>
        <v>Ecosystem approach</v>
      </c>
      <c r="EM1366" s="2" t="str">
        <f t="shared" si="1751"/>
        <v/>
      </c>
      <c r="EP1366" t="b">
        <f>IF(ISNUMBER(BU1366),IF(ABS(BU1366-[1]QC_indicators!$B$2)&gt;3*[1]QC_indicators!$C$2,"C ratio",IF(ISNUMBER(BY1366),IF(ABS(BY1366-[1]QC_indicators!$B$1)&gt;3*[1]QC_indicators!$C$1,"DF","no"))),IF(ISNUMBER(BY1366),IF(ABS(BY1366-[1]QC_indicators!$B$1)&gt;3*[1]QC_indicators!$C$1,"DF","no")))</f>
        <v>0</v>
      </c>
    </row>
    <row r="1367" spans="1:148" ht="15" hidden="1" customHeight="1">
      <c r="A1367" s="1" t="s">
        <v>4067</v>
      </c>
      <c r="B1367" t="s">
        <v>4068</v>
      </c>
      <c r="C1367" t="s">
        <v>4069</v>
      </c>
      <c r="D1367" t="s">
        <v>4070</v>
      </c>
      <c r="E1367" t="s">
        <v>4071</v>
      </c>
      <c r="F1367" t="s">
        <v>4072</v>
      </c>
      <c r="G1367" t="s">
        <v>4073</v>
      </c>
      <c r="H1367" t="s">
        <v>254</v>
      </c>
      <c r="I1367">
        <v>2021</v>
      </c>
      <c r="J1367">
        <v>0</v>
      </c>
      <c r="K1367" t="s">
        <v>4074</v>
      </c>
      <c r="M1367" t="str">
        <f t="shared" si="1755"/>
        <v>Robertson_2021</v>
      </c>
      <c r="N1367" s="311" t="s">
        <v>4382</v>
      </c>
      <c r="O1367" s="145" t="s">
        <v>341</v>
      </c>
      <c r="Q1367" s="311" t="s">
        <v>256</v>
      </c>
      <c r="R1367" s="312"/>
      <c r="S1367" s="1" t="s">
        <v>4085</v>
      </c>
      <c r="T1367" t="s">
        <v>1110</v>
      </c>
      <c r="U1367" t="e">
        <f>#REF!</f>
        <v>#REF!</v>
      </c>
      <c r="V1367">
        <v>0</v>
      </c>
      <c r="W1367">
        <v>0</v>
      </c>
      <c r="X1367">
        <v>1</v>
      </c>
      <c r="Y1367">
        <v>0</v>
      </c>
      <c r="Z1367">
        <v>0</v>
      </c>
      <c r="AA1367">
        <v>0</v>
      </c>
      <c r="AB1367">
        <v>0</v>
      </c>
      <c r="AC1367">
        <v>0</v>
      </c>
      <c r="AD1367">
        <v>0</v>
      </c>
      <c r="AE1367">
        <v>0</v>
      </c>
      <c r="AF1367">
        <v>0</v>
      </c>
      <c r="AG1367">
        <v>0</v>
      </c>
      <c r="AH1367">
        <v>0</v>
      </c>
      <c r="AI1367">
        <v>0</v>
      </c>
      <c r="AJ1367">
        <v>0</v>
      </c>
      <c r="AK1367">
        <v>0</v>
      </c>
      <c r="AL1367">
        <v>0</v>
      </c>
      <c r="AM1367">
        <v>0</v>
      </c>
      <c r="AN1367">
        <v>0</v>
      </c>
      <c r="AO1367">
        <v>0</v>
      </c>
      <c r="AP1367">
        <v>0</v>
      </c>
      <c r="AQ1367">
        <v>0</v>
      </c>
      <c r="AR1367">
        <v>0</v>
      </c>
      <c r="AS1367">
        <v>0</v>
      </c>
      <c r="AT1367">
        <v>0</v>
      </c>
      <c r="AU1367">
        <v>0</v>
      </c>
      <c r="AV1367">
        <v>0</v>
      </c>
      <c r="AW1367">
        <v>0</v>
      </c>
      <c r="AX1367" s="141">
        <f t="shared" si="1756"/>
        <v>1</v>
      </c>
      <c r="AY1367" s="141">
        <f t="shared" si="1757"/>
        <v>1</v>
      </c>
      <c r="AZ1367">
        <f t="shared" si="1758"/>
        <v>1</v>
      </c>
      <c r="BA1367">
        <f t="shared" si="1759"/>
        <v>0</v>
      </c>
      <c r="BB1367">
        <f t="shared" si="1760"/>
        <v>0</v>
      </c>
      <c r="BC1367">
        <f t="shared" si="1761"/>
        <v>0</v>
      </c>
      <c r="BD1367">
        <f t="shared" si="1762"/>
        <v>0</v>
      </c>
      <c r="BE1367" t="str" cm="1">
        <f t="array" ref="BE1367">IF(AY1367=1,INDEX($V$7:$AL$7,MATCH(TRUE,INDEX($V1367:$AW1367&lt;&gt;0,),0)),IF(AY1367=0,INDEX($AM$7:$AW$7,MATCH(1,$AM1367:$AW1367,0)),IF(BF1367="Multiple strategies","mixed drivers",IF(BF1367="Supply chain","multiple supply","multiple silviculture"))))</f>
        <v>rotation length</v>
      </c>
      <c r="BF1367" s="2" t="str" cm="1">
        <f t="array" ref="BF1367">IF(COUNTIF(AZ1367:BB1367,"&lt;&gt;0")=1,INDEX($V$4:$AW$4,MATCH(TRUE,INDEX($V1367:$AW1367&lt;&gt;0,),0)),IF(COUNTIF(AZ1367:BB1367,"&lt;&gt;0")=0,INDEX($AM$4:$AW$4,MATCH(1,$AM1367:$AW1367,0)),"Multiple strategies"))</f>
        <v>Silviculture for removals</v>
      </c>
      <c r="BP1367" t="s">
        <v>232</v>
      </c>
      <c r="BR1367" t="s">
        <v>1139</v>
      </c>
      <c r="BS1367">
        <v>0</v>
      </c>
      <c r="BT1367">
        <v>3.46</v>
      </c>
      <c r="BU1367" s="144" t="str">
        <f t="shared" si="1791"/>
        <v/>
      </c>
      <c r="BV1367">
        <f t="shared" si="1765"/>
        <v>3.46</v>
      </c>
      <c r="BX1367">
        <f t="shared" si="1792"/>
        <v>3460000</v>
      </c>
      <c r="BY1367" t="str">
        <f t="shared" si="1750"/>
        <v/>
      </c>
      <c r="BZ1367">
        <v>0</v>
      </c>
      <c r="CA1367">
        <v>0</v>
      </c>
      <c r="CB1367">
        <v>0</v>
      </c>
      <c r="CC1367">
        <v>0</v>
      </c>
      <c r="CD1367">
        <v>0</v>
      </c>
      <c r="CE1367">
        <v>0</v>
      </c>
      <c r="CF1367">
        <v>0</v>
      </c>
      <c r="CG1367">
        <v>0</v>
      </c>
      <c r="CH1367">
        <v>0</v>
      </c>
      <c r="CI1367">
        <v>0</v>
      </c>
      <c r="CJ1367">
        <v>0</v>
      </c>
      <c r="CK1367">
        <v>0</v>
      </c>
      <c r="CL1367">
        <v>0</v>
      </c>
      <c r="CM1367">
        <v>0</v>
      </c>
      <c r="CN1367" t="str">
        <f t="shared" si="1793"/>
        <v>refOK</v>
      </c>
      <c r="CO1367"/>
      <c r="CP1367"/>
      <c r="CQ1367"/>
      <c r="CR1367">
        <f t="shared" si="1768"/>
        <v>0</v>
      </c>
      <c r="CS1367">
        <f t="shared" si="1769"/>
        <v>3.46</v>
      </c>
      <c r="CT1367">
        <f t="shared" si="1770"/>
        <v>3460000</v>
      </c>
      <c r="CU1367" t="str">
        <f t="shared" si="1771"/>
        <v/>
      </c>
      <c r="CV1367" s="2" t="str">
        <f t="shared" si="1772"/>
        <v/>
      </c>
      <c r="CW1367" s="1" t="s">
        <v>1198</v>
      </c>
      <c r="CX1367" s="311" t="str">
        <f t="shared" si="1773"/>
        <v>reg</v>
      </c>
      <c r="CY1367" t="s">
        <v>428</v>
      </c>
      <c r="CZ1367">
        <v>2020</v>
      </c>
      <c r="DA1367">
        <v>2050</v>
      </c>
      <c r="DB1367">
        <v>31</v>
      </c>
      <c r="DC1367" t="str">
        <f t="shared" si="1774"/>
        <v>31-70</v>
      </c>
      <c r="DD1367">
        <v>0</v>
      </c>
      <c r="DE1367">
        <v>1</v>
      </c>
      <c r="DF1367">
        <v>1</v>
      </c>
      <c r="DG1367">
        <v>1</v>
      </c>
      <c r="DI1367">
        <f t="shared" si="1775"/>
        <v>3</v>
      </c>
      <c r="DJ1367" t="str">
        <f t="shared" si="1776"/>
        <v>mixedProduct</v>
      </c>
      <c r="DK1367">
        <f t="shared" si="1777"/>
        <v>0</v>
      </c>
      <c r="DL1367" t="str">
        <f t="shared" si="1778"/>
        <v>Energy</v>
      </c>
      <c r="DM1367" t="str">
        <f t="shared" si="1779"/>
        <v>Pulp/Paper</v>
      </c>
      <c r="DN1367" t="str">
        <f t="shared" si="1780"/>
        <v>Timber</v>
      </c>
      <c r="DO1367">
        <v>0</v>
      </c>
      <c r="DP1367">
        <v>0</v>
      </c>
      <c r="DQ1367">
        <v>0</v>
      </c>
      <c r="DR1367">
        <v>0</v>
      </c>
      <c r="DS1367">
        <v>0</v>
      </c>
      <c r="DT1367">
        <f t="shared" si="1781"/>
        <v>0</v>
      </c>
      <c r="DU1367" s="143" t="str">
        <f t="shared" si="1782"/>
        <v>explicit C balance</v>
      </c>
      <c r="DV1367">
        <v>1</v>
      </c>
      <c r="DW1367">
        <v>1</v>
      </c>
      <c r="DX1367">
        <v>1</v>
      </c>
      <c r="DY1367">
        <v>1</v>
      </c>
      <c r="DZ1367">
        <v>0</v>
      </c>
      <c r="EA1367" s="143">
        <v>0</v>
      </c>
      <c r="EB1367">
        <v>1</v>
      </c>
      <c r="EC1367">
        <v>0</v>
      </c>
      <c r="ED1367">
        <v>0</v>
      </c>
      <c r="EE1367">
        <v>0</v>
      </c>
      <c r="EF1367">
        <v>1</v>
      </c>
      <c r="EG1367">
        <v>0</v>
      </c>
      <c r="EH1367">
        <v>0</v>
      </c>
      <c r="EI1367" s="2">
        <v>0</v>
      </c>
      <c r="EK1367" t="str">
        <f t="shared" si="1794"/>
        <v/>
      </c>
      <c r="EL1367" t="str">
        <f t="shared" si="1795"/>
        <v>Ecosystem approach</v>
      </c>
      <c r="EM1367" s="2" t="str">
        <f t="shared" si="1751"/>
        <v/>
      </c>
      <c r="EP1367" t="b">
        <f>IF(ISNUMBER(BU1367),IF(ABS(BU1367-[1]QC_indicators!$B$2)&gt;3*[1]QC_indicators!$C$2,"C ratio",IF(ISNUMBER(BY1367),IF(ABS(BY1367-[1]QC_indicators!$B$1)&gt;3*[1]QC_indicators!$C$1,"DF","no"))),IF(ISNUMBER(BY1367),IF(ABS(BY1367-[1]QC_indicators!$B$1)&gt;3*[1]QC_indicators!$C$1,"DF","no")))</f>
        <v>0</v>
      </c>
    </row>
    <row r="1368" spans="1:148" ht="15" hidden="1" customHeight="1">
      <c r="A1368" s="1" t="s">
        <v>4067</v>
      </c>
      <c r="B1368" t="s">
        <v>4068</v>
      </c>
      <c r="C1368" t="s">
        <v>4069</v>
      </c>
      <c r="D1368" t="s">
        <v>4070</v>
      </c>
      <c r="E1368" t="s">
        <v>4071</v>
      </c>
      <c r="F1368" t="s">
        <v>4072</v>
      </c>
      <c r="G1368" t="s">
        <v>4073</v>
      </c>
      <c r="H1368" t="s">
        <v>254</v>
      </c>
      <c r="I1368">
        <v>2021</v>
      </c>
      <c r="J1368">
        <v>0</v>
      </c>
      <c r="K1368" t="s">
        <v>4074</v>
      </c>
      <c r="M1368" t="str">
        <f t="shared" si="1755"/>
        <v>Robertson_2021</v>
      </c>
      <c r="N1368" s="311" t="s">
        <v>4382</v>
      </c>
      <c r="O1368" s="145" t="s">
        <v>341</v>
      </c>
      <c r="Q1368" s="311" t="s">
        <v>256</v>
      </c>
      <c r="R1368" s="312"/>
      <c r="S1368" s="1" t="s">
        <v>4086</v>
      </c>
      <c r="T1368" t="s">
        <v>1110</v>
      </c>
      <c r="U1368" t="e">
        <f>#REF!</f>
        <v>#REF!</v>
      </c>
      <c r="V1368">
        <v>0</v>
      </c>
      <c r="W1368">
        <v>0</v>
      </c>
      <c r="X1368">
        <v>1</v>
      </c>
      <c r="Y1368">
        <v>0</v>
      </c>
      <c r="Z1368">
        <v>0</v>
      </c>
      <c r="AA1368">
        <v>0</v>
      </c>
      <c r="AB1368">
        <v>0</v>
      </c>
      <c r="AC1368">
        <v>0</v>
      </c>
      <c r="AD1368">
        <v>0</v>
      </c>
      <c r="AE1368">
        <v>0</v>
      </c>
      <c r="AF1368">
        <v>0</v>
      </c>
      <c r="AG1368">
        <v>0</v>
      </c>
      <c r="AH1368">
        <v>0</v>
      </c>
      <c r="AI1368">
        <v>0</v>
      </c>
      <c r="AJ1368">
        <v>0</v>
      </c>
      <c r="AK1368">
        <v>0</v>
      </c>
      <c r="AL1368">
        <v>0</v>
      </c>
      <c r="AM1368">
        <v>0</v>
      </c>
      <c r="AN1368">
        <v>0</v>
      </c>
      <c r="AO1368">
        <v>0</v>
      </c>
      <c r="AP1368">
        <v>0</v>
      </c>
      <c r="AQ1368">
        <v>0</v>
      </c>
      <c r="AR1368">
        <v>0</v>
      </c>
      <c r="AS1368">
        <v>0</v>
      </c>
      <c r="AT1368">
        <v>0</v>
      </c>
      <c r="AU1368">
        <v>0</v>
      </c>
      <c r="AV1368">
        <v>0</v>
      </c>
      <c r="AW1368">
        <v>0</v>
      </c>
      <c r="AX1368" s="141">
        <f t="shared" si="1756"/>
        <v>1</v>
      </c>
      <c r="AY1368" s="141">
        <f t="shared" si="1757"/>
        <v>1</v>
      </c>
      <c r="AZ1368">
        <f t="shared" si="1758"/>
        <v>1</v>
      </c>
      <c r="BA1368">
        <f t="shared" si="1759"/>
        <v>0</v>
      </c>
      <c r="BB1368">
        <f t="shared" si="1760"/>
        <v>0</v>
      </c>
      <c r="BC1368">
        <f t="shared" si="1761"/>
        <v>0</v>
      </c>
      <c r="BD1368">
        <f t="shared" si="1762"/>
        <v>0</v>
      </c>
      <c r="BE1368" t="str" cm="1">
        <f t="array" ref="BE1368">IF(AY1368=1,INDEX($V$7:$AL$7,MATCH(TRUE,INDEX($V1368:$AW1368&lt;&gt;0,),0)),IF(AY1368=0,INDEX($AM$7:$AW$7,MATCH(1,$AM1368:$AW1368,0)),IF(BF1368="Multiple strategies","mixed drivers",IF(BF1368="Supply chain","multiple supply","multiple silviculture"))))</f>
        <v>rotation length</v>
      </c>
      <c r="BF1368" s="2" t="str" cm="1">
        <f t="array" ref="BF1368">IF(COUNTIF(AZ1368:BB1368,"&lt;&gt;0")=1,INDEX($V$4:$AW$4,MATCH(TRUE,INDEX($V1368:$AW1368&lt;&gt;0,),0)),IF(COUNTIF(AZ1368:BB1368,"&lt;&gt;0")=0,INDEX($AM$4:$AW$4,MATCH(1,$AM1368:$AW1368,0)),"Multiple strategies"))</f>
        <v>Silviculture for removals</v>
      </c>
      <c r="BP1368" t="s">
        <v>232</v>
      </c>
      <c r="BR1368" t="s">
        <v>1139</v>
      </c>
      <c r="BS1368">
        <v>0</v>
      </c>
      <c r="BT1368">
        <v>4.0199999999999996</v>
      </c>
      <c r="BU1368" s="144" t="str">
        <f t="shared" si="1791"/>
        <v/>
      </c>
      <c r="BV1368">
        <f t="shared" si="1765"/>
        <v>4.0199999999999996</v>
      </c>
      <c r="BX1368">
        <f t="shared" si="1792"/>
        <v>4019999.9999999995</v>
      </c>
      <c r="BY1368" t="str">
        <f t="shared" si="1750"/>
        <v/>
      </c>
      <c r="BZ1368">
        <v>0</v>
      </c>
      <c r="CA1368">
        <v>0</v>
      </c>
      <c r="CB1368">
        <v>0</v>
      </c>
      <c r="CC1368">
        <v>0</v>
      </c>
      <c r="CD1368">
        <v>0</v>
      </c>
      <c r="CE1368">
        <v>0</v>
      </c>
      <c r="CF1368">
        <v>0</v>
      </c>
      <c r="CG1368">
        <v>0</v>
      </c>
      <c r="CH1368">
        <v>0</v>
      </c>
      <c r="CI1368">
        <v>0</v>
      </c>
      <c r="CJ1368">
        <v>0</v>
      </c>
      <c r="CK1368">
        <v>0</v>
      </c>
      <c r="CL1368">
        <v>0</v>
      </c>
      <c r="CM1368">
        <v>0</v>
      </c>
      <c r="CN1368" t="str">
        <f t="shared" si="1793"/>
        <v>refOK</v>
      </c>
      <c r="CO1368"/>
      <c r="CP1368"/>
      <c r="CQ1368"/>
      <c r="CR1368">
        <f t="shared" si="1768"/>
        <v>0</v>
      </c>
      <c r="CS1368">
        <f t="shared" si="1769"/>
        <v>4.0199999999999996</v>
      </c>
      <c r="CT1368">
        <f t="shared" si="1770"/>
        <v>4019999.9999999995</v>
      </c>
      <c r="CU1368" t="str">
        <f t="shared" si="1771"/>
        <v/>
      </c>
      <c r="CV1368" s="2" t="str">
        <f t="shared" si="1772"/>
        <v/>
      </c>
      <c r="CW1368" s="1" t="s">
        <v>1198</v>
      </c>
      <c r="CX1368" s="311" t="str">
        <f t="shared" si="1773"/>
        <v>reg</v>
      </c>
      <c r="CY1368" t="s">
        <v>428</v>
      </c>
      <c r="CZ1368">
        <v>2020</v>
      </c>
      <c r="DA1368">
        <v>2050</v>
      </c>
      <c r="DB1368">
        <v>31</v>
      </c>
      <c r="DC1368" t="str">
        <f t="shared" si="1774"/>
        <v>31-70</v>
      </c>
      <c r="DD1368">
        <v>0</v>
      </c>
      <c r="DE1368">
        <v>1</v>
      </c>
      <c r="DF1368">
        <v>1</v>
      </c>
      <c r="DG1368">
        <v>1</v>
      </c>
      <c r="DI1368">
        <f t="shared" si="1775"/>
        <v>3</v>
      </c>
      <c r="DJ1368" t="str">
        <f t="shared" si="1776"/>
        <v>mixedProduct</v>
      </c>
      <c r="DK1368">
        <f t="shared" si="1777"/>
        <v>0</v>
      </c>
      <c r="DL1368" t="str">
        <f t="shared" si="1778"/>
        <v>Energy</v>
      </c>
      <c r="DM1368" t="str">
        <f t="shared" si="1779"/>
        <v>Pulp/Paper</v>
      </c>
      <c r="DN1368" t="str">
        <f t="shared" si="1780"/>
        <v>Timber</v>
      </c>
      <c r="DO1368">
        <v>0</v>
      </c>
      <c r="DP1368">
        <v>0</v>
      </c>
      <c r="DQ1368">
        <v>0</v>
      </c>
      <c r="DR1368">
        <v>0</v>
      </c>
      <c r="DS1368">
        <v>0</v>
      </c>
      <c r="DT1368">
        <f t="shared" si="1781"/>
        <v>0</v>
      </c>
      <c r="DU1368" s="143" t="str">
        <f t="shared" si="1782"/>
        <v>explicit C balance</v>
      </c>
      <c r="DV1368">
        <v>1</v>
      </c>
      <c r="DW1368">
        <v>1</v>
      </c>
      <c r="DX1368">
        <v>1</v>
      </c>
      <c r="DY1368">
        <v>1</v>
      </c>
      <c r="DZ1368">
        <v>0</v>
      </c>
      <c r="EA1368" s="143">
        <v>0</v>
      </c>
      <c r="EB1368">
        <v>1</v>
      </c>
      <c r="EC1368">
        <v>0</v>
      </c>
      <c r="ED1368">
        <v>0</v>
      </c>
      <c r="EE1368">
        <v>0</v>
      </c>
      <c r="EF1368">
        <v>1</v>
      </c>
      <c r="EG1368">
        <v>0</v>
      </c>
      <c r="EH1368">
        <v>0</v>
      </c>
      <c r="EI1368" s="2">
        <v>0</v>
      </c>
      <c r="EK1368" t="str">
        <f t="shared" si="1794"/>
        <v/>
      </c>
      <c r="EL1368" t="str">
        <f t="shared" si="1795"/>
        <v>Ecosystem approach</v>
      </c>
      <c r="EM1368" s="2" t="str">
        <f t="shared" si="1751"/>
        <v/>
      </c>
      <c r="EP1368" t="b">
        <f>IF(ISNUMBER(BU1368),IF(ABS(BU1368-[1]QC_indicators!$B$2)&gt;3*[1]QC_indicators!$C$2,"C ratio",IF(ISNUMBER(BY1368),IF(ABS(BY1368-[1]QC_indicators!$B$1)&gt;3*[1]QC_indicators!$C$1,"DF","no"))),IF(ISNUMBER(BY1368),IF(ABS(BY1368-[1]QC_indicators!$B$1)&gt;3*[1]QC_indicators!$C$1,"DF","no")))</f>
        <v>0</v>
      </c>
    </row>
    <row r="1369" spans="1:148" ht="15" hidden="1" customHeight="1">
      <c r="A1369" s="1" t="s">
        <v>4067</v>
      </c>
      <c r="B1369" t="s">
        <v>4068</v>
      </c>
      <c r="C1369" t="s">
        <v>4069</v>
      </c>
      <c r="D1369" t="s">
        <v>4070</v>
      </c>
      <c r="E1369" t="s">
        <v>4071</v>
      </c>
      <c r="F1369" t="s">
        <v>4072</v>
      </c>
      <c r="G1369" t="s">
        <v>4073</v>
      </c>
      <c r="H1369" t="s">
        <v>254</v>
      </c>
      <c r="I1369">
        <v>2021</v>
      </c>
      <c r="J1369">
        <v>0</v>
      </c>
      <c r="K1369" t="s">
        <v>4074</v>
      </c>
      <c r="M1369" t="str">
        <f t="shared" si="1755"/>
        <v>Robertson_2021</v>
      </c>
      <c r="N1369" s="311" t="s">
        <v>4382</v>
      </c>
      <c r="O1369" s="145" t="s">
        <v>341</v>
      </c>
      <c r="Q1369" s="311" t="s">
        <v>256</v>
      </c>
      <c r="R1369" s="312"/>
      <c r="S1369" s="1" t="s">
        <v>4087</v>
      </c>
      <c r="T1369" t="s">
        <v>1110</v>
      </c>
      <c r="U1369" t="e">
        <f>#REF!</f>
        <v>#REF!</v>
      </c>
      <c r="V1369">
        <v>0</v>
      </c>
      <c r="W1369">
        <v>0</v>
      </c>
      <c r="X1369">
        <v>1</v>
      </c>
      <c r="Y1369">
        <v>0</v>
      </c>
      <c r="Z1369">
        <v>0</v>
      </c>
      <c r="AA1369">
        <v>0</v>
      </c>
      <c r="AB1369">
        <v>0</v>
      </c>
      <c r="AC1369">
        <v>0</v>
      </c>
      <c r="AD1369">
        <v>0</v>
      </c>
      <c r="AE1369">
        <v>0</v>
      </c>
      <c r="AF1369">
        <v>0</v>
      </c>
      <c r="AG1369">
        <v>0</v>
      </c>
      <c r="AH1369">
        <v>0</v>
      </c>
      <c r="AI1369">
        <v>0</v>
      </c>
      <c r="AJ1369">
        <v>0</v>
      </c>
      <c r="AK1369">
        <v>0</v>
      </c>
      <c r="AL1369">
        <v>0</v>
      </c>
      <c r="AM1369">
        <v>0</v>
      </c>
      <c r="AN1369">
        <v>0</v>
      </c>
      <c r="AO1369">
        <v>0</v>
      </c>
      <c r="AP1369">
        <v>0</v>
      </c>
      <c r="AQ1369">
        <v>0</v>
      </c>
      <c r="AR1369">
        <v>0</v>
      </c>
      <c r="AS1369">
        <v>0</v>
      </c>
      <c r="AT1369">
        <v>0</v>
      </c>
      <c r="AU1369">
        <v>0</v>
      </c>
      <c r="AV1369">
        <v>0</v>
      </c>
      <c r="AW1369">
        <v>0</v>
      </c>
      <c r="AX1369" s="141">
        <f t="shared" si="1756"/>
        <v>1</v>
      </c>
      <c r="AY1369" s="141">
        <f t="shared" si="1757"/>
        <v>1</v>
      </c>
      <c r="AZ1369">
        <f t="shared" si="1758"/>
        <v>1</v>
      </c>
      <c r="BA1369">
        <f t="shared" si="1759"/>
        <v>0</v>
      </c>
      <c r="BB1369">
        <f t="shared" si="1760"/>
        <v>0</v>
      </c>
      <c r="BC1369">
        <f t="shared" si="1761"/>
        <v>0</v>
      </c>
      <c r="BD1369">
        <f t="shared" si="1762"/>
        <v>0</v>
      </c>
      <c r="BE1369" t="str" cm="1">
        <f t="array" ref="BE1369">IF(AY1369=1,INDEX($V$7:$AL$7,MATCH(TRUE,INDEX($V1369:$AW1369&lt;&gt;0,),0)),IF(AY1369=0,INDEX($AM$7:$AW$7,MATCH(1,$AM1369:$AW1369,0)),IF(BF1369="Multiple strategies","mixed drivers",IF(BF1369="Supply chain","multiple supply","multiple silviculture"))))</f>
        <v>rotation length</v>
      </c>
      <c r="BF1369" s="2" t="str" cm="1">
        <f t="array" ref="BF1369">IF(COUNTIF(AZ1369:BB1369,"&lt;&gt;0")=1,INDEX($V$4:$AW$4,MATCH(TRUE,INDEX($V1369:$AW1369&lt;&gt;0,),0)),IF(COUNTIF(AZ1369:BB1369,"&lt;&gt;0")=0,INDEX($AM$4:$AW$4,MATCH(1,$AM1369:$AW1369,0)),"Multiple strategies"))</f>
        <v>Silviculture for removals</v>
      </c>
      <c r="BP1369" t="s">
        <v>232</v>
      </c>
      <c r="BR1369" t="s">
        <v>1139</v>
      </c>
      <c r="BS1369">
        <v>0</v>
      </c>
      <c r="BT1369">
        <v>5.63</v>
      </c>
      <c r="BU1369" s="144" t="str">
        <f t="shared" si="1791"/>
        <v/>
      </c>
      <c r="BV1369">
        <f t="shared" si="1765"/>
        <v>5.63</v>
      </c>
      <c r="BX1369">
        <f t="shared" si="1792"/>
        <v>5630000</v>
      </c>
      <c r="BY1369" t="str">
        <f t="shared" si="1750"/>
        <v/>
      </c>
      <c r="BZ1369">
        <v>0</v>
      </c>
      <c r="CA1369">
        <v>0</v>
      </c>
      <c r="CB1369">
        <v>0</v>
      </c>
      <c r="CC1369">
        <v>0</v>
      </c>
      <c r="CD1369">
        <v>0</v>
      </c>
      <c r="CE1369">
        <v>0</v>
      </c>
      <c r="CF1369">
        <v>0</v>
      </c>
      <c r="CG1369">
        <v>0</v>
      </c>
      <c r="CH1369">
        <v>0</v>
      </c>
      <c r="CI1369">
        <v>0</v>
      </c>
      <c r="CJ1369">
        <v>0</v>
      </c>
      <c r="CK1369">
        <v>0</v>
      </c>
      <c r="CL1369">
        <v>0</v>
      </c>
      <c r="CM1369">
        <v>0</v>
      </c>
      <c r="CN1369" t="str">
        <f t="shared" si="1793"/>
        <v>refOK</v>
      </c>
      <c r="CO1369"/>
      <c r="CP1369"/>
      <c r="CQ1369"/>
      <c r="CR1369">
        <f t="shared" si="1768"/>
        <v>0</v>
      </c>
      <c r="CS1369">
        <f t="shared" si="1769"/>
        <v>5.63</v>
      </c>
      <c r="CT1369">
        <f t="shared" si="1770"/>
        <v>5630000</v>
      </c>
      <c r="CU1369" t="str">
        <f t="shared" si="1771"/>
        <v/>
      </c>
      <c r="CV1369" s="2" t="str">
        <f t="shared" si="1772"/>
        <v/>
      </c>
      <c r="CW1369" s="1" t="s">
        <v>1198</v>
      </c>
      <c r="CX1369" s="311" t="str">
        <f t="shared" si="1773"/>
        <v>reg</v>
      </c>
      <c r="CY1369" t="s">
        <v>428</v>
      </c>
      <c r="CZ1369">
        <v>2020</v>
      </c>
      <c r="DA1369">
        <v>2050</v>
      </c>
      <c r="DB1369">
        <v>31</v>
      </c>
      <c r="DC1369" t="str">
        <f t="shared" si="1774"/>
        <v>31-70</v>
      </c>
      <c r="DD1369">
        <v>0</v>
      </c>
      <c r="DE1369">
        <v>1</v>
      </c>
      <c r="DF1369">
        <v>1</v>
      </c>
      <c r="DG1369">
        <v>1</v>
      </c>
      <c r="DI1369">
        <f t="shared" si="1775"/>
        <v>3</v>
      </c>
      <c r="DJ1369" t="str">
        <f t="shared" si="1776"/>
        <v>mixedProduct</v>
      </c>
      <c r="DK1369">
        <f t="shared" si="1777"/>
        <v>0</v>
      </c>
      <c r="DL1369" t="str">
        <f t="shared" si="1778"/>
        <v>Energy</v>
      </c>
      <c r="DM1369" t="str">
        <f t="shared" si="1779"/>
        <v>Pulp/Paper</v>
      </c>
      <c r="DN1369" t="str">
        <f t="shared" si="1780"/>
        <v>Timber</v>
      </c>
      <c r="DO1369">
        <v>0</v>
      </c>
      <c r="DP1369">
        <v>0</v>
      </c>
      <c r="DQ1369">
        <v>0</v>
      </c>
      <c r="DR1369">
        <v>0</v>
      </c>
      <c r="DS1369">
        <v>0</v>
      </c>
      <c r="DT1369">
        <f t="shared" si="1781"/>
        <v>0</v>
      </c>
      <c r="DU1369" s="143" t="str">
        <f t="shared" si="1782"/>
        <v>explicit C balance</v>
      </c>
      <c r="DV1369">
        <v>1</v>
      </c>
      <c r="DW1369">
        <v>1</v>
      </c>
      <c r="DX1369">
        <v>1</v>
      </c>
      <c r="DY1369">
        <v>1</v>
      </c>
      <c r="DZ1369">
        <v>0</v>
      </c>
      <c r="EA1369" s="143">
        <v>0</v>
      </c>
      <c r="EB1369">
        <v>1</v>
      </c>
      <c r="EC1369">
        <v>0</v>
      </c>
      <c r="ED1369">
        <v>0</v>
      </c>
      <c r="EE1369">
        <v>0</v>
      </c>
      <c r="EF1369">
        <v>1</v>
      </c>
      <c r="EG1369">
        <v>0</v>
      </c>
      <c r="EH1369">
        <v>0</v>
      </c>
      <c r="EI1369" s="2">
        <v>0</v>
      </c>
      <c r="EK1369" t="str">
        <f t="shared" si="1794"/>
        <v/>
      </c>
      <c r="EL1369" t="str">
        <f t="shared" si="1795"/>
        <v>Ecosystem approach</v>
      </c>
      <c r="EM1369" s="2" t="str">
        <f t="shared" si="1751"/>
        <v/>
      </c>
      <c r="EP1369" t="b">
        <f>IF(ISNUMBER(BU1369),IF(ABS(BU1369-[1]QC_indicators!$B$2)&gt;3*[1]QC_indicators!$C$2,"C ratio",IF(ISNUMBER(BY1369),IF(ABS(BY1369-[1]QC_indicators!$B$1)&gt;3*[1]QC_indicators!$C$1,"DF","no"))),IF(ISNUMBER(BY1369),IF(ABS(BY1369-[1]QC_indicators!$B$1)&gt;3*[1]QC_indicators!$C$1,"DF","no")))</f>
        <v>0</v>
      </c>
    </row>
    <row r="1370" spans="1:148" ht="15" hidden="1" customHeight="1">
      <c r="A1370" s="1" t="s">
        <v>5021</v>
      </c>
      <c r="B1370" t="s">
        <v>5022</v>
      </c>
      <c r="C1370" t="s">
        <v>544</v>
      </c>
      <c r="D1370" t="s">
        <v>5023</v>
      </c>
      <c r="E1370" t="s">
        <v>5024</v>
      </c>
      <c r="F1370" t="s">
        <v>5025</v>
      </c>
      <c r="G1370" t="s">
        <v>544</v>
      </c>
      <c r="H1370" t="s">
        <v>3964</v>
      </c>
      <c r="I1370">
        <v>2017</v>
      </c>
      <c r="J1370">
        <v>0</v>
      </c>
      <c r="K1370" t="s">
        <v>5026</v>
      </c>
      <c r="M1370" t="str">
        <f t="shared" si="1755"/>
        <v>Rodzkin_2017</v>
      </c>
      <c r="N1370" t="s">
        <v>2583</v>
      </c>
      <c r="O1370" s="145" t="s">
        <v>341</v>
      </c>
      <c r="Q1370" s="311" t="s">
        <v>256</v>
      </c>
      <c r="R1370" s="312"/>
      <c r="AX1370" s="141"/>
      <c r="AY1370" s="141"/>
      <c r="BE1370"/>
      <c r="BF1370" s="2"/>
      <c r="BU1370" s="144"/>
      <c r="BY1370" t="str">
        <f t="shared" si="1750"/>
        <v/>
      </c>
      <c r="CN1370"/>
      <c r="CO1370"/>
      <c r="CP1370"/>
      <c r="CQ1370"/>
      <c r="CR1370"/>
      <c r="CS1370"/>
      <c r="CT1370"/>
      <c r="CU1370"/>
      <c r="CV1370" s="2"/>
      <c r="CX1370"/>
      <c r="DC1370"/>
      <c r="DI1370"/>
      <c r="DJ1370"/>
      <c r="DK1370"/>
      <c r="DL1370"/>
      <c r="DM1370"/>
      <c r="DN1370"/>
      <c r="DT1370"/>
      <c r="DU1370" s="143"/>
      <c r="EK1370" t="str">
        <f t="shared" si="1794"/>
        <v/>
      </c>
      <c r="EL1370" t="str">
        <f t="shared" si="1795"/>
        <v/>
      </c>
      <c r="EM1370" s="2" t="str">
        <f t="shared" si="1751"/>
        <v/>
      </c>
      <c r="EO1370" t="s">
        <v>450</v>
      </c>
      <c r="EP1370" t="b">
        <f>IF(ISNUMBER(BU1370),IF(ABS(BU1370-[1]QC_indicators!$B$2)&gt;3*[1]QC_indicators!$C$2,"C ratio",IF(ISNUMBER(BY1370),IF(ABS(BY1370-[1]QC_indicators!$B$1)&gt;3*[1]QC_indicators!$C$1,"DF","no"))),IF(ISNUMBER(BY1370),IF(ABS(BY1370-[1]QC_indicators!$B$1)&gt;3*[1]QC_indicators!$C$1,"DF","no")))</f>
        <v>0</v>
      </c>
    </row>
    <row r="1371" spans="1:148" ht="15" hidden="1" customHeight="1">
      <c r="A1371" s="1" t="s">
        <v>1101</v>
      </c>
      <c r="B1371" t="s">
        <v>4088</v>
      </c>
      <c r="C1371" t="s">
        <v>4089</v>
      </c>
      <c r="D1371" t="s">
        <v>4090</v>
      </c>
      <c r="E1371" t="s">
        <v>4091</v>
      </c>
      <c r="F1371" t="s">
        <v>4092</v>
      </c>
      <c r="G1371" t="s">
        <v>1107</v>
      </c>
      <c r="H1371" t="s">
        <v>254</v>
      </c>
      <c r="I1371">
        <v>2011</v>
      </c>
      <c r="J1371">
        <v>57</v>
      </c>
      <c r="K1371" t="s">
        <v>4093</v>
      </c>
      <c r="M1371" t="str">
        <f t="shared" si="1755"/>
        <v>Routa_2011</v>
      </c>
      <c r="N1371" s="311" t="s">
        <v>4382</v>
      </c>
      <c r="O1371" s="145" t="s">
        <v>341</v>
      </c>
      <c r="Q1371" s="311" t="s">
        <v>256</v>
      </c>
      <c r="R1371" s="312"/>
      <c r="S1371" s="1" t="s">
        <v>4094</v>
      </c>
      <c r="T1371" t="s">
        <v>1110</v>
      </c>
      <c r="U1371" t="e">
        <f>#REF!</f>
        <v>#REF!</v>
      </c>
      <c r="V1371">
        <v>0</v>
      </c>
      <c r="W1371">
        <v>0</v>
      </c>
      <c r="X1371">
        <v>0</v>
      </c>
      <c r="Y1371">
        <v>0</v>
      </c>
      <c r="Z1371">
        <v>0</v>
      </c>
      <c r="AA1371">
        <v>2</v>
      </c>
      <c r="AB1371">
        <v>1</v>
      </c>
      <c r="AC1371">
        <v>0</v>
      </c>
      <c r="AD1371">
        <v>0</v>
      </c>
      <c r="AE1371">
        <v>0</v>
      </c>
      <c r="AF1371">
        <v>0</v>
      </c>
      <c r="AG1371">
        <v>0</v>
      </c>
      <c r="AH1371">
        <v>0</v>
      </c>
      <c r="AI1371">
        <v>0</v>
      </c>
      <c r="AJ1371">
        <v>0</v>
      </c>
      <c r="AK1371">
        <v>0</v>
      </c>
      <c r="AL1371">
        <v>0</v>
      </c>
      <c r="AM1371">
        <v>0</v>
      </c>
      <c r="AN1371">
        <v>0</v>
      </c>
      <c r="AO1371">
        <v>0</v>
      </c>
      <c r="AP1371">
        <v>0</v>
      </c>
      <c r="AQ1371">
        <v>0</v>
      </c>
      <c r="AR1371">
        <v>0</v>
      </c>
      <c r="AS1371">
        <v>0</v>
      </c>
      <c r="AT1371">
        <v>0</v>
      </c>
      <c r="AU1371">
        <v>0</v>
      </c>
      <c r="AV1371">
        <v>0</v>
      </c>
      <c r="AW1371">
        <v>0</v>
      </c>
      <c r="AX1371" s="141">
        <f t="shared" ref="AX1371:AX1402" si="1796">COUNTIF(V1371:AW1371,"&lt;&gt;0")</f>
        <v>2</v>
      </c>
      <c r="AY1371" s="141">
        <f t="shared" ref="AY1371:AY1402" si="1797">COUNTIF(V1371:AL1371,"&lt;&gt;0")</f>
        <v>2</v>
      </c>
      <c r="AZ1371">
        <f t="shared" ref="AZ1371:AZ1402" si="1798">COUNTIF(V1371:AC1371,"&lt;&gt;0")</f>
        <v>2</v>
      </c>
      <c r="BA1371">
        <f t="shared" ref="BA1371:BA1402" si="1799">COUNTIF(AD1371:AI1371,"&lt;&gt;0")</f>
        <v>0</v>
      </c>
      <c r="BB1371">
        <f t="shared" ref="BB1371:BB1402" si="1800">COUNTIF(AJ1371:AL1371,"&lt;&gt;0")</f>
        <v>0</v>
      </c>
      <c r="BC1371">
        <f t="shared" ref="BC1371:BC1402" si="1801">COUNTIF(AS1371:AW1371,"&lt;&gt;0")</f>
        <v>0</v>
      </c>
      <c r="BD1371">
        <f t="shared" ref="BD1371:BD1402" si="1802">COUNTIF(AM1371:AR1371,"&lt;&gt;0")</f>
        <v>0</v>
      </c>
      <c r="BE1371" t="str" cm="1">
        <f t="array" ref="BE1371">IF(AY1371=1,INDEX($V$7:$AL$7,MATCH(TRUE,INDEX($V1371:$AW1371&lt;&gt;0,),0)),IF(AY1371=0,INDEX($AM$7:$AW$7,MATCH(1,$AM1371:$AW1371,0)),IF(BF1371="Multiple strategies","mixed drivers",IF(BF1371="Supply chain","multiple supply","multiple silviculture"))))</f>
        <v>multiple silviculture</v>
      </c>
      <c r="BF1371" s="2" t="str" cm="1">
        <f t="array" ref="BF1371">IF(COUNTIF(AZ1371:BB1371,"&lt;&gt;0")=1,INDEX($V$4:$AW$4,MATCH(TRUE,INDEX($V1371:$AW1371&lt;&gt;0,),0)),IF(COUNTIF(AZ1371:BB1371,"&lt;&gt;0")=0,INDEX($AM$4:$AW$4,MATCH(1,$AM1371:$AW1371,0)),"Multiple strategies"))</f>
        <v>Silviculture for productivity</v>
      </c>
      <c r="BP1371" s="311" t="s">
        <v>232</v>
      </c>
      <c r="BQ1371" s="311"/>
      <c r="BR1371" t="s">
        <v>2169</v>
      </c>
      <c r="BS1371">
        <v>-150</v>
      </c>
      <c r="BT1371">
        <v>-74</v>
      </c>
      <c r="BU1371" s="144">
        <v>0.49333333333333335</v>
      </c>
      <c r="BV1371">
        <v>76</v>
      </c>
      <c r="BX1371">
        <f t="shared" ref="BX1371:BX1402" si="1803">BV1371*10^3</f>
        <v>76000</v>
      </c>
      <c r="BY1371" t="str">
        <f t="shared" si="1750"/>
        <v/>
      </c>
      <c r="BZ1371">
        <v>0</v>
      </c>
      <c r="CA1371">
        <v>0</v>
      </c>
      <c r="CB1371">
        <v>0</v>
      </c>
      <c r="CC1371">
        <v>1</v>
      </c>
      <c r="CD1371">
        <v>0</v>
      </c>
      <c r="CE1371">
        <v>0</v>
      </c>
      <c r="CF1371">
        <v>0</v>
      </c>
      <c r="CG1371">
        <v>0</v>
      </c>
      <c r="CH1371">
        <v>0</v>
      </c>
      <c r="CI1371">
        <v>0</v>
      </c>
      <c r="CJ1371">
        <v>0</v>
      </c>
      <c r="CK1371">
        <v>0</v>
      </c>
      <c r="CL1371">
        <v>0</v>
      </c>
      <c r="CM1371">
        <v>0</v>
      </c>
      <c r="CN1371" t="str">
        <f t="shared" ref="CN1371:CN1402" si="1804">IF(BL1371&lt;BK1371,"refNeedCorrection","refOK")</f>
        <v>refOK</v>
      </c>
      <c r="CO1371"/>
      <c r="CP1371"/>
      <c r="CQ1371"/>
      <c r="CR1371">
        <f t="shared" ref="CR1371:CR1402" si="1805">IF($CN1371="refOK",$BS1371,$BT1371)*IF($BP1371="Emissions positive",-1,1)</f>
        <v>-150</v>
      </c>
      <c r="CS1371">
        <f t="shared" ref="CS1371:CS1402" si="1806">IF($CN1371="refOK",$BT1371,$BS1371)*IF($BP1371="Emissions positive",-1,1)</f>
        <v>-74</v>
      </c>
      <c r="CT1371">
        <f t="shared" ref="CT1371:CT1402" si="1807">IF($CN1371="refNeedCorrection",-BX1371,BX1371)*IF($BP1371="Emissions positive",-1,1)</f>
        <v>76000</v>
      </c>
      <c r="CU1371" t="str">
        <f t="shared" ref="CU1371:CU1402" si="1808">IFERROR(CT1371/CQ1371,"")</f>
        <v/>
      </c>
      <c r="CV1371" s="2">
        <f t="shared" ref="CV1371:CV1402" si="1809">IFERROR((CS1371-CR1371)/ABS(CR1371),"")</f>
        <v>0.50666666666666671</v>
      </c>
      <c r="CW1371" s="1" t="s">
        <v>1198</v>
      </c>
      <c r="CX1371" s="311" t="str">
        <f t="shared" ref="CX1371:CX1402" si="1810">IF(OR($CW1371="prd",$CW1371="std",$CW1371="cit"),"loc",IF(OR($CW1371="eur",$CW1371="reg",$CW1371="coy"),"reg",$CW1371))</f>
        <v>reg</v>
      </c>
      <c r="CY1371" t="s">
        <v>235</v>
      </c>
      <c r="CZ1371">
        <v>2011</v>
      </c>
      <c r="DA1371">
        <v>2090</v>
      </c>
      <c r="DB1371">
        <v>80</v>
      </c>
      <c r="DC1371" t="str">
        <f t="shared" ref="DC1371:DC1402" si="1811">IF(DB1371=0,"0",IF(AND(DB1371&gt;=1,DB1371&lt;=30),"1-30",IF(AND(DB1371&gt;30,DB1371&lt;=70),"31-70",IF(AND(DB1371&gt;70,DB1371&lt;=100),"71-100",IF(DB1371&gt;100,"+100")))))</f>
        <v>71-100</v>
      </c>
      <c r="DD1371">
        <v>0</v>
      </c>
      <c r="DE1371">
        <v>1</v>
      </c>
      <c r="DF1371">
        <v>1</v>
      </c>
      <c r="DG1371">
        <v>1</v>
      </c>
      <c r="DI1371">
        <f t="shared" ref="DI1371:DI1402" si="1812">SUM(DD1371:DG1371)</f>
        <v>3</v>
      </c>
      <c r="DJ1371" t="str">
        <f t="shared" ref="DJ1371:DJ1402" si="1813">IF(DI1371=1,INDEX($DD$7:$DG$7,MATCH(1,$DD1371:$DG1371,0)),"mixedProduct")</f>
        <v>mixedProduct</v>
      </c>
      <c r="DK1371">
        <f t="shared" ref="DK1371:DK1402" si="1814">IF(DD1371=1,DK$7,0)</f>
        <v>0</v>
      </c>
      <c r="DL1371" t="str">
        <f t="shared" ref="DL1371:DL1402" si="1815">IF(DE1371=1,DL$7,0)</f>
        <v>Energy</v>
      </c>
      <c r="DM1371" t="str">
        <f t="shared" ref="DM1371:DM1402" si="1816">IF(DF1371=1,DM$7,0)</f>
        <v>Pulp/Paper</v>
      </c>
      <c r="DN1371" t="str">
        <f t="shared" ref="DN1371:DN1402" si="1817">IF(DG1371=1,DN$7,0)</f>
        <v>Timber</v>
      </c>
      <c r="DO1371">
        <v>1</v>
      </c>
      <c r="DP1371">
        <v>0</v>
      </c>
      <c r="DQ1371">
        <v>0</v>
      </c>
      <c r="DR1371">
        <v>0</v>
      </c>
      <c r="DS1371">
        <v>0</v>
      </c>
      <c r="DT1371">
        <f t="shared" ref="DT1371:DT1402" si="1818">SUM(DO1371:DP1371)</f>
        <v>1</v>
      </c>
      <c r="DU1371" s="143" t="str">
        <f t="shared" ref="DU1371:DU1402" si="1819">IF(DO1371=1,"self-calculated DF",IF(DP1371=1,"external DF used","explicit C balance"))</f>
        <v>self-calculated DF</v>
      </c>
      <c r="DV1371">
        <v>1</v>
      </c>
      <c r="DW1371">
        <v>1</v>
      </c>
      <c r="DX1371">
        <v>1</v>
      </c>
      <c r="DY1371">
        <v>0</v>
      </c>
      <c r="DZ1371">
        <v>0</v>
      </c>
      <c r="EA1371" s="143">
        <v>0</v>
      </c>
      <c r="EB1371">
        <v>1</v>
      </c>
      <c r="EC1371">
        <v>1</v>
      </c>
      <c r="ED1371">
        <v>0</v>
      </c>
      <c r="EE1371">
        <v>1</v>
      </c>
      <c r="EF1371">
        <v>1</v>
      </c>
      <c r="EG1371">
        <v>1</v>
      </c>
      <c r="EH1371">
        <v>0</v>
      </c>
      <c r="EI1371" s="2">
        <v>0</v>
      </c>
      <c r="EK1371" t="str">
        <f t="shared" si="1794"/>
        <v>Whole sector</v>
      </c>
      <c r="EL1371" t="str">
        <f t="shared" si="1795"/>
        <v/>
      </c>
      <c r="EM1371" s="2" t="str">
        <f t="shared" si="1751"/>
        <v/>
      </c>
      <c r="EP1371" t="b">
        <f>IF(ISNUMBER(BU1371),IF(ABS(BU1371-[1]QC_indicators!$B$2)&gt;3*[1]QC_indicators!$C$2,"C ratio",IF(ISNUMBER(BY1371),IF(ABS(BY1371-[1]QC_indicators!$B$1)&gt;3*[1]QC_indicators!$C$1,"DF","no"))),IF(ISNUMBER(BY1371),IF(ABS(BY1371-[1]QC_indicators!$B$1)&gt;3*[1]QC_indicators!$C$1,"DF","no")))</f>
        <v>0</v>
      </c>
      <c r="ER1371" s="313" t="s">
        <v>349</v>
      </c>
    </row>
    <row r="1372" spans="1:148" ht="15" hidden="1" customHeight="1">
      <c r="A1372" s="1" t="s">
        <v>1101</v>
      </c>
      <c r="B1372" t="s">
        <v>4088</v>
      </c>
      <c r="C1372" t="s">
        <v>4089</v>
      </c>
      <c r="D1372" t="s">
        <v>4090</v>
      </c>
      <c r="E1372" t="s">
        <v>4091</v>
      </c>
      <c r="F1372" t="s">
        <v>4092</v>
      </c>
      <c r="G1372" t="s">
        <v>1107</v>
      </c>
      <c r="H1372" t="s">
        <v>254</v>
      </c>
      <c r="I1372">
        <v>2011</v>
      </c>
      <c r="J1372">
        <v>57</v>
      </c>
      <c r="K1372" t="s">
        <v>4093</v>
      </c>
      <c r="M1372" t="str">
        <f t="shared" si="1755"/>
        <v>Routa_2011</v>
      </c>
      <c r="N1372" s="311" t="s">
        <v>4382</v>
      </c>
      <c r="O1372" s="145" t="s">
        <v>341</v>
      </c>
      <c r="Q1372" s="311" t="s">
        <v>256</v>
      </c>
      <c r="R1372" s="312"/>
      <c r="S1372" s="1" t="s">
        <v>4095</v>
      </c>
      <c r="T1372" t="s">
        <v>1110</v>
      </c>
      <c r="U1372" t="e">
        <f>#REF!</f>
        <v>#REF!</v>
      </c>
      <c r="V1372">
        <v>0</v>
      </c>
      <c r="W1372">
        <v>0</v>
      </c>
      <c r="X1372">
        <v>0</v>
      </c>
      <c r="Y1372">
        <v>0</v>
      </c>
      <c r="Z1372">
        <v>0</v>
      </c>
      <c r="AA1372">
        <v>2</v>
      </c>
      <c r="AB1372">
        <v>1</v>
      </c>
      <c r="AC1372">
        <v>0</v>
      </c>
      <c r="AD1372">
        <v>0</v>
      </c>
      <c r="AE1372">
        <v>0</v>
      </c>
      <c r="AF1372">
        <v>0</v>
      </c>
      <c r="AG1372">
        <v>0</v>
      </c>
      <c r="AH1372">
        <v>0</v>
      </c>
      <c r="AI1372">
        <v>0</v>
      </c>
      <c r="AJ1372">
        <v>0</v>
      </c>
      <c r="AK1372">
        <v>0</v>
      </c>
      <c r="AL1372">
        <v>0</v>
      </c>
      <c r="AM1372">
        <v>0</v>
      </c>
      <c r="AN1372">
        <v>0</v>
      </c>
      <c r="AO1372">
        <v>0</v>
      </c>
      <c r="AP1372">
        <v>0</v>
      </c>
      <c r="AQ1372">
        <v>0</v>
      </c>
      <c r="AR1372">
        <v>0</v>
      </c>
      <c r="AS1372">
        <v>0</v>
      </c>
      <c r="AT1372">
        <v>0</v>
      </c>
      <c r="AU1372">
        <v>0</v>
      </c>
      <c r="AV1372">
        <v>0</v>
      </c>
      <c r="AW1372">
        <v>0</v>
      </c>
      <c r="AX1372" s="141">
        <f t="shared" si="1796"/>
        <v>2</v>
      </c>
      <c r="AY1372" s="141">
        <f t="shared" si="1797"/>
        <v>2</v>
      </c>
      <c r="AZ1372">
        <f t="shared" si="1798"/>
        <v>2</v>
      </c>
      <c r="BA1372">
        <f t="shared" si="1799"/>
        <v>0</v>
      </c>
      <c r="BB1372">
        <f t="shared" si="1800"/>
        <v>0</v>
      </c>
      <c r="BC1372">
        <f t="shared" si="1801"/>
        <v>0</v>
      </c>
      <c r="BD1372">
        <f t="shared" si="1802"/>
        <v>0</v>
      </c>
      <c r="BE1372" t="str" cm="1">
        <f t="array" ref="BE1372">IF(AY1372=1,INDEX($V$7:$AL$7,MATCH(TRUE,INDEX($V1372:$AW1372&lt;&gt;0,),0)),IF(AY1372=0,INDEX($AM$7:$AW$7,MATCH(1,$AM1372:$AW1372,0)),IF(BF1372="Multiple strategies","mixed drivers",IF(BF1372="Supply chain","multiple supply","multiple silviculture"))))</f>
        <v>multiple silviculture</v>
      </c>
      <c r="BF1372" s="2" t="str" cm="1">
        <f t="array" ref="BF1372">IF(COUNTIF(AZ1372:BB1372,"&lt;&gt;0")=1,INDEX($V$4:$AW$4,MATCH(TRUE,INDEX($V1372:$AW1372&lt;&gt;0,),0)),IF(COUNTIF(AZ1372:BB1372,"&lt;&gt;0")=0,INDEX($AM$4:$AW$4,MATCH(1,$AM1372:$AW1372,0)),"Multiple strategies"))</f>
        <v>Silviculture for productivity</v>
      </c>
      <c r="BP1372" s="311" t="s">
        <v>232</v>
      </c>
      <c r="BQ1372" s="311"/>
      <c r="BR1372" t="s">
        <v>2169</v>
      </c>
      <c r="BS1372">
        <v>-150</v>
      </c>
      <c r="BT1372">
        <v>-76</v>
      </c>
      <c r="BU1372" s="144">
        <v>0.50666666666666671</v>
      </c>
      <c r="BV1372">
        <v>74</v>
      </c>
      <c r="BX1372">
        <f t="shared" si="1803"/>
        <v>74000</v>
      </c>
      <c r="BY1372" t="str">
        <f t="shared" si="1750"/>
        <v/>
      </c>
      <c r="BZ1372">
        <v>0</v>
      </c>
      <c r="CA1372">
        <v>0</v>
      </c>
      <c r="CB1372">
        <v>0</v>
      </c>
      <c r="CC1372">
        <v>1</v>
      </c>
      <c r="CD1372">
        <v>0</v>
      </c>
      <c r="CE1372">
        <v>0</v>
      </c>
      <c r="CF1372">
        <v>0</v>
      </c>
      <c r="CG1372">
        <v>0</v>
      </c>
      <c r="CH1372">
        <v>0</v>
      </c>
      <c r="CI1372">
        <v>0</v>
      </c>
      <c r="CJ1372">
        <v>0</v>
      </c>
      <c r="CK1372">
        <v>0</v>
      </c>
      <c r="CL1372">
        <v>0</v>
      </c>
      <c r="CM1372">
        <v>0</v>
      </c>
      <c r="CN1372" t="str">
        <f t="shared" si="1804"/>
        <v>refOK</v>
      </c>
      <c r="CO1372"/>
      <c r="CP1372"/>
      <c r="CQ1372"/>
      <c r="CR1372">
        <f t="shared" si="1805"/>
        <v>-150</v>
      </c>
      <c r="CS1372">
        <f t="shared" si="1806"/>
        <v>-76</v>
      </c>
      <c r="CT1372">
        <f t="shared" si="1807"/>
        <v>74000</v>
      </c>
      <c r="CU1372" t="str">
        <f t="shared" si="1808"/>
        <v/>
      </c>
      <c r="CV1372" s="2">
        <f t="shared" si="1809"/>
        <v>0.49333333333333335</v>
      </c>
      <c r="CW1372" s="1" t="s">
        <v>1198</v>
      </c>
      <c r="CX1372" s="311" t="str">
        <f t="shared" si="1810"/>
        <v>reg</v>
      </c>
      <c r="CY1372" t="s">
        <v>235</v>
      </c>
      <c r="CZ1372">
        <v>2011</v>
      </c>
      <c r="DA1372">
        <v>2090</v>
      </c>
      <c r="DB1372">
        <v>80</v>
      </c>
      <c r="DC1372" t="str">
        <f t="shared" si="1811"/>
        <v>71-100</v>
      </c>
      <c r="DD1372">
        <v>0</v>
      </c>
      <c r="DE1372">
        <v>1</v>
      </c>
      <c r="DF1372">
        <v>1</v>
      </c>
      <c r="DG1372">
        <v>1</v>
      </c>
      <c r="DI1372">
        <f t="shared" si="1812"/>
        <v>3</v>
      </c>
      <c r="DJ1372" t="str">
        <f t="shared" si="1813"/>
        <v>mixedProduct</v>
      </c>
      <c r="DK1372">
        <f t="shared" si="1814"/>
        <v>0</v>
      </c>
      <c r="DL1372" t="str">
        <f t="shared" si="1815"/>
        <v>Energy</v>
      </c>
      <c r="DM1372" t="str">
        <f t="shared" si="1816"/>
        <v>Pulp/Paper</v>
      </c>
      <c r="DN1372" t="str">
        <f t="shared" si="1817"/>
        <v>Timber</v>
      </c>
      <c r="DO1372">
        <v>1</v>
      </c>
      <c r="DP1372">
        <v>0</v>
      </c>
      <c r="DQ1372">
        <v>0</v>
      </c>
      <c r="DR1372">
        <v>0</v>
      </c>
      <c r="DS1372">
        <v>0</v>
      </c>
      <c r="DT1372">
        <f t="shared" si="1818"/>
        <v>1</v>
      </c>
      <c r="DU1372" s="143" t="str">
        <f t="shared" si="1819"/>
        <v>self-calculated DF</v>
      </c>
      <c r="DV1372">
        <v>1</v>
      </c>
      <c r="DW1372">
        <v>1</v>
      </c>
      <c r="DX1372">
        <v>1</v>
      </c>
      <c r="DY1372">
        <v>0</v>
      </c>
      <c r="DZ1372">
        <v>0</v>
      </c>
      <c r="EA1372" s="143">
        <v>0</v>
      </c>
      <c r="EB1372">
        <v>1</v>
      </c>
      <c r="EC1372">
        <v>1</v>
      </c>
      <c r="ED1372">
        <v>0</v>
      </c>
      <c r="EE1372">
        <v>1</v>
      </c>
      <c r="EF1372">
        <v>1</v>
      </c>
      <c r="EG1372">
        <v>1</v>
      </c>
      <c r="EH1372">
        <v>0</v>
      </c>
      <c r="EI1372" s="2">
        <v>0</v>
      </c>
      <c r="EK1372" t="str">
        <f t="shared" si="1794"/>
        <v>Whole sector</v>
      </c>
      <c r="EL1372" t="str">
        <f t="shared" si="1795"/>
        <v/>
      </c>
      <c r="EM1372" s="2" t="str">
        <f t="shared" si="1751"/>
        <v/>
      </c>
      <c r="EP1372" t="b">
        <f>IF(ISNUMBER(BU1372),IF(ABS(BU1372-[1]QC_indicators!$B$2)&gt;3*[1]QC_indicators!$C$2,"C ratio",IF(ISNUMBER(BY1372),IF(ABS(BY1372-[1]QC_indicators!$B$1)&gt;3*[1]QC_indicators!$C$1,"DF","no"))),IF(ISNUMBER(BY1372),IF(ABS(BY1372-[1]QC_indicators!$B$1)&gt;3*[1]QC_indicators!$C$1,"DF","no")))</f>
        <v>0</v>
      </c>
      <c r="ER1372" s="313" t="s">
        <v>349</v>
      </c>
    </row>
    <row r="1373" spans="1:148" ht="15" hidden="1" customHeight="1">
      <c r="A1373" s="1" t="s">
        <v>1101</v>
      </c>
      <c r="B1373" t="s">
        <v>4088</v>
      </c>
      <c r="C1373" t="s">
        <v>4089</v>
      </c>
      <c r="D1373" t="s">
        <v>4090</v>
      </c>
      <c r="E1373" t="s">
        <v>4091</v>
      </c>
      <c r="F1373" t="s">
        <v>4092</v>
      </c>
      <c r="G1373" t="s">
        <v>1107</v>
      </c>
      <c r="H1373" t="s">
        <v>254</v>
      </c>
      <c r="I1373">
        <v>2011</v>
      </c>
      <c r="J1373">
        <v>57</v>
      </c>
      <c r="K1373" t="s">
        <v>4093</v>
      </c>
      <c r="M1373" t="str">
        <f t="shared" si="1755"/>
        <v>Routa_2011</v>
      </c>
      <c r="N1373" s="311" t="s">
        <v>4382</v>
      </c>
      <c r="O1373" s="145" t="s">
        <v>341</v>
      </c>
      <c r="Q1373" s="311" t="s">
        <v>256</v>
      </c>
      <c r="R1373" s="312"/>
      <c r="S1373" s="1" t="s">
        <v>4096</v>
      </c>
      <c r="T1373" t="s">
        <v>1110</v>
      </c>
      <c r="U1373" t="e">
        <f>#REF!</f>
        <v>#REF!</v>
      </c>
      <c r="V1373">
        <v>0</v>
      </c>
      <c r="W1373">
        <v>0</v>
      </c>
      <c r="X1373">
        <v>0</v>
      </c>
      <c r="Y1373">
        <v>0</v>
      </c>
      <c r="Z1373">
        <v>0</v>
      </c>
      <c r="AA1373">
        <v>2</v>
      </c>
      <c r="AB1373">
        <v>1</v>
      </c>
      <c r="AC1373">
        <v>0</v>
      </c>
      <c r="AD1373">
        <v>0</v>
      </c>
      <c r="AE1373">
        <v>0</v>
      </c>
      <c r="AF1373">
        <v>0</v>
      </c>
      <c r="AG1373">
        <v>0</v>
      </c>
      <c r="AH1373">
        <v>0</v>
      </c>
      <c r="AI1373">
        <v>0</v>
      </c>
      <c r="AJ1373">
        <v>0</v>
      </c>
      <c r="AK1373">
        <v>0</v>
      </c>
      <c r="AL1373">
        <v>0</v>
      </c>
      <c r="AM1373">
        <v>0</v>
      </c>
      <c r="AN1373">
        <v>0</v>
      </c>
      <c r="AO1373">
        <v>0</v>
      </c>
      <c r="AP1373">
        <v>0</v>
      </c>
      <c r="AQ1373">
        <v>0</v>
      </c>
      <c r="AR1373">
        <v>0</v>
      </c>
      <c r="AS1373">
        <v>0</v>
      </c>
      <c r="AT1373">
        <v>0</v>
      </c>
      <c r="AU1373">
        <v>0</v>
      </c>
      <c r="AV1373">
        <v>0</v>
      </c>
      <c r="AW1373">
        <v>0</v>
      </c>
      <c r="AX1373" s="141">
        <f t="shared" si="1796"/>
        <v>2</v>
      </c>
      <c r="AY1373" s="141">
        <f t="shared" si="1797"/>
        <v>2</v>
      </c>
      <c r="AZ1373">
        <f t="shared" si="1798"/>
        <v>2</v>
      </c>
      <c r="BA1373">
        <f t="shared" si="1799"/>
        <v>0</v>
      </c>
      <c r="BB1373">
        <f t="shared" si="1800"/>
        <v>0</v>
      </c>
      <c r="BC1373">
        <f t="shared" si="1801"/>
        <v>0</v>
      </c>
      <c r="BD1373">
        <f t="shared" si="1802"/>
        <v>0</v>
      </c>
      <c r="BE1373" t="str" cm="1">
        <f t="array" ref="BE1373">IF(AY1373=1,INDEX($V$7:$AL$7,MATCH(TRUE,INDEX($V1373:$AW1373&lt;&gt;0,),0)),IF(AY1373=0,INDEX($AM$7:$AW$7,MATCH(1,$AM1373:$AW1373,0)),IF(BF1373="Multiple strategies","mixed drivers",IF(BF1373="Supply chain","multiple supply","multiple silviculture"))))</f>
        <v>multiple silviculture</v>
      </c>
      <c r="BF1373" s="2" t="str" cm="1">
        <f t="array" ref="BF1373">IF(COUNTIF(AZ1373:BB1373,"&lt;&gt;0")=1,INDEX($V$4:$AW$4,MATCH(TRUE,INDEX($V1373:$AW1373&lt;&gt;0,),0)),IF(COUNTIF(AZ1373:BB1373,"&lt;&gt;0")=0,INDEX($AM$4:$AW$4,MATCH(1,$AM1373:$AW1373,0)),"Multiple strategies"))</f>
        <v>Silviculture for productivity</v>
      </c>
      <c r="BP1373" s="311" t="s">
        <v>232</v>
      </c>
      <c r="BQ1373" s="311"/>
      <c r="BR1373" t="s">
        <v>2169</v>
      </c>
      <c r="BS1373">
        <v>-150</v>
      </c>
      <c r="BT1373">
        <v>-82</v>
      </c>
      <c r="BU1373" s="144">
        <v>0.54666666666666663</v>
      </c>
      <c r="BV1373">
        <v>68</v>
      </c>
      <c r="BX1373">
        <f t="shared" si="1803"/>
        <v>68000</v>
      </c>
      <c r="BY1373" t="str">
        <f t="shared" si="1750"/>
        <v/>
      </c>
      <c r="BZ1373">
        <v>0</v>
      </c>
      <c r="CA1373">
        <v>0</v>
      </c>
      <c r="CB1373">
        <v>0</v>
      </c>
      <c r="CC1373">
        <v>1</v>
      </c>
      <c r="CD1373">
        <v>0</v>
      </c>
      <c r="CE1373">
        <v>0</v>
      </c>
      <c r="CF1373">
        <v>0</v>
      </c>
      <c r="CG1373">
        <v>0</v>
      </c>
      <c r="CH1373">
        <v>0</v>
      </c>
      <c r="CI1373">
        <v>0</v>
      </c>
      <c r="CJ1373">
        <v>0</v>
      </c>
      <c r="CK1373">
        <v>0</v>
      </c>
      <c r="CL1373">
        <v>0</v>
      </c>
      <c r="CM1373">
        <v>0</v>
      </c>
      <c r="CN1373" t="str">
        <f t="shared" si="1804"/>
        <v>refOK</v>
      </c>
      <c r="CO1373"/>
      <c r="CP1373"/>
      <c r="CQ1373"/>
      <c r="CR1373">
        <f t="shared" si="1805"/>
        <v>-150</v>
      </c>
      <c r="CS1373">
        <f t="shared" si="1806"/>
        <v>-82</v>
      </c>
      <c r="CT1373">
        <f t="shared" si="1807"/>
        <v>68000</v>
      </c>
      <c r="CU1373" t="str">
        <f t="shared" si="1808"/>
        <v/>
      </c>
      <c r="CV1373" s="2">
        <f t="shared" si="1809"/>
        <v>0.45333333333333331</v>
      </c>
      <c r="CW1373" s="1" t="s">
        <v>1198</v>
      </c>
      <c r="CX1373" s="311" t="str">
        <f t="shared" si="1810"/>
        <v>reg</v>
      </c>
      <c r="CY1373" t="s">
        <v>235</v>
      </c>
      <c r="CZ1373">
        <v>2011</v>
      </c>
      <c r="DA1373">
        <v>2090</v>
      </c>
      <c r="DB1373">
        <v>80</v>
      </c>
      <c r="DC1373" t="str">
        <f t="shared" si="1811"/>
        <v>71-100</v>
      </c>
      <c r="DD1373">
        <v>0</v>
      </c>
      <c r="DE1373">
        <v>1</v>
      </c>
      <c r="DF1373">
        <v>1</v>
      </c>
      <c r="DG1373">
        <v>1</v>
      </c>
      <c r="DI1373">
        <f t="shared" si="1812"/>
        <v>3</v>
      </c>
      <c r="DJ1373" t="str">
        <f t="shared" si="1813"/>
        <v>mixedProduct</v>
      </c>
      <c r="DK1373">
        <f t="shared" si="1814"/>
        <v>0</v>
      </c>
      <c r="DL1373" t="str">
        <f t="shared" si="1815"/>
        <v>Energy</v>
      </c>
      <c r="DM1373" t="str">
        <f t="shared" si="1816"/>
        <v>Pulp/Paper</v>
      </c>
      <c r="DN1373" t="str">
        <f t="shared" si="1817"/>
        <v>Timber</v>
      </c>
      <c r="DO1373">
        <v>1</v>
      </c>
      <c r="DP1373">
        <v>0</v>
      </c>
      <c r="DQ1373">
        <v>0</v>
      </c>
      <c r="DR1373">
        <v>0</v>
      </c>
      <c r="DS1373">
        <v>0</v>
      </c>
      <c r="DT1373">
        <f t="shared" si="1818"/>
        <v>1</v>
      </c>
      <c r="DU1373" s="143" t="str">
        <f t="shared" si="1819"/>
        <v>self-calculated DF</v>
      </c>
      <c r="DV1373">
        <v>1</v>
      </c>
      <c r="DW1373">
        <v>1</v>
      </c>
      <c r="DX1373">
        <v>1</v>
      </c>
      <c r="DY1373">
        <v>0</v>
      </c>
      <c r="DZ1373">
        <v>0</v>
      </c>
      <c r="EA1373" s="143">
        <v>0</v>
      </c>
      <c r="EB1373">
        <v>1</v>
      </c>
      <c r="EC1373">
        <v>1</v>
      </c>
      <c r="ED1373">
        <v>0</v>
      </c>
      <c r="EE1373">
        <v>1</v>
      </c>
      <c r="EF1373">
        <v>1</v>
      </c>
      <c r="EG1373">
        <v>1</v>
      </c>
      <c r="EH1373">
        <v>0</v>
      </c>
      <c r="EI1373" s="2">
        <v>0</v>
      </c>
      <c r="EK1373" t="str">
        <f t="shared" si="1794"/>
        <v>Whole sector</v>
      </c>
      <c r="EL1373" t="str">
        <f t="shared" si="1795"/>
        <v/>
      </c>
      <c r="EM1373" s="2" t="str">
        <f t="shared" si="1751"/>
        <v/>
      </c>
      <c r="EP1373" t="b">
        <f>IF(ISNUMBER(BU1373),IF(ABS(BU1373-[1]QC_indicators!$B$2)&gt;3*[1]QC_indicators!$C$2,"C ratio",IF(ISNUMBER(BY1373),IF(ABS(BY1373-[1]QC_indicators!$B$1)&gt;3*[1]QC_indicators!$C$1,"DF","no"))),IF(ISNUMBER(BY1373),IF(ABS(BY1373-[1]QC_indicators!$B$1)&gt;3*[1]QC_indicators!$C$1,"DF","no")))</f>
        <v>0</v>
      </c>
      <c r="ER1373" s="313" t="s">
        <v>349</v>
      </c>
    </row>
    <row r="1374" spans="1:148" ht="15" hidden="1" customHeight="1">
      <c r="A1374" s="1" t="s">
        <v>1101</v>
      </c>
      <c r="B1374" t="s">
        <v>4088</v>
      </c>
      <c r="C1374" t="s">
        <v>4089</v>
      </c>
      <c r="D1374" t="s">
        <v>4090</v>
      </c>
      <c r="E1374" t="s">
        <v>4091</v>
      </c>
      <c r="F1374" t="s">
        <v>4092</v>
      </c>
      <c r="G1374" t="s">
        <v>1107</v>
      </c>
      <c r="H1374" t="s">
        <v>254</v>
      </c>
      <c r="I1374">
        <v>2011</v>
      </c>
      <c r="J1374">
        <v>57</v>
      </c>
      <c r="K1374" t="s">
        <v>4093</v>
      </c>
      <c r="M1374" t="str">
        <f t="shared" si="1755"/>
        <v>Routa_2011</v>
      </c>
      <c r="N1374" s="311" t="s">
        <v>4382</v>
      </c>
      <c r="O1374" s="145" t="s">
        <v>341</v>
      </c>
      <c r="Q1374" s="311" t="s">
        <v>256</v>
      </c>
      <c r="R1374" s="312"/>
      <c r="S1374" s="1" t="s">
        <v>4097</v>
      </c>
      <c r="T1374" t="s">
        <v>1110</v>
      </c>
      <c r="U1374" t="e">
        <f>#REF!</f>
        <v>#REF!</v>
      </c>
      <c r="V1374">
        <v>0</v>
      </c>
      <c r="W1374">
        <v>0</v>
      </c>
      <c r="X1374">
        <v>0</v>
      </c>
      <c r="Y1374">
        <v>0</v>
      </c>
      <c r="Z1374">
        <v>0</v>
      </c>
      <c r="AA1374">
        <v>2</v>
      </c>
      <c r="AB1374">
        <v>1</v>
      </c>
      <c r="AC1374">
        <v>0</v>
      </c>
      <c r="AD1374">
        <v>0</v>
      </c>
      <c r="AE1374">
        <v>0</v>
      </c>
      <c r="AF1374">
        <v>0</v>
      </c>
      <c r="AG1374">
        <v>0</v>
      </c>
      <c r="AH1374">
        <v>0</v>
      </c>
      <c r="AI1374">
        <v>0</v>
      </c>
      <c r="AJ1374">
        <v>0</v>
      </c>
      <c r="AK1374">
        <v>0</v>
      </c>
      <c r="AL1374">
        <v>0</v>
      </c>
      <c r="AM1374">
        <v>0</v>
      </c>
      <c r="AN1374">
        <v>0</v>
      </c>
      <c r="AO1374">
        <v>0</v>
      </c>
      <c r="AP1374">
        <v>0</v>
      </c>
      <c r="AQ1374">
        <v>0</v>
      </c>
      <c r="AR1374">
        <v>0</v>
      </c>
      <c r="AS1374">
        <v>0</v>
      </c>
      <c r="AT1374">
        <v>0</v>
      </c>
      <c r="AU1374">
        <v>0</v>
      </c>
      <c r="AV1374">
        <v>0</v>
      </c>
      <c r="AW1374">
        <v>0</v>
      </c>
      <c r="AX1374" s="141">
        <f t="shared" si="1796"/>
        <v>2</v>
      </c>
      <c r="AY1374" s="141">
        <f t="shared" si="1797"/>
        <v>2</v>
      </c>
      <c r="AZ1374">
        <f t="shared" si="1798"/>
        <v>2</v>
      </c>
      <c r="BA1374">
        <f t="shared" si="1799"/>
        <v>0</v>
      </c>
      <c r="BB1374">
        <f t="shared" si="1800"/>
        <v>0</v>
      </c>
      <c r="BC1374">
        <f t="shared" si="1801"/>
        <v>0</v>
      </c>
      <c r="BD1374">
        <f t="shared" si="1802"/>
        <v>0</v>
      </c>
      <c r="BE1374" t="str" cm="1">
        <f t="array" ref="BE1374">IF(AY1374=1,INDEX($V$7:$AL$7,MATCH(TRUE,INDEX($V1374:$AW1374&lt;&gt;0,),0)),IF(AY1374=0,INDEX($AM$7:$AW$7,MATCH(1,$AM1374:$AW1374,0)),IF(BF1374="Multiple strategies","mixed drivers",IF(BF1374="Supply chain","multiple supply","multiple silviculture"))))</f>
        <v>multiple silviculture</v>
      </c>
      <c r="BF1374" s="2" t="str" cm="1">
        <f t="array" ref="BF1374">IF(COUNTIF(AZ1374:BB1374,"&lt;&gt;0")=1,INDEX($V$4:$AW$4,MATCH(TRUE,INDEX($V1374:$AW1374&lt;&gt;0,),0)),IF(COUNTIF(AZ1374:BB1374,"&lt;&gt;0")=0,INDEX($AM$4:$AW$4,MATCH(1,$AM1374:$AW1374,0)),"Multiple strategies"))</f>
        <v>Silviculture for productivity</v>
      </c>
      <c r="BP1374" s="311" t="s">
        <v>232</v>
      </c>
      <c r="BQ1374" s="311"/>
      <c r="BR1374" t="s">
        <v>2169</v>
      </c>
      <c r="BS1374">
        <v>-150</v>
      </c>
      <c r="BT1374">
        <v>-85</v>
      </c>
      <c r="BU1374" s="144">
        <v>0.56666666666666665</v>
      </c>
      <c r="BV1374">
        <v>65</v>
      </c>
      <c r="BX1374">
        <f t="shared" si="1803"/>
        <v>65000</v>
      </c>
      <c r="BY1374" t="str">
        <f t="shared" si="1750"/>
        <v/>
      </c>
      <c r="BZ1374">
        <v>0</v>
      </c>
      <c r="CA1374">
        <v>0</v>
      </c>
      <c r="CB1374">
        <v>0</v>
      </c>
      <c r="CC1374">
        <v>1</v>
      </c>
      <c r="CD1374">
        <v>0</v>
      </c>
      <c r="CE1374">
        <v>0</v>
      </c>
      <c r="CF1374">
        <v>0</v>
      </c>
      <c r="CG1374">
        <v>0</v>
      </c>
      <c r="CH1374">
        <v>0</v>
      </c>
      <c r="CI1374">
        <v>0</v>
      </c>
      <c r="CJ1374">
        <v>0</v>
      </c>
      <c r="CK1374">
        <v>0</v>
      </c>
      <c r="CL1374">
        <v>0</v>
      </c>
      <c r="CM1374">
        <v>0</v>
      </c>
      <c r="CN1374" t="str">
        <f t="shared" si="1804"/>
        <v>refOK</v>
      </c>
      <c r="CO1374"/>
      <c r="CP1374"/>
      <c r="CQ1374"/>
      <c r="CR1374">
        <f t="shared" si="1805"/>
        <v>-150</v>
      </c>
      <c r="CS1374">
        <f t="shared" si="1806"/>
        <v>-85</v>
      </c>
      <c r="CT1374">
        <f t="shared" si="1807"/>
        <v>65000</v>
      </c>
      <c r="CU1374" t="str">
        <f t="shared" si="1808"/>
        <v/>
      </c>
      <c r="CV1374" s="2">
        <f t="shared" si="1809"/>
        <v>0.43333333333333335</v>
      </c>
      <c r="CW1374" s="1" t="s">
        <v>1198</v>
      </c>
      <c r="CX1374" s="311" t="str">
        <f t="shared" si="1810"/>
        <v>reg</v>
      </c>
      <c r="CY1374" t="s">
        <v>235</v>
      </c>
      <c r="CZ1374">
        <v>2011</v>
      </c>
      <c r="DA1374">
        <v>2090</v>
      </c>
      <c r="DB1374">
        <v>80</v>
      </c>
      <c r="DC1374" t="str">
        <f t="shared" si="1811"/>
        <v>71-100</v>
      </c>
      <c r="DD1374">
        <v>0</v>
      </c>
      <c r="DE1374">
        <v>1</v>
      </c>
      <c r="DF1374">
        <v>1</v>
      </c>
      <c r="DG1374">
        <v>1</v>
      </c>
      <c r="DI1374">
        <f t="shared" si="1812"/>
        <v>3</v>
      </c>
      <c r="DJ1374" t="str">
        <f t="shared" si="1813"/>
        <v>mixedProduct</v>
      </c>
      <c r="DK1374">
        <f t="shared" si="1814"/>
        <v>0</v>
      </c>
      <c r="DL1374" t="str">
        <f t="shared" si="1815"/>
        <v>Energy</v>
      </c>
      <c r="DM1374" t="str">
        <f t="shared" si="1816"/>
        <v>Pulp/Paper</v>
      </c>
      <c r="DN1374" t="str">
        <f t="shared" si="1817"/>
        <v>Timber</v>
      </c>
      <c r="DO1374">
        <v>1</v>
      </c>
      <c r="DP1374">
        <v>0</v>
      </c>
      <c r="DQ1374">
        <v>0</v>
      </c>
      <c r="DR1374">
        <v>0</v>
      </c>
      <c r="DS1374">
        <v>0</v>
      </c>
      <c r="DT1374">
        <f t="shared" si="1818"/>
        <v>1</v>
      </c>
      <c r="DU1374" s="143" t="str">
        <f t="shared" si="1819"/>
        <v>self-calculated DF</v>
      </c>
      <c r="DV1374">
        <v>1</v>
      </c>
      <c r="DW1374">
        <v>1</v>
      </c>
      <c r="DX1374">
        <v>1</v>
      </c>
      <c r="DY1374">
        <v>0</v>
      </c>
      <c r="DZ1374">
        <v>0</v>
      </c>
      <c r="EA1374" s="143">
        <v>0</v>
      </c>
      <c r="EB1374">
        <v>1</v>
      </c>
      <c r="EC1374">
        <v>1</v>
      </c>
      <c r="ED1374">
        <v>0</v>
      </c>
      <c r="EE1374">
        <v>1</v>
      </c>
      <c r="EF1374">
        <v>1</v>
      </c>
      <c r="EG1374">
        <v>1</v>
      </c>
      <c r="EH1374">
        <v>0</v>
      </c>
      <c r="EI1374" s="2">
        <v>0</v>
      </c>
      <c r="EK1374" t="str">
        <f t="shared" si="1794"/>
        <v>Whole sector</v>
      </c>
      <c r="EL1374" t="str">
        <f t="shared" si="1795"/>
        <v/>
      </c>
      <c r="EM1374" s="2" t="str">
        <f t="shared" si="1751"/>
        <v/>
      </c>
      <c r="EP1374" t="b">
        <f>IF(ISNUMBER(BU1374),IF(ABS(BU1374-[1]QC_indicators!$B$2)&gt;3*[1]QC_indicators!$C$2,"C ratio",IF(ISNUMBER(BY1374),IF(ABS(BY1374-[1]QC_indicators!$B$1)&gt;3*[1]QC_indicators!$C$1,"DF","no"))),IF(ISNUMBER(BY1374),IF(ABS(BY1374-[1]QC_indicators!$B$1)&gt;3*[1]QC_indicators!$C$1,"DF","no")))</f>
        <v>0</v>
      </c>
      <c r="ER1374" s="313" t="s">
        <v>349</v>
      </c>
    </row>
    <row r="1375" spans="1:148" ht="15" hidden="1" customHeight="1">
      <c r="A1375" s="1" t="s">
        <v>1101</v>
      </c>
      <c r="B1375" t="s">
        <v>4088</v>
      </c>
      <c r="C1375" t="s">
        <v>4089</v>
      </c>
      <c r="D1375" t="s">
        <v>4090</v>
      </c>
      <c r="E1375" t="s">
        <v>4091</v>
      </c>
      <c r="F1375" t="s">
        <v>4092</v>
      </c>
      <c r="G1375" t="s">
        <v>1107</v>
      </c>
      <c r="H1375" t="s">
        <v>254</v>
      </c>
      <c r="I1375">
        <v>2011</v>
      </c>
      <c r="J1375">
        <v>57</v>
      </c>
      <c r="K1375" t="s">
        <v>4093</v>
      </c>
      <c r="M1375" t="str">
        <f t="shared" si="1755"/>
        <v>Routa_2011</v>
      </c>
      <c r="N1375" s="311" t="s">
        <v>4382</v>
      </c>
      <c r="O1375" s="145" t="s">
        <v>341</v>
      </c>
      <c r="Q1375" s="311" t="s">
        <v>256</v>
      </c>
      <c r="R1375" s="312"/>
      <c r="S1375" s="1" t="s">
        <v>4098</v>
      </c>
      <c r="T1375" t="s">
        <v>1110</v>
      </c>
      <c r="U1375" t="e">
        <f>#REF!</f>
        <v>#REF!</v>
      </c>
      <c r="V1375">
        <v>0</v>
      </c>
      <c r="W1375">
        <v>0</v>
      </c>
      <c r="X1375">
        <v>0</v>
      </c>
      <c r="Y1375">
        <v>0</v>
      </c>
      <c r="Z1375">
        <v>0</v>
      </c>
      <c r="AA1375">
        <v>2</v>
      </c>
      <c r="AB1375">
        <v>1</v>
      </c>
      <c r="AC1375">
        <v>0</v>
      </c>
      <c r="AD1375">
        <v>0</v>
      </c>
      <c r="AE1375">
        <v>0</v>
      </c>
      <c r="AF1375">
        <v>0</v>
      </c>
      <c r="AG1375">
        <v>0</v>
      </c>
      <c r="AH1375">
        <v>0</v>
      </c>
      <c r="AI1375">
        <v>0</v>
      </c>
      <c r="AJ1375">
        <v>0</v>
      </c>
      <c r="AK1375">
        <v>0</v>
      </c>
      <c r="AL1375">
        <v>0</v>
      </c>
      <c r="AM1375">
        <v>0</v>
      </c>
      <c r="AN1375">
        <v>0</v>
      </c>
      <c r="AO1375">
        <v>0</v>
      </c>
      <c r="AP1375">
        <v>0</v>
      </c>
      <c r="AQ1375">
        <v>0</v>
      </c>
      <c r="AR1375">
        <v>0</v>
      </c>
      <c r="AS1375">
        <v>0</v>
      </c>
      <c r="AT1375">
        <v>0</v>
      </c>
      <c r="AU1375">
        <v>0</v>
      </c>
      <c r="AV1375">
        <v>0</v>
      </c>
      <c r="AW1375">
        <v>0</v>
      </c>
      <c r="AX1375" s="141">
        <f t="shared" si="1796"/>
        <v>2</v>
      </c>
      <c r="AY1375" s="141">
        <f t="shared" si="1797"/>
        <v>2</v>
      </c>
      <c r="AZ1375">
        <f t="shared" si="1798"/>
        <v>2</v>
      </c>
      <c r="BA1375">
        <f t="shared" si="1799"/>
        <v>0</v>
      </c>
      <c r="BB1375">
        <f t="shared" si="1800"/>
        <v>0</v>
      </c>
      <c r="BC1375">
        <f t="shared" si="1801"/>
        <v>0</v>
      </c>
      <c r="BD1375">
        <f t="shared" si="1802"/>
        <v>0</v>
      </c>
      <c r="BE1375" t="str" cm="1">
        <f t="array" ref="BE1375">IF(AY1375=1,INDEX($V$7:$AL$7,MATCH(TRUE,INDEX($V1375:$AW1375&lt;&gt;0,),0)),IF(AY1375=0,INDEX($AM$7:$AW$7,MATCH(1,$AM1375:$AW1375,0)),IF(BF1375="Multiple strategies","mixed drivers",IF(BF1375="Supply chain","multiple supply","multiple silviculture"))))</f>
        <v>multiple silviculture</v>
      </c>
      <c r="BF1375" s="2" t="str" cm="1">
        <f t="array" ref="BF1375">IF(COUNTIF(AZ1375:BB1375,"&lt;&gt;0")=1,INDEX($V$4:$AW$4,MATCH(TRUE,INDEX($V1375:$AW1375&lt;&gt;0,),0)),IF(COUNTIF(AZ1375:BB1375,"&lt;&gt;0")=0,INDEX($AM$4:$AW$4,MATCH(1,$AM1375:$AW1375,0)),"Multiple strategies"))</f>
        <v>Silviculture for productivity</v>
      </c>
      <c r="BP1375" s="311" t="s">
        <v>232</v>
      </c>
      <c r="BQ1375" s="311"/>
      <c r="BR1375" t="s">
        <v>2169</v>
      </c>
      <c r="BS1375">
        <v>-150</v>
      </c>
      <c r="BT1375">
        <v>-87</v>
      </c>
      <c r="BU1375" s="144">
        <v>0.57999999999999996</v>
      </c>
      <c r="BV1375">
        <v>63</v>
      </c>
      <c r="BX1375">
        <f t="shared" si="1803"/>
        <v>63000</v>
      </c>
      <c r="BY1375" t="str">
        <f t="shared" si="1750"/>
        <v/>
      </c>
      <c r="BZ1375">
        <v>0</v>
      </c>
      <c r="CA1375">
        <v>0</v>
      </c>
      <c r="CB1375">
        <v>0</v>
      </c>
      <c r="CC1375">
        <v>1</v>
      </c>
      <c r="CD1375">
        <v>0</v>
      </c>
      <c r="CE1375">
        <v>0</v>
      </c>
      <c r="CF1375">
        <v>0</v>
      </c>
      <c r="CG1375">
        <v>0</v>
      </c>
      <c r="CH1375">
        <v>0</v>
      </c>
      <c r="CI1375">
        <v>0</v>
      </c>
      <c r="CJ1375">
        <v>0</v>
      </c>
      <c r="CK1375">
        <v>0</v>
      </c>
      <c r="CL1375">
        <v>0</v>
      </c>
      <c r="CM1375">
        <v>0</v>
      </c>
      <c r="CN1375" t="str">
        <f t="shared" si="1804"/>
        <v>refOK</v>
      </c>
      <c r="CO1375"/>
      <c r="CP1375"/>
      <c r="CQ1375"/>
      <c r="CR1375">
        <f t="shared" si="1805"/>
        <v>-150</v>
      </c>
      <c r="CS1375">
        <f t="shared" si="1806"/>
        <v>-87</v>
      </c>
      <c r="CT1375">
        <f t="shared" si="1807"/>
        <v>63000</v>
      </c>
      <c r="CU1375" t="str">
        <f t="shared" si="1808"/>
        <v/>
      </c>
      <c r="CV1375" s="2">
        <f t="shared" si="1809"/>
        <v>0.42</v>
      </c>
      <c r="CW1375" s="1" t="s">
        <v>1198</v>
      </c>
      <c r="CX1375" s="311" t="str">
        <f t="shared" si="1810"/>
        <v>reg</v>
      </c>
      <c r="CY1375" t="s">
        <v>235</v>
      </c>
      <c r="CZ1375">
        <v>2011</v>
      </c>
      <c r="DA1375">
        <v>2090</v>
      </c>
      <c r="DB1375">
        <v>80</v>
      </c>
      <c r="DC1375" t="str">
        <f t="shared" si="1811"/>
        <v>71-100</v>
      </c>
      <c r="DD1375">
        <v>0</v>
      </c>
      <c r="DE1375">
        <v>1</v>
      </c>
      <c r="DF1375">
        <v>1</v>
      </c>
      <c r="DG1375">
        <v>1</v>
      </c>
      <c r="DI1375">
        <f t="shared" si="1812"/>
        <v>3</v>
      </c>
      <c r="DJ1375" t="str">
        <f t="shared" si="1813"/>
        <v>mixedProduct</v>
      </c>
      <c r="DK1375">
        <f t="shared" si="1814"/>
        <v>0</v>
      </c>
      <c r="DL1375" t="str">
        <f t="shared" si="1815"/>
        <v>Energy</v>
      </c>
      <c r="DM1375" t="str">
        <f t="shared" si="1816"/>
        <v>Pulp/Paper</v>
      </c>
      <c r="DN1375" t="str">
        <f t="shared" si="1817"/>
        <v>Timber</v>
      </c>
      <c r="DO1375">
        <v>1</v>
      </c>
      <c r="DP1375">
        <v>0</v>
      </c>
      <c r="DQ1375">
        <v>0</v>
      </c>
      <c r="DR1375">
        <v>0</v>
      </c>
      <c r="DS1375">
        <v>0</v>
      </c>
      <c r="DT1375">
        <f t="shared" si="1818"/>
        <v>1</v>
      </c>
      <c r="DU1375" s="143" t="str">
        <f t="shared" si="1819"/>
        <v>self-calculated DF</v>
      </c>
      <c r="DV1375">
        <v>1</v>
      </c>
      <c r="DW1375">
        <v>1</v>
      </c>
      <c r="DX1375">
        <v>1</v>
      </c>
      <c r="DY1375">
        <v>0</v>
      </c>
      <c r="DZ1375">
        <v>0</v>
      </c>
      <c r="EA1375" s="143">
        <v>0</v>
      </c>
      <c r="EB1375">
        <v>1</v>
      </c>
      <c r="EC1375">
        <v>1</v>
      </c>
      <c r="ED1375">
        <v>0</v>
      </c>
      <c r="EE1375">
        <v>1</v>
      </c>
      <c r="EF1375">
        <v>1</v>
      </c>
      <c r="EG1375">
        <v>1</v>
      </c>
      <c r="EH1375">
        <v>0</v>
      </c>
      <c r="EI1375" s="2">
        <v>0</v>
      </c>
      <c r="EK1375" t="str">
        <f t="shared" si="1794"/>
        <v>Whole sector</v>
      </c>
      <c r="EL1375" t="str">
        <f t="shared" si="1795"/>
        <v/>
      </c>
      <c r="EM1375" s="2" t="str">
        <f t="shared" si="1751"/>
        <v/>
      </c>
      <c r="EP1375" t="b">
        <f>IF(ISNUMBER(BU1375),IF(ABS(BU1375-[1]QC_indicators!$B$2)&gt;3*[1]QC_indicators!$C$2,"C ratio",IF(ISNUMBER(BY1375),IF(ABS(BY1375-[1]QC_indicators!$B$1)&gt;3*[1]QC_indicators!$C$1,"DF","no"))),IF(ISNUMBER(BY1375),IF(ABS(BY1375-[1]QC_indicators!$B$1)&gt;3*[1]QC_indicators!$C$1,"DF","no")))</f>
        <v>0</v>
      </c>
      <c r="ER1375" s="313" t="s">
        <v>349</v>
      </c>
    </row>
    <row r="1376" spans="1:148" ht="15" hidden="1" customHeight="1">
      <c r="A1376" s="1" t="s">
        <v>1101</v>
      </c>
      <c r="B1376" t="s">
        <v>4088</v>
      </c>
      <c r="C1376" t="s">
        <v>4089</v>
      </c>
      <c r="D1376" t="s">
        <v>4090</v>
      </c>
      <c r="E1376" t="s">
        <v>4091</v>
      </c>
      <c r="F1376" t="s">
        <v>4092</v>
      </c>
      <c r="G1376" t="s">
        <v>1107</v>
      </c>
      <c r="H1376" t="s">
        <v>254</v>
      </c>
      <c r="I1376">
        <v>2011</v>
      </c>
      <c r="J1376">
        <v>57</v>
      </c>
      <c r="K1376" t="s">
        <v>4093</v>
      </c>
      <c r="M1376" t="str">
        <f t="shared" si="1755"/>
        <v>Routa_2011</v>
      </c>
      <c r="N1376" s="311" t="s">
        <v>4382</v>
      </c>
      <c r="O1376" s="145" t="s">
        <v>341</v>
      </c>
      <c r="Q1376" s="311" t="s">
        <v>256</v>
      </c>
      <c r="R1376" s="312"/>
      <c r="S1376" s="1" t="s">
        <v>4099</v>
      </c>
      <c r="T1376" t="s">
        <v>1110</v>
      </c>
      <c r="U1376" t="e">
        <f>#REF!</f>
        <v>#REF!</v>
      </c>
      <c r="V1376">
        <v>0</v>
      </c>
      <c r="W1376">
        <v>0</v>
      </c>
      <c r="X1376">
        <v>0</v>
      </c>
      <c r="Y1376">
        <v>0</v>
      </c>
      <c r="Z1376">
        <v>0</v>
      </c>
      <c r="AA1376">
        <v>2</v>
      </c>
      <c r="AB1376">
        <v>1</v>
      </c>
      <c r="AC1376">
        <v>0</v>
      </c>
      <c r="AD1376">
        <v>0</v>
      </c>
      <c r="AE1376">
        <v>0</v>
      </c>
      <c r="AF1376">
        <v>0</v>
      </c>
      <c r="AG1376">
        <v>0</v>
      </c>
      <c r="AH1376">
        <v>0</v>
      </c>
      <c r="AI1376">
        <v>0</v>
      </c>
      <c r="AJ1376">
        <v>0</v>
      </c>
      <c r="AK1376">
        <v>0</v>
      </c>
      <c r="AL1376">
        <v>0</v>
      </c>
      <c r="AM1376">
        <v>0</v>
      </c>
      <c r="AN1376">
        <v>0</v>
      </c>
      <c r="AO1376">
        <v>0</v>
      </c>
      <c r="AP1376">
        <v>0</v>
      </c>
      <c r="AQ1376">
        <v>0</v>
      </c>
      <c r="AR1376">
        <v>0</v>
      </c>
      <c r="AS1376">
        <v>0</v>
      </c>
      <c r="AT1376">
        <v>0</v>
      </c>
      <c r="AU1376">
        <v>0</v>
      </c>
      <c r="AV1376">
        <v>0</v>
      </c>
      <c r="AW1376">
        <v>0</v>
      </c>
      <c r="AX1376" s="141">
        <f t="shared" si="1796"/>
        <v>2</v>
      </c>
      <c r="AY1376" s="141">
        <f t="shared" si="1797"/>
        <v>2</v>
      </c>
      <c r="AZ1376">
        <f t="shared" si="1798"/>
        <v>2</v>
      </c>
      <c r="BA1376">
        <f t="shared" si="1799"/>
        <v>0</v>
      </c>
      <c r="BB1376">
        <f t="shared" si="1800"/>
        <v>0</v>
      </c>
      <c r="BC1376">
        <f t="shared" si="1801"/>
        <v>0</v>
      </c>
      <c r="BD1376">
        <f t="shared" si="1802"/>
        <v>0</v>
      </c>
      <c r="BE1376" t="str" cm="1">
        <f t="array" ref="BE1376">IF(AY1376=1,INDEX($V$7:$AL$7,MATCH(TRUE,INDEX($V1376:$AW1376&lt;&gt;0,),0)),IF(AY1376=0,INDEX($AM$7:$AW$7,MATCH(1,$AM1376:$AW1376,0)),IF(BF1376="Multiple strategies","mixed drivers",IF(BF1376="Supply chain","multiple supply","multiple silviculture"))))</f>
        <v>multiple silviculture</v>
      </c>
      <c r="BF1376" s="2" t="str" cm="1">
        <f t="array" ref="BF1376">IF(COUNTIF(AZ1376:BB1376,"&lt;&gt;0")=1,INDEX($V$4:$AW$4,MATCH(TRUE,INDEX($V1376:$AW1376&lt;&gt;0,),0)),IF(COUNTIF(AZ1376:BB1376,"&lt;&gt;0")=0,INDEX($AM$4:$AW$4,MATCH(1,$AM1376:$AW1376,0)),"Multiple strategies"))</f>
        <v>Silviculture for productivity</v>
      </c>
      <c r="BP1376" s="311" t="s">
        <v>232</v>
      </c>
      <c r="BQ1376" s="311"/>
      <c r="BR1376" t="s">
        <v>2169</v>
      </c>
      <c r="BS1376">
        <v>-150</v>
      </c>
      <c r="BT1376">
        <v>-87</v>
      </c>
      <c r="BU1376" s="144">
        <v>0.57999999999999996</v>
      </c>
      <c r="BV1376">
        <v>63</v>
      </c>
      <c r="BX1376">
        <f t="shared" si="1803"/>
        <v>63000</v>
      </c>
      <c r="BY1376" t="str">
        <f t="shared" si="1750"/>
        <v/>
      </c>
      <c r="BZ1376">
        <v>0</v>
      </c>
      <c r="CA1376">
        <v>0</v>
      </c>
      <c r="CB1376">
        <v>0</v>
      </c>
      <c r="CC1376">
        <v>1</v>
      </c>
      <c r="CD1376">
        <v>0</v>
      </c>
      <c r="CE1376">
        <v>0</v>
      </c>
      <c r="CF1376">
        <v>0</v>
      </c>
      <c r="CG1376">
        <v>0</v>
      </c>
      <c r="CH1376">
        <v>0</v>
      </c>
      <c r="CI1376">
        <v>0</v>
      </c>
      <c r="CJ1376">
        <v>0</v>
      </c>
      <c r="CK1376">
        <v>0</v>
      </c>
      <c r="CL1376">
        <v>0</v>
      </c>
      <c r="CM1376">
        <v>0</v>
      </c>
      <c r="CN1376" t="str">
        <f t="shared" si="1804"/>
        <v>refOK</v>
      </c>
      <c r="CO1376"/>
      <c r="CP1376"/>
      <c r="CQ1376"/>
      <c r="CR1376">
        <f t="shared" si="1805"/>
        <v>-150</v>
      </c>
      <c r="CS1376">
        <f t="shared" si="1806"/>
        <v>-87</v>
      </c>
      <c r="CT1376">
        <f t="shared" si="1807"/>
        <v>63000</v>
      </c>
      <c r="CU1376" t="str">
        <f t="shared" si="1808"/>
        <v/>
      </c>
      <c r="CV1376" s="2">
        <f t="shared" si="1809"/>
        <v>0.42</v>
      </c>
      <c r="CW1376" s="1" t="s">
        <v>1198</v>
      </c>
      <c r="CX1376" s="311" t="str">
        <f t="shared" si="1810"/>
        <v>reg</v>
      </c>
      <c r="CY1376" t="s">
        <v>235</v>
      </c>
      <c r="CZ1376">
        <v>2011</v>
      </c>
      <c r="DA1376">
        <v>2090</v>
      </c>
      <c r="DB1376">
        <v>80</v>
      </c>
      <c r="DC1376" t="str">
        <f t="shared" si="1811"/>
        <v>71-100</v>
      </c>
      <c r="DD1376">
        <v>0</v>
      </c>
      <c r="DE1376">
        <v>1</v>
      </c>
      <c r="DF1376">
        <v>1</v>
      </c>
      <c r="DG1376">
        <v>1</v>
      </c>
      <c r="DI1376">
        <f t="shared" si="1812"/>
        <v>3</v>
      </c>
      <c r="DJ1376" t="str">
        <f t="shared" si="1813"/>
        <v>mixedProduct</v>
      </c>
      <c r="DK1376">
        <f t="shared" si="1814"/>
        <v>0</v>
      </c>
      <c r="DL1376" t="str">
        <f t="shared" si="1815"/>
        <v>Energy</v>
      </c>
      <c r="DM1376" t="str">
        <f t="shared" si="1816"/>
        <v>Pulp/Paper</v>
      </c>
      <c r="DN1376" t="str">
        <f t="shared" si="1817"/>
        <v>Timber</v>
      </c>
      <c r="DO1376">
        <v>1</v>
      </c>
      <c r="DP1376">
        <v>0</v>
      </c>
      <c r="DQ1376">
        <v>0</v>
      </c>
      <c r="DR1376">
        <v>0</v>
      </c>
      <c r="DS1376">
        <v>0</v>
      </c>
      <c r="DT1376">
        <f t="shared" si="1818"/>
        <v>1</v>
      </c>
      <c r="DU1376" s="143" t="str">
        <f t="shared" si="1819"/>
        <v>self-calculated DF</v>
      </c>
      <c r="DV1376">
        <v>1</v>
      </c>
      <c r="DW1376">
        <v>1</v>
      </c>
      <c r="DX1376">
        <v>1</v>
      </c>
      <c r="DY1376">
        <v>0</v>
      </c>
      <c r="DZ1376">
        <v>0</v>
      </c>
      <c r="EA1376" s="143">
        <v>0</v>
      </c>
      <c r="EB1376">
        <v>1</v>
      </c>
      <c r="EC1376">
        <v>1</v>
      </c>
      <c r="ED1376">
        <v>0</v>
      </c>
      <c r="EE1376">
        <v>1</v>
      </c>
      <c r="EF1376">
        <v>1</v>
      </c>
      <c r="EG1376">
        <v>1</v>
      </c>
      <c r="EH1376">
        <v>0</v>
      </c>
      <c r="EI1376" s="2">
        <v>0</v>
      </c>
      <c r="EK1376" t="str">
        <f t="shared" si="1794"/>
        <v>Whole sector</v>
      </c>
      <c r="EL1376" t="str">
        <f t="shared" si="1795"/>
        <v/>
      </c>
      <c r="EM1376" s="2" t="str">
        <f t="shared" si="1751"/>
        <v/>
      </c>
      <c r="EP1376" t="b">
        <f>IF(ISNUMBER(BU1376),IF(ABS(BU1376-[1]QC_indicators!$B$2)&gt;3*[1]QC_indicators!$C$2,"C ratio",IF(ISNUMBER(BY1376),IF(ABS(BY1376-[1]QC_indicators!$B$1)&gt;3*[1]QC_indicators!$C$1,"DF","no"))),IF(ISNUMBER(BY1376),IF(ABS(BY1376-[1]QC_indicators!$B$1)&gt;3*[1]QC_indicators!$C$1,"DF","no")))</f>
        <v>0</v>
      </c>
      <c r="ER1376" s="313" t="s">
        <v>349</v>
      </c>
    </row>
    <row r="1377" spans="1:148" ht="15" hidden="1" customHeight="1">
      <c r="A1377" s="1" t="s">
        <v>1101</v>
      </c>
      <c r="B1377" t="s">
        <v>4088</v>
      </c>
      <c r="C1377" t="s">
        <v>4089</v>
      </c>
      <c r="D1377" t="s">
        <v>4090</v>
      </c>
      <c r="E1377" t="s">
        <v>4091</v>
      </c>
      <c r="F1377" t="s">
        <v>4092</v>
      </c>
      <c r="G1377" t="s">
        <v>1107</v>
      </c>
      <c r="H1377" t="s">
        <v>254</v>
      </c>
      <c r="I1377">
        <v>2011</v>
      </c>
      <c r="J1377">
        <v>57</v>
      </c>
      <c r="K1377" t="s">
        <v>4093</v>
      </c>
      <c r="M1377" t="str">
        <f t="shared" si="1755"/>
        <v>Routa_2011</v>
      </c>
      <c r="N1377" s="311" t="s">
        <v>4382</v>
      </c>
      <c r="O1377" s="145" t="s">
        <v>341</v>
      </c>
      <c r="Q1377" s="311" t="s">
        <v>256</v>
      </c>
      <c r="R1377" s="312"/>
      <c r="S1377" s="1" t="s">
        <v>4100</v>
      </c>
      <c r="T1377" t="s">
        <v>1110</v>
      </c>
      <c r="U1377" t="e">
        <f>#REF!</f>
        <v>#REF!</v>
      </c>
      <c r="V1377">
        <v>0</v>
      </c>
      <c r="W1377">
        <v>0</v>
      </c>
      <c r="X1377">
        <v>0</v>
      </c>
      <c r="Y1377">
        <v>0</v>
      </c>
      <c r="Z1377">
        <v>0</v>
      </c>
      <c r="AA1377">
        <v>2</v>
      </c>
      <c r="AB1377">
        <v>1</v>
      </c>
      <c r="AC1377">
        <v>0</v>
      </c>
      <c r="AD1377">
        <v>0</v>
      </c>
      <c r="AE1377">
        <v>0</v>
      </c>
      <c r="AF1377">
        <v>0</v>
      </c>
      <c r="AG1377">
        <v>0</v>
      </c>
      <c r="AH1377">
        <v>0</v>
      </c>
      <c r="AI1377">
        <v>0</v>
      </c>
      <c r="AJ1377">
        <v>0</v>
      </c>
      <c r="AK1377">
        <v>0</v>
      </c>
      <c r="AL1377">
        <v>0</v>
      </c>
      <c r="AM1377">
        <v>0</v>
      </c>
      <c r="AN1377">
        <v>0</v>
      </c>
      <c r="AO1377">
        <v>0</v>
      </c>
      <c r="AP1377">
        <v>0</v>
      </c>
      <c r="AQ1377">
        <v>0</v>
      </c>
      <c r="AR1377">
        <v>0</v>
      </c>
      <c r="AS1377">
        <v>0</v>
      </c>
      <c r="AT1377">
        <v>0</v>
      </c>
      <c r="AU1377">
        <v>0</v>
      </c>
      <c r="AV1377">
        <v>0</v>
      </c>
      <c r="AW1377">
        <v>0</v>
      </c>
      <c r="AX1377" s="141">
        <f t="shared" si="1796"/>
        <v>2</v>
      </c>
      <c r="AY1377" s="141">
        <f t="shared" si="1797"/>
        <v>2</v>
      </c>
      <c r="AZ1377">
        <f t="shared" si="1798"/>
        <v>2</v>
      </c>
      <c r="BA1377">
        <f t="shared" si="1799"/>
        <v>0</v>
      </c>
      <c r="BB1377">
        <f t="shared" si="1800"/>
        <v>0</v>
      </c>
      <c r="BC1377">
        <f t="shared" si="1801"/>
        <v>0</v>
      </c>
      <c r="BD1377">
        <f t="shared" si="1802"/>
        <v>0</v>
      </c>
      <c r="BE1377" t="str" cm="1">
        <f t="array" ref="BE1377">IF(AY1377=1,INDEX($V$7:$AL$7,MATCH(TRUE,INDEX($V1377:$AW1377&lt;&gt;0,),0)),IF(AY1377=0,INDEX($AM$7:$AW$7,MATCH(1,$AM1377:$AW1377,0)),IF(BF1377="Multiple strategies","mixed drivers",IF(BF1377="Supply chain","multiple supply","multiple silviculture"))))</f>
        <v>multiple silviculture</v>
      </c>
      <c r="BF1377" s="2" t="str" cm="1">
        <f t="array" ref="BF1377">IF(COUNTIF(AZ1377:BB1377,"&lt;&gt;0")=1,INDEX($V$4:$AW$4,MATCH(TRUE,INDEX($V1377:$AW1377&lt;&gt;0,),0)),IF(COUNTIF(AZ1377:BB1377,"&lt;&gt;0")=0,INDEX($AM$4:$AW$4,MATCH(1,$AM1377:$AW1377,0)),"Multiple strategies"))</f>
        <v>Silviculture for productivity</v>
      </c>
      <c r="BP1377" s="311" t="s">
        <v>232</v>
      </c>
      <c r="BQ1377" s="311"/>
      <c r="BR1377" t="s">
        <v>2169</v>
      </c>
      <c r="BS1377">
        <v>-150</v>
      </c>
      <c r="BT1377">
        <v>-88</v>
      </c>
      <c r="BU1377" s="144">
        <v>0.58666666666666667</v>
      </c>
      <c r="BV1377">
        <v>62</v>
      </c>
      <c r="BX1377">
        <f t="shared" si="1803"/>
        <v>62000</v>
      </c>
      <c r="BY1377" t="str">
        <f t="shared" si="1750"/>
        <v/>
      </c>
      <c r="BZ1377">
        <v>0</v>
      </c>
      <c r="CA1377">
        <v>0</v>
      </c>
      <c r="CB1377">
        <v>0</v>
      </c>
      <c r="CC1377">
        <v>1</v>
      </c>
      <c r="CD1377">
        <v>0</v>
      </c>
      <c r="CE1377">
        <v>0</v>
      </c>
      <c r="CF1377">
        <v>0</v>
      </c>
      <c r="CG1377">
        <v>0</v>
      </c>
      <c r="CH1377">
        <v>0</v>
      </c>
      <c r="CI1377">
        <v>0</v>
      </c>
      <c r="CJ1377">
        <v>0</v>
      </c>
      <c r="CK1377">
        <v>0</v>
      </c>
      <c r="CL1377">
        <v>0</v>
      </c>
      <c r="CM1377">
        <v>0</v>
      </c>
      <c r="CN1377" t="str">
        <f t="shared" si="1804"/>
        <v>refOK</v>
      </c>
      <c r="CO1377"/>
      <c r="CP1377"/>
      <c r="CQ1377"/>
      <c r="CR1377">
        <f t="shared" si="1805"/>
        <v>-150</v>
      </c>
      <c r="CS1377">
        <f t="shared" si="1806"/>
        <v>-88</v>
      </c>
      <c r="CT1377">
        <f t="shared" si="1807"/>
        <v>62000</v>
      </c>
      <c r="CU1377" t="str">
        <f t="shared" si="1808"/>
        <v/>
      </c>
      <c r="CV1377" s="2">
        <f t="shared" si="1809"/>
        <v>0.41333333333333333</v>
      </c>
      <c r="CW1377" s="1" t="s">
        <v>1198</v>
      </c>
      <c r="CX1377" s="311" t="str">
        <f t="shared" si="1810"/>
        <v>reg</v>
      </c>
      <c r="CY1377" t="s">
        <v>235</v>
      </c>
      <c r="CZ1377">
        <v>2011</v>
      </c>
      <c r="DA1377">
        <v>2090</v>
      </c>
      <c r="DB1377">
        <v>80</v>
      </c>
      <c r="DC1377" t="str">
        <f t="shared" si="1811"/>
        <v>71-100</v>
      </c>
      <c r="DD1377">
        <v>0</v>
      </c>
      <c r="DE1377">
        <v>1</v>
      </c>
      <c r="DF1377">
        <v>1</v>
      </c>
      <c r="DG1377">
        <v>1</v>
      </c>
      <c r="DI1377">
        <f t="shared" si="1812"/>
        <v>3</v>
      </c>
      <c r="DJ1377" t="str">
        <f t="shared" si="1813"/>
        <v>mixedProduct</v>
      </c>
      <c r="DK1377">
        <f t="shared" si="1814"/>
        <v>0</v>
      </c>
      <c r="DL1377" t="str">
        <f t="shared" si="1815"/>
        <v>Energy</v>
      </c>
      <c r="DM1377" t="str">
        <f t="shared" si="1816"/>
        <v>Pulp/Paper</v>
      </c>
      <c r="DN1377" t="str">
        <f t="shared" si="1817"/>
        <v>Timber</v>
      </c>
      <c r="DO1377">
        <v>1</v>
      </c>
      <c r="DP1377">
        <v>0</v>
      </c>
      <c r="DQ1377">
        <v>0</v>
      </c>
      <c r="DR1377">
        <v>0</v>
      </c>
      <c r="DS1377">
        <v>0</v>
      </c>
      <c r="DT1377">
        <f t="shared" si="1818"/>
        <v>1</v>
      </c>
      <c r="DU1377" s="143" t="str">
        <f t="shared" si="1819"/>
        <v>self-calculated DF</v>
      </c>
      <c r="DV1377">
        <v>1</v>
      </c>
      <c r="DW1377">
        <v>1</v>
      </c>
      <c r="DX1377">
        <v>1</v>
      </c>
      <c r="DY1377">
        <v>0</v>
      </c>
      <c r="DZ1377">
        <v>0</v>
      </c>
      <c r="EA1377" s="143">
        <v>0</v>
      </c>
      <c r="EB1377">
        <v>1</v>
      </c>
      <c r="EC1377">
        <v>1</v>
      </c>
      <c r="ED1377">
        <v>0</v>
      </c>
      <c r="EE1377">
        <v>1</v>
      </c>
      <c r="EF1377">
        <v>1</v>
      </c>
      <c r="EG1377">
        <v>1</v>
      </c>
      <c r="EH1377">
        <v>0</v>
      </c>
      <c r="EI1377" s="2">
        <v>0</v>
      </c>
      <c r="EK1377" t="str">
        <f t="shared" si="1794"/>
        <v>Whole sector</v>
      </c>
      <c r="EL1377" t="str">
        <f t="shared" si="1795"/>
        <v/>
      </c>
      <c r="EM1377" s="2" t="str">
        <f t="shared" si="1751"/>
        <v/>
      </c>
      <c r="EP1377" t="b">
        <f>IF(ISNUMBER(BU1377),IF(ABS(BU1377-[1]QC_indicators!$B$2)&gt;3*[1]QC_indicators!$C$2,"C ratio",IF(ISNUMBER(BY1377),IF(ABS(BY1377-[1]QC_indicators!$B$1)&gt;3*[1]QC_indicators!$C$1,"DF","no"))),IF(ISNUMBER(BY1377),IF(ABS(BY1377-[1]QC_indicators!$B$1)&gt;3*[1]QC_indicators!$C$1,"DF","no")))</f>
        <v>0</v>
      </c>
      <c r="ER1377" s="313" t="s">
        <v>349</v>
      </c>
    </row>
    <row r="1378" spans="1:148" ht="15" hidden="1" customHeight="1">
      <c r="A1378" s="1" t="s">
        <v>1101</v>
      </c>
      <c r="B1378" t="s">
        <v>4088</v>
      </c>
      <c r="C1378" t="s">
        <v>4089</v>
      </c>
      <c r="D1378" t="s">
        <v>4090</v>
      </c>
      <c r="E1378" t="s">
        <v>4091</v>
      </c>
      <c r="F1378" t="s">
        <v>4092</v>
      </c>
      <c r="G1378" t="s">
        <v>1107</v>
      </c>
      <c r="H1378" t="s">
        <v>254</v>
      </c>
      <c r="I1378">
        <v>2011</v>
      </c>
      <c r="J1378">
        <v>57</v>
      </c>
      <c r="K1378" t="s">
        <v>4093</v>
      </c>
      <c r="M1378" t="str">
        <f t="shared" si="1755"/>
        <v>Routa_2011</v>
      </c>
      <c r="N1378" s="311" t="s">
        <v>4382</v>
      </c>
      <c r="O1378" s="145" t="s">
        <v>341</v>
      </c>
      <c r="Q1378" s="311" t="s">
        <v>256</v>
      </c>
      <c r="R1378" s="312"/>
      <c r="S1378" s="1" t="s">
        <v>4101</v>
      </c>
      <c r="T1378" t="s">
        <v>1110</v>
      </c>
      <c r="U1378" t="e">
        <f>#REF!</f>
        <v>#REF!</v>
      </c>
      <c r="V1378">
        <v>0</v>
      </c>
      <c r="W1378">
        <v>0</v>
      </c>
      <c r="X1378">
        <v>0</v>
      </c>
      <c r="Y1378">
        <v>0</v>
      </c>
      <c r="Z1378">
        <v>0</v>
      </c>
      <c r="AA1378">
        <v>2</v>
      </c>
      <c r="AB1378">
        <v>1</v>
      </c>
      <c r="AC1378">
        <v>0</v>
      </c>
      <c r="AD1378">
        <v>0</v>
      </c>
      <c r="AE1378">
        <v>0</v>
      </c>
      <c r="AF1378">
        <v>0</v>
      </c>
      <c r="AG1378">
        <v>0</v>
      </c>
      <c r="AH1378">
        <v>0</v>
      </c>
      <c r="AI1378">
        <v>0</v>
      </c>
      <c r="AJ1378">
        <v>0</v>
      </c>
      <c r="AK1378">
        <v>0</v>
      </c>
      <c r="AL1378">
        <v>0</v>
      </c>
      <c r="AM1378">
        <v>0</v>
      </c>
      <c r="AN1378">
        <v>0</v>
      </c>
      <c r="AO1378">
        <v>0</v>
      </c>
      <c r="AP1378">
        <v>0</v>
      </c>
      <c r="AQ1378">
        <v>0</v>
      </c>
      <c r="AR1378">
        <v>0</v>
      </c>
      <c r="AS1378">
        <v>0</v>
      </c>
      <c r="AT1378">
        <v>0</v>
      </c>
      <c r="AU1378">
        <v>0</v>
      </c>
      <c r="AV1378">
        <v>0</v>
      </c>
      <c r="AW1378">
        <v>0</v>
      </c>
      <c r="AX1378" s="141">
        <f t="shared" si="1796"/>
        <v>2</v>
      </c>
      <c r="AY1378" s="141">
        <f t="shared" si="1797"/>
        <v>2</v>
      </c>
      <c r="AZ1378">
        <f t="shared" si="1798"/>
        <v>2</v>
      </c>
      <c r="BA1378">
        <f t="shared" si="1799"/>
        <v>0</v>
      </c>
      <c r="BB1378">
        <f t="shared" si="1800"/>
        <v>0</v>
      </c>
      <c r="BC1378">
        <f t="shared" si="1801"/>
        <v>0</v>
      </c>
      <c r="BD1378">
        <f t="shared" si="1802"/>
        <v>0</v>
      </c>
      <c r="BE1378" t="str" cm="1">
        <f t="array" ref="BE1378">IF(AY1378=1,INDEX($V$7:$AL$7,MATCH(TRUE,INDEX($V1378:$AW1378&lt;&gt;0,),0)),IF(AY1378=0,INDEX($AM$7:$AW$7,MATCH(1,$AM1378:$AW1378,0)),IF(BF1378="Multiple strategies","mixed drivers",IF(BF1378="Supply chain","multiple supply","multiple silviculture"))))</f>
        <v>multiple silviculture</v>
      </c>
      <c r="BF1378" s="2" t="str" cm="1">
        <f t="array" ref="BF1378">IF(COUNTIF(AZ1378:BB1378,"&lt;&gt;0")=1,INDEX($V$4:$AW$4,MATCH(TRUE,INDEX($V1378:$AW1378&lt;&gt;0,),0)),IF(COUNTIF(AZ1378:BB1378,"&lt;&gt;0")=0,INDEX($AM$4:$AW$4,MATCH(1,$AM1378:$AW1378,0)),"Multiple strategies"))</f>
        <v>Silviculture for productivity</v>
      </c>
      <c r="BP1378" s="311" t="s">
        <v>232</v>
      </c>
      <c r="BQ1378" s="311"/>
      <c r="BR1378" t="s">
        <v>2169</v>
      </c>
      <c r="BS1378">
        <v>-150</v>
      </c>
      <c r="BT1378">
        <v>-88</v>
      </c>
      <c r="BU1378" s="144">
        <v>0.58666666666666667</v>
      </c>
      <c r="BV1378">
        <v>62</v>
      </c>
      <c r="BX1378">
        <f t="shared" si="1803"/>
        <v>62000</v>
      </c>
      <c r="BY1378" t="str">
        <f t="shared" si="1750"/>
        <v/>
      </c>
      <c r="BZ1378">
        <v>0</v>
      </c>
      <c r="CA1378">
        <v>0</v>
      </c>
      <c r="CB1378">
        <v>0</v>
      </c>
      <c r="CC1378">
        <v>1</v>
      </c>
      <c r="CD1378">
        <v>0</v>
      </c>
      <c r="CE1378">
        <v>0</v>
      </c>
      <c r="CF1378">
        <v>0</v>
      </c>
      <c r="CG1378">
        <v>0</v>
      </c>
      <c r="CH1378">
        <v>0</v>
      </c>
      <c r="CI1378">
        <v>0</v>
      </c>
      <c r="CJ1378">
        <v>0</v>
      </c>
      <c r="CK1378">
        <v>0</v>
      </c>
      <c r="CL1378">
        <v>0</v>
      </c>
      <c r="CM1378">
        <v>0</v>
      </c>
      <c r="CN1378" t="str">
        <f t="shared" si="1804"/>
        <v>refOK</v>
      </c>
      <c r="CO1378"/>
      <c r="CP1378"/>
      <c r="CQ1378"/>
      <c r="CR1378">
        <f t="shared" si="1805"/>
        <v>-150</v>
      </c>
      <c r="CS1378">
        <f t="shared" si="1806"/>
        <v>-88</v>
      </c>
      <c r="CT1378">
        <f t="shared" si="1807"/>
        <v>62000</v>
      </c>
      <c r="CU1378" t="str">
        <f t="shared" si="1808"/>
        <v/>
      </c>
      <c r="CV1378" s="2">
        <f t="shared" si="1809"/>
        <v>0.41333333333333333</v>
      </c>
      <c r="CW1378" s="1" t="s">
        <v>1198</v>
      </c>
      <c r="CX1378" s="311" t="str">
        <f t="shared" si="1810"/>
        <v>reg</v>
      </c>
      <c r="CY1378" t="s">
        <v>235</v>
      </c>
      <c r="CZ1378">
        <v>2011</v>
      </c>
      <c r="DA1378">
        <v>2090</v>
      </c>
      <c r="DB1378">
        <v>80</v>
      </c>
      <c r="DC1378" t="str">
        <f t="shared" si="1811"/>
        <v>71-100</v>
      </c>
      <c r="DD1378">
        <v>0</v>
      </c>
      <c r="DE1378">
        <v>1</v>
      </c>
      <c r="DF1378">
        <v>1</v>
      </c>
      <c r="DG1378">
        <v>1</v>
      </c>
      <c r="DI1378">
        <f t="shared" si="1812"/>
        <v>3</v>
      </c>
      <c r="DJ1378" t="str">
        <f t="shared" si="1813"/>
        <v>mixedProduct</v>
      </c>
      <c r="DK1378">
        <f t="shared" si="1814"/>
        <v>0</v>
      </c>
      <c r="DL1378" t="str">
        <f t="shared" si="1815"/>
        <v>Energy</v>
      </c>
      <c r="DM1378" t="str">
        <f t="shared" si="1816"/>
        <v>Pulp/Paper</v>
      </c>
      <c r="DN1378" t="str">
        <f t="shared" si="1817"/>
        <v>Timber</v>
      </c>
      <c r="DO1378">
        <v>1</v>
      </c>
      <c r="DP1378">
        <v>0</v>
      </c>
      <c r="DQ1378">
        <v>0</v>
      </c>
      <c r="DR1378">
        <v>0</v>
      </c>
      <c r="DS1378">
        <v>0</v>
      </c>
      <c r="DT1378">
        <f t="shared" si="1818"/>
        <v>1</v>
      </c>
      <c r="DU1378" s="143" t="str">
        <f t="shared" si="1819"/>
        <v>self-calculated DF</v>
      </c>
      <c r="DV1378">
        <v>1</v>
      </c>
      <c r="DW1378">
        <v>1</v>
      </c>
      <c r="DX1378">
        <v>1</v>
      </c>
      <c r="DY1378">
        <v>0</v>
      </c>
      <c r="DZ1378">
        <v>0</v>
      </c>
      <c r="EA1378" s="143">
        <v>0</v>
      </c>
      <c r="EB1378">
        <v>1</v>
      </c>
      <c r="EC1378">
        <v>1</v>
      </c>
      <c r="ED1378">
        <v>0</v>
      </c>
      <c r="EE1378">
        <v>1</v>
      </c>
      <c r="EF1378">
        <v>1</v>
      </c>
      <c r="EG1378">
        <v>1</v>
      </c>
      <c r="EH1378">
        <v>0</v>
      </c>
      <c r="EI1378" s="2">
        <v>0</v>
      </c>
      <c r="EK1378" t="str">
        <f t="shared" si="1794"/>
        <v>Whole sector</v>
      </c>
      <c r="EL1378" t="str">
        <f t="shared" si="1795"/>
        <v/>
      </c>
      <c r="EM1378" s="2" t="str">
        <f t="shared" si="1751"/>
        <v/>
      </c>
      <c r="EP1378" t="b">
        <f>IF(ISNUMBER(BU1378),IF(ABS(BU1378-[1]QC_indicators!$B$2)&gt;3*[1]QC_indicators!$C$2,"C ratio",IF(ISNUMBER(BY1378),IF(ABS(BY1378-[1]QC_indicators!$B$1)&gt;3*[1]QC_indicators!$C$1,"DF","no"))),IF(ISNUMBER(BY1378),IF(ABS(BY1378-[1]QC_indicators!$B$1)&gt;3*[1]QC_indicators!$C$1,"DF","no")))</f>
        <v>0</v>
      </c>
      <c r="ER1378" s="313" t="s">
        <v>349</v>
      </c>
    </row>
    <row r="1379" spans="1:148" ht="15" hidden="1" customHeight="1">
      <c r="A1379" s="1" t="s">
        <v>1101</v>
      </c>
      <c r="B1379" t="s">
        <v>4088</v>
      </c>
      <c r="C1379" t="s">
        <v>4089</v>
      </c>
      <c r="D1379" t="s">
        <v>4090</v>
      </c>
      <c r="E1379" t="s">
        <v>4091</v>
      </c>
      <c r="F1379" t="s">
        <v>4092</v>
      </c>
      <c r="G1379" t="s">
        <v>1107</v>
      </c>
      <c r="H1379" t="s">
        <v>254</v>
      </c>
      <c r="I1379">
        <v>2011</v>
      </c>
      <c r="J1379">
        <v>57</v>
      </c>
      <c r="K1379" t="s">
        <v>4093</v>
      </c>
      <c r="M1379" t="str">
        <f t="shared" si="1755"/>
        <v>Routa_2011</v>
      </c>
      <c r="N1379" s="311" t="s">
        <v>4382</v>
      </c>
      <c r="O1379" s="145" t="s">
        <v>341</v>
      </c>
      <c r="Q1379" s="311" t="s">
        <v>256</v>
      </c>
      <c r="R1379" s="312"/>
      <c r="S1379" s="1" t="s">
        <v>4102</v>
      </c>
      <c r="T1379" t="s">
        <v>1110</v>
      </c>
      <c r="U1379" t="e">
        <f>#REF!</f>
        <v>#REF!</v>
      </c>
      <c r="V1379">
        <v>0</v>
      </c>
      <c r="W1379">
        <v>0</v>
      </c>
      <c r="X1379">
        <v>0</v>
      </c>
      <c r="Y1379">
        <v>0</v>
      </c>
      <c r="Z1379">
        <v>0</v>
      </c>
      <c r="AA1379">
        <v>2</v>
      </c>
      <c r="AB1379">
        <v>1</v>
      </c>
      <c r="AC1379">
        <v>0</v>
      </c>
      <c r="AD1379">
        <v>0</v>
      </c>
      <c r="AE1379">
        <v>0</v>
      </c>
      <c r="AF1379">
        <v>0</v>
      </c>
      <c r="AG1379">
        <v>0</v>
      </c>
      <c r="AH1379">
        <v>0</v>
      </c>
      <c r="AI1379">
        <v>0</v>
      </c>
      <c r="AJ1379">
        <v>0</v>
      </c>
      <c r="AK1379">
        <v>0</v>
      </c>
      <c r="AL1379">
        <v>0</v>
      </c>
      <c r="AM1379">
        <v>0</v>
      </c>
      <c r="AN1379">
        <v>0</v>
      </c>
      <c r="AO1379">
        <v>0</v>
      </c>
      <c r="AP1379">
        <v>0</v>
      </c>
      <c r="AQ1379">
        <v>0</v>
      </c>
      <c r="AR1379">
        <v>0</v>
      </c>
      <c r="AS1379">
        <v>0</v>
      </c>
      <c r="AT1379">
        <v>0</v>
      </c>
      <c r="AU1379">
        <v>0</v>
      </c>
      <c r="AV1379">
        <v>0</v>
      </c>
      <c r="AW1379">
        <v>0</v>
      </c>
      <c r="AX1379" s="141">
        <f t="shared" si="1796"/>
        <v>2</v>
      </c>
      <c r="AY1379" s="141">
        <f t="shared" si="1797"/>
        <v>2</v>
      </c>
      <c r="AZ1379">
        <f t="shared" si="1798"/>
        <v>2</v>
      </c>
      <c r="BA1379">
        <f t="shared" si="1799"/>
        <v>0</v>
      </c>
      <c r="BB1379">
        <f t="shared" si="1800"/>
        <v>0</v>
      </c>
      <c r="BC1379">
        <f t="shared" si="1801"/>
        <v>0</v>
      </c>
      <c r="BD1379">
        <f t="shared" si="1802"/>
        <v>0</v>
      </c>
      <c r="BE1379" t="str" cm="1">
        <f t="array" ref="BE1379">IF(AY1379=1,INDEX($V$7:$AL$7,MATCH(TRUE,INDEX($V1379:$AW1379&lt;&gt;0,),0)),IF(AY1379=0,INDEX($AM$7:$AW$7,MATCH(1,$AM1379:$AW1379,0)),IF(BF1379="Multiple strategies","mixed drivers",IF(BF1379="Supply chain","multiple supply","multiple silviculture"))))</f>
        <v>multiple silviculture</v>
      </c>
      <c r="BF1379" s="2" t="str" cm="1">
        <f t="array" ref="BF1379">IF(COUNTIF(AZ1379:BB1379,"&lt;&gt;0")=1,INDEX($V$4:$AW$4,MATCH(TRUE,INDEX($V1379:$AW1379&lt;&gt;0,),0)),IF(COUNTIF(AZ1379:BB1379,"&lt;&gt;0")=0,INDEX($AM$4:$AW$4,MATCH(1,$AM1379:$AW1379,0)),"Multiple strategies"))</f>
        <v>Silviculture for productivity</v>
      </c>
      <c r="BP1379" s="311" t="s">
        <v>232</v>
      </c>
      <c r="BQ1379" s="311"/>
      <c r="BR1379" t="s">
        <v>2169</v>
      </c>
      <c r="BS1379">
        <v>-200</v>
      </c>
      <c r="BT1379">
        <v>-120</v>
      </c>
      <c r="BU1379" s="144">
        <v>0.6</v>
      </c>
      <c r="BV1379">
        <v>80</v>
      </c>
      <c r="BX1379">
        <f t="shared" si="1803"/>
        <v>80000</v>
      </c>
      <c r="BY1379" t="str">
        <f t="shared" si="1750"/>
        <v/>
      </c>
      <c r="BZ1379">
        <v>0</v>
      </c>
      <c r="CA1379">
        <v>0</v>
      </c>
      <c r="CB1379">
        <v>0</v>
      </c>
      <c r="CC1379">
        <v>1</v>
      </c>
      <c r="CD1379">
        <v>0</v>
      </c>
      <c r="CE1379">
        <v>0</v>
      </c>
      <c r="CF1379">
        <v>0</v>
      </c>
      <c r="CG1379">
        <v>0</v>
      </c>
      <c r="CH1379">
        <v>0</v>
      </c>
      <c r="CI1379">
        <v>0</v>
      </c>
      <c r="CJ1379">
        <v>0</v>
      </c>
      <c r="CK1379">
        <v>0</v>
      </c>
      <c r="CL1379">
        <v>0</v>
      </c>
      <c r="CM1379">
        <v>0</v>
      </c>
      <c r="CN1379" t="str">
        <f t="shared" si="1804"/>
        <v>refOK</v>
      </c>
      <c r="CO1379"/>
      <c r="CP1379"/>
      <c r="CQ1379"/>
      <c r="CR1379">
        <f t="shared" si="1805"/>
        <v>-200</v>
      </c>
      <c r="CS1379">
        <f t="shared" si="1806"/>
        <v>-120</v>
      </c>
      <c r="CT1379">
        <f t="shared" si="1807"/>
        <v>80000</v>
      </c>
      <c r="CU1379" t="str">
        <f t="shared" si="1808"/>
        <v/>
      </c>
      <c r="CV1379" s="2">
        <f t="shared" si="1809"/>
        <v>0.4</v>
      </c>
      <c r="CW1379" s="1" t="s">
        <v>1198</v>
      </c>
      <c r="CX1379" s="311" t="str">
        <f t="shared" si="1810"/>
        <v>reg</v>
      </c>
      <c r="CY1379" t="s">
        <v>235</v>
      </c>
      <c r="CZ1379">
        <v>2011</v>
      </c>
      <c r="DA1379">
        <v>2090</v>
      </c>
      <c r="DB1379">
        <v>80</v>
      </c>
      <c r="DC1379" t="str">
        <f t="shared" si="1811"/>
        <v>71-100</v>
      </c>
      <c r="DD1379">
        <v>0</v>
      </c>
      <c r="DE1379">
        <v>1</v>
      </c>
      <c r="DF1379">
        <v>1</v>
      </c>
      <c r="DG1379">
        <v>1</v>
      </c>
      <c r="DI1379">
        <f t="shared" si="1812"/>
        <v>3</v>
      </c>
      <c r="DJ1379" t="str">
        <f t="shared" si="1813"/>
        <v>mixedProduct</v>
      </c>
      <c r="DK1379">
        <f t="shared" si="1814"/>
        <v>0</v>
      </c>
      <c r="DL1379" t="str">
        <f t="shared" si="1815"/>
        <v>Energy</v>
      </c>
      <c r="DM1379" t="str">
        <f t="shared" si="1816"/>
        <v>Pulp/Paper</v>
      </c>
      <c r="DN1379" t="str">
        <f t="shared" si="1817"/>
        <v>Timber</v>
      </c>
      <c r="DO1379">
        <v>1</v>
      </c>
      <c r="DP1379">
        <v>0</v>
      </c>
      <c r="DQ1379">
        <v>0</v>
      </c>
      <c r="DR1379">
        <v>0</v>
      </c>
      <c r="DS1379">
        <v>0</v>
      </c>
      <c r="DT1379">
        <f t="shared" si="1818"/>
        <v>1</v>
      </c>
      <c r="DU1379" s="143" t="str">
        <f t="shared" si="1819"/>
        <v>self-calculated DF</v>
      </c>
      <c r="DV1379">
        <v>1</v>
      </c>
      <c r="DW1379">
        <v>1</v>
      </c>
      <c r="DX1379">
        <v>1</v>
      </c>
      <c r="DY1379">
        <v>0</v>
      </c>
      <c r="DZ1379">
        <v>0</v>
      </c>
      <c r="EA1379" s="143">
        <v>0</v>
      </c>
      <c r="EB1379">
        <v>1</v>
      </c>
      <c r="EC1379">
        <v>1</v>
      </c>
      <c r="ED1379">
        <v>0</v>
      </c>
      <c r="EE1379">
        <v>1</v>
      </c>
      <c r="EF1379">
        <v>1</v>
      </c>
      <c r="EG1379">
        <v>1</v>
      </c>
      <c r="EH1379">
        <v>0</v>
      </c>
      <c r="EI1379" s="2">
        <v>0</v>
      </c>
      <c r="EK1379" t="str">
        <f t="shared" si="1794"/>
        <v>Whole sector</v>
      </c>
      <c r="EL1379" t="str">
        <f t="shared" si="1795"/>
        <v/>
      </c>
      <c r="EM1379" s="2" t="str">
        <f t="shared" si="1751"/>
        <v/>
      </c>
      <c r="EP1379" t="b">
        <f>IF(ISNUMBER(BU1379),IF(ABS(BU1379-[1]QC_indicators!$B$2)&gt;3*[1]QC_indicators!$C$2,"C ratio",IF(ISNUMBER(BY1379),IF(ABS(BY1379-[1]QC_indicators!$B$1)&gt;3*[1]QC_indicators!$C$1,"DF","no"))),IF(ISNUMBER(BY1379),IF(ABS(BY1379-[1]QC_indicators!$B$1)&gt;3*[1]QC_indicators!$C$1,"DF","no")))</f>
        <v>0</v>
      </c>
      <c r="ER1379" s="313" t="s">
        <v>349</v>
      </c>
    </row>
    <row r="1380" spans="1:148" ht="15" hidden="1" customHeight="1">
      <c r="A1380" s="1" t="s">
        <v>1101</v>
      </c>
      <c r="B1380" t="s">
        <v>4088</v>
      </c>
      <c r="C1380" t="s">
        <v>4089</v>
      </c>
      <c r="D1380" t="s">
        <v>4090</v>
      </c>
      <c r="E1380" t="s">
        <v>4091</v>
      </c>
      <c r="F1380" t="s">
        <v>4092</v>
      </c>
      <c r="G1380" t="s">
        <v>1107</v>
      </c>
      <c r="H1380" t="s">
        <v>254</v>
      </c>
      <c r="I1380">
        <v>2011</v>
      </c>
      <c r="J1380">
        <v>57</v>
      </c>
      <c r="K1380" t="s">
        <v>4093</v>
      </c>
      <c r="M1380" t="str">
        <f t="shared" si="1755"/>
        <v>Routa_2011</v>
      </c>
      <c r="N1380" s="311" t="s">
        <v>4382</v>
      </c>
      <c r="O1380" s="145" t="s">
        <v>341</v>
      </c>
      <c r="Q1380" s="311" t="s">
        <v>256</v>
      </c>
      <c r="R1380" s="312"/>
      <c r="S1380" s="1" t="s">
        <v>4103</v>
      </c>
      <c r="T1380" t="s">
        <v>1110</v>
      </c>
      <c r="U1380" t="e">
        <f>#REF!</f>
        <v>#REF!</v>
      </c>
      <c r="V1380">
        <v>0</v>
      </c>
      <c r="W1380">
        <v>0</v>
      </c>
      <c r="X1380">
        <v>0</v>
      </c>
      <c r="Y1380">
        <v>0</v>
      </c>
      <c r="Z1380">
        <v>0</v>
      </c>
      <c r="AA1380">
        <v>2</v>
      </c>
      <c r="AB1380">
        <v>1</v>
      </c>
      <c r="AC1380">
        <v>0</v>
      </c>
      <c r="AD1380">
        <v>0</v>
      </c>
      <c r="AE1380">
        <v>0</v>
      </c>
      <c r="AF1380">
        <v>0</v>
      </c>
      <c r="AG1380">
        <v>0</v>
      </c>
      <c r="AH1380">
        <v>0</v>
      </c>
      <c r="AI1380">
        <v>0</v>
      </c>
      <c r="AJ1380">
        <v>0</v>
      </c>
      <c r="AK1380">
        <v>0</v>
      </c>
      <c r="AL1380">
        <v>0</v>
      </c>
      <c r="AM1380">
        <v>0</v>
      </c>
      <c r="AN1380">
        <v>0</v>
      </c>
      <c r="AO1380">
        <v>0</v>
      </c>
      <c r="AP1380">
        <v>0</v>
      </c>
      <c r="AQ1380">
        <v>0</v>
      </c>
      <c r="AR1380">
        <v>0</v>
      </c>
      <c r="AS1380">
        <v>0</v>
      </c>
      <c r="AT1380">
        <v>0</v>
      </c>
      <c r="AU1380">
        <v>0</v>
      </c>
      <c r="AV1380">
        <v>0</v>
      </c>
      <c r="AW1380">
        <v>0</v>
      </c>
      <c r="AX1380" s="141">
        <f t="shared" si="1796"/>
        <v>2</v>
      </c>
      <c r="AY1380" s="141">
        <f t="shared" si="1797"/>
        <v>2</v>
      </c>
      <c r="AZ1380">
        <f t="shared" si="1798"/>
        <v>2</v>
      </c>
      <c r="BA1380">
        <f t="shared" si="1799"/>
        <v>0</v>
      </c>
      <c r="BB1380">
        <f t="shared" si="1800"/>
        <v>0</v>
      </c>
      <c r="BC1380">
        <f t="shared" si="1801"/>
        <v>0</v>
      </c>
      <c r="BD1380">
        <f t="shared" si="1802"/>
        <v>0</v>
      </c>
      <c r="BE1380" t="str" cm="1">
        <f t="array" ref="BE1380">IF(AY1380=1,INDEX($V$7:$AL$7,MATCH(TRUE,INDEX($V1380:$AW1380&lt;&gt;0,),0)),IF(AY1380=0,INDEX($AM$7:$AW$7,MATCH(1,$AM1380:$AW1380,0)),IF(BF1380="Multiple strategies","mixed drivers",IF(BF1380="Supply chain","multiple supply","multiple silviculture"))))</f>
        <v>multiple silviculture</v>
      </c>
      <c r="BF1380" s="2" t="str" cm="1">
        <f t="array" ref="BF1380">IF(COUNTIF(AZ1380:BB1380,"&lt;&gt;0")=1,INDEX($V$4:$AW$4,MATCH(TRUE,INDEX($V1380:$AW1380&lt;&gt;0,),0)),IF(COUNTIF(AZ1380:BB1380,"&lt;&gt;0")=0,INDEX($AM$4:$AW$4,MATCH(1,$AM1380:$AW1380,0)),"Multiple strategies"))</f>
        <v>Silviculture for productivity</v>
      </c>
      <c r="BP1380" s="311" t="s">
        <v>232</v>
      </c>
      <c r="BQ1380" s="311"/>
      <c r="BR1380" t="s">
        <v>2169</v>
      </c>
      <c r="BS1380">
        <v>-200</v>
      </c>
      <c r="BT1380">
        <v>-120</v>
      </c>
      <c r="BU1380" s="144">
        <v>0.6</v>
      </c>
      <c r="BV1380">
        <v>80</v>
      </c>
      <c r="BX1380">
        <f t="shared" si="1803"/>
        <v>80000</v>
      </c>
      <c r="BY1380" t="str">
        <f t="shared" si="1750"/>
        <v/>
      </c>
      <c r="BZ1380">
        <v>0</v>
      </c>
      <c r="CA1380">
        <v>0</v>
      </c>
      <c r="CB1380">
        <v>0</v>
      </c>
      <c r="CC1380">
        <v>1</v>
      </c>
      <c r="CD1380">
        <v>0</v>
      </c>
      <c r="CE1380">
        <v>0</v>
      </c>
      <c r="CF1380">
        <v>0</v>
      </c>
      <c r="CG1380">
        <v>0</v>
      </c>
      <c r="CH1380">
        <v>0</v>
      </c>
      <c r="CI1380">
        <v>0</v>
      </c>
      <c r="CJ1380">
        <v>0</v>
      </c>
      <c r="CK1380">
        <v>0</v>
      </c>
      <c r="CL1380">
        <v>0</v>
      </c>
      <c r="CM1380">
        <v>0</v>
      </c>
      <c r="CN1380" t="str">
        <f t="shared" si="1804"/>
        <v>refOK</v>
      </c>
      <c r="CO1380"/>
      <c r="CP1380"/>
      <c r="CQ1380"/>
      <c r="CR1380">
        <f t="shared" si="1805"/>
        <v>-200</v>
      </c>
      <c r="CS1380">
        <f t="shared" si="1806"/>
        <v>-120</v>
      </c>
      <c r="CT1380">
        <f t="shared" si="1807"/>
        <v>80000</v>
      </c>
      <c r="CU1380" t="str">
        <f t="shared" si="1808"/>
        <v/>
      </c>
      <c r="CV1380" s="2">
        <f t="shared" si="1809"/>
        <v>0.4</v>
      </c>
      <c r="CW1380" s="1" t="s">
        <v>1198</v>
      </c>
      <c r="CX1380" s="311" t="str">
        <f t="shared" si="1810"/>
        <v>reg</v>
      </c>
      <c r="CY1380" t="s">
        <v>235</v>
      </c>
      <c r="CZ1380">
        <v>2011</v>
      </c>
      <c r="DA1380">
        <v>2090</v>
      </c>
      <c r="DB1380">
        <v>80</v>
      </c>
      <c r="DC1380" t="str">
        <f t="shared" si="1811"/>
        <v>71-100</v>
      </c>
      <c r="DD1380">
        <v>0</v>
      </c>
      <c r="DE1380">
        <v>1</v>
      </c>
      <c r="DF1380">
        <v>1</v>
      </c>
      <c r="DG1380">
        <v>1</v>
      </c>
      <c r="DI1380">
        <f t="shared" si="1812"/>
        <v>3</v>
      </c>
      <c r="DJ1380" t="str">
        <f t="shared" si="1813"/>
        <v>mixedProduct</v>
      </c>
      <c r="DK1380">
        <f t="shared" si="1814"/>
        <v>0</v>
      </c>
      <c r="DL1380" t="str">
        <f t="shared" si="1815"/>
        <v>Energy</v>
      </c>
      <c r="DM1380" t="str">
        <f t="shared" si="1816"/>
        <v>Pulp/Paper</v>
      </c>
      <c r="DN1380" t="str">
        <f t="shared" si="1817"/>
        <v>Timber</v>
      </c>
      <c r="DO1380">
        <v>1</v>
      </c>
      <c r="DP1380">
        <v>0</v>
      </c>
      <c r="DQ1380">
        <v>0</v>
      </c>
      <c r="DR1380">
        <v>0</v>
      </c>
      <c r="DS1380">
        <v>0</v>
      </c>
      <c r="DT1380">
        <f t="shared" si="1818"/>
        <v>1</v>
      </c>
      <c r="DU1380" s="143" t="str">
        <f t="shared" si="1819"/>
        <v>self-calculated DF</v>
      </c>
      <c r="DV1380">
        <v>1</v>
      </c>
      <c r="DW1380">
        <v>1</v>
      </c>
      <c r="DX1380">
        <v>1</v>
      </c>
      <c r="DY1380">
        <v>0</v>
      </c>
      <c r="DZ1380">
        <v>0</v>
      </c>
      <c r="EA1380" s="143">
        <v>0</v>
      </c>
      <c r="EB1380">
        <v>1</v>
      </c>
      <c r="EC1380">
        <v>1</v>
      </c>
      <c r="ED1380">
        <v>0</v>
      </c>
      <c r="EE1380">
        <v>1</v>
      </c>
      <c r="EF1380">
        <v>1</v>
      </c>
      <c r="EG1380">
        <v>1</v>
      </c>
      <c r="EH1380">
        <v>0</v>
      </c>
      <c r="EI1380" s="2">
        <v>0</v>
      </c>
      <c r="EK1380" t="str">
        <f t="shared" si="1794"/>
        <v>Whole sector</v>
      </c>
      <c r="EL1380" t="str">
        <f t="shared" si="1795"/>
        <v/>
      </c>
      <c r="EM1380" s="2" t="str">
        <f t="shared" si="1751"/>
        <v/>
      </c>
      <c r="EP1380" t="b">
        <f>IF(ISNUMBER(BU1380),IF(ABS(BU1380-[1]QC_indicators!$B$2)&gt;3*[1]QC_indicators!$C$2,"C ratio",IF(ISNUMBER(BY1380),IF(ABS(BY1380-[1]QC_indicators!$B$1)&gt;3*[1]QC_indicators!$C$1,"DF","no"))),IF(ISNUMBER(BY1380),IF(ABS(BY1380-[1]QC_indicators!$B$1)&gt;3*[1]QC_indicators!$C$1,"DF","no")))</f>
        <v>0</v>
      </c>
      <c r="ER1380" s="313" t="s">
        <v>349</v>
      </c>
    </row>
    <row r="1381" spans="1:148" ht="15" hidden="1" customHeight="1">
      <c r="A1381" s="1" t="s">
        <v>1101</v>
      </c>
      <c r="B1381" t="s">
        <v>4088</v>
      </c>
      <c r="C1381" t="s">
        <v>4089</v>
      </c>
      <c r="D1381" t="s">
        <v>4090</v>
      </c>
      <c r="E1381" t="s">
        <v>4091</v>
      </c>
      <c r="F1381" t="s">
        <v>4092</v>
      </c>
      <c r="G1381" t="s">
        <v>1107</v>
      </c>
      <c r="H1381" t="s">
        <v>254</v>
      </c>
      <c r="I1381">
        <v>2011</v>
      </c>
      <c r="J1381">
        <v>57</v>
      </c>
      <c r="K1381" t="s">
        <v>4093</v>
      </c>
      <c r="M1381" t="str">
        <f t="shared" si="1755"/>
        <v>Routa_2011</v>
      </c>
      <c r="N1381" s="311" t="s">
        <v>4382</v>
      </c>
      <c r="O1381" s="145" t="s">
        <v>341</v>
      </c>
      <c r="Q1381" s="311" t="s">
        <v>256</v>
      </c>
      <c r="R1381" s="312"/>
      <c r="S1381" s="1" t="s">
        <v>4104</v>
      </c>
      <c r="T1381" t="s">
        <v>1110</v>
      </c>
      <c r="U1381" t="e">
        <f>#REF!</f>
        <v>#REF!</v>
      </c>
      <c r="V1381">
        <v>0</v>
      </c>
      <c r="W1381">
        <v>0</v>
      </c>
      <c r="X1381">
        <v>0</v>
      </c>
      <c r="Y1381">
        <v>0</v>
      </c>
      <c r="Z1381">
        <v>0</v>
      </c>
      <c r="AA1381">
        <v>2</v>
      </c>
      <c r="AB1381">
        <v>1</v>
      </c>
      <c r="AC1381">
        <v>0</v>
      </c>
      <c r="AD1381">
        <v>0</v>
      </c>
      <c r="AE1381">
        <v>0</v>
      </c>
      <c r="AF1381">
        <v>0</v>
      </c>
      <c r="AG1381">
        <v>0</v>
      </c>
      <c r="AH1381">
        <v>0</v>
      </c>
      <c r="AI1381">
        <v>0</v>
      </c>
      <c r="AJ1381">
        <v>0</v>
      </c>
      <c r="AK1381">
        <v>0</v>
      </c>
      <c r="AL1381">
        <v>0</v>
      </c>
      <c r="AM1381">
        <v>0</v>
      </c>
      <c r="AN1381">
        <v>0</v>
      </c>
      <c r="AO1381">
        <v>0</v>
      </c>
      <c r="AP1381">
        <v>0</v>
      </c>
      <c r="AQ1381">
        <v>0</v>
      </c>
      <c r="AR1381">
        <v>0</v>
      </c>
      <c r="AS1381">
        <v>0</v>
      </c>
      <c r="AT1381">
        <v>0</v>
      </c>
      <c r="AU1381">
        <v>0</v>
      </c>
      <c r="AV1381">
        <v>0</v>
      </c>
      <c r="AW1381">
        <v>0</v>
      </c>
      <c r="AX1381" s="141">
        <f t="shared" si="1796"/>
        <v>2</v>
      </c>
      <c r="AY1381" s="141">
        <f t="shared" si="1797"/>
        <v>2</v>
      </c>
      <c r="AZ1381">
        <f t="shared" si="1798"/>
        <v>2</v>
      </c>
      <c r="BA1381">
        <f t="shared" si="1799"/>
        <v>0</v>
      </c>
      <c r="BB1381">
        <f t="shared" si="1800"/>
        <v>0</v>
      </c>
      <c r="BC1381">
        <f t="shared" si="1801"/>
        <v>0</v>
      </c>
      <c r="BD1381">
        <f t="shared" si="1802"/>
        <v>0</v>
      </c>
      <c r="BE1381" t="str" cm="1">
        <f t="array" ref="BE1381">IF(AY1381=1,INDEX($V$7:$AL$7,MATCH(TRUE,INDEX($V1381:$AW1381&lt;&gt;0,),0)),IF(AY1381=0,INDEX($AM$7:$AW$7,MATCH(1,$AM1381:$AW1381,0)),IF(BF1381="Multiple strategies","mixed drivers",IF(BF1381="Supply chain","multiple supply","multiple silviculture"))))</f>
        <v>multiple silviculture</v>
      </c>
      <c r="BF1381" s="2" t="str" cm="1">
        <f t="array" ref="BF1381">IF(COUNTIF(AZ1381:BB1381,"&lt;&gt;0")=1,INDEX($V$4:$AW$4,MATCH(TRUE,INDEX($V1381:$AW1381&lt;&gt;0,),0)),IF(COUNTIF(AZ1381:BB1381,"&lt;&gt;0")=0,INDEX($AM$4:$AW$4,MATCH(1,$AM1381:$AW1381,0)),"Multiple strategies"))</f>
        <v>Silviculture for productivity</v>
      </c>
      <c r="BP1381" s="311" t="s">
        <v>232</v>
      </c>
      <c r="BQ1381" s="311"/>
      <c r="BR1381" t="s">
        <v>2169</v>
      </c>
      <c r="BS1381">
        <v>-200</v>
      </c>
      <c r="BT1381">
        <v>-121</v>
      </c>
      <c r="BU1381" s="144">
        <v>0.60499999999999998</v>
      </c>
      <c r="BV1381">
        <v>79</v>
      </c>
      <c r="BX1381">
        <f t="shared" si="1803"/>
        <v>79000</v>
      </c>
      <c r="BY1381" t="str">
        <f t="shared" si="1750"/>
        <v/>
      </c>
      <c r="BZ1381">
        <v>0</v>
      </c>
      <c r="CA1381">
        <v>0</v>
      </c>
      <c r="CB1381">
        <v>0</v>
      </c>
      <c r="CC1381">
        <v>1</v>
      </c>
      <c r="CD1381">
        <v>0</v>
      </c>
      <c r="CE1381">
        <v>0</v>
      </c>
      <c r="CF1381">
        <v>0</v>
      </c>
      <c r="CG1381">
        <v>0</v>
      </c>
      <c r="CH1381">
        <v>0</v>
      </c>
      <c r="CI1381">
        <v>0</v>
      </c>
      <c r="CJ1381">
        <v>0</v>
      </c>
      <c r="CK1381">
        <v>0</v>
      </c>
      <c r="CL1381">
        <v>0</v>
      </c>
      <c r="CM1381">
        <v>0</v>
      </c>
      <c r="CN1381" t="str">
        <f t="shared" si="1804"/>
        <v>refOK</v>
      </c>
      <c r="CO1381"/>
      <c r="CP1381"/>
      <c r="CQ1381"/>
      <c r="CR1381">
        <f t="shared" si="1805"/>
        <v>-200</v>
      </c>
      <c r="CS1381">
        <f t="shared" si="1806"/>
        <v>-121</v>
      </c>
      <c r="CT1381">
        <f t="shared" si="1807"/>
        <v>79000</v>
      </c>
      <c r="CU1381" t="str">
        <f t="shared" si="1808"/>
        <v/>
      </c>
      <c r="CV1381" s="2">
        <f t="shared" si="1809"/>
        <v>0.39500000000000002</v>
      </c>
      <c r="CW1381" s="1" t="s">
        <v>1198</v>
      </c>
      <c r="CX1381" s="311" t="str">
        <f t="shared" si="1810"/>
        <v>reg</v>
      </c>
      <c r="CY1381" t="s">
        <v>235</v>
      </c>
      <c r="CZ1381">
        <v>2011</v>
      </c>
      <c r="DA1381">
        <v>2090</v>
      </c>
      <c r="DB1381">
        <v>80</v>
      </c>
      <c r="DC1381" t="str">
        <f t="shared" si="1811"/>
        <v>71-100</v>
      </c>
      <c r="DD1381">
        <v>0</v>
      </c>
      <c r="DE1381">
        <v>1</v>
      </c>
      <c r="DF1381">
        <v>1</v>
      </c>
      <c r="DG1381">
        <v>1</v>
      </c>
      <c r="DI1381">
        <f t="shared" si="1812"/>
        <v>3</v>
      </c>
      <c r="DJ1381" t="str">
        <f t="shared" si="1813"/>
        <v>mixedProduct</v>
      </c>
      <c r="DK1381">
        <f t="shared" si="1814"/>
        <v>0</v>
      </c>
      <c r="DL1381" t="str">
        <f t="shared" si="1815"/>
        <v>Energy</v>
      </c>
      <c r="DM1381" t="str">
        <f t="shared" si="1816"/>
        <v>Pulp/Paper</v>
      </c>
      <c r="DN1381" t="str">
        <f t="shared" si="1817"/>
        <v>Timber</v>
      </c>
      <c r="DO1381">
        <v>1</v>
      </c>
      <c r="DP1381">
        <v>0</v>
      </c>
      <c r="DQ1381">
        <v>0</v>
      </c>
      <c r="DR1381">
        <v>0</v>
      </c>
      <c r="DS1381">
        <v>0</v>
      </c>
      <c r="DT1381">
        <f t="shared" si="1818"/>
        <v>1</v>
      </c>
      <c r="DU1381" s="143" t="str">
        <f t="shared" si="1819"/>
        <v>self-calculated DF</v>
      </c>
      <c r="DV1381">
        <v>1</v>
      </c>
      <c r="DW1381">
        <v>1</v>
      </c>
      <c r="DX1381">
        <v>1</v>
      </c>
      <c r="DY1381">
        <v>0</v>
      </c>
      <c r="DZ1381">
        <v>0</v>
      </c>
      <c r="EA1381" s="143">
        <v>0</v>
      </c>
      <c r="EB1381">
        <v>1</v>
      </c>
      <c r="EC1381">
        <v>1</v>
      </c>
      <c r="ED1381">
        <v>0</v>
      </c>
      <c r="EE1381">
        <v>1</v>
      </c>
      <c r="EF1381">
        <v>1</v>
      </c>
      <c r="EG1381">
        <v>1</v>
      </c>
      <c r="EH1381">
        <v>0</v>
      </c>
      <c r="EI1381" s="2">
        <v>0</v>
      </c>
      <c r="EK1381" t="str">
        <f t="shared" si="1794"/>
        <v>Whole sector</v>
      </c>
      <c r="EL1381" t="str">
        <f t="shared" si="1795"/>
        <v/>
      </c>
      <c r="EM1381" s="2" t="str">
        <f t="shared" si="1751"/>
        <v/>
      </c>
      <c r="EP1381" t="b">
        <f>IF(ISNUMBER(BU1381),IF(ABS(BU1381-[1]QC_indicators!$B$2)&gt;3*[1]QC_indicators!$C$2,"C ratio",IF(ISNUMBER(BY1381),IF(ABS(BY1381-[1]QC_indicators!$B$1)&gt;3*[1]QC_indicators!$C$1,"DF","no"))),IF(ISNUMBER(BY1381),IF(ABS(BY1381-[1]QC_indicators!$B$1)&gt;3*[1]QC_indicators!$C$1,"DF","no")))</f>
        <v>0</v>
      </c>
      <c r="ER1381" s="313" t="s">
        <v>349</v>
      </c>
    </row>
    <row r="1382" spans="1:148" ht="15" hidden="1" customHeight="1">
      <c r="A1382" s="1" t="s">
        <v>1101</v>
      </c>
      <c r="B1382" t="s">
        <v>4088</v>
      </c>
      <c r="C1382" t="s">
        <v>4089</v>
      </c>
      <c r="D1382" t="s">
        <v>4090</v>
      </c>
      <c r="E1382" t="s">
        <v>4091</v>
      </c>
      <c r="F1382" t="s">
        <v>4092</v>
      </c>
      <c r="G1382" t="s">
        <v>1107</v>
      </c>
      <c r="H1382" t="s">
        <v>254</v>
      </c>
      <c r="I1382">
        <v>2011</v>
      </c>
      <c r="J1382">
        <v>57</v>
      </c>
      <c r="K1382" t="s">
        <v>4093</v>
      </c>
      <c r="M1382" t="str">
        <f t="shared" si="1755"/>
        <v>Routa_2011</v>
      </c>
      <c r="N1382" s="311" t="s">
        <v>4382</v>
      </c>
      <c r="O1382" s="145" t="s">
        <v>341</v>
      </c>
      <c r="Q1382" s="311" t="s">
        <v>256</v>
      </c>
      <c r="R1382" s="312"/>
      <c r="S1382" s="1" t="s">
        <v>4105</v>
      </c>
      <c r="T1382" t="s">
        <v>1110</v>
      </c>
      <c r="U1382" t="e">
        <f>#REF!</f>
        <v>#REF!</v>
      </c>
      <c r="V1382">
        <v>0</v>
      </c>
      <c r="W1382">
        <v>0</v>
      </c>
      <c r="X1382">
        <v>0</v>
      </c>
      <c r="Y1382">
        <v>0</v>
      </c>
      <c r="Z1382">
        <v>0</v>
      </c>
      <c r="AA1382">
        <v>2</v>
      </c>
      <c r="AB1382">
        <v>1</v>
      </c>
      <c r="AC1382">
        <v>0</v>
      </c>
      <c r="AD1382">
        <v>0</v>
      </c>
      <c r="AE1382">
        <v>0</v>
      </c>
      <c r="AF1382">
        <v>0</v>
      </c>
      <c r="AG1382">
        <v>0</v>
      </c>
      <c r="AH1382">
        <v>0</v>
      </c>
      <c r="AI1382">
        <v>0</v>
      </c>
      <c r="AJ1382">
        <v>0</v>
      </c>
      <c r="AK1382">
        <v>0</v>
      </c>
      <c r="AL1382">
        <v>0</v>
      </c>
      <c r="AM1382">
        <v>0</v>
      </c>
      <c r="AN1382">
        <v>0</v>
      </c>
      <c r="AO1382">
        <v>0</v>
      </c>
      <c r="AP1382">
        <v>0</v>
      </c>
      <c r="AQ1382">
        <v>0</v>
      </c>
      <c r="AR1382">
        <v>0</v>
      </c>
      <c r="AS1382">
        <v>0</v>
      </c>
      <c r="AT1382">
        <v>0</v>
      </c>
      <c r="AU1382">
        <v>0</v>
      </c>
      <c r="AV1382">
        <v>0</v>
      </c>
      <c r="AW1382">
        <v>0</v>
      </c>
      <c r="AX1382" s="141">
        <f t="shared" si="1796"/>
        <v>2</v>
      </c>
      <c r="AY1382" s="141">
        <f t="shared" si="1797"/>
        <v>2</v>
      </c>
      <c r="AZ1382">
        <f t="shared" si="1798"/>
        <v>2</v>
      </c>
      <c r="BA1382">
        <f t="shared" si="1799"/>
        <v>0</v>
      </c>
      <c r="BB1382">
        <f t="shared" si="1800"/>
        <v>0</v>
      </c>
      <c r="BC1382">
        <f t="shared" si="1801"/>
        <v>0</v>
      </c>
      <c r="BD1382">
        <f t="shared" si="1802"/>
        <v>0</v>
      </c>
      <c r="BE1382" t="str" cm="1">
        <f t="array" ref="BE1382">IF(AY1382=1,INDEX($V$7:$AL$7,MATCH(TRUE,INDEX($V1382:$AW1382&lt;&gt;0,),0)),IF(AY1382=0,INDEX($AM$7:$AW$7,MATCH(1,$AM1382:$AW1382,0)),IF(BF1382="Multiple strategies","mixed drivers",IF(BF1382="Supply chain","multiple supply","multiple silviculture"))))</f>
        <v>multiple silviculture</v>
      </c>
      <c r="BF1382" s="2" t="str" cm="1">
        <f t="array" ref="BF1382">IF(COUNTIF(AZ1382:BB1382,"&lt;&gt;0")=1,INDEX($V$4:$AW$4,MATCH(TRUE,INDEX($V1382:$AW1382&lt;&gt;0,),0)),IF(COUNTIF(AZ1382:BB1382,"&lt;&gt;0")=0,INDEX($AM$4:$AW$4,MATCH(1,$AM1382:$AW1382,0)),"Multiple strategies"))</f>
        <v>Silviculture for productivity</v>
      </c>
      <c r="BP1382" s="311" t="s">
        <v>232</v>
      </c>
      <c r="BQ1382" s="311"/>
      <c r="BR1382" t="s">
        <v>2169</v>
      </c>
      <c r="BS1382">
        <v>-200</v>
      </c>
      <c r="BT1382">
        <v>-124</v>
      </c>
      <c r="BU1382" s="144">
        <v>0.62</v>
      </c>
      <c r="BV1382">
        <v>76</v>
      </c>
      <c r="BX1382">
        <f t="shared" si="1803"/>
        <v>76000</v>
      </c>
      <c r="BY1382" t="str">
        <f t="shared" si="1750"/>
        <v/>
      </c>
      <c r="BZ1382">
        <v>0</v>
      </c>
      <c r="CA1382">
        <v>0</v>
      </c>
      <c r="CB1382">
        <v>0</v>
      </c>
      <c r="CC1382">
        <v>1</v>
      </c>
      <c r="CD1382">
        <v>0</v>
      </c>
      <c r="CE1382">
        <v>0</v>
      </c>
      <c r="CF1382">
        <v>0</v>
      </c>
      <c r="CG1382">
        <v>0</v>
      </c>
      <c r="CH1382">
        <v>0</v>
      </c>
      <c r="CI1382">
        <v>0</v>
      </c>
      <c r="CJ1382">
        <v>0</v>
      </c>
      <c r="CK1382">
        <v>0</v>
      </c>
      <c r="CL1382">
        <v>0</v>
      </c>
      <c r="CM1382">
        <v>0</v>
      </c>
      <c r="CN1382" t="str">
        <f t="shared" si="1804"/>
        <v>refOK</v>
      </c>
      <c r="CO1382"/>
      <c r="CP1382"/>
      <c r="CQ1382"/>
      <c r="CR1382">
        <f t="shared" si="1805"/>
        <v>-200</v>
      </c>
      <c r="CS1382">
        <f t="shared" si="1806"/>
        <v>-124</v>
      </c>
      <c r="CT1382">
        <f t="shared" si="1807"/>
        <v>76000</v>
      </c>
      <c r="CU1382" t="str">
        <f t="shared" si="1808"/>
        <v/>
      </c>
      <c r="CV1382" s="2">
        <f t="shared" si="1809"/>
        <v>0.38</v>
      </c>
      <c r="CW1382" s="1" t="s">
        <v>1198</v>
      </c>
      <c r="CX1382" s="311" t="str">
        <f t="shared" si="1810"/>
        <v>reg</v>
      </c>
      <c r="CY1382" t="s">
        <v>235</v>
      </c>
      <c r="CZ1382">
        <v>2011</v>
      </c>
      <c r="DA1382">
        <v>2090</v>
      </c>
      <c r="DB1382">
        <v>80</v>
      </c>
      <c r="DC1382" t="str">
        <f t="shared" si="1811"/>
        <v>71-100</v>
      </c>
      <c r="DD1382">
        <v>0</v>
      </c>
      <c r="DE1382">
        <v>1</v>
      </c>
      <c r="DF1382">
        <v>1</v>
      </c>
      <c r="DG1382">
        <v>1</v>
      </c>
      <c r="DI1382">
        <f t="shared" si="1812"/>
        <v>3</v>
      </c>
      <c r="DJ1382" t="str">
        <f t="shared" si="1813"/>
        <v>mixedProduct</v>
      </c>
      <c r="DK1382">
        <f t="shared" si="1814"/>
        <v>0</v>
      </c>
      <c r="DL1382" t="str">
        <f t="shared" si="1815"/>
        <v>Energy</v>
      </c>
      <c r="DM1382" t="str">
        <f t="shared" si="1816"/>
        <v>Pulp/Paper</v>
      </c>
      <c r="DN1382" t="str">
        <f t="shared" si="1817"/>
        <v>Timber</v>
      </c>
      <c r="DO1382">
        <v>1</v>
      </c>
      <c r="DP1382">
        <v>0</v>
      </c>
      <c r="DQ1382">
        <v>0</v>
      </c>
      <c r="DR1382">
        <v>0</v>
      </c>
      <c r="DS1382">
        <v>0</v>
      </c>
      <c r="DT1382">
        <f t="shared" si="1818"/>
        <v>1</v>
      </c>
      <c r="DU1382" s="143" t="str">
        <f t="shared" si="1819"/>
        <v>self-calculated DF</v>
      </c>
      <c r="DV1382">
        <v>1</v>
      </c>
      <c r="DW1382">
        <v>1</v>
      </c>
      <c r="DX1382">
        <v>1</v>
      </c>
      <c r="DY1382">
        <v>0</v>
      </c>
      <c r="DZ1382">
        <v>0</v>
      </c>
      <c r="EA1382" s="143">
        <v>0</v>
      </c>
      <c r="EB1382">
        <v>1</v>
      </c>
      <c r="EC1382">
        <v>1</v>
      </c>
      <c r="ED1382">
        <v>0</v>
      </c>
      <c r="EE1382">
        <v>1</v>
      </c>
      <c r="EF1382">
        <v>1</v>
      </c>
      <c r="EG1382">
        <v>1</v>
      </c>
      <c r="EH1382">
        <v>0</v>
      </c>
      <c r="EI1382" s="2">
        <v>0</v>
      </c>
      <c r="EK1382" t="str">
        <f t="shared" si="1794"/>
        <v>Whole sector</v>
      </c>
      <c r="EL1382" t="str">
        <f t="shared" si="1795"/>
        <v/>
      </c>
      <c r="EM1382" s="2" t="str">
        <f t="shared" si="1751"/>
        <v/>
      </c>
      <c r="EP1382" t="b">
        <f>IF(ISNUMBER(BU1382),IF(ABS(BU1382-[1]QC_indicators!$B$2)&gt;3*[1]QC_indicators!$C$2,"C ratio",IF(ISNUMBER(BY1382),IF(ABS(BY1382-[1]QC_indicators!$B$1)&gt;3*[1]QC_indicators!$C$1,"DF","no"))),IF(ISNUMBER(BY1382),IF(ABS(BY1382-[1]QC_indicators!$B$1)&gt;3*[1]QC_indicators!$C$1,"DF","no")))</f>
        <v>0</v>
      </c>
      <c r="ER1382" s="313" t="s">
        <v>349</v>
      </c>
    </row>
    <row r="1383" spans="1:148" ht="15" hidden="1" customHeight="1">
      <c r="A1383" s="1" t="s">
        <v>1101</v>
      </c>
      <c r="B1383" t="s">
        <v>4088</v>
      </c>
      <c r="C1383" t="s">
        <v>4089</v>
      </c>
      <c r="D1383" t="s">
        <v>4090</v>
      </c>
      <c r="E1383" t="s">
        <v>4091</v>
      </c>
      <c r="F1383" t="s">
        <v>4092</v>
      </c>
      <c r="G1383" t="s">
        <v>1107</v>
      </c>
      <c r="H1383" t="s">
        <v>254</v>
      </c>
      <c r="I1383">
        <v>2011</v>
      </c>
      <c r="J1383">
        <v>57</v>
      </c>
      <c r="K1383" t="s">
        <v>4093</v>
      </c>
      <c r="M1383" t="str">
        <f t="shared" si="1755"/>
        <v>Routa_2011</v>
      </c>
      <c r="N1383" s="311" t="s">
        <v>4382</v>
      </c>
      <c r="O1383" s="145" t="s">
        <v>341</v>
      </c>
      <c r="Q1383" s="311" t="s">
        <v>256</v>
      </c>
      <c r="R1383" s="312"/>
      <c r="S1383" s="1" t="s">
        <v>4106</v>
      </c>
      <c r="T1383" t="s">
        <v>1110</v>
      </c>
      <c r="U1383" t="e">
        <f>#REF!</f>
        <v>#REF!</v>
      </c>
      <c r="V1383">
        <v>0</v>
      </c>
      <c r="W1383">
        <v>0</v>
      </c>
      <c r="X1383">
        <v>0</v>
      </c>
      <c r="Y1383">
        <v>0</v>
      </c>
      <c r="Z1383">
        <v>0</v>
      </c>
      <c r="AA1383">
        <v>2</v>
      </c>
      <c r="AB1383">
        <v>1</v>
      </c>
      <c r="AC1383">
        <v>0</v>
      </c>
      <c r="AD1383">
        <v>0</v>
      </c>
      <c r="AE1383">
        <v>0</v>
      </c>
      <c r="AF1383">
        <v>0</v>
      </c>
      <c r="AG1383">
        <v>0</v>
      </c>
      <c r="AH1383">
        <v>0</v>
      </c>
      <c r="AI1383">
        <v>0</v>
      </c>
      <c r="AJ1383">
        <v>0</v>
      </c>
      <c r="AK1383">
        <v>0</v>
      </c>
      <c r="AL1383">
        <v>0</v>
      </c>
      <c r="AM1383">
        <v>0</v>
      </c>
      <c r="AN1383">
        <v>0</v>
      </c>
      <c r="AO1383">
        <v>0</v>
      </c>
      <c r="AP1383">
        <v>0</v>
      </c>
      <c r="AQ1383">
        <v>0</v>
      </c>
      <c r="AR1383">
        <v>0</v>
      </c>
      <c r="AS1383">
        <v>0</v>
      </c>
      <c r="AT1383">
        <v>0</v>
      </c>
      <c r="AU1383">
        <v>0</v>
      </c>
      <c r="AV1383">
        <v>0</v>
      </c>
      <c r="AW1383">
        <v>0</v>
      </c>
      <c r="AX1383" s="141">
        <f t="shared" si="1796"/>
        <v>2</v>
      </c>
      <c r="AY1383" s="141">
        <f t="shared" si="1797"/>
        <v>2</v>
      </c>
      <c r="AZ1383">
        <f t="shared" si="1798"/>
        <v>2</v>
      </c>
      <c r="BA1383">
        <f t="shared" si="1799"/>
        <v>0</v>
      </c>
      <c r="BB1383">
        <f t="shared" si="1800"/>
        <v>0</v>
      </c>
      <c r="BC1383">
        <f t="shared" si="1801"/>
        <v>0</v>
      </c>
      <c r="BD1383">
        <f t="shared" si="1802"/>
        <v>0</v>
      </c>
      <c r="BE1383" t="str" cm="1">
        <f t="array" ref="BE1383">IF(AY1383=1,INDEX($V$7:$AL$7,MATCH(TRUE,INDEX($V1383:$AW1383&lt;&gt;0,),0)),IF(AY1383=0,INDEX($AM$7:$AW$7,MATCH(1,$AM1383:$AW1383,0)),IF(BF1383="Multiple strategies","mixed drivers",IF(BF1383="Supply chain","multiple supply","multiple silviculture"))))</f>
        <v>multiple silviculture</v>
      </c>
      <c r="BF1383" s="2" t="str" cm="1">
        <f t="array" ref="BF1383">IF(COUNTIF(AZ1383:BB1383,"&lt;&gt;0")=1,INDEX($V$4:$AW$4,MATCH(TRUE,INDEX($V1383:$AW1383&lt;&gt;0,),0)),IF(COUNTIF(AZ1383:BB1383,"&lt;&gt;0")=0,INDEX($AM$4:$AW$4,MATCH(1,$AM1383:$AW1383,0)),"Multiple strategies"))</f>
        <v>Silviculture for productivity</v>
      </c>
      <c r="BP1383" s="311" t="s">
        <v>232</v>
      </c>
      <c r="BQ1383" s="311"/>
      <c r="BR1383" t="s">
        <v>2169</v>
      </c>
      <c r="BS1383">
        <v>-200</v>
      </c>
      <c r="BT1383">
        <v>-126</v>
      </c>
      <c r="BU1383" s="144">
        <v>0.63</v>
      </c>
      <c r="BV1383">
        <v>74</v>
      </c>
      <c r="BX1383">
        <f t="shared" si="1803"/>
        <v>74000</v>
      </c>
      <c r="BY1383" t="str">
        <f t="shared" si="1750"/>
        <v/>
      </c>
      <c r="BZ1383">
        <v>0</v>
      </c>
      <c r="CA1383">
        <v>0</v>
      </c>
      <c r="CB1383">
        <v>0</v>
      </c>
      <c r="CC1383">
        <v>1</v>
      </c>
      <c r="CD1383">
        <v>0</v>
      </c>
      <c r="CE1383">
        <v>0</v>
      </c>
      <c r="CF1383">
        <v>0</v>
      </c>
      <c r="CG1383">
        <v>0</v>
      </c>
      <c r="CH1383">
        <v>0</v>
      </c>
      <c r="CI1383">
        <v>0</v>
      </c>
      <c r="CJ1383">
        <v>0</v>
      </c>
      <c r="CK1383">
        <v>0</v>
      </c>
      <c r="CL1383">
        <v>0</v>
      </c>
      <c r="CM1383">
        <v>0</v>
      </c>
      <c r="CN1383" t="str">
        <f t="shared" si="1804"/>
        <v>refOK</v>
      </c>
      <c r="CO1383"/>
      <c r="CP1383"/>
      <c r="CQ1383"/>
      <c r="CR1383">
        <f t="shared" si="1805"/>
        <v>-200</v>
      </c>
      <c r="CS1383">
        <f t="shared" si="1806"/>
        <v>-126</v>
      </c>
      <c r="CT1383">
        <f t="shared" si="1807"/>
        <v>74000</v>
      </c>
      <c r="CU1383" t="str">
        <f t="shared" si="1808"/>
        <v/>
      </c>
      <c r="CV1383" s="2">
        <f t="shared" si="1809"/>
        <v>0.37</v>
      </c>
      <c r="CW1383" s="1" t="s">
        <v>1198</v>
      </c>
      <c r="CX1383" s="311" t="str">
        <f t="shared" si="1810"/>
        <v>reg</v>
      </c>
      <c r="CY1383" t="s">
        <v>235</v>
      </c>
      <c r="CZ1383">
        <v>2011</v>
      </c>
      <c r="DA1383">
        <v>2090</v>
      </c>
      <c r="DB1383">
        <v>80</v>
      </c>
      <c r="DC1383" t="str">
        <f t="shared" si="1811"/>
        <v>71-100</v>
      </c>
      <c r="DD1383">
        <v>0</v>
      </c>
      <c r="DE1383">
        <v>1</v>
      </c>
      <c r="DF1383">
        <v>1</v>
      </c>
      <c r="DG1383">
        <v>1</v>
      </c>
      <c r="DI1383">
        <f t="shared" si="1812"/>
        <v>3</v>
      </c>
      <c r="DJ1383" t="str">
        <f t="shared" si="1813"/>
        <v>mixedProduct</v>
      </c>
      <c r="DK1383">
        <f t="shared" si="1814"/>
        <v>0</v>
      </c>
      <c r="DL1383" t="str">
        <f t="shared" si="1815"/>
        <v>Energy</v>
      </c>
      <c r="DM1383" t="str">
        <f t="shared" si="1816"/>
        <v>Pulp/Paper</v>
      </c>
      <c r="DN1383" t="str">
        <f t="shared" si="1817"/>
        <v>Timber</v>
      </c>
      <c r="DO1383">
        <v>1</v>
      </c>
      <c r="DP1383">
        <v>0</v>
      </c>
      <c r="DQ1383">
        <v>0</v>
      </c>
      <c r="DR1383">
        <v>0</v>
      </c>
      <c r="DS1383">
        <v>0</v>
      </c>
      <c r="DT1383">
        <f t="shared" si="1818"/>
        <v>1</v>
      </c>
      <c r="DU1383" s="143" t="str">
        <f t="shared" si="1819"/>
        <v>self-calculated DF</v>
      </c>
      <c r="DV1383">
        <v>1</v>
      </c>
      <c r="DW1383">
        <v>1</v>
      </c>
      <c r="DX1383">
        <v>1</v>
      </c>
      <c r="DY1383">
        <v>0</v>
      </c>
      <c r="DZ1383">
        <v>0</v>
      </c>
      <c r="EA1383" s="143">
        <v>0</v>
      </c>
      <c r="EB1383">
        <v>1</v>
      </c>
      <c r="EC1383">
        <v>1</v>
      </c>
      <c r="ED1383">
        <v>0</v>
      </c>
      <c r="EE1383">
        <v>1</v>
      </c>
      <c r="EF1383">
        <v>1</v>
      </c>
      <c r="EG1383">
        <v>1</v>
      </c>
      <c r="EH1383">
        <v>0</v>
      </c>
      <c r="EI1383" s="2">
        <v>0</v>
      </c>
      <c r="EK1383" t="str">
        <f t="shared" si="1794"/>
        <v>Whole sector</v>
      </c>
      <c r="EL1383" t="str">
        <f t="shared" si="1795"/>
        <v/>
      </c>
      <c r="EM1383" s="2" t="str">
        <f t="shared" si="1751"/>
        <v/>
      </c>
      <c r="EP1383" t="b">
        <f>IF(ISNUMBER(BU1383),IF(ABS(BU1383-[1]QC_indicators!$B$2)&gt;3*[1]QC_indicators!$C$2,"C ratio",IF(ISNUMBER(BY1383),IF(ABS(BY1383-[1]QC_indicators!$B$1)&gt;3*[1]QC_indicators!$C$1,"DF","no"))),IF(ISNUMBER(BY1383),IF(ABS(BY1383-[1]QC_indicators!$B$1)&gt;3*[1]QC_indicators!$C$1,"DF","no")))</f>
        <v>0</v>
      </c>
      <c r="ER1383" s="313" t="s">
        <v>349</v>
      </c>
    </row>
    <row r="1384" spans="1:148" ht="15" hidden="1" customHeight="1">
      <c r="A1384" s="1" t="s">
        <v>1101</v>
      </c>
      <c r="B1384" t="s">
        <v>4088</v>
      </c>
      <c r="C1384" t="s">
        <v>4089</v>
      </c>
      <c r="D1384" t="s">
        <v>4090</v>
      </c>
      <c r="E1384" t="s">
        <v>4091</v>
      </c>
      <c r="F1384" t="s">
        <v>4092</v>
      </c>
      <c r="G1384" t="s">
        <v>1107</v>
      </c>
      <c r="H1384" t="s">
        <v>254</v>
      </c>
      <c r="I1384">
        <v>2011</v>
      </c>
      <c r="J1384">
        <v>57</v>
      </c>
      <c r="K1384" t="s">
        <v>4093</v>
      </c>
      <c r="M1384" t="str">
        <f t="shared" si="1755"/>
        <v>Routa_2011</v>
      </c>
      <c r="N1384" s="311" t="s">
        <v>4382</v>
      </c>
      <c r="O1384" s="145" t="s">
        <v>341</v>
      </c>
      <c r="Q1384" s="311" t="s">
        <v>256</v>
      </c>
      <c r="R1384" s="312"/>
      <c r="S1384" s="1" t="s">
        <v>4107</v>
      </c>
      <c r="T1384" t="s">
        <v>1110</v>
      </c>
      <c r="U1384" t="e">
        <f>#REF!</f>
        <v>#REF!</v>
      </c>
      <c r="V1384">
        <v>0</v>
      </c>
      <c r="W1384">
        <v>0</v>
      </c>
      <c r="X1384">
        <v>0</v>
      </c>
      <c r="Y1384">
        <v>0</v>
      </c>
      <c r="Z1384">
        <v>0</v>
      </c>
      <c r="AA1384">
        <v>2</v>
      </c>
      <c r="AB1384">
        <v>1</v>
      </c>
      <c r="AC1384">
        <v>0</v>
      </c>
      <c r="AD1384">
        <v>0</v>
      </c>
      <c r="AE1384">
        <v>0</v>
      </c>
      <c r="AF1384">
        <v>0</v>
      </c>
      <c r="AG1384">
        <v>0</v>
      </c>
      <c r="AH1384">
        <v>0</v>
      </c>
      <c r="AI1384">
        <v>0</v>
      </c>
      <c r="AJ1384">
        <v>0</v>
      </c>
      <c r="AK1384">
        <v>0</v>
      </c>
      <c r="AL1384">
        <v>0</v>
      </c>
      <c r="AM1384">
        <v>0</v>
      </c>
      <c r="AN1384">
        <v>0</v>
      </c>
      <c r="AO1384">
        <v>0</v>
      </c>
      <c r="AP1384">
        <v>0</v>
      </c>
      <c r="AQ1384">
        <v>0</v>
      </c>
      <c r="AR1384">
        <v>0</v>
      </c>
      <c r="AS1384">
        <v>0</v>
      </c>
      <c r="AT1384">
        <v>0</v>
      </c>
      <c r="AU1384">
        <v>0</v>
      </c>
      <c r="AV1384">
        <v>0</v>
      </c>
      <c r="AW1384">
        <v>0</v>
      </c>
      <c r="AX1384" s="141">
        <f t="shared" si="1796"/>
        <v>2</v>
      </c>
      <c r="AY1384" s="141">
        <f t="shared" si="1797"/>
        <v>2</v>
      </c>
      <c r="AZ1384">
        <f t="shared" si="1798"/>
        <v>2</v>
      </c>
      <c r="BA1384">
        <f t="shared" si="1799"/>
        <v>0</v>
      </c>
      <c r="BB1384">
        <f t="shared" si="1800"/>
        <v>0</v>
      </c>
      <c r="BC1384">
        <f t="shared" si="1801"/>
        <v>0</v>
      </c>
      <c r="BD1384">
        <f t="shared" si="1802"/>
        <v>0</v>
      </c>
      <c r="BE1384" t="str" cm="1">
        <f t="array" ref="BE1384">IF(AY1384=1,INDEX($V$7:$AL$7,MATCH(TRUE,INDEX($V1384:$AW1384&lt;&gt;0,),0)),IF(AY1384=0,INDEX($AM$7:$AW$7,MATCH(1,$AM1384:$AW1384,0)),IF(BF1384="Multiple strategies","mixed drivers",IF(BF1384="Supply chain","multiple supply","multiple silviculture"))))</f>
        <v>multiple silviculture</v>
      </c>
      <c r="BF1384" s="2" t="str" cm="1">
        <f t="array" ref="BF1384">IF(COUNTIF(AZ1384:BB1384,"&lt;&gt;0")=1,INDEX($V$4:$AW$4,MATCH(TRUE,INDEX($V1384:$AW1384&lt;&gt;0,),0)),IF(COUNTIF(AZ1384:BB1384,"&lt;&gt;0")=0,INDEX($AM$4:$AW$4,MATCH(1,$AM1384:$AW1384,0)),"Multiple strategies"))</f>
        <v>Silviculture for productivity</v>
      </c>
      <c r="BP1384" s="311" t="s">
        <v>232</v>
      </c>
      <c r="BQ1384" s="311"/>
      <c r="BR1384" t="s">
        <v>2169</v>
      </c>
      <c r="BS1384">
        <v>-150</v>
      </c>
      <c r="BT1384">
        <v>-100</v>
      </c>
      <c r="BU1384" s="144">
        <v>0.66666666666666663</v>
      </c>
      <c r="BV1384">
        <v>50</v>
      </c>
      <c r="BX1384">
        <f t="shared" si="1803"/>
        <v>50000</v>
      </c>
      <c r="BY1384" t="str">
        <f t="shared" si="1750"/>
        <v/>
      </c>
      <c r="BZ1384">
        <v>0</v>
      </c>
      <c r="CA1384">
        <v>0</v>
      </c>
      <c r="CB1384">
        <v>0</v>
      </c>
      <c r="CC1384">
        <v>1</v>
      </c>
      <c r="CD1384">
        <v>0</v>
      </c>
      <c r="CE1384">
        <v>0</v>
      </c>
      <c r="CF1384">
        <v>0</v>
      </c>
      <c r="CG1384">
        <v>0</v>
      </c>
      <c r="CH1384">
        <v>0</v>
      </c>
      <c r="CI1384">
        <v>0</v>
      </c>
      <c r="CJ1384">
        <v>0</v>
      </c>
      <c r="CK1384">
        <v>0</v>
      </c>
      <c r="CL1384">
        <v>0</v>
      </c>
      <c r="CM1384">
        <v>0</v>
      </c>
      <c r="CN1384" t="str">
        <f t="shared" si="1804"/>
        <v>refOK</v>
      </c>
      <c r="CO1384"/>
      <c r="CP1384"/>
      <c r="CQ1384"/>
      <c r="CR1384">
        <f t="shared" si="1805"/>
        <v>-150</v>
      </c>
      <c r="CS1384">
        <f t="shared" si="1806"/>
        <v>-100</v>
      </c>
      <c r="CT1384">
        <f t="shared" si="1807"/>
        <v>50000</v>
      </c>
      <c r="CU1384" t="str">
        <f t="shared" si="1808"/>
        <v/>
      </c>
      <c r="CV1384" s="2">
        <f t="shared" si="1809"/>
        <v>0.33333333333333331</v>
      </c>
      <c r="CW1384" s="1" t="s">
        <v>1198</v>
      </c>
      <c r="CX1384" s="311" t="str">
        <f t="shared" si="1810"/>
        <v>reg</v>
      </c>
      <c r="CY1384" t="s">
        <v>235</v>
      </c>
      <c r="CZ1384">
        <v>2011</v>
      </c>
      <c r="DA1384">
        <v>2090</v>
      </c>
      <c r="DB1384">
        <v>80</v>
      </c>
      <c r="DC1384" t="str">
        <f t="shared" si="1811"/>
        <v>71-100</v>
      </c>
      <c r="DD1384">
        <v>0</v>
      </c>
      <c r="DE1384">
        <v>1</v>
      </c>
      <c r="DF1384">
        <v>1</v>
      </c>
      <c r="DG1384">
        <v>1</v>
      </c>
      <c r="DI1384">
        <f t="shared" si="1812"/>
        <v>3</v>
      </c>
      <c r="DJ1384" t="str">
        <f t="shared" si="1813"/>
        <v>mixedProduct</v>
      </c>
      <c r="DK1384">
        <f t="shared" si="1814"/>
        <v>0</v>
      </c>
      <c r="DL1384" t="str">
        <f t="shared" si="1815"/>
        <v>Energy</v>
      </c>
      <c r="DM1384" t="str">
        <f t="shared" si="1816"/>
        <v>Pulp/Paper</v>
      </c>
      <c r="DN1384" t="str">
        <f t="shared" si="1817"/>
        <v>Timber</v>
      </c>
      <c r="DO1384">
        <v>1</v>
      </c>
      <c r="DP1384">
        <v>0</v>
      </c>
      <c r="DQ1384">
        <v>0</v>
      </c>
      <c r="DR1384">
        <v>0</v>
      </c>
      <c r="DS1384">
        <v>0</v>
      </c>
      <c r="DT1384">
        <f t="shared" si="1818"/>
        <v>1</v>
      </c>
      <c r="DU1384" s="143" t="str">
        <f t="shared" si="1819"/>
        <v>self-calculated DF</v>
      </c>
      <c r="DV1384">
        <v>1</v>
      </c>
      <c r="DW1384">
        <v>1</v>
      </c>
      <c r="DX1384">
        <v>1</v>
      </c>
      <c r="DY1384">
        <v>0</v>
      </c>
      <c r="DZ1384">
        <v>0</v>
      </c>
      <c r="EA1384" s="143">
        <v>0</v>
      </c>
      <c r="EB1384">
        <v>1</v>
      </c>
      <c r="EC1384">
        <v>1</v>
      </c>
      <c r="ED1384">
        <v>0</v>
      </c>
      <c r="EE1384">
        <v>1</v>
      </c>
      <c r="EF1384">
        <v>1</v>
      </c>
      <c r="EG1384">
        <v>1</v>
      </c>
      <c r="EH1384">
        <v>0</v>
      </c>
      <c r="EI1384" s="2">
        <v>0</v>
      </c>
      <c r="EK1384" t="str">
        <f t="shared" si="1794"/>
        <v>Whole sector</v>
      </c>
      <c r="EL1384" t="str">
        <f t="shared" si="1795"/>
        <v/>
      </c>
      <c r="EM1384" s="2" t="str">
        <f t="shared" si="1751"/>
        <v/>
      </c>
      <c r="EP1384" t="b">
        <f>IF(ISNUMBER(BU1384),IF(ABS(BU1384-[1]QC_indicators!$B$2)&gt;3*[1]QC_indicators!$C$2,"C ratio",IF(ISNUMBER(BY1384),IF(ABS(BY1384-[1]QC_indicators!$B$1)&gt;3*[1]QC_indicators!$C$1,"DF","no"))),IF(ISNUMBER(BY1384),IF(ABS(BY1384-[1]QC_indicators!$B$1)&gt;3*[1]QC_indicators!$C$1,"DF","no")))</f>
        <v>0</v>
      </c>
      <c r="ER1384" s="313" t="s">
        <v>349</v>
      </c>
    </row>
    <row r="1385" spans="1:148" ht="15" hidden="1" customHeight="1">
      <c r="A1385" s="1" t="s">
        <v>1101</v>
      </c>
      <c r="B1385" t="s">
        <v>4088</v>
      </c>
      <c r="C1385" t="s">
        <v>4089</v>
      </c>
      <c r="D1385" t="s">
        <v>4090</v>
      </c>
      <c r="E1385" t="s">
        <v>4091</v>
      </c>
      <c r="F1385" t="s">
        <v>4092</v>
      </c>
      <c r="G1385" t="s">
        <v>1107</v>
      </c>
      <c r="H1385" t="s">
        <v>254</v>
      </c>
      <c r="I1385">
        <v>2011</v>
      </c>
      <c r="J1385">
        <v>57</v>
      </c>
      <c r="K1385" t="s">
        <v>4093</v>
      </c>
      <c r="M1385" t="str">
        <f t="shared" si="1755"/>
        <v>Routa_2011</v>
      </c>
      <c r="N1385" s="311" t="s">
        <v>4382</v>
      </c>
      <c r="O1385" s="145" t="s">
        <v>341</v>
      </c>
      <c r="Q1385" s="311" t="s">
        <v>256</v>
      </c>
      <c r="R1385" s="312"/>
      <c r="S1385" s="1" t="s">
        <v>4108</v>
      </c>
      <c r="T1385" t="s">
        <v>1110</v>
      </c>
      <c r="U1385" t="e">
        <f>#REF!</f>
        <v>#REF!</v>
      </c>
      <c r="V1385">
        <v>0</v>
      </c>
      <c r="W1385">
        <v>0</v>
      </c>
      <c r="X1385">
        <v>0</v>
      </c>
      <c r="Y1385">
        <v>0</v>
      </c>
      <c r="Z1385">
        <v>0</v>
      </c>
      <c r="AA1385">
        <v>2</v>
      </c>
      <c r="AB1385">
        <v>1</v>
      </c>
      <c r="AC1385">
        <v>0</v>
      </c>
      <c r="AD1385">
        <v>0</v>
      </c>
      <c r="AE1385">
        <v>0</v>
      </c>
      <c r="AF1385">
        <v>0</v>
      </c>
      <c r="AG1385">
        <v>0</v>
      </c>
      <c r="AH1385">
        <v>0</v>
      </c>
      <c r="AI1385">
        <v>0</v>
      </c>
      <c r="AJ1385">
        <v>0</v>
      </c>
      <c r="AK1385">
        <v>0</v>
      </c>
      <c r="AL1385">
        <v>0</v>
      </c>
      <c r="AM1385">
        <v>0</v>
      </c>
      <c r="AN1385">
        <v>0</v>
      </c>
      <c r="AO1385">
        <v>0</v>
      </c>
      <c r="AP1385">
        <v>0</v>
      </c>
      <c r="AQ1385">
        <v>0</v>
      </c>
      <c r="AR1385">
        <v>0</v>
      </c>
      <c r="AS1385">
        <v>0</v>
      </c>
      <c r="AT1385">
        <v>0</v>
      </c>
      <c r="AU1385">
        <v>0</v>
      </c>
      <c r="AV1385">
        <v>0</v>
      </c>
      <c r="AW1385">
        <v>0</v>
      </c>
      <c r="AX1385" s="141">
        <f t="shared" si="1796"/>
        <v>2</v>
      </c>
      <c r="AY1385" s="141">
        <f t="shared" si="1797"/>
        <v>2</v>
      </c>
      <c r="AZ1385">
        <f t="shared" si="1798"/>
        <v>2</v>
      </c>
      <c r="BA1385">
        <f t="shared" si="1799"/>
        <v>0</v>
      </c>
      <c r="BB1385">
        <f t="shared" si="1800"/>
        <v>0</v>
      </c>
      <c r="BC1385">
        <f t="shared" si="1801"/>
        <v>0</v>
      </c>
      <c r="BD1385">
        <f t="shared" si="1802"/>
        <v>0</v>
      </c>
      <c r="BE1385" t="str" cm="1">
        <f t="array" ref="BE1385">IF(AY1385=1,INDEX($V$7:$AL$7,MATCH(TRUE,INDEX($V1385:$AW1385&lt;&gt;0,),0)),IF(AY1385=0,INDEX($AM$7:$AW$7,MATCH(1,$AM1385:$AW1385,0)),IF(BF1385="Multiple strategies","mixed drivers",IF(BF1385="Supply chain","multiple supply","multiple silviculture"))))</f>
        <v>multiple silviculture</v>
      </c>
      <c r="BF1385" s="2" t="str" cm="1">
        <f t="array" ref="BF1385">IF(COUNTIF(AZ1385:BB1385,"&lt;&gt;0")=1,INDEX($V$4:$AW$4,MATCH(TRUE,INDEX($V1385:$AW1385&lt;&gt;0,),0)),IF(COUNTIF(AZ1385:BB1385,"&lt;&gt;0")=0,INDEX($AM$4:$AW$4,MATCH(1,$AM1385:$AW1385,0)),"Multiple strategies"))</f>
        <v>Silviculture for productivity</v>
      </c>
      <c r="BP1385" s="311" t="s">
        <v>232</v>
      </c>
      <c r="BQ1385" s="311"/>
      <c r="BR1385" t="s">
        <v>2169</v>
      </c>
      <c r="BS1385">
        <v>-200</v>
      </c>
      <c r="BT1385">
        <v>-135</v>
      </c>
      <c r="BU1385" s="144">
        <v>0.67500000000000004</v>
      </c>
      <c r="BV1385">
        <v>65</v>
      </c>
      <c r="BX1385">
        <f t="shared" si="1803"/>
        <v>65000</v>
      </c>
      <c r="BY1385" t="str">
        <f t="shared" si="1750"/>
        <v/>
      </c>
      <c r="BZ1385">
        <v>0</v>
      </c>
      <c r="CA1385">
        <v>0</v>
      </c>
      <c r="CB1385">
        <v>0</v>
      </c>
      <c r="CC1385">
        <v>1</v>
      </c>
      <c r="CD1385">
        <v>0</v>
      </c>
      <c r="CE1385">
        <v>0</v>
      </c>
      <c r="CF1385">
        <v>0</v>
      </c>
      <c r="CG1385">
        <v>0</v>
      </c>
      <c r="CH1385">
        <v>0</v>
      </c>
      <c r="CI1385">
        <v>0</v>
      </c>
      <c r="CJ1385">
        <v>0</v>
      </c>
      <c r="CK1385">
        <v>0</v>
      </c>
      <c r="CL1385">
        <v>0</v>
      </c>
      <c r="CM1385">
        <v>0</v>
      </c>
      <c r="CN1385" t="str">
        <f t="shared" si="1804"/>
        <v>refOK</v>
      </c>
      <c r="CO1385"/>
      <c r="CP1385"/>
      <c r="CQ1385"/>
      <c r="CR1385">
        <f t="shared" si="1805"/>
        <v>-200</v>
      </c>
      <c r="CS1385">
        <f t="shared" si="1806"/>
        <v>-135</v>
      </c>
      <c r="CT1385">
        <f t="shared" si="1807"/>
        <v>65000</v>
      </c>
      <c r="CU1385" t="str">
        <f t="shared" si="1808"/>
        <v/>
      </c>
      <c r="CV1385" s="2">
        <f t="shared" si="1809"/>
        <v>0.32500000000000001</v>
      </c>
      <c r="CW1385" s="1" t="s">
        <v>1198</v>
      </c>
      <c r="CX1385" s="311" t="str">
        <f t="shared" si="1810"/>
        <v>reg</v>
      </c>
      <c r="CY1385" t="s">
        <v>235</v>
      </c>
      <c r="CZ1385">
        <v>2011</v>
      </c>
      <c r="DA1385">
        <v>2090</v>
      </c>
      <c r="DB1385">
        <v>80</v>
      </c>
      <c r="DC1385" t="str">
        <f t="shared" si="1811"/>
        <v>71-100</v>
      </c>
      <c r="DD1385">
        <v>0</v>
      </c>
      <c r="DE1385">
        <v>1</v>
      </c>
      <c r="DF1385">
        <v>1</v>
      </c>
      <c r="DG1385">
        <v>1</v>
      </c>
      <c r="DI1385">
        <f t="shared" si="1812"/>
        <v>3</v>
      </c>
      <c r="DJ1385" t="str">
        <f t="shared" si="1813"/>
        <v>mixedProduct</v>
      </c>
      <c r="DK1385">
        <f t="shared" si="1814"/>
        <v>0</v>
      </c>
      <c r="DL1385" t="str">
        <f t="shared" si="1815"/>
        <v>Energy</v>
      </c>
      <c r="DM1385" t="str">
        <f t="shared" si="1816"/>
        <v>Pulp/Paper</v>
      </c>
      <c r="DN1385" t="str">
        <f t="shared" si="1817"/>
        <v>Timber</v>
      </c>
      <c r="DO1385">
        <v>1</v>
      </c>
      <c r="DP1385">
        <v>0</v>
      </c>
      <c r="DQ1385">
        <v>0</v>
      </c>
      <c r="DR1385">
        <v>0</v>
      </c>
      <c r="DS1385">
        <v>0</v>
      </c>
      <c r="DT1385">
        <f t="shared" si="1818"/>
        <v>1</v>
      </c>
      <c r="DU1385" s="143" t="str">
        <f t="shared" si="1819"/>
        <v>self-calculated DF</v>
      </c>
      <c r="DV1385">
        <v>1</v>
      </c>
      <c r="DW1385">
        <v>1</v>
      </c>
      <c r="DX1385">
        <v>1</v>
      </c>
      <c r="DY1385">
        <v>0</v>
      </c>
      <c r="DZ1385">
        <v>0</v>
      </c>
      <c r="EA1385" s="143">
        <v>0</v>
      </c>
      <c r="EB1385">
        <v>1</v>
      </c>
      <c r="EC1385">
        <v>1</v>
      </c>
      <c r="ED1385">
        <v>0</v>
      </c>
      <c r="EE1385">
        <v>1</v>
      </c>
      <c r="EF1385">
        <v>1</v>
      </c>
      <c r="EG1385">
        <v>1</v>
      </c>
      <c r="EH1385">
        <v>0</v>
      </c>
      <c r="EI1385" s="2">
        <v>0</v>
      </c>
      <c r="EK1385" t="str">
        <f t="shared" si="1794"/>
        <v>Whole sector</v>
      </c>
      <c r="EL1385" t="str">
        <f t="shared" si="1795"/>
        <v/>
      </c>
      <c r="EM1385" s="2" t="str">
        <f t="shared" si="1751"/>
        <v/>
      </c>
      <c r="EP1385" t="b">
        <f>IF(ISNUMBER(BU1385),IF(ABS(BU1385-[1]QC_indicators!$B$2)&gt;3*[1]QC_indicators!$C$2,"C ratio",IF(ISNUMBER(BY1385),IF(ABS(BY1385-[1]QC_indicators!$B$1)&gt;3*[1]QC_indicators!$C$1,"DF","no"))),IF(ISNUMBER(BY1385),IF(ABS(BY1385-[1]QC_indicators!$B$1)&gt;3*[1]QC_indicators!$C$1,"DF","no")))</f>
        <v>0</v>
      </c>
      <c r="ER1385" s="313" t="s">
        <v>349</v>
      </c>
    </row>
    <row r="1386" spans="1:148" ht="15" hidden="1" customHeight="1">
      <c r="A1386" s="1" t="s">
        <v>1101</v>
      </c>
      <c r="B1386" t="s">
        <v>4088</v>
      </c>
      <c r="C1386" t="s">
        <v>4089</v>
      </c>
      <c r="D1386" t="s">
        <v>4090</v>
      </c>
      <c r="E1386" t="s">
        <v>4091</v>
      </c>
      <c r="F1386" t="s">
        <v>4092</v>
      </c>
      <c r="G1386" t="s">
        <v>1107</v>
      </c>
      <c r="H1386" t="s">
        <v>254</v>
      </c>
      <c r="I1386">
        <v>2011</v>
      </c>
      <c r="J1386">
        <v>57</v>
      </c>
      <c r="K1386" t="s">
        <v>4093</v>
      </c>
      <c r="M1386" t="str">
        <f t="shared" si="1755"/>
        <v>Routa_2011</v>
      </c>
      <c r="N1386" s="311" t="s">
        <v>4382</v>
      </c>
      <c r="O1386" s="145" t="s">
        <v>341</v>
      </c>
      <c r="Q1386" s="311" t="s">
        <v>256</v>
      </c>
      <c r="R1386" s="312"/>
      <c r="S1386" s="1" t="s">
        <v>4109</v>
      </c>
      <c r="T1386" t="s">
        <v>1110</v>
      </c>
      <c r="U1386" t="e">
        <f>#REF!</f>
        <v>#REF!</v>
      </c>
      <c r="V1386">
        <v>0</v>
      </c>
      <c r="W1386">
        <v>0</v>
      </c>
      <c r="X1386">
        <v>0</v>
      </c>
      <c r="Y1386">
        <v>0</v>
      </c>
      <c r="Z1386">
        <v>0</v>
      </c>
      <c r="AA1386">
        <v>2</v>
      </c>
      <c r="AB1386">
        <v>1</v>
      </c>
      <c r="AC1386">
        <v>0</v>
      </c>
      <c r="AD1386">
        <v>0</v>
      </c>
      <c r="AE1386">
        <v>0</v>
      </c>
      <c r="AF1386">
        <v>0</v>
      </c>
      <c r="AG1386">
        <v>0</v>
      </c>
      <c r="AH1386">
        <v>0</v>
      </c>
      <c r="AI1386">
        <v>0</v>
      </c>
      <c r="AJ1386">
        <v>0</v>
      </c>
      <c r="AK1386">
        <v>0</v>
      </c>
      <c r="AL1386">
        <v>0</v>
      </c>
      <c r="AM1386">
        <v>0</v>
      </c>
      <c r="AN1386">
        <v>0</v>
      </c>
      <c r="AO1386">
        <v>0</v>
      </c>
      <c r="AP1386">
        <v>0</v>
      </c>
      <c r="AQ1386">
        <v>0</v>
      </c>
      <c r="AR1386">
        <v>0</v>
      </c>
      <c r="AS1386">
        <v>0</v>
      </c>
      <c r="AT1386">
        <v>0</v>
      </c>
      <c r="AU1386">
        <v>0</v>
      </c>
      <c r="AV1386">
        <v>0</v>
      </c>
      <c r="AW1386">
        <v>0</v>
      </c>
      <c r="AX1386" s="141">
        <f t="shared" si="1796"/>
        <v>2</v>
      </c>
      <c r="AY1386" s="141">
        <f t="shared" si="1797"/>
        <v>2</v>
      </c>
      <c r="AZ1386">
        <f t="shared" si="1798"/>
        <v>2</v>
      </c>
      <c r="BA1386">
        <f t="shared" si="1799"/>
        <v>0</v>
      </c>
      <c r="BB1386">
        <f t="shared" si="1800"/>
        <v>0</v>
      </c>
      <c r="BC1386">
        <f t="shared" si="1801"/>
        <v>0</v>
      </c>
      <c r="BD1386">
        <f t="shared" si="1802"/>
        <v>0</v>
      </c>
      <c r="BE1386" t="str" cm="1">
        <f t="array" ref="BE1386">IF(AY1386=1,INDEX($V$7:$AL$7,MATCH(TRUE,INDEX($V1386:$AW1386&lt;&gt;0,),0)),IF(AY1386=0,INDEX($AM$7:$AW$7,MATCH(1,$AM1386:$AW1386,0)),IF(BF1386="Multiple strategies","mixed drivers",IF(BF1386="Supply chain","multiple supply","multiple silviculture"))))</f>
        <v>multiple silviculture</v>
      </c>
      <c r="BF1386" s="2" t="str" cm="1">
        <f t="array" ref="BF1386">IF(COUNTIF(AZ1386:BB1386,"&lt;&gt;0")=1,INDEX($V$4:$AW$4,MATCH(TRUE,INDEX($V1386:$AW1386&lt;&gt;0,),0)),IF(COUNTIF(AZ1386:BB1386,"&lt;&gt;0")=0,INDEX($AM$4:$AW$4,MATCH(1,$AM1386:$AW1386,0)),"Multiple strategies"))</f>
        <v>Silviculture for productivity</v>
      </c>
      <c r="BP1386" s="311" t="s">
        <v>232</v>
      </c>
      <c r="BQ1386" s="311"/>
      <c r="BR1386" t="s">
        <v>2169</v>
      </c>
      <c r="BS1386">
        <v>-200</v>
      </c>
      <c r="BT1386">
        <v>-137</v>
      </c>
      <c r="BU1386" s="144">
        <v>0.68500000000000005</v>
      </c>
      <c r="BV1386">
        <v>63</v>
      </c>
      <c r="BX1386">
        <f t="shared" si="1803"/>
        <v>63000</v>
      </c>
      <c r="BY1386" t="str">
        <f t="shared" ref="BY1386:BY1449" si="1820">IFERROR(BX1386/BO1386,"")</f>
        <v/>
      </c>
      <c r="BZ1386">
        <v>0</v>
      </c>
      <c r="CA1386">
        <v>0</v>
      </c>
      <c r="CB1386">
        <v>0</v>
      </c>
      <c r="CC1386">
        <v>1</v>
      </c>
      <c r="CD1386">
        <v>0</v>
      </c>
      <c r="CE1386">
        <v>0</v>
      </c>
      <c r="CF1386">
        <v>0</v>
      </c>
      <c r="CG1386">
        <v>0</v>
      </c>
      <c r="CH1386">
        <v>0</v>
      </c>
      <c r="CI1386">
        <v>0</v>
      </c>
      <c r="CJ1386">
        <v>0</v>
      </c>
      <c r="CK1386">
        <v>0</v>
      </c>
      <c r="CL1386">
        <v>0</v>
      </c>
      <c r="CM1386">
        <v>0</v>
      </c>
      <c r="CN1386" t="str">
        <f t="shared" si="1804"/>
        <v>refOK</v>
      </c>
      <c r="CO1386"/>
      <c r="CP1386"/>
      <c r="CQ1386"/>
      <c r="CR1386">
        <f t="shared" si="1805"/>
        <v>-200</v>
      </c>
      <c r="CS1386">
        <f t="shared" si="1806"/>
        <v>-137</v>
      </c>
      <c r="CT1386">
        <f t="shared" si="1807"/>
        <v>63000</v>
      </c>
      <c r="CU1386" t="str">
        <f t="shared" si="1808"/>
        <v/>
      </c>
      <c r="CV1386" s="2">
        <f t="shared" si="1809"/>
        <v>0.315</v>
      </c>
      <c r="CW1386" s="1" t="s">
        <v>1198</v>
      </c>
      <c r="CX1386" s="311" t="str">
        <f t="shared" si="1810"/>
        <v>reg</v>
      </c>
      <c r="CY1386" t="s">
        <v>235</v>
      </c>
      <c r="CZ1386">
        <v>2011</v>
      </c>
      <c r="DA1386">
        <v>2090</v>
      </c>
      <c r="DB1386">
        <v>80</v>
      </c>
      <c r="DC1386" t="str">
        <f t="shared" si="1811"/>
        <v>71-100</v>
      </c>
      <c r="DD1386">
        <v>0</v>
      </c>
      <c r="DE1386">
        <v>1</v>
      </c>
      <c r="DF1386">
        <v>1</v>
      </c>
      <c r="DG1386">
        <v>1</v>
      </c>
      <c r="DI1386">
        <f t="shared" si="1812"/>
        <v>3</v>
      </c>
      <c r="DJ1386" t="str">
        <f t="shared" si="1813"/>
        <v>mixedProduct</v>
      </c>
      <c r="DK1386">
        <f t="shared" si="1814"/>
        <v>0</v>
      </c>
      <c r="DL1386" t="str">
        <f t="shared" si="1815"/>
        <v>Energy</v>
      </c>
      <c r="DM1386" t="str">
        <f t="shared" si="1816"/>
        <v>Pulp/Paper</v>
      </c>
      <c r="DN1386" t="str">
        <f t="shared" si="1817"/>
        <v>Timber</v>
      </c>
      <c r="DO1386">
        <v>1</v>
      </c>
      <c r="DP1386">
        <v>0</v>
      </c>
      <c r="DQ1386">
        <v>0</v>
      </c>
      <c r="DR1386">
        <v>0</v>
      </c>
      <c r="DS1386">
        <v>0</v>
      </c>
      <c r="DT1386">
        <f t="shared" si="1818"/>
        <v>1</v>
      </c>
      <c r="DU1386" s="143" t="str">
        <f t="shared" si="1819"/>
        <v>self-calculated DF</v>
      </c>
      <c r="DV1386">
        <v>1</v>
      </c>
      <c r="DW1386">
        <v>1</v>
      </c>
      <c r="DX1386">
        <v>1</v>
      </c>
      <c r="DY1386">
        <v>0</v>
      </c>
      <c r="DZ1386">
        <v>0</v>
      </c>
      <c r="EA1386" s="143">
        <v>0</v>
      </c>
      <c r="EB1386">
        <v>1</v>
      </c>
      <c r="EC1386">
        <v>1</v>
      </c>
      <c r="ED1386">
        <v>0</v>
      </c>
      <c r="EE1386">
        <v>1</v>
      </c>
      <c r="EF1386">
        <v>1</v>
      </c>
      <c r="EG1386">
        <v>1</v>
      </c>
      <c r="EH1386">
        <v>0</v>
      </c>
      <c r="EI1386" s="2">
        <v>0</v>
      </c>
      <c r="EK1386" t="str">
        <f t="shared" si="1794"/>
        <v>Whole sector</v>
      </c>
      <c r="EL1386" t="str">
        <f t="shared" si="1795"/>
        <v/>
      </c>
      <c r="EM1386" s="2" t="str">
        <f t="shared" si="1751"/>
        <v/>
      </c>
      <c r="EP1386" t="b">
        <f>IF(ISNUMBER(BU1386),IF(ABS(BU1386-[1]QC_indicators!$B$2)&gt;3*[1]QC_indicators!$C$2,"C ratio",IF(ISNUMBER(BY1386),IF(ABS(BY1386-[1]QC_indicators!$B$1)&gt;3*[1]QC_indicators!$C$1,"DF","no"))),IF(ISNUMBER(BY1386),IF(ABS(BY1386-[1]QC_indicators!$B$1)&gt;3*[1]QC_indicators!$C$1,"DF","no")))</f>
        <v>0</v>
      </c>
      <c r="ER1386" s="313" t="s">
        <v>349</v>
      </c>
    </row>
    <row r="1387" spans="1:148" ht="15" hidden="1" customHeight="1">
      <c r="A1387" s="1" t="s">
        <v>1101</v>
      </c>
      <c r="B1387" t="s">
        <v>4088</v>
      </c>
      <c r="C1387" t="s">
        <v>4089</v>
      </c>
      <c r="D1387" t="s">
        <v>4090</v>
      </c>
      <c r="E1387" t="s">
        <v>4091</v>
      </c>
      <c r="F1387" t="s">
        <v>4092</v>
      </c>
      <c r="G1387" t="s">
        <v>1107</v>
      </c>
      <c r="H1387" t="s">
        <v>254</v>
      </c>
      <c r="I1387">
        <v>2011</v>
      </c>
      <c r="J1387">
        <v>57</v>
      </c>
      <c r="K1387" t="s">
        <v>4093</v>
      </c>
      <c r="M1387" t="str">
        <f t="shared" si="1755"/>
        <v>Routa_2011</v>
      </c>
      <c r="N1387" s="311" t="s">
        <v>4382</v>
      </c>
      <c r="O1387" s="145" t="s">
        <v>341</v>
      </c>
      <c r="Q1387" s="311" t="s">
        <v>256</v>
      </c>
      <c r="R1387" s="312"/>
      <c r="S1387" s="1" t="s">
        <v>4110</v>
      </c>
      <c r="T1387" t="s">
        <v>1110</v>
      </c>
      <c r="U1387" t="e">
        <f>#REF!</f>
        <v>#REF!</v>
      </c>
      <c r="V1387">
        <v>0</v>
      </c>
      <c r="W1387">
        <v>0</v>
      </c>
      <c r="X1387">
        <v>0</v>
      </c>
      <c r="Y1387">
        <v>0</v>
      </c>
      <c r="Z1387">
        <v>0</v>
      </c>
      <c r="AA1387">
        <v>2</v>
      </c>
      <c r="AB1387">
        <v>1</v>
      </c>
      <c r="AC1387">
        <v>0</v>
      </c>
      <c r="AD1387">
        <v>0</v>
      </c>
      <c r="AE1387">
        <v>0</v>
      </c>
      <c r="AF1387">
        <v>0</v>
      </c>
      <c r="AG1387">
        <v>0</v>
      </c>
      <c r="AH1387">
        <v>0</v>
      </c>
      <c r="AI1387">
        <v>0</v>
      </c>
      <c r="AJ1387">
        <v>0</v>
      </c>
      <c r="AK1387">
        <v>0</v>
      </c>
      <c r="AL1387">
        <v>0</v>
      </c>
      <c r="AM1387">
        <v>0</v>
      </c>
      <c r="AN1387">
        <v>0</v>
      </c>
      <c r="AO1387">
        <v>0</v>
      </c>
      <c r="AP1387">
        <v>0</v>
      </c>
      <c r="AQ1387">
        <v>0</v>
      </c>
      <c r="AR1387">
        <v>0</v>
      </c>
      <c r="AS1387">
        <v>0</v>
      </c>
      <c r="AT1387">
        <v>0</v>
      </c>
      <c r="AU1387">
        <v>0</v>
      </c>
      <c r="AV1387">
        <v>0</v>
      </c>
      <c r="AW1387">
        <v>0</v>
      </c>
      <c r="AX1387" s="141">
        <f t="shared" si="1796"/>
        <v>2</v>
      </c>
      <c r="AY1387" s="141">
        <f t="shared" si="1797"/>
        <v>2</v>
      </c>
      <c r="AZ1387">
        <f t="shared" si="1798"/>
        <v>2</v>
      </c>
      <c r="BA1387">
        <f t="shared" si="1799"/>
        <v>0</v>
      </c>
      <c r="BB1387">
        <f t="shared" si="1800"/>
        <v>0</v>
      </c>
      <c r="BC1387">
        <f t="shared" si="1801"/>
        <v>0</v>
      </c>
      <c r="BD1387">
        <f t="shared" si="1802"/>
        <v>0</v>
      </c>
      <c r="BE1387" t="str" cm="1">
        <f t="array" ref="BE1387">IF(AY1387=1,INDEX($V$7:$AL$7,MATCH(TRUE,INDEX($V1387:$AW1387&lt;&gt;0,),0)),IF(AY1387=0,INDEX($AM$7:$AW$7,MATCH(1,$AM1387:$AW1387,0)),IF(BF1387="Multiple strategies","mixed drivers",IF(BF1387="Supply chain","multiple supply","multiple silviculture"))))</f>
        <v>multiple silviculture</v>
      </c>
      <c r="BF1387" s="2" t="str" cm="1">
        <f t="array" ref="BF1387">IF(COUNTIF(AZ1387:BB1387,"&lt;&gt;0")=1,INDEX($V$4:$AW$4,MATCH(TRUE,INDEX($V1387:$AW1387&lt;&gt;0,),0)),IF(COUNTIF(AZ1387:BB1387,"&lt;&gt;0")=0,INDEX($AM$4:$AW$4,MATCH(1,$AM1387:$AW1387,0)),"Multiple strategies"))</f>
        <v>Silviculture for productivity</v>
      </c>
      <c r="BP1387" s="311" t="s">
        <v>232</v>
      </c>
      <c r="BQ1387" s="311"/>
      <c r="BR1387" t="s">
        <v>2169</v>
      </c>
      <c r="BS1387">
        <v>-150</v>
      </c>
      <c r="BT1387">
        <v>-108</v>
      </c>
      <c r="BU1387" s="144">
        <v>0.72</v>
      </c>
      <c r="BV1387">
        <v>42</v>
      </c>
      <c r="BX1387">
        <f t="shared" si="1803"/>
        <v>42000</v>
      </c>
      <c r="BY1387" t="str">
        <f t="shared" si="1820"/>
        <v/>
      </c>
      <c r="BZ1387">
        <v>0</v>
      </c>
      <c r="CA1387">
        <v>0</v>
      </c>
      <c r="CB1387">
        <v>0</v>
      </c>
      <c r="CC1387">
        <v>1</v>
      </c>
      <c r="CD1387">
        <v>0</v>
      </c>
      <c r="CE1387">
        <v>0</v>
      </c>
      <c r="CF1387">
        <v>0</v>
      </c>
      <c r="CG1387">
        <v>0</v>
      </c>
      <c r="CH1387">
        <v>0</v>
      </c>
      <c r="CI1387">
        <v>0</v>
      </c>
      <c r="CJ1387">
        <v>0</v>
      </c>
      <c r="CK1387">
        <v>0</v>
      </c>
      <c r="CL1387">
        <v>0</v>
      </c>
      <c r="CM1387">
        <v>0</v>
      </c>
      <c r="CN1387" t="str">
        <f t="shared" si="1804"/>
        <v>refOK</v>
      </c>
      <c r="CO1387"/>
      <c r="CP1387"/>
      <c r="CQ1387"/>
      <c r="CR1387">
        <f t="shared" si="1805"/>
        <v>-150</v>
      </c>
      <c r="CS1387">
        <f t="shared" si="1806"/>
        <v>-108</v>
      </c>
      <c r="CT1387">
        <f t="shared" si="1807"/>
        <v>42000</v>
      </c>
      <c r="CU1387" t="str">
        <f t="shared" si="1808"/>
        <v/>
      </c>
      <c r="CV1387" s="2">
        <f t="shared" si="1809"/>
        <v>0.28000000000000003</v>
      </c>
      <c r="CW1387" s="1" t="s">
        <v>1198</v>
      </c>
      <c r="CX1387" s="311" t="str">
        <f t="shared" si="1810"/>
        <v>reg</v>
      </c>
      <c r="CY1387" t="s">
        <v>235</v>
      </c>
      <c r="CZ1387">
        <v>2011</v>
      </c>
      <c r="DA1387">
        <v>2090</v>
      </c>
      <c r="DB1387">
        <v>80</v>
      </c>
      <c r="DC1387" t="str">
        <f t="shared" si="1811"/>
        <v>71-100</v>
      </c>
      <c r="DD1387">
        <v>0</v>
      </c>
      <c r="DE1387">
        <v>1</v>
      </c>
      <c r="DF1387">
        <v>1</v>
      </c>
      <c r="DG1387">
        <v>1</v>
      </c>
      <c r="DI1387">
        <f t="shared" si="1812"/>
        <v>3</v>
      </c>
      <c r="DJ1387" t="str">
        <f t="shared" si="1813"/>
        <v>mixedProduct</v>
      </c>
      <c r="DK1387">
        <f t="shared" si="1814"/>
        <v>0</v>
      </c>
      <c r="DL1387" t="str">
        <f t="shared" si="1815"/>
        <v>Energy</v>
      </c>
      <c r="DM1387" t="str">
        <f t="shared" si="1816"/>
        <v>Pulp/Paper</v>
      </c>
      <c r="DN1387" t="str">
        <f t="shared" si="1817"/>
        <v>Timber</v>
      </c>
      <c r="DO1387">
        <v>1</v>
      </c>
      <c r="DP1387">
        <v>0</v>
      </c>
      <c r="DQ1387">
        <v>0</v>
      </c>
      <c r="DR1387">
        <v>0</v>
      </c>
      <c r="DS1387">
        <v>0</v>
      </c>
      <c r="DT1387">
        <f t="shared" si="1818"/>
        <v>1</v>
      </c>
      <c r="DU1387" s="143" t="str">
        <f t="shared" si="1819"/>
        <v>self-calculated DF</v>
      </c>
      <c r="DV1387">
        <v>1</v>
      </c>
      <c r="DW1387">
        <v>1</v>
      </c>
      <c r="DX1387">
        <v>1</v>
      </c>
      <c r="DY1387">
        <v>0</v>
      </c>
      <c r="DZ1387">
        <v>0</v>
      </c>
      <c r="EA1387" s="143">
        <v>0</v>
      </c>
      <c r="EB1387">
        <v>1</v>
      </c>
      <c r="EC1387">
        <v>1</v>
      </c>
      <c r="ED1387">
        <v>0</v>
      </c>
      <c r="EE1387">
        <v>1</v>
      </c>
      <c r="EF1387">
        <v>1</v>
      </c>
      <c r="EG1387">
        <v>1</v>
      </c>
      <c r="EH1387">
        <v>0</v>
      </c>
      <c r="EI1387" s="2">
        <v>0</v>
      </c>
      <c r="EK1387" t="str">
        <f t="shared" si="1794"/>
        <v>Whole sector</v>
      </c>
      <c r="EL1387" t="str">
        <f t="shared" si="1795"/>
        <v/>
      </c>
      <c r="EM1387" s="2" t="str">
        <f t="shared" si="1751"/>
        <v/>
      </c>
      <c r="EP1387" t="b">
        <f>IF(ISNUMBER(BU1387),IF(ABS(BU1387-[1]QC_indicators!$B$2)&gt;3*[1]QC_indicators!$C$2,"C ratio",IF(ISNUMBER(BY1387),IF(ABS(BY1387-[1]QC_indicators!$B$1)&gt;3*[1]QC_indicators!$C$1,"DF","no"))),IF(ISNUMBER(BY1387),IF(ABS(BY1387-[1]QC_indicators!$B$1)&gt;3*[1]QC_indicators!$C$1,"DF","no")))</f>
        <v>0</v>
      </c>
      <c r="ER1387" s="313" t="s">
        <v>349</v>
      </c>
    </row>
    <row r="1388" spans="1:148" ht="15" hidden="1" customHeight="1">
      <c r="A1388" s="1" t="s">
        <v>1101</v>
      </c>
      <c r="B1388" t="s">
        <v>4088</v>
      </c>
      <c r="C1388" t="s">
        <v>4089</v>
      </c>
      <c r="D1388" t="s">
        <v>4090</v>
      </c>
      <c r="E1388" t="s">
        <v>4091</v>
      </c>
      <c r="F1388" t="s">
        <v>4092</v>
      </c>
      <c r="G1388" t="s">
        <v>1107</v>
      </c>
      <c r="H1388" t="s">
        <v>254</v>
      </c>
      <c r="I1388">
        <v>2011</v>
      </c>
      <c r="J1388">
        <v>57</v>
      </c>
      <c r="K1388" t="s">
        <v>4093</v>
      </c>
      <c r="M1388" t="str">
        <f t="shared" si="1755"/>
        <v>Routa_2011</v>
      </c>
      <c r="N1388" s="311" t="s">
        <v>4382</v>
      </c>
      <c r="O1388" s="145" t="s">
        <v>341</v>
      </c>
      <c r="Q1388" s="311" t="s">
        <v>256</v>
      </c>
      <c r="R1388" s="312"/>
      <c r="S1388" s="1" t="s">
        <v>4111</v>
      </c>
      <c r="T1388" t="s">
        <v>1110</v>
      </c>
      <c r="U1388" t="e">
        <f>#REF!</f>
        <v>#REF!</v>
      </c>
      <c r="V1388">
        <v>0</v>
      </c>
      <c r="W1388">
        <v>0</v>
      </c>
      <c r="X1388">
        <v>0</v>
      </c>
      <c r="Y1388">
        <v>0</v>
      </c>
      <c r="Z1388">
        <v>0</v>
      </c>
      <c r="AA1388">
        <v>2</v>
      </c>
      <c r="AB1388">
        <v>1</v>
      </c>
      <c r="AC1388">
        <v>0</v>
      </c>
      <c r="AD1388">
        <v>0</v>
      </c>
      <c r="AE1388">
        <v>0</v>
      </c>
      <c r="AF1388">
        <v>0</v>
      </c>
      <c r="AG1388">
        <v>0</v>
      </c>
      <c r="AH1388">
        <v>0</v>
      </c>
      <c r="AI1388">
        <v>0</v>
      </c>
      <c r="AJ1388">
        <v>0</v>
      </c>
      <c r="AK1388">
        <v>0</v>
      </c>
      <c r="AL1388">
        <v>0</v>
      </c>
      <c r="AM1388">
        <v>0</v>
      </c>
      <c r="AN1388">
        <v>0</v>
      </c>
      <c r="AO1388">
        <v>0</v>
      </c>
      <c r="AP1388">
        <v>0</v>
      </c>
      <c r="AQ1388">
        <v>0</v>
      </c>
      <c r="AR1388">
        <v>0</v>
      </c>
      <c r="AS1388">
        <v>0</v>
      </c>
      <c r="AT1388">
        <v>0</v>
      </c>
      <c r="AU1388">
        <v>0</v>
      </c>
      <c r="AV1388">
        <v>0</v>
      </c>
      <c r="AW1388">
        <v>0</v>
      </c>
      <c r="AX1388" s="141">
        <f t="shared" si="1796"/>
        <v>2</v>
      </c>
      <c r="AY1388" s="141">
        <f t="shared" si="1797"/>
        <v>2</v>
      </c>
      <c r="AZ1388">
        <f t="shared" si="1798"/>
        <v>2</v>
      </c>
      <c r="BA1388">
        <f t="shared" si="1799"/>
        <v>0</v>
      </c>
      <c r="BB1388">
        <f t="shared" si="1800"/>
        <v>0</v>
      </c>
      <c r="BC1388">
        <f t="shared" si="1801"/>
        <v>0</v>
      </c>
      <c r="BD1388">
        <f t="shared" si="1802"/>
        <v>0</v>
      </c>
      <c r="BE1388" t="str" cm="1">
        <f t="array" ref="BE1388">IF(AY1388=1,INDEX($V$7:$AL$7,MATCH(TRUE,INDEX($V1388:$AW1388&lt;&gt;0,),0)),IF(AY1388=0,INDEX($AM$7:$AW$7,MATCH(1,$AM1388:$AW1388,0)),IF(BF1388="Multiple strategies","mixed drivers",IF(BF1388="Supply chain","multiple supply","multiple silviculture"))))</f>
        <v>multiple silviculture</v>
      </c>
      <c r="BF1388" s="2" t="str" cm="1">
        <f t="array" ref="BF1388">IF(COUNTIF(AZ1388:BB1388,"&lt;&gt;0")=1,INDEX($V$4:$AW$4,MATCH(TRUE,INDEX($V1388:$AW1388&lt;&gt;0,),0)),IF(COUNTIF(AZ1388:BB1388,"&lt;&gt;0")=0,INDEX($AM$4:$AW$4,MATCH(1,$AM1388:$AW1388,0)),"Multiple strategies"))</f>
        <v>Silviculture for productivity</v>
      </c>
      <c r="BP1388" s="311" t="s">
        <v>232</v>
      </c>
      <c r="BQ1388" s="311"/>
      <c r="BR1388" t="s">
        <v>2169</v>
      </c>
      <c r="BS1388">
        <v>-150</v>
      </c>
      <c r="BT1388">
        <v>-109</v>
      </c>
      <c r="BU1388" s="144">
        <v>0.72666666666666668</v>
      </c>
      <c r="BV1388">
        <v>41</v>
      </c>
      <c r="BX1388">
        <f t="shared" si="1803"/>
        <v>41000</v>
      </c>
      <c r="BY1388" t="str">
        <f t="shared" si="1820"/>
        <v/>
      </c>
      <c r="BZ1388">
        <v>0</v>
      </c>
      <c r="CA1388">
        <v>0</v>
      </c>
      <c r="CB1388">
        <v>0</v>
      </c>
      <c r="CC1388">
        <v>1</v>
      </c>
      <c r="CD1388">
        <v>0</v>
      </c>
      <c r="CE1388">
        <v>0</v>
      </c>
      <c r="CF1388">
        <v>0</v>
      </c>
      <c r="CG1388">
        <v>0</v>
      </c>
      <c r="CH1388">
        <v>0</v>
      </c>
      <c r="CI1388">
        <v>0</v>
      </c>
      <c r="CJ1388">
        <v>0</v>
      </c>
      <c r="CK1388">
        <v>0</v>
      </c>
      <c r="CL1388">
        <v>0</v>
      </c>
      <c r="CM1388">
        <v>0</v>
      </c>
      <c r="CN1388" t="str">
        <f t="shared" si="1804"/>
        <v>refOK</v>
      </c>
      <c r="CO1388"/>
      <c r="CP1388"/>
      <c r="CQ1388"/>
      <c r="CR1388">
        <f t="shared" si="1805"/>
        <v>-150</v>
      </c>
      <c r="CS1388">
        <f t="shared" si="1806"/>
        <v>-109</v>
      </c>
      <c r="CT1388">
        <f t="shared" si="1807"/>
        <v>41000</v>
      </c>
      <c r="CU1388" t="str">
        <f t="shared" si="1808"/>
        <v/>
      </c>
      <c r="CV1388" s="2">
        <f t="shared" si="1809"/>
        <v>0.27333333333333332</v>
      </c>
      <c r="CW1388" s="1" t="s">
        <v>1198</v>
      </c>
      <c r="CX1388" s="311" t="str">
        <f t="shared" si="1810"/>
        <v>reg</v>
      </c>
      <c r="CY1388" t="s">
        <v>235</v>
      </c>
      <c r="CZ1388">
        <v>2011</v>
      </c>
      <c r="DA1388">
        <v>2090</v>
      </c>
      <c r="DB1388">
        <v>80</v>
      </c>
      <c r="DC1388" t="str">
        <f t="shared" si="1811"/>
        <v>71-100</v>
      </c>
      <c r="DD1388">
        <v>0</v>
      </c>
      <c r="DE1388">
        <v>1</v>
      </c>
      <c r="DF1388">
        <v>1</v>
      </c>
      <c r="DG1388">
        <v>1</v>
      </c>
      <c r="DI1388">
        <f t="shared" si="1812"/>
        <v>3</v>
      </c>
      <c r="DJ1388" t="str">
        <f t="shared" si="1813"/>
        <v>mixedProduct</v>
      </c>
      <c r="DK1388">
        <f t="shared" si="1814"/>
        <v>0</v>
      </c>
      <c r="DL1388" t="str">
        <f t="shared" si="1815"/>
        <v>Energy</v>
      </c>
      <c r="DM1388" t="str">
        <f t="shared" si="1816"/>
        <v>Pulp/Paper</v>
      </c>
      <c r="DN1388" t="str">
        <f t="shared" si="1817"/>
        <v>Timber</v>
      </c>
      <c r="DO1388">
        <v>1</v>
      </c>
      <c r="DP1388">
        <v>0</v>
      </c>
      <c r="DQ1388">
        <v>0</v>
      </c>
      <c r="DR1388">
        <v>0</v>
      </c>
      <c r="DS1388">
        <v>0</v>
      </c>
      <c r="DT1388">
        <f t="shared" si="1818"/>
        <v>1</v>
      </c>
      <c r="DU1388" s="143" t="str">
        <f t="shared" si="1819"/>
        <v>self-calculated DF</v>
      </c>
      <c r="DV1388">
        <v>1</v>
      </c>
      <c r="DW1388">
        <v>1</v>
      </c>
      <c r="DX1388">
        <v>1</v>
      </c>
      <c r="DY1388">
        <v>0</v>
      </c>
      <c r="DZ1388">
        <v>0</v>
      </c>
      <c r="EA1388" s="143">
        <v>0</v>
      </c>
      <c r="EB1388">
        <v>1</v>
      </c>
      <c r="EC1388">
        <v>1</v>
      </c>
      <c r="ED1388">
        <v>0</v>
      </c>
      <c r="EE1388">
        <v>1</v>
      </c>
      <c r="EF1388">
        <v>1</v>
      </c>
      <c r="EG1388">
        <v>1</v>
      </c>
      <c r="EH1388">
        <v>0</v>
      </c>
      <c r="EI1388" s="2">
        <v>0</v>
      </c>
      <c r="EK1388" t="str">
        <f t="shared" si="1794"/>
        <v>Whole sector</v>
      </c>
      <c r="EL1388" t="str">
        <f t="shared" si="1795"/>
        <v/>
      </c>
      <c r="EM1388" s="2" t="str">
        <f t="shared" ref="EM1388:EM1451" si="1821">IF(AND(AND(AND($DX1388=0,$DW1388=0),OR($EC1388=1,$EA1388=1)),SUM($EB1388:$EE1388)&gt;=2),"Technology approach","")</f>
        <v/>
      </c>
      <c r="EP1388" t="b">
        <f>IF(ISNUMBER(BU1388),IF(ABS(BU1388-[1]QC_indicators!$B$2)&gt;3*[1]QC_indicators!$C$2,"C ratio",IF(ISNUMBER(BY1388),IF(ABS(BY1388-[1]QC_indicators!$B$1)&gt;3*[1]QC_indicators!$C$1,"DF","no"))),IF(ISNUMBER(BY1388),IF(ABS(BY1388-[1]QC_indicators!$B$1)&gt;3*[1]QC_indicators!$C$1,"DF","no")))</f>
        <v>0</v>
      </c>
      <c r="ER1388" s="313" t="s">
        <v>349</v>
      </c>
    </row>
    <row r="1389" spans="1:148" ht="15" hidden="1" customHeight="1">
      <c r="A1389" s="1" t="s">
        <v>1101</v>
      </c>
      <c r="B1389" t="s">
        <v>4088</v>
      </c>
      <c r="C1389" t="s">
        <v>4089</v>
      </c>
      <c r="D1389" t="s">
        <v>4090</v>
      </c>
      <c r="E1389" t="s">
        <v>4091</v>
      </c>
      <c r="F1389" t="s">
        <v>4092</v>
      </c>
      <c r="G1389" t="s">
        <v>1107</v>
      </c>
      <c r="H1389" t="s">
        <v>254</v>
      </c>
      <c r="I1389">
        <v>2011</v>
      </c>
      <c r="J1389">
        <v>57</v>
      </c>
      <c r="K1389" t="s">
        <v>4093</v>
      </c>
      <c r="M1389" t="str">
        <f t="shared" si="1755"/>
        <v>Routa_2011</v>
      </c>
      <c r="N1389" s="311" t="s">
        <v>4382</v>
      </c>
      <c r="O1389" s="145" t="s">
        <v>341</v>
      </c>
      <c r="Q1389" s="311" t="s">
        <v>256</v>
      </c>
      <c r="R1389" s="312"/>
      <c r="S1389" s="1" t="s">
        <v>4112</v>
      </c>
      <c r="T1389" t="s">
        <v>1110</v>
      </c>
      <c r="U1389" t="e">
        <f>#REF!</f>
        <v>#REF!</v>
      </c>
      <c r="V1389">
        <v>0</v>
      </c>
      <c r="W1389">
        <v>0</v>
      </c>
      <c r="X1389">
        <v>0</v>
      </c>
      <c r="Y1389">
        <v>0</v>
      </c>
      <c r="Z1389">
        <v>0</v>
      </c>
      <c r="AA1389">
        <v>2</v>
      </c>
      <c r="AB1389">
        <v>1</v>
      </c>
      <c r="AC1389">
        <v>0</v>
      </c>
      <c r="AD1389">
        <v>0</v>
      </c>
      <c r="AE1389">
        <v>0</v>
      </c>
      <c r="AF1389">
        <v>0</v>
      </c>
      <c r="AG1389">
        <v>0</v>
      </c>
      <c r="AH1389">
        <v>0</v>
      </c>
      <c r="AI1389">
        <v>0</v>
      </c>
      <c r="AJ1389">
        <v>0</v>
      </c>
      <c r="AK1389">
        <v>0</v>
      </c>
      <c r="AL1389">
        <v>0</v>
      </c>
      <c r="AM1389">
        <v>0</v>
      </c>
      <c r="AN1389">
        <v>0</v>
      </c>
      <c r="AO1389">
        <v>0</v>
      </c>
      <c r="AP1389">
        <v>0</v>
      </c>
      <c r="AQ1389">
        <v>0</v>
      </c>
      <c r="AR1389">
        <v>0</v>
      </c>
      <c r="AS1389">
        <v>0</v>
      </c>
      <c r="AT1389">
        <v>0</v>
      </c>
      <c r="AU1389">
        <v>0</v>
      </c>
      <c r="AV1389">
        <v>0</v>
      </c>
      <c r="AW1389">
        <v>0</v>
      </c>
      <c r="AX1389" s="141">
        <f t="shared" si="1796"/>
        <v>2</v>
      </c>
      <c r="AY1389" s="141">
        <f t="shared" si="1797"/>
        <v>2</v>
      </c>
      <c r="AZ1389">
        <f t="shared" si="1798"/>
        <v>2</v>
      </c>
      <c r="BA1389">
        <f t="shared" si="1799"/>
        <v>0</v>
      </c>
      <c r="BB1389">
        <f t="shared" si="1800"/>
        <v>0</v>
      </c>
      <c r="BC1389">
        <f t="shared" si="1801"/>
        <v>0</v>
      </c>
      <c r="BD1389">
        <f t="shared" si="1802"/>
        <v>0</v>
      </c>
      <c r="BE1389" t="str" cm="1">
        <f t="array" ref="BE1389">IF(AY1389=1,INDEX($V$7:$AL$7,MATCH(TRUE,INDEX($V1389:$AW1389&lt;&gt;0,),0)),IF(AY1389=0,INDEX($AM$7:$AW$7,MATCH(1,$AM1389:$AW1389,0)),IF(BF1389="Multiple strategies","mixed drivers",IF(BF1389="Supply chain","multiple supply","multiple silviculture"))))</f>
        <v>multiple silviculture</v>
      </c>
      <c r="BF1389" s="2" t="str" cm="1">
        <f t="array" ref="BF1389">IF(COUNTIF(AZ1389:BB1389,"&lt;&gt;0")=1,INDEX($V$4:$AW$4,MATCH(TRUE,INDEX($V1389:$AW1389&lt;&gt;0,),0)),IF(COUNTIF(AZ1389:BB1389,"&lt;&gt;0")=0,INDEX($AM$4:$AW$4,MATCH(1,$AM1389:$AW1389,0)),"Multiple strategies"))</f>
        <v>Silviculture for productivity</v>
      </c>
      <c r="BP1389" s="311" t="s">
        <v>232</v>
      </c>
      <c r="BQ1389" s="311"/>
      <c r="BR1389" t="s">
        <v>2169</v>
      </c>
      <c r="BS1389">
        <v>-150</v>
      </c>
      <c r="BT1389">
        <v>-110</v>
      </c>
      <c r="BU1389" s="144">
        <v>0.73333333333333328</v>
      </c>
      <c r="BV1389">
        <v>40</v>
      </c>
      <c r="BX1389">
        <f t="shared" si="1803"/>
        <v>40000</v>
      </c>
      <c r="BY1389" t="str">
        <f t="shared" si="1820"/>
        <v/>
      </c>
      <c r="BZ1389">
        <v>0</v>
      </c>
      <c r="CA1389">
        <v>0</v>
      </c>
      <c r="CB1389">
        <v>0</v>
      </c>
      <c r="CC1389">
        <v>1</v>
      </c>
      <c r="CD1389">
        <v>0</v>
      </c>
      <c r="CE1389">
        <v>0</v>
      </c>
      <c r="CF1389">
        <v>0</v>
      </c>
      <c r="CG1389">
        <v>0</v>
      </c>
      <c r="CH1389">
        <v>0</v>
      </c>
      <c r="CI1389">
        <v>0</v>
      </c>
      <c r="CJ1389">
        <v>0</v>
      </c>
      <c r="CK1389">
        <v>0</v>
      </c>
      <c r="CL1389">
        <v>0</v>
      </c>
      <c r="CM1389">
        <v>0</v>
      </c>
      <c r="CN1389" t="str">
        <f t="shared" si="1804"/>
        <v>refOK</v>
      </c>
      <c r="CO1389"/>
      <c r="CP1389"/>
      <c r="CQ1389"/>
      <c r="CR1389">
        <f t="shared" si="1805"/>
        <v>-150</v>
      </c>
      <c r="CS1389">
        <f t="shared" si="1806"/>
        <v>-110</v>
      </c>
      <c r="CT1389">
        <f t="shared" si="1807"/>
        <v>40000</v>
      </c>
      <c r="CU1389" t="str">
        <f t="shared" si="1808"/>
        <v/>
      </c>
      <c r="CV1389" s="2">
        <f t="shared" si="1809"/>
        <v>0.26666666666666666</v>
      </c>
      <c r="CW1389" s="1" t="s">
        <v>1198</v>
      </c>
      <c r="CX1389" s="311" t="str">
        <f t="shared" si="1810"/>
        <v>reg</v>
      </c>
      <c r="CY1389" t="s">
        <v>235</v>
      </c>
      <c r="CZ1389">
        <v>2011</v>
      </c>
      <c r="DA1389">
        <v>2090</v>
      </c>
      <c r="DB1389">
        <v>80</v>
      </c>
      <c r="DC1389" t="str">
        <f t="shared" si="1811"/>
        <v>71-100</v>
      </c>
      <c r="DD1389">
        <v>0</v>
      </c>
      <c r="DE1389">
        <v>1</v>
      </c>
      <c r="DF1389">
        <v>1</v>
      </c>
      <c r="DG1389">
        <v>1</v>
      </c>
      <c r="DI1389">
        <f t="shared" si="1812"/>
        <v>3</v>
      </c>
      <c r="DJ1389" t="str">
        <f t="shared" si="1813"/>
        <v>mixedProduct</v>
      </c>
      <c r="DK1389">
        <f t="shared" si="1814"/>
        <v>0</v>
      </c>
      <c r="DL1389" t="str">
        <f t="shared" si="1815"/>
        <v>Energy</v>
      </c>
      <c r="DM1389" t="str">
        <f t="shared" si="1816"/>
        <v>Pulp/Paper</v>
      </c>
      <c r="DN1389" t="str">
        <f t="shared" si="1817"/>
        <v>Timber</v>
      </c>
      <c r="DO1389">
        <v>1</v>
      </c>
      <c r="DP1389">
        <v>0</v>
      </c>
      <c r="DQ1389">
        <v>0</v>
      </c>
      <c r="DR1389">
        <v>0</v>
      </c>
      <c r="DS1389">
        <v>0</v>
      </c>
      <c r="DT1389">
        <f t="shared" si="1818"/>
        <v>1</v>
      </c>
      <c r="DU1389" s="143" t="str">
        <f t="shared" si="1819"/>
        <v>self-calculated DF</v>
      </c>
      <c r="DV1389">
        <v>1</v>
      </c>
      <c r="DW1389">
        <v>1</v>
      </c>
      <c r="DX1389">
        <v>1</v>
      </c>
      <c r="DY1389">
        <v>0</v>
      </c>
      <c r="DZ1389">
        <v>0</v>
      </c>
      <c r="EA1389" s="143">
        <v>0</v>
      </c>
      <c r="EB1389">
        <v>1</v>
      </c>
      <c r="EC1389">
        <v>1</v>
      </c>
      <c r="ED1389">
        <v>0</v>
      </c>
      <c r="EE1389">
        <v>1</v>
      </c>
      <c r="EF1389">
        <v>1</v>
      </c>
      <c r="EG1389">
        <v>1</v>
      </c>
      <c r="EH1389">
        <v>0</v>
      </c>
      <c r="EI1389" s="2">
        <v>0</v>
      </c>
      <c r="EK1389" t="str">
        <f t="shared" si="1794"/>
        <v>Whole sector</v>
      </c>
      <c r="EL1389" t="str">
        <f t="shared" si="1795"/>
        <v/>
      </c>
      <c r="EM1389" s="2" t="str">
        <f t="shared" si="1821"/>
        <v/>
      </c>
      <c r="EP1389" t="b">
        <f>IF(ISNUMBER(BU1389),IF(ABS(BU1389-[1]QC_indicators!$B$2)&gt;3*[1]QC_indicators!$C$2,"C ratio",IF(ISNUMBER(BY1389),IF(ABS(BY1389-[1]QC_indicators!$B$1)&gt;3*[1]QC_indicators!$C$1,"DF","no"))),IF(ISNUMBER(BY1389),IF(ABS(BY1389-[1]QC_indicators!$B$1)&gt;3*[1]QC_indicators!$C$1,"DF","no")))</f>
        <v>0</v>
      </c>
      <c r="ER1389" s="313" t="s">
        <v>349</v>
      </c>
    </row>
    <row r="1390" spans="1:148" ht="15" hidden="1" customHeight="1">
      <c r="A1390" s="1" t="s">
        <v>1101</v>
      </c>
      <c r="B1390" t="s">
        <v>4088</v>
      </c>
      <c r="C1390" t="s">
        <v>4089</v>
      </c>
      <c r="D1390" t="s">
        <v>4090</v>
      </c>
      <c r="E1390" t="s">
        <v>4091</v>
      </c>
      <c r="F1390" t="s">
        <v>4092</v>
      </c>
      <c r="G1390" t="s">
        <v>1107</v>
      </c>
      <c r="H1390" t="s">
        <v>254</v>
      </c>
      <c r="I1390">
        <v>2011</v>
      </c>
      <c r="J1390">
        <v>57</v>
      </c>
      <c r="K1390" t="s">
        <v>4093</v>
      </c>
      <c r="M1390" t="str">
        <f t="shared" si="1755"/>
        <v>Routa_2011</v>
      </c>
      <c r="N1390" s="311" t="s">
        <v>4382</v>
      </c>
      <c r="O1390" s="145" t="s">
        <v>341</v>
      </c>
      <c r="Q1390" s="311" t="s">
        <v>256</v>
      </c>
      <c r="R1390" s="312"/>
      <c r="S1390" s="1" t="s">
        <v>4113</v>
      </c>
      <c r="T1390" t="s">
        <v>1110</v>
      </c>
      <c r="U1390" t="e">
        <f>#REF!</f>
        <v>#REF!</v>
      </c>
      <c r="V1390">
        <v>0</v>
      </c>
      <c r="W1390">
        <v>0</v>
      </c>
      <c r="X1390">
        <v>0</v>
      </c>
      <c r="Y1390">
        <v>0</v>
      </c>
      <c r="Z1390">
        <v>0</v>
      </c>
      <c r="AA1390">
        <v>2</v>
      </c>
      <c r="AB1390">
        <v>1</v>
      </c>
      <c r="AC1390">
        <v>0</v>
      </c>
      <c r="AD1390">
        <v>0</v>
      </c>
      <c r="AE1390">
        <v>0</v>
      </c>
      <c r="AF1390">
        <v>0</v>
      </c>
      <c r="AG1390">
        <v>0</v>
      </c>
      <c r="AH1390">
        <v>0</v>
      </c>
      <c r="AI1390">
        <v>0</v>
      </c>
      <c r="AJ1390">
        <v>0</v>
      </c>
      <c r="AK1390">
        <v>0</v>
      </c>
      <c r="AL1390">
        <v>0</v>
      </c>
      <c r="AM1390">
        <v>0</v>
      </c>
      <c r="AN1390">
        <v>0</v>
      </c>
      <c r="AO1390">
        <v>0</v>
      </c>
      <c r="AP1390">
        <v>0</v>
      </c>
      <c r="AQ1390">
        <v>0</v>
      </c>
      <c r="AR1390">
        <v>0</v>
      </c>
      <c r="AS1390">
        <v>0</v>
      </c>
      <c r="AT1390">
        <v>0</v>
      </c>
      <c r="AU1390">
        <v>0</v>
      </c>
      <c r="AV1390">
        <v>0</v>
      </c>
      <c r="AW1390">
        <v>0</v>
      </c>
      <c r="AX1390" s="141">
        <f t="shared" si="1796"/>
        <v>2</v>
      </c>
      <c r="AY1390" s="141">
        <f t="shared" si="1797"/>
        <v>2</v>
      </c>
      <c r="AZ1390">
        <f t="shared" si="1798"/>
        <v>2</v>
      </c>
      <c r="BA1390">
        <f t="shared" si="1799"/>
        <v>0</v>
      </c>
      <c r="BB1390">
        <f t="shared" si="1800"/>
        <v>0</v>
      </c>
      <c r="BC1390">
        <f t="shared" si="1801"/>
        <v>0</v>
      </c>
      <c r="BD1390">
        <f t="shared" si="1802"/>
        <v>0</v>
      </c>
      <c r="BE1390" t="str" cm="1">
        <f t="array" ref="BE1390">IF(AY1390=1,INDEX($V$7:$AL$7,MATCH(TRUE,INDEX($V1390:$AW1390&lt;&gt;0,),0)),IF(AY1390=0,INDEX($AM$7:$AW$7,MATCH(1,$AM1390:$AW1390,0)),IF(BF1390="Multiple strategies","mixed drivers",IF(BF1390="Supply chain","multiple supply","multiple silviculture"))))</f>
        <v>multiple silviculture</v>
      </c>
      <c r="BF1390" s="2" t="str" cm="1">
        <f t="array" ref="BF1390">IF(COUNTIF(AZ1390:BB1390,"&lt;&gt;0")=1,INDEX($V$4:$AW$4,MATCH(TRUE,INDEX($V1390:$AW1390&lt;&gt;0,),0)),IF(COUNTIF(AZ1390:BB1390,"&lt;&gt;0")=0,INDEX($AM$4:$AW$4,MATCH(1,$AM1390:$AW1390,0)),"Multiple strategies"))</f>
        <v>Silviculture for productivity</v>
      </c>
      <c r="BP1390" s="311" t="s">
        <v>232</v>
      </c>
      <c r="BQ1390" s="311"/>
      <c r="BR1390" t="s">
        <v>2169</v>
      </c>
      <c r="BS1390">
        <v>-150</v>
      </c>
      <c r="BT1390">
        <v>-110</v>
      </c>
      <c r="BU1390" s="144">
        <v>0.73333333333333328</v>
      </c>
      <c r="BV1390">
        <v>40</v>
      </c>
      <c r="BX1390">
        <f t="shared" si="1803"/>
        <v>40000</v>
      </c>
      <c r="BY1390" t="str">
        <f t="shared" si="1820"/>
        <v/>
      </c>
      <c r="BZ1390">
        <v>0</v>
      </c>
      <c r="CA1390">
        <v>0</v>
      </c>
      <c r="CB1390">
        <v>0</v>
      </c>
      <c r="CC1390">
        <v>1</v>
      </c>
      <c r="CD1390">
        <v>0</v>
      </c>
      <c r="CE1390">
        <v>0</v>
      </c>
      <c r="CF1390">
        <v>0</v>
      </c>
      <c r="CG1390">
        <v>0</v>
      </c>
      <c r="CH1390">
        <v>0</v>
      </c>
      <c r="CI1390">
        <v>0</v>
      </c>
      <c r="CJ1390">
        <v>0</v>
      </c>
      <c r="CK1390">
        <v>0</v>
      </c>
      <c r="CL1390">
        <v>0</v>
      </c>
      <c r="CM1390">
        <v>0</v>
      </c>
      <c r="CN1390" t="str">
        <f t="shared" si="1804"/>
        <v>refOK</v>
      </c>
      <c r="CO1390"/>
      <c r="CP1390"/>
      <c r="CQ1390"/>
      <c r="CR1390">
        <f t="shared" si="1805"/>
        <v>-150</v>
      </c>
      <c r="CS1390">
        <f t="shared" si="1806"/>
        <v>-110</v>
      </c>
      <c r="CT1390">
        <f t="shared" si="1807"/>
        <v>40000</v>
      </c>
      <c r="CU1390" t="str">
        <f t="shared" si="1808"/>
        <v/>
      </c>
      <c r="CV1390" s="2">
        <f t="shared" si="1809"/>
        <v>0.26666666666666666</v>
      </c>
      <c r="CW1390" s="1" t="s">
        <v>1198</v>
      </c>
      <c r="CX1390" s="311" t="str">
        <f t="shared" si="1810"/>
        <v>reg</v>
      </c>
      <c r="CY1390" t="s">
        <v>235</v>
      </c>
      <c r="CZ1390">
        <v>2011</v>
      </c>
      <c r="DA1390">
        <v>2090</v>
      </c>
      <c r="DB1390">
        <v>80</v>
      </c>
      <c r="DC1390" t="str">
        <f t="shared" si="1811"/>
        <v>71-100</v>
      </c>
      <c r="DD1390">
        <v>0</v>
      </c>
      <c r="DE1390">
        <v>1</v>
      </c>
      <c r="DF1390">
        <v>1</v>
      </c>
      <c r="DG1390">
        <v>1</v>
      </c>
      <c r="DI1390">
        <f t="shared" si="1812"/>
        <v>3</v>
      </c>
      <c r="DJ1390" t="str">
        <f t="shared" si="1813"/>
        <v>mixedProduct</v>
      </c>
      <c r="DK1390">
        <f t="shared" si="1814"/>
        <v>0</v>
      </c>
      <c r="DL1390" t="str">
        <f t="shared" si="1815"/>
        <v>Energy</v>
      </c>
      <c r="DM1390" t="str">
        <f t="shared" si="1816"/>
        <v>Pulp/Paper</v>
      </c>
      <c r="DN1390" t="str">
        <f t="shared" si="1817"/>
        <v>Timber</v>
      </c>
      <c r="DO1390">
        <v>1</v>
      </c>
      <c r="DP1390">
        <v>0</v>
      </c>
      <c r="DQ1390">
        <v>0</v>
      </c>
      <c r="DR1390">
        <v>0</v>
      </c>
      <c r="DS1390">
        <v>0</v>
      </c>
      <c r="DT1390">
        <f t="shared" si="1818"/>
        <v>1</v>
      </c>
      <c r="DU1390" s="143" t="str">
        <f t="shared" si="1819"/>
        <v>self-calculated DF</v>
      </c>
      <c r="DV1390">
        <v>1</v>
      </c>
      <c r="DW1390">
        <v>1</v>
      </c>
      <c r="DX1390">
        <v>1</v>
      </c>
      <c r="DY1390">
        <v>0</v>
      </c>
      <c r="DZ1390">
        <v>0</v>
      </c>
      <c r="EA1390" s="143">
        <v>0</v>
      </c>
      <c r="EB1390">
        <v>1</v>
      </c>
      <c r="EC1390">
        <v>1</v>
      </c>
      <c r="ED1390">
        <v>0</v>
      </c>
      <c r="EE1390">
        <v>1</v>
      </c>
      <c r="EF1390">
        <v>1</v>
      </c>
      <c r="EG1390">
        <v>1</v>
      </c>
      <c r="EH1390">
        <v>0</v>
      </c>
      <c r="EI1390" s="2">
        <v>0</v>
      </c>
      <c r="EK1390" t="str">
        <f t="shared" si="1794"/>
        <v>Whole sector</v>
      </c>
      <c r="EL1390" t="str">
        <f t="shared" si="1795"/>
        <v/>
      </c>
      <c r="EM1390" s="2" t="str">
        <f t="shared" si="1821"/>
        <v/>
      </c>
      <c r="EP1390" t="b">
        <f>IF(ISNUMBER(BU1390),IF(ABS(BU1390-[1]QC_indicators!$B$2)&gt;3*[1]QC_indicators!$C$2,"C ratio",IF(ISNUMBER(BY1390),IF(ABS(BY1390-[1]QC_indicators!$B$1)&gt;3*[1]QC_indicators!$C$1,"DF","no"))),IF(ISNUMBER(BY1390),IF(ABS(BY1390-[1]QC_indicators!$B$1)&gt;3*[1]QC_indicators!$C$1,"DF","no")))</f>
        <v>0</v>
      </c>
      <c r="ER1390" s="313" t="s">
        <v>349</v>
      </c>
    </row>
    <row r="1391" spans="1:148" ht="15" hidden="1" customHeight="1">
      <c r="A1391" s="1" t="s">
        <v>1101</v>
      </c>
      <c r="B1391" t="s">
        <v>4088</v>
      </c>
      <c r="C1391" t="s">
        <v>4089</v>
      </c>
      <c r="D1391" t="s">
        <v>4090</v>
      </c>
      <c r="E1391" t="s">
        <v>4091</v>
      </c>
      <c r="F1391" t="s">
        <v>4092</v>
      </c>
      <c r="G1391" t="s">
        <v>1107</v>
      </c>
      <c r="H1391" t="s">
        <v>254</v>
      </c>
      <c r="I1391">
        <v>2011</v>
      </c>
      <c r="J1391">
        <v>57</v>
      </c>
      <c r="K1391" t="s">
        <v>4093</v>
      </c>
      <c r="M1391" t="str">
        <f t="shared" si="1755"/>
        <v>Routa_2011</v>
      </c>
      <c r="N1391" s="311" t="s">
        <v>4382</v>
      </c>
      <c r="O1391" s="145" t="s">
        <v>341</v>
      </c>
      <c r="Q1391" s="311" t="s">
        <v>256</v>
      </c>
      <c r="R1391" s="312"/>
      <c r="S1391" s="1" t="s">
        <v>4114</v>
      </c>
      <c r="T1391" t="s">
        <v>1110</v>
      </c>
      <c r="U1391" t="e">
        <f>#REF!</f>
        <v>#REF!</v>
      </c>
      <c r="V1391">
        <v>0</v>
      </c>
      <c r="W1391">
        <v>0</v>
      </c>
      <c r="X1391">
        <v>0</v>
      </c>
      <c r="Y1391">
        <v>0</v>
      </c>
      <c r="Z1391">
        <v>0</v>
      </c>
      <c r="AA1391">
        <v>2</v>
      </c>
      <c r="AB1391">
        <v>1</v>
      </c>
      <c r="AC1391">
        <v>0</v>
      </c>
      <c r="AD1391">
        <v>0</v>
      </c>
      <c r="AE1391">
        <v>0</v>
      </c>
      <c r="AF1391">
        <v>0</v>
      </c>
      <c r="AG1391">
        <v>0</v>
      </c>
      <c r="AH1391">
        <v>0</v>
      </c>
      <c r="AI1391">
        <v>0</v>
      </c>
      <c r="AJ1391">
        <v>0</v>
      </c>
      <c r="AK1391">
        <v>0</v>
      </c>
      <c r="AL1391">
        <v>0</v>
      </c>
      <c r="AM1391">
        <v>0</v>
      </c>
      <c r="AN1391">
        <v>0</v>
      </c>
      <c r="AO1391">
        <v>0</v>
      </c>
      <c r="AP1391">
        <v>0</v>
      </c>
      <c r="AQ1391">
        <v>0</v>
      </c>
      <c r="AR1391">
        <v>0</v>
      </c>
      <c r="AS1391">
        <v>0</v>
      </c>
      <c r="AT1391">
        <v>0</v>
      </c>
      <c r="AU1391">
        <v>0</v>
      </c>
      <c r="AV1391">
        <v>0</v>
      </c>
      <c r="AW1391">
        <v>0</v>
      </c>
      <c r="AX1391" s="141">
        <f t="shared" si="1796"/>
        <v>2</v>
      </c>
      <c r="AY1391" s="141">
        <f t="shared" si="1797"/>
        <v>2</v>
      </c>
      <c r="AZ1391">
        <f t="shared" si="1798"/>
        <v>2</v>
      </c>
      <c r="BA1391">
        <f t="shared" si="1799"/>
        <v>0</v>
      </c>
      <c r="BB1391">
        <f t="shared" si="1800"/>
        <v>0</v>
      </c>
      <c r="BC1391">
        <f t="shared" si="1801"/>
        <v>0</v>
      </c>
      <c r="BD1391">
        <f t="shared" si="1802"/>
        <v>0</v>
      </c>
      <c r="BE1391" t="str" cm="1">
        <f t="array" ref="BE1391">IF(AY1391=1,INDEX($V$7:$AL$7,MATCH(TRUE,INDEX($V1391:$AW1391&lt;&gt;0,),0)),IF(AY1391=0,INDEX($AM$7:$AW$7,MATCH(1,$AM1391:$AW1391,0)),IF(BF1391="Multiple strategies","mixed drivers",IF(BF1391="Supply chain","multiple supply","multiple silviculture"))))</f>
        <v>multiple silviculture</v>
      </c>
      <c r="BF1391" s="2" t="str" cm="1">
        <f t="array" ref="BF1391">IF(COUNTIF(AZ1391:BB1391,"&lt;&gt;0")=1,INDEX($V$4:$AW$4,MATCH(TRUE,INDEX($V1391:$AW1391&lt;&gt;0,),0)),IF(COUNTIF(AZ1391:BB1391,"&lt;&gt;0")=0,INDEX($AM$4:$AW$4,MATCH(1,$AM1391:$AW1391,0)),"Multiple strategies"))</f>
        <v>Silviculture for productivity</v>
      </c>
      <c r="BP1391" s="311" t="s">
        <v>232</v>
      </c>
      <c r="BQ1391" s="311"/>
      <c r="BR1391" t="s">
        <v>2169</v>
      </c>
      <c r="BS1391">
        <v>-150</v>
      </c>
      <c r="BT1391">
        <v>-112</v>
      </c>
      <c r="BU1391" s="144">
        <v>0.7466666666666667</v>
      </c>
      <c r="BV1391">
        <v>38</v>
      </c>
      <c r="BX1391">
        <f t="shared" si="1803"/>
        <v>38000</v>
      </c>
      <c r="BY1391" t="str">
        <f t="shared" si="1820"/>
        <v/>
      </c>
      <c r="BZ1391">
        <v>0</v>
      </c>
      <c r="CA1391">
        <v>0</v>
      </c>
      <c r="CB1391">
        <v>0</v>
      </c>
      <c r="CC1391">
        <v>1</v>
      </c>
      <c r="CD1391">
        <v>0</v>
      </c>
      <c r="CE1391">
        <v>0</v>
      </c>
      <c r="CF1391">
        <v>0</v>
      </c>
      <c r="CG1391">
        <v>0</v>
      </c>
      <c r="CH1391">
        <v>0</v>
      </c>
      <c r="CI1391">
        <v>0</v>
      </c>
      <c r="CJ1391">
        <v>0</v>
      </c>
      <c r="CK1391">
        <v>0</v>
      </c>
      <c r="CL1391">
        <v>0</v>
      </c>
      <c r="CM1391">
        <v>0</v>
      </c>
      <c r="CN1391" t="str">
        <f t="shared" si="1804"/>
        <v>refOK</v>
      </c>
      <c r="CO1391"/>
      <c r="CP1391"/>
      <c r="CQ1391"/>
      <c r="CR1391">
        <f t="shared" si="1805"/>
        <v>-150</v>
      </c>
      <c r="CS1391">
        <f t="shared" si="1806"/>
        <v>-112</v>
      </c>
      <c r="CT1391">
        <f t="shared" si="1807"/>
        <v>38000</v>
      </c>
      <c r="CU1391" t="str">
        <f t="shared" si="1808"/>
        <v/>
      </c>
      <c r="CV1391" s="2">
        <f t="shared" si="1809"/>
        <v>0.25333333333333335</v>
      </c>
      <c r="CW1391" s="1" t="s">
        <v>1198</v>
      </c>
      <c r="CX1391" s="311" t="str">
        <f t="shared" si="1810"/>
        <v>reg</v>
      </c>
      <c r="CY1391" t="s">
        <v>235</v>
      </c>
      <c r="CZ1391">
        <v>2011</v>
      </c>
      <c r="DA1391">
        <v>2090</v>
      </c>
      <c r="DB1391">
        <v>80</v>
      </c>
      <c r="DC1391" t="str">
        <f t="shared" si="1811"/>
        <v>71-100</v>
      </c>
      <c r="DD1391">
        <v>0</v>
      </c>
      <c r="DE1391">
        <v>1</v>
      </c>
      <c r="DF1391">
        <v>1</v>
      </c>
      <c r="DG1391">
        <v>1</v>
      </c>
      <c r="DI1391">
        <f t="shared" si="1812"/>
        <v>3</v>
      </c>
      <c r="DJ1391" t="str">
        <f t="shared" si="1813"/>
        <v>mixedProduct</v>
      </c>
      <c r="DK1391">
        <f t="shared" si="1814"/>
        <v>0</v>
      </c>
      <c r="DL1391" t="str">
        <f t="shared" si="1815"/>
        <v>Energy</v>
      </c>
      <c r="DM1391" t="str">
        <f t="shared" si="1816"/>
        <v>Pulp/Paper</v>
      </c>
      <c r="DN1391" t="str">
        <f t="shared" si="1817"/>
        <v>Timber</v>
      </c>
      <c r="DO1391">
        <v>1</v>
      </c>
      <c r="DP1391">
        <v>0</v>
      </c>
      <c r="DQ1391">
        <v>0</v>
      </c>
      <c r="DR1391">
        <v>0</v>
      </c>
      <c r="DS1391">
        <v>0</v>
      </c>
      <c r="DT1391">
        <f t="shared" si="1818"/>
        <v>1</v>
      </c>
      <c r="DU1391" s="143" t="str">
        <f t="shared" si="1819"/>
        <v>self-calculated DF</v>
      </c>
      <c r="DV1391">
        <v>1</v>
      </c>
      <c r="DW1391">
        <v>1</v>
      </c>
      <c r="DX1391">
        <v>1</v>
      </c>
      <c r="DY1391">
        <v>0</v>
      </c>
      <c r="DZ1391">
        <v>0</v>
      </c>
      <c r="EA1391" s="143">
        <v>0</v>
      </c>
      <c r="EB1391">
        <v>1</v>
      </c>
      <c r="EC1391">
        <v>1</v>
      </c>
      <c r="ED1391">
        <v>0</v>
      </c>
      <c r="EE1391">
        <v>1</v>
      </c>
      <c r="EF1391">
        <v>1</v>
      </c>
      <c r="EG1391">
        <v>1</v>
      </c>
      <c r="EH1391">
        <v>0</v>
      </c>
      <c r="EI1391" s="2">
        <v>0</v>
      </c>
      <c r="EK1391" t="str">
        <f t="shared" si="1794"/>
        <v>Whole sector</v>
      </c>
      <c r="EL1391" t="str">
        <f t="shared" si="1795"/>
        <v/>
      </c>
      <c r="EM1391" s="2" t="str">
        <f t="shared" si="1821"/>
        <v/>
      </c>
      <c r="EP1391" t="b">
        <f>IF(ISNUMBER(BU1391),IF(ABS(BU1391-[1]QC_indicators!$B$2)&gt;3*[1]QC_indicators!$C$2,"C ratio",IF(ISNUMBER(BY1391),IF(ABS(BY1391-[1]QC_indicators!$B$1)&gt;3*[1]QC_indicators!$C$1,"DF","no"))),IF(ISNUMBER(BY1391),IF(ABS(BY1391-[1]QC_indicators!$B$1)&gt;3*[1]QC_indicators!$C$1,"DF","no")))</f>
        <v>0</v>
      </c>
      <c r="ER1391" s="313" t="s">
        <v>349</v>
      </c>
    </row>
    <row r="1392" spans="1:148" ht="15" hidden="1" customHeight="1">
      <c r="A1392" s="1" t="s">
        <v>1101</v>
      </c>
      <c r="B1392" t="s">
        <v>4088</v>
      </c>
      <c r="C1392" t="s">
        <v>4089</v>
      </c>
      <c r="D1392" t="s">
        <v>4090</v>
      </c>
      <c r="E1392" t="s">
        <v>4091</v>
      </c>
      <c r="F1392" t="s">
        <v>4092</v>
      </c>
      <c r="G1392" t="s">
        <v>1107</v>
      </c>
      <c r="H1392" t="s">
        <v>254</v>
      </c>
      <c r="I1392">
        <v>2011</v>
      </c>
      <c r="J1392">
        <v>57</v>
      </c>
      <c r="K1392" t="s">
        <v>4093</v>
      </c>
      <c r="M1392" t="str">
        <f t="shared" si="1755"/>
        <v>Routa_2011</v>
      </c>
      <c r="N1392" s="311" t="s">
        <v>4382</v>
      </c>
      <c r="O1392" s="145" t="s">
        <v>341</v>
      </c>
      <c r="Q1392" s="311" t="s">
        <v>256</v>
      </c>
      <c r="R1392" s="312"/>
      <c r="S1392" s="1" t="s">
        <v>4115</v>
      </c>
      <c r="T1392" t="s">
        <v>1110</v>
      </c>
      <c r="U1392" t="e">
        <f>#REF!</f>
        <v>#REF!</v>
      </c>
      <c r="V1392">
        <v>0</v>
      </c>
      <c r="W1392">
        <v>0</v>
      </c>
      <c r="X1392">
        <v>0</v>
      </c>
      <c r="Y1392">
        <v>0</v>
      </c>
      <c r="Z1392">
        <v>0</v>
      </c>
      <c r="AA1392">
        <v>2</v>
      </c>
      <c r="AB1392">
        <v>1</v>
      </c>
      <c r="AC1392">
        <v>0</v>
      </c>
      <c r="AD1392">
        <v>0</v>
      </c>
      <c r="AE1392">
        <v>0</v>
      </c>
      <c r="AF1392">
        <v>0</v>
      </c>
      <c r="AG1392">
        <v>0</v>
      </c>
      <c r="AH1392">
        <v>0</v>
      </c>
      <c r="AI1392">
        <v>0</v>
      </c>
      <c r="AJ1392">
        <v>0</v>
      </c>
      <c r="AK1392">
        <v>0</v>
      </c>
      <c r="AL1392">
        <v>0</v>
      </c>
      <c r="AM1392">
        <v>0</v>
      </c>
      <c r="AN1392">
        <v>0</v>
      </c>
      <c r="AO1392">
        <v>0</v>
      </c>
      <c r="AP1392">
        <v>0</v>
      </c>
      <c r="AQ1392">
        <v>0</v>
      </c>
      <c r="AR1392">
        <v>0</v>
      </c>
      <c r="AS1392">
        <v>0</v>
      </c>
      <c r="AT1392">
        <v>0</v>
      </c>
      <c r="AU1392">
        <v>0</v>
      </c>
      <c r="AV1392">
        <v>0</v>
      </c>
      <c r="AW1392">
        <v>0</v>
      </c>
      <c r="AX1392" s="141">
        <f t="shared" si="1796"/>
        <v>2</v>
      </c>
      <c r="AY1392" s="141">
        <f t="shared" si="1797"/>
        <v>2</v>
      </c>
      <c r="AZ1392">
        <f t="shared" si="1798"/>
        <v>2</v>
      </c>
      <c r="BA1392">
        <f t="shared" si="1799"/>
        <v>0</v>
      </c>
      <c r="BB1392">
        <f t="shared" si="1800"/>
        <v>0</v>
      </c>
      <c r="BC1392">
        <f t="shared" si="1801"/>
        <v>0</v>
      </c>
      <c r="BD1392">
        <f t="shared" si="1802"/>
        <v>0</v>
      </c>
      <c r="BE1392" t="str" cm="1">
        <f t="array" ref="BE1392">IF(AY1392=1,INDEX($V$7:$AL$7,MATCH(TRUE,INDEX($V1392:$AW1392&lt;&gt;0,),0)),IF(AY1392=0,INDEX($AM$7:$AW$7,MATCH(1,$AM1392:$AW1392,0)),IF(BF1392="Multiple strategies","mixed drivers",IF(BF1392="Supply chain","multiple supply","multiple silviculture"))))</f>
        <v>multiple silviculture</v>
      </c>
      <c r="BF1392" s="2" t="str" cm="1">
        <f t="array" ref="BF1392">IF(COUNTIF(AZ1392:BB1392,"&lt;&gt;0")=1,INDEX($V$4:$AW$4,MATCH(TRUE,INDEX($V1392:$AW1392&lt;&gt;0,),0)),IF(COUNTIF(AZ1392:BB1392,"&lt;&gt;0")=0,INDEX($AM$4:$AW$4,MATCH(1,$AM1392:$AW1392,0)),"Multiple strategies"))</f>
        <v>Silviculture for productivity</v>
      </c>
      <c r="BP1392" s="311" t="s">
        <v>232</v>
      </c>
      <c r="BQ1392" s="311"/>
      <c r="BR1392" t="s">
        <v>2169</v>
      </c>
      <c r="BS1392">
        <v>-150</v>
      </c>
      <c r="BT1392">
        <v>-112</v>
      </c>
      <c r="BU1392" s="144">
        <v>0.7466666666666667</v>
      </c>
      <c r="BV1392">
        <v>38</v>
      </c>
      <c r="BX1392">
        <f t="shared" si="1803"/>
        <v>38000</v>
      </c>
      <c r="BY1392" t="str">
        <f t="shared" si="1820"/>
        <v/>
      </c>
      <c r="BZ1392">
        <v>0</v>
      </c>
      <c r="CA1392">
        <v>0</v>
      </c>
      <c r="CB1392">
        <v>0</v>
      </c>
      <c r="CC1392">
        <v>1</v>
      </c>
      <c r="CD1392">
        <v>0</v>
      </c>
      <c r="CE1392">
        <v>0</v>
      </c>
      <c r="CF1392">
        <v>0</v>
      </c>
      <c r="CG1392">
        <v>0</v>
      </c>
      <c r="CH1392">
        <v>0</v>
      </c>
      <c r="CI1392">
        <v>0</v>
      </c>
      <c r="CJ1392">
        <v>0</v>
      </c>
      <c r="CK1392">
        <v>0</v>
      </c>
      <c r="CL1392">
        <v>0</v>
      </c>
      <c r="CM1392">
        <v>0</v>
      </c>
      <c r="CN1392" t="str">
        <f t="shared" si="1804"/>
        <v>refOK</v>
      </c>
      <c r="CO1392"/>
      <c r="CP1392"/>
      <c r="CQ1392"/>
      <c r="CR1392">
        <f t="shared" si="1805"/>
        <v>-150</v>
      </c>
      <c r="CS1392">
        <f t="shared" si="1806"/>
        <v>-112</v>
      </c>
      <c r="CT1392">
        <f t="shared" si="1807"/>
        <v>38000</v>
      </c>
      <c r="CU1392" t="str">
        <f t="shared" si="1808"/>
        <v/>
      </c>
      <c r="CV1392" s="2">
        <f t="shared" si="1809"/>
        <v>0.25333333333333335</v>
      </c>
      <c r="CW1392" s="1" t="s">
        <v>1198</v>
      </c>
      <c r="CX1392" s="311" t="str">
        <f t="shared" si="1810"/>
        <v>reg</v>
      </c>
      <c r="CY1392" t="s">
        <v>235</v>
      </c>
      <c r="CZ1392">
        <v>2011</v>
      </c>
      <c r="DA1392">
        <v>2090</v>
      </c>
      <c r="DB1392">
        <v>80</v>
      </c>
      <c r="DC1392" t="str">
        <f t="shared" si="1811"/>
        <v>71-100</v>
      </c>
      <c r="DD1392">
        <v>0</v>
      </c>
      <c r="DE1392">
        <v>1</v>
      </c>
      <c r="DF1392">
        <v>1</v>
      </c>
      <c r="DG1392">
        <v>1</v>
      </c>
      <c r="DI1392">
        <f t="shared" si="1812"/>
        <v>3</v>
      </c>
      <c r="DJ1392" t="str">
        <f t="shared" si="1813"/>
        <v>mixedProduct</v>
      </c>
      <c r="DK1392">
        <f t="shared" si="1814"/>
        <v>0</v>
      </c>
      <c r="DL1392" t="str">
        <f t="shared" si="1815"/>
        <v>Energy</v>
      </c>
      <c r="DM1392" t="str">
        <f t="shared" si="1816"/>
        <v>Pulp/Paper</v>
      </c>
      <c r="DN1392" t="str">
        <f t="shared" si="1817"/>
        <v>Timber</v>
      </c>
      <c r="DO1392">
        <v>1</v>
      </c>
      <c r="DP1392">
        <v>0</v>
      </c>
      <c r="DQ1392">
        <v>0</v>
      </c>
      <c r="DR1392">
        <v>0</v>
      </c>
      <c r="DS1392">
        <v>0</v>
      </c>
      <c r="DT1392">
        <f t="shared" si="1818"/>
        <v>1</v>
      </c>
      <c r="DU1392" s="143" t="str">
        <f t="shared" si="1819"/>
        <v>self-calculated DF</v>
      </c>
      <c r="DV1392">
        <v>1</v>
      </c>
      <c r="DW1392">
        <v>1</v>
      </c>
      <c r="DX1392">
        <v>1</v>
      </c>
      <c r="DY1392">
        <v>0</v>
      </c>
      <c r="DZ1392">
        <v>0</v>
      </c>
      <c r="EA1392" s="143">
        <v>0</v>
      </c>
      <c r="EB1392">
        <v>1</v>
      </c>
      <c r="EC1392">
        <v>1</v>
      </c>
      <c r="ED1392">
        <v>0</v>
      </c>
      <c r="EE1392">
        <v>1</v>
      </c>
      <c r="EF1392">
        <v>1</v>
      </c>
      <c r="EG1392">
        <v>1</v>
      </c>
      <c r="EH1392">
        <v>0</v>
      </c>
      <c r="EI1392" s="2">
        <v>0</v>
      </c>
      <c r="EK1392" t="str">
        <f t="shared" si="1794"/>
        <v>Whole sector</v>
      </c>
      <c r="EL1392" t="str">
        <f t="shared" si="1795"/>
        <v/>
      </c>
      <c r="EM1392" s="2" t="str">
        <f t="shared" si="1821"/>
        <v/>
      </c>
      <c r="EP1392" t="b">
        <f>IF(ISNUMBER(BU1392),IF(ABS(BU1392-[1]QC_indicators!$B$2)&gt;3*[1]QC_indicators!$C$2,"C ratio",IF(ISNUMBER(BY1392),IF(ABS(BY1392-[1]QC_indicators!$B$1)&gt;3*[1]QC_indicators!$C$1,"DF","no"))),IF(ISNUMBER(BY1392),IF(ABS(BY1392-[1]QC_indicators!$B$1)&gt;3*[1]QC_indicators!$C$1,"DF","no")))</f>
        <v>0</v>
      </c>
      <c r="ER1392" s="313" t="s">
        <v>349</v>
      </c>
    </row>
    <row r="1393" spans="1:150" ht="15" hidden="1" customHeight="1">
      <c r="A1393" s="1" t="s">
        <v>1101</v>
      </c>
      <c r="B1393" t="s">
        <v>4088</v>
      </c>
      <c r="C1393" t="s">
        <v>4089</v>
      </c>
      <c r="D1393" t="s">
        <v>4090</v>
      </c>
      <c r="E1393" t="s">
        <v>4091</v>
      </c>
      <c r="F1393" t="s">
        <v>4092</v>
      </c>
      <c r="G1393" t="s">
        <v>1107</v>
      </c>
      <c r="H1393" t="s">
        <v>254</v>
      </c>
      <c r="I1393">
        <v>2011</v>
      </c>
      <c r="J1393">
        <v>57</v>
      </c>
      <c r="K1393" t="s">
        <v>4093</v>
      </c>
      <c r="M1393" t="str">
        <f t="shared" si="1755"/>
        <v>Routa_2011</v>
      </c>
      <c r="N1393" s="311" t="s">
        <v>4382</v>
      </c>
      <c r="O1393" s="145" t="s">
        <v>341</v>
      </c>
      <c r="Q1393" s="311" t="s">
        <v>256</v>
      </c>
      <c r="R1393" s="312"/>
      <c r="S1393" s="1" t="s">
        <v>4116</v>
      </c>
      <c r="T1393" t="s">
        <v>1110</v>
      </c>
      <c r="U1393" t="e">
        <f>#REF!</f>
        <v>#REF!</v>
      </c>
      <c r="V1393">
        <v>0</v>
      </c>
      <c r="W1393">
        <v>0</v>
      </c>
      <c r="X1393">
        <v>0</v>
      </c>
      <c r="Y1393">
        <v>0</v>
      </c>
      <c r="Z1393">
        <v>0</v>
      </c>
      <c r="AA1393">
        <v>2</v>
      </c>
      <c r="AB1393">
        <v>1</v>
      </c>
      <c r="AC1393">
        <v>0</v>
      </c>
      <c r="AD1393">
        <v>0</v>
      </c>
      <c r="AE1393">
        <v>0</v>
      </c>
      <c r="AF1393">
        <v>0</v>
      </c>
      <c r="AG1393">
        <v>0</v>
      </c>
      <c r="AH1393">
        <v>0</v>
      </c>
      <c r="AI1393">
        <v>0</v>
      </c>
      <c r="AJ1393">
        <v>0</v>
      </c>
      <c r="AK1393">
        <v>0</v>
      </c>
      <c r="AL1393">
        <v>0</v>
      </c>
      <c r="AM1393">
        <v>0</v>
      </c>
      <c r="AN1393">
        <v>0</v>
      </c>
      <c r="AO1393">
        <v>0</v>
      </c>
      <c r="AP1393">
        <v>0</v>
      </c>
      <c r="AQ1393">
        <v>0</v>
      </c>
      <c r="AR1393">
        <v>0</v>
      </c>
      <c r="AS1393">
        <v>0</v>
      </c>
      <c r="AT1393">
        <v>0</v>
      </c>
      <c r="AU1393">
        <v>0</v>
      </c>
      <c r="AV1393">
        <v>0</v>
      </c>
      <c r="AW1393">
        <v>0</v>
      </c>
      <c r="AX1393" s="141">
        <f t="shared" si="1796"/>
        <v>2</v>
      </c>
      <c r="AY1393" s="141">
        <f t="shared" si="1797"/>
        <v>2</v>
      </c>
      <c r="AZ1393">
        <f t="shared" si="1798"/>
        <v>2</v>
      </c>
      <c r="BA1393">
        <f t="shared" si="1799"/>
        <v>0</v>
      </c>
      <c r="BB1393">
        <f t="shared" si="1800"/>
        <v>0</v>
      </c>
      <c r="BC1393">
        <f t="shared" si="1801"/>
        <v>0</v>
      </c>
      <c r="BD1393">
        <f t="shared" si="1802"/>
        <v>0</v>
      </c>
      <c r="BE1393" t="str" cm="1">
        <f t="array" ref="BE1393">IF(AY1393=1,INDEX($V$7:$AL$7,MATCH(TRUE,INDEX($V1393:$AW1393&lt;&gt;0,),0)),IF(AY1393=0,INDEX($AM$7:$AW$7,MATCH(1,$AM1393:$AW1393,0)),IF(BF1393="Multiple strategies","mixed drivers",IF(BF1393="Supply chain","multiple supply","multiple silviculture"))))</f>
        <v>multiple silviculture</v>
      </c>
      <c r="BF1393" s="2" t="str" cm="1">
        <f t="array" ref="BF1393">IF(COUNTIF(AZ1393:BB1393,"&lt;&gt;0")=1,INDEX($V$4:$AW$4,MATCH(TRUE,INDEX($V1393:$AW1393&lt;&gt;0,),0)),IF(COUNTIF(AZ1393:BB1393,"&lt;&gt;0")=0,INDEX($AM$4:$AW$4,MATCH(1,$AM1393:$AW1393,0)),"Multiple strategies"))</f>
        <v>Silviculture for productivity</v>
      </c>
      <c r="BP1393" s="311" t="s">
        <v>232</v>
      </c>
      <c r="BQ1393" s="311"/>
      <c r="BR1393" t="s">
        <v>2169</v>
      </c>
      <c r="BS1393">
        <v>-200</v>
      </c>
      <c r="BT1393">
        <v>-152</v>
      </c>
      <c r="BU1393" s="144">
        <v>0.76</v>
      </c>
      <c r="BV1393">
        <v>48</v>
      </c>
      <c r="BX1393">
        <f t="shared" si="1803"/>
        <v>48000</v>
      </c>
      <c r="BY1393" t="str">
        <f t="shared" si="1820"/>
        <v/>
      </c>
      <c r="BZ1393">
        <v>0</v>
      </c>
      <c r="CA1393">
        <v>0</v>
      </c>
      <c r="CB1393">
        <v>0</v>
      </c>
      <c r="CC1393">
        <v>1</v>
      </c>
      <c r="CD1393">
        <v>0</v>
      </c>
      <c r="CE1393">
        <v>0</v>
      </c>
      <c r="CF1393">
        <v>0</v>
      </c>
      <c r="CG1393">
        <v>0</v>
      </c>
      <c r="CH1393">
        <v>0</v>
      </c>
      <c r="CI1393">
        <v>0</v>
      </c>
      <c r="CJ1393">
        <v>0</v>
      </c>
      <c r="CK1393">
        <v>0</v>
      </c>
      <c r="CL1393">
        <v>0</v>
      </c>
      <c r="CM1393">
        <v>0</v>
      </c>
      <c r="CN1393" t="str">
        <f t="shared" si="1804"/>
        <v>refOK</v>
      </c>
      <c r="CO1393"/>
      <c r="CP1393"/>
      <c r="CQ1393"/>
      <c r="CR1393">
        <f t="shared" si="1805"/>
        <v>-200</v>
      </c>
      <c r="CS1393">
        <f t="shared" si="1806"/>
        <v>-152</v>
      </c>
      <c r="CT1393">
        <f t="shared" si="1807"/>
        <v>48000</v>
      </c>
      <c r="CU1393" t="str">
        <f t="shared" si="1808"/>
        <v/>
      </c>
      <c r="CV1393" s="2">
        <f t="shared" si="1809"/>
        <v>0.24</v>
      </c>
      <c r="CW1393" s="1" t="s">
        <v>1198</v>
      </c>
      <c r="CX1393" s="311" t="str">
        <f t="shared" si="1810"/>
        <v>reg</v>
      </c>
      <c r="CY1393" t="s">
        <v>235</v>
      </c>
      <c r="CZ1393">
        <v>2011</v>
      </c>
      <c r="DA1393">
        <v>2090</v>
      </c>
      <c r="DB1393">
        <v>80</v>
      </c>
      <c r="DC1393" t="str">
        <f t="shared" si="1811"/>
        <v>71-100</v>
      </c>
      <c r="DD1393">
        <v>0</v>
      </c>
      <c r="DE1393">
        <v>1</v>
      </c>
      <c r="DF1393">
        <v>1</v>
      </c>
      <c r="DG1393">
        <v>1</v>
      </c>
      <c r="DI1393">
        <f t="shared" si="1812"/>
        <v>3</v>
      </c>
      <c r="DJ1393" t="str">
        <f t="shared" si="1813"/>
        <v>mixedProduct</v>
      </c>
      <c r="DK1393">
        <f t="shared" si="1814"/>
        <v>0</v>
      </c>
      <c r="DL1393" t="str">
        <f t="shared" si="1815"/>
        <v>Energy</v>
      </c>
      <c r="DM1393" t="str">
        <f t="shared" si="1816"/>
        <v>Pulp/Paper</v>
      </c>
      <c r="DN1393" t="str">
        <f t="shared" si="1817"/>
        <v>Timber</v>
      </c>
      <c r="DO1393">
        <v>1</v>
      </c>
      <c r="DP1393">
        <v>0</v>
      </c>
      <c r="DQ1393">
        <v>0</v>
      </c>
      <c r="DR1393">
        <v>0</v>
      </c>
      <c r="DS1393">
        <v>0</v>
      </c>
      <c r="DT1393">
        <f t="shared" si="1818"/>
        <v>1</v>
      </c>
      <c r="DU1393" s="143" t="str">
        <f t="shared" si="1819"/>
        <v>self-calculated DF</v>
      </c>
      <c r="DV1393">
        <v>1</v>
      </c>
      <c r="DW1393">
        <v>1</v>
      </c>
      <c r="DX1393">
        <v>1</v>
      </c>
      <c r="DY1393">
        <v>0</v>
      </c>
      <c r="DZ1393">
        <v>0</v>
      </c>
      <c r="EA1393" s="143">
        <v>0</v>
      </c>
      <c r="EB1393">
        <v>1</v>
      </c>
      <c r="EC1393">
        <v>1</v>
      </c>
      <c r="ED1393">
        <v>0</v>
      </c>
      <c r="EE1393">
        <v>1</v>
      </c>
      <c r="EF1393">
        <v>1</v>
      </c>
      <c r="EG1393">
        <v>1</v>
      </c>
      <c r="EH1393">
        <v>0</v>
      </c>
      <c r="EI1393" s="2">
        <v>0</v>
      </c>
      <c r="EK1393" t="str">
        <f t="shared" si="1794"/>
        <v>Whole sector</v>
      </c>
      <c r="EL1393" t="str">
        <f t="shared" si="1795"/>
        <v/>
      </c>
      <c r="EM1393" s="2" t="str">
        <f t="shared" si="1821"/>
        <v/>
      </c>
      <c r="EP1393" t="b">
        <f>IF(ISNUMBER(BU1393),IF(ABS(BU1393-[1]QC_indicators!$B$2)&gt;3*[1]QC_indicators!$C$2,"C ratio",IF(ISNUMBER(BY1393),IF(ABS(BY1393-[1]QC_indicators!$B$1)&gt;3*[1]QC_indicators!$C$1,"DF","no"))),IF(ISNUMBER(BY1393),IF(ABS(BY1393-[1]QC_indicators!$B$1)&gt;3*[1]QC_indicators!$C$1,"DF","no")))</f>
        <v>0</v>
      </c>
      <c r="ER1393" s="313" t="s">
        <v>349</v>
      </c>
    </row>
    <row r="1394" spans="1:150" ht="15" hidden="1" customHeight="1">
      <c r="A1394" s="1" t="s">
        <v>1101</v>
      </c>
      <c r="B1394" t="s">
        <v>4088</v>
      </c>
      <c r="C1394" t="s">
        <v>4089</v>
      </c>
      <c r="D1394" t="s">
        <v>4090</v>
      </c>
      <c r="E1394" t="s">
        <v>4091</v>
      </c>
      <c r="F1394" t="s">
        <v>4092</v>
      </c>
      <c r="G1394" t="s">
        <v>1107</v>
      </c>
      <c r="H1394" t="s">
        <v>254</v>
      </c>
      <c r="I1394">
        <v>2011</v>
      </c>
      <c r="J1394">
        <v>57</v>
      </c>
      <c r="K1394" t="s">
        <v>4093</v>
      </c>
      <c r="M1394" t="str">
        <f t="shared" si="1755"/>
        <v>Routa_2011</v>
      </c>
      <c r="N1394" s="311" t="s">
        <v>4382</v>
      </c>
      <c r="O1394" s="145" t="s">
        <v>341</v>
      </c>
      <c r="Q1394" s="311" t="s">
        <v>256</v>
      </c>
      <c r="R1394" s="312"/>
      <c r="S1394" s="1" t="s">
        <v>4117</v>
      </c>
      <c r="T1394" t="s">
        <v>1110</v>
      </c>
      <c r="U1394" t="e">
        <f>#REF!</f>
        <v>#REF!</v>
      </c>
      <c r="V1394">
        <v>0</v>
      </c>
      <c r="W1394">
        <v>0</v>
      </c>
      <c r="X1394">
        <v>0</v>
      </c>
      <c r="Y1394">
        <v>0</v>
      </c>
      <c r="Z1394">
        <v>0</v>
      </c>
      <c r="AA1394">
        <v>2</v>
      </c>
      <c r="AB1394">
        <v>1</v>
      </c>
      <c r="AC1394">
        <v>0</v>
      </c>
      <c r="AD1394">
        <v>0</v>
      </c>
      <c r="AE1394">
        <v>0</v>
      </c>
      <c r="AF1394">
        <v>0</v>
      </c>
      <c r="AG1394">
        <v>0</v>
      </c>
      <c r="AH1394">
        <v>0</v>
      </c>
      <c r="AI1394">
        <v>0</v>
      </c>
      <c r="AJ1394">
        <v>0</v>
      </c>
      <c r="AK1394">
        <v>0</v>
      </c>
      <c r="AL1394">
        <v>0</v>
      </c>
      <c r="AM1394">
        <v>0</v>
      </c>
      <c r="AN1394">
        <v>0</v>
      </c>
      <c r="AO1394">
        <v>0</v>
      </c>
      <c r="AP1394">
        <v>0</v>
      </c>
      <c r="AQ1394">
        <v>0</v>
      </c>
      <c r="AR1394">
        <v>0</v>
      </c>
      <c r="AS1394">
        <v>0</v>
      </c>
      <c r="AT1394">
        <v>0</v>
      </c>
      <c r="AU1394">
        <v>0</v>
      </c>
      <c r="AV1394">
        <v>0</v>
      </c>
      <c r="AW1394">
        <v>0</v>
      </c>
      <c r="AX1394" s="141">
        <f t="shared" si="1796"/>
        <v>2</v>
      </c>
      <c r="AY1394" s="141">
        <f t="shared" si="1797"/>
        <v>2</v>
      </c>
      <c r="AZ1394">
        <f t="shared" si="1798"/>
        <v>2</v>
      </c>
      <c r="BA1394">
        <f t="shared" si="1799"/>
        <v>0</v>
      </c>
      <c r="BB1394">
        <f t="shared" si="1800"/>
        <v>0</v>
      </c>
      <c r="BC1394">
        <f t="shared" si="1801"/>
        <v>0</v>
      </c>
      <c r="BD1394">
        <f t="shared" si="1802"/>
        <v>0</v>
      </c>
      <c r="BE1394" t="str" cm="1">
        <f t="array" ref="BE1394">IF(AY1394=1,INDEX($V$7:$AL$7,MATCH(TRUE,INDEX($V1394:$AW1394&lt;&gt;0,),0)),IF(AY1394=0,INDEX($AM$7:$AW$7,MATCH(1,$AM1394:$AW1394,0)),IF(BF1394="Multiple strategies","mixed drivers",IF(BF1394="Supply chain","multiple supply","multiple silviculture"))))</f>
        <v>multiple silviculture</v>
      </c>
      <c r="BF1394" s="2" t="str" cm="1">
        <f t="array" ref="BF1394">IF(COUNTIF(AZ1394:BB1394,"&lt;&gt;0")=1,INDEX($V$4:$AW$4,MATCH(TRUE,INDEX($V1394:$AW1394&lt;&gt;0,),0)),IF(COUNTIF(AZ1394:BB1394,"&lt;&gt;0")=0,INDEX($AM$4:$AW$4,MATCH(1,$AM1394:$AW1394,0)),"Multiple strategies"))</f>
        <v>Silviculture for productivity</v>
      </c>
      <c r="BP1394" s="311" t="s">
        <v>232</v>
      </c>
      <c r="BQ1394" s="311"/>
      <c r="BR1394" t="s">
        <v>2169</v>
      </c>
      <c r="BS1394">
        <v>-200</v>
      </c>
      <c r="BT1394">
        <v>-155</v>
      </c>
      <c r="BU1394" s="144">
        <v>0.77500000000000002</v>
      </c>
      <c r="BV1394">
        <v>45</v>
      </c>
      <c r="BX1394">
        <f t="shared" si="1803"/>
        <v>45000</v>
      </c>
      <c r="BY1394" t="str">
        <f t="shared" si="1820"/>
        <v/>
      </c>
      <c r="BZ1394">
        <v>0</v>
      </c>
      <c r="CA1394">
        <v>0</v>
      </c>
      <c r="CB1394">
        <v>0</v>
      </c>
      <c r="CC1394">
        <v>1</v>
      </c>
      <c r="CD1394">
        <v>0</v>
      </c>
      <c r="CE1394">
        <v>0</v>
      </c>
      <c r="CF1394">
        <v>0</v>
      </c>
      <c r="CG1394">
        <v>0</v>
      </c>
      <c r="CH1394">
        <v>0</v>
      </c>
      <c r="CI1394">
        <v>0</v>
      </c>
      <c r="CJ1394">
        <v>0</v>
      </c>
      <c r="CK1394">
        <v>0</v>
      </c>
      <c r="CL1394">
        <v>0</v>
      </c>
      <c r="CM1394">
        <v>0</v>
      </c>
      <c r="CN1394" t="str">
        <f t="shared" si="1804"/>
        <v>refOK</v>
      </c>
      <c r="CO1394"/>
      <c r="CP1394"/>
      <c r="CQ1394"/>
      <c r="CR1394">
        <f t="shared" si="1805"/>
        <v>-200</v>
      </c>
      <c r="CS1394">
        <f t="shared" si="1806"/>
        <v>-155</v>
      </c>
      <c r="CT1394">
        <f t="shared" si="1807"/>
        <v>45000</v>
      </c>
      <c r="CU1394" t="str">
        <f t="shared" si="1808"/>
        <v/>
      </c>
      <c r="CV1394" s="2">
        <f t="shared" si="1809"/>
        <v>0.22500000000000001</v>
      </c>
      <c r="CW1394" s="1" t="s">
        <v>1198</v>
      </c>
      <c r="CX1394" s="311" t="str">
        <f t="shared" si="1810"/>
        <v>reg</v>
      </c>
      <c r="CY1394" t="s">
        <v>235</v>
      </c>
      <c r="CZ1394">
        <v>2011</v>
      </c>
      <c r="DA1394">
        <v>2090</v>
      </c>
      <c r="DB1394">
        <v>80</v>
      </c>
      <c r="DC1394" t="str">
        <f t="shared" si="1811"/>
        <v>71-100</v>
      </c>
      <c r="DD1394">
        <v>0</v>
      </c>
      <c r="DE1394">
        <v>1</v>
      </c>
      <c r="DF1394">
        <v>1</v>
      </c>
      <c r="DG1394">
        <v>1</v>
      </c>
      <c r="DI1394">
        <f t="shared" si="1812"/>
        <v>3</v>
      </c>
      <c r="DJ1394" t="str">
        <f t="shared" si="1813"/>
        <v>mixedProduct</v>
      </c>
      <c r="DK1394">
        <f t="shared" si="1814"/>
        <v>0</v>
      </c>
      <c r="DL1394" t="str">
        <f t="shared" si="1815"/>
        <v>Energy</v>
      </c>
      <c r="DM1394" t="str">
        <f t="shared" si="1816"/>
        <v>Pulp/Paper</v>
      </c>
      <c r="DN1394" t="str">
        <f t="shared" si="1817"/>
        <v>Timber</v>
      </c>
      <c r="DO1394">
        <v>1</v>
      </c>
      <c r="DP1394">
        <v>0</v>
      </c>
      <c r="DQ1394">
        <v>0</v>
      </c>
      <c r="DR1394">
        <v>0</v>
      </c>
      <c r="DS1394">
        <v>0</v>
      </c>
      <c r="DT1394">
        <f t="shared" si="1818"/>
        <v>1</v>
      </c>
      <c r="DU1394" s="143" t="str">
        <f t="shared" si="1819"/>
        <v>self-calculated DF</v>
      </c>
      <c r="DV1394">
        <v>1</v>
      </c>
      <c r="DW1394">
        <v>1</v>
      </c>
      <c r="DX1394">
        <v>1</v>
      </c>
      <c r="DY1394">
        <v>0</v>
      </c>
      <c r="DZ1394">
        <v>0</v>
      </c>
      <c r="EA1394" s="143">
        <v>0</v>
      </c>
      <c r="EB1394">
        <v>1</v>
      </c>
      <c r="EC1394">
        <v>1</v>
      </c>
      <c r="ED1394">
        <v>0</v>
      </c>
      <c r="EE1394">
        <v>1</v>
      </c>
      <c r="EF1394">
        <v>1</v>
      </c>
      <c r="EG1394">
        <v>1</v>
      </c>
      <c r="EH1394">
        <v>0</v>
      </c>
      <c r="EI1394" s="2">
        <v>0</v>
      </c>
      <c r="EK1394" t="str">
        <f t="shared" si="1794"/>
        <v>Whole sector</v>
      </c>
      <c r="EL1394" t="str">
        <f t="shared" si="1795"/>
        <v/>
      </c>
      <c r="EM1394" s="2" t="str">
        <f t="shared" si="1821"/>
        <v/>
      </c>
      <c r="EP1394" t="b">
        <f>IF(ISNUMBER(BU1394),IF(ABS(BU1394-[1]QC_indicators!$B$2)&gt;3*[1]QC_indicators!$C$2,"C ratio",IF(ISNUMBER(BY1394),IF(ABS(BY1394-[1]QC_indicators!$B$1)&gt;3*[1]QC_indicators!$C$1,"DF","no"))),IF(ISNUMBER(BY1394),IF(ABS(BY1394-[1]QC_indicators!$B$1)&gt;3*[1]QC_indicators!$C$1,"DF","no")))</f>
        <v>0</v>
      </c>
      <c r="ER1394" s="313" t="s">
        <v>349</v>
      </c>
    </row>
    <row r="1395" spans="1:150" ht="15" hidden="1" customHeight="1">
      <c r="A1395" s="1" t="s">
        <v>1101</v>
      </c>
      <c r="B1395" t="s">
        <v>4088</v>
      </c>
      <c r="C1395" t="s">
        <v>4089</v>
      </c>
      <c r="D1395" t="s">
        <v>4090</v>
      </c>
      <c r="E1395" t="s">
        <v>4091</v>
      </c>
      <c r="F1395" t="s">
        <v>4092</v>
      </c>
      <c r="G1395" t="s">
        <v>1107</v>
      </c>
      <c r="H1395" t="s">
        <v>254</v>
      </c>
      <c r="I1395">
        <v>2011</v>
      </c>
      <c r="J1395">
        <v>57</v>
      </c>
      <c r="K1395" t="s">
        <v>4093</v>
      </c>
      <c r="M1395" t="str">
        <f t="shared" si="1755"/>
        <v>Routa_2011</v>
      </c>
      <c r="N1395" s="311" t="s">
        <v>4382</v>
      </c>
      <c r="O1395" s="145" t="s">
        <v>341</v>
      </c>
      <c r="Q1395" s="311" t="s">
        <v>256</v>
      </c>
      <c r="R1395" s="312"/>
      <c r="S1395" s="1" t="s">
        <v>4118</v>
      </c>
      <c r="T1395" t="s">
        <v>1110</v>
      </c>
      <c r="U1395" t="e">
        <f>#REF!</f>
        <v>#REF!</v>
      </c>
      <c r="V1395">
        <v>0</v>
      </c>
      <c r="W1395">
        <v>0</v>
      </c>
      <c r="X1395">
        <v>0</v>
      </c>
      <c r="Y1395">
        <v>0</v>
      </c>
      <c r="Z1395">
        <v>0</v>
      </c>
      <c r="AA1395">
        <v>2</v>
      </c>
      <c r="AB1395">
        <v>1</v>
      </c>
      <c r="AC1395">
        <v>0</v>
      </c>
      <c r="AD1395">
        <v>0</v>
      </c>
      <c r="AE1395">
        <v>0</v>
      </c>
      <c r="AF1395">
        <v>0</v>
      </c>
      <c r="AG1395">
        <v>0</v>
      </c>
      <c r="AH1395">
        <v>0</v>
      </c>
      <c r="AI1395">
        <v>0</v>
      </c>
      <c r="AJ1395">
        <v>0</v>
      </c>
      <c r="AK1395">
        <v>0</v>
      </c>
      <c r="AL1395">
        <v>0</v>
      </c>
      <c r="AM1395">
        <v>0</v>
      </c>
      <c r="AN1395">
        <v>0</v>
      </c>
      <c r="AO1395">
        <v>0</v>
      </c>
      <c r="AP1395">
        <v>0</v>
      </c>
      <c r="AQ1395">
        <v>0</v>
      </c>
      <c r="AR1395">
        <v>0</v>
      </c>
      <c r="AS1395">
        <v>0</v>
      </c>
      <c r="AT1395">
        <v>0</v>
      </c>
      <c r="AU1395">
        <v>0</v>
      </c>
      <c r="AV1395">
        <v>0</v>
      </c>
      <c r="AW1395">
        <v>0</v>
      </c>
      <c r="AX1395" s="141">
        <f t="shared" si="1796"/>
        <v>2</v>
      </c>
      <c r="AY1395" s="141">
        <f t="shared" si="1797"/>
        <v>2</v>
      </c>
      <c r="AZ1395">
        <f t="shared" si="1798"/>
        <v>2</v>
      </c>
      <c r="BA1395">
        <f t="shared" si="1799"/>
        <v>0</v>
      </c>
      <c r="BB1395">
        <f t="shared" si="1800"/>
        <v>0</v>
      </c>
      <c r="BC1395">
        <f t="shared" si="1801"/>
        <v>0</v>
      </c>
      <c r="BD1395">
        <f t="shared" si="1802"/>
        <v>0</v>
      </c>
      <c r="BE1395" t="str" cm="1">
        <f t="array" ref="BE1395">IF(AY1395=1,INDEX($V$7:$AL$7,MATCH(TRUE,INDEX($V1395:$AW1395&lt;&gt;0,),0)),IF(AY1395=0,INDEX($AM$7:$AW$7,MATCH(1,$AM1395:$AW1395,0)),IF(BF1395="Multiple strategies","mixed drivers",IF(BF1395="Supply chain","multiple supply","multiple silviculture"))))</f>
        <v>multiple silviculture</v>
      </c>
      <c r="BF1395" s="2" t="str" cm="1">
        <f t="array" ref="BF1395">IF(COUNTIF(AZ1395:BB1395,"&lt;&gt;0")=1,INDEX($V$4:$AW$4,MATCH(TRUE,INDEX($V1395:$AW1395&lt;&gt;0,),0)),IF(COUNTIF(AZ1395:BB1395,"&lt;&gt;0")=0,INDEX($AM$4:$AW$4,MATCH(1,$AM1395:$AW1395,0)),"Multiple strategies"))</f>
        <v>Silviculture for productivity</v>
      </c>
      <c r="BP1395" s="311" t="s">
        <v>232</v>
      </c>
      <c r="BQ1395" s="311"/>
      <c r="BR1395" t="s">
        <v>2169</v>
      </c>
      <c r="BS1395">
        <v>-150</v>
      </c>
      <c r="BT1395">
        <v>-117</v>
      </c>
      <c r="BU1395" s="144">
        <v>0.78</v>
      </c>
      <c r="BV1395">
        <v>33</v>
      </c>
      <c r="BX1395">
        <f t="shared" si="1803"/>
        <v>33000</v>
      </c>
      <c r="BY1395" t="str">
        <f t="shared" si="1820"/>
        <v/>
      </c>
      <c r="BZ1395">
        <v>0</v>
      </c>
      <c r="CA1395">
        <v>0</v>
      </c>
      <c r="CB1395">
        <v>0</v>
      </c>
      <c r="CC1395">
        <v>1</v>
      </c>
      <c r="CD1395">
        <v>0</v>
      </c>
      <c r="CE1395">
        <v>0</v>
      </c>
      <c r="CF1395">
        <v>0</v>
      </c>
      <c r="CG1395">
        <v>0</v>
      </c>
      <c r="CH1395">
        <v>0</v>
      </c>
      <c r="CI1395">
        <v>0</v>
      </c>
      <c r="CJ1395">
        <v>0</v>
      </c>
      <c r="CK1395">
        <v>0</v>
      </c>
      <c r="CL1395">
        <v>0</v>
      </c>
      <c r="CM1395">
        <v>0</v>
      </c>
      <c r="CN1395" t="str">
        <f t="shared" si="1804"/>
        <v>refOK</v>
      </c>
      <c r="CO1395"/>
      <c r="CP1395"/>
      <c r="CQ1395"/>
      <c r="CR1395">
        <f t="shared" si="1805"/>
        <v>-150</v>
      </c>
      <c r="CS1395">
        <f t="shared" si="1806"/>
        <v>-117</v>
      </c>
      <c r="CT1395">
        <f t="shared" si="1807"/>
        <v>33000</v>
      </c>
      <c r="CU1395" t="str">
        <f t="shared" si="1808"/>
        <v/>
      </c>
      <c r="CV1395" s="2">
        <f t="shared" si="1809"/>
        <v>0.22</v>
      </c>
      <c r="CW1395" s="1" t="s">
        <v>1198</v>
      </c>
      <c r="CX1395" s="311" t="str">
        <f t="shared" si="1810"/>
        <v>reg</v>
      </c>
      <c r="CY1395" t="s">
        <v>235</v>
      </c>
      <c r="CZ1395">
        <v>2011</v>
      </c>
      <c r="DA1395">
        <v>2090</v>
      </c>
      <c r="DB1395">
        <v>80</v>
      </c>
      <c r="DC1395" t="str">
        <f t="shared" si="1811"/>
        <v>71-100</v>
      </c>
      <c r="DD1395">
        <v>0</v>
      </c>
      <c r="DE1395">
        <v>1</v>
      </c>
      <c r="DF1395">
        <v>1</v>
      </c>
      <c r="DG1395">
        <v>1</v>
      </c>
      <c r="DI1395">
        <f t="shared" si="1812"/>
        <v>3</v>
      </c>
      <c r="DJ1395" t="str">
        <f t="shared" si="1813"/>
        <v>mixedProduct</v>
      </c>
      <c r="DK1395">
        <f t="shared" si="1814"/>
        <v>0</v>
      </c>
      <c r="DL1395" t="str">
        <f t="shared" si="1815"/>
        <v>Energy</v>
      </c>
      <c r="DM1395" t="str">
        <f t="shared" si="1816"/>
        <v>Pulp/Paper</v>
      </c>
      <c r="DN1395" t="str">
        <f t="shared" si="1817"/>
        <v>Timber</v>
      </c>
      <c r="DO1395">
        <v>1</v>
      </c>
      <c r="DP1395">
        <v>0</v>
      </c>
      <c r="DQ1395">
        <v>0</v>
      </c>
      <c r="DR1395">
        <v>0</v>
      </c>
      <c r="DS1395">
        <v>0</v>
      </c>
      <c r="DT1395">
        <f t="shared" si="1818"/>
        <v>1</v>
      </c>
      <c r="DU1395" s="143" t="str">
        <f t="shared" si="1819"/>
        <v>self-calculated DF</v>
      </c>
      <c r="DV1395">
        <v>1</v>
      </c>
      <c r="DW1395">
        <v>1</v>
      </c>
      <c r="DX1395">
        <v>1</v>
      </c>
      <c r="DY1395">
        <v>0</v>
      </c>
      <c r="DZ1395">
        <v>0</v>
      </c>
      <c r="EA1395" s="143">
        <v>0</v>
      </c>
      <c r="EB1395">
        <v>1</v>
      </c>
      <c r="EC1395">
        <v>1</v>
      </c>
      <c r="ED1395">
        <v>0</v>
      </c>
      <c r="EE1395">
        <v>1</v>
      </c>
      <c r="EF1395">
        <v>1</v>
      </c>
      <c r="EG1395">
        <v>1</v>
      </c>
      <c r="EH1395">
        <v>0</v>
      </c>
      <c r="EI1395" s="2">
        <v>0</v>
      </c>
      <c r="EK1395" t="str">
        <f t="shared" si="1794"/>
        <v>Whole sector</v>
      </c>
      <c r="EL1395" t="str">
        <f t="shared" si="1795"/>
        <v/>
      </c>
      <c r="EM1395" s="2" t="str">
        <f t="shared" si="1821"/>
        <v/>
      </c>
      <c r="EP1395" t="b">
        <f>IF(ISNUMBER(BU1395),IF(ABS(BU1395-[1]QC_indicators!$B$2)&gt;3*[1]QC_indicators!$C$2,"C ratio",IF(ISNUMBER(BY1395),IF(ABS(BY1395-[1]QC_indicators!$B$1)&gt;3*[1]QC_indicators!$C$1,"DF","no"))),IF(ISNUMBER(BY1395),IF(ABS(BY1395-[1]QC_indicators!$B$1)&gt;3*[1]QC_indicators!$C$1,"DF","no")))</f>
        <v>0</v>
      </c>
      <c r="ER1395" s="313" t="s">
        <v>349</v>
      </c>
    </row>
    <row r="1396" spans="1:150" ht="15" hidden="1" customHeight="1">
      <c r="A1396" s="1" t="s">
        <v>1101</v>
      </c>
      <c r="B1396" t="s">
        <v>4088</v>
      </c>
      <c r="C1396" t="s">
        <v>4089</v>
      </c>
      <c r="D1396" t="s">
        <v>4090</v>
      </c>
      <c r="E1396" t="s">
        <v>4091</v>
      </c>
      <c r="F1396" t="s">
        <v>4092</v>
      </c>
      <c r="G1396" t="s">
        <v>1107</v>
      </c>
      <c r="H1396" t="s">
        <v>254</v>
      </c>
      <c r="I1396">
        <v>2011</v>
      </c>
      <c r="J1396">
        <v>57</v>
      </c>
      <c r="K1396" t="s">
        <v>4093</v>
      </c>
      <c r="M1396" t="str">
        <f t="shared" si="1755"/>
        <v>Routa_2011</v>
      </c>
      <c r="N1396" s="311" t="s">
        <v>4382</v>
      </c>
      <c r="O1396" s="145" t="s">
        <v>341</v>
      </c>
      <c r="Q1396" s="311" t="s">
        <v>256</v>
      </c>
      <c r="R1396" s="312"/>
      <c r="S1396" s="1" t="s">
        <v>4119</v>
      </c>
      <c r="T1396" t="s">
        <v>1110</v>
      </c>
      <c r="U1396" t="e">
        <f>#REF!</f>
        <v>#REF!</v>
      </c>
      <c r="V1396">
        <v>0</v>
      </c>
      <c r="W1396">
        <v>0</v>
      </c>
      <c r="X1396">
        <v>0</v>
      </c>
      <c r="Y1396">
        <v>0</v>
      </c>
      <c r="Z1396">
        <v>0</v>
      </c>
      <c r="AA1396">
        <v>2</v>
      </c>
      <c r="AB1396">
        <v>1</v>
      </c>
      <c r="AC1396">
        <v>0</v>
      </c>
      <c r="AD1396">
        <v>0</v>
      </c>
      <c r="AE1396">
        <v>0</v>
      </c>
      <c r="AF1396">
        <v>0</v>
      </c>
      <c r="AG1396">
        <v>0</v>
      </c>
      <c r="AH1396">
        <v>0</v>
      </c>
      <c r="AI1396">
        <v>0</v>
      </c>
      <c r="AJ1396">
        <v>0</v>
      </c>
      <c r="AK1396">
        <v>0</v>
      </c>
      <c r="AL1396">
        <v>0</v>
      </c>
      <c r="AM1396">
        <v>0</v>
      </c>
      <c r="AN1396">
        <v>0</v>
      </c>
      <c r="AO1396">
        <v>0</v>
      </c>
      <c r="AP1396">
        <v>0</v>
      </c>
      <c r="AQ1396">
        <v>0</v>
      </c>
      <c r="AR1396">
        <v>0</v>
      </c>
      <c r="AS1396">
        <v>0</v>
      </c>
      <c r="AT1396">
        <v>0</v>
      </c>
      <c r="AU1396">
        <v>0</v>
      </c>
      <c r="AV1396">
        <v>0</v>
      </c>
      <c r="AW1396">
        <v>0</v>
      </c>
      <c r="AX1396" s="141">
        <f t="shared" si="1796"/>
        <v>2</v>
      </c>
      <c r="AY1396" s="141">
        <f t="shared" si="1797"/>
        <v>2</v>
      </c>
      <c r="AZ1396">
        <f t="shared" si="1798"/>
        <v>2</v>
      </c>
      <c r="BA1396">
        <f t="shared" si="1799"/>
        <v>0</v>
      </c>
      <c r="BB1396">
        <f t="shared" si="1800"/>
        <v>0</v>
      </c>
      <c r="BC1396">
        <f t="shared" si="1801"/>
        <v>0</v>
      </c>
      <c r="BD1396">
        <f t="shared" si="1802"/>
        <v>0</v>
      </c>
      <c r="BE1396" t="str" cm="1">
        <f t="array" ref="BE1396">IF(AY1396=1,INDEX($V$7:$AL$7,MATCH(TRUE,INDEX($V1396:$AW1396&lt;&gt;0,),0)),IF(AY1396=0,INDEX($AM$7:$AW$7,MATCH(1,$AM1396:$AW1396,0)),IF(BF1396="Multiple strategies","mixed drivers",IF(BF1396="Supply chain","multiple supply","multiple silviculture"))))</f>
        <v>multiple silviculture</v>
      </c>
      <c r="BF1396" s="2" t="str" cm="1">
        <f t="array" ref="BF1396">IF(COUNTIF(AZ1396:BB1396,"&lt;&gt;0")=1,INDEX($V$4:$AW$4,MATCH(TRUE,INDEX($V1396:$AW1396&lt;&gt;0,),0)),IF(COUNTIF(AZ1396:BB1396,"&lt;&gt;0")=0,INDEX($AM$4:$AW$4,MATCH(1,$AM1396:$AW1396,0)),"Multiple strategies"))</f>
        <v>Silviculture for productivity</v>
      </c>
      <c r="BP1396" s="311" t="s">
        <v>232</v>
      </c>
      <c r="BQ1396" s="311"/>
      <c r="BR1396" t="s">
        <v>2169</v>
      </c>
      <c r="BS1396">
        <v>-200</v>
      </c>
      <c r="BT1396">
        <v>-174</v>
      </c>
      <c r="BU1396" s="144">
        <v>0.87</v>
      </c>
      <c r="BV1396">
        <v>26</v>
      </c>
      <c r="BX1396">
        <f t="shared" si="1803"/>
        <v>26000</v>
      </c>
      <c r="BY1396" t="str">
        <f t="shared" si="1820"/>
        <v/>
      </c>
      <c r="BZ1396">
        <v>0</v>
      </c>
      <c r="CA1396">
        <v>0</v>
      </c>
      <c r="CB1396">
        <v>0</v>
      </c>
      <c r="CC1396">
        <v>1</v>
      </c>
      <c r="CD1396">
        <v>0</v>
      </c>
      <c r="CE1396">
        <v>0</v>
      </c>
      <c r="CF1396">
        <v>0</v>
      </c>
      <c r="CG1396">
        <v>0</v>
      </c>
      <c r="CH1396">
        <v>0</v>
      </c>
      <c r="CI1396">
        <v>0</v>
      </c>
      <c r="CJ1396">
        <v>0</v>
      </c>
      <c r="CK1396">
        <v>0</v>
      </c>
      <c r="CL1396">
        <v>0</v>
      </c>
      <c r="CM1396">
        <v>0</v>
      </c>
      <c r="CN1396" t="str">
        <f t="shared" si="1804"/>
        <v>refOK</v>
      </c>
      <c r="CO1396"/>
      <c r="CP1396"/>
      <c r="CQ1396"/>
      <c r="CR1396">
        <f t="shared" si="1805"/>
        <v>-200</v>
      </c>
      <c r="CS1396">
        <f t="shared" si="1806"/>
        <v>-174</v>
      </c>
      <c r="CT1396">
        <f t="shared" si="1807"/>
        <v>26000</v>
      </c>
      <c r="CU1396" t="str">
        <f t="shared" si="1808"/>
        <v/>
      </c>
      <c r="CV1396" s="2">
        <f t="shared" si="1809"/>
        <v>0.13</v>
      </c>
      <c r="CW1396" s="1" t="s">
        <v>1198</v>
      </c>
      <c r="CX1396" s="311" t="str">
        <f t="shared" si="1810"/>
        <v>reg</v>
      </c>
      <c r="CY1396" t="s">
        <v>235</v>
      </c>
      <c r="CZ1396">
        <v>2011</v>
      </c>
      <c r="DA1396">
        <v>2090</v>
      </c>
      <c r="DB1396">
        <v>80</v>
      </c>
      <c r="DC1396" t="str">
        <f t="shared" si="1811"/>
        <v>71-100</v>
      </c>
      <c r="DD1396">
        <v>0</v>
      </c>
      <c r="DE1396">
        <v>1</v>
      </c>
      <c r="DF1396">
        <v>1</v>
      </c>
      <c r="DG1396">
        <v>1</v>
      </c>
      <c r="DI1396">
        <f t="shared" si="1812"/>
        <v>3</v>
      </c>
      <c r="DJ1396" t="str">
        <f t="shared" si="1813"/>
        <v>mixedProduct</v>
      </c>
      <c r="DK1396">
        <f t="shared" si="1814"/>
        <v>0</v>
      </c>
      <c r="DL1396" t="str">
        <f t="shared" si="1815"/>
        <v>Energy</v>
      </c>
      <c r="DM1396" t="str">
        <f t="shared" si="1816"/>
        <v>Pulp/Paper</v>
      </c>
      <c r="DN1396" t="str">
        <f t="shared" si="1817"/>
        <v>Timber</v>
      </c>
      <c r="DO1396">
        <v>1</v>
      </c>
      <c r="DP1396">
        <v>0</v>
      </c>
      <c r="DQ1396">
        <v>0</v>
      </c>
      <c r="DR1396">
        <v>0</v>
      </c>
      <c r="DS1396">
        <v>0</v>
      </c>
      <c r="DT1396">
        <f t="shared" si="1818"/>
        <v>1</v>
      </c>
      <c r="DU1396" s="143" t="str">
        <f t="shared" si="1819"/>
        <v>self-calculated DF</v>
      </c>
      <c r="DV1396">
        <v>1</v>
      </c>
      <c r="DW1396">
        <v>1</v>
      </c>
      <c r="DX1396">
        <v>1</v>
      </c>
      <c r="DY1396">
        <v>0</v>
      </c>
      <c r="DZ1396">
        <v>0</v>
      </c>
      <c r="EA1396" s="143">
        <v>0</v>
      </c>
      <c r="EB1396">
        <v>1</v>
      </c>
      <c r="EC1396">
        <v>1</v>
      </c>
      <c r="ED1396">
        <v>0</v>
      </c>
      <c r="EE1396">
        <v>1</v>
      </c>
      <c r="EF1396">
        <v>1</v>
      </c>
      <c r="EG1396">
        <v>1</v>
      </c>
      <c r="EH1396">
        <v>0</v>
      </c>
      <c r="EI1396" s="2">
        <v>0</v>
      </c>
      <c r="EK1396" t="str">
        <f t="shared" si="1794"/>
        <v>Whole sector</v>
      </c>
      <c r="EL1396" t="str">
        <f t="shared" si="1795"/>
        <v/>
      </c>
      <c r="EM1396" s="2" t="str">
        <f t="shared" si="1821"/>
        <v/>
      </c>
      <c r="EP1396" t="b">
        <f>IF(ISNUMBER(BU1396),IF(ABS(BU1396-[1]QC_indicators!$B$2)&gt;3*[1]QC_indicators!$C$2,"C ratio",IF(ISNUMBER(BY1396),IF(ABS(BY1396-[1]QC_indicators!$B$1)&gt;3*[1]QC_indicators!$C$1,"DF","no"))),IF(ISNUMBER(BY1396),IF(ABS(BY1396-[1]QC_indicators!$B$1)&gt;3*[1]QC_indicators!$C$1,"DF","no")))</f>
        <v>0</v>
      </c>
      <c r="ER1396" s="313" t="s">
        <v>349</v>
      </c>
    </row>
    <row r="1397" spans="1:150" ht="15" hidden="1" customHeight="1">
      <c r="A1397" s="1" t="s">
        <v>1101</v>
      </c>
      <c r="B1397" t="s">
        <v>4088</v>
      </c>
      <c r="C1397" t="s">
        <v>4089</v>
      </c>
      <c r="D1397" t="s">
        <v>4090</v>
      </c>
      <c r="E1397" t="s">
        <v>4091</v>
      </c>
      <c r="F1397" t="s">
        <v>4092</v>
      </c>
      <c r="G1397" t="s">
        <v>1107</v>
      </c>
      <c r="H1397" t="s">
        <v>254</v>
      </c>
      <c r="I1397">
        <v>2011</v>
      </c>
      <c r="J1397">
        <v>57</v>
      </c>
      <c r="K1397" t="s">
        <v>4093</v>
      </c>
      <c r="M1397" t="str">
        <f t="shared" si="1755"/>
        <v>Routa_2011</v>
      </c>
      <c r="N1397" s="311" t="s">
        <v>4382</v>
      </c>
      <c r="O1397" s="145" t="s">
        <v>341</v>
      </c>
      <c r="Q1397" s="311" t="s">
        <v>256</v>
      </c>
      <c r="R1397" s="312"/>
      <c r="S1397" s="1" t="s">
        <v>4120</v>
      </c>
      <c r="T1397" t="s">
        <v>1110</v>
      </c>
      <c r="U1397" t="e">
        <f>#REF!</f>
        <v>#REF!</v>
      </c>
      <c r="V1397">
        <v>0</v>
      </c>
      <c r="W1397">
        <v>0</v>
      </c>
      <c r="X1397">
        <v>0</v>
      </c>
      <c r="Y1397">
        <v>0</v>
      </c>
      <c r="Z1397">
        <v>0</v>
      </c>
      <c r="AA1397">
        <v>2</v>
      </c>
      <c r="AB1397">
        <v>1</v>
      </c>
      <c r="AC1397">
        <v>0</v>
      </c>
      <c r="AD1397">
        <v>0</v>
      </c>
      <c r="AE1397">
        <v>0</v>
      </c>
      <c r="AF1397">
        <v>0</v>
      </c>
      <c r="AG1397">
        <v>0</v>
      </c>
      <c r="AH1397">
        <v>0</v>
      </c>
      <c r="AI1397">
        <v>0</v>
      </c>
      <c r="AJ1397">
        <v>0</v>
      </c>
      <c r="AK1397">
        <v>0</v>
      </c>
      <c r="AL1397">
        <v>0</v>
      </c>
      <c r="AM1397">
        <v>0</v>
      </c>
      <c r="AN1397">
        <v>0</v>
      </c>
      <c r="AO1397">
        <v>0</v>
      </c>
      <c r="AP1397">
        <v>0</v>
      </c>
      <c r="AQ1397">
        <v>0</v>
      </c>
      <c r="AR1397">
        <v>0</v>
      </c>
      <c r="AS1397">
        <v>0</v>
      </c>
      <c r="AT1397">
        <v>0</v>
      </c>
      <c r="AU1397">
        <v>0</v>
      </c>
      <c r="AV1397">
        <v>0</v>
      </c>
      <c r="AW1397">
        <v>0</v>
      </c>
      <c r="AX1397" s="141">
        <f t="shared" si="1796"/>
        <v>2</v>
      </c>
      <c r="AY1397" s="141">
        <f t="shared" si="1797"/>
        <v>2</v>
      </c>
      <c r="AZ1397">
        <f t="shared" si="1798"/>
        <v>2</v>
      </c>
      <c r="BA1397">
        <f t="shared" si="1799"/>
        <v>0</v>
      </c>
      <c r="BB1397">
        <f t="shared" si="1800"/>
        <v>0</v>
      </c>
      <c r="BC1397">
        <f t="shared" si="1801"/>
        <v>0</v>
      </c>
      <c r="BD1397">
        <f t="shared" si="1802"/>
        <v>0</v>
      </c>
      <c r="BE1397" t="str" cm="1">
        <f t="array" ref="BE1397">IF(AY1397=1,INDEX($V$7:$AL$7,MATCH(TRUE,INDEX($V1397:$AW1397&lt;&gt;0,),0)),IF(AY1397=0,INDEX($AM$7:$AW$7,MATCH(1,$AM1397:$AW1397,0)),IF(BF1397="Multiple strategies","mixed drivers",IF(BF1397="Supply chain","multiple supply","multiple silviculture"))))</f>
        <v>multiple silviculture</v>
      </c>
      <c r="BF1397" s="2" t="str" cm="1">
        <f t="array" ref="BF1397">IF(COUNTIF(AZ1397:BB1397,"&lt;&gt;0")=1,INDEX($V$4:$AW$4,MATCH(TRUE,INDEX($V1397:$AW1397&lt;&gt;0,),0)),IF(COUNTIF(AZ1397:BB1397,"&lt;&gt;0")=0,INDEX($AM$4:$AW$4,MATCH(1,$AM1397:$AW1397,0)),"Multiple strategies"))</f>
        <v>Silviculture for productivity</v>
      </c>
      <c r="BP1397" s="311" t="s">
        <v>232</v>
      </c>
      <c r="BQ1397" s="311"/>
      <c r="BR1397" t="s">
        <v>2169</v>
      </c>
      <c r="BS1397">
        <v>-200</v>
      </c>
      <c r="BT1397">
        <v>-175</v>
      </c>
      <c r="BU1397" s="144">
        <v>0.875</v>
      </c>
      <c r="BV1397">
        <v>25</v>
      </c>
      <c r="BX1397">
        <f t="shared" si="1803"/>
        <v>25000</v>
      </c>
      <c r="BY1397" t="str">
        <f t="shared" si="1820"/>
        <v/>
      </c>
      <c r="BZ1397">
        <v>0</v>
      </c>
      <c r="CA1397">
        <v>0</v>
      </c>
      <c r="CB1397">
        <v>0</v>
      </c>
      <c r="CC1397">
        <v>1</v>
      </c>
      <c r="CD1397">
        <v>0</v>
      </c>
      <c r="CE1397">
        <v>0</v>
      </c>
      <c r="CF1397">
        <v>0</v>
      </c>
      <c r="CG1397">
        <v>0</v>
      </c>
      <c r="CH1397">
        <v>0</v>
      </c>
      <c r="CI1397">
        <v>0</v>
      </c>
      <c r="CJ1397">
        <v>0</v>
      </c>
      <c r="CK1397">
        <v>0</v>
      </c>
      <c r="CL1397">
        <v>0</v>
      </c>
      <c r="CM1397">
        <v>0</v>
      </c>
      <c r="CN1397" t="str">
        <f t="shared" si="1804"/>
        <v>refOK</v>
      </c>
      <c r="CO1397"/>
      <c r="CP1397"/>
      <c r="CQ1397"/>
      <c r="CR1397">
        <f t="shared" si="1805"/>
        <v>-200</v>
      </c>
      <c r="CS1397">
        <f t="shared" si="1806"/>
        <v>-175</v>
      </c>
      <c r="CT1397">
        <f t="shared" si="1807"/>
        <v>25000</v>
      </c>
      <c r="CU1397" t="str">
        <f t="shared" si="1808"/>
        <v/>
      </c>
      <c r="CV1397" s="2">
        <f t="shared" si="1809"/>
        <v>0.125</v>
      </c>
      <c r="CW1397" s="1" t="s">
        <v>1198</v>
      </c>
      <c r="CX1397" s="311" t="str">
        <f t="shared" si="1810"/>
        <v>reg</v>
      </c>
      <c r="CY1397" t="s">
        <v>235</v>
      </c>
      <c r="CZ1397">
        <v>2011</v>
      </c>
      <c r="DA1397">
        <v>2090</v>
      </c>
      <c r="DB1397">
        <v>80</v>
      </c>
      <c r="DC1397" t="str">
        <f t="shared" si="1811"/>
        <v>71-100</v>
      </c>
      <c r="DD1397">
        <v>0</v>
      </c>
      <c r="DE1397">
        <v>1</v>
      </c>
      <c r="DF1397">
        <v>1</v>
      </c>
      <c r="DG1397">
        <v>1</v>
      </c>
      <c r="DI1397">
        <f t="shared" si="1812"/>
        <v>3</v>
      </c>
      <c r="DJ1397" t="str">
        <f t="shared" si="1813"/>
        <v>mixedProduct</v>
      </c>
      <c r="DK1397">
        <f t="shared" si="1814"/>
        <v>0</v>
      </c>
      <c r="DL1397" t="str">
        <f t="shared" si="1815"/>
        <v>Energy</v>
      </c>
      <c r="DM1397" t="str">
        <f t="shared" si="1816"/>
        <v>Pulp/Paper</v>
      </c>
      <c r="DN1397" t="str">
        <f t="shared" si="1817"/>
        <v>Timber</v>
      </c>
      <c r="DO1397">
        <v>1</v>
      </c>
      <c r="DP1397">
        <v>0</v>
      </c>
      <c r="DQ1397">
        <v>0</v>
      </c>
      <c r="DR1397">
        <v>0</v>
      </c>
      <c r="DS1397">
        <v>0</v>
      </c>
      <c r="DT1397">
        <f t="shared" si="1818"/>
        <v>1</v>
      </c>
      <c r="DU1397" s="143" t="str">
        <f t="shared" si="1819"/>
        <v>self-calculated DF</v>
      </c>
      <c r="DV1397">
        <v>1</v>
      </c>
      <c r="DW1397">
        <v>1</v>
      </c>
      <c r="DX1397">
        <v>1</v>
      </c>
      <c r="DY1397">
        <v>0</v>
      </c>
      <c r="DZ1397">
        <v>0</v>
      </c>
      <c r="EA1397" s="143">
        <v>0</v>
      </c>
      <c r="EB1397">
        <v>1</v>
      </c>
      <c r="EC1397">
        <v>1</v>
      </c>
      <c r="ED1397">
        <v>0</v>
      </c>
      <c r="EE1397">
        <v>1</v>
      </c>
      <c r="EF1397">
        <v>1</v>
      </c>
      <c r="EG1397">
        <v>1</v>
      </c>
      <c r="EH1397">
        <v>0</v>
      </c>
      <c r="EI1397" s="2">
        <v>0</v>
      </c>
      <c r="EK1397" t="str">
        <f t="shared" si="1794"/>
        <v>Whole sector</v>
      </c>
      <c r="EL1397" t="str">
        <f t="shared" si="1795"/>
        <v/>
      </c>
      <c r="EM1397" s="2" t="str">
        <f t="shared" si="1821"/>
        <v/>
      </c>
      <c r="EP1397" t="b">
        <f>IF(ISNUMBER(BU1397),IF(ABS(BU1397-[1]QC_indicators!$B$2)&gt;3*[1]QC_indicators!$C$2,"C ratio",IF(ISNUMBER(BY1397),IF(ABS(BY1397-[1]QC_indicators!$B$1)&gt;3*[1]QC_indicators!$C$1,"DF","no"))),IF(ISNUMBER(BY1397),IF(ABS(BY1397-[1]QC_indicators!$B$1)&gt;3*[1]QC_indicators!$C$1,"DF","no")))</f>
        <v>0</v>
      </c>
      <c r="ER1397" s="313" t="s">
        <v>349</v>
      </c>
    </row>
    <row r="1398" spans="1:150" ht="15" hidden="1" customHeight="1">
      <c r="A1398" s="1" t="s">
        <v>1101</v>
      </c>
      <c r="B1398" t="s">
        <v>4088</v>
      </c>
      <c r="C1398" t="s">
        <v>4089</v>
      </c>
      <c r="D1398" t="s">
        <v>4090</v>
      </c>
      <c r="E1398" t="s">
        <v>4091</v>
      </c>
      <c r="F1398" t="s">
        <v>4092</v>
      </c>
      <c r="G1398" t="s">
        <v>1107</v>
      </c>
      <c r="H1398" t="s">
        <v>254</v>
      </c>
      <c r="I1398">
        <v>2011</v>
      </c>
      <c r="J1398">
        <v>57</v>
      </c>
      <c r="K1398" t="s">
        <v>4093</v>
      </c>
      <c r="M1398" t="str">
        <f t="shared" si="1755"/>
        <v>Routa_2011</v>
      </c>
      <c r="N1398" s="311" t="s">
        <v>4382</v>
      </c>
      <c r="O1398" s="145" t="s">
        <v>341</v>
      </c>
      <c r="Q1398" s="311" t="s">
        <v>256</v>
      </c>
      <c r="R1398" s="312"/>
      <c r="S1398" s="1" t="s">
        <v>4121</v>
      </c>
      <c r="T1398" t="s">
        <v>1110</v>
      </c>
      <c r="U1398" t="e">
        <f>#REF!</f>
        <v>#REF!</v>
      </c>
      <c r="V1398">
        <v>0</v>
      </c>
      <c r="W1398">
        <v>0</v>
      </c>
      <c r="X1398">
        <v>0</v>
      </c>
      <c r="Y1398">
        <v>0</v>
      </c>
      <c r="Z1398">
        <v>0</v>
      </c>
      <c r="AA1398">
        <v>2</v>
      </c>
      <c r="AB1398">
        <v>1</v>
      </c>
      <c r="AC1398">
        <v>0</v>
      </c>
      <c r="AD1398">
        <v>0</v>
      </c>
      <c r="AE1398">
        <v>0</v>
      </c>
      <c r="AF1398">
        <v>0</v>
      </c>
      <c r="AG1398">
        <v>0</v>
      </c>
      <c r="AH1398">
        <v>0</v>
      </c>
      <c r="AI1398">
        <v>0</v>
      </c>
      <c r="AJ1398">
        <v>0</v>
      </c>
      <c r="AK1398">
        <v>0</v>
      </c>
      <c r="AL1398">
        <v>0</v>
      </c>
      <c r="AM1398">
        <v>0</v>
      </c>
      <c r="AN1398">
        <v>0</v>
      </c>
      <c r="AO1398">
        <v>0</v>
      </c>
      <c r="AP1398">
        <v>0</v>
      </c>
      <c r="AQ1398">
        <v>0</v>
      </c>
      <c r="AR1398">
        <v>0</v>
      </c>
      <c r="AS1398">
        <v>0</v>
      </c>
      <c r="AT1398">
        <v>0</v>
      </c>
      <c r="AU1398">
        <v>0</v>
      </c>
      <c r="AV1398">
        <v>0</v>
      </c>
      <c r="AW1398">
        <v>0</v>
      </c>
      <c r="AX1398" s="141">
        <f t="shared" si="1796"/>
        <v>2</v>
      </c>
      <c r="AY1398" s="141">
        <f t="shared" si="1797"/>
        <v>2</v>
      </c>
      <c r="AZ1398">
        <f t="shared" si="1798"/>
        <v>2</v>
      </c>
      <c r="BA1398">
        <f t="shared" si="1799"/>
        <v>0</v>
      </c>
      <c r="BB1398">
        <f t="shared" si="1800"/>
        <v>0</v>
      </c>
      <c r="BC1398">
        <f t="shared" si="1801"/>
        <v>0</v>
      </c>
      <c r="BD1398">
        <f t="shared" si="1802"/>
        <v>0</v>
      </c>
      <c r="BE1398" t="str" cm="1">
        <f t="array" ref="BE1398">IF(AY1398=1,INDEX($V$7:$AL$7,MATCH(TRUE,INDEX($V1398:$AW1398&lt;&gt;0,),0)),IF(AY1398=0,INDEX($AM$7:$AW$7,MATCH(1,$AM1398:$AW1398,0)),IF(BF1398="Multiple strategies","mixed drivers",IF(BF1398="Supply chain","multiple supply","multiple silviculture"))))</f>
        <v>multiple silviculture</v>
      </c>
      <c r="BF1398" s="2" t="str" cm="1">
        <f t="array" ref="BF1398">IF(COUNTIF(AZ1398:BB1398,"&lt;&gt;0")=1,INDEX($V$4:$AW$4,MATCH(TRUE,INDEX($V1398:$AW1398&lt;&gt;0,),0)),IF(COUNTIF(AZ1398:BB1398,"&lt;&gt;0")=0,INDEX($AM$4:$AW$4,MATCH(1,$AM1398:$AW1398,0)),"Multiple strategies"))</f>
        <v>Silviculture for productivity</v>
      </c>
      <c r="BP1398" s="311" t="s">
        <v>232</v>
      </c>
      <c r="BQ1398" s="311"/>
      <c r="BR1398" t="s">
        <v>2169</v>
      </c>
      <c r="BS1398">
        <v>-200</v>
      </c>
      <c r="BT1398">
        <v>-178</v>
      </c>
      <c r="BU1398" s="144">
        <v>0.89</v>
      </c>
      <c r="BV1398">
        <v>22</v>
      </c>
      <c r="BX1398">
        <f t="shared" si="1803"/>
        <v>22000</v>
      </c>
      <c r="BY1398" t="str">
        <f t="shared" si="1820"/>
        <v/>
      </c>
      <c r="BZ1398">
        <v>0</v>
      </c>
      <c r="CA1398">
        <v>0</v>
      </c>
      <c r="CB1398">
        <v>0</v>
      </c>
      <c r="CC1398">
        <v>1</v>
      </c>
      <c r="CD1398">
        <v>0</v>
      </c>
      <c r="CE1398">
        <v>0</v>
      </c>
      <c r="CF1398">
        <v>0</v>
      </c>
      <c r="CG1398">
        <v>0</v>
      </c>
      <c r="CH1398">
        <v>0</v>
      </c>
      <c r="CI1398">
        <v>0</v>
      </c>
      <c r="CJ1398">
        <v>0</v>
      </c>
      <c r="CK1398">
        <v>0</v>
      </c>
      <c r="CL1398">
        <v>0</v>
      </c>
      <c r="CM1398">
        <v>0</v>
      </c>
      <c r="CN1398" t="str">
        <f t="shared" si="1804"/>
        <v>refOK</v>
      </c>
      <c r="CO1398"/>
      <c r="CP1398"/>
      <c r="CQ1398"/>
      <c r="CR1398">
        <f t="shared" si="1805"/>
        <v>-200</v>
      </c>
      <c r="CS1398">
        <f t="shared" si="1806"/>
        <v>-178</v>
      </c>
      <c r="CT1398">
        <f t="shared" si="1807"/>
        <v>22000</v>
      </c>
      <c r="CU1398" t="str">
        <f t="shared" si="1808"/>
        <v/>
      </c>
      <c r="CV1398" s="2">
        <f t="shared" si="1809"/>
        <v>0.11</v>
      </c>
      <c r="CW1398" s="1" t="s">
        <v>1198</v>
      </c>
      <c r="CX1398" s="311" t="str">
        <f t="shared" si="1810"/>
        <v>reg</v>
      </c>
      <c r="CY1398" t="s">
        <v>235</v>
      </c>
      <c r="CZ1398">
        <v>2011</v>
      </c>
      <c r="DA1398">
        <v>2090</v>
      </c>
      <c r="DB1398">
        <v>80</v>
      </c>
      <c r="DC1398" t="str">
        <f t="shared" si="1811"/>
        <v>71-100</v>
      </c>
      <c r="DD1398">
        <v>0</v>
      </c>
      <c r="DE1398">
        <v>1</v>
      </c>
      <c r="DF1398">
        <v>1</v>
      </c>
      <c r="DG1398">
        <v>1</v>
      </c>
      <c r="DI1398">
        <f t="shared" si="1812"/>
        <v>3</v>
      </c>
      <c r="DJ1398" t="str">
        <f t="shared" si="1813"/>
        <v>mixedProduct</v>
      </c>
      <c r="DK1398">
        <f t="shared" si="1814"/>
        <v>0</v>
      </c>
      <c r="DL1398" t="str">
        <f t="shared" si="1815"/>
        <v>Energy</v>
      </c>
      <c r="DM1398" t="str">
        <f t="shared" si="1816"/>
        <v>Pulp/Paper</v>
      </c>
      <c r="DN1398" t="str">
        <f t="shared" si="1817"/>
        <v>Timber</v>
      </c>
      <c r="DO1398">
        <v>1</v>
      </c>
      <c r="DP1398">
        <v>0</v>
      </c>
      <c r="DQ1398">
        <v>0</v>
      </c>
      <c r="DR1398">
        <v>0</v>
      </c>
      <c r="DS1398">
        <v>0</v>
      </c>
      <c r="DT1398">
        <f t="shared" si="1818"/>
        <v>1</v>
      </c>
      <c r="DU1398" s="143" t="str">
        <f t="shared" si="1819"/>
        <v>self-calculated DF</v>
      </c>
      <c r="DV1398">
        <v>1</v>
      </c>
      <c r="DW1398">
        <v>1</v>
      </c>
      <c r="DX1398">
        <v>1</v>
      </c>
      <c r="DY1398">
        <v>0</v>
      </c>
      <c r="DZ1398">
        <v>0</v>
      </c>
      <c r="EA1398" s="143">
        <v>0</v>
      </c>
      <c r="EB1398">
        <v>1</v>
      </c>
      <c r="EC1398">
        <v>1</v>
      </c>
      <c r="ED1398">
        <v>0</v>
      </c>
      <c r="EE1398">
        <v>1</v>
      </c>
      <c r="EF1398">
        <v>1</v>
      </c>
      <c r="EG1398">
        <v>1</v>
      </c>
      <c r="EH1398">
        <v>0</v>
      </c>
      <c r="EI1398" s="2">
        <v>0</v>
      </c>
      <c r="EK1398" t="str">
        <f t="shared" si="1794"/>
        <v>Whole sector</v>
      </c>
      <c r="EL1398" t="str">
        <f t="shared" si="1795"/>
        <v/>
      </c>
      <c r="EM1398" s="2" t="str">
        <f t="shared" si="1821"/>
        <v/>
      </c>
      <c r="EP1398" t="b">
        <f>IF(ISNUMBER(BU1398),IF(ABS(BU1398-[1]QC_indicators!$B$2)&gt;3*[1]QC_indicators!$C$2,"C ratio",IF(ISNUMBER(BY1398),IF(ABS(BY1398-[1]QC_indicators!$B$1)&gt;3*[1]QC_indicators!$C$1,"DF","no"))),IF(ISNUMBER(BY1398),IF(ABS(BY1398-[1]QC_indicators!$B$1)&gt;3*[1]QC_indicators!$C$1,"DF","no")))</f>
        <v>0</v>
      </c>
      <c r="ER1398" s="313" t="s">
        <v>349</v>
      </c>
    </row>
    <row r="1399" spans="1:150" ht="15" hidden="1" customHeight="1">
      <c r="A1399" s="1" t="s">
        <v>1101</v>
      </c>
      <c r="B1399" t="s">
        <v>4088</v>
      </c>
      <c r="C1399" t="s">
        <v>4089</v>
      </c>
      <c r="D1399" t="s">
        <v>4090</v>
      </c>
      <c r="E1399" t="s">
        <v>4091</v>
      </c>
      <c r="F1399" t="s">
        <v>4092</v>
      </c>
      <c r="G1399" t="s">
        <v>1107</v>
      </c>
      <c r="H1399" t="s">
        <v>254</v>
      </c>
      <c r="I1399">
        <v>2011</v>
      </c>
      <c r="J1399">
        <v>57</v>
      </c>
      <c r="K1399" t="s">
        <v>4093</v>
      </c>
      <c r="M1399" t="str">
        <f t="shared" si="1755"/>
        <v>Routa_2011</v>
      </c>
      <c r="N1399" s="311" t="s">
        <v>4382</v>
      </c>
      <c r="O1399" s="145" t="s">
        <v>341</v>
      </c>
      <c r="Q1399" s="311" t="s">
        <v>256</v>
      </c>
      <c r="R1399" s="312"/>
      <c r="S1399" s="1" t="s">
        <v>4122</v>
      </c>
      <c r="T1399" t="s">
        <v>1110</v>
      </c>
      <c r="U1399" t="e">
        <f>#REF!</f>
        <v>#REF!</v>
      </c>
      <c r="V1399">
        <v>0</v>
      </c>
      <c r="W1399">
        <v>0</v>
      </c>
      <c r="X1399">
        <v>0</v>
      </c>
      <c r="Y1399">
        <v>0</v>
      </c>
      <c r="Z1399">
        <v>0</v>
      </c>
      <c r="AA1399">
        <v>2</v>
      </c>
      <c r="AB1399">
        <v>1</v>
      </c>
      <c r="AC1399">
        <v>0</v>
      </c>
      <c r="AD1399">
        <v>0</v>
      </c>
      <c r="AE1399">
        <v>0</v>
      </c>
      <c r="AF1399">
        <v>0</v>
      </c>
      <c r="AG1399">
        <v>0</v>
      </c>
      <c r="AH1399">
        <v>0</v>
      </c>
      <c r="AI1399">
        <v>0</v>
      </c>
      <c r="AJ1399">
        <v>0</v>
      </c>
      <c r="AK1399">
        <v>0</v>
      </c>
      <c r="AL1399">
        <v>0</v>
      </c>
      <c r="AM1399">
        <v>0</v>
      </c>
      <c r="AN1399">
        <v>0</v>
      </c>
      <c r="AO1399">
        <v>0</v>
      </c>
      <c r="AP1399">
        <v>0</v>
      </c>
      <c r="AQ1399">
        <v>0</v>
      </c>
      <c r="AR1399">
        <v>0</v>
      </c>
      <c r="AS1399">
        <v>0</v>
      </c>
      <c r="AT1399">
        <v>0</v>
      </c>
      <c r="AU1399">
        <v>0</v>
      </c>
      <c r="AV1399">
        <v>0</v>
      </c>
      <c r="AW1399">
        <v>0</v>
      </c>
      <c r="AX1399" s="141">
        <f t="shared" si="1796"/>
        <v>2</v>
      </c>
      <c r="AY1399" s="141">
        <f t="shared" si="1797"/>
        <v>2</v>
      </c>
      <c r="AZ1399">
        <f t="shared" si="1798"/>
        <v>2</v>
      </c>
      <c r="BA1399">
        <f t="shared" si="1799"/>
        <v>0</v>
      </c>
      <c r="BB1399">
        <f t="shared" si="1800"/>
        <v>0</v>
      </c>
      <c r="BC1399">
        <f t="shared" si="1801"/>
        <v>0</v>
      </c>
      <c r="BD1399">
        <f t="shared" si="1802"/>
        <v>0</v>
      </c>
      <c r="BE1399" t="str" cm="1">
        <f t="array" ref="BE1399">IF(AY1399=1,INDEX($V$7:$AL$7,MATCH(TRUE,INDEX($V1399:$AW1399&lt;&gt;0,),0)),IF(AY1399=0,INDEX($AM$7:$AW$7,MATCH(1,$AM1399:$AW1399,0)),IF(BF1399="Multiple strategies","mixed drivers",IF(BF1399="Supply chain","multiple supply","multiple silviculture"))))</f>
        <v>multiple silviculture</v>
      </c>
      <c r="BF1399" s="2" t="str" cm="1">
        <f t="array" ref="BF1399">IF(COUNTIF(AZ1399:BB1399,"&lt;&gt;0")=1,INDEX($V$4:$AW$4,MATCH(TRUE,INDEX($V1399:$AW1399&lt;&gt;0,),0)),IF(COUNTIF(AZ1399:BB1399,"&lt;&gt;0")=0,INDEX($AM$4:$AW$4,MATCH(1,$AM1399:$AW1399,0)),"Multiple strategies"))</f>
        <v>Silviculture for productivity</v>
      </c>
      <c r="BP1399" s="311" t="s">
        <v>232</v>
      </c>
      <c r="BQ1399" s="311"/>
      <c r="BR1399" t="s">
        <v>2169</v>
      </c>
      <c r="BS1399">
        <v>-200</v>
      </c>
      <c r="BT1399">
        <v>-186</v>
      </c>
      <c r="BU1399" s="144">
        <v>0.93</v>
      </c>
      <c r="BV1399">
        <v>14</v>
      </c>
      <c r="BX1399">
        <f t="shared" si="1803"/>
        <v>14000</v>
      </c>
      <c r="BY1399" t="str">
        <f t="shared" si="1820"/>
        <v/>
      </c>
      <c r="BZ1399">
        <v>0</v>
      </c>
      <c r="CA1399">
        <v>0</v>
      </c>
      <c r="CB1399">
        <v>0</v>
      </c>
      <c r="CC1399">
        <v>1</v>
      </c>
      <c r="CD1399">
        <v>0</v>
      </c>
      <c r="CE1399">
        <v>0</v>
      </c>
      <c r="CF1399">
        <v>0</v>
      </c>
      <c r="CG1399">
        <v>0</v>
      </c>
      <c r="CH1399">
        <v>0</v>
      </c>
      <c r="CI1399">
        <v>0</v>
      </c>
      <c r="CJ1399">
        <v>0</v>
      </c>
      <c r="CK1399">
        <v>0</v>
      </c>
      <c r="CL1399">
        <v>0</v>
      </c>
      <c r="CM1399">
        <v>0</v>
      </c>
      <c r="CN1399" t="str">
        <f t="shared" si="1804"/>
        <v>refOK</v>
      </c>
      <c r="CO1399"/>
      <c r="CP1399"/>
      <c r="CQ1399"/>
      <c r="CR1399">
        <f t="shared" si="1805"/>
        <v>-200</v>
      </c>
      <c r="CS1399">
        <f t="shared" si="1806"/>
        <v>-186</v>
      </c>
      <c r="CT1399">
        <f t="shared" si="1807"/>
        <v>14000</v>
      </c>
      <c r="CU1399" t="str">
        <f t="shared" si="1808"/>
        <v/>
      </c>
      <c r="CV1399" s="2">
        <f t="shared" si="1809"/>
        <v>7.0000000000000007E-2</v>
      </c>
      <c r="CW1399" s="1" t="s">
        <v>1198</v>
      </c>
      <c r="CX1399" s="311" t="str">
        <f t="shared" si="1810"/>
        <v>reg</v>
      </c>
      <c r="CY1399" t="s">
        <v>235</v>
      </c>
      <c r="CZ1399">
        <v>2011</v>
      </c>
      <c r="DA1399">
        <v>2090</v>
      </c>
      <c r="DB1399">
        <v>80</v>
      </c>
      <c r="DC1399" t="str">
        <f t="shared" si="1811"/>
        <v>71-100</v>
      </c>
      <c r="DD1399">
        <v>0</v>
      </c>
      <c r="DE1399">
        <v>1</v>
      </c>
      <c r="DF1399">
        <v>1</v>
      </c>
      <c r="DG1399">
        <v>1</v>
      </c>
      <c r="DI1399">
        <f t="shared" si="1812"/>
        <v>3</v>
      </c>
      <c r="DJ1399" t="str">
        <f t="shared" si="1813"/>
        <v>mixedProduct</v>
      </c>
      <c r="DK1399">
        <f t="shared" si="1814"/>
        <v>0</v>
      </c>
      <c r="DL1399" t="str">
        <f t="shared" si="1815"/>
        <v>Energy</v>
      </c>
      <c r="DM1399" t="str">
        <f t="shared" si="1816"/>
        <v>Pulp/Paper</v>
      </c>
      <c r="DN1399" t="str">
        <f t="shared" si="1817"/>
        <v>Timber</v>
      </c>
      <c r="DO1399">
        <v>1</v>
      </c>
      <c r="DP1399">
        <v>0</v>
      </c>
      <c r="DQ1399">
        <v>0</v>
      </c>
      <c r="DR1399">
        <v>0</v>
      </c>
      <c r="DS1399">
        <v>0</v>
      </c>
      <c r="DT1399">
        <f t="shared" si="1818"/>
        <v>1</v>
      </c>
      <c r="DU1399" s="143" t="str">
        <f t="shared" si="1819"/>
        <v>self-calculated DF</v>
      </c>
      <c r="DV1399">
        <v>1</v>
      </c>
      <c r="DW1399">
        <v>1</v>
      </c>
      <c r="DX1399">
        <v>1</v>
      </c>
      <c r="DY1399">
        <v>0</v>
      </c>
      <c r="DZ1399">
        <v>0</v>
      </c>
      <c r="EA1399" s="143">
        <v>0</v>
      </c>
      <c r="EB1399">
        <v>1</v>
      </c>
      <c r="EC1399">
        <v>1</v>
      </c>
      <c r="ED1399">
        <v>0</v>
      </c>
      <c r="EE1399">
        <v>1</v>
      </c>
      <c r="EF1399">
        <v>1</v>
      </c>
      <c r="EG1399">
        <v>1</v>
      </c>
      <c r="EH1399">
        <v>0</v>
      </c>
      <c r="EI1399" s="2">
        <v>0</v>
      </c>
      <c r="EK1399" t="str">
        <f t="shared" si="1794"/>
        <v>Whole sector</v>
      </c>
      <c r="EL1399" t="str">
        <f t="shared" si="1795"/>
        <v/>
      </c>
      <c r="EM1399" s="2" t="str">
        <f t="shared" si="1821"/>
        <v/>
      </c>
      <c r="EP1399" t="b">
        <f>IF(ISNUMBER(BU1399),IF(ABS(BU1399-[1]QC_indicators!$B$2)&gt;3*[1]QC_indicators!$C$2,"C ratio",IF(ISNUMBER(BY1399),IF(ABS(BY1399-[1]QC_indicators!$B$1)&gt;3*[1]QC_indicators!$C$1,"DF","no"))),IF(ISNUMBER(BY1399),IF(ABS(BY1399-[1]QC_indicators!$B$1)&gt;3*[1]QC_indicators!$C$1,"DF","no")))</f>
        <v>0</v>
      </c>
      <c r="ER1399" s="313" t="s">
        <v>349</v>
      </c>
    </row>
    <row r="1400" spans="1:150" ht="15" hidden="1" customHeight="1">
      <c r="A1400" s="1" t="s">
        <v>1101</v>
      </c>
      <c r="B1400" t="s">
        <v>4088</v>
      </c>
      <c r="C1400" t="s">
        <v>4089</v>
      </c>
      <c r="D1400" t="s">
        <v>4090</v>
      </c>
      <c r="E1400" t="s">
        <v>4091</v>
      </c>
      <c r="F1400" t="s">
        <v>4092</v>
      </c>
      <c r="G1400" t="s">
        <v>1107</v>
      </c>
      <c r="H1400" t="s">
        <v>254</v>
      </c>
      <c r="I1400">
        <v>2011</v>
      </c>
      <c r="J1400">
        <v>57</v>
      </c>
      <c r="K1400" t="s">
        <v>4093</v>
      </c>
      <c r="M1400" t="str">
        <f t="shared" si="1755"/>
        <v>Routa_2011</v>
      </c>
      <c r="N1400" s="311" t="s">
        <v>4382</v>
      </c>
      <c r="O1400" s="145" t="s">
        <v>341</v>
      </c>
      <c r="Q1400" s="311" t="s">
        <v>256</v>
      </c>
      <c r="R1400" s="312"/>
      <c r="S1400" s="1" t="s">
        <v>4123</v>
      </c>
      <c r="T1400" t="s">
        <v>1110</v>
      </c>
      <c r="U1400" t="e">
        <f>#REF!</f>
        <v>#REF!</v>
      </c>
      <c r="V1400">
        <v>0</v>
      </c>
      <c r="W1400">
        <v>0</v>
      </c>
      <c r="X1400">
        <v>0</v>
      </c>
      <c r="Y1400">
        <v>0</v>
      </c>
      <c r="Z1400">
        <v>0</v>
      </c>
      <c r="AA1400">
        <v>2</v>
      </c>
      <c r="AB1400">
        <v>1</v>
      </c>
      <c r="AC1400">
        <v>0</v>
      </c>
      <c r="AD1400">
        <v>0</v>
      </c>
      <c r="AE1400">
        <v>0</v>
      </c>
      <c r="AF1400">
        <v>0</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s="141">
        <f t="shared" si="1796"/>
        <v>2</v>
      </c>
      <c r="AY1400" s="141">
        <f t="shared" si="1797"/>
        <v>2</v>
      </c>
      <c r="AZ1400">
        <f t="shared" si="1798"/>
        <v>2</v>
      </c>
      <c r="BA1400">
        <f t="shared" si="1799"/>
        <v>0</v>
      </c>
      <c r="BB1400">
        <f t="shared" si="1800"/>
        <v>0</v>
      </c>
      <c r="BC1400">
        <f t="shared" si="1801"/>
        <v>0</v>
      </c>
      <c r="BD1400">
        <f t="shared" si="1802"/>
        <v>0</v>
      </c>
      <c r="BE1400" t="str" cm="1">
        <f t="array" ref="BE1400">IF(AY1400=1,INDEX($V$7:$AL$7,MATCH(TRUE,INDEX($V1400:$AW1400&lt;&gt;0,),0)),IF(AY1400=0,INDEX($AM$7:$AW$7,MATCH(1,$AM1400:$AW1400,0)),IF(BF1400="Multiple strategies","mixed drivers",IF(BF1400="Supply chain","multiple supply","multiple silviculture"))))</f>
        <v>multiple silviculture</v>
      </c>
      <c r="BF1400" s="2" t="str" cm="1">
        <f t="array" ref="BF1400">IF(COUNTIF(AZ1400:BB1400,"&lt;&gt;0")=1,INDEX($V$4:$AW$4,MATCH(TRUE,INDEX($V1400:$AW1400&lt;&gt;0,),0)),IF(COUNTIF(AZ1400:BB1400,"&lt;&gt;0")=0,INDEX($AM$4:$AW$4,MATCH(1,$AM1400:$AW1400,0)),"Multiple strategies"))</f>
        <v>Silviculture for productivity</v>
      </c>
      <c r="BP1400" s="311" t="s">
        <v>232</v>
      </c>
      <c r="BQ1400" s="311"/>
      <c r="BR1400" t="s">
        <v>2169</v>
      </c>
      <c r="BS1400">
        <v>-200</v>
      </c>
      <c r="BT1400">
        <v>-187</v>
      </c>
      <c r="BU1400" s="144">
        <v>0.93500000000000005</v>
      </c>
      <c r="BV1400">
        <v>13</v>
      </c>
      <c r="BX1400">
        <f t="shared" si="1803"/>
        <v>13000</v>
      </c>
      <c r="BY1400" t="str">
        <f t="shared" si="1820"/>
        <v/>
      </c>
      <c r="BZ1400">
        <v>0</v>
      </c>
      <c r="CA1400">
        <v>0</v>
      </c>
      <c r="CB1400">
        <v>0</v>
      </c>
      <c r="CC1400">
        <v>1</v>
      </c>
      <c r="CD1400">
        <v>0</v>
      </c>
      <c r="CE1400">
        <v>0</v>
      </c>
      <c r="CF1400">
        <v>0</v>
      </c>
      <c r="CG1400">
        <v>0</v>
      </c>
      <c r="CH1400">
        <v>0</v>
      </c>
      <c r="CI1400">
        <v>0</v>
      </c>
      <c r="CJ1400">
        <v>0</v>
      </c>
      <c r="CK1400">
        <v>0</v>
      </c>
      <c r="CL1400">
        <v>0</v>
      </c>
      <c r="CM1400">
        <v>0</v>
      </c>
      <c r="CN1400" t="str">
        <f t="shared" si="1804"/>
        <v>refOK</v>
      </c>
      <c r="CO1400"/>
      <c r="CP1400"/>
      <c r="CQ1400"/>
      <c r="CR1400">
        <f t="shared" si="1805"/>
        <v>-200</v>
      </c>
      <c r="CS1400">
        <f t="shared" si="1806"/>
        <v>-187</v>
      </c>
      <c r="CT1400">
        <f t="shared" si="1807"/>
        <v>13000</v>
      </c>
      <c r="CU1400" t="str">
        <f t="shared" si="1808"/>
        <v/>
      </c>
      <c r="CV1400" s="2">
        <f t="shared" si="1809"/>
        <v>6.5000000000000002E-2</v>
      </c>
      <c r="CW1400" s="1" t="s">
        <v>1198</v>
      </c>
      <c r="CX1400" s="311" t="str">
        <f t="shared" si="1810"/>
        <v>reg</v>
      </c>
      <c r="CY1400" t="s">
        <v>235</v>
      </c>
      <c r="CZ1400">
        <v>2011</v>
      </c>
      <c r="DA1400">
        <v>2090</v>
      </c>
      <c r="DB1400">
        <v>80</v>
      </c>
      <c r="DC1400" t="str">
        <f t="shared" si="1811"/>
        <v>71-100</v>
      </c>
      <c r="DD1400">
        <v>0</v>
      </c>
      <c r="DE1400">
        <v>1</v>
      </c>
      <c r="DF1400">
        <v>1</v>
      </c>
      <c r="DG1400">
        <v>1</v>
      </c>
      <c r="DI1400">
        <f t="shared" si="1812"/>
        <v>3</v>
      </c>
      <c r="DJ1400" t="str">
        <f t="shared" si="1813"/>
        <v>mixedProduct</v>
      </c>
      <c r="DK1400">
        <f t="shared" si="1814"/>
        <v>0</v>
      </c>
      <c r="DL1400" t="str">
        <f t="shared" si="1815"/>
        <v>Energy</v>
      </c>
      <c r="DM1400" t="str">
        <f t="shared" si="1816"/>
        <v>Pulp/Paper</v>
      </c>
      <c r="DN1400" t="str">
        <f t="shared" si="1817"/>
        <v>Timber</v>
      </c>
      <c r="DO1400">
        <v>1</v>
      </c>
      <c r="DP1400">
        <v>0</v>
      </c>
      <c r="DQ1400">
        <v>0</v>
      </c>
      <c r="DR1400">
        <v>0</v>
      </c>
      <c r="DS1400">
        <v>0</v>
      </c>
      <c r="DT1400">
        <f t="shared" si="1818"/>
        <v>1</v>
      </c>
      <c r="DU1400" s="143" t="str">
        <f t="shared" si="1819"/>
        <v>self-calculated DF</v>
      </c>
      <c r="DV1400">
        <v>1</v>
      </c>
      <c r="DW1400">
        <v>1</v>
      </c>
      <c r="DX1400">
        <v>1</v>
      </c>
      <c r="DY1400">
        <v>0</v>
      </c>
      <c r="DZ1400">
        <v>0</v>
      </c>
      <c r="EA1400" s="143">
        <v>0</v>
      </c>
      <c r="EB1400">
        <v>1</v>
      </c>
      <c r="EC1400">
        <v>1</v>
      </c>
      <c r="ED1400">
        <v>0</v>
      </c>
      <c r="EE1400">
        <v>1</v>
      </c>
      <c r="EF1400">
        <v>1</v>
      </c>
      <c r="EG1400">
        <v>1</v>
      </c>
      <c r="EH1400">
        <v>0</v>
      </c>
      <c r="EI1400" s="2">
        <v>0</v>
      </c>
      <c r="EK1400" t="str">
        <f t="shared" si="1794"/>
        <v>Whole sector</v>
      </c>
      <c r="EL1400" t="str">
        <f t="shared" si="1795"/>
        <v/>
      </c>
      <c r="EM1400" s="2" t="str">
        <f t="shared" si="1821"/>
        <v/>
      </c>
      <c r="EP1400" t="b">
        <f>IF(ISNUMBER(BU1400),IF(ABS(BU1400-[1]QC_indicators!$B$2)&gt;3*[1]QC_indicators!$C$2,"C ratio",IF(ISNUMBER(BY1400),IF(ABS(BY1400-[1]QC_indicators!$B$1)&gt;3*[1]QC_indicators!$C$1,"DF","no"))),IF(ISNUMBER(BY1400),IF(ABS(BY1400-[1]QC_indicators!$B$1)&gt;3*[1]QC_indicators!$C$1,"DF","no")))</f>
        <v>0</v>
      </c>
      <c r="ER1400" s="313" t="s">
        <v>349</v>
      </c>
    </row>
    <row r="1401" spans="1:150" ht="15" hidden="1" customHeight="1">
      <c r="A1401" s="1" t="s">
        <v>1101</v>
      </c>
      <c r="B1401" t="s">
        <v>4088</v>
      </c>
      <c r="C1401" t="s">
        <v>4089</v>
      </c>
      <c r="D1401" t="s">
        <v>4090</v>
      </c>
      <c r="E1401" t="s">
        <v>4091</v>
      </c>
      <c r="F1401" t="s">
        <v>4092</v>
      </c>
      <c r="G1401" t="s">
        <v>1107</v>
      </c>
      <c r="H1401" t="s">
        <v>254</v>
      </c>
      <c r="I1401">
        <v>2011</v>
      </c>
      <c r="J1401">
        <v>57</v>
      </c>
      <c r="K1401" t="s">
        <v>4093</v>
      </c>
      <c r="M1401" t="str">
        <f t="shared" si="1755"/>
        <v>Routa_2011</v>
      </c>
      <c r="N1401" s="311" t="s">
        <v>4382</v>
      </c>
      <c r="O1401" s="145" t="s">
        <v>341</v>
      </c>
      <c r="Q1401" s="311" t="s">
        <v>256</v>
      </c>
      <c r="R1401" s="312"/>
      <c r="S1401" s="1" t="s">
        <v>4124</v>
      </c>
      <c r="T1401" t="s">
        <v>1110</v>
      </c>
      <c r="U1401" t="e">
        <f>#REF!</f>
        <v>#REF!</v>
      </c>
      <c r="V1401">
        <v>0</v>
      </c>
      <c r="W1401">
        <v>0</v>
      </c>
      <c r="X1401">
        <v>0</v>
      </c>
      <c r="Y1401">
        <v>0</v>
      </c>
      <c r="Z1401">
        <v>0</v>
      </c>
      <c r="AA1401">
        <v>2</v>
      </c>
      <c r="AB1401">
        <v>1</v>
      </c>
      <c r="AC1401">
        <v>0</v>
      </c>
      <c r="AD1401">
        <v>0</v>
      </c>
      <c r="AE1401">
        <v>0</v>
      </c>
      <c r="AF1401">
        <v>0</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s="141">
        <f t="shared" si="1796"/>
        <v>2</v>
      </c>
      <c r="AY1401" s="141">
        <f t="shared" si="1797"/>
        <v>2</v>
      </c>
      <c r="AZ1401">
        <f t="shared" si="1798"/>
        <v>2</v>
      </c>
      <c r="BA1401">
        <f t="shared" si="1799"/>
        <v>0</v>
      </c>
      <c r="BB1401">
        <f t="shared" si="1800"/>
        <v>0</v>
      </c>
      <c r="BC1401">
        <f t="shared" si="1801"/>
        <v>0</v>
      </c>
      <c r="BD1401">
        <f t="shared" si="1802"/>
        <v>0</v>
      </c>
      <c r="BE1401" t="str" cm="1">
        <f t="array" ref="BE1401">IF(AY1401=1,INDEX($V$7:$AL$7,MATCH(TRUE,INDEX($V1401:$AW1401&lt;&gt;0,),0)),IF(AY1401=0,INDEX($AM$7:$AW$7,MATCH(1,$AM1401:$AW1401,0)),IF(BF1401="Multiple strategies","mixed drivers",IF(BF1401="Supply chain","multiple supply","multiple silviculture"))))</f>
        <v>multiple silviculture</v>
      </c>
      <c r="BF1401" s="2" t="str" cm="1">
        <f t="array" ref="BF1401">IF(COUNTIF(AZ1401:BB1401,"&lt;&gt;0")=1,INDEX($V$4:$AW$4,MATCH(TRUE,INDEX($V1401:$AW1401&lt;&gt;0,),0)),IF(COUNTIF(AZ1401:BB1401,"&lt;&gt;0")=0,INDEX($AM$4:$AW$4,MATCH(1,$AM1401:$AW1401,0)),"Multiple strategies"))</f>
        <v>Silviculture for productivity</v>
      </c>
      <c r="BP1401" s="311" t="s">
        <v>232</v>
      </c>
      <c r="BQ1401" s="311"/>
      <c r="BR1401" t="s">
        <v>2169</v>
      </c>
      <c r="BS1401">
        <v>-200</v>
      </c>
      <c r="BT1401">
        <v>-188</v>
      </c>
      <c r="BU1401" s="144">
        <v>0.94</v>
      </c>
      <c r="BV1401">
        <v>12</v>
      </c>
      <c r="BX1401">
        <f t="shared" si="1803"/>
        <v>12000</v>
      </c>
      <c r="BY1401" t="str">
        <f t="shared" si="1820"/>
        <v/>
      </c>
      <c r="BZ1401">
        <v>0</v>
      </c>
      <c r="CA1401">
        <v>0</v>
      </c>
      <c r="CB1401">
        <v>0</v>
      </c>
      <c r="CC1401">
        <v>1</v>
      </c>
      <c r="CD1401">
        <v>0</v>
      </c>
      <c r="CE1401">
        <v>0</v>
      </c>
      <c r="CF1401">
        <v>0</v>
      </c>
      <c r="CG1401">
        <v>0</v>
      </c>
      <c r="CH1401">
        <v>0</v>
      </c>
      <c r="CI1401">
        <v>0</v>
      </c>
      <c r="CJ1401">
        <v>0</v>
      </c>
      <c r="CK1401">
        <v>0</v>
      </c>
      <c r="CL1401">
        <v>0</v>
      </c>
      <c r="CM1401">
        <v>0</v>
      </c>
      <c r="CN1401" t="str">
        <f t="shared" si="1804"/>
        <v>refOK</v>
      </c>
      <c r="CO1401"/>
      <c r="CP1401"/>
      <c r="CQ1401"/>
      <c r="CR1401">
        <f t="shared" si="1805"/>
        <v>-200</v>
      </c>
      <c r="CS1401">
        <f t="shared" si="1806"/>
        <v>-188</v>
      </c>
      <c r="CT1401">
        <f t="shared" si="1807"/>
        <v>12000</v>
      </c>
      <c r="CU1401" t="str">
        <f t="shared" si="1808"/>
        <v/>
      </c>
      <c r="CV1401" s="2">
        <f t="shared" si="1809"/>
        <v>0.06</v>
      </c>
      <c r="CW1401" s="1" t="s">
        <v>1198</v>
      </c>
      <c r="CX1401" s="311" t="str">
        <f t="shared" si="1810"/>
        <v>reg</v>
      </c>
      <c r="CY1401" t="s">
        <v>235</v>
      </c>
      <c r="CZ1401">
        <v>2011</v>
      </c>
      <c r="DA1401">
        <v>2090</v>
      </c>
      <c r="DB1401">
        <v>80</v>
      </c>
      <c r="DC1401" t="str">
        <f t="shared" si="1811"/>
        <v>71-100</v>
      </c>
      <c r="DD1401">
        <v>0</v>
      </c>
      <c r="DE1401">
        <v>1</v>
      </c>
      <c r="DF1401">
        <v>1</v>
      </c>
      <c r="DG1401">
        <v>1</v>
      </c>
      <c r="DI1401">
        <f t="shared" si="1812"/>
        <v>3</v>
      </c>
      <c r="DJ1401" t="str">
        <f t="shared" si="1813"/>
        <v>mixedProduct</v>
      </c>
      <c r="DK1401">
        <f t="shared" si="1814"/>
        <v>0</v>
      </c>
      <c r="DL1401" t="str">
        <f t="shared" si="1815"/>
        <v>Energy</v>
      </c>
      <c r="DM1401" t="str">
        <f t="shared" si="1816"/>
        <v>Pulp/Paper</v>
      </c>
      <c r="DN1401" t="str">
        <f t="shared" si="1817"/>
        <v>Timber</v>
      </c>
      <c r="DO1401">
        <v>1</v>
      </c>
      <c r="DP1401">
        <v>0</v>
      </c>
      <c r="DQ1401">
        <v>0</v>
      </c>
      <c r="DR1401">
        <v>0</v>
      </c>
      <c r="DS1401">
        <v>0</v>
      </c>
      <c r="DT1401">
        <f t="shared" si="1818"/>
        <v>1</v>
      </c>
      <c r="DU1401" s="143" t="str">
        <f t="shared" si="1819"/>
        <v>self-calculated DF</v>
      </c>
      <c r="DV1401">
        <v>1</v>
      </c>
      <c r="DW1401">
        <v>1</v>
      </c>
      <c r="DX1401">
        <v>1</v>
      </c>
      <c r="DY1401">
        <v>0</v>
      </c>
      <c r="DZ1401">
        <v>0</v>
      </c>
      <c r="EA1401" s="143">
        <v>0</v>
      </c>
      <c r="EB1401">
        <v>1</v>
      </c>
      <c r="EC1401">
        <v>1</v>
      </c>
      <c r="ED1401">
        <v>0</v>
      </c>
      <c r="EE1401">
        <v>1</v>
      </c>
      <c r="EF1401">
        <v>1</v>
      </c>
      <c r="EG1401">
        <v>1</v>
      </c>
      <c r="EH1401">
        <v>0</v>
      </c>
      <c r="EI1401" s="2">
        <v>0</v>
      </c>
      <c r="EK1401" t="str">
        <f t="shared" si="1794"/>
        <v>Whole sector</v>
      </c>
      <c r="EL1401" t="str">
        <f t="shared" si="1795"/>
        <v/>
      </c>
      <c r="EM1401" s="2" t="str">
        <f t="shared" si="1821"/>
        <v/>
      </c>
      <c r="EP1401" t="b">
        <f>IF(ISNUMBER(BU1401),IF(ABS(BU1401-[1]QC_indicators!$B$2)&gt;3*[1]QC_indicators!$C$2,"C ratio",IF(ISNUMBER(BY1401),IF(ABS(BY1401-[1]QC_indicators!$B$1)&gt;3*[1]QC_indicators!$C$1,"DF","no"))),IF(ISNUMBER(BY1401),IF(ABS(BY1401-[1]QC_indicators!$B$1)&gt;3*[1]QC_indicators!$C$1,"DF","no")))</f>
        <v>0</v>
      </c>
      <c r="ER1401" s="313" t="s">
        <v>349</v>
      </c>
    </row>
    <row r="1402" spans="1:150" ht="15" hidden="1" customHeight="1">
      <c r="A1402" s="1" t="s">
        <v>1101</v>
      </c>
      <c r="B1402" t="s">
        <v>4088</v>
      </c>
      <c r="C1402" t="s">
        <v>4089</v>
      </c>
      <c r="D1402" t="s">
        <v>4090</v>
      </c>
      <c r="E1402" t="s">
        <v>4091</v>
      </c>
      <c r="F1402" t="s">
        <v>4092</v>
      </c>
      <c r="G1402" t="s">
        <v>1107</v>
      </c>
      <c r="H1402" t="s">
        <v>254</v>
      </c>
      <c r="I1402">
        <v>2011</v>
      </c>
      <c r="J1402">
        <v>57</v>
      </c>
      <c r="K1402" t="s">
        <v>4093</v>
      </c>
      <c r="M1402" t="str">
        <f t="shared" si="1755"/>
        <v>Routa_2011</v>
      </c>
      <c r="N1402" s="311" t="s">
        <v>4382</v>
      </c>
      <c r="O1402" s="145" t="s">
        <v>341</v>
      </c>
      <c r="Q1402" s="311" t="s">
        <v>256</v>
      </c>
      <c r="R1402" s="312"/>
      <c r="S1402" s="1" t="s">
        <v>4125</v>
      </c>
      <c r="T1402" t="s">
        <v>1110</v>
      </c>
      <c r="U1402" t="e">
        <f>#REF!</f>
        <v>#REF!</v>
      </c>
      <c r="V1402">
        <v>0</v>
      </c>
      <c r="W1402">
        <v>0</v>
      </c>
      <c r="X1402">
        <v>0</v>
      </c>
      <c r="Y1402">
        <v>0</v>
      </c>
      <c r="Z1402">
        <v>0</v>
      </c>
      <c r="AA1402">
        <v>2</v>
      </c>
      <c r="AB1402">
        <v>1</v>
      </c>
      <c r="AC1402">
        <v>0</v>
      </c>
      <c r="AD1402">
        <v>0</v>
      </c>
      <c r="AE1402">
        <v>0</v>
      </c>
      <c r="AF1402">
        <v>0</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s="141">
        <f t="shared" si="1796"/>
        <v>2</v>
      </c>
      <c r="AY1402" s="141">
        <f t="shared" si="1797"/>
        <v>2</v>
      </c>
      <c r="AZ1402">
        <f t="shared" si="1798"/>
        <v>2</v>
      </c>
      <c r="BA1402">
        <f t="shared" si="1799"/>
        <v>0</v>
      </c>
      <c r="BB1402">
        <f t="shared" si="1800"/>
        <v>0</v>
      </c>
      <c r="BC1402">
        <f t="shared" si="1801"/>
        <v>0</v>
      </c>
      <c r="BD1402">
        <f t="shared" si="1802"/>
        <v>0</v>
      </c>
      <c r="BE1402" t="str" cm="1">
        <f t="array" ref="BE1402">IF(AY1402=1,INDEX($V$7:$AL$7,MATCH(TRUE,INDEX($V1402:$AW1402&lt;&gt;0,),0)),IF(AY1402=0,INDEX($AM$7:$AW$7,MATCH(1,$AM1402:$AW1402,0)),IF(BF1402="Multiple strategies","mixed drivers",IF(BF1402="Supply chain","multiple supply","multiple silviculture"))))</f>
        <v>multiple silviculture</v>
      </c>
      <c r="BF1402" s="2" t="str" cm="1">
        <f t="array" ref="BF1402">IF(COUNTIF(AZ1402:BB1402,"&lt;&gt;0")=1,INDEX($V$4:$AW$4,MATCH(TRUE,INDEX($V1402:$AW1402&lt;&gt;0,),0)),IF(COUNTIF(AZ1402:BB1402,"&lt;&gt;0")=0,INDEX($AM$4:$AW$4,MATCH(1,$AM1402:$AW1402,0)),"Multiple strategies"))</f>
        <v>Silviculture for productivity</v>
      </c>
      <c r="BP1402" s="311" t="s">
        <v>232</v>
      </c>
      <c r="BQ1402" s="311"/>
      <c r="BR1402" t="s">
        <v>2169</v>
      </c>
      <c r="BS1402">
        <v>-200</v>
      </c>
      <c r="BT1402">
        <v>-195</v>
      </c>
      <c r="BU1402" s="144">
        <v>0.97499999999999998</v>
      </c>
      <c r="BV1402">
        <v>5</v>
      </c>
      <c r="BX1402">
        <f t="shared" si="1803"/>
        <v>5000</v>
      </c>
      <c r="BY1402" t="str">
        <f t="shared" si="1820"/>
        <v/>
      </c>
      <c r="BZ1402">
        <v>0</v>
      </c>
      <c r="CA1402">
        <v>0</v>
      </c>
      <c r="CB1402">
        <v>0</v>
      </c>
      <c r="CC1402">
        <v>1</v>
      </c>
      <c r="CD1402">
        <v>0</v>
      </c>
      <c r="CE1402">
        <v>0</v>
      </c>
      <c r="CF1402">
        <v>0</v>
      </c>
      <c r="CG1402">
        <v>0</v>
      </c>
      <c r="CH1402">
        <v>0</v>
      </c>
      <c r="CI1402">
        <v>0</v>
      </c>
      <c r="CJ1402">
        <v>0</v>
      </c>
      <c r="CK1402">
        <v>0</v>
      </c>
      <c r="CL1402">
        <v>0</v>
      </c>
      <c r="CM1402">
        <v>0</v>
      </c>
      <c r="CN1402" t="str">
        <f t="shared" si="1804"/>
        <v>refOK</v>
      </c>
      <c r="CO1402"/>
      <c r="CP1402"/>
      <c r="CQ1402"/>
      <c r="CR1402">
        <f t="shared" si="1805"/>
        <v>-200</v>
      </c>
      <c r="CS1402">
        <f t="shared" si="1806"/>
        <v>-195</v>
      </c>
      <c r="CT1402">
        <f t="shared" si="1807"/>
        <v>5000</v>
      </c>
      <c r="CU1402" t="str">
        <f t="shared" si="1808"/>
        <v/>
      </c>
      <c r="CV1402" s="2">
        <f t="shared" si="1809"/>
        <v>2.5000000000000001E-2</v>
      </c>
      <c r="CW1402" s="1" t="s">
        <v>1198</v>
      </c>
      <c r="CX1402" s="311" t="str">
        <f t="shared" si="1810"/>
        <v>reg</v>
      </c>
      <c r="CY1402" t="s">
        <v>235</v>
      </c>
      <c r="CZ1402">
        <v>2011</v>
      </c>
      <c r="DA1402">
        <v>2090</v>
      </c>
      <c r="DB1402">
        <v>80</v>
      </c>
      <c r="DC1402" t="str">
        <f t="shared" si="1811"/>
        <v>71-100</v>
      </c>
      <c r="DD1402">
        <v>0</v>
      </c>
      <c r="DE1402">
        <v>1</v>
      </c>
      <c r="DF1402">
        <v>1</v>
      </c>
      <c r="DG1402">
        <v>1</v>
      </c>
      <c r="DI1402">
        <f t="shared" si="1812"/>
        <v>3</v>
      </c>
      <c r="DJ1402" t="str">
        <f t="shared" si="1813"/>
        <v>mixedProduct</v>
      </c>
      <c r="DK1402">
        <f t="shared" si="1814"/>
        <v>0</v>
      </c>
      <c r="DL1402" t="str">
        <f t="shared" si="1815"/>
        <v>Energy</v>
      </c>
      <c r="DM1402" t="str">
        <f t="shared" si="1816"/>
        <v>Pulp/Paper</v>
      </c>
      <c r="DN1402" t="str">
        <f t="shared" si="1817"/>
        <v>Timber</v>
      </c>
      <c r="DO1402">
        <v>1</v>
      </c>
      <c r="DP1402">
        <v>0</v>
      </c>
      <c r="DQ1402">
        <v>0</v>
      </c>
      <c r="DR1402">
        <v>0</v>
      </c>
      <c r="DS1402">
        <v>0</v>
      </c>
      <c r="DT1402">
        <f t="shared" si="1818"/>
        <v>1</v>
      </c>
      <c r="DU1402" s="143" t="str">
        <f t="shared" si="1819"/>
        <v>self-calculated DF</v>
      </c>
      <c r="DV1402">
        <v>1</v>
      </c>
      <c r="DW1402">
        <v>1</v>
      </c>
      <c r="DX1402">
        <v>1</v>
      </c>
      <c r="DY1402">
        <v>0</v>
      </c>
      <c r="DZ1402">
        <v>0</v>
      </c>
      <c r="EA1402" s="143">
        <v>0</v>
      </c>
      <c r="EB1402">
        <v>1</v>
      </c>
      <c r="EC1402">
        <v>1</v>
      </c>
      <c r="ED1402">
        <v>0</v>
      </c>
      <c r="EE1402">
        <v>1</v>
      </c>
      <c r="EF1402">
        <v>1</v>
      </c>
      <c r="EG1402">
        <v>1</v>
      </c>
      <c r="EH1402">
        <v>0</v>
      </c>
      <c r="EI1402" s="2">
        <v>0</v>
      </c>
      <c r="EK1402" t="str">
        <f t="shared" si="1794"/>
        <v>Whole sector</v>
      </c>
      <c r="EL1402" t="str">
        <f t="shared" si="1795"/>
        <v/>
      </c>
      <c r="EM1402" s="2" t="str">
        <f t="shared" si="1821"/>
        <v/>
      </c>
      <c r="EP1402" t="b">
        <f>IF(ISNUMBER(BU1402),IF(ABS(BU1402-[1]QC_indicators!$B$2)&gt;3*[1]QC_indicators!$C$2,"C ratio",IF(ISNUMBER(BY1402),IF(ABS(BY1402-[1]QC_indicators!$B$1)&gt;3*[1]QC_indicators!$C$1,"DF","no"))),IF(ISNUMBER(BY1402),IF(ABS(BY1402-[1]QC_indicators!$B$1)&gt;3*[1]QC_indicators!$C$1,"DF","no")))</f>
        <v>0</v>
      </c>
      <c r="ER1402" s="313" t="s">
        <v>349</v>
      </c>
    </row>
    <row r="1403" spans="1:150" ht="15" hidden="1" customHeight="1">
      <c r="A1403" s="1" t="s">
        <v>1101</v>
      </c>
      <c r="B1403" t="s">
        <v>1102</v>
      </c>
      <c r="C1403" t="s">
        <v>1103</v>
      </c>
      <c r="D1403" t="s">
        <v>1104</v>
      </c>
      <c r="E1403" t="s">
        <v>1105</v>
      </c>
      <c r="F1403" t="s">
        <v>1106</v>
      </c>
      <c r="G1403" t="s">
        <v>1107</v>
      </c>
      <c r="H1403" t="s">
        <v>254</v>
      </c>
      <c r="I1403">
        <v>2013</v>
      </c>
      <c r="J1403">
        <v>11</v>
      </c>
      <c r="K1403" t="s">
        <v>1108</v>
      </c>
      <c r="M1403" t="str">
        <f t="shared" si="1755"/>
        <v>Routa_2013</v>
      </c>
      <c r="N1403" t="s">
        <v>222</v>
      </c>
      <c r="O1403" s="145" t="s">
        <v>341</v>
      </c>
      <c r="Q1403" s="264" t="s">
        <v>256</v>
      </c>
      <c r="R1403" s="269" t="s">
        <v>1153</v>
      </c>
      <c r="S1403" s="1" t="s">
        <v>1109</v>
      </c>
      <c r="T1403" t="e">
        <f>#REF!</f>
        <v>#REF!</v>
      </c>
      <c r="U1403" t="s">
        <v>1110</v>
      </c>
      <c r="V1403">
        <v>0</v>
      </c>
      <c r="W1403">
        <v>0</v>
      </c>
      <c r="X1403">
        <v>2</v>
      </c>
      <c r="Y1403">
        <v>0</v>
      </c>
      <c r="Z1403">
        <v>2</v>
      </c>
      <c r="AA1403">
        <v>0</v>
      </c>
      <c r="AB1403">
        <v>1</v>
      </c>
      <c r="AC1403">
        <v>0</v>
      </c>
      <c r="AD1403">
        <v>0</v>
      </c>
      <c r="AE1403">
        <v>0</v>
      </c>
      <c r="AF1403">
        <v>0</v>
      </c>
      <c r="AG1403">
        <v>0</v>
      </c>
      <c r="AH1403">
        <v>0</v>
      </c>
      <c r="AI1403">
        <v>0</v>
      </c>
      <c r="AJ1403">
        <v>2</v>
      </c>
      <c r="AK1403">
        <v>0</v>
      </c>
      <c r="AL1403">
        <v>2</v>
      </c>
      <c r="AM1403">
        <v>0</v>
      </c>
      <c r="AN1403">
        <v>0</v>
      </c>
      <c r="AO1403">
        <v>0</v>
      </c>
      <c r="AP1403">
        <v>0</v>
      </c>
      <c r="AQ1403">
        <v>0</v>
      </c>
      <c r="AR1403">
        <v>0</v>
      </c>
      <c r="AS1403">
        <v>0</v>
      </c>
      <c r="AT1403">
        <v>0</v>
      </c>
      <c r="AU1403">
        <v>0</v>
      </c>
      <c r="AV1403">
        <v>0</v>
      </c>
      <c r="AW1403">
        <v>0</v>
      </c>
      <c r="AX1403" s="141">
        <f t="shared" ref="AX1403:AX1434" si="1822">COUNTIF(V1403:AW1403,"&lt;&gt;0")</f>
        <v>5</v>
      </c>
      <c r="AY1403" s="141">
        <f t="shared" ref="AY1403:AY1424" si="1823">COUNTIF(V1403:AL1403,"&lt;&gt;0")</f>
        <v>5</v>
      </c>
      <c r="AZ1403">
        <f t="shared" ref="AZ1403:AZ1424" si="1824">COUNTIF(V1403:AC1403,"&lt;&gt;0")</f>
        <v>3</v>
      </c>
      <c r="BA1403">
        <f t="shared" ref="BA1403:BA1424" si="1825">COUNTIF(AD1403:AI1403,"&lt;&gt;0")</f>
        <v>0</v>
      </c>
      <c r="BB1403">
        <f t="shared" ref="BB1403:BB1424" si="1826">COUNTIF(AJ1403:AL1403,"&lt;&gt;0")</f>
        <v>2</v>
      </c>
      <c r="BC1403">
        <f t="shared" ref="BC1403:BC1424" si="1827">COUNTIF(AS1403:AW1403,"&lt;&gt;0")</f>
        <v>0</v>
      </c>
      <c r="BD1403">
        <f t="shared" ref="BD1403:BD1424" si="1828">COUNTIF(AM1403:AR1403,"&lt;&gt;0")</f>
        <v>0</v>
      </c>
      <c r="BE1403" t="str" cm="1">
        <f t="array" ref="BE1403">IF(AY1403=1,INDEX($V$7:$AL$7,MATCH(TRUE,INDEX($V1403:$AW1403&lt;&gt;0,),0)),IF(AY1403=0,INDEX($AM$7:$AW$7,MATCH(1,$AM1403:$AW1403,0)),IF(BF1403="Multiple strategies","mixed drivers",IF(BF1403="Supply chain","multiple supply","multiple silviculture"))))</f>
        <v>mixed drivers</v>
      </c>
      <c r="BF1403" s="2" t="str" cm="1">
        <f t="array" ref="BF1403">IF(COUNTIF(AZ1403:BB1403,"&lt;&gt;0")=1,INDEX($V$4:$AW$4,MATCH(TRUE,INDEX($V1403:$AW1403&lt;&gt;0,),0)),IF(COUNTIF(AZ1403:BB1403,"&lt;&gt;0")=0,INDEX($AM$4:$AW$4,MATCH(1,$AM1403:$AW1403,0)),"Multiple strategies"))</f>
        <v>Multiple strategies</v>
      </c>
      <c r="BG1403" s="1" t="s">
        <v>321</v>
      </c>
      <c r="BH1403" t="s">
        <v>1111</v>
      </c>
      <c r="BJ1403" t="s">
        <v>1112</v>
      </c>
      <c r="BK1403">
        <v>2.75</v>
      </c>
      <c r="BL1403">
        <v>3.2</v>
      </c>
      <c r="BM1403" s="264">
        <f t="shared" ref="BM1403:BM1408" si="1829">BL1403/BK1403</f>
        <v>1.1636363636363638</v>
      </c>
      <c r="BN1403">
        <f t="shared" ref="BN1403:BN1413" si="1830">BL1403-BK1403</f>
        <v>0.45000000000000018</v>
      </c>
      <c r="BO1403">
        <f t="shared" ref="BO1403:BO1413" si="1831">BN1403</f>
        <v>0.45000000000000018</v>
      </c>
      <c r="BP1403" s="264" t="s">
        <v>232</v>
      </c>
      <c r="BQ1403" s="264"/>
      <c r="BR1403" t="s">
        <v>1113</v>
      </c>
      <c r="BS1403">
        <v>-0.22</v>
      </c>
      <c r="BT1403">
        <v>-2.5</v>
      </c>
      <c r="BU1403" s="144">
        <f t="shared" ref="BU1403:BU1408" si="1832">IFERROR(BT1403/BS1403,"")</f>
        <v>11.363636363636363</v>
      </c>
      <c r="BV1403">
        <f t="shared" ref="BV1403:BV1408" si="1833">BT1403-BS1403</f>
        <v>-2.2799999999999998</v>
      </c>
      <c r="BX1403">
        <f t="shared" ref="BX1403:BX1413" si="1834">BV1403/10^3</f>
        <v>-2.2799999999999999E-3</v>
      </c>
      <c r="BY1403">
        <f t="shared" si="1820"/>
        <v>-5.0666666666666646E-3</v>
      </c>
      <c r="BZ1403">
        <v>0</v>
      </c>
      <c r="CA1403">
        <v>0</v>
      </c>
      <c r="CB1403">
        <v>0</v>
      </c>
      <c r="CC1403">
        <v>0</v>
      </c>
      <c r="CD1403">
        <v>0</v>
      </c>
      <c r="CE1403">
        <v>0</v>
      </c>
      <c r="CF1403">
        <v>0</v>
      </c>
      <c r="CG1403">
        <v>0</v>
      </c>
      <c r="CH1403">
        <v>0</v>
      </c>
      <c r="CI1403">
        <v>0</v>
      </c>
      <c r="CJ1403">
        <v>0</v>
      </c>
      <c r="CK1403">
        <v>0</v>
      </c>
      <c r="CL1403">
        <v>0</v>
      </c>
      <c r="CM1403">
        <v>0</v>
      </c>
      <c r="CN1403" t="str">
        <f t="shared" ref="CN1403:CN1413" si="1835">IF($BL1403&lt;$BK1403,"refNeedCorrection","refOK")</f>
        <v>refOK</v>
      </c>
      <c r="CO1403">
        <f t="shared" ref="CO1403:CO1413" si="1836">IF($CN1403="refOK",$BK1403,$BL1403)</f>
        <v>2.75</v>
      </c>
      <c r="CP1403">
        <f t="shared" ref="CP1403:CP1413" si="1837">IF($CN1403="refOK",$BL1403,$BK1403)</f>
        <v>3.2</v>
      </c>
      <c r="CQ1403">
        <f t="shared" ref="CQ1403:CQ1413" si="1838">IF($CN1403="refOK",$BO1403,-$BO1403)</f>
        <v>0.45000000000000018</v>
      </c>
      <c r="CR1403">
        <f t="shared" ref="CR1403:CR1424" si="1839">IF($CN1403="refOK",$BS1403,$BT1403)*IF($BP1403="Emissions positive",-1,1)</f>
        <v>-0.22</v>
      </c>
      <c r="CS1403">
        <f t="shared" ref="CS1403:CS1424" si="1840">IF($CN1403="refOK",$BT1403,$BS1403)*IF($BP1403="Emissions positive",-1,1)</f>
        <v>-2.5</v>
      </c>
      <c r="CT1403">
        <f t="shared" ref="CT1403:CT1424" si="1841">IF($CN1403="refNeedCorrection",-BX1403,BX1403)*IF($BP1403="Emissions positive",-1,1)</f>
        <v>-2.2799999999999999E-3</v>
      </c>
      <c r="CU1403">
        <f t="shared" ref="CU1403:CU1434" si="1842">IFERROR(CT1403/CQ1403,"")</f>
        <v>-5.0666666666666646E-3</v>
      </c>
      <c r="CV1403" s="2">
        <f t="shared" ref="CV1403:CV1424" si="1843">IFERROR((CS1403-CR1403)/ABS(CR1403),"")</f>
        <v>-10.363636363636363</v>
      </c>
      <c r="CW1403" s="1" t="s">
        <v>234</v>
      </c>
      <c r="CX1403" s="264" t="str">
        <f t="shared" ref="CX1403:CX1424" si="1844">IF(OR($CW1403="prd",$CW1403="std",$CW1403="cit"),"loc",IF(OR($CW1403="eur",$CW1403="reg",$CW1403="coy"),"reg",$CW1403))</f>
        <v>loc</v>
      </c>
      <c r="CY1403" t="s">
        <v>235</v>
      </c>
      <c r="CZ1403">
        <v>2001</v>
      </c>
      <c r="DA1403">
        <v>2100</v>
      </c>
      <c r="DB1403">
        <v>100</v>
      </c>
      <c r="DC1403" t="str">
        <f t="shared" ref="DC1403:DC1434" si="1845">IF(DB1403=0,"0",IF(AND(DB1403&gt;=1,DB1403&lt;=30),"1-30",IF(AND(DB1403&gt;30,DB1403&lt;=70),"31-70",IF(AND(DB1403&gt;70,DB1403&lt;=100),"71-100",IF(DB1403&gt;100,"+100")))))</f>
        <v>71-100</v>
      </c>
      <c r="DD1403">
        <v>0</v>
      </c>
      <c r="DE1403">
        <v>1</v>
      </c>
      <c r="DF1403">
        <v>1</v>
      </c>
      <c r="DG1403">
        <v>1</v>
      </c>
      <c r="DI1403">
        <f t="shared" ref="DI1403:DI1424" si="1846">SUM(DD1403:DG1403)</f>
        <v>3</v>
      </c>
      <c r="DJ1403" t="str">
        <f t="shared" ref="DJ1403:DJ1434" si="1847">IF(DI1403=1,INDEX($DD$7:$DG$7,MATCH(1,$DD1403:$DG1403,0)),"mixedProduct")</f>
        <v>mixedProduct</v>
      </c>
      <c r="DK1403">
        <f t="shared" ref="DK1403:DK1424" si="1848">IF(DD1403=1,DK$7,0)</f>
        <v>0</v>
      </c>
      <c r="DL1403" t="str">
        <f t="shared" ref="DL1403:DL1424" si="1849">IF(DE1403=1,DL$7,0)</f>
        <v>Energy</v>
      </c>
      <c r="DM1403" t="str">
        <f t="shared" ref="DM1403:DM1424" si="1850">IF(DF1403=1,DM$7,0)</f>
        <v>Pulp/Paper</v>
      </c>
      <c r="DN1403" t="str">
        <f t="shared" ref="DN1403:DN1424" si="1851">IF(DG1403=1,DN$7,0)</f>
        <v>Timber</v>
      </c>
      <c r="DO1403">
        <v>1</v>
      </c>
      <c r="DP1403">
        <v>0</v>
      </c>
      <c r="DQ1403">
        <v>0</v>
      </c>
      <c r="DR1403">
        <v>0</v>
      </c>
      <c r="DS1403">
        <v>0</v>
      </c>
      <c r="DT1403">
        <f t="shared" ref="DT1403:DT1424" si="1852">SUM(DO1403:DP1403)</f>
        <v>1</v>
      </c>
      <c r="DU1403" s="143" t="str">
        <f t="shared" ref="DU1403:DU1424" si="1853">IF(DO1403=1,"self-calculated DF",IF(DP1403=1,"external DF used","explicit C balance"))</f>
        <v>self-calculated DF</v>
      </c>
      <c r="DV1403">
        <v>1</v>
      </c>
      <c r="DW1403">
        <v>1</v>
      </c>
      <c r="DX1403">
        <v>1</v>
      </c>
      <c r="DY1403">
        <v>0</v>
      </c>
      <c r="DZ1403">
        <v>0</v>
      </c>
      <c r="EA1403" s="143">
        <v>0</v>
      </c>
      <c r="EB1403">
        <v>1</v>
      </c>
      <c r="EC1403">
        <v>1</v>
      </c>
      <c r="ED1403">
        <v>0</v>
      </c>
      <c r="EE1403">
        <v>0</v>
      </c>
      <c r="EF1403">
        <v>1</v>
      </c>
      <c r="EG1403">
        <v>1</v>
      </c>
      <c r="EH1403">
        <v>0</v>
      </c>
      <c r="EI1403" s="2">
        <v>0</v>
      </c>
      <c r="EK1403" t="str">
        <f t="shared" ref="EK1403:EK1413" si="1854">IF(AND(AND(AND(OR($DX1403=1,$DW1403=1),OR($EC1403=1,$EA1403=1)),SUM($DV1403:$DZ1403,$EF1403)&gt;=4),SUM($EA1403:$EE1403)&gt;=2),"Whole sector","")</f>
        <v>Whole sector</v>
      </c>
      <c r="EL1403" t="str">
        <f t="shared" ref="EL1403:EL1413" si="1855">IF(AND(AND(OR($DX1403=1,$DW1403=1),AND($EC1403=0,$EA1403=0)),SUM($DV1403:$DZ1403,$EF1403)&gt;=4),"Ecosystem approach","")</f>
        <v/>
      </c>
      <c r="EM1403" s="2" t="str">
        <f t="shared" si="1821"/>
        <v/>
      </c>
      <c r="EP1403" t="str">
        <f>IF(ISNUMBER(BU1403),IF(ABS(BU1403-[4]QC_indicators!$B$2)&gt;3*[4]QC_indicators!$C$2,"C ratio",IF(ISNUMBER(BY1403),IF(ABS(BY1403-[4]QC_indicators!$B$1)&gt;3*[4]QC_indicators!$C$1,"DF","no"))),IF(ISNUMBER(BY1403),IF(ABS(BY1403-[4]QC_indicators!$B$1)&gt;3*[4]QC_indicators!$C$1,"DF","no")))</f>
        <v>no</v>
      </c>
      <c r="ER1403" s="294" t="s">
        <v>349</v>
      </c>
      <c r="ET1403" s="264" t="s">
        <v>3406</v>
      </c>
    </row>
    <row r="1404" spans="1:150" ht="15" hidden="1" customHeight="1">
      <c r="A1404" s="1" t="s">
        <v>1101</v>
      </c>
      <c r="B1404" t="s">
        <v>1102</v>
      </c>
      <c r="C1404" t="s">
        <v>1103</v>
      </c>
      <c r="D1404" t="s">
        <v>1104</v>
      </c>
      <c r="E1404" t="s">
        <v>1105</v>
      </c>
      <c r="F1404" t="s">
        <v>1106</v>
      </c>
      <c r="G1404" t="s">
        <v>1107</v>
      </c>
      <c r="H1404" t="s">
        <v>254</v>
      </c>
      <c r="I1404">
        <v>2013</v>
      </c>
      <c r="J1404">
        <v>11</v>
      </c>
      <c r="K1404" t="s">
        <v>1108</v>
      </c>
      <c r="M1404" t="str">
        <f t="shared" si="1755"/>
        <v>Routa_2013</v>
      </c>
      <c r="N1404" t="s">
        <v>222</v>
      </c>
      <c r="O1404" s="145" t="s">
        <v>341</v>
      </c>
      <c r="Q1404" s="264" t="s">
        <v>256</v>
      </c>
      <c r="R1404" s="269" t="s">
        <v>1153</v>
      </c>
      <c r="S1404" s="1" t="s">
        <v>1114</v>
      </c>
      <c r="T1404" t="e">
        <f>#REF!</f>
        <v>#REF!</v>
      </c>
      <c r="U1404" t="s">
        <v>1110</v>
      </c>
      <c r="V1404">
        <v>0</v>
      </c>
      <c r="W1404">
        <v>0</v>
      </c>
      <c r="X1404">
        <v>2</v>
      </c>
      <c r="Y1404">
        <v>0</v>
      </c>
      <c r="Z1404">
        <v>2</v>
      </c>
      <c r="AA1404">
        <v>0</v>
      </c>
      <c r="AB1404">
        <v>1</v>
      </c>
      <c r="AC1404">
        <v>0</v>
      </c>
      <c r="AD1404">
        <v>0</v>
      </c>
      <c r="AE1404">
        <v>0</v>
      </c>
      <c r="AF1404">
        <v>0</v>
      </c>
      <c r="AG1404">
        <v>0</v>
      </c>
      <c r="AH1404">
        <v>0</v>
      </c>
      <c r="AI1404">
        <v>0</v>
      </c>
      <c r="AJ1404">
        <v>2</v>
      </c>
      <c r="AK1404">
        <v>0</v>
      </c>
      <c r="AL1404">
        <v>2</v>
      </c>
      <c r="AM1404">
        <v>0</v>
      </c>
      <c r="AN1404">
        <v>0</v>
      </c>
      <c r="AO1404">
        <v>0</v>
      </c>
      <c r="AP1404">
        <v>0</v>
      </c>
      <c r="AQ1404">
        <v>0</v>
      </c>
      <c r="AR1404">
        <v>0</v>
      </c>
      <c r="AS1404">
        <v>0</v>
      </c>
      <c r="AT1404">
        <v>0</v>
      </c>
      <c r="AU1404">
        <v>0</v>
      </c>
      <c r="AV1404">
        <v>0</v>
      </c>
      <c r="AW1404">
        <v>0</v>
      </c>
      <c r="AX1404" s="141">
        <f t="shared" si="1822"/>
        <v>5</v>
      </c>
      <c r="AY1404" s="141">
        <f t="shared" si="1823"/>
        <v>5</v>
      </c>
      <c r="AZ1404">
        <f t="shared" si="1824"/>
        <v>3</v>
      </c>
      <c r="BA1404">
        <f t="shared" si="1825"/>
        <v>0</v>
      </c>
      <c r="BB1404">
        <f t="shared" si="1826"/>
        <v>2</v>
      </c>
      <c r="BC1404">
        <f t="shared" si="1827"/>
        <v>0</v>
      </c>
      <c r="BD1404">
        <f t="shared" si="1828"/>
        <v>0</v>
      </c>
      <c r="BE1404" t="str" cm="1">
        <f t="array" ref="BE1404">IF(AY1404=1,INDEX($V$7:$AL$7,MATCH(TRUE,INDEX($V1404:$AW1404&lt;&gt;0,),0)),IF(AY1404=0,INDEX($AM$7:$AW$7,MATCH(1,$AM1404:$AW1404,0)),IF(BF1404="Multiple strategies","mixed drivers",IF(BF1404="Supply chain","multiple supply","multiple silviculture"))))</f>
        <v>mixed drivers</v>
      </c>
      <c r="BF1404" s="2" t="str" cm="1">
        <f t="array" ref="BF1404">IF(COUNTIF(AZ1404:BB1404,"&lt;&gt;0")=1,INDEX($V$4:$AW$4,MATCH(TRUE,INDEX($V1404:$AW1404&lt;&gt;0,),0)),IF(COUNTIF(AZ1404:BB1404,"&lt;&gt;0")=0,INDEX($AM$4:$AW$4,MATCH(1,$AM1404:$AW1404,0)),"Multiple strategies"))</f>
        <v>Multiple strategies</v>
      </c>
      <c r="BG1404" s="1" t="s">
        <v>321</v>
      </c>
      <c r="BH1404" t="s">
        <v>1111</v>
      </c>
      <c r="BJ1404" t="s">
        <v>1112</v>
      </c>
      <c r="BK1404">
        <v>2.9</v>
      </c>
      <c r="BL1404">
        <v>3.2</v>
      </c>
      <c r="BM1404" s="264">
        <f t="shared" si="1829"/>
        <v>1.103448275862069</v>
      </c>
      <c r="BN1404">
        <f t="shared" si="1830"/>
        <v>0.30000000000000027</v>
      </c>
      <c r="BO1404">
        <f t="shared" si="1831"/>
        <v>0.30000000000000027</v>
      </c>
      <c r="BP1404" s="264" t="s">
        <v>232</v>
      </c>
      <c r="BQ1404" s="264"/>
      <c r="BR1404" t="s">
        <v>1113</v>
      </c>
      <c r="BS1404">
        <v>-1.2</v>
      </c>
      <c r="BT1404">
        <v>-2.5</v>
      </c>
      <c r="BU1404" s="144">
        <f t="shared" si="1832"/>
        <v>2.0833333333333335</v>
      </c>
      <c r="BV1404">
        <f t="shared" si="1833"/>
        <v>-1.3</v>
      </c>
      <c r="BX1404">
        <f t="shared" si="1834"/>
        <v>-1.2999999999999999E-3</v>
      </c>
      <c r="BY1404">
        <f t="shared" si="1820"/>
        <v>-4.3333333333333297E-3</v>
      </c>
      <c r="BZ1404">
        <v>0</v>
      </c>
      <c r="CA1404">
        <v>0</v>
      </c>
      <c r="CB1404">
        <v>0</v>
      </c>
      <c r="CC1404">
        <v>0</v>
      </c>
      <c r="CD1404">
        <v>0</v>
      </c>
      <c r="CE1404">
        <v>0</v>
      </c>
      <c r="CF1404">
        <v>0</v>
      </c>
      <c r="CG1404">
        <v>0</v>
      </c>
      <c r="CH1404">
        <v>0</v>
      </c>
      <c r="CI1404">
        <v>0</v>
      </c>
      <c r="CJ1404">
        <v>0</v>
      </c>
      <c r="CK1404">
        <v>0</v>
      </c>
      <c r="CL1404">
        <v>0</v>
      </c>
      <c r="CM1404">
        <v>0</v>
      </c>
      <c r="CN1404" t="str">
        <f t="shared" si="1835"/>
        <v>refOK</v>
      </c>
      <c r="CO1404">
        <f t="shared" si="1836"/>
        <v>2.9</v>
      </c>
      <c r="CP1404">
        <f t="shared" si="1837"/>
        <v>3.2</v>
      </c>
      <c r="CQ1404">
        <f t="shared" si="1838"/>
        <v>0.30000000000000027</v>
      </c>
      <c r="CR1404">
        <f t="shared" si="1839"/>
        <v>-1.2</v>
      </c>
      <c r="CS1404">
        <f t="shared" si="1840"/>
        <v>-2.5</v>
      </c>
      <c r="CT1404">
        <f t="shared" si="1841"/>
        <v>-1.2999999999999999E-3</v>
      </c>
      <c r="CU1404">
        <f t="shared" si="1842"/>
        <v>-4.3333333333333297E-3</v>
      </c>
      <c r="CV1404" s="2">
        <f t="shared" si="1843"/>
        <v>-1.0833333333333335</v>
      </c>
      <c r="CW1404" s="1" t="s">
        <v>234</v>
      </c>
      <c r="CX1404" s="264" t="str">
        <f t="shared" si="1844"/>
        <v>loc</v>
      </c>
      <c r="CY1404" t="s">
        <v>235</v>
      </c>
      <c r="CZ1404">
        <v>2001</v>
      </c>
      <c r="DA1404">
        <v>2100</v>
      </c>
      <c r="DB1404">
        <v>100</v>
      </c>
      <c r="DC1404" t="str">
        <f t="shared" si="1845"/>
        <v>71-100</v>
      </c>
      <c r="DD1404">
        <v>0</v>
      </c>
      <c r="DE1404">
        <v>1</v>
      </c>
      <c r="DF1404">
        <v>1</v>
      </c>
      <c r="DG1404">
        <v>1</v>
      </c>
      <c r="DI1404">
        <f t="shared" si="1846"/>
        <v>3</v>
      </c>
      <c r="DJ1404" t="str">
        <f t="shared" si="1847"/>
        <v>mixedProduct</v>
      </c>
      <c r="DK1404">
        <f t="shared" si="1848"/>
        <v>0</v>
      </c>
      <c r="DL1404" t="str">
        <f t="shared" si="1849"/>
        <v>Energy</v>
      </c>
      <c r="DM1404" t="str">
        <f t="shared" si="1850"/>
        <v>Pulp/Paper</v>
      </c>
      <c r="DN1404" t="str">
        <f t="shared" si="1851"/>
        <v>Timber</v>
      </c>
      <c r="DO1404">
        <v>1</v>
      </c>
      <c r="DP1404">
        <v>0</v>
      </c>
      <c r="DQ1404">
        <v>0</v>
      </c>
      <c r="DR1404">
        <v>0</v>
      </c>
      <c r="DS1404">
        <v>0</v>
      </c>
      <c r="DT1404">
        <f t="shared" si="1852"/>
        <v>1</v>
      </c>
      <c r="DU1404" s="143" t="str">
        <f t="shared" si="1853"/>
        <v>self-calculated DF</v>
      </c>
      <c r="DV1404">
        <v>1</v>
      </c>
      <c r="DW1404">
        <v>1</v>
      </c>
      <c r="DX1404">
        <v>1</v>
      </c>
      <c r="DY1404">
        <v>0</v>
      </c>
      <c r="DZ1404">
        <v>0</v>
      </c>
      <c r="EA1404" s="143">
        <v>0</v>
      </c>
      <c r="EB1404">
        <v>1</v>
      </c>
      <c r="EC1404">
        <v>1</v>
      </c>
      <c r="ED1404">
        <v>0</v>
      </c>
      <c r="EE1404">
        <v>0</v>
      </c>
      <c r="EF1404">
        <v>1</v>
      </c>
      <c r="EG1404">
        <v>1</v>
      </c>
      <c r="EH1404">
        <v>0</v>
      </c>
      <c r="EI1404" s="2">
        <v>0</v>
      </c>
      <c r="EK1404" t="str">
        <f t="shared" si="1854"/>
        <v>Whole sector</v>
      </c>
      <c r="EL1404" t="str">
        <f t="shared" si="1855"/>
        <v/>
      </c>
      <c r="EM1404" s="2" t="str">
        <f t="shared" si="1821"/>
        <v/>
      </c>
      <c r="EP1404" t="str">
        <f>IF(ISNUMBER(BU1404),IF(ABS(BU1404-[4]QC_indicators!$B$2)&gt;3*[4]QC_indicators!$C$2,"C ratio",IF(ISNUMBER(BY1404),IF(ABS(BY1404-[4]QC_indicators!$B$1)&gt;3*[4]QC_indicators!$C$1,"DF","no"))),IF(ISNUMBER(BY1404),IF(ABS(BY1404-[4]QC_indicators!$B$1)&gt;3*[4]QC_indicators!$C$1,"DF","no")))</f>
        <v>no</v>
      </c>
      <c r="ER1404" s="294" t="s">
        <v>349</v>
      </c>
      <c r="ES1404" t="s">
        <v>1115</v>
      </c>
      <c r="ET1404" s="264" t="s">
        <v>3406</v>
      </c>
    </row>
    <row r="1405" spans="1:150" ht="15" hidden="1" customHeight="1">
      <c r="A1405" s="1" t="s">
        <v>1101</v>
      </c>
      <c r="B1405" t="s">
        <v>1102</v>
      </c>
      <c r="C1405" t="s">
        <v>1103</v>
      </c>
      <c r="D1405" t="s">
        <v>1104</v>
      </c>
      <c r="E1405" t="s">
        <v>1105</v>
      </c>
      <c r="F1405" t="s">
        <v>1106</v>
      </c>
      <c r="G1405" t="s">
        <v>1107</v>
      </c>
      <c r="H1405" t="s">
        <v>254</v>
      </c>
      <c r="I1405">
        <v>2013</v>
      </c>
      <c r="J1405">
        <v>11</v>
      </c>
      <c r="K1405" t="s">
        <v>1108</v>
      </c>
      <c r="M1405" t="str">
        <f t="shared" si="1755"/>
        <v>Routa_2013</v>
      </c>
      <c r="N1405" t="s">
        <v>222</v>
      </c>
      <c r="O1405" s="145" t="s">
        <v>341</v>
      </c>
      <c r="Q1405" s="264" t="s">
        <v>256</v>
      </c>
      <c r="R1405" s="269" t="s">
        <v>1153</v>
      </c>
      <c r="S1405" s="1" t="s">
        <v>1116</v>
      </c>
      <c r="T1405" t="e">
        <f>#REF!</f>
        <v>#REF!</v>
      </c>
      <c r="U1405" t="s">
        <v>1110</v>
      </c>
      <c r="V1405">
        <v>0</v>
      </c>
      <c r="W1405">
        <v>0</v>
      </c>
      <c r="X1405">
        <v>2</v>
      </c>
      <c r="Y1405">
        <v>0</v>
      </c>
      <c r="Z1405">
        <v>2</v>
      </c>
      <c r="AA1405">
        <v>0</v>
      </c>
      <c r="AB1405">
        <v>1</v>
      </c>
      <c r="AC1405">
        <v>0</v>
      </c>
      <c r="AD1405">
        <v>0</v>
      </c>
      <c r="AE1405">
        <v>0</v>
      </c>
      <c r="AF1405">
        <v>0</v>
      </c>
      <c r="AG1405">
        <v>0</v>
      </c>
      <c r="AH1405">
        <v>0</v>
      </c>
      <c r="AI1405">
        <v>0</v>
      </c>
      <c r="AJ1405">
        <v>2</v>
      </c>
      <c r="AK1405">
        <v>0</v>
      </c>
      <c r="AL1405">
        <v>2</v>
      </c>
      <c r="AM1405">
        <v>0</v>
      </c>
      <c r="AN1405">
        <v>0</v>
      </c>
      <c r="AO1405">
        <v>0</v>
      </c>
      <c r="AP1405">
        <v>0</v>
      </c>
      <c r="AQ1405">
        <v>0</v>
      </c>
      <c r="AR1405">
        <v>0</v>
      </c>
      <c r="AS1405">
        <v>0</v>
      </c>
      <c r="AT1405">
        <v>0</v>
      </c>
      <c r="AU1405">
        <v>0</v>
      </c>
      <c r="AV1405">
        <v>0</v>
      </c>
      <c r="AW1405">
        <v>0</v>
      </c>
      <c r="AX1405" s="141">
        <f t="shared" si="1822"/>
        <v>5</v>
      </c>
      <c r="AY1405" s="141">
        <f t="shared" si="1823"/>
        <v>5</v>
      </c>
      <c r="AZ1405">
        <f t="shared" si="1824"/>
        <v>3</v>
      </c>
      <c r="BA1405">
        <f t="shared" si="1825"/>
        <v>0</v>
      </c>
      <c r="BB1405">
        <f t="shared" si="1826"/>
        <v>2</v>
      </c>
      <c r="BC1405">
        <f t="shared" si="1827"/>
        <v>0</v>
      </c>
      <c r="BD1405">
        <f t="shared" si="1828"/>
        <v>0</v>
      </c>
      <c r="BE1405" t="str" cm="1">
        <f t="array" ref="BE1405">IF(AY1405=1,INDEX($V$7:$AL$7,MATCH(TRUE,INDEX($V1405:$AW1405&lt;&gt;0,),0)),IF(AY1405=0,INDEX($AM$7:$AW$7,MATCH(1,$AM1405:$AW1405,0)),IF(BF1405="Multiple strategies","mixed drivers",IF(BF1405="Supply chain","multiple supply","multiple silviculture"))))</f>
        <v>mixed drivers</v>
      </c>
      <c r="BF1405" s="2" t="str" cm="1">
        <f t="array" ref="BF1405">IF(COUNTIF(AZ1405:BB1405,"&lt;&gt;0")=1,INDEX($V$4:$AW$4,MATCH(TRUE,INDEX($V1405:$AW1405&lt;&gt;0,),0)),IF(COUNTIF(AZ1405:BB1405,"&lt;&gt;0")=0,INDEX($AM$4:$AW$4,MATCH(1,$AM1405:$AW1405,0)),"Multiple strategies"))</f>
        <v>Multiple strategies</v>
      </c>
      <c r="BG1405" s="1" t="s">
        <v>321</v>
      </c>
      <c r="BH1405" t="s">
        <v>1111</v>
      </c>
      <c r="BJ1405" t="s">
        <v>1112</v>
      </c>
      <c r="BK1405">
        <v>2.8</v>
      </c>
      <c r="BL1405">
        <v>3.2</v>
      </c>
      <c r="BM1405" s="264">
        <f t="shared" si="1829"/>
        <v>1.142857142857143</v>
      </c>
      <c r="BN1405">
        <f t="shared" si="1830"/>
        <v>0.40000000000000036</v>
      </c>
      <c r="BO1405">
        <f t="shared" si="1831"/>
        <v>0.40000000000000036</v>
      </c>
      <c r="BP1405" s="264" t="s">
        <v>232</v>
      </c>
      <c r="BQ1405" s="264"/>
      <c r="BR1405" t="s">
        <v>1113</v>
      </c>
      <c r="BS1405">
        <v>-1.4</v>
      </c>
      <c r="BT1405">
        <v>-2.5</v>
      </c>
      <c r="BU1405" s="144">
        <f t="shared" si="1832"/>
        <v>1.7857142857142858</v>
      </c>
      <c r="BV1405">
        <f t="shared" si="1833"/>
        <v>-1.1000000000000001</v>
      </c>
      <c r="BX1405">
        <f t="shared" si="1834"/>
        <v>-1.1000000000000001E-3</v>
      </c>
      <c r="BY1405">
        <f t="shared" si="1820"/>
        <v>-2.7499999999999977E-3</v>
      </c>
      <c r="BZ1405">
        <v>0</v>
      </c>
      <c r="CA1405">
        <v>0</v>
      </c>
      <c r="CB1405">
        <v>0</v>
      </c>
      <c r="CC1405">
        <v>0</v>
      </c>
      <c r="CD1405">
        <v>0</v>
      </c>
      <c r="CE1405">
        <v>0</v>
      </c>
      <c r="CF1405">
        <v>0</v>
      </c>
      <c r="CG1405">
        <v>0</v>
      </c>
      <c r="CH1405">
        <v>0</v>
      </c>
      <c r="CI1405">
        <v>0</v>
      </c>
      <c r="CJ1405">
        <v>0</v>
      </c>
      <c r="CK1405">
        <v>0</v>
      </c>
      <c r="CL1405">
        <v>0</v>
      </c>
      <c r="CM1405">
        <v>0</v>
      </c>
      <c r="CN1405" t="str">
        <f t="shared" si="1835"/>
        <v>refOK</v>
      </c>
      <c r="CO1405">
        <f t="shared" si="1836"/>
        <v>2.8</v>
      </c>
      <c r="CP1405">
        <f t="shared" si="1837"/>
        <v>3.2</v>
      </c>
      <c r="CQ1405">
        <f t="shared" si="1838"/>
        <v>0.40000000000000036</v>
      </c>
      <c r="CR1405">
        <f t="shared" si="1839"/>
        <v>-1.4</v>
      </c>
      <c r="CS1405">
        <f t="shared" si="1840"/>
        <v>-2.5</v>
      </c>
      <c r="CT1405">
        <f t="shared" si="1841"/>
        <v>-1.1000000000000001E-3</v>
      </c>
      <c r="CU1405">
        <f t="shared" si="1842"/>
        <v>-2.7499999999999977E-3</v>
      </c>
      <c r="CV1405" s="2">
        <f t="shared" si="1843"/>
        <v>-0.78571428571428581</v>
      </c>
      <c r="CW1405" s="1" t="s">
        <v>234</v>
      </c>
      <c r="CX1405" s="264" t="str">
        <f t="shared" si="1844"/>
        <v>loc</v>
      </c>
      <c r="CY1405" t="s">
        <v>235</v>
      </c>
      <c r="CZ1405">
        <v>2001</v>
      </c>
      <c r="DA1405">
        <v>2100</v>
      </c>
      <c r="DB1405">
        <v>100</v>
      </c>
      <c r="DC1405" t="str">
        <f t="shared" si="1845"/>
        <v>71-100</v>
      </c>
      <c r="DD1405">
        <v>0</v>
      </c>
      <c r="DE1405">
        <v>1</v>
      </c>
      <c r="DF1405">
        <v>1</v>
      </c>
      <c r="DG1405">
        <v>1</v>
      </c>
      <c r="DI1405">
        <f t="shared" si="1846"/>
        <v>3</v>
      </c>
      <c r="DJ1405" t="str">
        <f t="shared" si="1847"/>
        <v>mixedProduct</v>
      </c>
      <c r="DK1405">
        <f t="shared" si="1848"/>
        <v>0</v>
      </c>
      <c r="DL1405" t="str">
        <f t="shared" si="1849"/>
        <v>Energy</v>
      </c>
      <c r="DM1405" t="str">
        <f t="shared" si="1850"/>
        <v>Pulp/Paper</v>
      </c>
      <c r="DN1405" t="str">
        <f t="shared" si="1851"/>
        <v>Timber</v>
      </c>
      <c r="DO1405">
        <v>1</v>
      </c>
      <c r="DP1405">
        <v>0</v>
      </c>
      <c r="DQ1405">
        <v>0</v>
      </c>
      <c r="DR1405">
        <v>0</v>
      </c>
      <c r="DS1405">
        <v>0</v>
      </c>
      <c r="DT1405">
        <f t="shared" si="1852"/>
        <v>1</v>
      </c>
      <c r="DU1405" s="143" t="str">
        <f t="shared" si="1853"/>
        <v>self-calculated DF</v>
      </c>
      <c r="DV1405">
        <v>1</v>
      </c>
      <c r="DW1405">
        <v>1</v>
      </c>
      <c r="DX1405">
        <v>1</v>
      </c>
      <c r="DY1405">
        <v>0</v>
      </c>
      <c r="DZ1405">
        <v>0</v>
      </c>
      <c r="EA1405" s="143">
        <v>0</v>
      </c>
      <c r="EB1405">
        <v>1</v>
      </c>
      <c r="EC1405">
        <v>1</v>
      </c>
      <c r="ED1405">
        <v>0</v>
      </c>
      <c r="EE1405">
        <v>0</v>
      </c>
      <c r="EF1405">
        <v>1</v>
      </c>
      <c r="EG1405">
        <v>1</v>
      </c>
      <c r="EH1405">
        <v>0</v>
      </c>
      <c r="EI1405" s="2">
        <v>0</v>
      </c>
      <c r="EK1405" t="str">
        <f t="shared" si="1854"/>
        <v>Whole sector</v>
      </c>
      <c r="EL1405" t="str">
        <f t="shared" si="1855"/>
        <v/>
      </c>
      <c r="EM1405" s="2" t="str">
        <f t="shared" si="1821"/>
        <v/>
      </c>
      <c r="EP1405" t="str">
        <f>IF(ISNUMBER(BU1405),IF(ABS(BU1405-[4]QC_indicators!$B$2)&gt;3*[4]QC_indicators!$C$2,"C ratio",IF(ISNUMBER(BY1405),IF(ABS(BY1405-[4]QC_indicators!$B$1)&gt;3*[4]QC_indicators!$C$1,"DF","no"))),IF(ISNUMBER(BY1405),IF(ABS(BY1405-[4]QC_indicators!$B$1)&gt;3*[4]QC_indicators!$C$1,"DF","no")))</f>
        <v>no</v>
      </c>
      <c r="ER1405" s="294" t="s">
        <v>349</v>
      </c>
      <c r="ET1405" s="264" t="s">
        <v>3406</v>
      </c>
    </row>
    <row r="1406" spans="1:150" ht="15" hidden="1" customHeight="1">
      <c r="A1406" s="1" t="s">
        <v>1101</v>
      </c>
      <c r="B1406" t="s">
        <v>1102</v>
      </c>
      <c r="C1406" t="s">
        <v>1103</v>
      </c>
      <c r="D1406" t="s">
        <v>1104</v>
      </c>
      <c r="E1406" t="s">
        <v>1105</v>
      </c>
      <c r="F1406" t="s">
        <v>1106</v>
      </c>
      <c r="G1406" t="s">
        <v>1107</v>
      </c>
      <c r="H1406" t="s">
        <v>254</v>
      </c>
      <c r="I1406">
        <v>2013</v>
      </c>
      <c r="J1406">
        <v>11</v>
      </c>
      <c r="K1406" t="s">
        <v>1108</v>
      </c>
      <c r="M1406" t="str">
        <f t="shared" si="1755"/>
        <v>Routa_2013</v>
      </c>
      <c r="N1406" t="s">
        <v>222</v>
      </c>
      <c r="O1406" s="145" t="s">
        <v>341</v>
      </c>
      <c r="Q1406" s="264" t="s">
        <v>256</v>
      </c>
      <c r="R1406" s="269" t="s">
        <v>1153</v>
      </c>
      <c r="S1406" s="1" t="s">
        <v>1117</v>
      </c>
      <c r="T1406" t="e">
        <f>#REF!</f>
        <v>#REF!</v>
      </c>
      <c r="U1406" t="s">
        <v>1110</v>
      </c>
      <c r="V1406">
        <v>0</v>
      </c>
      <c r="W1406">
        <v>0</v>
      </c>
      <c r="X1406">
        <v>2</v>
      </c>
      <c r="Y1406">
        <v>0</v>
      </c>
      <c r="Z1406">
        <v>2</v>
      </c>
      <c r="AA1406">
        <v>0</v>
      </c>
      <c r="AB1406">
        <v>1</v>
      </c>
      <c r="AC1406">
        <v>0</v>
      </c>
      <c r="AD1406">
        <v>0</v>
      </c>
      <c r="AE1406">
        <v>0</v>
      </c>
      <c r="AF1406">
        <v>0</v>
      </c>
      <c r="AG1406">
        <v>0</v>
      </c>
      <c r="AH1406">
        <v>0</v>
      </c>
      <c r="AI1406">
        <v>0</v>
      </c>
      <c r="AJ1406">
        <v>2</v>
      </c>
      <c r="AK1406">
        <v>0</v>
      </c>
      <c r="AL1406">
        <v>2</v>
      </c>
      <c r="AM1406">
        <v>0</v>
      </c>
      <c r="AN1406">
        <v>0</v>
      </c>
      <c r="AO1406">
        <v>0</v>
      </c>
      <c r="AP1406">
        <v>0</v>
      </c>
      <c r="AQ1406">
        <v>0</v>
      </c>
      <c r="AR1406">
        <v>0</v>
      </c>
      <c r="AS1406">
        <v>0</v>
      </c>
      <c r="AT1406">
        <v>0</v>
      </c>
      <c r="AU1406">
        <v>0</v>
      </c>
      <c r="AV1406">
        <v>0</v>
      </c>
      <c r="AW1406">
        <v>0</v>
      </c>
      <c r="AX1406" s="141">
        <f t="shared" si="1822"/>
        <v>5</v>
      </c>
      <c r="AY1406" s="141">
        <f t="shared" si="1823"/>
        <v>5</v>
      </c>
      <c r="AZ1406">
        <f t="shared" si="1824"/>
        <v>3</v>
      </c>
      <c r="BA1406">
        <f t="shared" si="1825"/>
        <v>0</v>
      </c>
      <c r="BB1406">
        <f t="shared" si="1826"/>
        <v>2</v>
      </c>
      <c r="BC1406">
        <f t="shared" si="1827"/>
        <v>0</v>
      </c>
      <c r="BD1406">
        <f t="shared" si="1828"/>
        <v>0</v>
      </c>
      <c r="BE1406" t="str" cm="1">
        <f t="array" ref="BE1406">IF(AY1406=1,INDEX($V$7:$AL$7,MATCH(TRUE,INDEX($V1406:$AW1406&lt;&gt;0,),0)),IF(AY1406=0,INDEX($AM$7:$AW$7,MATCH(1,$AM1406:$AW1406,0)),IF(BF1406="Multiple strategies","mixed drivers",IF(BF1406="Supply chain","multiple supply","multiple silviculture"))))</f>
        <v>mixed drivers</v>
      </c>
      <c r="BF1406" s="2" t="str" cm="1">
        <f t="array" ref="BF1406">IF(COUNTIF(AZ1406:BB1406,"&lt;&gt;0")=1,INDEX($V$4:$AW$4,MATCH(TRUE,INDEX($V1406:$AW1406&lt;&gt;0,),0)),IF(COUNTIF(AZ1406:BB1406,"&lt;&gt;0")=0,INDEX($AM$4:$AW$4,MATCH(1,$AM1406:$AW1406,0)),"Multiple strategies"))</f>
        <v>Multiple strategies</v>
      </c>
      <c r="BG1406" s="1" t="s">
        <v>321</v>
      </c>
      <c r="BH1406" t="s">
        <v>1111</v>
      </c>
      <c r="BJ1406" t="s">
        <v>1112</v>
      </c>
      <c r="BK1406">
        <v>2.4500000000000002</v>
      </c>
      <c r="BL1406">
        <v>3.2</v>
      </c>
      <c r="BM1406" s="264">
        <f t="shared" si="1829"/>
        <v>1.3061224489795917</v>
      </c>
      <c r="BN1406">
        <f t="shared" si="1830"/>
        <v>0.75</v>
      </c>
      <c r="BO1406">
        <f t="shared" si="1831"/>
        <v>0.75</v>
      </c>
      <c r="BP1406" s="264" t="s">
        <v>232</v>
      </c>
      <c r="BQ1406" s="264"/>
      <c r="BR1406" t="s">
        <v>1113</v>
      </c>
      <c r="BS1406">
        <v>-0.75</v>
      </c>
      <c r="BT1406">
        <v>-2.5</v>
      </c>
      <c r="BU1406" s="144">
        <f t="shared" si="1832"/>
        <v>3.3333333333333335</v>
      </c>
      <c r="BV1406">
        <f t="shared" si="1833"/>
        <v>-1.75</v>
      </c>
      <c r="BX1406">
        <f t="shared" si="1834"/>
        <v>-1.75E-3</v>
      </c>
      <c r="BY1406">
        <f t="shared" si="1820"/>
        <v>-2.3333333333333335E-3</v>
      </c>
      <c r="BZ1406">
        <v>0</v>
      </c>
      <c r="CA1406">
        <v>0</v>
      </c>
      <c r="CB1406">
        <v>0</v>
      </c>
      <c r="CC1406">
        <v>0</v>
      </c>
      <c r="CD1406">
        <v>0</v>
      </c>
      <c r="CE1406">
        <v>0</v>
      </c>
      <c r="CF1406">
        <v>0</v>
      </c>
      <c r="CG1406">
        <v>0</v>
      </c>
      <c r="CH1406">
        <v>0</v>
      </c>
      <c r="CI1406">
        <v>0</v>
      </c>
      <c r="CJ1406">
        <v>0</v>
      </c>
      <c r="CK1406">
        <v>0</v>
      </c>
      <c r="CL1406">
        <v>0</v>
      </c>
      <c r="CM1406">
        <v>0</v>
      </c>
      <c r="CN1406" t="str">
        <f t="shared" si="1835"/>
        <v>refOK</v>
      </c>
      <c r="CO1406">
        <f t="shared" si="1836"/>
        <v>2.4500000000000002</v>
      </c>
      <c r="CP1406">
        <f t="shared" si="1837"/>
        <v>3.2</v>
      </c>
      <c r="CQ1406">
        <f t="shared" si="1838"/>
        <v>0.75</v>
      </c>
      <c r="CR1406">
        <f t="shared" si="1839"/>
        <v>-0.75</v>
      </c>
      <c r="CS1406">
        <f t="shared" si="1840"/>
        <v>-2.5</v>
      </c>
      <c r="CT1406">
        <f t="shared" si="1841"/>
        <v>-1.75E-3</v>
      </c>
      <c r="CU1406">
        <f t="shared" si="1842"/>
        <v>-2.3333333333333335E-3</v>
      </c>
      <c r="CV1406" s="2">
        <f t="shared" si="1843"/>
        <v>-2.3333333333333335</v>
      </c>
      <c r="CW1406" s="1" t="s">
        <v>234</v>
      </c>
      <c r="CX1406" s="264" t="str">
        <f t="shared" si="1844"/>
        <v>loc</v>
      </c>
      <c r="CY1406" t="s">
        <v>235</v>
      </c>
      <c r="CZ1406">
        <v>2001</v>
      </c>
      <c r="DA1406">
        <v>2100</v>
      </c>
      <c r="DB1406">
        <v>100</v>
      </c>
      <c r="DC1406" t="str">
        <f t="shared" si="1845"/>
        <v>71-100</v>
      </c>
      <c r="DD1406">
        <v>0</v>
      </c>
      <c r="DE1406">
        <v>1</v>
      </c>
      <c r="DF1406">
        <v>1</v>
      </c>
      <c r="DG1406">
        <v>1</v>
      </c>
      <c r="DI1406">
        <f t="shared" si="1846"/>
        <v>3</v>
      </c>
      <c r="DJ1406" t="str">
        <f t="shared" si="1847"/>
        <v>mixedProduct</v>
      </c>
      <c r="DK1406">
        <f t="shared" si="1848"/>
        <v>0</v>
      </c>
      <c r="DL1406" t="str">
        <f t="shared" si="1849"/>
        <v>Energy</v>
      </c>
      <c r="DM1406" t="str">
        <f t="shared" si="1850"/>
        <v>Pulp/Paper</v>
      </c>
      <c r="DN1406" t="str">
        <f t="shared" si="1851"/>
        <v>Timber</v>
      </c>
      <c r="DO1406">
        <v>1</v>
      </c>
      <c r="DP1406">
        <v>0</v>
      </c>
      <c r="DQ1406">
        <v>0</v>
      </c>
      <c r="DR1406">
        <v>0</v>
      </c>
      <c r="DS1406">
        <v>0</v>
      </c>
      <c r="DT1406">
        <f t="shared" si="1852"/>
        <v>1</v>
      </c>
      <c r="DU1406" s="143" t="str">
        <f t="shared" si="1853"/>
        <v>self-calculated DF</v>
      </c>
      <c r="DV1406">
        <v>1</v>
      </c>
      <c r="DW1406">
        <v>1</v>
      </c>
      <c r="DX1406">
        <v>1</v>
      </c>
      <c r="DY1406">
        <v>0</v>
      </c>
      <c r="DZ1406">
        <v>0</v>
      </c>
      <c r="EA1406" s="143">
        <v>0</v>
      </c>
      <c r="EB1406">
        <v>1</v>
      </c>
      <c r="EC1406">
        <v>1</v>
      </c>
      <c r="ED1406">
        <v>0</v>
      </c>
      <c r="EE1406">
        <v>0</v>
      </c>
      <c r="EF1406">
        <v>1</v>
      </c>
      <c r="EG1406">
        <v>1</v>
      </c>
      <c r="EH1406">
        <v>0</v>
      </c>
      <c r="EI1406" s="2">
        <v>0</v>
      </c>
      <c r="EK1406" t="str">
        <f t="shared" si="1854"/>
        <v>Whole sector</v>
      </c>
      <c r="EL1406" t="str">
        <f t="shared" si="1855"/>
        <v/>
      </c>
      <c r="EM1406" s="2" t="str">
        <f t="shared" si="1821"/>
        <v/>
      </c>
      <c r="EP1406" t="str">
        <f>IF(ISNUMBER(BU1406),IF(ABS(BU1406-[4]QC_indicators!$B$2)&gt;3*[4]QC_indicators!$C$2,"C ratio",IF(ISNUMBER(BY1406),IF(ABS(BY1406-[4]QC_indicators!$B$1)&gt;3*[4]QC_indicators!$C$1,"DF","no"))),IF(ISNUMBER(BY1406),IF(ABS(BY1406-[4]QC_indicators!$B$1)&gt;3*[4]QC_indicators!$C$1,"DF","no")))</f>
        <v>no</v>
      </c>
      <c r="ER1406" s="294" t="s">
        <v>349</v>
      </c>
      <c r="ET1406" s="264" t="s">
        <v>3406</v>
      </c>
    </row>
    <row r="1407" spans="1:150" ht="15" hidden="1" customHeight="1">
      <c r="A1407" s="1" t="s">
        <v>1101</v>
      </c>
      <c r="B1407" t="s">
        <v>1102</v>
      </c>
      <c r="C1407" t="s">
        <v>1103</v>
      </c>
      <c r="D1407" t="s">
        <v>1104</v>
      </c>
      <c r="E1407" t="s">
        <v>1105</v>
      </c>
      <c r="F1407" t="s">
        <v>1106</v>
      </c>
      <c r="G1407" t="s">
        <v>1107</v>
      </c>
      <c r="H1407" t="s">
        <v>254</v>
      </c>
      <c r="I1407">
        <v>2013</v>
      </c>
      <c r="J1407">
        <v>11</v>
      </c>
      <c r="K1407" t="s">
        <v>1108</v>
      </c>
      <c r="M1407" t="str">
        <f t="shared" si="1755"/>
        <v>Routa_2013</v>
      </c>
      <c r="N1407" t="s">
        <v>222</v>
      </c>
      <c r="O1407" s="145" t="s">
        <v>341</v>
      </c>
      <c r="Q1407" s="264" t="s">
        <v>256</v>
      </c>
      <c r="R1407" s="269" t="s">
        <v>1153</v>
      </c>
      <c r="S1407" s="1" t="s">
        <v>1118</v>
      </c>
      <c r="T1407" t="e">
        <f>#REF!</f>
        <v>#REF!</v>
      </c>
      <c r="U1407" t="s">
        <v>1110</v>
      </c>
      <c r="V1407">
        <v>0</v>
      </c>
      <c r="W1407">
        <v>0</v>
      </c>
      <c r="X1407">
        <v>2</v>
      </c>
      <c r="Y1407">
        <v>0</v>
      </c>
      <c r="Z1407">
        <v>2</v>
      </c>
      <c r="AA1407">
        <v>0</v>
      </c>
      <c r="AB1407">
        <v>1</v>
      </c>
      <c r="AC1407">
        <v>0</v>
      </c>
      <c r="AD1407">
        <v>0</v>
      </c>
      <c r="AE1407">
        <v>0</v>
      </c>
      <c r="AF1407">
        <v>0</v>
      </c>
      <c r="AG1407">
        <v>0</v>
      </c>
      <c r="AH1407">
        <v>0</v>
      </c>
      <c r="AI1407">
        <v>0</v>
      </c>
      <c r="AJ1407">
        <v>2</v>
      </c>
      <c r="AK1407">
        <v>0</v>
      </c>
      <c r="AL1407">
        <v>2</v>
      </c>
      <c r="AM1407">
        <v>0</v>
      </c>
      <c r="AN1407">
        <v>0</v>
      </c>
      <c r="AO1407">
        <v>0</v>
      </c>
      <c r="AP1407">
        <v>0</v>
      </c>
      <c r="AQ1407">
        <v>0</v>
      </c>
      <c r="AR1407">
        <v>0</v>
      </c>
      <c r="AS1407">
        <v>0</v>
      </c>
      <c r="AT1407">
        <v>0</v>
      </c>
      <c r="AU1407">
        <v>0</v>
      </c>
      <c r="AV1407">
        <v>0</v>
      </c>
      <c r="AW1407">
        <v>0</v>
      </c>
      <c r="AX1407" s="141">
        <f t="shared" si="1822"/>
        <v>5</v>
      </c>
      <c r="AY1407" s="141">
        <f t="shared" si="1823"/>
        <v>5</v>
      </c>
      <c r="AZ1407">
        <f t="shared" si="1824"/>
        <v>3</v>
      </c>
      <c r="BA1407">
        <f t="shared" si="1825"/>
        <v>0</v>
      </c>
      <c r="BB1407">
        <f t="shared" si="1826"/>
        <v>2</v>
      </c>
      <c r="BC1407">
        <f t="shared" si="1827"/>
        <v>0</v>
      </c>
      <c r="BD1407">
        <f t="shared" si="1828"/>
        <v>0</v>
      </c>
      <c r="BE1407" t="str" cm="1">
        <f t="array" ref="BE1407">IF(AY1407=1,INDEX($V$7:$AL$7,MATCH(TRUE,INDEX($V1407:$AW1407&lt;&gt;0,),0)),IF(AY1407=0,INDEX($AM$7:$AW$7,MATCH(1,$AM1407:$AW1407,0)),IF(BF1407="Multiple strategies","mixed drivers",IF(BF1407="Supply chain","multiple supply","multiple silviculture"))))</f>
        <v>mixed drivers</v>
      </c>
      <c r="BF1407" s="2" t="str" cm="1">
        <f t="array" ref="BF1407">IF(COUNTIF(AZ1407:BB1407,"&lt;&gt;0")=1,INDEX($V$4:$AW$4,MATCH(TRUE,INDEX($V1407:$AW1407&lt;&gt;0,),0)),IF(COUNTIF(AZ1407:BB1407,"&lt;&gt;0")=0,INDEX($AM$4:$AW$4,MATCH(1,$AM1407:$AW1407,0)),"Multiple strategies"))</f>
        <v>Multiple strategies</v>
      </c>
      <c r="BG1407" s="1" t="s">
        <v>321</v>
      </c>
      <c r="BH1407" t="s">
        <v>1111</v>
      </c>
      <c r="BJ1407" t="s">
        <v>1112</v>
      </c>
      <c r="BK1407">
        <v>2.5</v>
      </c>
      <c r="BL1407">
        <v>3.2</v>
      </c>
      <c r="BM1407" s="264">
        <f t="shared" si="1829"/>
        <v>1.28</v>
      </c>
      <c r="BN1407">
        <f t="shared" si="1830"/>
        <v>0.70000000000000018</v>
      </c>
      <c r="BO1407">
        <f t="shared" si="1831"/>
        <v>0.70000000000000018</v>
      </c>
      <c r="BP1407" s="264" t="s">
        <v>232</v>
      </c>
      <c r="BQ1407" s="264"/>
      <c r="BR1407" t="s">
        <v>1113</v>
      </c>
      <c r="BS1407">
        <v>-1.1299999999999999</v>
      </c>
      <c r="BT1407">
        <v>-2.5</v>
      </c>
      <c r="BU1407" s="144">
        <f t="shared" si="1832"/>
        <v>2.2123893805309738</v>
      </c>
      <c r="BV1407">
        <f t="shared" si="1833"/>
        <v>-1.37</v>
      </c>
      <c r="BX1407">
        <f t="shared" si="1834"/>
        <v>-1.3700000000000001E-3</v>
      </c>
      <c r="BY1407">
        <f t="shared" si="1820"/>
        <v>-1.9571428571428569E-3</v>
      </c>
      <c r="BZ1407">
        <v>0</v>
      </c>
      <c r="CA1407">
        <v>0</v>
      </c>
      <c r="CB1407">
        <v>0</v>
      </c>
      <c r="CC1407">
        <v>0</v>
      </c>
      <c r="CD1407">
        <v>0</v>
      </c>
      <c r="CE1407">
        <v>0</v>
      </c>
      <c r="CF1407">
        <v>0</v>
      </c>
      <c r="CG1407">
        <v>0</v>
      </c>
      <c r="CH1407">
        <v>0</v>
      </c>
      <c r="CI1407">
        <v>0</v>
      </c>
      <c r="CJ1407">
        <v>0</v>
      </c>
      <c r="CK1407">
        <v>0</v>
      </c>
      <c r="CL1407">
        <v>0</v>
      </c>
      <c r="CM1407">
        <v>0</v>
      </c>
      <c r="CN1407" t="str">
        <f t="shared" si="1835"/>
        <v>refOK</v>
      </c>
      <c r="CO1407">
        <f t="shared" si="1836"/>
        <v>2.5</v>
      </c>
      <c r="CP1407">
        <f t="shared" si="1837"/>
        <v>3.2</v>
      </c>
      <c r="CQ1407">
        <f t="shared" si="1838"/>
        <v>0.70000000000000018</v>
      </c>
      <c r="CR1407">
        <f t="shared" si="1839"/>
        <v>-1.1299999999999999</v>
      </c>
      <c r="CS1407">
        <f t="shared" si="1840"/>
        <v>-2.5</v>
      </c>
      <c r="CT1407">
        <f t="shared" si="1841"/>
        <v>-1.3700000000000001E-3</v>
      </c>
      <c r="CU1407">
        <f t="shared" si="1842"/>
        <v>-1.9571428571428569E-3</v>
      </c>
      <c r="CV1407" s="2">
        <f t="shared" si="1843"/>
        <v>-1.2123893805309736</v>
      </c>
      <c r="CW1407" s="1" t="s">
        <v>234</v>
      </c>
      <c r="CX1407" s="264" t="str">
        <f t="shared" si="1844"/>
        <v>loc</v>
      </c>
      <c r="CY1407" t="s">
        <v>235</v>
      </c>
      <c r="CZ1407">
        <v>2001</v>
      </c>
      <c r="DA1407">
        <v>2100</v>
      </c>
      <c r="DB1407">
        <v>100</v>
      </c>
      <c r="DC1407" t="str">
        <f t="shared" si="1845"/>
        <v>71-100</v>
      </c>
      <c r="DD1407">
        <v>0</v>
      </c>
      <c r="DE1407">
        <v>1</v>
      </c>
      <c r="DF1407">
        <v>1</v>
      </c>
      <c r="DG1407">
        <v>1</v>
      </c>
      <c r="DI1407">
        <f t="shared" si="1846"/>
        <v>3</v>
      </c>
      <c r="DJ1407" t="str">
        <f t="shared" si="1847"/>
        <v>mixedProduct</v>
      </c>
      <c r="DK1407">
        <f t="shared" si="1848"/>
        <v>0</v>
      </c>
      <c r="DL1407" t="str">
        <f t="shared" si="1849"/>
        <v>Energy</v>
      </c>
      <c r="DM1407" t="str">
        <f t="shared" si="1850"/>
        <v>Pulp/Paper</v>
      </c>
      <c r="DN1407" t="str">
        <f t="shared" si="1851"/>
        <v>Timber</v>
      </c>
      <c r="DO1407">
        <v>1</v>
      </c>
      <c r="DP1407">
        <v>0</v>
      </c>
      <c r="DQ1407">
        <v>0</v>
      </c>
      <c r="DR1407">
        <v>0</v>
      </c>
      <c r="DS1407">
        <v>0</v>
      </c>
      <c r="DT1407">
        <f t="shared" si="1852"/>
        <v>1</v>
      </c>
      <c r="DU1407" s="143" t="str">
        <f t="shared" si="1853"/>
        <v>self-calculated DF</v>
      </c>
      <c r="DV1407">
        <v>1</v>
      </c>
      <c r="DW1407">
        <v>1</v>
      </c>
      <c r="DX1407">
        <v>1</v>
      </c>
      <c r="DY1407">
        <v>0</v>
      </c>
      <c r="DZ1407">
        <v>0</v>
      </c>
      <c r="EA1407" s="143">
        <v>0</v>
      </c>
      <c r="EB1407">
        <v>1</v>
      </c>
      <c r="EC1407">
        <v>1</v>
      </c>
      <c r="ED1407">
        <v>0</v>
      </c>
      <c r="EE1407">
        <v>0</v>
      </c>
      <c r="EF1407">
        <v>1</v>
      </c>
      <c r="EG1407">
        <v>1</v>
      </c>
      <c r="EH1407">
        <v>0</v>
      </c>
      <c r="EI1407" s="2">
        <v>0</v>
      </c>
      <c r="EK1407" t="str">
        <f t="shared" si="1854"/>
        <v>Whole sector</v>
      </c>
      <c r="EL1407" t="str">
        <f t="shared" si="1855"/>
        <v/>
      </c>
      <c r="EM1407" s="2" t="str">
        <f t="shared" si="1821"/>
        <v/>
      </c>
      <c r="EP1407" t="str">
        <f>IF(ISNUMBER(BU1407),IF(ABS(BU1407-[4]QC_indicators!$B$2)&gt;3*[4]QC_indicators!$C$2,"C ratio",IF(ISNUMBER(BY1407),IF(ABS(BY1407-[4]QC_indicators!$B$1)&gt;3*[4]QC_indicators!$C$1,"DF","no"))),IF(ISNUMBER(BY1407),IF(ABS(BY1407-[4]QC_indicators!$B$1)&gt;3*[4]QC_indicators!$C$1,"DF","no")))</f>
        <v>no</v>
      </c>
      <c r="ER1407" s="294" t="s">
        <v>349</v>
      </c>
      <c r="ET1407" s="264" t="s">
        <v>3406</v>
      </c>
    </row>
    <row r="1408" spans="1:150" ht="15" hidden="1" customHeight="1">
      <c r="A1408" s="1" t="s">
        <v>1101</v>
      </c>
      <c r="B1408" t="s">
        <v>1102</v>
      </c>
      <c r="C1408" t="s">
        <v>1103</v>
      </c>
      <c r="D1408" t="s">
        <v>1104</v>
      </c>
      <c r="E1408" t="s">
        <v>1105</v>
      </c>
      <c r="F1408" t="s">
        <v>1106</v>
      </c>
      <c r="G1408" t="s">
        <v>1107</v>
      </c>
      <c r="H1408" t="s">
        <v>254</v>
      </c>
      <c r="I1408">
        <v>2013</v>
      </c>
      <c r="J1408">
        <v>11</v>
      </c>
      <c r="K1408" t="s">
        <v>1108</v>
      </c>
      <c r="M1408" t="str">
        <f t="shared" si="1755"/>
        <v>Routa_2013</v>
      </c>
      <c r="N1408" t="s">
        <v>222</v>
      </c>
      <c r="O1408" s="145" t="s">
        <v>341</v>
      </c>
      <c r="Q1408" s="264" t="s">
        <v>256</v>
      </c>
      <c r="R1408" s="269" t="s">
        <v>1153</v>
      </c>
      <c r="S1408" s="1" t="s">
        <v>1119</v>
      </c>
      <c r="T1408" t="e">
        <f>#REF!</f>
        <v>#REF!</v>
      </c>
      <c r="U1408" t="s">
        <v>1110</v>
      </c>
      <c r="V1408">
        <v>0</v>
      </c>
      <c r="W1408">
        <v>0</v>
      </c>
      <c r="X1408">
        <v>2</v>
      </c>
      <c r="Y1408">
        <v>0</v>
      </c>
      <c r="Z1408">
        <v>2</v>
      </c>
      <c r="AA1408">
        <v>0</v>
      </c>
      <c r="AB1408">
        <v>1</v>
      </c>
      <c r="AC1408">
        <v>0</v>
      </c>
      <c r="AD1408">
        <v>0</v>
      </c>
      <c r="AE1408">
        <v>0</v>
      </c>
      <c r="AF1408">
        <v>0</v>
      </c>
      <c r="AG1408">
        <v>0</v>
      </c>
      <c r="AH1408">
        <v>0</v>
      </c>
      <c r="AI1408">
        <v>0</v>
      </c>
      <c r="AJ1408">
        <v>2</v>
      </c>
      <c r="AK1408">
        <v>0</v>
      </c>
      <c r="AL1408">
        <v>2</v>
      </c>
      <c r="AM1408">
        <v>0</v>
      </c>
      <c r="AN1408">
        <v>0</v>
      </c>
      <c r="AO1408">
        <v>0</v>
      </c>
      <c r="AP1408">
        <v>0</v>
      </c>
      <c r="AQ1408">
        <v>0</v>
      </c>
      <c r="AR1408">
        <v>0</v>
      </c>
      <c r="AS1408">
        <v>0</v>
      </c>
      <c r="AT1408">
        <v>0</v>
      </c>
      <c r="AU1408">
        <v>0</v>
      </c>
      <c r="AV1408">
        <v>0</v>
      </c>
      <c r="AW1408">
        <v>0</v>
      </c>
      <c r="AX1408" s="141">
        <f t="shared" si="1822"/>
        <v>5</v>
      </c>
      <c r="AY1408" s="141">
        <f t="shared" si="1823"/>
        <v>5</v>
      </c>
      <c r="AZ1408">
        <f t="shared" si="1824"/>
        <v>3</v>
      </c>
      <c r="BA1408">
        <f t="shared" si="1825"/>
        <v>0</v>
      </c>
      <c r="BB1408">
        <f t="shared" si="1826"/>
        <v>2</v>
      </c>
      <c r="BC1408">
        <f t="shared" si="1827"/>
        <v>0</v>
      </c>
      <c r="BD1408">
        <f t="shared" si="1828"/>
        <v>0</v>
      </c>
      <c r="BE1408" t="str" cm="1">
        <f t="array" ref="BE1408">IF(AY1408=1,INDEX($V$7:$AL$7,MATCH(TRUE,INDEX($V1408:$AW1408&lt;&gt;0,),0)),IF(AY1408=0,INDEX($AM$7:$AW$7,MATCH(1,$AM1408:$AW1408,0)),IF(BF1408="Multiple strategies","mixed drivers",IF(BF1408="Supply chain","multiple supply","multiple silviculture"))))</f>
        <v>mixed drivers</v>
      </c>
      <c r="BF1408" s="2" t="str" cm="1">
        <f t="array" ref="BF1408">IF(COUNTIF(AZ1408:BB1408,"&lt;&gt;0")=1,INDEX($V$4:$AW$4,MATCH(TRUE,INDEX($V1408:$AW1408&lt;&gt;0,),0)),IF(COUNTIF(AZ1408:BB1408,"&lt;&gt;0")=0,INDEX($AM$4:$AW$4,MATCH(1,$AM1408:$AW1408,0)),"Multiple strategies"))</f>
        <v>Multiple strategies</v>
      </c>
      <c r="BG1408" s="1" t="s">
        <v>321</v>
      </c>
      <c r="BH1408" t="s">
        <v>1111</v>
      </c>
      <c r="BJ1408" t="s">
        <v>1112</v>
      </c>
      <c r="BK1408">
        <v>2.2999999999999998</v>
      </c>
      <c r="BL1408">
        <v>3.2</v>
      </c>
      <c r="BM1408" s="264">
        <f t="shared" si="1829"/>
        <v>1.3913043478260871</v>
      </c>
      <c r="BN1408">
        <f t="shared" si="1830"/>
        <v>0.90000000000000036</v>
      </c>
      <c r="BO1408">
        <f t="shared" si="1831"/>
        <v>0.90000000000000036</v>
      </c>
      <c r="BP1408" s="264" t="s">
        <v>232</v>
      </c>
      <c r="BQ1408" s="264"/>
      <c r="BR1408" t="s">
        <v>1113</v>
      </c>
      <c r="BS1408">
        <v>-1.17</v>
      </c>
      <c r="BT1408">
        <v>-2.5</v>
      </c>
      <c r="BU1408" s="144">
        <f t="shared" si="1832"/>
        <v>2.1367521367521367</v>
      </c>
      <c r="BV1408">
        <f t="shared" si="1833"/>
        <v>-1.33</v>
      </c>
      <c r="BX1408">
        <f t="shared" si="1834"/>
        <v>-1.33E-3</v>
      </c>
      <c r="BY1408">
        <f t="shared" si="1820"/>
        <v>-1.4777777777777773E-3</v>
      </c>
      <c r="BZ1408">
        <v>0</v>
      </c>
      <c r="CA1408">
        <v>0</v>
      </c>
      <c r="CB1408">
        <v>0</v>
      </c>
      <c r="CC1408">
        <v>0</v>
      </c>
      <c r="CD1408">
        <v>0</v>
      </c>
      <c r="CE1408">
        <v>0</v>
      </c>
      <c r="CF1408">
        <v>0</v>
      </c>
      <c r="CG1408">
        <v>0</v>
      </c>
      <c r="CH1408">
        <v>0</v>
      </c>
      <c r="CI1408">
        <v>0</v>
      </c>
      <c r="CJ1408">
        <v>0</v>
      </c>
      <c r="CK1408">
        <v>0</v>
      </c>
      <c r="CL1408">
        <v>0</v>
      </c>
      <c r="CM1408">
        <v>0</v>
      </c>
      <c r="CN1408" t="str">
        <f t="shared" si="1835"/>
        <v>refOK</v>
      </c>
      <c r="CO1408">
        <f t="shared" si="1836"/>
        <v>2.2999999999999998</v>
      </c>
      <c r="CP1408">
        <f t="shared" si="1837"/>
        <v>3.2</v>
      </c>
      <c r="CQ1408">
        <f t="shared" si="1838"/>
        <v>0.90000000000000036</v>
      </c>
      <c r="CR1408">
        <f t="shared" si="1839"/>
        <v>-1.17</v>
      </c>
      <c r="CS1408">
        <f t="shared" si="1840"/>
        <v>-2.5</v>
      </c>
      <c r="CT1408">
        <f t="shared" si="1841"/>
        <v>-1.33E-3</v>
      </c>
      <c r="CU1408">
        <f t="shared" si="1842"/>
        <v>-1.4777777777777773E-3</v>
      </c>
      <c r="CV1408" s="2">
        <f t="shared" si="1843"/>
        <v>-1.1367521367521369</v>
      </c>
      <c r="CW1408" s="1" t="s">
        <v>234</v>
      </c>
      <c r="CX1408" s="264" t="str">
        <f t="shared" si="1844"/>
        <v>loc</v>
      </c>
      <c r="CY1408" t="s">
        <v>235</v>
      </c>
      <c r="CZ1408">
        <v>2001</v>
      </c>
      <c r="DA1408">
        <v>2100</v>
      </c>
      <c r="DB1408">
        <v>100</v>
      </c>
      <c r="DC1408" t="str">
        <f t="shared" si="1845"/>
        <v>71-100</v>
      </c>
      <c r="DD1408">
        <v>0</v>
      </c>
      <c r="DE1408">
        <v>1</v>
      </c>
      <c r="DF1408">
        <v>1</v>
      </c>
      <c r="DG1408">
        <v>1</v>
      </c>
      <c r="DI1408">
        <f t="shared" si="1846"/>
        <v>3</v>
      </c>
      <c r="DJ1408" t="str">
        <f t="shared" si="1847"/>
        <v>mixedProduct</v>
      </c>
      <c r="DK1408">
        <f t="shared" si="1848"/>
        <v>0</v>
      </c>
      <c r="DL1408" t="str">
        <f t="shared" si="1849"/>
        <v>Energy</v>
      </c>
      <c r="DM1408" t="str">
        <f t="shared" si="1850"/>
        <v>Pulp/Paper</v>
      </c>
      <c r="DN1408" t="str">
        <f t="shared" si="1851"/>
        <v>Timber</v>
      </c>
      <c r="DO1408">
        <v>1</v>
      </c>
      <c r="DP1408">
        <v>0</v>
      </c>
      <c r="DQ1408">
        <v>0</v>
      </c>
      <c r="DR1408">
        <v>0</v>
      </c>
      <c r="DS1408">
        <v>0</v>
      </c>
      <c r="DT1408">
        <f t="shared" si="1852"/>
        <v>1</v>
      </c>
      <c r="DU1408" s="143" t="str">
        <f t="shared" si="1853"/>
        <v>self-calculated DF</v>
      </c>
      <c r="DV1408">
        <v>1</v>
      </c>
      <c r="DW1408">
        <v>1</v>
      </c>
      <c r="DX1408">
        <v>1</v>
      </c>
      <c r="DY1408">
        <v>0</v>
      </c>
      <c r="DZ1408">
        <v>0</v>
      </c>
      <c r="EA1408" s="143">
        <v>0</v>
      </c>
      <c r="EB1408">
        <v>1</v>
      </c>
      <c r="EC1408">
        <v>1</v>
      </c>
      <c r="ED1408">
        <v>0</v>
      </c>
      <c r="EE1408">
        <v>0</v>
      </c>
      <c r="EF1408">
        <v>1</v>
      </c>
      <c r="EG1408">
        <v>1</v>
      </c>
      <c r="EH1408">
        <v>0</v>
      </c>
      <c r="EI1408" s="2">
        <v>0</v>
      </c>
      <c r="EK1408" t="str">
        <f t="shared" si="1854"/>
        <v>Whole sector</v>
      </c>
      <c r="EL1408" t="str">
        <f t="shared" si="1855"/>
        <v/>
      </c>
      <c r="EM1408" s="2" t="str">
        <f t="shared" si="1821"/>
        <v/>
      </c>
      <c r="EP1408" t="str">
        <f>IF(ISNUMBER(BU1408),IF(ABS(BU1408-[4]QC_indicators!$B$2)&gt;3*[4]QC_indicators!$C$2,"C ratio",IF(ISNUMBER(BY1408),IF(ABS(BY1408-[4]QC_indicators!$B$1)&gt;3*[4]QC_indicators!$C$1,"DF","no"))),IF(ISNUMBER(BY1408),IF(ABS(BY1408-[4]QC_indicators!$B$1)&gt;3*[4]QC_indicators!$C$1,"DF","no")))</f>
        <v>no</v>
      </c>
      <c r="ER1408" s="294" t="s">
        <v>349</v>
      </c>
      <c r="ET1408" s="264" t="s">
        <v>3406</v>
      </c>
    </row>
    <row r="1409" spans="1:150" ht="15" hidden="1" customHeight="1">
      <c r="A1409" s="1" t="s">
        <v>1101</v>
      </c>
      <c r="B1409" t="s">
        <v>1102</v>
      </c>
      <c r="C1409" t="s">
        <v>1103</v>
      </c>
      <c r="D1409" t="s">
        <v>1104</v>
      </c>
      <c r="E1409" t="s">
        <v>1105</v>
      </c>
      <c r="F1409" t="s">
        <v>1106</v>
      </c>
      <c r="G1409" t="s">
        <v>1107</v>
      </c>
      <c r="H1409" t="s">
        <v>254</v>
      </c>
      <c r="I1409">
        <v>2013</v>
      </c>
      <c r="J1409">
        <v>11</v>
      </c>
      <c r="K1409" t="s">
        <v>1108</v>
      </c>
      <c r="M1409" t="str">
        <f t="shared" ref="M1409:M1472" si="1856">LEFT($D1409,FIND(",",$D1409)-1)&amp;"_"&amp;I1409&amp;L1409</f>
        <v>Routa_2013</v>
      </c>
      <c r="N1409" t="s">
        <v>222</v>
      </c>
      <c r="O1409" s="145" t="s">
        <v>341</v>
      </c>
      <c r="Q1409" s="264" t="s">
        <v>256</v>
      </c>
      <c r="R1409" s="269" t="s">
        <v>1153</v>
      </c>
      <c r="S1409" s="1" t="s">
        <v>1120</v>
      </c>
      <c r="T1409" t="s">
        <v>1110</v>
      </c>
      <c r="U1409" t="e">
        <f>#REF!</f>
        <v>#REF!</v>
      </c>
      <c r="V1409">
        <v>0</v>
      </c>
      <c r="W1409">
        <v>0</v>
      </c>
      <c r="X1409">
        <v>2</v>
      </c>
      <c r="Y1409">
        <v>0</v>
      </c>
      <c r="Z1409">
        <v>2</v>
      </c>
      <c r="AA1409">
        <v>0</v>
      </c>
      <c r="AB1409">
        <v>1</v>
      </c>
      <c r="AC1409">
        <v>0</v>
      </c>
      <c r="AD1409">
        <v>0</v>
      </c>
      <c r="AE1409">
        <v>0</v>
      </c>
      <c r="AF1409">
        <v>0</v>
      </c>
      <c r="AG1409">
        <v>0</v>
      </c>
      <c r="AH1409">
        <v>0</v>
      </c>
      <c r="AI1409">
        <v>0</v>
      </c>
      <c r="AJ1409">
        <v>2</v>
      </c>
      <c r="AK1409">
        <v>0</v>
      </c>
      <c r="AL1409">
        <v>2</v>
      </c>
      <c r="AM1409">
        <v>0</v>
      </c>
      <c r="AN1409">
        <v>0</v>
      </c>
      <c r="AO1409">
        <v>0</v>
      </c>
      <c r="AP1409">
        <v>0</v>
      </c>
      <c r="AQ1409">
        <v>0</v>
      </c>
      <c r="AR1409">
        <v>0</v>
      </c>
      <c r="AS1409">
        <v>0</v>
      </c>
      <c r="AT1409">
        <v>0</v>
      </c>
      <c r="AU1409">
        <v>0</v>
      </c>
      <c r="AV1409">
        <v>0</v>
      </c>
      <c r="AW1409">
        <v>0</v>
      </c>
      <c r="AX1409" s="141">
        <f t="shared" si="1822"/>
        <v>5</v>
      </c>
      <c r="AY1409" s="141">
        <f t="shared" si="1823"/>
        <v>5</v>
      </c>
      <c r="AZ1409">
        <f t="shared" si="1824"/>
        <v>3</v>
      </c>
      <c r="BA1409">
        <f t="shared" si="1825"/>
        <v>0</v>
      </c>
      <c r="BB1409">
        <f t="shared" si="1826"/>
        <v>2</v>
      </c>
      <c r="BC1409">
        <f t="shared" si="1827"/>
        <v>0</v>
      </c>
      <c r="BD1409">
        <f t="shared" si="1828"/>
        <v>0</v>
      </c>
      <c r="BE1409" t="str" cm="1">
        <f t="array" ref="BE1409">IF(AY1409=1,INDEX($V$7:$AL$7,MATCH(TRUE,INDEX($V1409:$AW1409&lt;&gt;0,),0)),IF(AY1409=0,INDEX($AM$7:$AW$7,MATCH(1,$AM1409:$AW1409,0)),IF(BF1409="Multiple strategies","mixed drivers",IF(BF1409="Supply chain","multiple supply","multiple silviculture"))))</f>
        <v>mixed drivers</v>
      </c>
      <c r="BF1409" s="2" t="str" cm="1">
        <f t="array" ref="BF1409">IF(COUNTIF(AZ1409:BB1409,"&lt;&gt;0")=1,INDEX($V$4:$AW$4,MATCH(TRUE,INDEX($V1409:$AW1409&lt;&gt;0,),0)),IF(COUNTIF(AZ1409:BB1409,"&lt;&gt;0")=0,INDEX($AM$4:$AW$4,MATCH(1,$AM1409:$AW1409,0)),"Multiple strategies"))</f>
        <v>Multiple strategies</v>
      </c>
      <c r="BG1409" s="1" t="s">
        <v>321</v>
      </c>
      <c r="BH1409" t="s">
        <v>1111</v>
      </c>
      <c r="BJ1409" t="s">
        <v>1112</v>
      </c>
      <c r="BK1409">
        <v>3.2</v>
      </c>
      <c r="BL1409">
        <v>3.37</v>
      </c>
      <c r="BN1409">
        <f t="shared" si="1830"/>
        <v>0.16999999999999993</v>
      </c>
      <c r="BO1409">
        <f t="shared" si="1831"/>
        <v>0.16999999999999993</v>
      </c>
      <c r="BP1409" s="264" t="s">
        <v>232</v>
      </c>
      <c r="BQ1409" s="264"/>
      <c r="BR1409" t="s">
        <v>1113</v>
      </c>
      <c r="BS1409">
        <v>-2.5</v>
      </c>
      <c r="BT1409">
        <v>-2</v>
      </c>
      <c r="BU1409" s="144">
        <v>0.8</v>
      </c>
      <c r="BV1409">
        <v>0.5</v>
      </c>
      <c r="BX1409">
        <f t="shared" si="1834"/>
        <v>5.0000000000000001E-4</v>
      </c>
      <c r="BY1409">
        <f t="shared" si="1820"/>
        <v>2.9411764705882366E-3</v>
      </c>
      <c r="BZ1409">
        <v>0</v>
      </c>
      <c r="CA1409">
        <v>0</v>
      </c>
      <c r="CB1409">
        <v>0</v>
      </c>
      <c r="CC1409">
        <v>0</v>
      </c>
      <c r="CD1409">
        <v>0</v>
      </c>
      <c r="CE1409">
        <v>0</v>
      </c>
      <c r="CF1409">
        <v>0</v>
      </c>
      <c r="CG1409">
        <v>0</v>
      </c>
      <c r="CH1409">
        <v>0</v>
      </c>
      <c r="CI1409">
        <v>0</v>
      </c>
      <c r="CJ1409">
        <v>0</v>
      </c>
      <c r="CK1409">
        <v>0</v>
      </c>
      <c r="CL1409">
        <v>0</v>
      </c>
      <c r="CM1409">
        <v>0</v>
      </c>
      <c r="CN1409" t="str">
        <f t="shared" si="1835"/>
        <v>refOK</v>
      </c>
      <c r="CO1409">
        <f t="shared" si="1836"/>
        <v>3.2</v>
      </c>
      <c r="CP1409">
        <f t="shared" si="1837"/>
        <v>3.37</v>
      </c>
      <c r="CQ1409">
        <f t="shared" si="1838"/>
        <v>0.16999999999999993</v>
      </c>
      <c r="CR1409">
        <f t="shared" si="1839"/>
        <v>-2.5</v>
      </c>
      <c r="CS1409">
        <f t="shared" si="1840"/>
        <v>-2</v>
      </c>
      <c r="CT1409">
        <f t="shared" si="1841"/>
        <v>5.0000000000000001E-4</v>
      </c>
      <c r="CU1409">
        <f t="shared" si="1842"/>
        <v>2.9411764705882366E-3</v>
      </c>
      <c r="CV1409" s="2">
        <f t="shared" si="1843"/>
        <v>0.2</v>
      </c>
      <c r="CW1409" s="1" t="s">
        <v>234</v>
      </c>
      <c r="CX1409" s="264" t="str">
        <f t="shared" si="1844"/>
        <v>loc</v>
      </c>
      <c r="CY1409" t="s">
        <v>235</v>
      </c>
      <c r="CZ1409">
        <v>2001</v>
      </c>
      <c r="DA1409">
        <v>2100</v>
      </c>
      <c r="DB1409">
        <v>100</v>
      </c>
      <c r="DC1409" t="str">
        <f t="shared" si="1845"/>
        <v>71-100</v>
      </c>
      <c r="DD1409">
        <v>0</v>
      </c>
      <c r="DE1409">
        <v>1</v>
      </c>
      <c r="DF1409">
        <v>1</v>
      </c>
      <c r="DG1409">
        <v>1</v>
      </c>
      <c r="DI1409">
        <f t="shared" si="1846"/>
        <v>3</v>
      </c>
      <c r="DJ1409" t="str">
        <f t="shared" si="1847"/>
        <v>mixedProduct</v>
      </c>
      <c r="DK1409">
        <f t="shared" si="1848"/>
        <v>0</v>
      </c>
      <c r="DL1409" t="str">
        <f t="shared" si="1849"/>
        <v>Energy</v>
      </c>
      <c r="DM1409" t="str">
        <f t="shared" si="1850"/>
        <v>Pulp/Paper</v>
      </c>
      <c r="DN1409" t="str">
        <f t="shared" si="1851"/>
        <v>Timber</v>
      </c>
      <c r="DO1409">
        <v>1</v>
      </c>
      <c r="DP1409">
        <v>0</v>
      </c>
      <c r="DQ1409">
        <v>0</v>
      </c>
      <c r="DR1409">
        <v>0</v>
      </c>
      <c r="DS1409">
        <v>0</v>
      </c>
      <c r="DT1409">
        <f t="shared" si="1852"/>
        <v>1</v>
      </c>
      <c r="DU1409" s="143" t="str">
        <f t="shared" si="1853"/>
        <v>self-calculated DF</v>
      </c>
      <c r="DV1409">
        <v>1</v>
      </c>
      <c r="DW1409">
        <v>1</v>
      </c>
      <c r="DX1409">
        <v>1</v>
      </c>
      <c r="DY1409">
        <v>0</v>
      </c>
      <c r="DZ1409">
        <v>0</v>
      </c>
      <c r="EA1409" s="143">
        <v>0</v>
      </c>
      <c r="EB1409">
        <v>1</v>
      </c>
      <c r="EC1409">
        <v>1</v>
      </c>
      <c r="ED1409">
        <v>0</v>
      </c>
      <c r="EE1409">
        <v>0</v>
      </c>
      <c r="EF1409">
        <v>1</v>
      </c>
      <c r="EG1409">
        <v>1</v>
      </c>
      <c r="EH1409">
        <v>0</v>
      </c>
      <c r="EI1409" s="2">
        <v>0</v>
      </c>
      <c r="EK1409" t="str">
        <f t="shared" si="1854"/>
        <v>Whole sector</v>
      </c>
      <c r="EL1409" t="str">
        <f t="shared" si="1855"/>
        <v/>
      </c>
      <c r="EM1409" s="2" t="str">
        <f t="shared" si="1821"/>
        <v/>
      </c>
      <c r="EP1409" t="str">
        <f>IF(ISNUMBER(BU1409),IF(ABS(BU1409-[4]QC_indicators!$B$2)&gt;3*[4]QC_indicators!$C$2,"C ratio",IF(ISNUMBER(BY1409),IF(ABS(BY1409-[4]QC_indicators!$B$1)&gt;3*[4]QC_indicators!$C$1,"DF","no"))),IF(ISNUMBER(BY1409),IF(ABS(BY1409-[4]QC_indicators!$B$1)&gt;3*[4]QC_indicators!$C$1,"DF","no")))</f>
        <v>no</v>
      </c>
      <c r="ER1409" s="294" t="s">
        <v>349</v>
      </c>
      <c r="ET1409" s="264" t="s">
        <v>3406</v>
      </c>
    </row>
    <row r="1410" spans="1:150" ht="15" hidden="1" customHeight="1">
      <c r="A1410" s="1" t="s">
        <v>1101</v>
      </c>
      <c r="B1410" t="s">
        <v>1102</v>
      </c>
      <c r="C1410" t="s">
        <v>1103</v>
      </c>
      <c r="D1410" t="s">
        <v>1104</v>
      </c>
      <c r="E1410" t="s">
        <v>1105</v>
      </c>
      <c r="F1410" t="s">
        <v>1106</v>
      </c>
      <c r="G1410" t="s">
        <v>1107</v>
      </c>
      <c r="H1410" t="s">
        <v>254</v>
      </c>
      <c r="I1410">
        <v>2013</v>
      </c>
      <c r="J1410">
        <v>11</v>
      </c>
      <c r="K1410" t="s">
        <v>1108</v>
      </c>
      <c r="M1410" t="str">
        <f t="shared" si="1856"/>
        <v>Routa_2013</v>
      </c>
      <c r="N1410" t="s">
        <v>222</v>
      </c>
      <c r="O1410" s="145" t="s">
        <v>341</v>
      </c>
      <c r="Q1410" s="264" t="s">
        <v>256</v>
      </c>
      <c r="R1410" s="269" t="s">
        <v>1153</v>
      </c>
      <c r="S1410" s="1" t="s">
        <v>1121</v>
      </c>
      <c r="T1410" t="s">
        <v>1110</v>
      </c>
      <c r="U1410" t="e">
        <f>#REF!</f>
        <v>#REF!</v>
      </c>
      <c r="V1410">
        <v>0</v>
      </c>
      <c r="W1410">
        <v>0</v>
      </c>
      <c r="X1410">
        <v>2</v>
      </c>
      <c r="Y1410">
        <v>0</v>
      </c>
      <c r="Z1410">
        <v>2</v>
      </c>
      <c r="AA1410">
        <v>0</v>
      </c>
      <c r="AB1410">
        <v>1</v>
      </c>
      <c r="AC1410">
        <v>0</v>
      </c>
      <c r="AD1410">
        <v>0</v>
      </c>
      <c r="AE1410">
        <v>0</v>
      </c>
      <c r="AF1410">
        <v>0</v>
      </c>
      <c r="AG1410">
        <v>0</v>
      </c>
      <c r="AH1410">
        <v>0</v>
      </c>
      <c r="AI1410">
        <v>0</v>
      </c>
      <c r="AJ1410">
        <v>2</v>
      </c>
      <c r="AK1410">
        <v>0</v>
      </c>
      <c r="AL1410">
        <v>2</v>
      </c>
      <c r="AM1410">
        <v>0</v>
      </c>
      <c r="AN1410">
        <v>0</v>
      </c>
      <c r="AO1410">
        <v>0</v>
      </c>
      <c r="AP1410">
        <v>0</v>
      </c>
      <c r="AQ1410">
        <v>0</v>
      </c>
      <c r="AR1410">
        <v>0</v>
      </c>
      <c r="AS1410">
        <v>0</v>
      </c>
      <c r="AT1410">
        <v>0</v>
      </c>
      <c r="AU1410">
        <v>0</v>
      </c>
      <c r="AV1410">
        <v>0</v>
      </c>
      <c r="AW1410">
        <v>0</v>
      </c>
      <c r="AX1410" s="141">
        <f t="shared" si="1822"/>
        <v>5</v>
      </c>
      <c r="AY1410" s="141">
        <f t="shared" si="1823"/>
        <v>5</v>
      </c>
      <c r="AZ1410">
        <f t="shared" si="1824"/>
        <v>3</v>
      </c>
      <c r="BA1410">
        <f t="shared" si="1825"/>
        <v>0</v>
      </c>
      <c r="BB1410">
        <f t="shared" si="1826"/>
        <v>2</v>
      </c>
      <c r="BC1410">
        <f t="shared" si="1827"/>
        <v>0</v>
      </c>
      <c r="BD1410">
        <f t="shared" si="1828"/>
        <v>0</v>
      </c>
      <c r="BE1410" t="str" cm="1">
        <f t="array" ref="BE1410">IF(AY1410=1,INDEX($V$7:$AL$7,MATCH(TRUE,INDEX($V1410:$AW1410&lt;&gt;0,),0)),IF(AY1410=0,INDEX($AM$7:$AW$7,MATCH(1,$AM1410:$AW1410,0)),IF(BF1410="Multiple strategies","mixed drivers",IF(BF1410="Supply chain","multiple supply","multiple silviculture"))))</f>
        <v>mixed drivers</v>
      </c>
      <c r="BF1410" s="2" t="str" cm="1">
        <f t="array" ref="BF1410">IF(COUNTIF(AZ1410:BB1410,"&lt;&gt;0")=1,INDEX($V$4:$AW$4,MATCH(TRUE,INDEX($V1410:$AW1410&lt;&gt;0,),0)),IF(COUNTIF(AZ1410:BB1410,"&lt;&gt;0")=0,INDEX($AM$4:$AW$4,MATCH(1,$AM1410:$AW1410,0)),"Multiple strategies"))</f>
        <v>Multiple strategies</v>
      </c>
      <c r="BG1410" s="1" t="s">
        <v>321</v>
      </c>
      <c r="BH1410" t="s">
        <v>1111</v>
      </c>
      <c r="BJ1410" t="s">
        <v>1112</v>
      </c>
      <c r="BK1410">
        <v>3.2</v>
      </c>
      <c r="BL1410">
        <v>3.5</v>
      </c>
      <c r="BN1410">
        <f t="shared" si="1830"/>
        <v>0.29999999999999982</v>
      </c>
      <c r="BO1410">
        <f t="shared" si="1831"/>
        <v>0.29999999999999982</v>
      </c>
      <c r="BP1410" s="264" t="s">
        <v>232</v>
      </c>
      <c r="BQ1410" s="264"/>
      <c r="BR1410" t="s">
        <v>1113</v>
      </c>
      <c r="BS1410">
        <v>-2.5</v>
      </c>
      <c r="BT1410">
        <v>-0.3</v>
      </c>
      <c r="BU1410" s="144">
        <v>0.12</v>
      </c>
      <c r="BV1410">
        <v>2.2000000000000002</v>
      </c>
      <c r="BX1410">
        <f t="shared" si="1834"/>
        <v>2.2000000000000001E-3</v>
      </c>
      <c r="BY1410">
        <f t="shared" si="1820"/>
        <v>7.3333333333333384E-3</v>
      </c>
      <c r="BZ1410">
        <v>0</v>
      </c>
      <c r="CA1410">
        <v>0</v>
      </c>
      <c r="CB1410">
        <v>0</v>
      </c>
      <c r="CC1410">
        <v>0</v>
      </c>
      <c r="CD1410">
        <v>0</v>
      </c>
      <c r="CE1410">
        <v>0</v>
      </c>
      <c r="CF1410">
        <v>0</v>
      </c>
      <c r="CG1410">
        <v>0</v>
      </c>
      <c r="CH1410">
        <v>0</v>
      </c>
      <c r="CI1410">
        <v>0</v>
      </c>
      <c r="CJ1410">
        <v>0</v>
      </c>
      <c r="CK1410">
        <v>0</v>
      </c>
      <c r="CL1410">
        <v>0</v>
      </c>
      <c r="CM1410">
        <v>0</v>
      </c>
      <c r="CN1410" t="str">
        <f t="shared" si="1835"/>
        <v>refOK</v>
      </c>
      <c r="CO1410">
        <f t="shared" si="1836"/>
        <v>3.2</v>
      </c>
      <c r="CP1410">
        <f t="shared" si="1837"/>
        <v>3.5</v>
      </c>
      <c r="CQ1410">
        <f t="shared" si="1838"/>
        <v>0.29999999999999982</v>
      </c>
      <c r="CR1410">
        <f t="shared" si="1839"/>
        <v>-2.5</v>
      </c>
      <c r="CS1410">
        <f t="shared" si="1840"/>
        <v>-0.3</v>
      </c>
      <c r="CT1410">
        <f t="shared" si="1841"/>
        <v>2.2000000000000001E-3</v>
      </c>
      <c r="CU1410">
        <f t="shared" si="1842"/>
        <v>7.3333333333333384E-3</v>
      </c>
      <c r="CV1410" s="2">
        <f t="shared" si="1843"/>
        <v>0.88000000000000012</v>
      </c>
      <c r="CW1410" s="1" t="s">
        <v>234</v>
      </c>
      <c r="CX1410" s="264" t="str">
        <f t="shared" si="1844"/>
        <v>loc</v>
      </c>
      <c r="CY1410" t="s">
        <v>235</v>
      </c>
      <c r="CZ1410">
        <v>2001</v>
      </c>
      <c r="DA1410">
        <v>2100</v>
      </c>
      <c r="DB1410">
        <v>100</v>
      </c>
      <c r="DC1410" t="str">
        <f t="shared" si="1845"/>
        <v>71-100</v>
      </c>
      <c r="DD1410">
        <v>0</v>
      </c>
      <c r="DE1410">
        <v>1</v>
      </c>
      <c r="DF1410">
        <v>1</v>
      </c>
      <c r="DG1410">
        <v>1</v>
      </c>
      <c r="DI1410">
        <f t="shared" si="1846"/>
        <v>3</v>
      </c>
      <c r="DJ1410" t="str">
        <f t="shared" si="1847"/>
        <v>mixedProduct</v>
      </c>
      <c r="DK1410">
        <f t="shared" si="1848"/>
        <v>0</v>
      </c>
      <c r="DL1410" t="str">
        <f t="shared" si="1849"/>
        <v>Energy</v>
      </c>
      <c r="DM1410" t="str">
        <f t="shared" si="1850"/>
        <v>Pulp/Paper</v>
      </c>
      <c r="DN1410" t="str">
        <f t="shared" si="1851"/>
        <v>Timber</v>
      </c>
      <c r="DO1410">
        <v>1</v>
      </c>
      <c r="DP1410">
        <v>0</v>
      </c>
      <c r="DQ1410">
        <v>0</v>
      </c>
      <c r="DR1410">
        <v>0</v>
      </c>
      <c r="DS1410">
        <v>0</v>
      </c>
      <c r="DT1410">
        <f t="shared" si="1852"/>
        <v>1</v>
      </c>
      <c r="DU1410" s="143" t="str">
        <f t="shared" si="1853"/>
        <v>self-calculated DF</v>
      </c>
      <c r="DV1410">
        <v>1</v>
      </c>
      <c r="DW1410">
        <v>1</v>
      </c>
      <c r="DX1410">
        <v>1</v>
      </c>
      <c r="DY1410">
        <v>0</v>
      </c>
      <c r="DZ1410">
        <v>0</v>
      </c>
      <c r="EA1410" s="143">
        <v>0</v>
      </c>
      <c r="EB1410">
        <v>1</v>
      </c>
      <c r="EC1410">
        <v>1</v>
      </c>
      <c r="ED1410">
        <v>0</v>
      </c>
      <c r="EE1410">
        <v>0</v>
      </c>
      <c r="EF1410">
        <v>1</v>
      </c>
      <c r="EG1410">
        <v>1</v>
      </c>
      <c r="EH1410">
        <v>0</v>
      </c>
      <c r="EI1410" s="2">
        <v>0</v>
      </c>
      <c r="EK1410" t="str">
        <f t="shared" si="1854"/>
        <v>Whole sector</v>
      </c>
      <c r="EL1410" t="str">
        <f t="shared" si="1855"/>
        <v/>
      </c>
      <c r="EM1410" s="2" t="str">
        <f t="shared" si="1821"/>
        <v/>
      </c>
      <c r="EP1410" t="str">
        <f>IF(ISNUMBER(BU1410),IF(ABS(BU1410-[4]QC_indicators!$B$2)&gt;3*[4]QC_indicators!$C$2,"C ratio",IF(ISNUMBER(BY1410),IF(ABS(BY1410-[4]QC_indicators!$B$1)&gt;3*[4]QC_indicators!$C$1,"DF","no"))),IF(ISNUMBER(BY1410),IF(ABS(BY1410-[4]QC_indicators!$B$1)&gt;3*[4]QC_indicators!$C$1,"DF","no")))</f>
        <v>no</v>
      </c>
      <c r="ER1410" s="294" t="s">
        <v>349</v>
      </c>
      <c r="ET1410" s="264" t="s">
        <v>3406</v>
      </c>
    </row>
    <row r="1411" spans="1:150" ht="15" hidden="1" customHeight="1">
      <c r="A1411" s="1" t="s">
        <v>1101</v>
      </c>
      <c r="B1411" t="s">
        <v>1102</v>
      </c>
      <c r="C1411" t="s">
        <v>1103</v>
      </c>
      <c r="D1411" t="s">
        <v>1104</v>
      </c>
      <c r="E1411" t="s">
        <v>1105</v>
      </c>
      <c r="F1411" t="s">
        <v>1106</v>
      </c>
      <c r="G1411" t="s">
        <v>1107</v>
      </c>
      <c r="H1411" t="s">
        <v>254</v>
      </c>
      <c r="I1411">
        <v>2013</v>
      </c>
      <c r="J1411">
        <v>11</v>
      </c>
      <c r="K1411" t="s">
        <v>1108</v>
      </c>
      <c r="M1411" t="str">
        <f t="shared" si="1856"/>
        <v>Routa_2013</v>
      </c>
      <c r="N1411" t="s">
        <v>222</v>
      </c>
      <c r="O1411" s="145" t="s">
        <v>341</v>
      </c>
      <c r="Q1411" s="264" t="s">
        <v>256</v>
      </c>
      <c r="R1411" s="269" t="s">
        <v>1153</v>
      </c>
      <c r="S1411" s="1" t="s">
        <v>1122</v>
      </c>
      <c r="T1411" t="s">
        <v>1110</v>
      </c>
      <c r="U1411" t="e">
        <f>#REF!</f>
        <v>#REF!</v>
      </c>
      <c r="V1411">
        <v>0</v>
      </c>
      <c r="W1411">
        <v>0</v>
      </c>
      <c r="X1411">
        <v>2</v>
      </c>
      <c r="Y1411">
        <v>0</v>
      </c>
      <c r="Z1411">
        <v>2</v>
      </c>
      <c r="AA1411">
        <v>0</v>
      </c>
      <c r="AB1411">
        <v>1</v>
      </c>
      <c r="AC1411">
        <v>0</v>
      </c>
      <c r="AD1411">
        <v>0</v>
      </c>
      <c r="AE1411">
        <v>0</v>
      </c>
      <c r="AF1411">
        <v>0</v>
      </c>
      <c r="AG1411">
        <v>0</v>
      </c>
      <c r="AH1411">
        <v>0</v>
      </c>
      <c r="AI1411">
        <v>0</v>
      </c>
      <c r="AJ1411">
        <v>2</v>
      </c>
      <c r="AK1411">
        <v>0</v>
      </c>
      <c r="AL1411">
        <v>2</v>
      </c>
      <c r="AM1411">
        <v>0</v>
      </c>
      <c r="AN1411">
        <v>0</v>
      </c>
      <c r="AO1411">
        <v>0</v>
      </c>
      <c r="AP1411">
        <v>0</v>
      </c>
      <c r="AQ1411">
        <v>0</v>
      </c>
      <c r="AR1411">
        <v>0</v>
      </c>
      <c r="AS1411">
        <v>0</v>
      </c>
      <c r="AT1411">
        <v>0</v>
      </c>
      <c r="AU1411">
        <v>0</v>
      </c>
      <c r="AV1411">
        <v>0</v>
      </c>
      <c r="AW1411">
        <v>0</v>
      </c>
      <c r="AX1411" s="141">
        <f t="shared" si="1822"/>
        <v>5</v>
      </c>
      <c r="AY1411" s="141">
        <f t="shared" si="1823"/>
        <v>5</v>
      </c>
      <c r="AZ1411">
        <f t="shared" si="1824"/>
        <v>3</v>
      </c>
      <c r="BA1411">
        <f t="shared" si="1825"/>
        <v>0</v>
      </c>
      <c r="BB1411">
        <f t="shared" si="1826"/>
        <v>2</v>
      </c>
      <c r="BC1411">
        <f t="shared" si="1827"/>
        <v>0</v>
      </c>
      <c r="BD1411">
        <f t="shared" si="1828"/>
        <v>0</v>
      </c>
      <c r="BE1411" t="str" cm="1">
        <f t="array" ref="BE1411">IF(AY1411=1,INDEX($V$7:$AL$7,MATCH(TRUE,INDEX($V1411:$AW1411&lt;&gt;0,),0)),IF(AY1411=0,INDEX($AM$7:$AW$7,MATCH(1,$AM1411:$AW1411,0)),IF(BF1411="Multiple strategies","mixed drivers",IF(BF1411="Supply chain","multiple supply","multiple silviculture"))))</f>
        <v>mixed drivers</v>
      </c>
      <c r="BF1411" s="2" t="str" cm="1">
        <f t="array" ref="BF1411">IF(COUNTIF(AZ1411:BB1411,"&lt;&gt;0")=1,INDEX($V$4:$AW$4,MATCH(TRUE,INDEX($V1411:$AW1411&lt;&gt;0,),0)),IF(COUNTIF(AZ1411:BB1411,"&lt;&gt;0")=0,INDEX($AM$4:$AW$4,MATCH(1,$AM1411:$AW1411,0)),"Multiple strategies"))</f>
        <v>Multiple strategies</v>
      </c>
      <c r="BG1411" s="1" t="s">
        <v>321</v>
      </c>
      <c r="BH1411" t="s">
        <v>1111</v>
      </c>
      <c r="BJ1411" t="s">
        <v>1112</v>
      </c>
      <c r="BK1411">
        <v>3.2</v>
      </c>
      <c r="BL1411">
        <v>3.45</v>
      </c>
      <c r="BN1411">
        <f t="shared" si="1830"/>
        <v>0.25</v>
      </c>
      <c r="BO1411">
        <f t="shared" si="1831"/>
        <v>0.25</v>
      </c>
      <c r="BP1411" s="264" t="s">
        <v>232</v>
      </c>
      <c r="BQ1411" s="264"/>
      <c r="BR1411" t="s">
        <v>1113</v>
      </c>
      <c r="BS1411">
        <v>-2.5</v>
      </c>
      <c r="BT1411">
        <v>-0.55000000000000004</v>
      </c>
      <c r="BU1411" s="144">
        <v>0.22000000000000003</v>
      </c>
      <c r="BV1411">
        <v>1.95</v>
      </c>
      <c r="BX1411">
        <f t="shared" si="1834"/>
        <v>1.9499999999999999E-3</v>
      </c>
      <c r="BY1411">
        <f t="shared" si="1820"/>
        <v>7.7999999999999996E-3</v>
      </c>
      <c r="BZ1411">
        <v>0</v>
      </c>
      <c r="CA1411">
        <v>0</v>
      </c>
      <c r="CB1411">
        <v>0</v>
      </c>
      <c r="CC1411">
        <v>0</v>
      </c>
      <c r="CD1411">
        <v>0</v>
      </c>
      <c r="CE1411">
        <v>0</v>
      </c>
      <c r="CF1411">
        <v>0</v>
      </c>
      <c r="CG1411">
        <v>0</v>
      </c>
      <c r="CH1411">
        <v>0</v>
      </c>
      <c r="CI1411">
        <v>0</v>
      </c>
      <c r="CJ1411">
        <v>0</v>
      </c>
      <c r="CK1411">
        <v>0</v>
      </c>
      <c r="CL1411">
        <v>0</v>
      </c>
      <c r="CM1411">
        <v>0</v>
      </c>
      <c r="CN1411" t="str">
        <f t="shared" si="1835"/>
        <v>refOK</v>
      </c>
      <c r="CO1411">
        <f t="shared" si="1836"/>
        <v>3.2</v>
      </c>
      <c r="CP1411">
        <f t="shared" si="1837"/>
        <v>3.45</v>
      </c>
      <c r="CQ1411">
        <f t="shared" si="1838"/>
        <v>0.25</v>
      </c>
      <c r="CR1411">
        <f t="shared" si="1839"/>
        <v>-2.5</v>
      </c>
      <c r="CS1411">
        <f t="shared" si="1840"/>
        <v>-0.55000000000000004</v>
      </c>
      <c r="CT1411">
        <f t="shared" si="1841"/>
        <v>1.9499999999999999E-3</v>
      </c>
      <c r="CU1411">
        <f t="shared" si="1842"/>
        <v>7.7999999999999996E-3</v>
      </c>
      <c r="CV1411" s="2">
        <f t="shared" si="1843"/>
        <v>0.78</v>
      </c>
      <c r="CW1411" s="1" t="s">
        <v>234</v>
      </c>
      <c r="CX1411" s="264" t="str">
        <f t="shared" si="1844"/>
        <v>loc</v>
      </c>
      <c r="CY1411" t="s">
        <v>235</v>
      </c>
      <c r="CZ1411">
        <v>2001</v>
      </c>
      <c r="DA1411">
        <v>2100</v>
      </c>
      <c r="DB1411">
        <v>100</v>
      </c>
      <c r="DC1411" t="str">
        <f t="shared" si="1845"/>
        <v>71-100</v>
      </c>
      <c r="DD1411">
        <v>0</v>
      </c>
      <c r="DE1411">
        <v>1</v>
      </c>
      <c r="DF1411">
        <v>1</v>
      </c>
      <c r="DG1411">
        <v>1</v>
      </c>
      <c r="DI1411">
        <f t="shared" si="1846"/>
        <v>3</v>
      </c>
      <c r="DJ1411" t="str">
        <f t="shared" si="1847"/>
        <v>mixedProduct</v>
      </c>
      <c r="DK1411">
        <f t="shared" si="1848"/>
        <v>0</v>
      </c>
      <c r="DL1411" t="str">
        <f t="shared" si="1849"/>
        <v>Energy</v>
      </c>
      <c r="DM1411" t="str">
        <f t="shared" si="1850"/>
        <v>Pulp/Paper</v>
      </c>
      <c r="DN1411" t="str">
        <f t="shared" si="1851"/>
        <v>Timber</v>
      </c>
      <c r="DO1411">
        <v>1</v>
      </c>
      <c r="DP1411">
        <v>0</v>
      </c>
      <c r="DQ1411">
        <v>0</v>
      </c>
      <c r="DR1411">
        <v>0</v>
      </c>
      <c r="DS1411">
        <v>0</v>
      </c>
      <c r="DT1411">
        <f t="shared" si="1852"/>
        <v>1</v>
      </c>
      <c r="DU1411" s="143" t="str">
        <f t="shared" si="1853"/>
        <v>self-calculated DF</v>
      </c>
      <c r="DV1411">
        <v>1</v>
      </c>
      <c r="DW1411">
        <v>1</v>
      </c>
      <c r="DX1411">
        <v>1</v>
      </c>
      <c r="DY1411">
        <v>0</v>
      </c>
      <c r="DZ1411">
        <v>0</v>
      </c>
      <c r="EA1411" s="143">
        <v>0</v>
      </c>
      <c r="EB1411">
        <v>1</v>
      </c>
      <c r="EC1411">
        <v>1</v>
      </c>
      <c r="ED1411">
        <v>0</v>
      </c>
      <c r="EE1411">
        <v>0</v>
      </c>
      <c r="EF1411">
        <v>1</v>
      </c>
      <c r="EG1411">
        <v>1</v>
      </c>
      <c r="EH1411">
        <v>0</v>
      </c>
      <c r="EI1411" s="2">
        <v>0</v>
      </c>
      <c r="EK1411" t="str">
        <f t="shared" si="1854"/>
        <v>Whole sector</v>
      </c>
      <c r="EL1411" t="str">
        <f t="shared" si="1855"/>
        <v/>
      </c>
      <c r="EM1411" s="2" t="str">
        <f t="shared" si="1821"/>
        <v/>
      </c>
      <c r="EP1411" t="str">
        <f>IF(ISNUMBER(BU1411),IF(ABS(BU1411-[4]QC_indicators!$B$2)&gt;3*[4]QC_indicators!$C$2,"C ratio",IF(ISNUMBER(BY1411),IF(ABS(BY1411-[4]QC_indicators!$B$1)&gt;3*[4]QC_indicators!$C$1,"DF","no"))),IF(ISNUMBER(BY1411),IF(ABS(BY1411-[4]QC_indicators!$B$1)&gt;3*[4]QC_indicators!$C$1,"DF","no")))</f>
        <v>no</v>
      </c>
      <c r="ER1411" s="294" t="s">
        <v>349</v>
      </c>
      <c r="ET1411" s="264" t="s">
        <v>3406</v>
      </c>
    </row>
    <row r="1412" spans="1:150" ht="15" hidden="1" customHeight="1">
      <c r="A1412" s="1" t="s">
        <v>1101</v>
      </c>
      <c r="B1412" t="s">
        <v>1102</v>
      </c>
      <c r="C1412" t="s">
        <v>1103</v>
      </c>
      <c r="D1412" t="s">
        <v>1104</v>
      </c>
      <c r="E1412" t="s">
        <v>1105</v>
      </c>
      <c r="F1412" t="s">
        <v>1106</v>
      </c>
      <c r="G1412" t="s">
        <v>1107</v>
      </c>
      <c r="H1412" t="s">
        <v>254</v>
      </c>
      <c r="I1412">
        <v>2013</v>
      </c>
      <c r="J1412">
        <v>11</v>
      </c>
      <c r="K1412" t="s">
        <v>1108</v>
      </c>
      <c r="M1412" t="str">
        <f t="shared" si="1856"/>
        <v>Routa_2013</v>
      </c>
      <c r="N1412" t="s">
        <v>222</v>
      </c>
      <c r="O1412" s="145" t="s">
        <v>341</v>
      </c>
      <c r="Q1412" s="264" t="s">
        <v>256</v>
      </c>
      <c r="R1412" s="269" t="s">
        <v>1153</v>
      </c>
      <c r="S1412" s="1" t="s">
        <v>1123</v>
      </c>
      <c r="T1412" t="s">
        <v>1110</v>
      </c>
      <c r="U1412" t="e">
        <f>#REF!</f>
        <v>#REF!</v>
      </c>
      <c r="V1412">
        <v>0</v>
      </c>
      <c r="W1412">
        <v>0</v>
      </c>
      <c r="X1412">
        <v>2</v>
      </c>
      <c r="Y1412">
        <v>0</v>
      </c>
      <c r="Z1412">
        <v>2</v>
      </c>
      <c r="AA1412">
        <v>0</v>
      </c>
      <c r="AB1412">
        <v>1</v>
      </c>
      <c r="AC1412">
        <v>0</v>
      </c>
      <c r="AD1412">
        <v>0</v>
      </c>
      <c r="AE1412">
        <v>0</v>
      </c>
      <c r="AF1412">
        <v>0</v>
      </c>
      <c r="AG1412">
        <v>0</v>
      </c>
      <c r="AH1412">
        <v>0</v>
      </c>
      <c r="AI1412">
        <v>0</v>
      </c>
      <c r="AJ1412">
        <v>2</v>
      </c>
      <c r="AK1412">
        <v>0</v>
      </c>
      <c r="AL1412">
        <v>2</v>
      </c>
      <c r="AM1412">
        <v>0</v>
      </c>
      <c r="AN1412">
        <v>0</v>
      </c>
      <c r="AO1412">
        <v>0</v>
      </c>
      <c r="AP1412">
        <v>0</v>
      </c>
      <c r="AQ1412">
        <v>0</v>
      </c>
      <c r="AR1412">
        <v>0</v>
      </c>
      <c r="AS1412">
        <v>0</v>
      </c>
      <c r="AT1412">
        <v>0</v>
      </c>
      <c r="AU1412">
        <v>0</v>
      </c>
      <c r="AV1412">
        <v>0</v>
      </c>
      <c r="AW1412">
        <v>0</v>
      </c>
      <c r="AX1412" s="141">
        <f t="shared" si="1822"/>
        <v>5</v>
      </c>
      <c r="AY1412" s="141">
        <f t="shared" si="1823"/>
        <v>5</v>
      </c>
      <c r="AZ1412">
        <f t="shared" si="1824"/>
        <v>3</v>
      </c>
      <c r="BA1412">
        <f t="shared" si="1825"/>
        <v>0</v>
      </c>
      <c r="BB1412">
        <f t="shared" si="1826"/>
        <v>2</v>
      </c>
      <c r="BC1412">
        <f t="shared" si="1827"/>
        <v>0</v>
      </c>
      <c r="BD1412">
        <f t="shared" si="1828"/>
        <v>0</v>
      </c>
      <c r="BE1412" t="str" cm="1">
        <f t="array" ref="BE1412">IF(AY1412=1,INDEX($V$7:$AL$7,MATCH(TRUE,INDEX($V1412:$AW1412&lt;&gt;0,),0)),IF(AY1412=0,INDEX($AM$7:$AW$7,MATCH(1,$AM1412:$AW1412,0)),IF(BF1412="Multiple strategies","mixed drivers",IF(BF1412="Supply chain","multiple supply","multiple silviculture"))))</f>
        <v>mixed drivers</v>
      </c>
      <c r="BF1412" s="2" t="str" cm="1">
        <f t="array" ref="BF1412">IF(COUNTIF(AZ1412:BB1412,"&lt;&gt;0")=1,INDEX($V$4:$AW$4,MATCH(TRUE,INDEX($V1412:$AW1412&lt;&gt;0,),0)),IF(COUNTIF(AZ1412:BB1412,"&lt;&gt;0")=0,INDEX($AM$4:$AW$4,MATCH(1,$AM1412:$AW1412,0)),"Multiple strategies"))</f>
        <v>Multiple strategies</v>
      </c>
      <c r="BG1412" s="1" t="s">
        <v>321</v>
      </c>
      <c r="BH1412" t="s">
        <v>1111</v>
      </c>
      <c r="BJ1412" t="s">
        <v>1112</v>
      </c>
      <c r="BK1412">
        <v>3.2</v>
      </c>
      <c r="BL1412">
        <v>3.45</v>
      </c>
      <c r="BN1412">
        <f t="shared" si="1830"/>
        <v>0.25</v>
      </c>
      <c r="BO1412">
        <f t="shared" si="1831"/>
        <v>0.25</v>
      </c>
      <c r="BP1412" s="264" t="s">
        <v>232</v>
      </c>
      <c r="BQ1412" s="264"/>
      <c r="BR1412" t="s">
        <v>1113</v>
      </c>
      <c r="BS1412">
        <v>-2.5</v>
      </c>
      <c r="BT1412">
        <v>-0.4</v>
      </c>
      <c r="BU1412" s="144">
        <v>0.16</v>
      </c>
      <c r="BV1412">
        <v>2.1</v>
      </c>
      <c r="BX1412">
        <f t="shared" si="1834"/>
        <v>2.1000000000000003E-3</v>
      </c>
      <c r="BY1412">
        <f t="shared" si="1820"/>
        <v>8.4000000000000012E-3</v>
      </c>
      <c r="BZ1412">
        <v>0</v>
      </c>
      <c r="CA1412">
        <v>0</v>
      </c>
      <c r="CB1412">
        <v>0</v>
      </c>
      <c r="CC1412">
        <v>0</v>
      </c>
      <c r="CD1412">
        <v>0</v>
      </c>
      <c r="CE1412">
        <v>0</v>
      </c>
      <c r="CF1412">
        <v>0</v>
      </c>
      <c r="CG1412">
        <v>0</v>
      </c>
      <c r="CH1412">
        <v>0</v>
      </c>
      <c r="CI1412">
        <v>0</v>
      </c>
      <c r="CJ1412">
        <v>0</v>
      </c>
      <c r="CK1412">
        <v>0</v>
      </c>
      <c r="CL1412">
        <v>0</v>
      </c>
      <c r="CM1412">
        <v>0</v>
      </c>
      <c r="CN1412" t="str">
        <f t="shared" si="1835"/>
        <v>refOK</v>
      </c>
      <c r="CO1412">
        <f t="shared" si="1836"/>
        <v>3.2</v>
      </c>
      <c r="CP1412">
        <f t="shared" si="1837"/>
        <v>3.45</v>
      </c>
      <c r="CQ1412">
        <f t="shared" si="1838"/>
        <v>0.25</v>
      </c>
      <c r="CR1412">
        <f t="shared" si="1839"/>
        <v>-2.5</v>
      </c>
      <c r="CS1412">
        <f t="shared" si="1840"/>
        <v>-0.4</v>
      </c>
      <c r="CT1412">
        <f t="shared" si="1841"/>
        <v>2.1000000000000003E-3</v>
      </c>
      <c r="CU1412">
        <f t="shared" si="1842"/>
        <v>8.4000000000000012E-3</v>
      </c>
      <c r="CV1412" s="2">
        <f t="shared" si="1843"/>
        <v>0.84000000000000008</v>
      </c>
      <c r="CW1412" s="1" t="s">
        <v>234</v>
      </c>
      <c r="CX1412" s="264" t="str">
        <f t="shared" si="1844"/>
        <v>loc</v>
      </c>
      <c r="CY1412" t="s">
        <v>235</v>
      </c>
      <c r="CZ1412">
        <v>2001</v>
      </c>
      <c r="DA1412">
        <v>2100</v>
      </c>
      <c r="DB1412">
        <v>100</v>
      </c>
      <c r="DC1412" t="str">
        <f t="shared" si="1845"/>
        <v>71-100</v>
      </c>
      <c r="DD1412">
        <v>0</v>
      </c>
      <c r="DE1412">
        <v>1</v>
      </c>
      <c r="DF1412">
        <v>1</v>
      </c>
      <c r="DG1412">
        <v>1</v>
      </c>
      <c r="DI1412">
        <f t="shared" si="1846"/>
        <v>3</v>
      </c>
      <c r="DJ1412" t="str">
        <f t="shared" si="1847"/>
        <v>mixedProduct</v>
      </c>
      <c r="DK1412">
        <f t="shared" si="1848"/>
        <v>0</v>
      </c>
      <c r="DL1412" t="str">
        <f t="shared" si="1849"/>
        <v>Energy</v>
      </c>
      <c r="DM1412" t="str">
        <f t="shared" si="1850"/>
        <v>Pulp/Paper</v>
      </c>
      <c r="DN1412" t="str">
        <f t="shared" si="1851"/>
        <v>Timber</v>
      </c>
      <c r="DO1412">
        <v>1</v>
      </c>
      <c r="DP1412">
        <v>0</v>
      </c>
      <c r="DQ1412">
        <v>0</v>
      </c>
      <c r="DR1412">
        <v>0</v>
      </c>
      <c r="DS1412">
        <v>0</v>
      </c>
      <c r="DT1412">
        <f t="shared" si="1852"/>
        <v>1</v>
      </c>
      <c r="DU1412" s="143" t="str">
        <f t="shared" si="1853"/>
        <v>self-calculated DF</v>
      </c>
      <c r="DV1412">
        <v>1</v>
      </c>
      <c r="DW1412">
        <v>1</v>
      </c>
      <c r="DX1412">
        <v>1</v>
      </c>
      <c r="DY1412">
        <v>0</v>
      </c>
      <c r="DZ1412">
        <v>0</v>
      </c>
      <c r="EA1412" s="143">
        <v>0</v>
      </c>
      <c r="EB1412">
        <v>1</v>
      </c>
      <c r="EC1412">
        <v>1</v>
      </c>
      <c r="ED1412">
        <v>0</v>
      </c>
      <c r="EE1412">
        <v>0</v>
      </c>
      <c r="EF1412">
        <v>1</v>
      </c>
      <c r="EG1412">
        <v>1</v>
      </c>
      <c r="EH1412">
        <v>0</v>
      </c>
      <c r="EI1412" s="2">
        <v>0</v>
      </c>
      <c r="EK1412" t="str">
        <f t="shared" si="1854"/>
        <v>Whole sector</v>
      </c>
      <c r="EL1412" t="str">
        <f t="shared" si="1855"/>
        <v/>
      </c>
      <c r="EM1412" s="2" t="str">
        <f t="shared" si="1821"/>
        <v/>
      </c>
      <c r="EP1412" t="str">
        <f>IF(ISNUMBER(BU1412),IF(ABS(BU1412-[4]QC_indicators!$B$2)&gt;3*[4]QC_indicators!$C$2,"C ratio",IF(ISNUMBER(BY1412),IF(ABS(BY1412-[4]QC_indicators!$B$1)&gt;3*[4]QC_indicators!$C$1,"DF","no"))),IF(ISNUMBER(BY1412),IF(ABS(BY1412-[4]QC_indicators!$B$1)&gt;3*[4]QC_indicators!$C$1,"DF","no")))</f>
        <v>no</v>
      </c>
      <c r="ER1412" s="294" t="s">
        <v>349</v>
      </c>
      <c r="ET1412" s="264" t="s">
        <v>3406</v>
      </c>
    </row>
    <row r="1413" spans="1:150" ht="15" hidden="1" customHeight="1">
      <c r="A1413" s="1" t="s">
        <v>1101</v>
      </c>
      <c r="B1413" t="s">
        <v>1102</v>
      </c>
      <c r="C1413" t="s">
        <v>1103</v>
      </c>
      <c r="D1413" t="s">
        <v>1104</v>
      </c>
      <c r="E1413" t="s">
        <v>1105</v>
      </c>
      <c r="F1413" t="s">
        <v>1106</v>
      </c>
      <c r="G1413" t="s">
        <v>1107</v>
      </c>
      <c r="H1413" t="s">
        <v>254</v>
      </c>
      <c r="I1413">
        <v>2013</v>
      </c>
      <c r="J1413">
        <v>11</v>
      </c>
      <c r="K1413" t="s">
        <v>1108</v>
      </c>
      <c r="M1413" t="str">
        <f t="shared" si="1856"/>
        <v>Routa_2013</v>
      </c>
      <c r="N1413" t="s">
        <v>222</v>
      </c>
      <c r="O1413" s="145" t="s">
        <v>341</v>
      </c>
      <c r="Q1413" s="264" t="s">
        <v>256</v>
      </c>
      <c r="R1413" s="269" t="s">
        <v>1153</v>
      </c>
      <c r="S1413" s="1" t="s">
        <v>1124</v>
      </c>
      <c r="T1413" t="s">
        <v>1110</v>
      </c>
      <c r="U1413" t="e">
        <f>#REF!</f>
        <v>#REF!</v>
      </c>
      <c r="V1413">
        <v>0</v>
      </c>
      <c r="W1413">
        <v>0</v>
      </c>
      <c r="X1413">
        <v>2</v>
      </c>
      <c r="Y1413">
        <v>0</v>
      </c>
      <c r="Z1413">
        <v>2</v>
      </c>
      <c r="AA1413">
        <v>0</v>
      </c>
      <c r="AB1413">
        <v>1</v>
      </c>
      <c r="AC1413">
        <v>0</v>
      </c>
      <c r="AD1413">
        <v>0</v>
      </c>
      <c r="AE1413">
        <v>0</v>
      </c>
      <c r="AF1413">
        <v>0</v>
      </c>
      <c r="AG1413">
        <v>0</v>
      </c>
      <c r="AH1413">
        <v>0</v>
      </c>
      <c r="AI1413">
        <v>0</v>
      </c>
      <c r="AJ1413">
        <v>2</v>
      </c>
      <c r="AK1413">
        <v>0</v>
      </c>
      <c r="AL1413">
        <v>2</v>
      </c>
      <c r="AM1413">
        <v>0</v>
      </c>
      <c r="AN1413">
        <v>0</v>
      </c>
      <c r="AO1413">
        <v>0</v>
      </c>
      <c r="AP1413">
        <v>0</v>
      </c>
      <c r="AQ1413">
        <v>0</v>
      </c>
      <c r="AR1413">
        <v>0</v>
      </c>
      <c r="AS1413">
        <v>0</v>
      </c>
      <c r="AT1413">
        <v>0</v>
      </c>
      <c r="AU1413">
        <v>0</v>
      </c>
      <c r="AV1413">
        <v>0</v>
      </c>
      <c r="AW1413">
        <v>0</v>
      </c>
      <c r="AX1413" s="141">
        <f t="shared" si="1822"/>
        <v>5</v>
      </c>
      <c r="AY1413" s="141">
        <f t="shared" si="1823"/>
        <v>5</v>
      </c>
      <c r="AZ1413">
        <f t="shared" si="1824"/>
        <v>3</v>
      </c>
      <c r="BA1413">
        <f t="shared" si="1825"/>
        <v>0</v>
      </c>
      <c r="BB1413">
        <f t="shared" si="1826"/>
        <v>2</v>
      </c>
      <c r="BC1413">
        <f t="shared" si="1827"/>
        <v>0</v>
      </c>
      <c r="BD1413">
        <f t="shared" si="1828"/>
        <v>0</v>
      </c>
      <c r="BE1413" t="str" cm="1">
        <f t="array" ref="BE1413">IF(AY1413=1,INDEX($V$7:$AL$7,MATCH(TRUE,INDEX($V1413:$AW1413&lt;&gt;0,),0)),IF(AY1413=0,INDEX($AM$7:$AW$7,MATCH(1,$AM1413:$AW1413,0)),IF(BF1413="Multiple strategies","mixed drivers",IF(BF1413="Supply chain","multiple supply","multiple silviculture"))))</f>
        <v>mixed drivers</v>
      </c>
      <c r="BF1413" s="2" t="str" cm="1">
        <f t="array" ref="BF1413">IF(COUNTIF(AZ1413:BB1413,"&lt;&gt;0")=1,INDEX($V$4:$AW$4,MATCH(TRUE,INDEX($V1413:$AW1413&lt;&gt;0,),0)),IF(COUNTIF(AZ1413:BB1413,"&lt;&gt;0")=0,INDEX($AM$4:$AW$4,MATCH(1,$AM1413:$AW1413,0)),"Multiple strategies"))</f>
        <v>Multiple strategies</v>
      </c>
      <c r="BG1413" s="1" t="s">
        <v>321</v>
      </c>
      <c r="BH1413" t="s">
        <v>1125</v>
      </c>
      <c r="BJ1413" t="s">
        <v>1112</v>
      </c>
      <c r="BK1413">
        <v>3.2</v>
      </c>
      <c r="BL1413">
        <v>3.3</v>
      </c>
      <c r="BN1413">
        <f t="shared" si="1830"/>
        <v>9.9999999999999645E-2</v>
      </c>
      <c r="BO1413">
        <f t="shared" si="1831"/>
        <v>9.9999999999999645E-2</v>
      </c>
      <c r="BP1413" s="264" t="s">
        <v>232</v>
      </c>
      <c r="BQ1413" s="264"/>
      <c r="BR1413" t="s">
        <v>1113</v>
      </c>
      <c r="BS1413">
        <v>-2.5</v>
      </c>
      <c r="BT1413">
        <v>-0.87</v>
      </c>
      <c r="BU1413" s="144">
        <v>0.34799999999999998</v>
      </c>
      <c r="BV1413">
        <v>1.63</v>
      </c>
      <c r="BX1413">
        <f t="shared" si="1834"/>
        <v>1.6299999999999999E-3</v>
      </c>
      <c r="BY1413">
        <f t="shared" si="1820"/>
        <v>1.6300000000000057E-2</v>
      </c>
      <c r="BZ1413">
        <v>0</v>
      </c>
      <c r="CA1413">
        <v>0</v>
      </c>
      <c r="CB1413">
        <v>0</v>
      </c>
      <c r="CC1413">
        <v>0</v>
      </c>
      <c r="CD1413">
        <v>0</v>
      </c>
      <c r="CE1413">
        <v>0</v>
      </c>
      <c r="CF1413">
        <v>0</v>
      </c>
      <c r="CG1413">
        <v>0</v>
      </c>
      <c r="CH1413">
        <v>0</v>
      </c>
      <c r="CI1413">
        <v>0</v>
      </c>
      <c r="CJ1413">
        <v>0</v>
      </c>
      <c r="CK1413">
        <v>0</v>
      </c>
      <c r="CL1413">
        <v>0</v>
      </c>
      <c r="CM1413">
        <v>0</v>
      </c>
      <c r="CN1413" t="str">
        <f t="shared" si="1835"/>
        <v>refOK</v>
      </c>
      <c r="CO1413">
        <f t="shared" si="1836"/>
        <v>3.2</v>
      </c>
      <c r="CP1413">
        <f t="shared" si="1837"/>
        <v>3.3</v>
      </c>
      <c r="CQ1413">
        <f t="shared" si="1838"/>
        <v>9.9999999999999645E-2</v>
      </c>
      <c r="CR1413">
        <f t="shared" si="1839"/>
        <v>-2.5</v>
      </c>
      <c r="CS1413">
        <f t="shared" si="1840"/>
        <v>-0.87</v>
      </c>
      <c r="CT1413">
        <f t="shared" si="1841"/>
        <v>1.6299999999999999E-3</v>
      </c>
      <c r="CU1413">
        <f t="shared" si="1842"/>
        <v>1.6300000000000057E-2</v>
      </c>
      <c r="CV1413" s="2">
        <f t="shared" si="1843"/>
        <v>0.65199999999999991</v>
      </c>
      <c r="CW1413" s="1" t="s">
        <v>234</v>
      </c>
      <c r="CX1413" s="264" t="str">
        <f t="shared" si="1844"/>
        <v>loc</v>
      </c>
      <c r="CY1413" t="s">
        <v>235</v>
      </c>
      <c r="CZ1413">
        <v>2001</v>
      </c>
      <c r="DA1413">
        <v>2100</v>
      </c>
      <c r="DB1413">
        <v>100</v>
      </c>
      <c r="DC1413" t="str">
        <f t="shared" si="1845"/>
        <v>71-100</v>
      </c>
      <c r="DD1413">
        <v>0</v>
      </c>
      <c r="DE1413">
        <v>1</v>
      </c>
      <c r="DF1413">
        <v>1</v>
      </c>
      <c r="DG1413">
        <v>1</v>
      </c>
      <c r="DI1413">
        <f t="shared" si="1846"/>
        <v>3</v>
      </c>
      <c r="DJ1413" t="str">
        <f t="shared" si="1847"/>
        <v>mixedProduct</v>
      </c>
      <c r="DK1413">
        <f t="shared" si="1848"/>
        <v>0</v>
      </c>
      <c r="DL1413" t="str">
        <f t="shared" si="1849"/>
        <v>Energy</v>
      </c>
      <c r="DM1413" t="str">
        <f t="shared" si="1850"/>
        <v>Pulp/Paper</v>
      </c>
      <c r="DN1413" t="str">
        <f t="shared" si="1851"/>
        <v>Timber</v>
      </c>
      <c r="DO1413">
        <v>1</v>
      </c>
      <c r="DP1413">
        <v>0</v>
      </c>
      <c r="DQ1413">
        <v>0</v>
      </c>
      <c r="DR1413">
        <v>0</v>
      </c>
      <c r="DS1413">
        <v>0</v>
      </c>
      <c r="DT1413">
        <f t="shared" si="1852"/>
        <v>1</v>
      </c>
      <c r="DU1413" s="143" t="str">
        <f t="shared" si="1853"/>
        <v>self-calculated DF</v>
      </c>
      <c r="DV1413">
        <v>1</v>
      </c>
      <c r="DW1413">
        <v>1</v>
      </c>
      <c r="DX1413">
        <v>1</v>
      </c>
      <c r="DY1413">
        <v>0</v>
      </c>
      <c r="DZ1413">
        <v>0</v>
      </c>
      <c r="EA1413" s="143">
        <v>0</v>
      </c>
      <c r="EB1413">
        <v>1</v>
      </c>
      <c r="EC1413">
        <v>1</v>
      </c>
      <c r="ED1413">
        <v>0</v>
      </c>
      <c r="EE1413">
        <v>0</v>
      </c>
      <c r="EF1413">
        <v>1</v>
      </c>
      <c r="EG1413">
        <v>1</v>
      </c>
      <c r="EH1413">
        <v>0</v>
      </c>
      <c r="EI1413" s="2">
        <v>0</v>
      </c>
      <c r="EK1413" t="str">
        <f t="shared" si="1854"/>
        <v>Whole sector</v>
      </c>
      <c r="EL1413" t="str">
        <f t="shared" si="1855"/>
        <v/>
      </c>
      <c r="EM1413" s="2" t="str">
        <f t="shared" si="1821"/>
        <v/>
      </c>
      <c r="EP1413" t="str">
        <f>IF(ISNUMBER(BU1413),IF(ABS(BU1413-[4]QC_indicators!$B$2)&gt;3*[4]QC_indicators!$C$2,"C ratio",IF(ISNUMBER(BY1413),IF(ABS(BY1413-[4]QC_indicators!$B$1)&gt;3*[4]QC_indicators!$C$1,"DF","no"))),IF(ISNUMBER(BY1413),IF(ABS(BY1413-[4]QC_indicators!$B$1)&gt;3*[4]QC_indicators!$C$1,"DF","no")))</f>
        <v>no</v>
      </c>
      <c r="ER1413" s="294" t="s">
        <v>349</v>
      </c>
      <c r="ET1413" s="264" t="s">
        <v>3406</v>
      </c>
    </row>
    <row r="1414" spans="1:150" ht="15" hidden="1" customHeight="1">
      <c r="A1414" s="1" t="s">
        <v>4126</v>
      </c>
      <c r="B1414" t="s">
        <v>4127</v>
      </c>
      <c r="C1414" t="s">
        <v>4128</v>
      </c>
      <c r="D1414" t="s">
        <v>4129</v>
      </c>
      <c r="E1414" t="s">
        <v>4130</v>
      </c>
      <c r="F1414" t="s">
        <v>4131</v>
      </c>
      <c r="G1414" t="s">
        <v>4132</v>
      </c>
      <c r="H1414" t="s">
        <v>254</v>
      </c>
      <c r="I1414">
        <v>2014</v>
      </c>
      <c r="J1414">
        <v>4</v>
      </c>
      <c r="K1414" t="s">
        <v>4133</v>
      </c>
      <c r="M1414" t="str">
        <f t="shared" si="1856"/>
        <v>Saah_2014</v>
      </c>
      <c r="N1414" s="311" t="s">
        <v>4382</v>
      </c>
      <c r="O1414" s="145" t="s">
        <v>341</v>
      </c>
      <c r="Q1414" s="311" t="s">
        <v>256</v>
      </c>
      <c r="R1414" s="312"/>
      <c r="S1414" s="1" t="s">
        <v>4134</v>
      </c>
      <c r="T1414" t="s">
        <v>1110</v>
      </c>
      <c r="U1414" t="e">
        <f>#REF!</f>
        <v>#REF!</v>
      </c>
      <c r="V1414">
        <v>2</v>
      </c>
      <c r="W1414">
        <v>1</v>
      </c>
      <c r="X1414">
        <v>0</v>
      </c>
      <c r="Y1414">
        <v>2</v>
      </c>
      <c r="Z1414">
        <v>0</v>
      </c>
      <c r="AA1414">
        <v>0</v>
      </c>
      <c r="AB1414">
        <v>0</v>
      </c>
      <c r="AC1414">
        <v>0</v>
      </c>
      <c r="AD1414">
        <v>0</v>
      </c>
      <c r="AE1414">
        <v>0</v>
      </c>
      <c r="AF1414">
        <v>2</v>
      </c>
      <c r="AG1414">
        <v>0</v>
      </c>
      <c r="AH1414">
        <v>0</v>
      </c>
      <c r="AI1414">
        <v>0</v>
      </c>
      <c r="AJ1414">
        <v>0</v>
      </c>
      <c r="AK1414">
        <v>0</v>
      </c>
      <c r="AL1414">
        <v>0</v>
      </c>
      <c r="AM1414">
        <v>0</v>
      </c>
      <c r="AN1414">
        <v>0</v>
      </c>
      <c r="AO1414">
        <v>0</v>
      </c>
      <c r="AP1414">
        <v>0</v>
      </c>
      <c r="AQ1414">
        <v>0</v>
      </c>
      <c r="AR1414">
        <v>0</v>
      </c>
      <c r="AS1414">
        <v>0</v>
      </c>
      <c r="AT1414">
        <v>0</v>
      </c>
      <c r="AU1414">
        <v>0</v>
      </c>
      <c r="AV1414">
        <v>0</v>
      </c>
      <c r="AW1414">
        <v>0</v>
      </c>
      <c r="AX1414" s="141">
        <f t="shared" si="1822"/>
        <v>4</v>
      </c>
      <c r="AY1414" s="141">
        <f t="shared" si="1823"/>
        <v>4</v>
      </c>
      <c r="AZ1414">
        <f t="shared" si="1824"/>
        <v>3</v>
      </c>
      <c r="BA1414">
        <f t="shared" si="1825"/>
        <v>1</v>
      </c>
      <c r="BB1414">
        <f t="shared" si="1826"/>
        <v>0</v>
      </c>
      <c r="BC1414">
        <f t="shared" si="1827"/>
        <v>0</v>
      </c>
      <c r="BD1414">
        <f t="shared" si="1828"/>
        <v>0</v>
      </c>
      <c r="BE1414" t="str" cm="1">
        <f t="array" ref="BE1414">IF(AY1414=1,INDEX($V$7:$AL$7,MATCH(TRUE,INDEX($V1414:$AW1414&lt;&gt;0,),0)),IF(AY1414=0,INDEX($AM$7:$AW$7,MATCH(1,$AM1414:$AW1414,0)),IF(BF1414="Multiple strategies","mixed drivers",IF(BF1414="Supply chain","multiple supply","multiple silviculture"))))</f>
        <v>mixed drivers</v>
      </c>
      <c r="BF1414" s="2" t="str" cm="1">
        <f t="array" ref="BF1414">IF(COUNTIF(AZ1414:BB1414,"&lt;&gt;0")=1,INDEX($V$4:$AW$4,MATCH(TRUE,INDEX($V1414:$AW1414&lt;&gt;0,),0)),IF(COUNTIF(AZ1414:BB1414,"&lt;&gt;0")=0,INDEX($AM$4:$AW$4,MATCH(1,$AM1414:$AW1414,0)),"Multiple strategies"))</f>
        <v>Multiple strategies</v>
      </c>
      <c r="BP1414" s="311" t="s">
        <v>232</v>
      </c>
      <c r="BQ1414" s="311"/>
      <c r="BR1414" s="311" t="s">
        <v>4135</v>
      </c>
      <c r="BS1414">
        <v>-56406</v>
      </c>
      <c r="BT1414">
        <v>-6204.66</v>
      </c>
      <c r="BU1414" s="144">
        <v>0.11</v>
      </c>
      <c r="BV1414">
        <v>50201.34</v>
      </c>
      <c r="BX1414">
        <f t="shared" ref="BX1414:BX1422" si="1857">BV1414</f>
        <v>50201.34</v>
      </c>
      <c r="BY1414" t="str">
        <f t="shared" si="1820"/>
        <v/>
      </c>
      <c r="BZ1414">
        <v>0</v>
      </c>
      <c r="CA1414">
        <v>1</v>
      </c>
      <c r="CB1414">
        <v>0</v>
      </c>
      <c r="CC1414">
        <v>1</v>
      </c>
      <c r="CD1414">
        <v>0</v>
      </c>
      <c r="CE1414">
        <v>0</v>
      </c>
      <c r="CF1414">
        <v>0</v>
      </c>
      <c r="CG1414">
        <v>0</v>
      </c>
      <c r="CH1414">
        <v>0</v>
      </c>
      <c r="CI1414">
        <v>0</v>
      </c>
      <c r="CJ1414">
        <v>0</v>
      </c>
      <c r="CK1414">
        <v>0</v>
      </c>
      <c r="CL1414">
        <v>1</v>
      </c>
      <c r="CM1414">
        <v>0</v>
      </c>
      <c r="CN1414" t="str">
        <f t="shared" ref="CN1414:CN1422" si="1858">IF(BL1414&lt;BK1414,"refNeedCorrection","refOK")</f>
        <v>refOK</v>
      </c>
      <c r="CO1414"/>
      <c r="CP1414"/>
      <c r="CQ1414"/>
      <c r="CR1414">
        <f t="shared" si="1839"/>
        <v>-56406</v>
      </c>
      <c r="CS1414">
        <f t="shared" si="1840"/>
        <v>-6204.66</v>
      </c>
      <c r="CT1414">
        <f t="shared" si="1841"/>
        <v>50201.34</v>
      </c>
      <c r="CU1414" t="str">
        <f t="shared" si="1842"/>
        <v/>
      </c>
      <c r="CV1414" s="2">
        <f t="shared" si="1843"/>
        <v>0.8899999999999999</v>
      </c>
      <c r="CW1414" s="1" t="s">
        <v>1198</v>
      </c>
      <c r="CX1414" s="311" t="str">
        <f t="shared" si="1844"/>
        <v>reg</v>
      </c>
      <c r="CY1414" t="s">
        <v>428</v>
      </c>
      <c r="DB1414">
        <v>0</v>
      </c>
      <c r="DC1414" t="str">
        <f t="shared" si="1845"/>
        <v>0</v>
      </c>
      <c r="DD1414">
        <v>0</v>
      </c>
      <c r="DE1414">
        <v>1</v>
      </c>
      <c r="DF1414">
        <v>0</v>
      </c>
      <c r="DG1414">
        <v>0</v>
      </c>
      <c r="DI1414">
        <f t="shared" si="1846"/>
        <v>1</v>
      </c>
      <c r="DJ1414" t="str">
        <f t="shared" si="1847"/>
        <v>EnergyInput</v>
      </c>
      <c r="DK1414">
        <f t="shared" si="1848"/>
        <v>0</v>
      </c>
      <c r="DL1414" t="str">
        <f t="shared" si="1849"/>
        <v>Energy</v>
      </c>
      <c r="DM1414">
        <f t="shared" si="1850"/>
        <v>0</v>
      </c>
      <c r="DN1414">
        <f t="shared" si="1851"/>
        <v>0</v>
      </c>
      <c r="DO1414">
        <v>1</v>
      </c>
      <c r="DP1414">
        <v>0</v>
      </c>
      <c r="DQ1414">
        <v>0</v>
      </c>
      <c r="DR1414">
        <v>0</v>
      </c>
      <c r="DS1414">
        <v>0</v>
      </c>
      <c r="DT1414">
        <f t="shared" si="1852"/>
        <v>1</v>
      </c>
      <c r="DU1414" s="143" t="str">
        <f t="shared" si="1853"/>
        <v>self-calculated DF</v>
      </c>
      <c r="DV1414">
        <v>0</v>
      </c>
      <c r="DW1414">
        <v>0</v>
      </c>
      <c r="DX1414">
        <v>0</v>
      </c>
      <c r="DY1414">
        <v>0</v>
      </c>
      <c r="DZ1414">
        <v>0</v>
      </c>
      <c r="EA1414" s="143">
        <v>0</v>
      </c>
      <c r="EB1414">
        <v>1</v>
      </c>
      <c r="EC1414">
        <v>1</v>
      </c>
      <c r="ED1414">
        <v>0</v>
      </c>
      <c r="EE1414">
        <v>1</v>
      </c>
      <c r="EF1414">
        <v>0</v>
      </c>
      <c r="EG1414">
        <v>0</v>
      </c>
      <c r="EH1414">
        <v>0</v>
      </c>
      <c r="EI1414" s="2">
        <v>0</v>
      </c>
      <c r="EK1414" t="str">
        <f t="shared" ref="EK1414:EK1422" si="1859">IF(AND(AND(AND(OR($DX1414=1,$DW1414=1),OR($EC1414=1,$EA1414=1)),SUM($DV1414:$DZ1414,$EF1414)&gt;=3),SUM($EA1414:$EE1414)&gt;=2),"Whole sector","")</f>
        <v/>
      </c>
      <c r="EL1414" t="str">
        <f t="shared" ref="EL1414:EL1422" si="1860">IF(AND(AND(OR($DX1414=1,$DW1414=1),AND($EC1414=0,$EA1414=0)),SUM($DV1414:$DZ1414,$EF1414)&gt;=3),"Ecosystem approach","")</f>
        <v/>
      </c>
      <c r="EM1414" s="2" t="str">
        <f t="shared" si="1821"/>
        <v>Technology approach</v>
      </c>
      <c r="EP1414" t="b">
        <f>IF(ISNUMBER(BU1414),IF(ABS(BU1414-[1]QC_indicators!$B$2)&gt;3*[1]QC_indicators!$C$2,"C ratio",IF(ISNUMBER(BY1414),IF(ABS(BY1414-[1]QC_indicators!$B$1)&gt;3*[1]QC_indicators!$C$1,"DF","no"))),IF(ISNUMBER(BY1414),IF(ABS(BY1414-[1]QC_indicators!$B$1)&gt;3*[1]QC_indicators!$C$1,"DF","no")))</f>
        <v>0</v>
      </c>
      <c r="ER1414" s="313" t="s">
        <v>349</v>
      </c>
    </row>
    <row r="1415" spans="1:150" ht="15" hidden="1" customHeight="1">
      <c r="A1415" s="1" t="s">
        <v>4126</v>
      </c>
      <c r="B1415" t="s">
        <v>4127</v>
      </c>
      <c r="C1415" t="s">
        <v>4128</v>
      </c>
      <c r="D1415" t="s">
        <v>4129</v>
      </c>
      <c r="E1415" t="s">
        <v>4130</v>
      </c>
      <c r="F1415" t="s">
        <v>4131</v>
      </c>
      <c r="G1415" t="s">
        <v>4132</v>
      </c>
      <c r="H1415" t="s">
        <v>254</v>
      </c>
      <c r="I1415">
        <v>2014</v>
      </c>
      <c r="J1415">
        <v>4</v>
      </c>
      <c r="K1415" t="s">
        <v>4133</v>
      </c>
      <c r="M1415" t="str">
        <f t="shared" si="1856"/>
        <v>Saah_2014</v>
      </c>
      <c r="N1415" s="311" t="s">
        <v>4382</v>
      </c>
      <c r="O1415" s="145" t="s">
        <v>341</v>
      </c>
      <c r="Q1415" s="311" t="s">
        <v>256</v>
      </c>
      <c r="R1415" s="312"/>
      <c r="S1415" s="1" t="s">
        <v>4136</v>
      </c>
      <c r="T1415" t="s">
        <v>1110</v>
      </c>
      <c r="U1415" t="e">
        <f>#REF!</f>
        <v>#REF!</v>
      </c>
      <c r="V1415">
        <v>2</v>
      </c>
      <c r="W1415">
        <v>1</v>
      </c>
      <c r="X1415">
        <v>0</v>
      </c>
      <c r="Y1415">
        <v>2</v>
      </c>
      <c r="Z1415">
        <v>0</v>
      </c>
      <c r="AA1415">
        <v>0</v>
      </c>
      <c r="AB1415">
        <v>0</v>
      </c>
      <c r="AC1415">
        <v>0</v>
      </c>
      <c r="AD1415">
        <v>0</v>
      </c>
      <c r="AE1415">
        <v>0</v>
      </c>
      <c r="AF1415">
        <v>2</v>
      </c>
      <c r="AG1415">
        <v>0</v>
      </c>
      <c r="AH1415">
        <v>0</v>
      </c>
      <c r="AI1415">
        <v>0</v>
      </c>
      <c r="AJ1415">
        <v>0</v>
      </c>
      <c r="AK1415">
        <v>0</v>
      </c>
      <c r="AL1415">
        <v>0</v>
      </c>
      <c r="AM1415">
        <v>0</v>
      </c>
      <c r="AN1415">
        <v>0</v>
      </c>
      <c r="AO1415">
        <v>0</v>
      </c>
      <c r="AP1415">
        <v>0</v>
      </c>
      <c r="AQ1415">
        <v>0</v>
      </c>
      <c r="AR1415">
        <v>0</v>
      </c>
      <c r="AS1415">
        <v>0</v>
      </c>
      <c r="AT1415">
        <v>0</v>
      </c>
      <c r="AU1415">
        <v>0</v>
      </c>
      <c r="AV1415">
        <v>0</v>
      </c>
      <c r="AW1415">
        <v>0</v>
      </c>
      <c r="AX1415" s="141">
        <f t="shared" si="1822"/>
        <v>4</v>
      </c>
      <c r="AY1415" s="141">
        <f t="shared" si="1823"/>
        <v>4</v>
      </c>
      <c r="AZ1415">
        <f t="shared" si="1824"/>
        <v>3</v>
      </c>
      <c r="BA1415">
        <f t="shared" si="1825"/>
        <v>1</v>
      </c>
      <c r="BB1415">
        <f t="shared" si="1826"/>
        <v>0</v>
      </c>
      <c r="BC1415">
        <f t="shared" si="1827"/>
        <v>0</v>
      </c>
      <c r="BD1415">
        <f t="shared" si="1828"/>
        <v>0</v>
      </c>
      <c r="BE1415" t="str" cm="1">
        <f t="array" ref="BE1415">IF(AY1415=1,INDEX($V$7:$AL$7,MATCH(TRUE,INDEX($V1415:$AW1415&lt;&gt;0,),0)),IF(AY1415=0,INDEX($AM$7:$AW$7,MATCH(1,$AM1415:$AW1415,0)),IF(BF1415="Multiple strategies","mixed drivers",IF(BF1415="Supply chain","multiple supply","multiple silviculture"))))</f>
        <v>mixed drivers</v>
      </c>
      <c r="BF1415" s="2" t="str" cm="1">
        <f t="array" ref="BF1415">IF(COUNTIF(AZ1415:BB1415,"&lt;&gt;0")=1,INDEX($V$4:$AW$4,MATCH(TRUE,INDEX($V1415:$AW1415&lt;&gt;0,),0)),IF(COUNTIF(AZ1415:BB1415,"&lt;&gt;0")=0,INDEX($AM$4:$AW$4,MATCH(1,$AM1415:$AW1415,0)),"Multiple strategies"))</f>
        <v>Multiple strategies</v>
      </c>
      <c r="BP1415" s="311" t="s">
        <v>232</v>
      </c>
      <c r="BQ1415" s="311"/>
      <c r="BR1415" s="311" t="s">
        <v>4135</v>
      </c>
      <c r="BS1415">
        <v>-56406</v>
      </c>
      <c r="BT1415">
        <v>-11845.26</v>
      </c>
      <c r="BU1415" s="144">
        <v>0.21</v>
      </c>
      <c r="BV1415">
        <v>44560.74</v>
      </c>
      <c r="BX1415">
        <f t="shared" si="1857"/>
        <v>44560.74</v>
      </c>
      <c r="BY1415" t="str">
        <f t="shared" si="1820"/>
        <v/>
      </c>
      <c r="BZ1415">
        <v>0</v>
      </c>
      <c r="CA1415">
        <v>1</v>
      </c>
      <c r="CB1415">
        <v>0</v>
      </c>
      <c r="CC1415">
        <v>1</v>
      </c>
      <c r="CD1415">
        <v>0</v>
      </c>
      <c r="CE1415">
        <v>0</v>
      </c>
      <c r="CF1415">
        <v>0</v>
      </c>
      <c r="CG1415">
        <v>0</v>
      </c>
      <c r="CH1415">
        <v>0</v>
      </c>
      <c r="CI1415">
        <v>0</v>
      </c>
      <c r="CJ1415">
        <v>0</v>
      </c>
      <c r="CK1415">
        <v>0</v>
      </c>
      <c r="CL1415">
        <v>1</v>
      </c>
      <c r="CM1415">
        <v>0</v>
      </c>
      <c r="CN1415" t="str">
        <f t="shared" si="1858"/>
        <v>refOK</v>
      </c>
      <c r="CO1415"/>
      <c r="CP1415"/>
      <c r="CQ1415"/>
      <c r="CR1415">
        <f t="shared" si="1839"/>
        <v>-56406</v>
      </c>
      <c r="CS1415">
        <f t="shared" si="1840"/>
        <v>-11845.26</v>
      </c>
      <c r="CT1415">
        <f t="shared" si="1841"/>
        <v>44560.74</v>
      </c>
      <c r="CU1415" t="str">
        <f t="shared" si="1842"/>
        <v/>
      </c>
      <c r="CV1415" s="2">
        <f t="shared" si="1843"/>
        <v>0.78999999999999992</v>
      </c>
      <c r="CW1415" s="1" t="s">
        <v>1198</v>
      </c>
      <c r="CX1415" s="311" t="str">
        <f t="shared" si="1844"/>
        <v>reg</v>
      </c>
      <c r="CY1415" t="s">
        <v>428</v>
      </c>
      <c r="DB1415">
        <v>0</v>
      </c>
      <c r="DC1415" t="str">
        <f t="shared" si="1845"/>
        <v>0</v>
      </c>
      <c r="DD1415">
        <v>0</v>
      </c>
      <c r="DE1415">
        <v>1</v>
      </c>
      <c r="DF1415">
        <v>0</v>
      </c>
      <c r="DG1415">
        <v>0</v>
      </c>
      <c r="DI1415">
        <f t="shared" si="1846"/>
        <v>1</v>
      </c>
      <c r="DJ1415" t="str">
        <f t="shared" si="1847"/>
        <v>EnergyInput</v>
      </c>
      <c r="DK1415">
        <f t="shared" si="1848"/>
        <v>0</v>
      </c>
      <c r="DL1415" t="str">
        <f t="shared" si="1849"/>
        <v>Energy</v>
      </c>
      <c r="DM1415">
        <f t="shared" si="1850"/>
        <v>0</v>
      </c>
      <c r="DN1415">
        <f t="shared" si="1851"/>
        <v>0</v>
      </c>
      <c r="DO1415">
        <v>1</v>
      </c>
      <c r="DP1415">
        <v>0</v>
      </c>
      <c r="DQ1415">
        <v>0</v>
      </c>
      <c r="DR1415">
        <v>0</v>
      </c>
      <c r="DS1415">
        <v>0</v>
      </c>
      <c r="DT1415">
        <f t="shared" si="1852"/>
        <v>1</v>
      </c>
      <c r="DU1415" s="143" t="str">
        <f t="shared" si="1853"/>
        <v>self-calculated DF</v>
      </c>
      <c r="DV1415">
        <v>0</v>
      </c>
      <c r="DW1415">
        <v>0</v>
      </c>
      <c r="DX1415">
        <v>0</v>
      </c>
      <c r="DY1415">
        <v>0</v>
      </c>
      <c r="DZ1415">
        <v>0</v>
      </c>
      <c r="EA1415" s="143">
        <v>0</v>
      </c>
      <c r="EB1415">
        <v>1</v>
      </c>
      <c r="EC1415">
        <v>1</v>
      </c>
      <c r="ED1415">
        <v>0</v>
      </c>
      <c r="EE1415">
        <v>1</v>
      </c>
      <c r="EF1415">
        <v>0</v>
      </c>
      <c r="EG1415">
        <v>0</v>
      </c>
      <c r="EH1415">
        <v>0</v>
      </c>
      <c r="EI1415" s="2">
        <v>0</v>
      </c>
      <c r="EK1415" t="str">
        <f t="shared" si="1859"/>
        <v/>
      </c>
      <c r="EL1415" t="str">
        <f t="shared" si="1860"/>
        <v/>
      </c>
      <c r="EM1415" s="2" t="str">
        <f t="shared" si="1821"/>
        <v>Technology approach</v>
      </c>
      <c r="EP1415" t="b">
        <f>IF(ISNUMBER(BU1415),IF(ABS(BU1415-[1]QC_indicators!$B$2)&gt;3*[1]QC_indicators!$C$2,"C ratio",IF(ISNUMBER(BY1415),IF(ABS(BY1415-[1]QC_indicators!$B$1)&gt;3*[1]QC_indicators!$C$1,"DF","no"))),IF(ISNUMBER(BY1415),IF(ABS(BY1415-[1]QC_indicators!$B$1)&gt;3*[1]QC_indicators!$C$1,"DF","no")))</f>
        <v>0</v>
      </c>
      <c r="ER1415" s="313" t="s">
        <v>349</v>
      </c>
    </row>
    <row r="1416" spans="1:150" ht="15" hidden="1" customHeight="1">
      <c r="A1416" s="1" t="s">
        <v>4126</v>
      </c>
      <c r="B1416" t="s">
        <v>4127</v>
      </c>
      <c r="C1416" t="s">
        <v>4128</v>
      </c>
      <c r="D1416" t="s">
        <v>4129</v>
      </c>
      <c r="E1416" t="s">
        <v>4130</v>
      </c>
      <c r="F1416" t="s">
        <v>4131</v>
      </c>
      <c r="G1416" t="s">
        <v>4132</v>
      </c>
      <c r="H1416" t="s">
        <v>254</v>
      </c>
      <c r="I1416">
        <v>2014</v>
      </c>
      <c r="J1416">
        <v>4</v>
      </c>
      <c r="K1416" t="s">
        <v>4133</v>
      </c>
      <c r="M1416" t="str">
        <f t="shared" si="1856"/>
        <v>Saah_2014</v>
      </c>
      <c r="N1416" s="311" t="s">
        <v>4382</v>
      </c>
      <c r="O1416" s="145" t="s">
        <v>341</v>
      </c>
      <c r="Q1416" s="311" t="s">
        <v>256</v>
      </c>
      <c r="R1416" s="312"/>
      <c r="S1416" s="1" t="s">
        <v>4137</v>
      </c>
      <c r="T1416" t="s">
        <v>1110</v>
      </c>
      <c r="U1416" t="e">
        <f>#REF!</f>
        <v>#REF!</v>
      </c>
      <c r="V1416">
        <v>2</v>
      </c>
      <c r="W1416">
        <v>1</v>
      </c>
      <c r="X1416">
        <v>0</v>
      </c>
      <c r="Y1416">
        <v>2</v>
      </c>
      <c r="Z1416">
        <v>0</v>
      </c>
      <c r="AA1416">
        <v>0</v>
      </c>
      <c r="AB1416">
        <v>0</v>
      </c>
      <c r="AC1416">
        <v>0</v>
      </c>
      <c r="AD1416">
        <v>0</v>
      </c>
      <c r="AE1416">
        <v>0</v>
      </c>
      <c r="AF1416">
        <v>2</v>
      </c>
      <c r="AG1416">
        <v>0</v>
      </c>
      <c r="AH1416">
        <v>0</v>
      </c>
      <c r="AI1416">
        <v>0</v>
      </c>
      <c r="AJ1416">
        <v>0</v>
      </c>
      <c r="AK1416">
        <v>0</v>
      </c>
      <c r="AL1416">
        <v>0</v>
      </c>
      <c r="AM1416">
        <v>0</v>
      </c>
      <c r="AN1416">
        <v>0</v>
      </c>
      <c r="AO1416">
        <v>0</v>
      </c>
      <c r="AP1416">
        <v>0</v>
      </c>
      <c r="AQ1416">
        <v>0</v>
      </c>
      <c r="AR1416">
        <v>0</v>
      </c>
      <c r="AS1416">
        <v>0</v>
      </c>
      <c r="AT1416">
        <v>0</v>
      </c>
      <c r="AU1416">
        <v>0</v>
      </c>
      <c r="AV1416">
        <v>0</v>
      </c>
      <c r="AW1416">
        <v>0</v>
      </c>
      <c r="AX1416" s="141">
        <f t="shared" si="1822"/>
        <v>4</v>
      </c>
      <c r="AY1416" s="141">
        <f t="shared" si="1823"/>
        <v>4</v>
      </c>
      <c r="AZ1416">
        <f t="shared" si="1824"/>
        <v>3</v>
      </c>
      <c r="BA1416">
        <f t="shared" si="1825"/>
        <v>1</v>
      </c>
      <c r="BB1416">
        <f t="shared" si="1826"/>
        <v>0</v>
      </c>
      <c r="BC1416">
        <f t="shared" si="1827"/>
        <v>0</v>
      </c>
      <c r="BD1416">
        <f t="shared" si="1828"/>
        <v>0</v>
      </c>
      <c r="BE1416" t="str" cm="1">
        <f t="array" ref="BE1416">IF(AY1416=1,INDEX($V$7:$AL$7,MATCH(TRUE,INDEX($V1416:$AW1416&lt;&gt;0,),0)),IF(AY1416=0,INDEX($AM$7:$AW$7,MATCH(1,$AM1416:$AW1416,0)),IF(BF1416="Multiple strategies","mixed drivers",IF(BF1416="Supply chain","multiple supply","multiple silviculture"))))</f>
        <v>mixed drivers</v>
      </c>
      <c r="BF1416" s="2" t="str" cm="1">
        <f t="array" ref="BF1416">IF(COUNTIF(AZ1416:BB1416,"&lt;&gt;0")=1,INDEX($V$4:$AW$4,MATCH(TRUE,INDEX($V1416:$AW1416&lt;&gt;0,),0)),IF(COUNTIF(AZ1416:BB1416,"&lt;&gt;0")=0,INDEX($AM$4:$AW$4,MATCH(1,$AM1416:$AW1416,0)),"Multiple strategies"))</f>
        <v>Multiple strategies</v>
      </c>
      <c r="BP1416" s="311" t="s">
        <v>232</v>
      </c>
      <c r="BQ1416" s="311"/>
      <c r="BR1416" s="311" t="s">
        <v>4135</v>
      </c>
      <c r="BS1416">
        <v>-56406</v>
      </c>
      <c r="BT1416">
        <v>-12409.32</v>
      </c>
      <c r="BU1416" s="144">
        <v>0.22</v>
      </c>
      <c r="BV1416">
        <v>43996.68</v>
      </c>
      <c r="BX1416">
        <f t="shared" si="1857"/>
        <v>43996.68</v>
      </c>
      <c r="BY1416" t="str">
        <f t="shared" si="1820"/>
        <v/>
      </c>
      <c r="BZ1416">
        <v>0</v>
      </c>
      <c r="CA1416">
        <v>1</v>
      </c>
      <c r="CB1416">
        <v>0</v>
      </c>
      <c r="CC1416">
        <v>1</v>
      </c>
      <c r="CD1416">
        <v>0</v>
      </c>
      <c r="CE1416">
        <v>0</v>
      </c>
      <c r="CF1416">
        <v>0</v>
      </c>
      <c r="CG1416">
        <v>0</v>
      </c>
      <c r="CH1416">
        <v>0</v>
      </c>
      <c r="CI1416">
        <v>0</v>
      </c>
      <c r="CJ1416">
        <v>0</v>
      </c>
      <c r="CK1416">
        <v>0</v>
      </c>
      <c r="CL1416">
        <v>1</v>
      </c>
      <c r="CM1416">
        <v>0</v>
      </c>
      <c r="CN1416" t="str">
        <f t="shared" si="1858"/>
        <v>refOK</v>
      </c>
      <c r="CO1416"/>
      <c r="CP1416"/>
      <c r="CQ1416"/>
      <c r="CR1416">
        <f t="shared" si="1839"/>
        <v>-56406</v>
      </c>
      <c r="CS1416">
        <f t="shared" si="1840"/>
        <v>-12409.32</v>
      </c>
      <c r="CT1416">
        <f t="shared" si="1841"/>
        <v>43996.68</v>
      </c>
      <c r="CU1416" t="str">
        <f t="shared" si="1842"/>
        <v/>
      </c>
      <c r="CV1416" s="2">
        <f t="shared" si="1843"/>
        <v>0.78</v>
      </c>
      <c r="CW1416" s="1" t="s">
        <v>1198</v>
      </c>
      <c r="CX1416" s="311" t="str">
        <f t="shared" si="1844"/>
        <v>reg</v>
      </c>
      <c r="CY1416" t="s">
        <v>428</v>
      </c>
      <c r="DB1416">
        <v>0</v>
      </c>
      <c r="DC1416" t="str">
        <f t="shared" si="1845"/>
        <v>0</v>
      </c>
      <c r="DD1416">
        <v>0</v>
      </c>
      <c r="DE1416">
        <v>1</v>
      </c>
      <c r="DF1416">
        <v>0</v>
      </c>
      <c r="DG1416">
        <v>0</v>
      </c>
      <c r="DI1416">
        <f t="shared" si="1846"/>
        <v>1</v>
      </c>
      <c r="DJ1416" t="str">
        <f t="shared" si="1847"/>
        <v>EnergyInput</v>
      </c>
      <c r="DK1416">
        <f t="shared" si="1848"/>
        <v>0</v>
      </c>
      <c r="DL1416" t="str">
        <f t="shared" si="1849"/>
        <v>Energy</v>
      </c>
      <c r="DM1416">
        <f t="shared" si="1850"/>
        <v>0</v>
      </c>
      <c r="DN1416">
        <f t="shared" si="1851"/>
        <v>0</v>
      </c>
      <c r="DO1416">
        <v>1</v>
      </c>
      <c r="DP1416">
        <v>0</v>
      </c>
      <c r="DQ1416">
        <v>0</v>
      </c>
      <c r="DR1416">
        <v>0</v>
      </c>
      <c r="DS1416">
        <v>0</v>
      </c>
      <c r="DT1416">
        <f t="shared" si="1852"/>
        <v>1</v>
      </c>
      <c r="DU1416" s="143" t="str">
        <f t="shared" si="1853"/>
        <v>self-calculated DF</v>
      </c>
      <c r="DV1416">
        <v>0</v>
      </c>
      <c r="DW1416">
        <v>0</v>
      </c>
      <c r="DX1416">
        <v>0</v>
      </c>
      <c r="DY1416">
        <v>0</v>
      </c>
      <c r="DZ1416">
        <v>0</v>
      </c>
      <c r="EA1416" s="143">
        <v>0</v>
      </c>
      <c r="EB1416">
        <v>1</v>
      </c>
      <c r="EC1416">
        <v>1</v>
      </c>
      <c r="ED1416">
        <v>0</v>
      </c>
      <c r="EE1416">
        <v>1</v>
      </c>
      <c r="EF1416">
        <v>0</v>
      </c>
      <c r="EG1416">
        <v>0</v>
      </c>
      <c r="EH1416">
        <v>0</v>
      </c>
      <c r="EI1416" s="2">
        <v>0</v>
      </c>
      <c r="EK1416" t="str">
        <f t="shared" si="1859"/>
        <v/>
      </c>
      <c r="EL1416" t="str">
        <f t="shared" si="1860"/>
        <v/>
      </c>
      <c r="EM1416" s="2" t="str">
        <f t="shared" si="1821"/>
        <v>Technology approach</v>
      </c>
      <c r="EP1416" t="b">
        <f>IF(ISNUMBER(BU1416),IF(ABS(BU1416-[1]QC_indicators!$B$2)&gt;3*[1]QC_indicators!$C$2,"C ratio",IF(ISNUMBER(BY1416),IF(ABS(BY1416-[1]QC_indicators!$B$1)&gt;3*[1]QC_indicators!$C$1,"DF","no"))),IF(ISNUMBER(BY1416),IF(ABS(BY1416-[1]QC_indicators!$B$1)&gt;3*[1]QC_indicators!$C$1,"DF","no")))</f>
        <v>0</v>
      </c>
      <c r="ER1416" s="313" t="s">
        <v>349</v>
      </c>
    </row>
    <row r="1417" spans="1:150" ht="15" hidden="1" customHeight="1">
      <c r="A1417" s="1" t="s">
        <v>4126</v>
      </c>
      <c r="B1417" t="s">
        <v>4127</v>
      </c>
      <c r="C1417" t="s">
        <v>4128</v>
      </c>
      <c r="D1417" t="s">
        <v>4129</v>
      </c>
      <c r="E1417" t="s">
        <v>4130</v>
      </c>
      <c r="F1417" t="s">
        <v>4131</v>
      </c>
      <c r="G1417" t="s">
        <v>4132</v>
      </c>
      <c r="H1417" t="s">
        <v>254</v>
      </c>
      <c r="I1417">
        <v>2014</v>
      </c>
      <c r="J1417">
        <v>4</v>
      </c>
      <c r="K1417" t="s">
        <v>4133</v>
      </c>
      <c r="M1417" t="str">
        <f t="shared" si="1856"/>
        <v>Saah_2014</v>
      </c>
      <c r="N1417" s="311" t="s">
        <v>4382</v>
      </c>
      <c r="O1417" s="145" t="s">
        <v>341</v>
      </c>
      <c r="Q1417" s="311" t="s">
        <v>256</v>
      </c>
      <c r="R1417" s="312"/>
      <c r="S1417" s="1" t="s">
        <v>4138</v>
      </c>
      <c r="T1417" t="s">
        <v>1110</v>
      </c>
      <c r="U1417" t="e">
        <f>#REF!</f>
        <v>#REF!</v>
      </c>
      <c r="V1417">
        <v>2</v>
      </c>
      <c r="W1417">
        <v>1</v>
      </c>
      <c r="X1417">
        <v>0</v>
      </c>
      <c r="Y1417">
        <v>2</v>
      </c>
      <c r="Z1417">
        <v>0</v>
      </c>
      <c r="AA1417">
        <v>0</v>
      </c>
      <c r="AB1417">
        <v>0</v>
      </c>
      <c r="AC1417">
        <v>0</v>
      </c>
      <c r="AD1417">
        <v>0</v>
      </c>
      <c r="AE1417">
        <v>0</v>
      </c>
      <c r="AF1417">
        <v>2</v>
      </c>
      <c r="AG1417">
        <v>0</v>
      </c>
      <c r="AH1417">
        <v>0</v>
      </c>
      <c r="AI1417">
        <v>0</v>
      </c>
      <c r="AJ1417">
        <v>0</v>
      </c>
      <c r="AK1417">
        <v>0</v>
      </c>
      <c r="AL1417">
        <v>0</v>
      </c>
      <c r="AM1417">
        <v>0</v>
      </c>
      <c r="AN1417">
        <v>0</v>
      </c>
      <c r="AO1417">
        <v>0</v>
      </c>
      <c r="AP1417">
        <v>0</v>
      </c>
      <c r="AQ1417">
        <v>0</v>
      </c>
      <c r="AR1417">
        <v>0</v>
      </c>
      <c r="AS1417">
        <v>0</v>
      </c>
      <c r="AT1417">
        <v>0</v>
      </c>
      <c r="AU1417">
        <v>0</v>
      </c>
      <c r="AV1417">
        <v>0</v>
      </c>
      <c r="AW1417">
        <v>0</v>
      </c>
      <c r="AX1417" s="141">
        <f t="shared" si="1822"/>
        <v>4</v>
      </c>
      <c r="AY1417" s="141">
        <f t="shared" si="1823"/>
        <v>4</v>
      </c>
      <c r="AZ1417">
        <f t="shared" si="1824"/>
        <v>3</v>
      </c>
      <c r="BA1417">
        <f t="shared" si="1825"/>
        <v>1</v>
      </c>
      <c r="BB1417">
        <f t="shared" si="1826"/>
        <v>0</v>
      </c>
      <c r="BC1417">
        <f t="shared" si="1827"/>
        <v>0</v>
      </c>
      <c r="BD1417">
        <f t="shared" si="1828"/>
        <v>0</v>
      </c>
      <c r="BE1417" t="str" cm="1">
        <f t="array" ref="BE1417">IF(AY1417=1,INDEX($V$7:$AL$7,MATCH(TRUE,INDEX($V1417:$AW1417&lt;&gt;0,),0)),IF(AY1417=0,INDEX($AM$7:$AW$7,MATCH(1,$AM1417:$AW1417,0)),IF(BF1417="Multiple strategies","mixed drivers",IF(BF1417="Supply chain","multiple supply","multiple silviculture"))))</f>
        <v>mixed drivers</v>
      </c>
      <c r="BF1417" s="2" t="str" cm="1">
        <f t="array" ref="BF1417">IF(COUNTIF(AZ1417:BB1417,"&lt;&gt;0")=1,INDEX($V$4:$AW$4,MATCH(TRUE,INDEX($V1417:$AW1417&lt;&gt;0,),0)),IF(COUNTIF(AZ1417:BB1417,"&lt;&gt;0")=0,INDEX($AM$4:$AW$4,MATCH(1,$AM1417:$AW1417,0)),"Multiple strategies"))</f>
        <v>Multiple strategies</v>
      </c>
      <c r="BP1417" s="311" t="s">
        <v>232</v>
      </c>
      <c r="BQ1417" s="311"/>
      <c r="BR1417" s="311" t="s">
        <v>4135</v>
      </c>
      <c r="BS1417">
        <v>-56406</v>
      </c>
      <c r="BT1417">
        <v>-14665.560000000001</v>
      </c>
      <c r="BU1417" s="144">
        <v>0.26</v>
      </c>
      <c r="BV1417">
        <v>41740.44</v>
      </c>
      <c r="BX1417">
        <f t="shared" si="1857"/>
        <v>41740.44</v>
      </c>
      <c r="BY1417" t="str">
        <f t="shared" si="1820"/>
        <v/>
      </c>
      <c r="BZ1417">
        <v>0</v>
      </c>
      <c r="CA1417">
        <v>1</v>
      </c>
      <c r="CB1417">
        <v>0</v>
      </c>
      <c r="CC1417">
        <v>1</v>
      </c>
      <c r="CD1417">
        <v>0</v>
      </c>
      <c r="CE1417">
        <v>0</v>
      </c>
      <c r="CF1417">
        <v>0</v>
      </c>
      <c r="CG1417">
        <v>0</v>
      </c>
      <c r="CH1417">
        <v>0</v>
      </c>
      <c r="CI1417">
        <v>0</v>
      </c>
      <c r="CJ1417">
        <v>0</v>
      </c>
      <c r="CK1417">
        <v>0</v>
      </c>
      <c r="CL1417">
        <v>1</v>
      </c>
      <c r="CM1417">
        <v>0</v>
      </c>
      <c r="CN1417" t="str">
        <f t="shared" si="1858"/>
        <v>refOK</v>
      </c>
      <c r="CO1417"/>
      <c r="CP1417"/>
      <c r="CQ1417"/>
      <c r="CR1417">
        <f t="shared" si="1839"/>
        <v>-56406</v>
      </c>
      <c r="CS1417">
        <f t="shared" si="1840"/>
        <v>-14665.560000000001</v>
      </c>
      <c r="CT1417">
        <f t="shared" si="1841"/>
        <v>41740.44</v>
      </c>
      <c r="CU1417" t="str">
        <f t="shared" si="1842"/>
        <v/>
      </c>
      <c r="CV1417" s="2">
        <f t="shared" si="1843"/>
        <v>0.74</v>
      </c>
      <c r="CW1417" s="1" t="s">
        <v>1198</v>
      </c>
      <c r="CX1417" s="311" t="str">
        <f t="shared" si="1844"/>
        <v>reg</v>
      </c>
      <c r="CY1417" t="s">
        <v>428</v>
      </c>
      <c r="DB1417">
        <v>0</v>
      </c>
      <c r="DC1417" t="str">
        <f t="shared" si="1845"/>
        <v>0</v>
      </c>
      <c r="DD1417">
        <v>0</v>
      </c>
      <c r="DE1417">
        <v>1</v>
      </c>
      <c r="DF1417">
        <v>0</v>
      </c>
      <c r="DG1417">
        <v>0</v>
      </c>
      <c r="DI1417">
        <f t="shared" si="1846"/>
        <v>1</v>
      </c>
      <c r="DJ1417" t="str">
        <f t="shared" si="1847"/>
        <v>EnergyInput</v>
      </c>
      <c r="DK1417">
        <f t="shared" si="1848"/>
        <v>0</v>
      </c>
      <c r="DL1417" t="str">
        <f t="shared" si="1849"/>
        <v>Energy</v>
      </c>
      <c r="DM1417">
        <f t="shared" si="1850"/>
        <v>0</v>
      </c>
      <c r="DN1417">
        <f t="shared" si="1851"/>
        <v>0</v>
      </c>
      <c r="DO1417">
        <v>1</v>
      </c>
      <c r="DP1417">
        <v>0</v>
      </c>
      <c r="DQ1417">
        <v>0</v>
      </c>
      <c r="DR1417">
        <v>0</v>
      </c>
      <c r="DS1417">
        <v>0</v>
      </c>
      <c r="DT1417">
        <f t="shared" si="1852"/>
        <v>1</v>
      </c>
      <c r="DU1417" s="143" t="str">
        <f t="shared" si="1853"/>
        <v>self-calculated DF</v>
      </c>
      <c r="DV1417">
        <v>0</v>
      </c>
      <c r="DW1417">
        <v>0</v>
      </c>
      <c r="DX1417">
        <v>0</v>
      </c>
      <c r="DY1417">
        <v>0</v>
      </c>
      <c r="DZ1417">
        <v>0</v>
      </c>
      <c r="EA1417" s="143">
        <v>0</v>
      </c>
      <c r="EB1417">
        <v>1</v>
      </c>
      <c r="EC1417">
        <v>1</v>
      </c>
      <c r="ED1417">
        <v>0</v>
      </c>
      <c r="EE1417">
        <v>1</v>
      </c>
      <c r="EF1417">
        <v>0</v>
      </c>
      <c r="EG1417">
        <v>0</v>
      </c>
      <c r="EH1417">
        <v>0</v>
      </c>
      <c r="EI1417" s="2">
        <v>0</v>
      </c>
      <c r="EK1417" t="str">
        <f t="shared" si="1859"/>
        <v/>
      </c>
      <c r="EL1417" t="str">
        <f t="shared" si="1860"/>
        <v/>
      </c>
      <c r="EM1417" s="2" t="str">
        <f t="shared" si="1821"/>
        <v>Technology approach</v>
      </c>
      <c r="EP1417" t="b">
        <f>IF(ISNUMBER(BU1417),IF(ABS(BU1417-[1]QC_indicators!$B$2)&gt;3*[1]QC_indicators!$C$2,"C ratio",IF(ISNUMBER(BY1417),IF(ABS(BY1417-[1]QC_indicators!$B$1)&gt;3*[1]QC_indicators!$C$1,"DF","no"))),IF(ISNUMBER(BY1417),IF(ABS(BY1417-[1]QC_indicators!$B$1)&gt;3*[1]QC_indicators!$C$1,"DF","no")))</f>
        <v>0</v>
      </c>
      <c r="ER1417" s="313" t="s">
        <v>349</v>
      </c>
    </row>
    <row r="1418" spans="1:150" ht="15" hidden="1" customHeight="1">
      <c r="A1418" s="1" t="s">
        <v>4126</v>
      </c>
      <c r="B1418" t="s">
        <v>4127</v>
      </c>
      <c r="C1418" t="s">
        <v>4128</v>
      </c>
      <c r="D1418" t="s">
        <v>4129</v>
      </c>
      <c r="E1418" t="s">
        <v>4130</v>
      </c>
      <c r="F1418" t="s">
        <v>4131</v>
      </c>
      <c r="G1418" t="s">
        <v>4132</v>
      </c>
      <c r="H1418" t="s">
        <v>254</v>
      </c>
      <c r="I1418">
        <v>2014</v>
      </c>
      <c r="J1418">
        <v>4</v>
      </c>
      <c r="K1418" t="s">
        <v>4133</v>
      </c>
      <c r="M1418" t="str">
        <f t="shared" si="1856"/>
        <v>Saah_2014</v>
      </c>
      <c r="N1418" s="311" t="s">
        <v>4382</v>
      </c>
      <c r="O1418" s="145" t="s">
        <v>341</v>
      </c>
      <c r="Q1418" s="311" t="s">
        <v>256</v>
      </c>
      <c r="R1418" s="312"/>
      <c r="S1418" s="1" t="s">
        <v>4139</v>
      </c>
      <c r="T1418" t="s">
        <v>1110</v>
      </c>
      <c r="U1418" t="e">
        <f>#REF!</f>
        <v>#REF!</v>
      </c>
      <c r="V1418">
        <v>2</v>
      </c>
      <c r="W1418">
        <v>1</v>
      </c>
      <c r="X1418">
        <v>0</v>
      </c>
      <c r="Y1418">
        <v>2</v>
      </c>
      <c r="Z1418">
        <v>0</v>
      </c>
      <c r="AA1418">
        <v>0</v>
      </c>
      <c r="AB1418">
        <v>0</v>
      </c>
      <c r="AC1418">
        <v>0</v>
      </c>
      <c r="AD1418">
        <v>0</v>
      </c>
      <c r="AE1418">
        <v>0</v>
      </c>
      <c r="AF1418">
        <v>2</v>
      </c>
      <c r="AG1418">
        <v>0</v>
      </c>
      <c r="AH1418">
        <v>0</v>
      </c>
      <c r="AI1418">
        <v>0</v>
      </c>
      <c r="AJ1418">
        <v>0</v>
      </c>
      <c r="AK1418">
        <v>0</v>
      </c>
      <c r="AL1418">
        <v>0</v>
      </c>
      <c r="AM1418">
        <v>0</v>
      </c>
      <c r="AN1418">
        <v>0</v>
      </c>
      <c r="AO1418">
        <v>0</v>
      </c>
      <c r="AP1418">
        <v>0</v>
      </c>
      <c r="AQ1418">
        <v>0</v>
      </c>
      <c r="AR1418">
        <v>0</v>
      </c>
      <c r="AS1418">
        <v>0</v>
      </c>
      <c r="AT1418">
        <v>0</v>
      </c>
      <c r="AU1418">
        <v>0</v>
      </c>
      <c r="AV1418">
        <v>0</v>
      </c>
      <c r="AW1418">
        <v>0</v>
      </c>
      <c r="AX1418" s="141">
        <f t="shared" si="1822"/>
        <v>4</v>
      </c>
      <c r="AY1418" s="141">
        <f t="shared" si="1823"/>
        <v>4</v>
      </c>
      <c r="AZ1418">
        <f t="shared" si="1824"/>
        <v>3</v>
      </c>
      <c r="BA1418">
        <f t="shared" si="1825"/>
        <v>1</v>
      </c>
      <c r="BB1418">
        <f t="shared" si="1826"/>
        <v>0</v>
      </c>
      <c r="BC1418">
        <f t="shared" si="1827"/>
        <v>0</v>
      </c>
      <c r="BD1418">
        <f t="shared" si="1828"/>
        <v>0</v>
      </c>
      <c r="BE1418" t="str" cm="1">
        <f t="array" ref="BE1418">IF(AY1418=1,INDEX($V$7:$AL$7,MATCH(TRUE,INDEX($V1418:$AW1418&lt;&gt;0,),0)),IF(AY1418=0,INDEX($AM$7:$AW$7,MATCH(1,$AM1418:$AW1418,0)),IF(BF1418="Multiple strategies","mixed drivers",IF(BF1418="Supply chain","multiple supply","multiple silviculture"))))</f>
        <v>mixed drivers</v>
      </c>
      <c r="BF1418" s="2" t="str" cm="1">
        <f t="array" ref="BF1418">IF(COUNTIF(AZ1418:BB1418,"&lt;&gt;0")=1,INDEX($V$4:$AW$4,MATCH(TRUE,INDEX($V1418:$AW1418&lt;&gt;0,),0)),IF(COUNTIF(AZ1418:BB1418,"&lt;&gt;0")=0,INDEX($AM$4:$AW$4,MATCH(1,$AM1418:$AW1418,0)),"Multiple strategies"))</f>
        <v>Multiple strategies</v>
      </c>
      <c r="BP1418" s="311" t="s">
        <v>232</v>
      </c>
      <c r="BQ1418" s="311"/>
      <c r="BR1418" s="311" t="s">
        <v>4135</v>
      </c>
      <c r="BS1418">
        <v>-56406</v>
      </c>
      <c r="BT1418">
        <v>-15229.62</v>
      </c>
      <c r="BU1418" s="144">
        <v>0.27</v>
      </c>
      <c r="BV1418">
        <v>41176.379999999997</v>
      </c>
      <c r="BX1418">
        <f t="shared" si="1857"/>
        <v>41176.379999999997</v>
      </c>
      <c r="BY1418" t="str">
        <f t="shared" si="1820"/>
        <v/>
      </c>
      <c r="BZ1418">
        <v>0</v>
      </c>
      <c r="CA1418">
        <v>1</v>
      </c>
      <c r="CB1418">
        <v>0</v>
      </c>
      <c r="CC1418">
        <v>1</v>
      </c>
      <c r="CD1418">
        <v>0</v>
      </c>
      <c r="CE1418">
        <v>0</v>
      </c>
      <c r="CF1418">
        <v>0</v>
      </c>
      <c r="CG1418">
        <v>0</v>
      </c>
      <c r="CH1418">
        <v>0</v>
      </c>
      <c r="CI1418">
        <v>0</v>
      </c>
      <c r="CJ1418">
        <v>0</v>
      </c>
      <c r="CK1418">
        <v>0</v>
      </c>
      <c r="CL1418">
        <v>1</v>
      </c>
      <c r="CM1418">
        <v>0</v>
      </c>
      <c r="CN1418" t="str">
        <f t="shared" si="1858"/>
        <v>refOK</v>
      </c>
      <c r="CO1418"/>
      <c r="CP1418"/>
      <c r="CQ1418"/>
      <c r="CR1418">
        <f t="shared" si="1839"/>
        <v>-56406</v>
      </c>
      <c r="CS1418">
        <f t="shared" si="1840"/>
        <v>-15229.62</v>
      </c>
      <c r="CT1418">
        <f t="shared" si="1841"/>
        <v>41176.379999999997</v>
      </c>
      <c r="CU1418" t="str">
        <f t="shared" si="1842"/>
        <v/>
      </c>
      <c r="CV1418" s="2">
        <f t="shared" si="1843"/>
        <v>0.73</v>
      </c>
      <c r="CW1418" s="1" t="s">
        <v>1198</v>
      </c>
      <c r="CX1418" s="311" t="str">
        <f t="shared" si="1844"/>
        <v>reg</v>
      </c>
      <c r="CY1418" t="s">
        <v>428</v>
      </c>
      <c r="DB1418">
        <v>0</v>
      </c>
      <c r="DC1418" t="str">
        <f t="shared" si="1845"/>
        <v>0</v>
      </c>
      <c r="DD1418">
        <v>0</v>
      </c>
      <c r="DE1418">
        <v>1</v>
      </c>
      <c r="DF1418">
        <v>0</v>
      </c>
      <c r="DG1418">
        <v>0</v>
      </c>
      <c r="DI1418">
        <f t="shared" si="1846"/>
        <v>1</v>
      </c>
      <c r="DJ1418" t="str">
        <f t="shared" si="1847"/>
        <v>EnergyInput</v>
      </c>
      <c r="DK1418">
        <f t="shared" si="1848"/>
        <v>0</v>
      </c>
      <c r="DL1418" t="str">
        <f t="shared" si="1849"/>
        <v>Energy</v>
      </c>
      <c r="DM1418">
        <f t="shared" si="1850"/>
        <v>0</v>
      </c>
      <c r="DN1418">
        <f t="shared" si="1851"/>
        <v>0</v>
      </c>
      <c r="DO1418">
        <v>1</v>
      </c>
      <c r="DP1418">
        <v>0</v>
      </c>
      <c r="DQ1418">
        <v>0</v>
      </c>
      <c r="DR1418">
        <v>0</v>
      </c>
      <c r="DS1418">
        <v>0</v>
      </c>
      <c r="DT1418">
        <f t="shared" si="1852"/>
        <v>1</v>
      </c>
      <c r="DU1418" s="143" t="str">
        <f t="shared" si="1853"/>
        <v>self-calculated DF</v>
      </c>
      <c r="DV1418">
        <v>0</v>
      </c>
      <c r="DW1418">
        <v>0</v>
      </c>
      <c r="DX1418">
        <v>0</v>
      </c>
      <c r="DY1418">
        <v>0</v>
      </c>
      <c r="DZ1418">
        <v>0</v>
      </c>
      <c r="EA1418" s="143">
        <v>0</v>
      </c>
      <c r="EB1418">
        <v>1</v>
      </c>
      <c r="EC1418">
        <v>1</v>
      </c>
      <c r="ED1418">
        <v>0</v>
      </c>
      <c r="EE1418">
        <v>1</v>
      </c>
      <c r="EF1418">
        <v>0</v>
      </c>
      <c r="EG1418">
        <v>0</v>
      </c>
      <c r="EH1418">
        <v>0</v>
      </c>
      <c r="EI1418" s="2">
        <v>0</v>
      </c>
      <c r="EK1418" t="str">
        <f t="shared" si="1859"/>
        <v/>
      </c>
      <c r="EL1418" t="str">
        <f t="shared" si="1860"/>
        <v/>
      </c>
      <c r="EM1418" s="2" t="str">
        <f t="shared" si="1821"/>
        <v>Technology approach</v>
      </c>
      <c r="EP1418" t="b">
        <f>IF(ISNUMBER(BU1418),IF(ABS(BU1418-[1]QC_indicators!$B$2)&gt;3*[1]QC_indicators!$C$2,"C ratio",IF(ISNUMBER(BY1418),IF(ABS(BY1418-[1]QC_indicators!$B$1)&gt;3*[1]QC_indicators!$C$1,"DF","no"))),IF(ISNUMBER(BY1418),IF(ABS(BY1418-[1]QC_indicators!$B$1)&gt;3*[1]QC_indicators!$C$1,"DF","no")))</f>
        <v>0</v>
      </c>
      <c r="ER1418" s="313" t="s">
        <v>349</v>
      </c>
    </row>
    <row r="1419" spans="1:150" ht="15" hidden="1" customHeight="1">
      <c r="A1419" s="1" t="s">
        <v>4126</v>
      </c>
      <c r="B1419" t="s">
        <v>4127</v>
      </c>
      <c r="C1419" t="s">
        <v>4128</v>
      </c>
      <c r="D1419" t="s">
        <v>4129</v>
      </c>
      <c r="E1419" t="s">
        <v>4130</v>
      </c>
      <c r="F1419" t="s">
        <v>4131</v>
      </c>
      <c r="G1419" t="s">
        <v>4132</v>
      </c>
      <c r="H1419" t="s">
        <v>254</v>
      </c>
      <c r="I1419">
        <v>2014</v>
      </c>
      <c r="J1419">
        <v>4</v>
      </c>
      <c r="K1419" t="s">
        <v>4133</v>
      </c>
      <c r="M1419" t="str">
        <f t="shared" si="1856"/>
        <v>Saah_2014</v>
      </c>
      <c r="N1419" s="311" t="s">
        <v>4382</v>
      </c>
      <c r="O1419" s="145" t="s">
        <v>341</v>
      </c>
      <c r="Q1419" s="311" t="s">
        <v>256</v>
      </c>
      <c r="R1419" s="312"/>
      <c r="S1419" s="1" t="s">
        <v>4140</v>
      </c>
      <c r="T1419" t="s">
        <v>1110</v>
      </c>
      <c r="U1419" t="e">
        <f>#REF!</f>
        <v>#REF!</v>
      </c>
      <c r="V1419">
        <v>2</v>
      </c>
      <c r="W1419">
        <v>1</v>
      </c>
      <c r="X1419">
        <v>0</v>
      </c>
      <c r="Y1419">
        <v>2</v>
      </c>
      <c r="Z1419">
        <v>0</v>
      </c>
      <c r="AA1419">
        <v>0</v>
      </c>
      <c r="AB1419">
        <v>0</v>
      </c>
      <c r="AC1419">
        <v>0</v>
      </c>
      <c r="AD1419">
        <v>0</v>
      </c>
      <c r="AE1419">
        <v>0</v>
      </c>
      <c r="AF1419">
        <v>2</v>
      </c>
      <c r="AG1419">
        <v>0</v>
      </c>
      <c r="AH1419">
        <v>0</v>
      </c>
      <c r="AI1419">
        <v>0</v>
      </c>
      <c r="AJ1419">
        <v>0</v>
      </c>
      <c r="AK1419">
        <v>0</v>
      </c>
      <c r="AL1419">
        <v>0</v>
      </c>
      <c r="AM1419">
        <v>0</v>
      </c>
      <c r="AN1419">
        <v>0</v>
      </c>
      <c r="AO1419">
        <v>0</v>
      </c>
      <c r="AP1419">
        <v>0</v>
      </c>
      <c r="AQ1419">
        <v>0</v>
      </c>
      <c r="AR1419">
        <v>0</v>
      </c>
      <c r="AS1419">
        <v>0</v>
      </c>
      <c r="AT1419">
        <v>0</v>
      </c>
      <c r="AU1419">
        <v>0</v>
      </c>
      <c r="AV1419">
        <v>0</v>
      </c>
      <c r="AW1419">
        <v>0</v>
      </c>
      <c r="AX1419" s="141">
        <f t="shared" si="1822"/>
        <v>4</v>
      </c>
      <c r="AY1419" s="141">
        <f t="shared" si="1823"/>
        <v>4</v>
      </c>
      <c r="AZ1419">
        <f t="shared" si="1824"/>
        <v>3</v>
      </c>
      <c r="BA1419">
        <f t="shared" si="1825"/>
        <v>1</v>
      </c>
      <c r="BB1419">
        <f t="shared" si="1826"/>
        <v>0</v>
      </c>
      <c r="BC1419">
        <f t="shared" si="1827"/>
        <v>0</v>
      </c>
      <c r="BD1419">
        <f t="shared" si="1828"/>
        <v>0</v>
      </c>
      <c r="BE1419" t="str" cm="1">
        <f t="array" ref="BE1419">IF(AY1419=1,INDEX($V$7:$AL$7,MATCH(TRUE,INDEX($V1419:$AW1419&lt;&gt;0,),0)),IF(AY1419=0,INDEX($AM$7:$AW$7,MATCH(1,$AM1419:$AW1419,0)),IF(BF1419="Multiple strategies","mixed drivers",IF(BF1419="Supply chain","multiple supply","multiple silviculture"))))</f>
        <v>mixed drivers</v>
      </c>
      <c r="BF1419" s="2" t="str" cm="1">
        <f t="array" ref="BF1419">IF(COUNTIF(AZ1419:BB1419,"&lt;&gt;0")=1,INDEX($V$4:$AW$4,MATCH(TRUE,INDEX($V1419:$AW1419&lt;&gt;0,),0)),IF(COUNTIF(AZ1419:BB1419,"&lt;&gt;0")=0,INDEX($AM$4:$AW$4,MATCH(1,$AM1419:$AW1419,0)),"Multiple strategies"))</f>
        <v>Multiple strategies</v>
      </c>
      <c r="BP1419" s="311" t="s">
        <v>232</v>
      </c>
      <c r="BQ1419" s="311"/>
      <c r="BR1419" s="311" t="s">
        <v>4135</v>
      </c>
      <c r="BS1419">
        <v>-56406</v>
      </c>
      <c r="BT1419">
        <v>-18049.920000000002</v>
      </c>
      <c r="BU1419" s="144">
        <v>0.32</v>
      </c>
      <c r="BV1419">
        <v>38356.080000000002</v>
      </c>
      <c r="BX1419">
        <f t="shared" si="1857"/>
        <v>38356.080000000002</v>
      </c>
      <c r="BY1419" t="str">
        <f t="shared" si="1820"/>
        <v/>
      </c>
      <c r="BZ1419">
        <v>0</v>
      </c>
      <c r="CA1419">
        <v>1</v>
      </c>
      <c r="CB1419">
        <v>0</v>
      </c>
      <c r="CC1419">
        <v>1</v>
      </c>
      <c r="CD1419">
        <v>0</v>
      </c>
      <c r="CE1419">
        <v>0</v>
      </c>
      <c r="CF1419">
        <v>0</v>
      </c>
      <c r="CG1419">
        <v>0</v>
      </c>
      <c r="CH1419">
        <v>0</v>
      </c>
      <c r="CI1419">
        <v>0</v>
      </c>
      <c r="CJ1419">
        <v>0</v>
      </c>
      <c r="CK1419">
        <v>0</v>
      </c>
      <c r="CL1419">
        <v>1</v>
      </c>
      <c r="CM1419">
        <v>0</v>
      </c>
      <c r="CN1419" t="str">
        <f t="shared" si="1858"/>
        <v>refOK</v>
      </c>
      <c r="CO1419"/>
      <c r="CP1419"/>
      <c r="CQ1419"/>
      <c r="CR1419">
        <f t="shared" si="1839"/>
        <v>-56406</v>
      </c>
      <c r="CS1419">
        <f t="shared" si="1840"/>
        <v>-18049.920000000002</v>
      </c>
      <c r="CT1419">
        <f t="shared" si="1841"/>
        <v>38356.080000000002</v>
      </c>
      <c r="CU1419" t="str">
        <f t="shared" si="1842"/>
        <v/>
      </c>
      <c r="CV1419" s="2">
        <f t="shared" si="1843"/>
        <v>0.68</v>
      </c>
      <c r="CW1419" s="1" t="s">
        <v>1198</v>
      </c>
      <c r="CX1419" s="311" t="str">
        <f t="shared" si="1844"/>
        <v>reg</v>
      </c>
      <c r="CY1419" t="s">
        <v>428</v>
      </c>
      <c r="DB1419">
        <v>0</v>
      </c>
      <c r="DC1419" t="str">
        <f t="shared" si="1845"/>
        <v>0</v>
      </c>
      <c r="DD1419">
        <v>0</v>
      </c>
      <c r="DE1419">
        <v>1</v>
      </c>
      <c r="DF1419">
        <v>0</v>
      </c>
      <c r="DG1419">
        <v>0</v>
      </c>
      <c r="DI1419">
        <f t="shared" si="1846"/>
        <v>1</v>
      </c>
      <c r="DJ1419" t="str">
        <f t="shared" si="1847"/>
        <v>EnergyInput</v>
      </c>
      <c r="DK1419">
        <f t="shared" si="1848"/>
        <v>0</v>
      </c>
      <c r="DL1419" t="str">
        <f t="shared" si="1849"/>
        <v>Energy</v>
      </c>
      <c r="DM1419">
        <f t="shared" si="1850"/>
        <v>0</v>
      </c>
      <c r="DN1419">
        <f t="shared" si="1851"/>
        <v>0</v>
      </c>
      <c r="DO1419">
        <v>1</v>
      </c>
      <c r="DP1419">
        <v>0</v>
      </c>
      <c r="DQ1419">
        <v>0</v>
      </c>
      <c r="DR1419">
        <v>0</v>
      </c>
      <c r="DS1419">
        <v>0</v>
      </c>
      <c r="DT1419">
        <f t="shared" si="1852"/>
        <v>1</v>
      </c>
      <c r="DU1419" s="143" t="str">
        <f t="shared" si="1853"/>
        <v>self-calculated DF</v>
      </c>
      <c r="DV1419">
        <v>0</v>
      </c>
      <c r="DW1419">
        <v>0</v>
      </c>
      <c r="DX1419">
        <v>0</v>
      </c>
      <c r="DY1419">
        <v>0</v>
      </c>
      <c r="DZ1419">
        <v>0</v>
      </c>
      <c r="EA1419" s="143">
        <v>0</v>
      </c>
      <c r="EB1419">
        <v>1</v>
      </c>
      <c r="EC1419">
        <v>1</v>
      </c>
      <c r="ED1419">
        <v>0</v>
      </c>
      <c r="EE1419">
        <v>1</v>
      </c>
      <c r="EF1419">
        <v>0</v>
      </c>
      <c r="EG1419">
        <v>0</v>
      </c>
      <c r="EH1419">
        <v>0</v>
      </c>
      <c r="EI1419" s="2">
        <v>0</v>
      </c>
      <c r="EK1419" t="str">
        <f t="shared" si="1859"/>
        <v/>
      </c>
      <c r="EL1419" t="str">
        <f t="shared" si="1860"/>
        <v/>
      </c>
      <c r="EM1419" s="2" t="str">
        <f t="shared" si="1821"/>
        <v>Technology approach</v>
      </c>
      <c r="EP1419" t="b">
        <f>IF(ISNUMBER(BU1419),IF(ABS(BU1419-[1]QC_indicators!$B$2)&gt;3*[1]QC_indicators!$C$2,"C ratio",IF(ISNUMBER(BY1419),IF(ABS(BY1419-[1]QC_indicators!$B$1)&gt;3*[1]QC_indicators!$C$1,"DF","no"))),IF(ISNUMBER(BY1419),IF(ABS(BY1419-[1]QC_indicators!$B$1)&gt;3*[1]QC_indicators!$C$1,"DF","no")))</f>
        <v>0</v>
      </c>
      <c r="ER1419" s="313" t="s">
        <v>349</v>
      </c>
    </row>
    <row r="1420" spans="1:150" ht="15" hidden="1" customHeight="1">
      <c r="A1420" s="1" t="s">
        <v>4126</v>
      </c>
      <c r="B1420" t="s">
        <v>4127</v>
      </c>
      <c r="C1420" t="s">
        <v>4128</v>
      </c>
      <c r="D1420" t="s">
        <v>4129</v>
      </c>
      <c r="E1420" t="s">
        <v>4130</v>
      </c>
      <c r="F1420" t="s">
        <v>4131</v>
      </c>
      <c r="G1420" t="s">
        <v>4132</v>
      </c>
      <c r="H1420" t="s">
        <v>254</v>
      </c>
      <c r="I1420">
        <v>2014</v>
      </c>
      <c r="J1420">
        <v>4</v>
      </c>
      <c r="K1420" t="s">
        <v>4133</v>
      </c>
      <c r="M1420" t="str">
        <f t="shared" si="1856"/>
        <v>Saah_2014</v>
      </c>
      <c r="N1420" s="311" t="s">
        <v>4382</v>
      </c>
      <c r="O1420" s="145" t="s">
        <v>341</v>
      </c>
      <c r="Q1420" s="311" t="s">
        <v>256</v>
      </c>
      <c r="R1420" s="312"/>
      <c r="S1420" s="1" t="s">
        <v>4141</v>
      </c>
      <c r="T1420" t="s">
        <v>1110</v>
      </c>
      <c r="U1420" t="e">
        <f>#REF!</f>
        <v>#REF!</v>
      </c>
      <c r="V1420">
        <v>2</v>
      </c>
      <c r="W1420">
        <v>1</v>
      </c>
      <c r="X1420">
        <v>0</v>
      </c>
      <c r="Y1420">
        <v>2</v>
      </c>
      <c r="Z1420">
        <v>0</v>
      </c>
      <c r="AA1420">
        <v>0</v>
      </c>
      <c r="AB1420">
        <v>0</v>
      </c>
      <c r="AC1420">
        <v>0</v>
      </c>
      <c r="AD1420">
        <v>0</v>
      </c>
      <c r="AE1420">
        <v>0</v>
      </c>
      <c r="AF1420">
        <v>2</v>
      </c>
      <c r="AG1420">
        <v>0</v>
      </c>
      <c r="AH1420">
        <v>0</v>
      </c>
      <c r="AI1420">
        <v>0</v>
      </c>
      <c r="AJ1420">
        <v>0</v>
      </c>
      <c r="AK1420">
        <v>0</v>
      </c>
      <c r="AL1420">
        <v>0</v>
      </c>
      <c r="AM1420">
        <v>0</v>
      </c>
      <c r="AN1420">
        <v>0</v>
      </c>
      <c r="AO1420">
        <v>0</v>
      </c>
      <c r="AP1420">
        <v>0</v>
      </c>
      <c r="AQ1420">
        <v>0</v>
      </c>
      <c r="AR1420">
        <v>0</v>
      </c>
      <c r="AS1420">
        <v>0</v>
      </c>
      <c r="AT1420">
        <v>0</v>
      </c>
      <c r="AU1420">
        <v>0</v>
      </c>
      <c r="AV1420">
        <v>0</v>
      </c>
      <c r="AW1420">
        <v>0</v>
      </c>
      <c r="AX1420" s="141">
        <f t="shared" si="1822"/>
        <v>4</v>
      </c>
      <c r="AY1420" s="141">
        <f t="shared" si="1823"/>
        <v>4</v>
      </c>
      <c r="AZ1420">
        <f t="shared" si="1824"/>
        <v>3</v>
      </c>
      <c r="BA1420">
        <f t="shared" si="1825"/>
        <v>1</v>
      </c>
      <c r="BB1420">
        <f t="shared" si="1826"/>
        <v>0</v>
      </c>
      <c r="BC1420">
        <f t="shared" si="1827"/>
        <v>0</v>
      </c>
      <c r="BD1420">
        <f t="shared" si="1828"/>
        <v>0</v>
      </c>
      <c r="BE1420" t="str" cm="1">
        <f t="array" ref="BE1420">IF(AY1420=1,INDEX($V$7:$AL$7,MATCH(TRUE,INDEX($V1420:$AW1420&lt;&gt;0,),0)),IF(AY1420=0,INDEX($AM$7:$AW$7,MATCH(1,$AM1420:$AW1420,0)),IF(BF1420="Multiple strategies","mixed drivers",IF(BF1420="Supply chain","multiple supply","multiple silviculture"))))</f>
        <v>mixed drivers</v>
      </c>
      <c r="BF1420" s="2" t="str" cm="1">
        <f t="array" ref="BF1420">IF(COUNTIF(AZ1420:BB1420,"&lt;&gt;0")=1,INDEX($V$4:$AW$4,MATCH(TRUE,INDEX($V1420:$AW1420&lt;&gt;0,),0)),IF(COUNTIF(AZ1420:BB1420,"&lt;&gt;0")=0,INDEX($AM$4:$AW$4,MATCH(1,$AM1420:$AW1420,0)),"Multiple strategies"))</f>
        <v>Multiple strategies</v>
      </c>
      <c r="BP1420" s="311" t="s">
        <v>232</v>
      </c>
      <c r="BQ1420" s="311"/>
      <c r="BR1420" s="311" t="s">
        <v>4135</v>
      </c>
      <c r="BS1420">
        <v>-56406</v>
      </c>
      <c r="BT1420">
        <v>-18049.920000000002</v>
      </c>
      <c r="BU1420" s="144">
        <v>0.32</v>
      </c>
      <c r="BV1420">
        <v>38356.080000000002</v>
      </c>
      <c r="BX1420">
        <f t="shared" si="1857"/>
        <v>38356.080000000002</v>
      </c>
      <c r="BY1420" t="str">
        <f t="shared" si="1820"/>
        <v/>
      </c>
      <c r="BZ1420">
        <v>0</v>
      </c>
      <c r="CA1420">
        <v>1</v>
      </c>
      <c r="CB1420">
        <v>0</v>
      </c>
      <c r="CC1420">
        <v>1</v>
      </c>
      <c r="CD1420">
        <v>0</v>
      </c>
      <c r="CE1420">
        <v>0</v>
      </c>
      <c r="CF1420">
        <v>0</v>
      </c>
      <c r="CG1420">
        <v>0</v>
      </c>
      <c r="CH1420">
        <v>0</v>
      </c>
      <c r="CI1420">
        <v>0</v>
      </c>
      <c r="CJ1420">
        <v>0</v>
      </c>
      <c r="CK1420">
        <v>0</v>
      </c>
      <c r="CL1420">
        <v>1</v>
      </c>
      <c r="CM1420">
        <v>0</v>
      </c>
      <c r="CN1420" t="str">
        <f t="shared" si="1858"/>
        <v>refOK</v>
      </c>
      <c r="CO1420"/>
      <c r="CP1420"/>
      <c r="CQ1420"/>
      <c r="CR1420">
        <f t="shared" si="1839"/>
        <v>-56406</v>
      </c>
      <c r="CS1420">
        <f t="shared" si="1840"/>
        <v>-18049.920000000002</v>
      </c>
      <c r="CT1420">
        <f t="shared" si="1841"/>
        <v>38356.080000000002</v>
      </c>
      <c r="CU1420" t="str">
        <f t="shared" si="1842"/>
        <v/>
      </c>
      <c r="CV1420" s="2">
        <f t="shared" si="1843"/>
        <v>0.68</v>
      </c>
      <c r="CW1420" s="1" t="s">
        <v>1198</v>
      </c>
      <c r="CX1420" s="311" t="str">
        <f t="shared" si="1844"/>
        <v>reg</v>
      </c>
      <c r="CY1420" t="s">
        <v>428</v>
      </c>
      <c r="DB1420">
        <v>0</v>
      </c>
      <c r="DC1420" t="str">
        <f t="shared" si="1845"/>
        <v>0</v>
      </c>
      <c r="DD1420">
        <v>0</v>
      </c>
      <c r="DE1420">
        <v>1</v>
      </c>
      <c r="DF1420">
        <v>0</v>
      </c>
      <c r="DG1420">
        <v>0</v>
      </c>
      <c r="DI1420">
        <f t="shared" si="1846"/>
        <v>1</v>
      </c>
      <c r="DJ1420" t="str">
        <f t="shared" si="1847"/>
        <v>EnergyInput</v>
      </c>
      <c r="DK1420">
        <f t="shared" si="1848"/>
        <v>0</v>
      </c>
      <c r="DL1420" t="str">
        <f t="shared" si="1849"/>
        <v>Energy</v>
      </c>
      <c r="DM1420">
        <f t="shared" si="1850"/>
        <v>0</v>
      </c>
      <c r="DN1420">
        <f t="shared" si="1851"/>
        <v>0</v>
      </c>
      <c r="DO1420">
        <v>1</v>
      </c>
      <c r="DP1420">
        <v>0</v>
      </c>
      <c r="DQ1420">
        <v>0</v>
      </c>
      <c r="DR1420">
        <v>0</v>
      </c>
      <c r="DS1420">
        <v>0</v>
      </c>
      <c r="DT1420">
        <f t="shared" si="1852"/>
        <v>1</v>
      </c>
      <c r="DU1420" s="143" t="str">
        <f t="shared" si="1853"/>
        <v>self-calculated DF</v>
      </c>
      <c r="DV1420">
        <v>0</v>
      </c>
      <c r="DW1420">
        <v>0</v>
      </c>
      <c r="DX1420">
        <v>0</v>
      </c>
      <c r="DY1420">
        <v>0</v>
      </c>
      <c r="DZ1420">
        <v>0</v>
      </c>
      <c r="EA1420" s="143">
        <v>0</v>
      </c>
      <c r="EB1420">
        <v>1</v>
      </c>
      <c r="EC1420">
        <v>1</v>
      </c>
      <c r="ED1420">
        <v>0</v>
      </c>
      <c r="EE1420">
        <v>1</v>
      </c>
      <c r="EF1420">
        <v>0</v>
      </c>
      <c r="EG1420">
        <v>0</v>
      </c>
      <c r="EH1420">
        <v>0</v>
      </c>
      <c r="EI1420" s="2">
        <v>0</v>
      </c>
      <c r="EK1420" t="str">
        <f t="shared" si="1859"/>
        <v/>
      </c>
      <c r="EL1420" t="str">
        <f t="shared" si="1860"/>
        <v/>
      </c>
      <c r="EM1420" s="2" t="str">
        <f t="shared" si="1821"/>
        <v>Technology approach</v>
      </c>
      <c r="EP1420" t="b">
        <f>IF(ISNUMBER(BU1420),IF(ABS(BU1420-[1]QC_indicators!$B$2)&gt;3*[1]QC_indicators!$C$2,"C ratio",IF(ISNUMBER(BY1420),IF(ABS(BY1420-[1]QC_indicators!$B$1)&gt;3*[1]QC_indicators!$C$1,"DF","no"))),IF(ISNUMBER(BY1420),IF(ABS(BY1420-[1]QC_indicators!$B$1)&gt;3*[1]QC_indicators!$C$1,"DF","no")))</f>
        <v>0</v>
      </c>
      <c r="ER1420" s="313" t="s">
        <v>349</v>
      </c>
    </row>
    <row r="1421" spans="1:150" ht="15" hidden="1" customHeight="1">
      <c r="A1421" s="1" t="s">
        <v>4126</v>
      </c>
      <c r="B1421" t="s">
        <v>4127</v>
      </c>
      <c r="C1421" t="s">
        <v>4128</v>
      </c>
      <c r="D1421" t="s">
        <v>4129</v>
      </c>
      <c r="E1421" t="s">
        <v>4130</v>
      </c>
      <c r="F1421" t="s">
        <v>4131</v>
      </c>
      <c r="G1421" t="s">
        <v>4132</v>
      </c>
      <c r="H1421" t="s">
        <v>254</v>
      </c>
      <c r="I1421">
        <v>2014</v>
      </c>
      <c r="J1421">
        <v>4</v>
      </c>
      <c r="K1421" t="s">
        <v>4133</v>
      </c>
      <c r="M1421" t="str">
        <f t="shared" si="1856"/>
        <v>Saah_2014</v>
      </c>
      <c r="N1421" s="311" t="s">
        <v>4382</v>
      </c>
      <c r="O1421" s="145" t="s">
        <v>341</v>
      </c>
      <c r="Q1421" s="311" t="s">
        <v>256</v>
      </c>
      <c r="R1421" s="312"/>
      <c r="S1421" s="1" t="s">
        <v>4142</v>
      </c>
      <c r="T1421" t="s">
        <v>1110</v>
      </c>
      <c r="U1421" t="e">
        <f>#REF!</f>
        <v>#REF!</v>
      </c>
      <c r="V1421">
        <v>2</v>
      </c>
      <c r="W1421">
        <v>1</v>
      </c>
      <c r="X1421">
        <v>0</v>
      </c>
      <c r="Y1421">
        <v>2</v>
      </c>
      <c r="Z1421">
        <v>0</v>
      </c>
      <c r="AA1421">
        <v>0</v>
      </c>
      <c r="AB1421">
        <v>0</v>
      </c>
      <c r="AC1421">
        <v>0</v>
      </c>
      <c r="AD1421">
        <v>0</v>
      </c>
      <c r="AE1421">
        <v>0</v>
      </c>
      <c r="AF1421">
        <v>2</v>
      </c>
      <c r="AG1421">
        <v>0</v>
      </c>
      <c r="AH1421">
        <v>0</v>
      </c>
      <c r="AI1421">
        <v>0</v>
      </c>
      <c r="AJ1421">
        <v>0</v>
      </c>
      <c r="AK1421">
        <v>0</v>
      </c>
      <c r="AL1421">
        <v>0</v>
      </c>
      <c r="AM1421">
        <v>0</v>
      </c>
      <c r="AN1421">
        <v>0</v>
      </c>
      <c r="AO1421">
        <v>0</v>
      </c>
      <c r="AP1421">
        <v>0</v>
      </c>
      <c r="AQ1421">
        <v>0</v>
      </c>
      <c r="AR1421">
        <v>0</v>
      </c>
      <c r="AS1421">
        <v>0</v>
      </c>
      <c r="AT1421">
        <v>0</v>
      </c>
      <c r="AU1421">
        <v>0</v>
      </c>
      <c r="AV1421">
        <v>0</v>
      </c>
      <c r="AW1421">
        <v>0</v>
      </c>
      <c r="AX1421" s="141">
        <f t="shared" si="1822"/>
        <v>4</v>
      </c>
      <c r="AY1421" s="141">
        <f t="shared" si="1823"/>
        <v>4</v>
      </c>
      <c r="AZ1421">
        <f t="shared" si="1824"/>
        <v>3</v>
      </c>
      <c r="BA1421">
        <f t="shared" si="1825"/>
        <v>1</v>
      </c>
      <c r="BB1421">
        <f t="shared" si="1826"/>
        <v>0</v>
      </c>
      <c r="BC1421">
        <f t="shared" si="1827"/>
        <v>0</v>
      </c>
      <c r="BD1421">
        <f t="shared" si="1828"/>
        <v>0</v>
      </c>
      <c r="BE1421" t="str" cm="1">
        <f t="array" ref="BE1421">IF(AY1421=1,INDEX($V$7:$AL$7,MATCH(TRUE,INDEX($V1421:$AW1421&lt;&gt;0,),0)),IF(AY1421=0,INDEX($AM$7:$AW$7,MATCH(1,$AM1421:$AW1421,0)),IF(BF1421="Multiple strategies","mixed drivers",IF(BF1421="Supply chain","multiple supply","multiple silviculture"))))</f>
        <v>mixed drivers</v>
      </c>
      <c r="BF1421" s="2" t="str" cm="1">
        <f t="array" ref="BF1421">IF(COUNTIF(AZ1421:BB1421,"&lt;&gt;0")=1,INDEX($V$4:$AW$4,MATCH(TRUE,INDEX($V1421:$AW1421&lt;&gt;0,),0)),IF(COUNTIF(AZ1421:BB1421,"&lt;&gt;0")=0,INDEX($AM$4:$AW$4,MATCH(1,$AM1421:$AW1421,0)),"Multiple strategies"))</f>
        <v>Multiple strategies</v>
      </c>
      <c r="BP1421" s="311" t="s">
        <v>232</v>
      </c>
      <c r="BQ1421" s="311"/>
      <c r="BR1421" s="311" t="s">
        <v>4135</v>
      </c>
      <c r="BS1421">
        <v>-56406</v>
      </c>
      <c r="BT1421">
        <v>-18613.98</v>
      </c>
      <c r="BU1421" s="144">
        <v>0.33</v>
      </c>
      <c r="BV1421">
        <v>37792.020000000004</v>
      </c>
      <c r="BX1421">
        <f t="shared" si="1857"/>
        <v>37792.020000000004</v>
      </c>
      <c r="BY1421" t="str">
        <f t="shared" si="1820"/>
        <v/>
      </c>
      <c r="BZ1421">
        <v>0</v>
      </c>
      <c r="CA1421">
        <v>1</v>
      </c>
      <c r="CB1421">
        <v>0</v>
      </c>
      <c r="CC1421">
        <v>1</v>
      </c>
      <c r="CD1421">
        <v>0</v>
      </c>
      <c r="CE1421">
        <v>0</v>
      </c>
      <c r="CF1421">
        <v>0</v>
      </c>
      <c r="CG1421">
        <v>0</v>
      </c>
      <c r="CH1421">
        <v>0</v>
      </c>
      <c r="CI1421">
        <v>0</v>
      </c>
      <c r="CJ1421">
        <v>0</v>
      </c>
      <c r="CK1421">
        <v>0</v>
      </c>
      <c r="CL1421">
        <v>1</v>
      </c>
      <c r="CM1421">
        <v>0</v>
      </c>
      <c r="CN1421" t="str">
        <f t="shared" si="1858"/>
        <v>refOK</v>
      </c>
      <c r="CO1421"/>
      <c r="CP1421"/>
      <c r="CQ1421"/>
      <c r="CR1421">
        <f t="shared" si="1839"/>
        <v>-56406</v>
      </c>
      <c r="CS1421">
        <f t="shared" si="1840"/>
        <v>-18613.98</v>
      </c>
      <c r="CT1421">
        <f t="shared" si="1841"/>
        <v>37792.020000000004</v>
      </c>
      <c r="CU1421" t="str">
        <f t="shared" si="1842"/>
        <v/>
      </c>
      <c r="CV1421" s="2">
        <f t="shared" si="1843"/>
        <v>0.67</v>
      </c>
      <c r="CW1421" s="1" t="s">
        <v>1198</v>
      </c>
      <c r="CX1421" s="311" t="str">
        <f t="shared" si="1844"/>
        <v>reg</v>
      </c>
      <c r="CY1421" t="s">
        <v>428</v>
      </c>
      <c r="DB1421">
        <v>0</v>
      </c>
      <c r="DC1421" t="str">
        <f t="shared" si="1845"/>
        <v>0</v>
      </c>
      <c r="DD1421">
        <v>0</v>
      </c>
      <c r="DE1421">
        <v>1</v>
      </c>
      <c r="DF1421">
        <v>0</v>
      </c>
      <c r="DG1421">
        <v>0</v>
      </c>
      <c r="DI1421">
        <f t="shared" si="1846"/>
        <v>1</v>
      </c>
      <c r="DJ1421" t="str">
        <f t="shared" si="1847"/>
        <v>EnergyInput</v>
      </c>
      <c r="DK1421">
        <f t="shared" si="1848"/>
        <v>0</v>
      </c>
      <c r="DL1421" t="str">
        <f t="shared" si="1849"/>
        <v>Energy</v>
      </c>
      <c r="DM1421">
        <f t="shared" si="1850"/>
        <v>0</v>
      </c>
      <c r="DN1421">
        <f t="shared" si="1851"/>
        <v>0</v>
      </c>
      <c r="DO1421">
        <v>1</v>
      </c>
      <c r="DP1421">
        <v>0</v>
      </c>
      <c r="DQ1421">
        <v>0</v>
      </c>
      <c r="DR1421">
        <v>0</v>
      </c>
      <c r="DS1421">
        <v>0</v>
      </c>
      <c r="DT1421">
        <f t="shared" si="1852"/>
        <v>1</v>
      </c>
      <c r="DU1421" s="143" t="str">
        <f t="shared" si="1853"/>
        <v>self-calculated DF</v>
      </c>
      <c r="DV1421">
        <v>0</v>
      </c>
      <c r="DW1421">
        <v>0</v>
      </c>
      <c r="DX1421">
        <v>0</v>
      </c>
      <c r="DY1421">
        <v>0</v>
      </c>
      <c r="DZ1421">
        <v>0</v>
      </c>
      <c r="EA1421" s="143">
        <v>0</v>
      </c>
      <c r="EB1421">
        <v>1</v>
      </c>
      <c r="EC1421">
        <v>1</v>
      </c>
      <c r="ED1421">
        <v>0</v>
      </c>
      <c r="EE1421">
        <v>1</v>
      </c>
      <c r="EF1421">
        <v>0</v>
      </c>
      <c r="EG1421">
        <v>0</v>
      </c>
      <c r="EH1421">
        <v>0</v>
      </c>
      <c r="EI1421" s="2">
        <v>0</v>
      </c>
      <c r="EK1421" t="str">
        <f t="shared" si="1859"/>
        <v/>
      </c>
      <c r="EL1421" t="str">
        <f t="shared" si="1860"/>
        <v/>
      </c>
      <c r="EM1421" s="2" t="str">
        <f t="shared" si="1821"/>
        <v>Technology approach</v>
      </c>
      <c r="EP1421" t="b">
        <f>IF(ISNUMBER(BU1421),IF(ABS(BU1421-[1]QC_indicators!$B$2)&gt;3*[1]QC_indicators!$C$2,"C ratio",IF(ISNUMBER(BY1421),IF(ABS(BY1421-[1]QC_indicators!$B$1)&gt;3*[1]QC_indicators!$C$1,"DF","no"))),IF(ISNUMBER(BY1421),IF(ABS(BY1421-[1]QC_indicators!$B$1)&gt;3*[1]QC_indicators!$C$1,"DF","no")))</f>
        <v>0</v>
      </c>
      <c r="ER1421" s="313" t="s">
        <v>349</v>
      </c>
    </row>
    <row r="1422" spans="1:150" ht="15" hidden="1" customHeight="1">
      <c r="A1422" s="1" t="s">
        <v>4126</v>
      </c>
      <c r="B1422" t="s">
        <v>4127</v>
      </c>
      <c r="C1422" t="s">
        <v>4128</v>
      </c>
      <c r="D1422" t="s">
        <v>4129</v>
      </c>
      <c r="E1422" t="s">
        <v>4130</v>
      </c>
      <c r="F1422" t="s">
        <v>4131</v>
      </c>
      <c r="G1422" t="s">
        <v>4132</v>
      </c>
      <c r="H1422" t="s">
        <v>254</v>
      </c>
      <c r="I1422">
        <v>2014</v>
      </c>
      <c r="J1422">
        <v>4</v>
      </c>
      <c r="K1422" t="s">
        <v>4133</v>
      </c>
      <c r="M1422" t="str">
        <f t="shared" si="1856"/>
        <v>Saah_2014</v>
      </c>
      <c r="N1422" s="311" t="s">
        <v>4382</v>
      </c>
      <c r="O1422" s="145" t="s">
        <v>341</v>
      </c>
      <c r="Q1422" s="311" t="s">
        <v>256</v>
      </c>
      <c r="R1422" s="312"/>
      <c r="S1422" s="1" t="s">
        <v>4143</v>
      </c>
      <c r="T1422" t="s">
        <v>1110</v>
      </c>
      <c r="U1422" t="e">
        <f>#REF!</f>
        <v>#REF!</v>
      </c>
      <c r="V1422">
        <v>2</v>
      </c>
      <c r="W1422">
        <v>1</v>
      </c>
      <c r="X1422">
        <v>0</v>
      </c>
      <c r="Y1422">
        <v>2</v>
      </c>
      <c r="Z1422">
        <v>0</v>
      </c>
      <c r="AA1422">
        <v>0</v>
      </c>
      <c r="AB1422">
        <v>0</v>
      </c>
      <c r="AC1422">
        <v>0</v>
      </c>
      <c r="AD1422">
        <v>0</v>
      </c>
      <c r="AE1422">
        <v>0</v>
      </c>
      <c r="AF1422">
        <v>2</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s="141">
        <f t="shared" si="1822"/>
        <v>4</v>
      </c>
      <c r="AY1422" s="141">
        <f t="shared" si="1823"/>
        <v>4</v>
      </c>
      <c r="AZ1422">
        <f t="shared" si="1824"/>
        <v>3</v>
      </c>
      <c r="BA1422">
        <f t="shared" si="1825"/>
        <v>1</v>
      </c>
      <c r="BB1422">
        <f t="shared" si="1826"/>
        <v>0</v>
      </c>
      <c r="BC1422">
        <f t="shared" si="1827"/>
        <v>0</v>
      </c>
      <c r="BD1422">
        <f t="shared" si="1828"/>
        <v>0</v>
      </c>
      <c r="BE1422" t="str" cm="1">
        <f t="array" ref="BE1422">IF(AY1422=1,INDEX($V$7:$AL$7,MATCH(TRUE,INDEX($V1422:$AW1422&lt;&gt;0,),0)),IF(AY1422=0,INDEX($AM$7:$AW$7,MATCH(1,$AM1422:$AW1422,0)),IF(BF1422="Multiple strategies","mixed drivers",IF(BF1422="Supply chain","multiple supply","multiple silviculture"))))</f>
        <v>mixed drivers</v>
      </c>
      <c r="BF1422" s="2" t="str" cm="1">
        <f t="array" ref="BF1422">IF(COUNTIF(AZ1422:BB1422,"&lt;&gt;0")=1,INDEX($V$4:$AW$4,MATCH(TRUE,INDEX($V1422:$AW1422&lt;&gt;0,),0)),IF(COUNTIF(AZ1422:BB1422,"&lt;&gt;0")=0,INDEX($AM$4:$AW$4,MATCH(1,$AM1422:$AW1422,0)),"Multiple strategies"))</f>
        <v>Multiple strategies</v>
      </c>
      <c r="BP1422" s="311" t="s">
        <v>232</v>
      </c>
      <c r="BQ1422" s="311"/>
      <c r="BR1422" s="311" t="s">
        <v>4135</v>
      </c>
      <c r="BS1422">
        <v>-56406</v>
      </c>
      <c r="BT1422">
        <v>-19178.04</v>
      </c>
      <c r="BU1422" s="144">
        <v>0.34</v>
      </c>
      <c r="BV1422">
        <v>37227.96</v>
      </c>
      <c r="BX1422">
        <f t="shared" si="1857"/>
        <v>37227.96</v>
      </c>
      <c r="BY1422" t="str">
        <f t="shared" si="1820"/>
        <v/>
      </c>
      <c r="BZ1422">
        <v>0</v>
      </c>
      <c r="CA1422">
        <v>1</v>
      </c>
      <c r="CB1422">
        <v>0</v>
      </c>
      <c r="CC1422">
        <v>1</v>
      </c>
      <c r="CD1422">
        <v>0</v>
      </c>
      <c r="CE1422">
        <v>0</v>
      </c>
      <c r="CF1422">
        <v>0</v>
      </c>
      <c r="CG1422">
        <v>0</v>
      </c>
      <c r="CH1422">
        <v>0</v>
      </c>
      <c r="CI1422">
        <v>0</v>
      </c>
      <c r="CJ1422">
        <v>0</v>
      </c>
      <c r="CK1422">
        <v>0</v>
      </c>
      <c r="CL1422">
        <v>1</v>
      </c>
      <c r="CM1422">
        <v>0</v>
      </c>
      <c r="CN1422" t="str">
        <f t="shared" si="1858"/>
        <v>refOK</v>
      </c>
      <c r="CO1422"/>
      <c r="CP1422"/>
      <c r="CQ1422"/>
      <c r="CR1422">
        <f t="shared" si="1839"/>
        <v>-56406</v>
      </c>
      <c r="CS1422">
        <f t="shared" si="1840"/>
        <v>-19178.04</v>
      </c>
      <c r="CT1422">
        <f t="shared" si="1841"/>
        <v>37227.96</v>
      </c>
      <c r="CU1422" t="str">
        <f t="shared" si="1842"/>
        <v/>
      </c>
      <c r="CV1422" s="2">
        <f t="shared" si="1843"/>
        <v>0.66</v>
      </c>
      <c r="CW1422" s="1" t="s">
        <v>1198</v>
      </c>
      <c r="CX1422" s="311" t="str">
        <f t="shared" si="1844"/>
        <v>reg</v>
      </c>
      <c r="CY1422" t="s">
        <v>428</v>
      </c>
      <c r="DB1422">
        <v>0</v>
      </c>
      <c r="DC1422" t="str">
        <f t="shared" si="1845"/>
        <v>0</v>
      </c>
      <c r="DD1422">
        <v>0</v>
      </c>
      <c r="DE1422">
        <v>1</v>
      </c>
      <c r="DF1422">
        <v>0</v>
      </c>
      <c r="DG1422">
        <v>0</v>
      </c>
      <c r="DI1422">
        <f t="shared" si="1846"/>
        <v>1</v>
      </c>
      <c r="DJ1422" t="str">
        <f t="shared" si="1847"/>
        <v>EnergyInput</v>
      </c>
      <c r="DK1422">
        <f t="shared" si="1848"/>
        <v>0</v>
      </c>
      <c r="DL1422" t="str">
        <f t="shared" si="1849"/>
        <v>Energy</v>
      </c>
      <c r="DM1422">
        <f t="shared" si="1850"/>
        <v>0</v>
      </c>
      <c r="DN1422">
        <f t="shared" si="1851"/>
        <v>0</v>
      </c>
      <c r="DO1422">
        <v>1</v>
      </c>
      <c r="DP1422">
        <v>0</v>
      </c>
      <c r="DQ1422">
        <v>0</v>
      </c>
      <c r="DR1422">
        <v>0</v>
      </c>
      <c r="DS1422">
        <v>0</v>
      </c>
      <c r="DT1422">
        <f t="shared" si="1852"/>
        <v>1</v>
      </c>
      <c r="DU1422" s="143" t="str">
        <f t="shared" si="1853"/>
        <v>self-calculated DF</v>
      </c>
      <c r="DV1422">
        <v>0</v>
      </c>
      <c r="DW1422">
        <v>0</v>
      </c>
      <c r="DX1422">
        <v>0</v>
      </c>
      <c r="DY1422">
        <v>0</v>
      </c>
      <c r="DZ1422">
        <v>0</v>
      </c>
      <c r="EA1422" s="143">
        <v>0</v>
      </c>
      <c r="EB1422">
        <v>1</v>
      </c>
      <c r="EC1422">
        <v>1</v>
      </c>
      <c r="ED1422">
        <v>0</v>
      </c>
      <c r="EE1422">
        <v>1</v>
      </c>
      <c r="EF1422">
        <v>0</v>
      </c>
      <c r="EG1422">
        <v>0</v>
      </c>
      <c r="EH1422">
        <v>0</v>
      </c>
      <c r="EI1422" s="2">
        <v>0</v>
      </c>
      <c r="EK1422" t="str">
        <f t="shared" si="1859"/>
        <v/>
      </c>
      <c r="EL1422" t="str">
        <f t="shared" si="1860"/>
        <v/>
      </c>
      <c r="EM1422" s="2" t="str">
        <f t="shared" si="1821"/>
        <v>Technology approach</v>
      </c>
      <c r="EP1422" t="b">
        <f>IF(ISNUMBER(BU1422),IF(ABS(BU1422-[1]QC_indicators!$B$2)&gt;3*[1]QC_indicators!$C$2,"C ratio",IF(ISNUMBER(BY1422),IF(ABS(BY1422-[1]QC_indicators!$B$1)&gt;3*[1]QC_indicators!$C$1,"DF","no"))),IF(ISNUMBER(BY1422),IF(ABS(BY1422-[1]QC_indicators!$B$1)&gt;3*[1]QC_indicators!$C$1,"DF","no")))</f>
        <v>0</v>
      </c>
      <c r="ER1422" s="313" t="s">
        <v>349</v>
      </c>
    </row>
    <row r="1423" spans="1:150" ht="15" hidden="1" customHeight="1">
      <c r="A1423" s="1" t="s">
        <v>1126</v>
      </c>
      <c r="B1423" t="s">
        <v>1127</v>
      </c>
      <c r="C1423" t="s">
        <v>1128</v>
      </c>
      <c r="D1423" t="s">
        <v>1129</v>
      </c>
      <c r="E1423" t="s">
        <v>1130</v>
      </c>
      <c r="F1423" t="s">
        <v>1131</v>
      </c>
      <c r="G1423" t="s">
        <v>1132</v>
      </c>
      <c r="H1423" t="s">
        <v>254</v>
      </c>
      <c r="I1423">
        <v>2018</v>
      </c>
      <c r="J1423">
        <v>42</v>
      </c>
      <c r="K1423" t="s">
        <v>1133</v>
      </c>
      <c r="M1423" t="str">
        <f t="shared" si="1856"/>
        <v>Sandanayake_2018</v>
      </c>
      <c r="N1423" t="s">
        <v>222</v>
      </c>
      <c r="O1423" s="145" t="s">
        <v>341</v>
      </c>
      <c r="Q1423" t="s">
        <v>256</v>
      </c>
      <c r="R1423" s="262" t="s">
        <v>223</v>
      </c>
      <c r="S1423" s="1" t="s">
        <v>1134</v>
      </c>
      <c r="T1423" s="264" t="s">
        <v>3236</v>
      </c>
      <c r="U1423" s="264" t="s">
        <v>3237</v>
      </c>
      <c r="V1423">
        <v>0</v>
      </c>
      <c r="W1423">
        <v>0</v>
      </c>
      <c r="X1423">
        <v>0</v>
      </c>
      <c r="Y1423">
        <v>0</v>
      </c>
      <c r="Z1423">
        <v>0</v>
      </c>
      <c r="AA1423">
        <v>0</v>
      </c>
      <c r="AB1423">
        <v>0</v>
      </c>
      <c r="AC1423">
        <v>0</v>
      </c>
      <c r="AD1423">
        <v>0</v>
      </c>
      <c r="AE1423">
        <v>0</v>
      </c>
      <c r="AF1423">
        <v>0</v>
      </c>
      <c r="AG1423">
        <v>0</v>
      </c>
      <c r="AH1423">
        <v>0</v>
      </c>
      <c r="AI1423">
        <v>0</v>
      </c>
      <c r="AJ1423">
        <v>0</v>
      </c>
      <c r="AK1423">
        <v>1</v>
      </c>
      <c r="AL1423">
        <v>0</v>
      </c>
      <c r="AM1423">
        <v>0</v>
      </c>
      <c r="AN1423">
        <v>0</v>
      </c>
      <c r="AO1423">
        <v>0</v>
      </c>
      <c r="AP1423">
        <v>0</v>
      </c>
      <c r="AQ1423">
        <v>0</v>
      </c>
      <c r="AR1423">
        <v>0</v>
      </c>
      <c r="AS1423">
        <v>0</v>
      </c>
      <c r="AT1423">
        <v>0</v>
      </c>
      <c r="AU1423">
        <v>0</v>
      </c>
      <c r="AV1423">
        <v>0</v>
      </c>
      <c r="AW1423">
        <v>0</v>
      </c>
      <c r="AX1423" s="141">
        <f t="shared" si="1822"/>
        <v>1</v>
      </c>
      <c r="AY1423" s="141">
        <f t="shared" si="1823"/>
        <v>1</v>
      </c>
      <c r="AZ1423">
        <f t="shared" si="1824"/>
        <v>0</v>
      </c>
      <c r="BA1423">
        <f t="shared" si="1825"/>
        <v>0</v>
      </c>
      <c r="BB1423">
        <f t="shared" si="1826"/>
        <v>1</v>
      </c>
      <c r="BC1423">
        <f t="shared" si="1827"/>
        <v>0</v>
      </c>
      <c r="BD1423">
        <f t="shared" si="1828"/>
        <v>0</v>
      </c>
      <c r="BE1423" t="str">
        <f t="array" ref="BE1423">IF(AY1423=1,INDEX($V$7:$AL$7,MATCH(TRUE,INDEX($V1423:$AW1423&lt;&gt;0,),0)),IF(AY1423=0,INDEX($AM$7:$AW$7,MATCH(1,$AM1423:$AW1423,0)),IF(BF1423="Multiple strategies","mixed drivers",IF(BF1423="Supply chain","multiple supply","multiple silviculture"))))</f>
        <v>technologies/design switch</v>
      </c>
      <c r="BF1423" s="2" t="str" cm="1">
        <f t="array" ref="BF1423">IF(COUNTIF(AZ1423:BB1423,"&lt;&gt;0")=1,INDEX($V$4:$AW$4,MATCH(TRUE,INDEX($V1423:$AW1423&lt;&gt;0,),0)),IF(COUNTIF(AZ1423:BB1423,"&lt;&gt;0")=0,INDEX($AM$4:$AW$4,MATCH(1,$AM1423:$AW1423,0)),"Multiple strategies"))</f>
        <v>Technology</v>
      </c>
      <c r="BG1423" s="1" t="s">
        <v>229</v>
      </c>
      <c r="BH1423" t="s">
        <v>1135</v>
      </c>
      <c r="BI1423" s="264" t="s">
        <v>611</v>
      </c>
      <c r="BJ1423" t="s">
        <v>498</v>
      </c>
      <c r="BK1423">
        <v>0</v>
      </c>
      <c r="BL1423">
        <v>4650</v>
      </c>
      <c r="BN1423">
        <f>BL1423-BK1423</f>
        <v>4650</v>
      </c>
      <c r="BO1423">
        <f>BN1423</f>
        <v>4650</v>
      </c>
      <c r="BP1423" t="s">
        <v>232</v>
      </c>
      <c r="BQ1423" s="267" t="s">
        <v>3238</v>
      </c>
      <c r="BR1423" s="264" t="s">
        <v>3239</v>
      </c>
      <c r="BS1423">
        <v>8956.2000000000007</v>
      </c>
      <c r="BT1423">
        <v>6084.86</v>
      </c>
      <c r="BU1423" s="144">
        <v>0.97173414820473647</v>
      </c>
      <c r="BV1423">
        <f>BT1423-BS1423</f>
        <v>-2871.3400000000011</v>
      </c>
      <c r="BX1423" s="144">
        <f>BV1423*0.001</f>
        <v>-2.8713400000000013</v>
      </c>
      <c r="BY1423">
        <f t="shared" si="1820"/>
        <v>-6.1749247311827988E-4</v>
      </c>
      <c r="BZ1423">
        <v>0</v>
      </c>
      <c r="CA1423">
        <v>1</v>
      </c>
      <c r="CB1423">
        <v>0</v>
      </c>
      <c r="CC1423">
        <v>1</v>
      </c>
      <c r="CD1423">
        <v>0</v>
      </c>
      <c r="CE1423">
        <v>0</v>
      </c>
      <c r="CF1423">
        <v>0</v>
      </c>
      <c r="CG1423">
        <v>0</v>
      </c>
      <c r="CH1423">
        <v>0</v>
      </c>
      <c r="CI1423">
        <v>0</v>
      </c>
      <c r="CJ1423">
        <v>0</v>
      </c>
      <c r="CK1423">
        <v>0</v>
      </c>
      <c r="CL1423">
        <v>0</v>
      </c>
      <c r="CM1423">
        <v>0</v>
      </c>
      <c r="CN1423" t="str">
        <f>IF($BL1423&lt;$BK1423,"refNeedCorrection","refOK")</f>
        <v>refOK</v>
      </c>
      <c r="CO1423">
        <f>IF($CN1423="refNeedCorrection",BL1423,BK1423)</f>
        <v>0</v>
      </c>
      <c r="CP1423">
        <f>IF($CN1423="refNeedCorrection",BK1423,BL1423)</f>
        <v>4650</v>
      </c>
      <c r="CQ1423">
        <f>IF($CN1423="refOK",$BO1423,-$BO1423)</f>
        <v>4650</v>
      </c>
      <c r="CR1423">
        <f t="shared" si="1839"/>
        <v>8956.2000000000007</v>
      </c>
      <c r="CS1423">
        <f t="shared" si="1840"/>
        <v>6084.86</v>
      </c>
      <c r="CT1423">
        <f t="shared" si="1841"/>
        <v>-2.8713400000000013</v>
      </c>
      <c r="CU1423">
        <f t="shared" si="1842"/>
        <v>-6.1749247311827988E-4</v>
      </c>
      <c r="CV1423" s="2">
        <f t="shared" si="1843"/>
        <v>-0.32059802148232519</v>
      </c>
      <c r="CW1423" s="1" t="s">
        <v>263</v>
      </c>
      <c r="CX1423" t="str">
        <f t="shared" si="1844"/>
        <v>loc</v>
      </c>
      <c r="CY1423" t="s">
        <v>574</v>
      </c>
      <c r="DB1423">
        <v>0</v>
      </c>
      <c r="DC1423" t="str">
        <f t="shared" si="1845"/>
        <v>0</v>
      </c>
      <c r="DD1423">
        <v>0</v>
      </c>
      <c r="DE1423">
        <v>0</v>
      </c>
      <c r="DF1423">
        <v>0</v>
      </c>
      <c r="DG1423">
        <v>1</v>
      </c>
      <c r="DI1423">
        <f t="shared" si="1846"/>
        <v>1</v>
      </c>
      <c r="DJ1423" t="str">
        <f t="shared" si="1847"/>
        <v>TimberInput</v>
      </c>
      <c r="DK1423">
        <f t="shared" si="1848"/>
        <v>0</v>
      </c>
      <c r="DL1423">
        <f t="shared" si="1849"/>
        <v>0</v>
      </c>
      <c r="DM1423">
        <f t="shared" si="1850"/>
        <v>0</v>
      </c>
      <c r="DN1423" t="str">
        <f t="shared" si="1851"/>
        <v>Timber</v>
      </c>
      <c r="DO1423">
        <v>1</v>
      </c>
      <c r="DP1423">
        <v>0</v>
      </c>
      <c r="DQ1423">
        <v>0</v>
      </c>
      <c r="DR1423">
        <v>0</v>
      </c>
      <c r="DS1423">
        <v>0</v>
      </c>
      <c r="DT1423">
        <f t="shared" si="1852"/>
        <v>1</v>
      </c>
      <c r="DU1423" s="143" t="str">
        <f t="shared" si="1853"/>
        <v>self-calculated DF</v>
      </c>
      <c r="DV1423">
        <v>0</v>
      </c>
      <c r="DW1423">
        <v>0</v>
      </c>
      <c r="DX1423">
        <v>0</v>
      </c>
      <c r="DY1423">
        <v>0</v>
      </c>
      <c r="DZ1423">
        <v>0</v>
      </c>
      <c r="EA1423" s="143">
        <v>0</v>
      </c>
      <c r="EB1423">
        <v>1</v>
      </c>
      <c r="EC1423">
        <v>1</v>
      </c>
      <c r="ED1423">
        <v>1</v>
      </c>
      <c r="EE1423">
        <v>0</v>
      </c>
      <c r="EF1423">
        <v>0</v>
      </c>
      <c r="EG1423">
        <v>0</v>
      </c>
      <c r="EH1423">
        <v>0</v>
      </c>
      <c r="EI1423" s="2">
        <v>0</v>
      </c>
      <c r="EK1423" t="str">
        <f>IF(AND(AND(AND(OR($DX1423=1,$DW1423=1),OR($EC1423=1,$EA1423=1)),SUM($DV1423:$DZ1423,$EF1423)&gt;=4),SUM($EA1423:$EE1423)&gt;=2),"Whole sector","")</f>
        <v/>
      </c>
      <c r="EL1423" t="str">
        <f>IF(AND(AND(OR($DX1423=1,$DW1423=1),AND($EC1423=0,$EA1423=0)),SUM($DV1423:$DZ1423,$EF1423)&gt;=4),"Ecosystem approach","")</f>
        <v/>
      </c>
      <c r="EM1423" s="2" t="str">
        <f t="shared" si="1821"/>
        <v>Technology approach</v>
      </c>
      <c r="EN1423" t="s">
        <v>1136</v>
      </c>
      <c r="EP1423" t="str">
        <f>IF(ISNUMBER(BU1423),IF(ABS(BU1423-[3]QC_indicators!$B$2)&gt;3*[3]QC_indicators!$C$2,"C ratio",IF(ISNUMBER(BY1423),IF(ABS(BY1423-[3]QC_indicators!$B$1)&gt;3*[3]QC_indicators!$C$1,"DF","no"))),IF(ISNUMBER(BY1423),IF(ABS(BY1423-[3]QC_indicators!$B$1)&gt;3*[3]QC_indicators!$C$1,"DF","no")))</f>
        <v>no</v>
      </c>
      <c r="ER1423" s="149" t="s">
        <v>349</v>
      </c>
      <c r="ET1423" s="264" t="s">
        <v>3240</v>
      </c>
    </row>
    <row r="1424" spans="1:150" ht="15" hidden="1" customHeight="1">
      <c r="A1424" s="1" t="s">
        <v>4144</v>
      </c>
      <c r="B1424" t="s">
        <v>4145</v>
      </c>
      <c r="C1424" t="s">
        <v>4146</v>
      </c>
      <c r="D1424" t="s">
        <v>4147</v>
      </c>
      <c r="E1424" t="s">
        <v>4148</v>
      </c>
      <c r="F1424" t="s">
        <v>4149</v>
      </c>
      <c r="G1424" t="s">
        <v>4150</v>
      </c>
      <c r="H1424" t="s">
        <v>254</v>
      </c>
      <c r="I1424">
        <v>2009</v>
      </c>
      <c r="J1424">
        <v>68</v>
      </c>
      <c r="K1424" t="s">
        <v>4151</v>
      </c>
      <c r="M1424" t="str">
        <f t="shared" si="1856"/>
        <v>Sathre_2009</v>
      </c>
      <c r="N1424" s="311" t="s">
        <v>4382</v>
      </c>
      <c r="O1424" s="145" t="s">
        <v>341</v>
      </c>
      <c r="Q1424" s="311" t="s">
        <v>256</v>
      </c>
      <c r="R1424" s="312"/>
      <c r="S1424" s="1" t="s">
        <v>4152</v>
      </c>
      <c r="T1424" t="s">
        <v>665</v>
      </c>
      <c r="U1424" t="e">
        <f>#REF!</f>
        <v>#REF!</v>
      </c>
      <c r="V1424">
        <v>0</v>
      </c>
      <c r="W1424">
        <v>0</v>
      </c>
      <c r="X1424">
        <v>0</v>
      </c>
      <c r="Y1424">
        <v>0</v>
      </c>
      <c r="Z1424">
        <v>0</v>
      </c>
      <c r="AA1424">
        <v>0</v>
      </c>
      <c r="AB1424">
        <v>0</v>
      </c>
      <c r="AC1424">
        <v>0</v>
      </c>
      <c r="AD1424">
        <v>0</v>
      </c>
      <c r="AE1424">
        <v>0</v>
      </c>
      <c r="AF1424">
        <v>1</v>
      </c>
      <c r="AG1424">
        <v>0</v>
      </c>
      <c r="AH1424">
        <v>0</v>
      </c>
      <c r="AI1424">
        <v>0</v>
      </c>
      <c r="AJ1424">
        <v>0</v>
      </c>
      <c r="AK1424">
        <v>0</v>
      </c>
      <c r="AL1424">
        <v>0</v>
      </c>
      <c r="AM1424">
        <v>0</v>
      </c>
      <c r="AN1424">
        <v>0</v>
      </c>
      <c r="AO1424">
        <v>0</v>
      </c>
      <c r="AP1424">
        <v>0</v>
      </c>
      <c r="AQ1424">
        <v>0</v>
      </c>
      <c r="AR1424">
        <v>0</v>
      </c>
      <c r="AS1424">
        <v>0</v>
      </c>
      <c r="AT1424">
        <v>0</v>
      </c>
      <c r="AU1424">
        <v>0</v>
      </c>
      <c r="AV1424">
        <v>0</v>
      </c>
      <c r="AW1424">
        <v>0</v>
      </c>
      <c r="AX1424" s="141">
        <f t="shared" si="1822"/>
        <v>1</v>
      </c>
      <c r="AY1424" s="141">
        <f t="shared" si="1823"/>
        <v>1</v>
      </c>
      <c r="AZ1424">
        <f t="shared" si="1824"/>
        <v>0</v>
      </c>
      <c r="BA1424">
        <f t="shared" si="1825"/>
        <v>1</v>
      </c>
      <c r="BB1424">
        <f t="shared" si="1826"/>
        <v>0</v>
      </c>
      <c r="BC1424">
        <f t="shared" si="1827"/>
        <v>0</v>
      </c>
      <c r="BD1424">
        <f t="shared" si="1828"/>
        <v>0</v>
      </c>
      <c r="BE1424" t="str" cm="1">
        <f t="array" ref="BE1424">IF(AY1424=1,INDEX($V$7:$AL$7,MATCH(TRUE,INDEX($V1424:$AW1424&lt;&gt;0,),0)),IF(AY1424=0,INDEX($AM$7:$AW$7,MATCH(1,$AM1424:$AW1424,0)),IF(BF1424="Multiple strategies","mixed drivers",IF(BF1424="Supply chain","multiple supply","multiple silviculture"))))</f>
        <v>supply chain organization</v>
      </c>
      <c r="BF1424" s="2" t="str" cm="1">
        <f t="array" ref="BF1424">IF(COUNTIF(AZ1424:BB1424,"&lt;&gt;0")=1,INDEX($V$4:$AW$4,MATCH(TRUE,INDEX($V1424:$AW1424&lt;&gt;0,),0)),IF(COUNTIF(AZ1424:BB1424,"&lt;&gt;0")=0,INDEX($AM$4:$AW$4,MATCH(1,$AM1424:$AW1424,0)),"Multiple strategies"))</f>
        <v>Supply chain</v>
      </c>
      <c r="BP1424" s="311" t="s">
        <v>232</v>
      </c>
      <c r="BQ1424" s="311"/>
      <c r="BR1424" t="s">
        <v>937</v>
      </c>
      <c r="BS1424">
        <v>-76</v>
      </c>
      <c r="BT1424">
        <v>-42</v>
      </c>
      <c r="BU1424" s="144">
        <v>0.55263157894736847</v>
      </c>
      <c r="BV1424">
        <v>34</v>
      </c>
      <c r="BX1424">
        <f>BV1424*C_to_CO2</f>
        <v>124.78</v>
      </c>
      <c r="BY1424" t="str">
        <f t="shared" si="1820"/>
        <v/>
      </c>
      <c r="BZ1424">
        <v>0</v>
      </c>
      <c r="CA1424">
        <v>0</v>
      </c>
      <c r="CB1424">
        <v>0</v>
      </c>
      <c r="CC1424">
        <v>0</v>
      </c>
      <c r="CD1424">
        <v>0</v>
      </c>
      <c r="CE1424">
        <v>0</v>
      </c>
      <c r="CF1424">
        <v>0</v>
      </c>
      <c r="CG1424">
        <v>0</v>
      </c>
      <c r="CH1424">
        <v>0</v>
      </c>
      <c r="CI1424">
        <v>0</v>
      </c>
      <c r="CJ1424">
        <v>0</v>
      </c>
      <c r="CK1424">
        <v>0</v>
      </c>
      <c r="CL1424">
        <v>0</v>
      </c>
      <c r="CM1424">
        <v>0</v>
      </c>
      <c r="CN1424" t="str">
        <f>IF(BL1424&lt;BK1424,"refNeedCorrection","refOK")</f>
        <v>refOK</v>
      </c>
      <c r="CO1424"/>
      <c r="CP1424"/>
      <c r="CQ1424"/>
      <c r="CR1424">
        <f t="shared" si="1839"/>
        <v>-76</v>
      </c>
      <c r="CS1424">
        <f t="shared" si="1840"/>
        <v>-42</v>
      </c>
      <c r="CT1424">
        <f t="shared" si="1841"/>
        <v>124.78</v>
      </c>
      <c r="CU1424" t="str">
        <f t="shared" si="1842"/>
        <v/>
      </c>
      <c r="CV1424" s="2">
        <f t="shared" si="1843"/>
        <v>0.44736842105263158</v>
      </c>
      <c r="CW1424" s="1" t="s">
        <v>263</v>
      </c>
      <c r="CX1424" s="311" t="str">
        <f t="shared" si="1844"/>
        <v>loc</v>
      </c>
      <c r="CY1424" t="s">
        <v>444</v>
      </c>
      <c r="DB1424">
        <v>0</v>
      </c>
      <c r="DC1424" t="str">
        <f t="shared" si="1845"/>
        <v>0</v>
      </c>
      <c r="DD1424">
        <v>0</v>
      </c>
      <c r="DE1424">
        <v>0</v>
      </c>
      <c r="DF1424">
        <v>0</v>
      </c>
      <c r="DG1424">
        <v>1</v>
      </c>
      <c r="DI1424">
        <f t="shared" si="1846"/>
        <v>1</v>
      </c>
      <c r="DJ1424" t="str">
        <f t="shared" si="1847"/>
        <v>TimberInput</v>
      </c>
      <c r="DK1424">
        <f t="shared" si="1848"/>
        <v>0</v>
      </c>
      <c r="DL1424">
        <f t="shared" si="1849"/>
        <v>0</v>
      </c>
      <c r="DM1424">
        <f t="shared" si="1850"/>
        <v>0</v>
      </c>
      <c r="DN1424" t="str">
        <f t="shared" si="1851"/>
        <v>Timber</v>
      </c>
      <c r="DO1424">
        <v>1</v>
      </c>
      <c r="DP1424">
        <v>0</v>
      </c>
      <c r="DQ1424">
        <v>0</v>
      </c>
      <c r="DR1424">
        <v>0</v>
      </c>
      <c r="DS1424">
        <v>0</v>
      </c>
      <c r="DT1424">
        <f t="shared" si="1852"/>
        <v>1</v>
      </c>
      <c r="DU1424" s="143" t="str">
        <f t="shared" si="1853"/>
        <v>self-calculated DF</v>
      </c>
      <c r="DV1424">
        <v>0</v>
      </c>
      <c r="DW1424">
        <v>0</v>
      </c>
      <c r="DX1424">
        <v>0</v>
      </c>
      <c r="DY1424">
        <v>1</v>
      </c>
      <c r="DZ1424">
        <v>0</v>
      </c>
      <c r="EA1424" s="143">
        <v>0</v>
      </c>
      <c r="EB1424">
        <v>1</v>
      </c>
      <c r="EC1424">
        <v>1</v>
      </c>
      <c r="ED1424">
        <v>0</v>
      </c>
      <c r="EE1424">
        <v>0</v>
      </c>
      <c r="EF1424">
        <v>0</v>
      </c>
      <c r="EG1424">
        <v>0</v>
      </c>
      <c r="EH1424">
        <v>0</v>
      </c>
      <c r="EI1424" s="2">
        <v>0</v>
      </c>
      <c r="EK1424" t="str">
        <f t="shared" ref="EK1424:EK1432" si="1861">IF(AND(AND(AND(OR($DX1424=1,$DW1424=1),OR($EC1424=1,$EA1424=1)),SUM($DV1424:$DZ1424,$EF1424)&gt;=3),SUM($EA1424:$EE1424)&gt;=2),"Whole sector","")</f>
        <v/>
      </c>
      <c r="EL1424" t="str">
        <f t="shared" ref="EL1424:EL1432" si="1862">IF(AND(AND(OR($DX1424=1,$DW1424=1),AND($EC1424=0,$EA1424=0)),SUM($DV1424:$DZ1424,$EF1424)&gt;=3),"Ecosystem approach","")</f>
        <v/>
      </c>
      <c r="EM1424" s="2" t="str">
        <f t="shared" si="1821"/>
        <v>Technology approach</v>
      </c>
      <c r="EP1424" t="b">
        <f>IF(ISNUMBER(BU1424),IF(ABS(BU1424-[1]QC_indicators!$B$2)&gt;3*[1]QC_indicators!$C$2,"C ratio",IF(ISNUMBER(BY1424),IF(ABS(BY1424-[1]QC_indicators!$B$1)&gt;3*[1]QC_indicators!$C$1,"DF","no"))),IF(ISNUMBER(BY1424),IF(ABS(BY1424-[1]QC_indicators!$B$1)&gt;3*[1]QC_indicators!$C$1,"DF","no")))</f>
        <v>0</v>
      </c>
      <c r="ER1424" s="313" t="s">
        <v>349</v>
      </c>
    </row>
    <row r="1425" spans="1:150" ht="15" hidden="1" customHeight="1">
      <c r="A1425" s="1" t="s">
        <v>4646</v>
      </c>
      <c r="B1425" t="s">
        <v>4647</v>
      </c>
      <c r="C1425" t="s">
        <v>4648</v>
      </c>
      <c r="D1425" t="s">
        <v>4649</v>
      </c>
      <c r="E1425" t="s">
        <v>4650</v>
      </c>
      <c r="F1425" t="s">
        <v>4651</v>
      </c>
      <c r="G1425" t="s">
        <v>4652</v>
      </c>
      <c r="H1425" t="s">
        <v>254</v>
      </c>
      <c r="I1425">
        <v>2015</v>
      </c>
      <c r="J1425">
        <v>2</v>
      </c>
      <c r="K1425" t="s">
        <v>4653</v>
      </c>
      <c r="M1425" t="str">
        <f t="shared" si="1856"/>
        <v>Sharma_2015</v>
      </c>
      <c r="N1425" t="s">
        <v>2582</v>
      </c>
      <c r="O1425" s="145" t="s">
        <v>341</v>
      </c>
      <c r="Q1425" s="311" t="s">
        <v>256</v>
      </c>
      <c r="R1425" s="312"/>
      <c r="AX1425" s="141"/>
      <c r="AY1425" s="141"/>
      <c r="BE1425"/>
      <c r="BF1425" s="2"/>
      <c r="BU1425" s="144"/>
      <c r="BY1425" t="str">
        <f t="shared" si="1820"/>
        <v/>
      </c>
      <c r="CN1425"/>
      <c r="CO1425"/>
      <c r="CP1425"/>
      <c r="CQ1425"/>
      <c r="CR1425"/>
      <c r="CS1425"/>
      <c r="CT1425"/>
      <c r="CU1425"/>
      <c r="CV1425" s="2"/>
      <c r="CX1425"/>
      <c r="DC1425"/>
      <c r="DI1425"/>
      <c r="DJ1425"/>
      <c r="DK1425"/>
      <c r="DL1425"/>
      <c r="DM1425"/>
      <c r="DN1425"/>
      <c r="DT1425"/>
      <c r="DU1425" s="143"/>
      <c r="EK1425" t="str">
        <f t="shared" si="1861"/>
        <v/>
      </c>
      <c r="EL1425" t="str">
        <f t="shared" si="1862"/>
        <v/>
      </c>
      <c r="EM1425" s="2" t="str">
        <f t="shared" si="1821"/>
        <v/>
      </c>
      <c r="EP1425" t="b">
        <f>IF(ISNUMBER(BU1425),IF(ABS(BU1425-[1]QC_indicators!$B$2)&gt;3*[1]QC_indicators!$C$2,"C ratio",IF(ISNUMBER(BY1425),IF(ABS(BY1425-[1]QC_indicators!$B$1)&gt;3*[1]QC_indicators!$C$1,"DF","no"))),IF(ISNUMBER(BY1425),IF(ABS(BY1425-[1]QC_indicators!$B$1)&gt;3*[1]QC_indicators!$C$1,"DF","no")))</f>
        <v>0</v>
      </c>
    </row>
    <row r="1426" spans="1:150" ht="15" hidden="1" customHeight="1">
      <c r="A1426" s="1" t="s">
        <v>1137</v>
      </c>
      <c r="B1426" t="s">
        <v>4153</v>
      </c>
      <c r="C1426" t="s">
        <v>4154</v>
      </c>
      <c r="D1426" t="s">
        <v>4155</v>
      </c>
      <c r="E1426" t="s">
        <v>4156</v>
      </c>
      <c r="F1426" t="s">
        <v>4157</v>
      </c>
      <c r="G1426" t="s">
        <v>1138</v>
      </c>
      <c r="H1426" t="s">
        <v>254</v>
      </c>
      <c r="I1426">
        <v>2019</v>
      </c>
      <c r="J1426">
        <v>6</v>
      </c>
      <c r="K1426" t="s">
        <v>4158</v>
      </c>
      <c r="M1426" t="str">
        <f t="shared" si="1856"/>
        <v>She_2019</v>
      </c>
      <c r="N1426" s="311" t="s">
        <v>4382</v>
      </c>
      <c r="O1426" s="145" t="s">
        <v>341</v>
      </c>
      <c r="Q1426" s="311" t="s">
        <v>256</v>
      </c>
      <c r="R1426" s="312"/>
      <c r="S1426" s="1" t="s">
        <v>4159</v>
      </c>
      <c r="T1426" t="s">
        <v>4160</v>
      </c>
      <c r="U1426" t="e">
        <f>#REF!</f>
        <v>#REF!</v>
      </c>
      <c r="V1426">
        <v>2</v>
      </c>
      <c r="W1426">
        <v>1</v>
      </c>
      <c r="X1426">
        <v>0</v>
      </c>
      <c r="Y1426">
        <v>0</v>
      </c>
      <c r="Z1426">
        <v>0</v>
      </c>
      <c r="AA1426">
        <v>0</v>
      </c>
      <c r="AB1426">
        <v>0</v>
      </c>
      <c r="AC1426">
        <v>0</v>
      </c>
      <c r="AD1426">
        <v>0</v>
      </c>
      <c r="AE1426">
        <v>0</v>
      </c>
      <c r="AF1426">
        <v>2</v>
      </c>
      <c r="AG1426">
        <v>0</v>
      </c>
      <c r="AH1426">
        <v>0</v>
      </c>
      <c r="AI1426">
        <v>0</v>
      </c>
      <c r="AJ1426">
        <v>2</v>
      </c>
      <c r="AK1426">
        <v>0</v>
      </c>
      <c r="AL1426">
        <v>0</v>
      </c>
      <c r="AM1426">
        <v>0</v>
      </c>
      <c r="AN1426">
        <v>0</v>
      </c>
      <c r="AO1426">
        <v>0</v>
      </c>
      <c r="AP1426">
        <v>0</v>
      </c>
      <c r="AQ1426">
        <v>0</v>
      </c>
      <c r="AR1426">
        <v>0</v>
      </c>
      <c r="AS1426">
        <v>0</v>
      </c>
      <c r="AT1426">
        <v>0</v>
      </c>
      <c r="AU1426">
        <v>0</v>
      </c>
      <c r="AV1426">
        <v>0</v>
      </c>
      <c r="AW1426">
        <v>0</v>
      </c>
      <c r="AX1426" s="141">
        <f>COUNTIF(V1426:AW1426,"&lt;&gt;0")</f>
        <v>4</v>
      </c>
      <c r="AY1426" s="141">
        <f>COUNTIF(V1426:AL1426,"&lt;&gt;0")</f>
        <v>4</v>
      </c>
      <c r="AZ1426">
        <f>COUNTIF(V1426:AC1426,"&lt;&gt;0")</f>
        <v>2</v>
      </c>
      <c r="BA1426">
        <f>COUNTIF(AD1426:AI1426,"&lt;&gt;0")</f>
        <v>1</v>
      </c>
      <c r="BB1426">
        <f>COUNTIF(AJ1426:AL1426,"&lt;&gt;0")</f>
        <v>1</v>
      </c>
      <c r="BC1426">
        <f>COUNTIF(AS1426:AW1426,"&lt;&gt;0")</f>
        <v>0</v>
      </c>
      <c r="BD1426">
        <f>COUNTIF(AM1426:AR1426,"&lt;&gt;0")</f>
        <v>0</v>
      </c>
      <c r="BE1426" t="str" cm="1">
        <f t="array" ref="BE1426">IF(AY1426=1,INDEX($V$7:$AL$7,MATCH(TRUE,INDEX($V1426:$AW1426&lt;&gt;0,),0)),IF(AY1426=0,INDEX($AM$7:$AW$7,MATCH(1,$AM1426:$AW1426,0)),IF(BF1426="Multiple strategies","mixed drivers",IF(BF1426="Supply chain","multiple supply","multiple silviculture"))))</f>
        <v>mixed drivers</v>
      </c>
      <c r="BF1426" s="2" t="str" cm="1">
        <f t="array" ref="BF1426">IF(COUNTIF(AZ1426:BB1426,"&lt;&gt;0")=1,INDEX($V$4:$AW$4,MATCH(TRUE,INDEX($V1426:$AW1426&lt;&gt;0,),0)),IF(COUNTIF(AZ1426:BB1426,"&lt;&gt;0")=0,INDEX($AM$4:$AW$4,MATCH(1,$AM1426:$AW1426,0)),"Multiple strategies"))</f>
        <v>Multiple strategies</v>
      </c>
      <c r="BP1426" t="s">
        <v>232</v>
      </c>
      <c r="BR1426" t="s">
        <v>1139</v>
      </c>
      <c r="BS1426">
        <v>73.36</v>
      </c>
      <c r="BT1426">
        <v>266.5</v>
      </c>
      <c r="BU1426" s="144">
        <f>IFERROR(BT1426/BS1426,"")</f>
        <v>3.6327699018538713</v>
      </c>
      <c r="BV1426">
        <f>BT1426-BS1426</f>
        <v>193.14</v>
      </c>
      <c r="BX1426">
        <f>BV1426*10^6</f>
        <v>193140000</v>
      </c>
      <c r="BY1426" t="str">
        <f t="shared" si="1820"/>
        <v/>
      </c>
      <c r="BZ1426">
        <v>0</v>
      </c>
      <c r="CA1426">
        <v>0</v>
      </c>
      <c r="CB1426">
        <v>0</v>
      </c>
      <c r="CC1426">
        <v>0</v>
      </c>
      <c r="CD1426">
        <v>0</v>
      </c>
      <c r="CE1426">
        <v>0</v>
      </c>
      <c r="CF1426">
        <v>0</v>
      </c>
      <c r="CG1426">
        <v>0</v>
      </c>
      <c r="CH1426">
        <v>0</v>
      </c>
      <c r="CI1426">
        <v>0</v>
      </c>
      <c r="CJ1426">
        <v>0</v>
      </c>
      <c r="CK1426">
        <v>0</v>
      </c>
      <c r="CL1426">
        <v>0</v>
      </c>
      <c r="CM1426">
        <v>0</v>
      </c>
      <c r="CN1426" t="str">
        <f>IF(BL1426&lt;BK1426,"refNeedCorrection","refOK")</f>
        <v>refOK</v>
      </c>
      <c r="CO1426"/>
      <c r="CP1426"/>
      <c r="CQ1426"/>
      <c r="CR1426">
        <f>IF($CN1426="refOK",$BS1426,$BT1426)*IF($BP1426="Emissions positive",-1,1)</f>
        <v>73.36</v>
      </c>
      <c r="CS1426">
        <f>IF($CN1426="refOK",$BT1426,$BS1426)*IF($BP1426="Emissions positive",-1,1)</f>
        <v>266.5</v>
      </c>
      <c r="CT1426">
        <f>IF($CN1426="refNeedCorrection",-BX1426,BX1426)*IF($BP1426="Emissions positive",-1,1)</f>
        <v>193140000</v>
      </c>
      <c r="CU1426" t="str">
        <f>IFERROR(CT1426/CQ1426,"")</f>
        <v/>
      </c>
      <c r="CV1426" s="2">
        <f>IFERROR((CS1426-CR1426)/ABS(CR1426),"")</f>
        <v>2.6327699018538713</v>
      </c>
      <c r="CW1426" s="1" t="s">
        <v>234</v>
      </c>
      <c r="CX1426" s="311" t="str">
        <f>IF(OR($CW1426="prd",$CW1426="std",$CW1426="cit"),"loc",IF(OR($CW1426="eur",$CW1426="reg",$CW1426="coy"),"reg",$CW1426))</f>
        <v>loc</v>
      </c>
      <c r="CY1426" t="s">
        <v>428</v>
      </c>
      <c r="CZ1426">
        <v>2008</v>
      </c>
      <c r="DB1426">
        <v>0</v>
      </c>
      <c r="DC1426" t="str">
        <f>IF(DB1426=0,"0",IF(AND(DB1426&gt;=1,DB1426&lt;=30),"1-30",IF(AND(DB1426&gt;30,DB1426&lt;=70),"31-70",IF(AND(DB1426&gt;70,DB1426&lt;=100),"71-100",IF(DB1426&gt;100,"+100")))))</f>
        <v>0</v>
      </c>
      <c r="DD1426">
        <v>0</v>
      </c>
      <c r="DE1426">
        <v>1</v>
      </c>
      <c r="DF1426">
        <v>0</v>
      </c>
      <c r="DG1426">
        <v>1</v>
      </c>
      <c r="DI1426">
        <f>SUM(DD1426:DG1426)</f>
        <v>2</v>
      </c>
      <c r="DJ1426" t="str">
        <f>IF(DI1426=1,INDEX($DD$7:$DG$7,MATCH(1,$DD1426:$DG1426,0)),"mixedProduct")</f>
        <v>mixedProduct</v>
      </c>
      <c r="DK1426">
        <f t="shared" ref="DK1426:DN1430" si="1863">IF(DD1426=1,DK$7,0)</f>
        <v>0</v>
      </c>
      <c r="DL1426" t="str">
        <f t="shared" si="1863"/>
        <v>Energy</v>
      </c>
      <c r="DM1426">
        <f t="shared" si="1863"/>
        <v>0</v>
      </c>
      <c r="DN1426" t="str">
        <f t="shared" si="1863"/>
        <v>Timber</v>
      </c>
      <c r="DO1426">
        <v>0</v>
      </c>
      <c r="DP1426">
        <v>1</v>
      </c>
      <c r="DQ1426" s="295" t="s">
        <v>4161</v>
      </c>
      <c r="DR1426">
        <v>0</v>
      </c>
      <c r="DS1426" t="s">
        <v>4162</v>
      </c>
      <c r="DT1426">
        <f>SUM(DO1426:DP1426)</f>
        <v>1</v>
      </c>
      <c r="DU1426" s="143" t="str">
        <f>IF(DO1426=1,"self-calculated DF",IF(DP1426=1,"external DF used","explicit C balance"))</f>
        <v>external DF used</v>
      </c>
      <c r="DV1426">
        <v>0</v>
      </c>
      <c r="DW1426">
        <v>1</v>
      </c>
      <c r="DX1426">
        <v>0</v>
      </c>
      <c r="DY1426">
        <v>1</v>
      </c>
      <c r="DZ1426">
        <v>0</v>
      </c>
      <c r="EA1426" s="143">
        <v>0</v>
      </c>
      <c r="EB1426">
        <v>1</v>
      </c>
      <c r="EC1426">
        <v>1</v>
      </c>
      <c r="ED1426">
        <v>0</v>
      </c>
      <c r="EE1426">
        <v>0</v>
      </c>
      <c r="EF1426">
        <v>1</v>
      </c>
      <c r="EG1426">
        <v>1</v>
      </c>
      <c r="EH1426">
        <v>1</v>
      </c>
      <c r="EI1426" s="2">
        <v>0</v>
      </c>
      <c r="EK1426" t="str">
        <f t="shared" si="1861"/>
        <v>Whole sector</v>
      </c>
      <c r="EL1426" t="str">
        <f t="shared" si="1862"/>
        <v/>
      </c>
      <c r="EM1426" s="2" t="str">
        <f t="shared" si="1821"/>
        <v/>
      </c>
      <c r="EP1426" t="b">
        <f>IF(ISNUMBER(BU1426),IF(ABS(BU1426-[1]QC_indicators!$B$2)&gt;3*[1]QC_indicators!$C$2,"C ratio",IF(ISNUMBER(BY1426),IF(ABS(BY1426-[1]QC_indicators!$B$1)&gt;3*[1]QC_indicators!$C$1,"DF","no"))),IF(ISNUMBER(BY1426),IF(ABS(BY1426-[1]QC_indicators!$B$1)&gt;3*[1]QC_indicators!$C$1,"DF","no")))</f>
        <v>0</v>
      </c>
    </row>
    <row r="1427" spans="1:150" ht="15" hidden="1" customHeight="1">
      <c r="A1427" s="1" t="s">
        <v>1137</v>
      </c>
      <c r="B1427" t="s">
        <v>4153</v>
      </c>
      <c r="C1427" t="s">
        <v>4154</v>
      </c>
      <c r="D1427" t="s">
        <v>4155</v>
      </c>
      <c r="E1427" t="s">
        <v>4156</v>
      </c>
      <c r="F1427" t="s">
        <v>4157</v>
      </c>
      <c r="G1427" t="s">
        <v>1138</v>
      </c>
      <c r="H1427" t="s">
        <v>254</v>
      </c>
      <c r="I1427">
        <v>2019</v>
      </c>
      <c r="J1427">
        <v>6</v>
      </c>
      <c r="K1427" t="s">
        <v>4158</v>
      </c>
      <c r="M1427" t="str">
        <f t="shared" si="1856"/>
        <v>She_2019</v>
      </c>
      <c r="N1427" s="311" t="s">
        <v>4382</v>
      </c>
      <c r="O1427" s="145" t="s">
        <v>341</v>
      </c>
      <c r="Q1427" s="311" t="s">
        <v>256</v>
      </c>
      <c r="R1427" s="312"/>
      <c r="S1427" s="1" t="s">
        <v>4163</v>
      </c>
      <c r="T1427" t="s">
        <v>4160</v>
      </c>
      <c r="U1427" t="e">
        <f>#REF!</f>
        <v>#REF!</v>
      </c>
      <c r="V1427">
        <v>2</v>
      </c>
      <c r="W1427">
        <v>1</v>
      </c>
      <c r="X1427">
        <v>0</v>
      </c>
      <c r="Y1427">
        <v>0</v>
      </c>
      <c r="Z1427">
        <v>0</v>
      </c>
      <c r="AA1427">
        <v>0</v>
      </c>
      <c r="AB1427">
        <v>0</v>
      </c>
      <c r="AC1427">
        <v>0</v>
      </c>
      <c r="AD1427">
        <v>0</v>
      </c>
      <c r="AE1427">
        <v>0</v>
      </c>
      <c r="AF1427">
        <v>2</v>
      </c>
      <c r="AG1427">
        <v>0</v>
      </c>
      <c r="AH1427">
        <v>0</v>
      </c>
      <c r="AI1427">
        <v>0</v>
      </c>
      <c r="AJ1427">
        <v>2</v>
      </c>
      <c r="AK1427">
        <v>0</v>
      </c>
      <c r="AL1427">
        <v>0</v>
      </c>
      <c r="AM1427">
        <v>0</v>
      </c>
      <c r="AN1427">
        <v>0</v>
      </c>
      <c r="AO1427">
        <v>0</v>
      </c>
      <c r="AP1427">
        <v>0</v>
      </c>
      <c r="AQ1427">
        <v>0</v>
      </c>
      <c r="AR1427">
        <v>0</v>
      </c>
      <c r="AS1427">
        <v>0</v>
      </c>
      <c r="AT1427">
        <v>0</v>
      </c>
      <c r="AU1427">
        <v>0</v>
      </c>
      <c r="AV1427">
        <v>0</v>
      </c>
      <c r="AW1427">
        <v>0</v>
      </c>
      <c r="AX1427" s="141">
        <f>COUNTIF(V1427:AW1427,"&lt;&gt;0")</f>
        <v>4</v>
      </c>
      <c r="AY1427" s="141">
        <f>COUNTIF(V1427:AL1427,"&lt;&gt;0")</f>
        <v>4</v>
      </c>
      <c r="AZ1427">
        <f>COUNTIF(V1427:AC1427,"&lt;&gt;0")</f>
        <v>2</v>
      </c>
      <c r="BA1427">
        <f>COUNTIF(AD1427:AI1427,"&lt;&gt;0")</f>
        <v>1</v>
      </c>
      <c r="BB1427">
        <f>COUNTIF(AJ1427:AL1427,"&lt;&gt;0")</f>
        <v>1</v>
      </c>
      <c r="BC1427">
        <f>COUNTIF(AS1427:AW1427,"&lt;&gt;0")</f>
        <v>0</v>
      </c>
      <c r="BD1427">
        <f>COUNTIF(AM1427:AR1427,"&lt;&gt;0")</f>
        <v>0</v>
      </c>
      <c r="BE1427" t="str" cm="1">
        <f t="array" ref="BE1427">IF(AY1427=1,INDEX($V$7:$AL$7,MATCH(TRUE,INDEX($V1427:$AW1427&lt;&gt;0,),0)),IF(AY1427=0,INDEX($AM$7:$AW$7,MATCH(1,$AM1427:$AW1427,0)),IF(BF1427="Multiple strategies","mixed drivers",IF(BF1427="Supply chain","multiple supply","multiple silviculture"))))</f>
        <v>mixed drivers</v>
      </c>
      <c r="BF1427" s="2" t="str" cm="1">
        <f t="array" ref="BF1427">IF(COUNTIF(AZ1427:BB1427,"&lt;&gt;0")=1,INDEX($V$4:$AW$4,MATCH(TRUE,INDEX($V1427:$AW1427&lt;&gt;0,),0)),IF(COUNTIF(AZ1427:BB1427,"&lt;&gt;0")=0,INDEX($AM$4:$AW$4,MATCH(1,$AM1427:$AW1427,0)),"Multiple strategies"))</f>
        <v>Multiple strategies</v>
      </c>
      <c r="BP1427" t="s">
        <v>232</v>
      </c>
      <c r="BR1427" t="s">
        <v>1139</v>
      </c>
      <c r="BS1427">
        <v>73.36</v>
      </c>
      <c r="BT1427">
        <v>224.76</v>
      </c>
      <c r="BU1427" s="144">
        <f>IFERROR(BT1427/BS1427,"")</f>
        <v>3.0637949836423117</v>
      </c>
      <c r="BV1427">
        <f>BT1427-BS1427</f>
        <v>151.39999999999998</v>
      </c>
      <c r="BX1427">
        <f>BV1427*10^6</f>
        <v>151399999.99999997</v>
      </c>
      <c r="BY1427" t="str">
        <f t="shared" si="1820"/>
        <v/>
      </c>
      <c r="BZ1427">
        <v>0</v>
      </c>
      <c r="CA1427">
        <v>0</v>
      </c>
      <c r="CB1427">
        <v>0</v>
      </c>
      <c r="CC1427">
        <v>0</v>
      </c>
      <c r="CD1427">
        <v>0</v>
      </c>
      <c r="CE1427">
        <v>0</v>
      </c>
      <c r="CF1427">
        <v>0</v>
      </c>
      <c r="CG1427">
        <v>0</v>
      </c>
      <c r="CH1427">
        <v>0</v>
      </c>
      <c r="CI1427">
        <v>0</v>
      </c>
      <c r="CJ1427">
        <v>0</v>
      </c>
      <c r="CK1427">
        <v>0</v>
      </c>
      <c r="CL1427">
        <v>0</v>
      </c>
      <c r="CM1427">
        <v>0</v>
      </c>
      <c r="CN1427" t="str">
        <f>IF(BL1427&lt;BK1427,"refNeedCorrection","refOK")</f>
        <v>refOK</v>
      </c>
      <c r="CO1427"/>
      <c r="CP1427"/>
      <c r="CQ1427"/>
      <c r="CR1427">
        <f>IF($CN1427="refOK",$BS1427,$BT1427)*IF($BP1427="Emissions positive",-1,1)</f>
        <v>73.36</v>
      </c>
      <c r="CS1427">
        <f>IF($CN1427="refOK",$BT1427,$BS1427)*IF($BP1427="Emissions positive",-1,1)</f>
        <v>224.76</v>
      </c>
      <c r="CT1427">
        <f>IF($CN1427="refNeedCorrection",-BX1427,BX1427)*IF($BP1427="Emissions positive",-1,1)</f>
        <v>151399999.99999997</v>
      </c>
      <c r="CU1427" t="str">
        <f>IFERROR(CT1427/CQ1427,"")</f>
        <v/>
      </c>
      <c r="CV1427" s="2">
        <f>IFERROR((CS1427-CR1427)/ABS(CR1427),"")</f>
        <v>2.0637949836423117</v>
      </c>
      <c r="CW1427" s="1" t="s">
        <v>234</v>
      </c>
      <c r="CX1427" s="311" t="str">
        <f>IF(OR($CW1427="prd",$CW1427="std",$CW1427="cit"),"loc",IF(OR($CW1427="eur",$CW1427="reg",$CW1427="coy"),"reg",$CW1427))</f>
        <v>loc</v>
      </c>
      <c r="CY1427" t="s">
        <v>428</v>
      </c>
      <c r="CZ1427">
        <v>2008</v>
      </c>
      <c r="DB1427">
        <v>0</v>
      </c>
      <c r="DC1427" t="str">
        <f>IF(DB1427=0,"0",IF(AND(DB1427&gt;=1,DB1427&lt;=30),"1-30",IF(AND(DB1427&gt;30,DB1427&lt;=70),"31-70",IF(AND(DB1427&gt;70,DB1427&lt;=100),"71-100",IF(DB1427&gt;100,"+100")))))</f>
        <v>0</v>
      </c>
      <c r="DD1427">
        <v>0</v>
      </c>
      <c r="DE1427">
        <v>1</v>
      </c>
      <c r="DF1427">
        <v>0</v>
      </c>
      <c r="DG1427">
        <v>1</v>
      </c>
      <c r="DI1427">
        <f>SUM(DD1427:DG1427)</f>
        <v>2</v>
      </c>
      <c r="DJ1427" t="str">
        <f>IF(DI1427=1,INDEX($DD$7:$DG$7,MATCH(1,$DD1427:$DG1427,0)),"mixedProduct")</f>
        <v>mixedProduct</v>
      </c>
      <c r="DK1427">
        <f t="shared" si="1863"/>
        <v>0</v>
      </c>
      <c r="DL1427" t="str">
        <f t="shared" si="1863"/>
        <v>Energy</v>
      </c>
      <c r="DM1427">
        <f t="shared" si="1863"/>
        <v>0</v>
      </c>
      <c r="DN1427" t="str">
        <f t="shared" si="1863"/>
        <v>Timber</v>
      </c>
      <c r="DO1427">
        <v>0</v>
      </c>
      <c r="DP1427">
        <v>1</v>
      </c>
      <c r="DQ1427" s="295" t="s">
        <v>4161</v>
      </c>
      <c r="DR1427">
        <v>0</v>
      </c>
      <c r="DS1427" t="s">
        <v>4162</v>
      </c>
      <c r="DT1427">
        <f>SUM(DO1427:DP1427)</f>
        <v>1</v>
      </c>
      <c r="DU1427" s="143" t="str">
        <f>IF(DO1427=1,"self-calculated DF",IF(DP1427=1,"external DF used","explicit C balance"))</f>
        <v>external DF used</v>
      </c>
      <c r="DV1427">
        <v>0</v>
      </c>
      <c r="DW1427">
        <v>1</v>
      </c>
      <c r="DX1427">
        <v>0</v>
      </c>
      <c r="DY1427">
        <v>1</v>
      </c>
      <c r="DZ1427">
        <v>0</v>
      </c>
      <c r="EA1427" s="143">
        <v>0</v>
      </c>
      <c r="EB1427">
        <v>1</v>
      </c>
      <c r="EC1427">
        <v>1</v>
      </c>
      <c r="ED1427">
        <v>0</v>
      </c>
      <c r="EE1427">
        <v>0</v>
      </c>
      <c r="EF1427">
        <v>1</v>
      </c>
      <c r="EG1427">
        <v>1</v>
      </c>
      <c r="EH1427">
        <v>1</v>
      </c>
      <c r="EI1427" s="2">
        <v>0</v>
      </c>
      <c r="EK1427" t="str">
        <f t="shared" si="1861"/>
        <v>Whole sector</v>
      </c>
      <c r="EL1427" t="str">
        <f t="shared" si="1862"/>
        <v/>
      </c>
      <c r="EM1427" s="2" t="str">
        <f t="shared" si="1821"/>
        <v/>
      </c>
      <c r="EP1427" t="b">
        <f>IF(ISNUMBER(BU1427),IF(ABS(BU1427-[1]QC_indicators!$B$2)&gt;3*[1]QC_indicators!$C$2,"C ratio",IF(ISNUMBER(BY1427),IF(ABS(BY1427-[1]QC_indicators!$B$1)&gt;3*[1]QC_indicators!$C$1,"DF","no"))),IF(ISNUMBER(BY1427),IF(ABS(BY1427-[1]QC_indicators!$B$1)&gt;3*[1]QC_indicators!$C$1,"DF","no")))</f>
        <v>0</v>
      </c>
    </row>
    <row r="1428" spans="1:150" ht="15" hidden="1" customHeight="1">
      <c r="A1428" s="1" t="s">
        <v>1137</v>
      </c>
      <c r="B1428" t="s">
        <v>4153</v>
      </c>
      <c r="C1428" t="s">
        <v>4154</v>
      </c>
      <c r="D1428" t="s">
        <v>4155</v>
      </c>
      <c r="E1428" t="s">
        <v>4156</v>
      </c>
      <c r="F1428" t="s">
        <v>4157</v>
      </c>
      <c r="G1428" t="s">
        <v>1138</v>
      </c>
      <c r="H1428" t="s">
        <v>254</v>
      </c>
      <c r="I1428">
        <v>2019</v>
      </c>
      <c r="J1428">
        <v>6</v>
      </c>
      <c r="K1428" t="s">
        <v>4158</v>
      </c>
      <c r="M1428" t="str">
        <f t="shared" si="1856"/>
        <v>She_2019</v>
      </c>
      <c r="N1428" s="311" t="s">
        <v>4382</v>
      </c>
      <c r="O1428" s="145" t="s">
        <v>341</v>
      </c>
      <c r="Q1428" s="311" t="s">
        <v>256</v>
      </c>
      <c r="R1428" s="312"/>
      <c r="S1428" s="1" t="s">
        <v>4164</v>
      </c>
      <c r="T1428" t="s">
        <v>4160</v>
      </c>
      <c r="U1428" t="e">
        <f>#REF!</f>
        <v>#REF!</v>
      </c>
      <c r="V1428">
        <v>2</v>
      </c>
      <c r="W1428">
        <v>1</v>
      </c>
      <c r="X1428">
        <v>0</v>
      </c>
      <c r="Y1428">
        <v>0</v>
      </c>
      <c r="Z1428">
        <v>0</v>
      </c>
      <c r="AA1428">
        <v>0</v>
      </c>
      <c r="AB1428">
        <v>0</v>
      </c>
      <c r="AC1428">
        <v>0</v>
      </c>
      <c r="AD1428">
        <v>0</v>
      </c>
      <c r="AE1428">
        <v>0</v>
      </c>
      <c r="AF1428">
        <v>2</v>
      </c>
      <c r="AG1428">
        <v>0</v>
      </c>
      <c r="AH1428">
        <v>0</v>
      </c>
      <c r="AI1428">
        <v>0</v>
      </c>
      <c r="AJ1428">
        <v>2</v>
      </c>
      <c r="AK1428">
        <v>0</v>
      </c>
      <c r="AL1428">
        <v>0</v>
      </c>
      <c r="AM1428">
        <v>0</v>
      </c>
      <c r="AN1428">
        <v>0</v>
      </c>
      <c r="AO1428">
        <v>0</v>
      </c>
      <c r="AP1428">
        <v>0</v>
      </c>
      <c r="AQ1428">
        <v>0</v>
      </c>
      <c r="AR1428">
        <v>0</v>
      </c>
      <c r="AS1428">
        <v>0</v>
      </c>
      <c r="AT1428">
        <v>0</v>
      </c>
      <c r="AU1428">
        <v>0</v>
      </c>
      <c r="AV1428">
        <v>0</v>
      </c>
      <c r="AW1428">
        <v>0</v>
      </c>
      <c r="AX1428" s="141">
        <f>COUNTIF(V1428:AW1428,"&lt;&gt;0")</f>
        <v>4</v>
      </c>
      <c r="AY1428" s="141">
        <f>COUNTIF(V1428:AL1428,"&lt;&gt;0")</f>
        <v>4</v>
      </c>
      <c r="AZ1428">
        <f>COUNTIF(V1428:AC1428,"&lt;&gt;0")</f>
        <v>2</v>
      </c>
      <c r="BA1428">
        <f>COUNTIF(AD1428:AI1428,"&lt;&gt;0")</f>
        <v>1</v>
      </c>
      <c r="BB1428">
        <f>COUNTIF(AJ1428:AL1428,"&lt;&gt;0")</f>
        <v>1</v>
      </c>
      <c r="BC1428">
        <f>COUNTIF(AS1428:AW1428,"&lt;&gt;0")</f>
        <v>0</v>
      </c>
      <c r="BD1428">
        <f>COUNTIF(AM1428:AR1428,"&lt;&gt;0")</f>
        <v>0</v>
      </c>
      <c r="BE1428" t="str" cm="1">
        <f t="array" ref="BE1428">IF(AY1428=1,INDEX($V$7:$AL$7,MATCH(TRUE,INDEX($V1428:$AW1428&lt;&gt;0,),0)),IF(AY1428=0,INDEX($AM$7:$AW$7,MATCH(1,$AM1428:$AW1428,0)),IF(BF1428="Multiple strategies","mixed drivers",IF(BF1428="Supply chain","multiple supply","multiple silviculture"))))</f>
        <v>mixed drivers</v>
      </c>
      <c r="BF1428" s="2" t="str" cm="1">
        <f t="array" ref="BF1428">IF(COUNTIF(AZ1428:BB1428,"&lt;&gt;0")=1,INDEX($V$4:$AW$4,MATCH(TRUE,INDEX($V1428:$AW1428&lt;&gt;0,),0)),IF(COUNTIF(AZ1428:BB1428,"&lt;&gt;0")=0,INDEX($AM$4:$AW$4,MATCH(1,$AM1428:$AW1428,0)),"Multiple strategies"))</f>
        <v>Multiple strategies</v>
      </c>
      <c r="BP1428" t="s">
        <v>232</v>
      </c>
      <c r="BR1428" t="s">
        <v>1139</v>
      </c>
      <c r="BS1428">
        <v>73.36</v>
      </c>
      <c r="BT1428">
        <v>224.76</v>
      </c>
      <c r="BU1428" s="144">
        <f>IFERROR(BT1428/BS1428,"")</f>
        <v>3.0637949836423117</v>
      </c>
      <c r="BV1428">
        <f>BT1428-BS1428</f>
        <v>151.39999999999998</v>
      </c>
      <c r="BX1428">
        <f>BV1428*10^6</f>
        <v>151399999.99999997</v>
      </c>
      <c r="BY1428" t="str">
        <f t="shared" si="1820"/>
        <v/>
      </c>
      <c r="BZ1428">
        <v>0</v>
      </c>
      <c r="CA1428">
        <v>0</v>
      </c>
      <c r="CB1428">
        <v>0</v>
      </c>
      <c r="CC1428">
        <v>0</v>
      </c>
      <c r="CD1428">
        <v>0</v>
      </c>
      <c r="CE1428">
        <v>0</v>
      </c>
      <c r="CF1428">
        <v>0</v>
      </c>
      <c r="CG1428">
        <v>0</v>
      </c>
      <c r="CH1428">
        <v>0</v>
      </c>
      <c r="CI1428">
        <v>0</v>
      </c>
      <c r="CJ1428">
        <v>0</v>
      </c>
      <c r="CK1428">
        <v>0</v>
      </c>
      <c r="CL1428">
        <v>0</v>
      </c>
      <c r="CM1428">
        <v>0</v>
      </c>
      <c r="CN1428" t="str">
        <f>IF(BL1428&lt;BK1428,"refNeedCorrection","refOK")</f>
        <v>refOK</v>
      </c>
      <c r="CO1428"/>
      <c r="CP1428"/>
      <c r="CQ1428"/>
      <c r="CR1428">
        <f>IF($CN1428="refOK",$BS1428,$BT1428)*IF($BP1428="Emissions positive",-1,1)</f>
        <v>73.36</v>
      </c>
      <c r="CS1428">
        <f>IF($CN1428="refOK",$BT1428,$BS1428)*IF($BP1428="Emissions positive",-1,1)</f>
        <v>224.76</v>
      </c>
      <c r="CT1428">
        <f>IF($CN1428="refNeedCorrection",-BX1428,BX1428)*IF($BP1428="Emissions positive",-1,1)</f>
        <v>151399999.99999997</v>
      </c>
      <c r="CU1428" t="str">
        <f>IFERROR(CT1428/CQ1428,"")</f>
        <v/>
      </c>
      <c r="CV1428" s="2">
        <f>IFERROR((CS1428-CR1428)/ABS(CR1428),"")</f>
        <v>2.0637949836423117</v>
      </c>
      <c r="CW1428" s="1" t="s">
        <v>234</v>
      </c>
      <c r="CX1428" s="311" t="str">
        <f>IF(OR($CW1428="prd",$CW1428="std",$CW1428="cit"),"loc",IF(OR($CW1428="eur",$CW1428="reg",$CW1428="coy"),"reg",$CW1428))</f>
        <v>loc</v>
      </c>
      <c r="CY1428" t="s">
        <v>428</v>
      </c>
      <c r="CZ1428">
        <v>2008</v>
      </c>
      <c r="DB1428">
        <v>0</v>
      </c>
      <c r="DC1428" t="str">
        <f>IF(DB1428=0,"0",IF(AND(DB1428&gt;=1,DB1428&lt;=30),"1-30",IF(AND(DB1428&gt;30,DB1428&lt;=70),"31-70",IF(AND(DB1428&gt;70,DB1428&lt;=100),"71-100",IF(DB1428&gt;100,"+100")))))</f>
        <v>0</v>
      </c>
      <c r="DD1428">
        <v>0</v>
      </c>
      <c r="DE1428">
        <v>1</v>
      </c>
      <c r="DF1428">
        <v>0</v>
      </c>
      <c r="DG1428">
        <v>1</v>
      </c>
      <c r="DI1428">
        <f>SUM(DD1428:DG1428)</f>
        <v>2</v>
      </c>
      <c r="DJ1428" t="str">
        <f>IF(DI1428=1,INDEX($DD$7:$DG$7,MATCH(1,$DD1428:$DG1428,0)),"mixedProduct")</f>
        <v>mixedProduct</v>
      </c>
      <c r="DK1428">
        <f t="shared" si="1863"/>
        <v>0</v>
      </c>
      <c r="DL1428" t="str">
        <f t="shared" si="1863"/>
        <v>Energy</v>
      </c>
      <c r="DM1428">
        <f t="shared" si="1863"/>
        <v>0</v>
      </c>
      <c r="DN1428" t="str">
        <f t="shared" si="1863"/>
        <v>Timber</v>
      </c>
      <c r="DO1428">
        <v>0</v>
      </c>
      <c r="DP1428">
        <v>1</v>
      </c>
      <c r="DQ1428" s="295" t="s">
        <v>4161</v>
      </c>
      <c r="DR1428">
        <v>0</v>
      </c>
      <c r="DS1428" t="s">
        <v>4162</v>
      </c>
      <c r="DT1428">
        <f>SUM(DO1428:DP1428)</f>
        <v>1</v>
      </c>
      <c r="DU1428" s="143" t="str">
        <f>IF(DO1428=1,"self-calculated DF",IF(DP1428=1,"external DF used","explicit C balance"))</f>
        <v>external DF used</v>
      </c>
      <c r="DV1428">
        <v>0</v>
      </c>
      <c r="DW1428">
        <v>1</v>
      </c>
      <c r="DX1428">
        <v>0</v>
      </c>
      <c r="DY1428">
        <v>1</v>
      </c>
      <c r="DZ1428">
        <v>0</v>
      </c>
      <c r="EA1428" s="143">
        <v>0</v>
      </c>
      <c r="EB1428">
        <v>1</v>
      </c>
      <c r="EC1428">
        <v>1</v>
      </c>
      <c r="ED1428">
        <v>0</v>
      </c>
      <c r="EE1428">
        <v>0</v>
      </c>
      <c r="EF1428">
        <v>1</v>
      </c>
      <c r="EG1428">
        <v>1</v>
      </c>
      <c r="EH1428">
        <v>1</v>
      </c>
      <c r="EI1428" s="2">
        <v>0</v>
      </c>
      <c r="EK1428" t="str">
        <f t="shared" si="1861"/>
        <v>Whole sector</v>
      </c>
      <c r="EL1428" t="str">
        <f t="shared" si="1862"/>
        <v/>
      </c>
      <c r="EM1428" s="2" t="str">
        <f t="shared" si="1821"/>
        <v/>
      </c>
      <c r="EP1428" t="b">
        <f>IF(ISNUMBER(BU1428),IF(ABS(BU1428-[1]QC_indicators!$B$2)&gt;3*[1]QC_indicators!$C$2,"C ratio",IF(ISNUMBER(BY1428),IF(ABS(BY1428-[1]QC_indicators!$B$1)&gt;3*[1]QC_indicators!$C$1,"DF","no"))),IF(ISNUMBER(BY1428),IF(ABS(BY1428-[1]QC_indicators!$B$1)&gt;3*[1]QC_indicators!$C$1,"DF","no")))</f>
        <v>0</v>
      </c>
      <c r="ER1428" t="s">
        <v>4165</v>
      </c>
    </row>
    <row r="1429" spans="1:150" ht="15" hidden="1" customHeight="1">
      <c r="A1429" s="1" t="s">
        <v>1137</v>
      </c>
      <c r="B1429" t="s">
        <v>4153</v>
      </c>
      <c r="C1429" t="s">
        <v>4154</v>
      </c>
      <c r="D1429" t="s">
        <v>4155</v>
      </c>
      <c r="E1429" t="s">
        <v>4156</v>
      </c>
      <c r="F1429" t="s">
        <v>4157</v>
      </c>
      <c r="G1429" t="s">
        <v>1138</v>
      </c>
      <c r="H1429" t="s">
        <v>254</v>
      </c>
      <c r="I1429">
        <v>2019</v>
      </c>
      <c r="J1429">
        <v>6</v>
      </c>
      <c r="K1429" t="s">
        <v>4158</v>
      </c>
      <c r="M1429" t="str">
        <f t="shared" si="1856"/>
        <v>She_2019</v>
      </c>
      <c r="N1429" s="311" t="s">
        <v>4382</v>
      </c>
      <c r="O1429" s="145" t="s">
        <v>341</v>
      </c>
      <c r="Q1429" s="311" t="s">
        <v>256</v>
      </c>
      <c r="R1429" s="312"/>
      <c r="S1429" s="1" t="s">
        <v>4166</v>
      </c>
      <c r="T1429" t="s">
        <v>4160</v>
      </c>
      <c r="U1429" t="e">
        <f>#REF!</f>
        <v>#REF!</v>
      </c>
      <c r="V1429">
        <v>2</v>
      </c>
      <c r="W1429">
        <v>1</v>
      </c>
      <c r="X1429">
        <v>0</v>
      </c>
      <c r="Y1429">
        <v>0</v>
      </c>
      <c r="Z1429">
        <v>0</v>
      </c>
      <c r="AA1429">
        <v>0</v>
      </c>
      <c r="AB1429">
        <v>0</v>
      </c>
      <c r="AC1429">
        <v>0</v>
      </c>
      <c r="AD1429">
        <v>0</v>
      </c>
      <c r="AE1429">
        <v>0</v>
      </c>
      <c r="AF1429">
        <v>2</v>
      </c>
      <c r="AG1429">
        <v>0</v>
      </c>
      <c r="AH1429">
        <v>0</v>
      </c>
      <c r="AI1429">
        <v>0</v>
      </c>
      <c r="AJ1429">
        <v>2</v>
      </c>
      <c r="AK1429">
        <v>0</v>
      </c>
      <c r="AL1429">
        <v>0</v>
      </c>
      <c r="AM1429">
        <v>0</v>
      </c>
      <c r="AN1429">
        <v>0</v>
      </c>
      <c r="AO1429">
        <v>0</v>
      </c>
      <c r="AP1429">
        <v>0</v>
      </c>
      <c r="AQ1429">
        <v>0</v>
      </c>
      <c r="AR1429">
        <v>0</v>
      </c>
      <c r="AS1429">
        <v>0</v>
      </c>
      <c r="AT1429">
        <v>0</v>
      </c>
      <c r="AU1429">
        <v>0</v>
      </c>
      <c r="AV1429">
        <v>0</v>
      </c>
      <c r="AW1429">
        <v>0</v>
      </c>
      <c r="AX1429" s="141">
        <f>COUNTIF(V1429:AW1429,"&lt;&gt;0")</f>
        <v>4</v>
      </c>
      <c r="AY1429" s="141">
        <f>COUNTIF(V1429:AL1429,"&lt;&gt;0")</f>
        <v>4</v>
      </c>
      <c r="AZ1429">
        <f>COUNTIF(V1429:AC1429,"&lt;&gt;0")</f>
        <v>2</v>
      </c>
      <c r="BA1429">
        <f>COUNTIF(AD1429:AI1429,"&lt;&gt;0")</f>
        <v>1</v>
      </c>
      <c r="BB1429">
        <f>COUNTIF(AJ1429:AL1429,"&lt;&gt;0")</f>
        <v>1</v>
      </c>
      <c r="BC1429">
        <f>COUNTIF(AS1429:AW1429,"&lt;&gt;0")</f>
        <v>0</v>
      </c>
      <c r="BD1429">
        <f>COUNTIF(AM1429:AR1429,"&lt;&gt;0")</f>
        <v>0</v>
      </c>
      <c r="BE1429" t="str" cm="1">
        <f t="array" ref="BE1429">IF(AY1429=1,INDEX($V$7:$AL$7,MATCH(TRUE,INDEX($V1429:$AW1429&lt;&gt;0,),0)),IF(AY1429=0,INDEX($AM$7:$AW$7,MATCH(1,$AM1429:$AW1429,0)),IF(BF1429="Multiple strategies","mixed drivers",IF(BF1429="Supply chain","multiple supply","multiple silviculture"))))</f>
        <v>mixed drivers</v>
      </c>
      <c r="BF1429" s="2" t="str" cm="1">
        <f t="array" ref="BF1429">IF(COUNTIF(AZ1429:BB1429,"&lt;&gt;0")=1,INDEX($V$4:$AW$4,MATCH(TRUE,INDEX($V1429:$AW1429&lt;&gt;0,),0)),IF(COUNTIF(AZ1429:BB1429,"&lt;&gt;0")=0,INDEX($AM$4:$AW$4,MATCH(1,$AM1429:$AW1429,0)),"Multiple strategies"))</f>
        <v>Multiple strategies</v>
      </c>
      <c r="BP1429" t="s">
        <v>232</v>
      </c>
      <c r="BR1429" t="s">
        <v>1139</v>
      </c>
      <c r="BS1429">
        <v>73.36</v>
      </c>
      <c r="BT1429">
        <v>110.42</v>
      </c>
      <c r="BU1429" s="144">
        <f>IFERROR(BT1429/BS1429,"")</f>
        <v>1.5051799345692476</v>
      </c>
      <c r="BV1429">
        <f>BT1429-BS1429</f>
        <v>37.06</v>
      </c>
      <c r="BX1429">
        <f>BV1429*10^6</f>
        <v>37060000</v>
      </c>
      <c r="BY1429" t="str">
        <f t="shared" si="1820"/>
        <v/>
      </c>
      <c r="BZ1429">
        <v>0</v>
      </c>
      <c r="CA1429">
        <v>0</v>
      </c>
      <c r="CB1429">
        <v>0</v>
      </c>
      <c r="CC1429">
        <v>0</v>
      </c>
      <c r="CD1429">
        <v>0</v>
      </c>
      <c r="CE1429">
        <v>0</v>
      </c>
      <c r="CF1429">
        <v>0</v>
      </c>
      <c r="CG1429">
        <v>0</v>
      </c>
      <c r="CH1429">
        <v>0</v>
      </c>
      <c r="CI1429">
        <v>0</v>
      </c>
      <c r="CJ1429">
        <v>0</v>
      </c>
      <c r="CK1429">
        <v>0</v>
      </c>
      <c r="CL1429">
        <v>0</v>
      </c>
      <c r="CM1429">
        <v>0</v>
      </c>
      <c r="CN1429" t="str">
        <f>IF(BL1429&lt;BK1429,"refNeedCorrection","refOK")</f>
        <v>refOK</v>
      </c>
      <c r="CO1429"/>
      <c r="CP1429"/>
      <c r="CQ1429"/>
      <c r="CR1429">
        <f>IF($CN1429="refOK",$BS1429,$BT1429)*IF($BP1429="Emissions positive",-1,1)</f>
        <v>73.36</v>
      </c>
      <c r="CS1429">
        <f>IF($CN1429="refOK",$BT1429,$BS1429)*IF($BP1429="Emissions positive",-1,1)</f>
        <v>110.42</v>
      </c>
      <c r="CT1429">
        <f>IF($CN1429="refNeedCorrection",-BX1429,BX1429)*IF($BP1429="Emissions positive",-1,1)</f>
        <v>37060000</v>
      </c>
      <c r="CU1429" t="str">
        <f>IFERROR(CT1429/CQ1429,"")</f>
        <v/>
      </c>
      <c r="CV1429" s="2">
        <f>IFERROR((CS1429-CR1429)/ABS(CR1429),"")</f>
        <v>0.50517993456924759</v>
      </c>
      <c r="CW1429" s="1" t="s">
        <v>234</v>
      </c>
      <c r="CX1429" s="311" t="str">
        <f>IF(OR($CW1429="prd",$CW1429="std",$CW1429="cit"),"loc",IF(OR($CW1429="eur",$CW1429="reg",$CW1429="coy"),"reg",$CW1429))</f>
        <v>loc</v>
      </c>
      <c r="CY1429" t="s">
        <v>428</v>
      </c>
      <c r="CZ1429">
        <v>2008</v>
      </c>
      <c r="DB1429">
        <v>0</v>
      </c>
      <c r="DC1429" t="str">
        <f>IF(DB1429=0,"0",IF(AND(DB1429&gt;=1,DB1429&lt;=30),"1-30",IF(AND(DB1429&gt;30,DB1429&lt;=70),"31-70",IF(AND(DB1429&gt;70,DB1429&lt;=100),"71-100",IF(DB1429&gt;100,"+100")))))</f>
        <v>0</v>
      </c>
      <c r="DD1429">
        <v>0</v>
      </c>
      <c r="DE1429">
        <v>1</v>
      </c>
      <c r="DF1429">
        <v>0</v>
      </c>
      <c r="DG1429">
        <v>1</v>
      </c>
      <c r="DI1429">
        <f>SUM(DD1429:DG1429)</f>
        <v>2</v>
      </c>
      <c r="DJ1429" t="str">
        <f>IF(DI1429=1,INDEX($DD$7:$DG$7,MATCH(1,$DD1429:$DG1429,0)),"mixedProduct")</f>
        <v>mixedProduct</v>
      </c>
      <c r="DK1429">
        <f t="shared" si="1863"/>
        <v>0</v>
      </c>
      <c r="DL1429" t="str">
        <f t="shared" si="1863"/>
        <v>Energy</v>
      </c>
      <c r="DM1429">
        <f t="shared" si="1863"/>
        <v>0</v>
      </c>
      <c r="DN1429" t="str">
        <f t="shared" si="1863"/>
        <v>Timber</v>
      </c>
      <c r="DO1429">
        <v>0</v>
      </c>
      <c r="DP1429">
        <v>1</v>
      </c>
      <c r="DQ1429" s="295" t="s">
        <v>4161</v>
      </c>
      <c r="DR1429">
        <v>0</v>
      </c>
      <c r="DS1429" t="s">
        <v>4162</v>
      </c>
      <c r="DT1429">
        <f>SUM(DO1429:DP1429)</f>
        <v>1</v>
      </c>
      <c r="DU1429" s="143" t="str">
        <f>IF(DO1429=1,"self-calculated DF",IF(DP1429=1,"external DF used","explicit C balance"))</f>
        <v>external DF used</v>
      </c>
      <c r="DV1429">
        <v>0</v>
      </c>
      <c r="DW1429">
        <v>1</v>
      </c>
      <c r="DX1429">
        <v>0</v>
      </c>
      <c r="DY1429">
        <v>1</v>
      </c>
      <c r="DZ1429">
        <v>0</v>
      </c>
      <c r="EA1429" s="143">
        <v>0</v>
      </c>
      <c r="EB1429">
        <v>1</v>
      </c>
      <c r="EC1429">
        <v>1</v>
      </c>
      <c r="ED1429">
        <v>0</v>
      </c>
      <c r="EE1429">
        <v>0</v>
      </c>
      <c r="EF1429">
        <v>1</v>
      </c>
      <c r="EG1429">
        <v>1</v>
      </c>
      <c r="EH1429">
        <v>1</v>
      </c>
      <c r="EI1429" s="2">
        <v>0</v>
      </c>
      <c r="EK1429" t="str">
        <f t="shared" si="1861"/>
        <v>Whole sector</v>
      </c>
      <c r="EL1429" t="str">
        <f t="shared" si="1862"/>
        <v/>
      </c>
      <c r="EM1429" s="2" t="str">
        <f t="shared" si="1821"/>
        <v/>
      </c>
      <c r="EP1429" t="b">
        <f>IF(ISNUMBER(BU1429),IF(ABS(BU1429-[1]QC_indicators!$B$2)&gt;3*[1]QC_indicators!$C$2,"C ratio",IF(ISNUMBER(BY1429),IF(ABS(BY1429-[1]QC_indicators!$B$1)&gt;3*[1]QC_indicators!$C$1,"DF","no"))),IF(ISNUMBER(BY1429),IF(ABS(BY1429-[1]QC_indicators!$B$1)&gt;3*[1]QC_indicators!$C$1,"DF","no")))</f>
        <v>0</v>
      </c>
    </row>
    <row r="1430" spans="1:150" ht="15" hidden="1" customHeight="1">
      <c r="A1430" s="1" t="s">
        <v>1137</v>
      </c>
      <c r="B1430" t="s">
        <v>4153</v>
      </c>
      <c r="C1430" t="s">
        <v>4154</v>
      </c>
      <c r="D1430" t="s">
        <v>4155</v>
      </c>
      <c r="E1430" t="s">
        <v>4156</v>
      </c>
      <c r="F1430" t="s">
        <v>4157</v>
      </c>
      <c r="G1430" t="s">
        <v>1138</v>
      </c>
      <c r="H1430" t="s">
        <v>254</v>
      </c>
      <c r="I1430">
        <v>2019</v>
      </c>
      <c r="J1430">
        <v>6</v>
      </c>
      <c r="K1430" t="s">
        <v>4158</v>
      </c>
      <c r="M1430" t="str">
        <f t="shared" si="1856"/>
        <v>She_2019</v>
      </c>
      <c r="N1430" s="311" t="s">
        <v>4382</v>
      </c>
      <c r="O1430" s="145" t="s">
        <v>341</v>
      </c>
      <c r="Q1430" s="311" t="s">
        <v>256</v>
      </c>
      <c r="R1430" s="312"/>
      <c r="S1430" s="1" t="s">
        <v>4167</v>
      </c>
      <c r="T1430" t="s">
        <v>4160</v>
      </c>
      <c r="U1430" t="e">
        <f>#REF!</f>
        <v>#REF!</v>
      </c>
      <c r="V1430">
        <v>2</v>
      </c>
      <c r="W1430">
        <v>1</v>
      </c>
      <c r="X1430">
        <v>0</v>
      </c>
      <c r="Y1430">
        <v>0</v>
      </c>
      <c r="Z1430">
        <v>0</v>
      </c>
      <c r="AA1430">
        <v>0</v>
      </c>
      <c r="AB1430">
        <v>0</v>
      </c>
      <c r="AC1430">
        <v>0</v>
      </c>
      <c r="AD1430">
        <v>0</v>
      </c>
      <c r="AE1430">
        <v>0</v>
      </c>
      <c r="AF1430">
        <v>2</v>
      </c>
      <c r="AG1430">
        <v>0</v>
      </c>
      <c r="AH1430">
        <v>0</v>
      </c>
      <c r="AI1430">
        <v>0</v>
      </c>
      <c r="AJ1430">
        <v>2</v>
      </c>
      <c r="AK1430">
        <v>0</v>
      </c>
      <c r="AL1430">
        <v>0</v>
      </c>
      <c r="AM1430">
        <v>0</v>
      </c>
      <c r="AN1430">
        <v>0</v>
      </c>
      <c r="AO1430">
        <v>0</v>
      </c>
      <c r="AP1430">
        <v>0</v>
      </c>
      <c r="AQ1430">
        <v>0</v>
      </c>
      <c r="AR1430">
        <v>0</v>
      </c>
      <c r="AS1430">
        <v>0</v>
      </c>
      <c r="AT1430">
        <v>0</v>
      </c>
      <c r="AU1430">
        <v>0</v>
      </c>
      <c r="AV1430">
        <v>0</v>
      </c>
      <c r="AW1430">
        <v>0</v>
      </c>
      <c r="AX1430" s="141">
        <f>COUNTIF(V1430:AW1430,"&lt;&gt;0")</f>
        <v>4</v>
      </c>
      <c r="AY1430" s="141">
        <f>COUNTIF(V1430:AL1430,"&lt;&gt;0")</f>
        <v>4</v>
      </c>
      <c r="AZ1430">
        <f>COUNTIF(V1430:AC1430,"&lt;&gt;0")</f>
        <v>2</v>
      </c>
      <c r="BA1430">
        <f>COUNTIF(AD1430:AI1430,"&lt;&gt;0")</f>
        <v>1</v>
      </c>
      <c r="BB1430">
        <f>COUNTIF(AJ1430:AL1430,"&lt;&gt;0")</f>
        <v>1</v>
      </c>
      <c r="BC1430">
        <f>COUNTIF(AS1430:AW1430,"&lt;&gt;0")</f>
        <v>0</v>
      </c>
      <c r="BD1430">
        <f>COUNTIF(AM1430:AR1430,"&lt;&gt;0")</f>
        <v>0</v>
      </c>
      <c r="BE1430" t="str" cm="1">
        <f t="array" ref="BE1430">IF(AY1430=1,INDEX($V$7:$AL$7,MATCH(TRUE,INDEX($V1430:$AW1430&lt;&gt;0,),0)),IF(AY1430=0,INDEX($AM$7:$AW$7,MATCH(1,$AM1430:$AW1430,0)),IF(BF1430="Multiple strategies","mixed drivers",IF(BF1430="Supply chain","multiple supply","multiple silviculture"))))</f>
        <v>mixed drivers</v>
      </c>
      <c r="BF1430" s="2" t="str" cm="1">
        <f t="array" ref="BF1430">IF(COUNTIF(AZ1430:BB1430,"&lt;&gt;0")=1,INDEX($V$4:$AW$4,MATCH(TRUE,INDEX($V1430:$AW1430&lt;&gt;0,),0)),IF(COUNTIF(AZ1430:BB1430,"&lt;&gt;0")=0,INDEX($AM$4:$AW$4,MATCH(1,$AM1430:$AW1430,0)),"Multiple strategies"))</f>
        <v>Multiple strategies</v>
      </c>
      <c r="BP1430" t="s">
        <v>232</v>
      </c>
      <c r="BR1430" t="s">
        <v>1139</v>
      </c>
      <c r="BS1430">
        <v>73.36</v>
      </c>
      <c r="BT1430">
        <v>75.069999999999993</v>
      </c>
      <c r="BU1430" s="144">
        <f>IFERROR(BT1430/BS1430,"")</f>
        <v>1.0233097055616138</v>
      </c>
      <c r="BV1430">
        <f>BT1430-BS1430</f>
        <v>1.7099999999999937</v>
      </c>
      <c r="BX1430">
        <f>BV1430*10^6</f>
        <v>1709999.9999999937</v>
      </c>
      <c r="BY1430" t="str">
        <f t="shared" si="1820"/>
        <v/>
      </c>
      <c r="BZ1430">
        <v>0</v>
      </c>
      <c r="CA1430">
        <v>0</v>
      </c>
      <c r="CB1430">
        <v>0</v>
      </c>
      <c r="CC1430">
        <v>0</v>
      </c>
      <c r="CD1430">
        <v>0</v>
      </c>
      <c r="CE1430">
        <v>0</v>
      </c>
      <c r="CF1430">
        <v>0</v>
      </c>
      <c r="CG1430">
        <v>0</v>
      </c>
      <c r="CH1430">
        <v>0</v>
      </c>
      <c r="CI1430">
        <v>0</v>
      </c>
      <c r="CJ1430">
        <v>0</v>
      </c>
      <c r="CK1430">
        <v>0</v>
      </c>
      <c r="CL1430">
        <v>0</v>
      </c>
      <c r="CM1430">
        <v>0</v>
      </c>
      <c r="CN1430" t="str">
        <f>IF(BL1430&lt;BK1430,"refNeedCorrection","refOK")</f>
        <v>refOK</v>
      </c>
      <c r="CO1430"/>
      <c r="CP1430"/>
      <c r="CQ1430"/>
      <c r="CR1430">
        <f>IF($CN1430="refOK",$BS1430,$BT1430)*IF($BP1430="Emissions positive",-1,1)</f>
        <v>73.36</v>
      </c>
      <c r="CS1430">
        <f>IF($CN1430="refOK",$BT1430,$BS1430)*IF($BP1430="Emissions positive",-1,1)</f>
        <v>75.069999999999993</v>
      </c>
      <c r="CT1430">
        <f>IF($CN1430="refNeedCorrection",-BX1430,BX1430)*IF($BP1430="Emissions positive",-1,1)</f>
        <v>1709999.9999999937</v>
      </c>
      <c r="CU1430" t="str">
        <f>IFERROR(CT1430/CQ1430,"")</f>
        <v/>
      </c>
      <c r="CV1430" s="2">
        <f>IFERROR((CS1430-CR1430)/ABS(CR1430),"")</f>
        <v>2.3309705561613873E-2</v>
      </c>
      <c r="CW1430" s="1" t="s">
        <v>234</v>
      </c>
      <c r="CX1430" s="311" t="str">
        <f>IF(OR($CW1430="prd",$CW1430="std",$CW1430="cit"),"loc",IF(OR($CW1430="eur",$CW1430="reg",$CW1430="coy"),"reg",$CW1430))</f>
        <v>loc</v>
      </c>
      <c r="CY1430" t="s">
        <v>428</v>
      </c>
      <c r="CZ1430">
        <v>2008</v>
      </c>
      <c r="DB1430">
        <v>0</v>
      </c>
      <c r="DC1430" t="str">
        <f>IF(DB1430=0,"0",IF(AND(DB1430&gt;=1,DB1430&lt;=30),"1-30",IF(AND(DB1430&gt;30,DB1430&lt;=70),"31-70",IF(AND(DB1430&gt;70,DB1430&lt;=100),"71-100",IF(DB1430&gt;100,"+100")))))</f>
        <v>0</v>
      </c>
      <c r="DD1430">
        <v>0</v>
      </c>
      <c r="DE1430">
        <v>1</v>
      </c>
      <c r="DF1430">
        <v>0</v>
      </c>
      <c r="DG1430">
        <v>1</v>
      </c>
      <c r="DI1430">
        <f>SUM(DD1430:DG1430)</f>
        <v>2</v>
      </c>
      <c r="DJ1430" t="str">
        <f>IF(DI1430=1,INDEX($DD$7:$DG$7,MATCH(1,$DD1430:$DG1430,0)),"mixedProduct")</f>
        <v>mixedProduct</v>
      </c>
      <c r="DK1430">
        <f t="shared" si="1863"/>
        <v>0</v>
      </c>
      <c r="DL1430" t="str">
        <f t="shared" si="1863"/>
        <v>Energy</v>
      </c>
      <c r="DM1430">
        <f t="shared" si="1863"/>
        <v>0</v>
      </c>
      <c r="DN1430" t="str">
        <f t="shared" si="1863"/>
        <v>Timber</v>
      </c>
      <c r="DO1430">
        <v>0</v>
      </c>
      <c r="DP1430">
        <v>1</v>
      </c>
      <c r="DQ1430" s="295" t="s">
        <v>4161</v>
      </c>
      <c r="DR1430">
        <v>0</v>
      </c>
      <c r="DS1430" t="s">
        <v>4162</v>
      </c>
      <c r="DT1430">
        <f>SUM(DO1430:DP1430)</f>
        <v>1</v>
      </c>
      <c r="DU1430" s="143" t="str">
        <f>IF(DO1430=1,"self-calculated DF",IF(DP1430=1,"external DF used","explicit C balance"))</f>
        <v>external DF used</v>
      </c>
      <c r="DV1430">
        <v>0</v>
      </c>
      <c r="DW1430">
        <v>1</v>
      </c>
      <c r="DX1430">
        <v>0</v>
      </c>
      <c r="DY1430">
        <v>1</v>
      </c>
      <c r="DZ1430">
        <v>0</v>
      </c>
      <c r="EA1430" s="143">
        <v>0</v>
      </c>
      <c r="EB1430">
        <v>1</v>
      </c>
      <c r="EC1430">
        <v>1</v>
      </c>
      <c r="ED1430">
        <v>0</v>
      </c>
      <c r="EE1430">
        <v>0</v>
      </c>
      <c r="EF1430">
        <v>1</v>
      </c>
      <c r="EG1430">
        <v>1</v>
      </c>
      <c r="EH1430">
        <v>1</v>
      </c>
      <c r="EI1430" s="2">
        <v>0</v>
      </c>
      <c r="EK1430" t="str">
        <f t="shared" si="1861"/>
        <v>Whole sector</v>
      </c>
      <c r="EL1430" t="str">
        <f t="shared" si="1862"/>
        <v/>
      </c>
      <c r="EM1430" s="2" t="str">
        <f t="shared" si="1821"/>
        <v/>
      </c>
      <c r="EN1430" t="s">
        <v>4168</v>
      </c>
      <c r="EP1430" t="b">
        <f>IF(ISNUMBER(BU1430),IF(ABS(BU1430-[1]QC_indicators!$B$2)&gt;3*[1]QC_indicators!$C$2,"C ratio",IF(ISNUMBER(BY1430),IF(ABS(BY1430-[1]QC_indicators!$B$1)&gt;3*[1]QC_indicators!$C$1,"DF","no"))),IF(ISNUMBER(BY1430),IF(ABS(BY1430-[1]QC_indicators!$B$1)&gt;3*[1]QC_indicators!$C$1,"DF","no")))</f>
        <v>0</v>
      </c>
    </row>
    <row r="1431" spans="1:150" ht="15" hidden="1" customHeight="1">
      <c r="A1431" s="1" t="s">
        <v>4427</v>
      </c>
      <c r="B1431" t="s">
        <v>4428</v>
      </c>
      <c r="C1431" t="s">
        <v>4429</v>
      </c>
      <c r="D1431" t="s">
        <v>4430</v>
      </c>
      <c r="E1431" t="s">
        <v>4431</v>
      </c>
      <c r="F1431" t="s">
        <v>4432</v>
      </c>
      <c r="G1431" t="s">
        <v>4433</v>
      </c>
      <c r="H1431" t="s">
        <v>254</v>
      </c>
      <c r="I1431">
        <v>2014</v>
      </c>
      <c r="J1431">
        <v>44</v>
      </c>
      <c r="K1431" t="s">
        <v>4434</v>
      </c>
      <c r="M1431" t="str">
        <f t="shared" si="1856"/>
        <v>Shoyama_2014</v>
      </c>
      <c r="N1431" t="s">
        <v>2581</v>
      </c>
      <c r="O1431" s="145" t="s">
        <v>341</v>
      </c>
      <c r="Q1431" s="311" t="s">
        <v>256</v>
      </c>
      <c r="R1431" s="312"/>
      <c r="AX1431" s="141"/>
      <c r="AY1431" s="141"/>
      <c r="BE1431"/>
      <c r="BF1431" s="2"/>
      <c r="BG1431" s="318"/>
      <c r="BK1431" s="152"/>
      <c r="BM1431" s="311"/>
      <c r="BN1431" s="152"/>
      <c r="BO1431" s="152"/>
      <c r="BU1431" s="144"/>
      <c r="BY1431" t="str">
        <f t="shared" si="1820"/>
        <v/>
      </c>
      <c r="CN1431"/>
      <c r="CO1431"/>
      <c r="CP1431"/>
      <c r="CQ1431"/>
      <c r="CR1431"/>
      <c r="CS1431"/>
      <c r="CT1431"/>
      <c r="CU1431"/>
      <c r="CV1431" s="2"/>
      <c r="CX1431" s="311"/>
      <c r="DC1431"/>
      <c r="DI1431"/>
      <c r="DJ1431"/>
      <c r="DK1431"/>
      <c r="DL1431"/>
      <c r="DM1431"/>
      <c r="DN1431"/>
      <c r="DS1431" s="295"/>
      <c r="DT1431"/>
      <c r="DU1431" s="143"/>
      <c r="EK1431" t="str">
        <f t="shared" si="1861"/>
        <v/>
      </c>
      <c r="EL1431" t="str">
        <f t="shared" si="1862"/>
        <v/>
      </c>
      <c r="EM1431" s="2" t="str">
        <f t="shared" si="1821"/>
        <v/>
      </c>
      <c r="EN1431" s="311" t="s">
        <v>4435</v>
      </c>
      <c r="EP1431" t="b">
        <f>IF(ISNUMBER(BU1431),IF(ABS(BU1431-[1]QC_indicators!$B$2)&gt;3*[1]QC_indicators!$C$2,"C ratio",IF(ISNUMBER(BY1431),IF(ABS(BY1431-[1]QC_indicators!$B$1)&gt;3*[1]QC_indicators!$C$1,"DF","no"))),IF(ISNUMBER(BY1431),IF(ABS(BY1431-[1]QC_indicators!$B$1)&gt;3*[1]QC_indicators!$C$1,"DF","no")))</f>
        <v>0</v>
      </c>
    </row>
    <row r="1432" spans="1:150" ht="15" hidden="1" customHeight="1">
      <c r="A1432" s="1" t="s">
        <v>5061</v>
      </c>
      <c r="B1432" t="s">
        <v>5062</v>
      </c>
      <c r="C1432" t="s">
        <v>5063</v>
      </c>
      <c r="D1432" t="s">
        <v>5064</v>
      </c>
      <c r="E1432" s="311" t="s">
        <v>5065</v>
      </c>
      <c r="F1432" t="s">
        <v>5066</v>
      </c>
      <c r="G1432" t="s">
        <v>5067</v>
      </c>
      <c r="H1432" t="s">
        <v>254</v>
      </c>
      <c r="I1432">
        <v>2022</v>
      </c>
      <c r="J1432">
        <v>0</v>
      </c>
      <c r="K1432" t="s">
        <v>5068</v>
      </c>
      <c r="M1432" t="str">
        <f t="shared" si="1856"/>
        <v>Shvarts_2022</v>
      </c>
      <c r="N1432" s="311" t="s">
        <v>5069</v>
      </c>
      <c r="O1432" s="311" t="s">
        <v>223</v>
      </c>
      <c r="Q1432" s="311" t="s">
        <v>389</v>
      </c>
      <c r="R1432" s="312"/>
      <c r="BE1432"/>
      <c r="BF1432" s="2"/>
      <c r="BY1432" t="str">
        <f t="shared" si="1820"/>
        <v/>
      </c>
      <c r="CN1432"/>
      <c r="CO1432"/>
      <c r="CP1432"/>
      <c r="CQ1432"/>
      <c r="CR1432"/>
      <c r="CS1432"/>
      <c r="CT1432"/>
      <c r="CU1432"/>
      <c r="CV1432" s="2"/>
      <c r="CX1432"/>
      <c r="DC1432"/>
      <c r="DI1432"/>
      <c r="DJ1432"/>
      <c r="DK1432"/>
      <c r="DL1432"/>
      <c r="DM1432"/>
      <c r="DN1432"/>
      <c r="DT1432"/>
      <c r="DU1432"/>
      <c r="EK1432" t="str">
        <f t="shared" si="1861"/>
        <v/>
      </c>
      <c r="EL1432" t="str">
        <f t="shared" si="1862"/>
        <v/>
      </c>
      <c r="EM1432" s="2" t="str">
        <f t="shared" si="1821"/>
        <v/>
      </c>
      <c r="EP1432" t="b">
        <f>IF(ISNUMBER(BU1432),IF(ABS(BU1432-[1]QC_indicators!$B$2)&gt;3*[1]QC_indicators!$C$2,"C ratio",IF(ISNUMBER(BY1432),IF(ABS(BY1432-[1]QC_indicators!$B$1)&gt;3*[1]QC_indicators!$C$1,"DF","no"))),IF(ISNUMBER(BY1432),IF(ABS(BY1432-[1]QC_indicators!$B$1)&gt;3*[1]QC_indicators!$C$1,"DF","no")))</f>
        <v>0</v>
      </c>
    </row>
    <row r="1433" spans="1:150" ht="15" hidden="1" customHeight="1">
      <c r="A1433" s="1" t="s">
        <v>1807</v>
      </c>
      <c r="B1433" t="s">
        <v>2256</v>
      </c>
      <c r="C1433" t="s">
        <v>2257</v>
      </c>
      <c r="D1433" t="s">
        <v>2258</v>
      </c>
      <c r="E1433" t="s">
        <v>2259</v>
      </c>
      <c r="F1433" t="s">
        <v>2260</v>
      </c>
      <c r="G1433" t="s">
        <v>1813</v>
      </c>
      <c r="H1433" t="s">
        <v>254</v>
      </c>
      <c r="I1433">
        <v>2013</v>
      </c>
      <c r="J1433">
        <v>49</v>
      </c>
      <c r="K1433" t="s">
        <v>2261</v>
      </c>
      <c r="M1433" t="str">
        <f t="shared" si="1856"/>
        <v>Sikkema_2013</v>
      </c>
      <c r="N1433" t="s">
        <v>222</v>
      </c>
      <c r="O1433" s="145" t="s">
        <v>341</v>
      </c>
      <c r="Q1433" s="264" t="s">
        <v>256</v>
      </c>
      <c r="R1433" s="269" t="s">
        <v>1153</v>
      </c>
      <c r="S1433" s="1" t="s">
        <v>2262</v>
      </c>
      <c r="T1433" t="s">
        <v>1098</v>
      </c>
      <c r="U1433" t="e">
        <f>#REF!</f>
        <v>#REF!</v>
      </c>
      <c r="V1433">
        <v>2</v>
      </c>
      <c r="W1433">
        <v>0</v>
      </c>
      <c r="X1433">
        <v>0</v>
      </c>
      <c r="Y1433">
        <v>0</v>
      </c>
      <c r="Z1433">
        <v>0</v>
      </c>
      <c r="AA1433">
        <v>0</v>
      </c>
      <c r="AB1433">
        <v>0</v>
      </c>
      <c r="AC1433">
        <v>0</v>
      </c>
      <c r="AD1433">
        <v>0</v>
      </c>
      <c r="AE1433">
        <v>0</v>
      </c>
      <c r="AF1433">
        <v>1</v>
      </c>
      <c r="AG1433">
        <v>0</v>
      </c>
      <c r="AH1433">
        <v>0</v>
      </c>
      <c r="AI1433">
        <v>0</v>
      </c>
      <c r="AJ1433">
        <v>0</v>
      </c>
      <c r="AK1433">
        <v>0</v>
      </c>
      <c r="AL1433">
        <v>0</v>
      </c>
      <c r="AM1433">
        <v>0</v>
      </c>
      <c r="AN1433">
        <v>0</v>
      </c>
      <c r="AO1433">
        <v>0</v>
      </c>
      <c r="AP1433">
        <v>0</v>
      </c>
      <c r="AQ1433">
        <v>0</v>
      </c>
      <c r="AR1433">
        <v>0</v>
      </c>
      <c r="AS1433">
        <v>0</v>
      </c>
      <c r="AT1433">
        <v>0</v>
      </c>
      <c r="AU1433">
        <v>0</v>
      </c>
      <c r="AV1433">
        <v>0</v>
      </c>
      <c r="AW1433">
        <v>0</v>
      </c>
      <c r="AX1433" s="141">
        <f t="shared" ref="AX1433:AX1441" si="1864">COUNTIF(V1433:AW1433,"&lt;&gt;0")</f>
        <v>2</v>
      </c>
      <c r="AY1433" s="141">
        <f t="shared" ref="AY1433:AY1441" si="1865">COUNTIF(V1433:AL1433,"&lt;&gt;0")</f>
        <v>2</v>
      </c>
      <c r="AZ1433">
        <f t="shared" ref="AZ1433:AZ1441" si="1866">COUNTIF(V1433:AC1433,"&lt;&gt;0")</f>
        <v>1</v>
      </c>
      <c r="BA1433">
        <f t="shared" ref="BA1433:BA1441" si="1867">COUNTIF(AD1433:AI1433,"&lt;&gt;0")</f>
        <v>1</v>
      </c>
      <c r="BB1433">
        <f t="shared" ref="BB1433:BB1441" si="1868">COUNTIF(AJ1433:AL1433,"&lt;&gt;0")</f>
        <v>0</v>
      </c>
      <c r="BC1433">
        <f t="shared" ref="BC1433:BC1441" si="1869">COUNTIF(AS1433:AW1433,"&lt;&gt;0")</f>
        <v>0</v>
      </c>
      <c r="BD1433">
        <f t="shared" ref="BD1433:BD1441" si="1870">COUNTIF(AM1433:AR1433,"&lt;&gt;0")</f>
        <v>0</v>
      </c>
      <c r="BE1433" t="str" cm="1">
        <f t="array" ref="BE1433">IF(AY1433=1,INDEX($V$7:$AL$7,MATCH(TRUE,INDEX($V1433:$AW1433&lt;&gt;0,),0)),IF(AY1433=0,INDEX($AM$7:$AW$7,MATCH(1,$AM1433:$AW1433,0)),IF(BF1433="Multiple strategies","mixed drivers",IF(BF1433="Supply chain","multiple supply","multiple silviculture"))))</f>
        <v>mixed drivers</v>
      </c>
      <c r="BF1433" s="2" t="str" cm="1">
        <f t="array" ref="BF1433">IF(COUNTIF(AZ1433:BB1433,"&lt;&gt;0")=1,INDEX($V$4:$AW$4,MATCH(TRUE,INDEX($V1433:$AW1433&lt;&gt;0,),0)),IF(COUNTIF(AZ1433:BB1433,"&lt;&gt;0")=0,INDEX($AM$4:$AW$4,MATCH(1,$AM1433:$AW1433,0)),"Multiple strategies"))</f>
        <v>Multiple strategies</v>
      </c>
      <c r="BG1433" s="1" t="s">
        <v>321</v>
      </c>
      <c r="BH1433" t="s">
        <v>2263</v>
      </c>
      <c r="BJ1433" t="s">
        <v>1354</v>
      </c>
      <c r="BK1433">
        <v>130</v>
      </c>
      <c r="BL1433">
        <v>180</v>
      </c>
      <c r="BN1433">
        <f t="shared" ref="BN1433:BN1441" si="1871">BL1433-BK1433</f>
        <v>50</v>
      </c>
      <c r="BO1433">
        <f t="shared" ref="BO1433:BO1441" si="1872">BN1433*10^6</f>
        <v>50000000</v>
      </c>
      <c r="BP1433" s="264" t="s">
        <v>232</v>
      </c>
      <c r="BQ1433" s="264"/>
      <c r="BR1433" t="s">
        <v>1139</v>
      </c>
      <c r="BS1433">
        <v>-41.3</v>
      </c>
      <c r="BT1433">
        <v>-25.4</v>
      </c>
      <c r="BU1433" s="144">
        <v>0.61501210653753025</v>
      </c>
      <c r="BV1433">
        <v>15.899999999999999</v>
      </c>
      <c r="BX1433">
        <f t="shared" ref="BX1433:BX1441" si="1873">BV1433*10^6</f>
        <v>15899999.999999998</v>
      </c>
      <c r="BY1433">
        <f t="shared" si="1820"/>
        <v>0.31799999999999995</v>
      </c>
      <c r="BZ1433">
        <v>0</v>
      </c>
      <c r="CA1433">
        <v>0</v>
      </c>
      <c r="CB1433">
        <v>0</v>
      </c>
      <c r="CC1433">
        <v>0</v>
      </c>
      <c r="CD1433">
        <v>0</v>
      </c>
      <c r="CE1433">
        <v>0</v>
      </c>
      <c r="CF1433">
        <v>0</v>
      </c>
      <c r="CG1433">
        <v>0</v>
      </c>
      <c r="CH1433">
        <v>0</v>
      </c>
      <c r="CI1433">
        <v>0</v>
      </c>
      <c r="CJ1433">
        <v>0</v>
      </c>
      <c r="CK1433">
        <v>0</v>
      </c>
      <c r="CL1433">
        <v>0</v>
      </c>
      <c r="CM1433">
        <v>0</v>
      </c>
      <c r="CN1433" t="str">
        <f t="shared" ref="CN1433:CN1441" si="1874">IF($BL1433&lt;$BK1433,"refNeedCorrection","refOK")</f>
        <v>refOK</v>
      </c>
      <c r="CO1433">
        <f t="shared" ref="CO1433:CO1441" si="1875">IF($CN1433="refOK",$BK1433,$BL1433)</f>
        <v>130</v>
      </c>
      <c r="CP1433">
        <f t="shared" ref="CP1433:CP1441" si="1876">IF($CN1433="refOK",$BL1433,$BK1433)</f>
        <v>180</v>
      </c>
      <c r="CQ1433">
        <f t="shared" ref="CQ1433:CQ1441" si="1877">IF($CN1433="refOK",$BO1433,-$BO1433)</f>
        <v>50000000</v>
      </c>
      <c r="CR1433">
        <f t="shared" ref="CR1433:CR1441" si="1878">IF($CN1433="refOK",$BS1433,$BT1433)*IF($BP1433="Emissions positive",-1,1)</f>
        <v>-41.3</v>
      </c>
      <c r="CS1433">
        <f t="shared" ref="CS1433:CS1441" si="1879">IF($CN1433="refOK",$BT1433,$BS1433)*IF($BP1433="Emissions positive",-1,1)</f>
        <v>-25.4</v>
      </c>
      <c r="CT1433">
        <f t="shared" ref="CT1433:CT1441" si="1880">IF($CN1433="refNeedCorrection",-BX1433,BX1433)*IF($BP1433="Emissions positive",-1,1)</f>
        <v>15899999.999999998</v>
      </c>
      <c r="CU1433">
        <f t="shared" ref="CU1433:CU1441" si="1881">IFERROR(CT1433/CQ1433,"")</f>
        <v>0.31799999999999995</v>
      </c>
      <c r="CV1433" s="2">
        <f t="shared" ref="CV1433:CV1441" si="1882">IFERROR((CS1433-CR1433)/ABS(CR1433),"")</f>
        <v>0.3849878934624697</v>
      </c>
      <c r="CW1433" s="1" t="s">
        <v>1202</v>
      </c>
      <c r="CX1433" s="264" t="str">
        <f t="shared" ref="CX1433:CX1441" si="1883">IF(OR($CW1433="prd",$CW1433="std",$CW1433="cit"),"loc",IF(OR($CW1433="eur",$CW1433="reg",$CW1433="coy"),"reg",$CW1433))</f>
        <v>reg</v>
      </c>
      <c r="CY1433" t="s">
        <v>540</v>
      </c>
      <c r="CZ1433">
        <v>2012</v>
      </c>
      <c r="DA1433">
        <v>2112</v>
      </c>
      <c r="DB1433">
        <v>100</v>
      </c>
      <c r="DC1433" t="str">
        <f t="shared" ref="DC1433:DC1441" si="1884">IF(DB1433=0,"0",IF(AND(DB1433&gt;=1,DB1433&lt;=30),"1-30",IF(AND(DB1433&gt;30,DB1433&lt;=70),"31-70",IF(AND(DB1433&gt;70,DB1433&lt;=100),"71-100",IF(DB1433&gt;100,"+100")))))</f>
        <v>71-100</v>
      </c>
      <c r="DD1433">
        <v>0</v>
      </c>
      <c r="DE1433">
        <v>1</v>
      </c>
      <c r="DF1433">
        <v>1</v>
      </c>
      <c r="DG1433">
        <v>1</v>
      </c>
      <c r="DI1433">
        <f t="shared" ref="DI1433:DI1441" si="1885">SUM(DD1433:DG1433)</f>
        <v>3</v>
      </c>
      <c r="DJ1433" t="str">
        <f t="shared" ref="DJ1433:DJ1441" si="1886">IF(DI1433=1,INDEX($DD$7:$DG$7,MATCH(1,$DD1433:$DG1433,0)),"mixedProduct")</f>
        <v>mixedProduct</v>
      </c>
      <c r="DK1433">
        <f t="shared" ref="DK1433:DK1441" si="1887">IF(DD1433=1,DK$7,0)</f>
        <v>0</v>
      </c>
      <c r="DL1433" t="str">
        <f t="shared" ref="DL1433:DL1441" si="1888">IF(DE1433=1,DL$7,0)</f>
        <v>Energy</v>
      </c>
      <c r="DM1433" t="str">
        <f t="shared" ref="DM1433:DM1441" si="1889">IF(DF1433=1,DM$7,0)</f>
        <v>Pulp/Paper</v>
      </c>
      <c r="DN1433" t="str">
        <f t="shared" ref="DN1433:DN1441" si="1890">IF(DG1433=1,DN$7,0)</f>
        <v>Timber</v>
      </c>
      <c r="DO1433" t="s">
        <v>2264</v>
      </c>
      <c r="DP1433">
        <v>1</v>
      </c>
      <c r="DQ1433" s="184" t="s">
        <v>2265</v>
      </c>
      <c r="DR1433" t="s">
        <v>2266</v>
      </c>
      <c r="DT1433">
        <f t="shared" ref="DT1433:DT1441" si="1891">SUM(DO1433:DP1433)</f>
        <v>1</v>
      </c>
      <c r="DU1433" s="143" t="str">
        <f t="shared" ref="DU1433:DU1441" si="1892">IF(DO1433=1,"self-calculated DF",IF(DP1433=1,"external DF used","explicit C balance"))</f>
        <v>external DF used</v>
      </c>
      <c r="DV1433">
        <v>0</v>
      </c>
      <c r="DW1433">
        <v>0</v>
      </c>
      <c r="DX1433">
        <v>0</v>
      </c>
      <c r="DY1433">
        <v>1</v>
      </c>
      <c r="DZ1433">
        <v>1</v>
      </c>
      <c r="EA1433">
        <v>1</v>
      </c>
      <c r="EB1433">
        <v>0</v>
      </c>
      <c r="EC1433">
        <v>1</v>
      </c>
      <c r="ED1433">
        <v>0</v>
      </c>
      <c r="EE1433">
        <v>1</v>
      </c>
      <c r="EF1433">
        <v>1</v>
      </c>
      <c r="EG1433">
        <v>1</v>
      </c>
      <c r="EH1433">
        <v>1</v>
      </c>
      <c r="EI1433" s="2">
        <v>0</v>
      </c>
      <c r="EK1433" t="str">
        <f t="shared" ref="EK1433:EK1441" si="1893">IF(AND(AND(AND(OR($DX1433=1,$DW1433=1),OR($EC1433=1,$EA1433=1)),SUM($DV1433:$DZ1433,$EF1433)&gt;=4),SUM($EA1433:$EE1433)&gt;=2),"Whole sector","")</f>
        <v/>
      </c>
      <c r="EL1433" t="str">
        <f t="shared" ref="EL1433:EL1441" si="1894">IF(AND(AND(OR($DX1433=1,$DW1433=1),AND($EC1433=0,$EA1433=0)),SUM($DV1433:$DZ1433,$EF1433)&gt;=4),"Ecosystem approach","")</f>
        <v/>
      </c>
      <c r="EM1433" s="2" t="str">
        <f t="shared" si="1821"/>
        <v>Technology approach</v>
      </c>
      <c r="EP1433" t="str">
        <f>IF(ISNUMBER(BU1433),IF(ABS(BU1433-[4]QC_indicators!$B$2)&gt;3*[4]QC_indicators!$C$2,"C ratio",IF(ISNUMBER(BY1433),IF(ABS(BY1433-[4]QC_indicators!$B$1)&gt;3*[4]QC_indicators!$C$1,"DF","no"))),IF(ISNUMBER(BY1433),IF(ABS(BY1433-[4]QC_indicators!$B$1)&gt;3*[4]QC_indicators!$C$1,"DF","no")))</f>
        <v>no</v>
      </c>
      <c r="ER1433" s="264" t="s">
        <v>2267</v>
      </c>
      <c r="ET1433" s="264" t="s">
        <v>3406</v>
      </c>
    </row>
    <row r="1434" spans="1:150" ht="15" hidden="1" customHeight="1">
      <c r="A1434" s="1" t="s">
        <v>1807</v>
      </c>
      <c r="B1434" t="s">
        <v>2256</v>
      </c>
      <c r="C1434" t="s">
        <v>2257</v>
      </c>
      <c r="D1434" t="s">
        <v>2258</v>
      </c>
      <c r="E1434" t="s">
        <v>2259</v>
      </c>
      <c r="F1434" t="s">
        <v>2260</v>
      </c>
      <c r="G1434" t="s">
        <v>1813</v>
      </c>
      <c r="H1434" t="s">
        <v>254</v>
      </c>
      <c r="I1434">
        <v>2013</v>
      </c>
      <c r="J1434">
        <v>49</v>
      </c>
      <c r="K1434" t="s">
        <v>2261</v>
      </c>
      <c r="M1434" t="str">
        <f t="shared" si="1856"/>
        <v>Sikkema_2013</v>
      </c>
      <c r="N1434" t="s">
        <v>222</v>
      </c>
      <c r="O1434" s="145" t="s">
        <v>341</v>
      </c>
      <c r="Q1434" s="264" t="s">
        <v>256</v>
      </c>
      <c r="R1434" s="269" t="s">
        <v>1153</v>
      </c>
      <c r="S1434" s="1" t="s">
        <v>2268</v>
      </c>
      <c r="T1434" t="s">
        <v>1098</v>
      </c>
      <c r="U1434" t="e">
        <f>#REF!</f>
        <v>#REF!</v>
      </c>
      <c r="V1434">
        <v>2</v>
      </c>
      <c r="W1434">
        <v>0</v>
      </c>
      <c r="X1434">
        <v>0</v>
      </c>
      <c r="Y1434">
        <v>0</v>
      </c>
      <c r="Z1434">
        <v>0</v>
      </c>
      <c r="AA1434">
        <v>0</v>
      </c>
      <c r="AB1434">
        <v>0</v>
      </c>
      <c r="AC1434">
        <v>0</v>
      </c>
      <c r="AD1434">
        <v>0</v>
      </c>
      <c r="AE1434">
        <v>0</v>
      </c>
      <c r="AF1434">
        <v>1</v>
      </c>
      <c r="AG1434">
        <v>0</v>
      </c>
      <c r="AH1434">
        <v>0</v>
      </c>
      <c r="AI1434">
        <v>0</v>
      </c>
      <c r="AJ1434">
        <v>0</v>
      </c>
      <c r="AK1434">
        <v>0</v>
      </c>
      <c r="AL1434">
        <v>0</v>
      </c>
      <c r="AM1434">
        <v>0</v>
      </c>
      <c r="AN1434">
        <v>0</v>
      </c>
      <c r="AO1434">
        <v>0</v>
      </c>
      <c r="AP1434">
        <v>0</v>
      </c>
      <c r="AQ1434">
        <v>0</v>
      </c>
      <c r="AR1434">
        <v>0</v>
      </c>
      <c r="AS1434">
        <v>0</v>
      </c>
      <c r="AT1434">
        <v>0</v>
      </c>
      <c r="AU1434">
        <v>0</v>
      </c>
      <c r="AV1434">
        <v>0</v>
      </c>
      <c r="AW1434">
        <v>0</v>
      </c>
      <c r="AX1434" s="141">
        <f t="shared" si="1864"/>
        <v>2</v>
      </c>
      <c r="AY1434" s="141">
        <f t="shared" si="1865"/>
        <v>2</v>
      </c>
      <c r="AZ1434">
        <f t="shared" si="1866"/>
        <v>1</v>
      </c>
      <c r="BA1434">
        <f t="shared" si="1867"/>
        <v>1</v>
      </c>
      <c r="BB1434">
        <f t="shared" si="1868"/>
        <v>0</v>
      </c>
      <c r="BC1434">
        <f t="shared" si="1869"/>
        <v>0</v>
      </c>
      <c r="BD1434">
        <f t="shared" si="1870"/>
        <v>0</v>
      </c>
      <c r="BE1434" t="str" cm="1">
        <f t="array" ref="BE1434">IF(AY1434=1,INDEX($V$7:$AL$7,MATCH(TRUE,INDEX($V1434:$AW1434&lt;&gt;0,),0)),IF(AY1434=0,INDEX($AM$7:$AW$7,MATCH(1,$AM1434:$AW1434,0)),IF(BF1434="Multiple strategies","mixed drivers",IF(BF1434="Supply chain","multiple supply","multiple silviculture"))))</f>
        <v>mixed drivers</v>
      </c>
      <c r="BF1434" s="2" t="str" cm="1">
        <f t="array" ref="BF1434">IF(COUNTIF(AZ1434:BB1434,"&lt;&gt;0")=1,INDEX($V$4:$AW$4,MATCH(TRUE,INDEX($V1434:$AW1434&lt;&gt;0,),0)),IF(COUNTIF(AZ1434:BB1434,"&lt;&gt;0")=0,INDEX($AM$4:$AW$4,MATCH(1,$AM1434:$AW1434,0)),"Multiple strategies"))</f>
        <v>Multiple strategies</v>
      </c>
      <c r="BG1434" s="1" t="s">
        <v>321</v>
      </c>
      <c r="BH1434" t="s">
        <v>2263</v>
      </c>
      <c r="BJ1434" t="s">
        <v>1354</v>
      </c>
      <c r="BK1434">
        <v>130</v>
      </c>
      <c r="BL1434">
        <v>180</v>
      </c>
      <c r="BN1434">
        <f t="shared" si="1871"/>
        <v>50</v>
      </c>
      <c r="BO1434">
        <f t="shared" si="1872"/>
        <v>50000000</v>
      </c>
      <c r="BP1434" s="264" t="s">
        <v>232</v>
      </c>
      <c r="BQ1434" s="264"/>
      <c r="BR1434" t="s">
        <v>1139</v>
      </c>
      <c r="BS1434">
        <v>-41.3</v>
      </c>
      <c r="BT1434">
        <v>-24.3</v>
      </c>
      <c r="BU1434" s="144">
        <v>0.58837772397094434</v>
      </c>
      <c r="BV1434">
        <v>16.999999999999996</v>
      </c>
      <c r="BX1434">
        <f t="shared" si="1873"/>
        <v>16999999.999999996</v>
      </c>
      <c r="BY1434">
        <f t="shared" si="1820"/>
        <v>0.33999999999999991</v>
      </c>
      <c r="BZ1434">
        <v>0</v>
      </c>
      <c r="CA1434">
        <v>0</v>
      </c>
      <c r="CB1434">
        <v>0</v>
      </c>
      <c r="CC1434">
        <v>0</v>
      </c>
      <c r="CD1434">
        <v>0</v>
      </c>
      <c r="CE1434">
        <v>0</v>
      </c>
      <c r="CF1434">
        <v>0</v>
      </c>
      <c r="CG1434">
        <v>0</v>
      </c>
      <c r="CH1434">
        <v>0</v>
      </c>
      <c r="CI1434">
        <v>0</v>
      </c>
      <c r="CJ1434">
        <v>0</v>
      </c>
      <c r="CK1434">
        <v>0</v>
      </c>
      <c r="CL1434">
        <v>0</v>
      </c>
      <c r="CM1434">
        <v>0</v>
      </c>
      <c r="CN1434" t="str">
        <f t="shared" si="1874"/>
        <v>refOK</v>
      </c>
      <c r="CO1434">
        <f t="shared" si="1875"/>
        <v>130</v>
      </c>
      <c r="CP1434">
        <f t="shared" si="1876"/>
        <v>180</v>
      </c>
      <c r="CQ1434">
        <f t="shared" si="1877"/>
        <v>50000000</v>
      </c>
      <c r="CR1434">
        <f t="shared" si="1878"/>
        <v>-41.3</v>
      </c>
      <c r="CS1434">
        <f t="shared" si="1879"/>
        <v>-24.3</v>
      </c>
      <c r="CT1434">
        <f t="shared" si="1880"/>
        <v>16999999.999999996</v>
      </c>
      <c r="CU1434">
        <f t="shared" si="1881"/>
        <v>0.33999999999999991</v>
      </c>
      <c r="CV1434" s="2">
        <f t="shared" si="1882"/>
        <v>0.41162227602905566</v>
      </c>
      <c r="CW1434" s="1" t="s">
        <v>1202</v>
      </c>
      <c r="CX1434" s="264" t="str">
        <f t="shared" si="1883"/>
        <v>reg</v>
      </c>
      <c r="CY1434" t="s">
        <v>540</v>
      </c>
      <c r="CZ1434">
        <v>2012</v>
      </c>
      <c r="DA1434">
        <v>2112</v>
      </c>
      <c r="DB1434">
        <v>100</v>
      </c>
      <c r="DC1434" t="str">
        <f t="shared" si="1884"/>
        <v>71-100</v>
      </c>
      <c r="DD1434">
        <v>0</v>
      </c>
      <c r="DE1434">
        <v>1</v>
      </c>
      <c r="DF1434">
        <v>1</v>
      </c>
      <c r="DG1434">
        <v>1</v>
      </c>
      <c r="DI1434">
        <f t="shared" si="1885"/>
        <v>3</v>
      </c>
      <c r="DJ1434" t="str">
        <f t="shared" si="1886"/>
        <v>mixedProduct</v>
      </c>
      <c r="DK1434">
        <f t="shared" si="1887"/>
        <v>0</v>
      </c>
      <c r="DL1434" t="str">
        <f t="shared" si="1888"/>
        <v>Energy</v>
      </c>
      <c r="DM1434" t="str">
        <f t="shared" si="1889"/>
        <v>Pulp/Paper</v>
      </c>
      <c r="DN1434" t="str">
        <f t="shared" si="1890"/>
        <v>Timber</v>
      </c>
      <c r="DO1434" t="s">
        <v>2264</v>
      </c>
      <c r="DP1434">
        <v>1</v>
      </c>
      <c r="DQ1434" s="184" t="s">
        <v>2265</v>
      </c>
      <c r="DR1434" t="s">
        <v>2266</v>
      </c>
      <c r="DT1434">
        <f t="shared" si="1891"/>
        <v>1</v>
      </c>
      <c r="DU1434" s="143" t="str">
        <f t="shared" si="1892"/>
        <v>external DF used</v>
      </c>
      <c r="DV1434">
        <v>0</v>
      </c>
      <c r="DW1434">
        <v>0</v>
      </c>
      <c r="DX1434">
        <v>0</v>
      </c>
      <c r="DY1434">
        <v>1</v>
      </c>
      <c r="DZ1434">
        <v>1</v>
      </c>
      <c r="EA1434">
        <v>1</v>
      </c>
      <c r="EB1434">
        <v>0</v>
      </c>
      <c r="EC1434">
        <v>1</v>
      </c>
      <c r="ED1434">
        <v>0</v>
      </c>
      <c r="EE1434">
        <v>1</v>
      </c>
      <c r="EF1434">
        <v>1</v>
      </c>
      <c r="EG1434">
        <v>1</v>
      </c>
      <c r="EH1434">
        <v>1</v>
      </c>
      <c r="EI1434" s="2">
        <v>0</v>
      </c>
      <c r="EK1434" t="str">
        <f t="shared" si="1893"/>
        <v/>
      </c>
      <c r="EL1434" t="str">
        <f t="shared" si="1894"/>
        <v/>
      </c>
      <c r="EM1434" s="2" t="str">
        <f t="shared" si="1821"/>
        <v>Technology approach</v>
      </c>
      <c r="EP1434" t="str">
        <f>IF(ISNUMBER(BU1434),IF(ABS(BU1434-[4]QC_indicators!$B$2)&gt;3*[4]QC_indicators!$C$2,"C ratio",IF(ISNUMBER(BY1434),IF(ABS(BY1434-[4]QC_indicators!$B$1)&gt;3*[4]QC_indicators!$C$1,"DF","no"))),IF(ISNUMBER(BY1434),IF(ABS(BY1434-[4]QC_indicators!$B$1)&gt;3*[4]QC_indicators!$C$1,"DF","no")))</f>
        <v>no</v>
      </c>
      <c r="ER1434" s="264" t="s">
        <v>2267</v>
      </c>
      <c r="ET1434" s="264" t="s">
        <v>3406</v>
      </c>
    </row>
    <row r="1435" spans="1:150" ht="15" hidden="1" customHeight="1">
      <c r="A1435" s="1" t="s">
        <v>1807</v>
      </c>
      <c r="B1435" t="s">
        <v>2256</v>
      </c>
      <c r="C1435" t="s">
        <v>2257</v>
      </c>
      <c r="D1435" t="s">
        <v>2258</v>
      </c>
      <c r="E1435" t="s">
        <v>2259</v>
      </c>
      <c r="F1435" t="s">
        <v>2260</v>
      </c>
      <c r="G1435" t="s">
        <v>1813</v>
      </c>
      <c r="H1435" t="s">
        <v>254</v>
      </c>
      <c r="I1435">
        <v>2013</v>
      </c>
      <c r="J1435">
        <v>49</v>
      </c>
      <c r="K1435" t="s">
        <v>2261</v>
      </c>
      <c r="M1435" t="str">
        <f t="shared" si="1856"/>
        <v>Sikkema_2013</v>
      </c>
      <c r="N1435" t="s">
        <v>222</v>
      </c>
      <c r="O1435" s="145" t="s">
        <v>341</v>
      </c>
      <c r="Q1435" s="264" t="s">
        <v>256</v>
      </c>
      <c r="R1435" s="269" t="s">
        <v>1153</v>
      </c>
      <c r="S1435" s="1" t="s">
        <v>2269</v>
      </c>
      <c r="T1435" t="s">
        <v>1098</v>
      </c>
      <c r="U1435" t="e">
        <f>#REF!</f>
        <v>#REF!</v>
      </c>
      <c r="V1435">
        <v>2</v>
      </c>
      <c r="W1435">
        <v>0</v>
      </c>
      <c r="X1435">
        <v>0</v>
      </c>
      <c r="Y1435">
        <v>0</v>
      </c>
      <c r="Z1435">
        <v>0</v>
      </c>
      <c r="AA1435">
        <v>0</v>
      </c>
      <c r="AB1435">
        <v>0</v>
      </c>
      <c r="AC1435">
        <v>0</v>
      </c>
      <c r="AD1435">
        <v>0</v>
      </c>
      <c r="AE1435">
        <v>0</v>
      </c>
      <c r="AF1435">
        <v>1</v>
      </c>
      <c r="AG1435">
        <v>0</v>
      </c>
      <c r="AH1435">
        <v>0</v>
      </c>
      <c r="AI1435">
        <v>0</v>
      </c>
      <c r="AJ1435">
        <v>0</v>
      </c>
      <c r="AK1435">
        <v>0</v>
      </c>
      <c r="AL1435">
        <v>0</v>
      </c>
      <c r="AM1435">
        <v>0</v>
      </c>
      <c r="AN1435">
        <v>0</v>
      </c>
      <c r="AO1435">
        <v>0</v>
      </c>
      <c r="AP1435">
        <v>0</v>
      </c>
      <c r="AQ1435">
        <v>0</v>
      </c>
      <c r="AR1435">
        <v>0</v>
      </c>
      <c r="AS1435">
        <v>0</v>
      </c>
      <c r="AT1435">
        <v>0</v>
      </c>
      <c r="AU1435">
        <v>0</v>
      </c>
      <c r="AV1435">
        <v>0</v>
      </c>
      <c r="AW1435">
        <v>0</v>
      </c>
      <c r="AX1435" s="141">
        <f t="shared" si="1864"/>
        <v>2</v>
      </c>
      <c r="AY1435" s="141">
        <f t="shared" si="1865"/>
        <v>2</v>
      </c>
      <c r="AZ1435">
        <f t="shared" si="1866"/>
        <v>1</v>
      </c>
      <c r="BA1435">
        <f t="shared" si="1867"/>
        <v>1</v>
      </c>
      <c r="BB1435">
        <f t="shared" si="1868"/>
        <v>0</v>
      </c>
      <c r="BC1435">
        <f t="shared" si="1869"/>
        <v>0</v>
      </c>
      <c r="BD1435">
        <f t="shared" si="1870"/>
        <v>0</v>
      </c>
      <c r="BE1435" t="str" cm="1">
        <f t="array" ref="BE1435">IF(AY1435=1,INDEX($V$7:$AL$7,MATCH(TRUE,INDEX($V1435:$AW1435&lt;&gt;0,),0)),IF(AY1435=0,INDEX($AM$7:$AW$7,MATCH(1,$AM1435:$AW1435,0)),IF(BF1435="Multiple strategies","mixed drivers",IF(BF1435="Supply chain","multiple supply","multiple silviculture"))))</f>
        <v>mixed drivers</v>
      </c>
      <c r="BF1435" s="2" t="str" cm="1">
        <f t="array" ref="BF1435">IF(COUNTIF(AZ1435:BB1435,"&lt;&gt;0")=1,INDEX($V$4:$AW$4,MATCH(TRUE,INDEX($V1435:$AW1435&lt;&gt;0,),0)),IF(COUNTIF(AZ1435:BB1435,"&lt;&gt;0")=0,INDEX($AM$4:$AW$4,MATCH(1,$AM1435:$AW1435,0)),"Multiple strategies"))</f>
        <v>Multiple strategies</v>
      </c>
      <c r="BG1435" s="1" t="s">
        <v>321</v>
      </c>
      <c r="BH1435" t="s">
        <v>2263</v>
      </c>
      <c r="BJ1435" t="s">
        <v>1354</v>
      </c>
      <c r="BK1435">
        <v>130</v>
      </c>
      <c r="BL1435">
        <v>180</v>
      </c>
      <c r="BN1435">
        <f t="shared" si="1871"/>
        <v>50</v>
      </c>
      <c r="BO1435">
        <f t="shared" si="1872"/>
        <v>50000000</v>
      </c>
      <c r="BP1435" s="264" t="s">
        <v>232</v>
      </c>
      <c r="BQ1435" s="264"/>
      <c r="BR1435" t="s">
        <v>1139</v>
      </c>
      <c r="BS1435">
        <v>-41.3</v>
      </c>
      <c r="BT1435">
        <v>-20.9</v>
      </c>
      <c r="BU1435" s="144">
        <v>0.50605326876513312</v>
      </c>
      <c r="BV1435">
        <v>20.399999999999999</v>
      </c>
      <c r="BX1435">
        <f t="shared" si="1873"/>
        <v>20400000</v>
      </c>
      <c r="BY1435">
        <f t="shared" si="1820"/>
        <v>0.40799999999999997</v>
      </c>
      <c r="BZ1435">
        <v>0</v>
      </c>
      <c r="CA1435">
        <v>0</v>
      </c>
      <c r="CB1435">
        <v>0</v>
      </c>
      <c r="CC1435">
        <v>0</v>
      </c>
      <c r="CD1435">
        <v>0</v>
      </c>
      <c r="CE1435">
        <v>0</v>
      </c>
      <c r="CF1435">
        <v>0</v>
      </c>
      <c r="CG1435">
        <v>0</v>
      </c>
      <c r="CH1435">
        <v>0</v>
      </c>
      <c r="CI1435">
        <v>0</v>
      </c>
      <c r="CJ1435">
        <v>0</v>
      </c>
      <c r="CK1435">
        <v>0</v>
      </c>
      <c r="CL1435">
        <v>0</v>
      </c>
      <c r="CM1435">
        <v>0</v>
      </c>
      <c r="CN1435" t="str">
        <f t="shared" si="1874"/>
        <v>refOK</v>
      </c>
      <c r="CO1435">
        <f t="shared" si="1875"/>
        <v>130</v>
      </c>
      <c r="CP1435">
        <f t="shared" si="1876"/>
        <v>180</v>
      </c>
      <c r="CQ1435">
        <f t="shared" si="1877"/>
        <v>50000000</v>
      </c>
      <c r="CR1435">
        <f t="shared" si="1878"/>
        <v>-41.3</v>
      </c>
      <c r="CS1435">
        <f t="shared" si="1879"/>
        <v>-20.9</v>
      </c>
      <c r="CT1435">
        <f t="shared" si="1880"/>
        <v>20400000</v>
      </c>
      <c r="CU1435">
        <f t="shared" si="1881"/>
        <v>0.40799999999999997</v>
      </c>
      <c r="CV1435" s="2">
        <f t="shared" si="1882"/>
        <v>0.49394673123486682</v>
      </c>
      <c r="CW1435" s="1" t="s">
        <v>1202</v>
      </c>
      <c r="CX1435" s="264" t="str">
        <f t="shared" si="1883"/>
        <v>reg</v>
      </c>
      <c r="CY1435" t="s">
        <v>540</v>
      </c>
      <c r="CZ1435">
        <v>2012</v>
      </c>
      <c r="DA1435">
        <v>2112</v>
      </c>
      <c r="DB1435">
        <v>100</v>
      </c>
      <c r="DC1435" t="str">
        <f t="shared" si="1884"/>
        <v>71-100</v>
      </c>
      <c r="DD1435">
        <v>0</v>
      </c>
      <c r="DE1435">
        <v>1</v>
      </c>
      <c r="DF1435">
        <v>1</v>
      </c>
      <c r="DG1435">
        <v>1</v>
      </c>
      <c r="DI1435">
        <f t="shared" si="1885"/>
        <v>3</v>
      </c>
      <c r="DJ1435" t="str">
        <f t="shared" si="1886"/>
        <v>mixedProduct</v>
      </c>
      <c r="DK1435">
        <f t="shared" si="1887"/>
        <v>0</v>
      </c>
      <c r="DL1435" t="str">
        <f t="shared" si="1888"/>
        <v>Energy</v>
      </c>
      <c r="DM1435" t="str">
        <f t="shared" si="1889"/>
        <v>Pulp/Paper</v>
      </c>
      <c r="DN1435" t="str">
        <f t="shared" si="1890"/>
        <v>Timber</v>
      </c>
      <c r="DO1435" t="s">
        <v>2264</v>
      </c>
      <c r="DP1435">
        <v>1</v>
      </c>
      <c r="DQ1435" s="184" t="s">
        <v>2265</v>
      </c>
      <c r="DR1435" t="s">
        <v>2266</v>
      </c>
      <c r="DT1435">
        <f t="shared" si="1891"/>
        <v>1</v>
      </c>
      <c r="DU1435" s="143" t="str">
        <f t="shared" si="1892"/>
        <v>external DF used</v>
      </c>
      <c r="DV1435">
        <v>0</v>
      </c>
      <c r="DW1435">
        <v>0</v>
      </c>
      <c r="DX1435">
        <v>0</v>
      </c>
      <c r="DY1435">
        <v>1</v>
      </c>
      <c r="DZ1435">
        <v>1</v>
      </c>
      <c r="EA1435">
        <v>1</v>
      </c>
      <c r="EB1435">
        <v>0</v>
      </c>
      <c r="EC1435">
        <v>1</v>
      </c>
      <c r="ED1435">
        <v>0</v>
      </c>
      <c r="EE1435">
        <v>1</v>
      </c>
      <c r="EF1435">
        <v>1</v>
      </c>
      <c r="EG1435">
        <v>1</v>
      </c>
      <c r="EH1435">
        <v>1</v>
      </c>
      <c r="EI1435" s="2">
        <v>0</v>
      </c>
      <c r="EK1435" t="str">
        <f t="shared" si="1893"/>
        <v/>
      </c>
      <c r="EL1435" t="str">
        <f t="shared" si="1894"/>
        <v/>
      </c>
      <c r="EM1435" s="2" t="str">
        <f t="shared" si="1821"/>
        <v>Technology approach</v>
      </c>
      <c r="EP1435" t="str">
        <f>IF(ISNUMBER(BU1435),IF(ABS(BU1435-[4]QC_indicators!$B$2)&gt;3*[4]QC_indicators!$C$2,"C ratio",IF(ISNUMBER(BY1435),IF(ABS(BY1435-[4]QC_indicators!$B$1)&gt;3*[4]QC_indicators!$C$1,"DF","no"))),IF(ISNUMBER(BY1435),IF(ABS(BY1435-[4]QC_indicators!$B$1)&gt;3*[4]QC_indicators!$C$1,"DF","no")))</f>
        <v>no</v>
      </c>
      <c r="ER1435" s="264" t="s">
        <v>2267</v>
      </c>
      <c r="ET1435" s="264" t="s">
        <v>3406</v>
      </c>
    </row>
    <row r="1436" spans="1:150" ht="15" hidden="1" customHeight="1">
      <c r="A1436" s="1" t="s">
        <v>1807</v>
      </c>
      <c r="B1436" t="s">
        <v>2256</v>
      </c>
      <c r="C1436" t="s">
        <v>2257</v>
      </c>
      <c r="D1436" t="s">
        <v>2258</v>
      </c>
      <c r="E1436" t="s">
        <v>2259</v>
      </c>
      <c r="F1436" t="s">
        <v>2260</v>
      </c>
      <c r="G1436" t="s">
        <v>1813</v>
      </c>
      <c r="H1436" t="s">
        <v>254</v>
      </c>
      <c r="I1436">
        <v>2013</v>
      </c>
      <c r="J1436">
        <v>49</v>
      </c>
      <c r="K1436" t="s">
        <v>2261</v>
      </c>
      <c r="M1436" t="str">
        <f t="shared" si="1856"/>
        <v>Sikkema_2013</v>
      </c>
      <c r="N1436" t="s">
        <v>222</v>
      </c>
      <c r="O1436" s="145" t="s">
        <v>341</v>
      </c>
      <c r="Q1436" s="264" t="s">
        <v>256</v>
      </c>
      <c r="R1436" s="269" t="s">
        <v>1153</v>
      </c>
      <c r="S1436" s="1" t="s">
        <v>2270</v>
      </c>
      <c r="T1436" t="s">
        <v>1098</v>
      </c>
      <c r="U1436" t="e">
        <f>#REF!</f>
        <v>#REF!</v>
      </c>
      <c r="V1436">
        <v>2</v>
      </c>
      <c r="W1436">
        <v>0</v>
      </c>
      <c r="X1436">
        <v>0</v>
      </c>
      <c r="Y1436">
        <v>0</v>
      </c>
      <c r="Z1436">
        <v>0</v>
      </c>
      <c r="AA1436">
        <v>0</v>
      </c>
      <c r="AB1436">
        <v>0</v>
      </c>
      <c r="AC1436">
        <v>0</v>
      </c>
      <c r="AD1436">
        <v>0</v>
      </c>
      <c r="AE1436">
        <v>0</v>
      </c>
      <c r="AF1436">
        <v>1</v>
      </c>
      <c r="AG1436">
        <v>0</v>
      </c>
      <c r="AH1436">
        <v>0</v>
      </c>
      <c r="AI1436">
        <v>0</v>
      </c>
      <c r="AJ1436">
        <v>0</v>
      </c>
      <c r="AK1436">
        <v>0</v>
      </c>
      <c r="AL1436">
        <v>0</v>
      </c>
      <c r="AM1436">
        <v>0</v>
      </c>
      <c r="AN1436">
        <v>0</v>
      </c>
      <c r="AO1436">
        <v>0</v>
      </c>
      <c r="AP1436">
        <v>0</v>
      </c>
      <c r="AQ1436">
        <v>0</v>
      </c>
      <c r="AR1436">
        <v>0</v>
      </c>
      <c r="AS1436">
        <v>0</v>
      </c>
      <c r="AT1436">
        <v>0</v>
      </c>
      <c r="AU1436">
        <v>0</v>
      </c>
      <c r="AV1436">
        <v>0</v>
      </c>
      <c r="AW1436">
        <v>0</v>
      </c>
      <c r="AX1436" s="141">
        <f t="shared" si="1864"/>
        <v>2</v>
      </c>
      <c r="AY1436" s="141">
        <f t="shared" si="1865"/>
        <v>2</v>
      </c>
      <c r="AZ1436">
        <f t="shared" si="1866"/>
        <v>1</v>
      </c>
      <c r="BA1436">
        <f t="shared" si="1867"/>
        <v>1</v>
      </c>
      <c r="BB1436">
        <f t="shared" si="1868"/>
        <v>0</v>
      </c>
      <c r="BC1436">
        <f t="shared" si="1869"/>
        <v>0</v>
      </c>
      <c r="BD1436">
        <f t="shared" si="1870"/>
        <v>0</v>
      </c>
      <c r="BE1436" t="str" cm="1">
        <f t="array" ref="BE1436">IF(AY1436=1,INDEX($V$7:$AL$7,MATCH(TRUE,INDEX($V1436:$AW1436&lt;&gt;0,),0)),IF(AY1436=0,INDEX($AM$7:$AW$7,MATCH(1,$AM1436:$AW1436,0)),IF(BF1436="Multiple strategies","mixed drivers",IF(BF1436="Supply chain","multiple supply","multiple silviculture"))))</f>
        <v>mixed drivers</v>
      </c>
      <c r="BF1436" s="2" t="str" cm="1">
        <f t="array" ref="BF1436">IF(COUNTIF(AZ1436:BB1436,"&lt;&gt;0")=1,INDEX($V$4:$AW$4,MATCH(TRUE,INDEX($V1436:$AW1436&lt;&gt;0,),0)),IF(COUNTIF(AZ1436:BB1436,"&lt;&gt;0")=0,INDEX($AM$4:$AW$4,MATCH(1,$AM1436:$AW1436,0)),"Multiple strategies"))</f>
        <v>Multiple strategies</v>
      </c>
      <c r="BG1436" s="1" t="s">
        <v>321</v>
      </c>
      <c r="BH1436" t="s">
        <v>2263</v>
      </c>
      <c r="BJ1436" t="s">
        <v>1354</v>
      </c>
      <c r="BK1436">
        <v>130</v>
      </c>
      <c r="BL1436">
        <v>180</v>
      </c>
      <c r="BN1436">
        <f t="shared" si="1871"/>
        <v>50</v>
      </c>
      <c r="BO1436">
        <f t="shared" si="1872"/>
        <v>50000000</v>
      </c>
      <c r="BP1436" s="264" t="s">
        <v>232</v>
      </c>
      <c r="BQ1436" s="264"/>
      <c r="BR1436" t="s">
        <v>1139</v>
      </c>
      <c r="BS1436">
        <v>-41.3</v>
      </c>
      <c r="BT1436">
        <v>-19.7</v>
      </c>
      <c r="BU1436" s="144">
        <v>0.47699757869249398</v>
      </c>
      <c r="BV1436">
        <v>21.599999999999998</v>
      </c>
      <c r="BX1436">
        <f t="shared" si="1873"/>
        <v>21599999.999999996</v>
      </c>
      <c r="BY1436">
        <f t="shared" si="1820"/>
        <v>0.43199999999999994</v>
      </c>
      <c r="BZ1436">
        <v>0</v>
      </c>
      <c r="CA1436">
        <v>0</v>
      </c>
      <c r="CB1436">
        <v>0</v>
      </c>
      <c r="CC1436">
        <v>0</v>
      </c>
      <c r="CD1436">
        <v>0</v>
      </c>
      <c r="CE1436">
        <v>0</v>
      </c>
      <c r="CF1436">
        <v>0</v>
      </c>
      <c r="CG1436">
        <v>0</v>
      </c>
      <c r="CH1436">
        <v>0</v>
      </c>
      <c r="CI1436">
        <v>0</v>
      </c>
      <c r="CJ1436">
        <v>0</v>
      </c>
      <c r="CK1436">
        <v>0</v>
      </c>
      <c r="CL1436">
        <v>0</v>
      </c>
      <c r="CM1436">
        <v>0</v>
      </c>
      <c r="CN1436" t="str">
        <f t="shared" si="1874"/>
        <v>refOK</v>
      </c>
      <c r="CO1436">
        <f t="shared" si="1875"/>
        <v>130</v>
      </c>
      <c r="CP1436">
        <f t="shared" si="1876"/>
        <v>180</v>
      </c>
      <c r="CQ1436">
        <f t="shared" si="1877"/>
        <v>50000000</v>
      </c>
      <c r="CR1436">
        <f t="shared" si="1878"/>
        <v>-41.3</v>
      </c>
      <c r="CS1436">
        <f t="shared" si="1879"/>
        <v>-19.7</v>
      </c>
      <c r="CT1436">
        <f t="shared" si="1880"/>
        <v>21599999.999999996</v>
      </c>
      <c r="CU1436">
        <f t="shared" si="1881"/>
        <v>0.43199999999999994</v>
      </c>
      <c r="CV1436" s="2">
        <f t="shared" si="1882"/>
        <v>0.52300242130750607</v>
      </c>
      <c r="CW1436" s="1" t="s">
        <v>1202</v>
      </c>
      <c r="CX1436" s="264" t="str">
        <f t="shared" si="1883"/>
        <v>reg</v>
      </c>
      <c r="CY1436" t="s">
        <v>540</v>
      </c>
      <c r="CZ1436">
        <v>2012</v>
      </c>
      <c r="DA1436">
        <v>2112</v>
      </c>
      <c r="DB1436">
        <v>100</v>
      </c>
      <c r="DC1436" t="str">
        <f t="shared" si="1884"/>
        <v>71-100</v>
      </c>
      <c r="DD1436">
        <v>0</v>
      </c>
      <c r="DE1436">
        <v>1</v>
      </c>
      <c r="DF1436">
        <v>1</v>
      </c>
      <c r="DG1436">
        <v>1</v>
      </c>
      <c r="DI1436">
        <f t="shared" si="1885"/>
        <v>3</v>
      </c>
      <c r="DJ1436" t="str">
        <f t="shared" si="1886"/>
        <v>mixedProduct</v>
      </c>
      <c r="DK1436">
        <f t="shared" si="1887"/>
        <v>0</v>
      </c>
      <c r="DL1436" t="str">
        <f t="shared" si="1888"/>
        <v>Energy</v>
      </c>
      <c r="DM1436" t="str">
        <f t="shared" si="1889"/>
        <v>Pulp/Paper</v>
      </c>
      <c r="DN1436" t="str">
        <f t="shared" si="1890"/>
        <v>Timber</v>
      </c>
      <c r="DO1436" t="s">
        <v>2264</v>
      </c>
      <c r="DP1436">
        <v>1</v>
      </c>
      <c r="DQ1436" s="184" t="s">
        <v>2265</v>
      </c>
      <c r="DR1436" t="s">
        <v>2266</v>
      </c>
      <c r="DT1436">
        <f t="shared" si="1891"/>
        <v>1</v>
      </c>
      <c r="DU1436" s="143" t="str">
        <f t="shared" si="1892"/>
        <v>external DF used</v>
      </c>
      <c r="DV1436">
        <v>0</v>
      </c>
      <c r="DW1436">
        <v>0</v>
      </c>
      <c r="DX1436">
        <v>0</v>
      </c>
      <c r="DY1436">
        <v>1</v>
      </c>
      <c r="DZ1436">
        <v>1</v>
      </c>
      <c r="EA1436">
        <v>1</v>
      </c>
      <c r="EB1436">
        <v>0</v>
      </c>
      <c r="EC1436">
        <v>1</v>
      </c>
      <c r="ED1436">
        <v>0</v>
      </c>
      <c r="EE1436">
        <v>1</v>
      </c>
      <c r="EF1436">
        <v>1</v>
      </c>
      <c r="EG1436">
        <v>1</v>
      </c>
      <c r="EH1436">
        <v>1</v>
      </c>
      <c r="EI1436" s="2">
        <v>0</v>
      </c>
      <c r="EK1436" t="str">
        <f t="shared" si="1893"/>
        <v/>
      </c>
      <c r="EL1436" t="str">
        <f t="shared" si="1894"/>
        <v/>
      </c>
      <c r="EM1436" s="2" t="str">
        <f t="shared" si="1821"/>
        <v>Technology approach</v>
      </c>
      <c r="EP1436" t="str">
        <f>IF(ISNUMBER(BU1436),IF(ABS(BU1436-[4]QC_indicators!$B$2)&gt;3*[4]QC_indicators!$C$2,"C ratio",IF(ISNUMBER(BY1436),IF(ABS(BY1436-[4]QC_indicators!$B$1)&gt;3*[4]QC_indicators!$C$1,"DF","no"))),IF(ISNUMBER(BY1436),IF(ABS(BY1436-[4]QC_indicators!$B$1)&gt;3*[4]QC_indicators!$C$1,"DF","no")))</f>
        <v>no</v>
      </c>
      <c r="ER1436" s="294" t="s">
        <v>349</v>
      </c>
      <c r="ET1436" s="264" t="s">
        <v>3406</v>
      </c>
    </row>
    <row r="1437" spans="1:150" ht="15" hidden="1" customHeight="1">
      <c r="A1437" s="1" t="s">
        <v>1807</v>
      </c>
      <c r="B1437" t="s">
        <v>2256</v>
      </c>
      <c r="C1437" t="s">
        <v>2257</v>
      </c>
      <c r="D1437" t="s">
        <v>2258</v>
      </c>
      <c r="E1437" t="s">
        <v>2259</v>
      </c>
      <c r="F1437" t="s">
        <v>2260</v>
      </c>
      <c r="G1437" t="s">
        <v>1813</v>
      </c>
      <c r="H1437" t="s">
        <v>254</v>
      </c>
      <c r="I1437">
        <v>2013</v>
      </c>
      <c r="J1437">
        <v>49</v>
      </c>
      <c r="K1437" t="s">
        <v>2261</v>
      </c>
      <c r="M1437" t="str">
        <f t="shared" si="1856"/>
        <v>Sikkema_2013</v>
      </c>
      <c r="N1437" t="s">
        <v>222</v>
      </c>
      <c r="O1437" s="145" t="s">
        <v>341</v>
      </c>
      <c r="Q1437" s="264" t="s">
        <v>256</v>
      </c>
      <c r="R1437" s="269" t="s">
        <v>1153</v>
      </c>
      <c r="S1437" s="1" t="s">
        <v>2271</v>
      </c>
      <c r="T1437" t="s">
        <v>1098</v>
      </c>
      <c r="U1437" t="e">
        <f>#REF!</f>
        <v>#REF!</v>
      </c>
      <c r="V1437">
        <v>2</v>
      </c>
      <c r="W1437">
        <v>0</v>
      </c>
      <c r="X1437">
        <v>0</v>
      </c>
      <c r="Y1437">
        <v>0</v>
      </c>
      <c r="Z1437">
        <v>0</v>
      </c>
      <c r="AA1437">
        <v>0</v>
      </c>
      <c r="AB1437">
        <v>0</v>
      </c>
      <c r="AC1437">
        <v>0</v>
      </c>
      <c r="AD1437">
        <v>0</v>
      </c>
      <c r="AE1437">
        <v>0</v>
      </c>
      <c r="AF1437">
        <v>1</v>
      </c>
      <c r="AG1437">
        <v>0</v>
      </c>
      <c r="AH1437">
        <v>0</v>
      </c>
      <c r="AI1437">
        <v>0</v>
      </c>
      <c r="AJ1437">
        <v>0</v>
      </c>
      <c r="AK1437">
        <v>0</v>
      </c>
      <c r="AL1437">
        <v>0</v>
      </c>
      <c r="AM1437">
        <v>0</v>
      </c>
      <c r="AN1437">
        <v>0</v>
      </c>
      <c r="AO1437">
        <v>0</v>
      </c>
      <c r="AP1437">
        <v>0</v>
      </c>
      <c r="AQ1437">
        <v>0</v>
      </c>
      <c r="AR1437">
        <v>0</v>
      </c>
      <c r="AS1437">
        <v>0</v>
      </c>
      <c r="AT1437">
        <v>0</v>
      </c>
      <c r="AU1437">
        <v>0</v>
      </c>
      <c r="AV1437">
        <v>0</v>
      </c>
      <c r="AW1437">
        <v>0</v>
      </c>
      <c r="AX1437" s="141">
        <f t="shared" si="1864"/>
        <v>2</v>
      </c>
      <c r="AY1437" s="141">
        <f t="shared" si="1865"/>
        <v>2</v>
      </c>
      <c r="AZ1437">
        <f t="shared" si="1866"/>
        <v>1</v>
      </c>
      <c r="BA1437">
        <f t="shared" si="1867"/>
        <v>1</v>
      </c>
      <c r="BB1437">
        <f t="shared" si="1868"/>
        <v>0</v>
      </c>
      <c r="BC1437">
        <f t="shared" si="1869"/>
        <v>0</v>
      </c>
      <c r="BD1437">
        <f t="shared" si="1870"/>
        <v>0</v>
      </c>
      <c r="BE1437" t="str" cm="1">
        <f t="array" ref="BE1437">IF(AY1437=1,INDEX($V$7:$AL$7,MATCH(TRUE,INDEX($V1437:$AW1437&lt;&gt;0,),0)),IF(AY1437=0,INDEX($AM$7:$AW$7,MATCH(1,$AM1437:$AW1437,0)),IF(BF1437="Multiple strategies","mixed drivers",IF(BF1437="Supply chain","multiple supply","multiple silviculture"))))</f>
        <v>mixed drivers</v>
      </c>
      <c r="BF1437" s="2" t="str" cm="1">
        <f t="array" ref="BF1437">IF(COUNTIF(AZ1437:BB1437,"&lt;&gt;0")=1,INDEX($V$4:$AW$4,MATCH(TRUE,INDEX($V1437:$AW1437&lt;&gt;0,),0)),IF(COUNTIF(AZ1437:BB1437,"&lt;&gt;0")=0,INDEX($AM$4:$AW$4,MATCH(1,$AM1437:$AW1437,0)),"Multiple strategies"))</f>
        <v>Multiple strategies</v>
      </c>
      <c r="BG1437" s="1" t="s">
        <v>321</v>
      </c>
      <c r="BH1437" t="s">
        <v>2263</v>
      </c>
      <c r="BJ1437" t="s">
        <v>1354</v>
      </c>
      <c r="BK1437">
        <v>130</v>
      </c>
      <c r="BL1437">
        <v>180</v>
      </c>
      <c r="BN1437">
        <f t="shared" si="1871"/>
        <v>50</v>
      </c>
      <c r="BO1437">
        <f t="shared" si="1872"/>
        <v>50000000</v>
      </c>
      <c r="BP1437" s="264" t="s">
        <v>232</v>
      </c>
      <c r="BQ1437" s="264"/>
      <c r="BR1437" t="s">
        <v>1139</v>
      </c>
      <c r="BS1437">
        <v>-41.3</v>
      </c>
      <c r="BT1437">
        <v>-19.5</v>
      </c>
      <c r="BU1437" s="144">
        <v>0.47215496368038745</v>
      </c>
      <c r="BV1437">
        <v>21.799999999999997</v>
      </c>
      <c r="BX1437">
        <f t="shared" si="1873"/>
        <v>21799999.999999996</v>
      </c>
      <c r="BY1437">
        <f t="shared" si="1820"/>
        <v>0.43599999999999994</v>
      </c>
      <c r="BZ1437">
        <v>0</v>
      </c>
      <c r="CA1437">
        <v>0</v>
      </c>
      <c r="CB1437">
        <v>0</v>
      </c>
      <c r="CC1437">
        <v>0</v>
      </c>
      <c r="CD1437">
        <v>0</v>
      </c>
      <c r="CE1437">
        <v>0</v>
      </c>
      <c r="CF1437">
        <v>0</v>
      </c>
      <c r="CG1437">
        <v>0</v>
      </c>
      <c r="CH1437">
        <v>0</v>
      </c>
      <c r="CI1437">
        <v>0</v>
      </c>
      <c r="CJ1437">
        <v>0</v>
      </c>
      <c r="CK1437">
        <v>0</v>
      </c>
      <c r="CL1437">
        <v>0</v>
      </c>
      <c r="CM1437">
        <v>0</v>
      </c>
      <c r="CN1437" t="str">
        <f t="shared" si="1874"/>
        <v>refOK</v>
      </c>
      <c r="CO1437">
        <f t="shared" si="1875"/>
        <v>130</v>
      </c>
      <c r="CP1437">
        <f t="shared" si="1876"/>
        <v>180</v>
      </c>
      <c r="CQ1437">
        <f t="shared" si="1877"/>
        <v>50000000</v>
      </c>
      <c r="CR1437">
        <f t="shared" si="1878"/>
        <v>-41.3</v>
      </c>
      <c r="CS1437">
        <f t="shared" si="1879"/>
        <v>-19.5</v>
      </c>
      <c r="CT1437">
        <f t="shared" si="1880"/>
        <v>21799999.999999996</v>
      </c>
      <c r="CU1437">
        <f t="shared" si="1881"/>
        <v>0.43599999999999994</v>
      </c>
      <c r="CV1437" s="2">
        <f t="shared" si="1882"/>
        <v>0.52784503631961255</v>
      </c>
      <c r="CW1437" s="1" t="s">
        <v>1202</v>
      </c>
      <c r="CX1437" s="264" t="str">
        <f t="shared" si="1883"/>
        <v>reg</v>
      </c>
      <c r="CY1437" t="s">
        <v>540</v>
      </c>
      <c r="CZ1437">
        <v>2012</v>
      </c>
      <c r="DA1437">
        <v>2112</v>
      </c>
      <c r="DB1437">
        <v>100</v>
      </c>
      <c r="DC1437" t="str">
        <f t="shared" si="1884"/>
        <v>71-100</v>
      </c>
      <c r="DD1437">
        <v>0</v>
      </c>
      <c r="DE1437">
        <v>1</v>
      </c>
      <c r="DF1437">
        <v>1</v>
      </c>
      <c r="DG1437">
        <v>1</v>
      </c>
      <c r="DI1437">
        <f t="shared" si="1885"/>
        <v>3</v>
      </c>
      <c r="DJ1437" t="str">
        <f t="shared" si="1886"/>
        <v>mixedProduct</v>
      </c>
      <c r="DK1437">
        <f t="shared" si="1887"/>
        <v>0</v>
      </c>
      <c r="DL1437" t="str">
        <f t="shared" si="1888"/>
        <v>Energy</v>
      </c>
      <c r="DM1437" t="str">
        <f t="shared" si="1889"/>
        <v>Pulp/Paper</v>
      </c>
      <c r="DN1437" t="str">
        <f t="shared" si="1890"/>
        <v>Timber</v>
      </c>
      <c r="DO1437" t="s">
        <v>2264</v>
      </c>
      <c r="DP1437">
        <v>1</v>
      </c>
      <c r="DQ1437" s="184" t="s">
        <v>2265</v>
      </c>
      <c r="DR1437" t="s">
        <v>2266</v>
      </c>
      <c r="DT1437">
        <f t="shared" si="1891"/>
        <v>1</v>
      </c>
      <c r="DU1437" s="143" t="str">
        <f t="shared" si="1892"/>
        <v>external DF used</v>
      </c>
      <c r="DV1437">
        <v>0</v>
      </c>
      <c r="DW1437">
        <v>0</v>
      </c>
      <c r="DX1437">
        <v>0</v>
      </c>
      <c r="DY1437">
        <v>1</v>
      </c>
      <c r="DZ1437">
        <v>1</v>
      </c>
      <c r="EA1437">
        <v>1</v>
      </c>
      <c r="EB1437">
        <v>0</v>
      </c>
      <c r="EC1437">
        <v>1</v>
      </c>
      <c r="ED1437">
        <v>0</v>
      </c>
      <c r="EE1437">
        <v>1</v>
      </c>
      <c r="EF1437">
        <v>1</v>
      </c>
      <c r="EG1437">
        <v>1</v>
      </c>
      <c r="EH1437">
        <v>1</v>
      </c>
      <c r="EI1437" s="2">
        <v>0</v>
      </c>
      <c r="EK1437" t="str">
        <f t="shared" si="1893"/>
        <v/>
      </c>
      <c r="EL1437" t="str">
        <f t="shared" si="1894"/>
        <v/>
      </c>
      <c r="EM1437" s="2" t="str">
        <f t="shared" si="1821"/>
        <v>Technology approach</v>
      </c>
      <c r="EP1437" t="str">
        <f>IF(ISNUMBER(BU1437),IF(ABS(BU1437-[4]QC_indicators!$B$2)&gt;3*[4]QC_indicators!$C$2,"C ratio",IF(ISNUMBER(BY1437),IF(ABS(BY1437-[4]QC_indicators!$B$1)&gt;3*[4]QC_indicators!$C$1,"DF","no"))),IF(ISNUMBER(BY1437),IF(ABS(BY1437-[4]QC_indicators!$B$1)&gt;3*[4]QC_indicators!$C$1,"DF","no")))</f>
        <v>no</v>
      </c>
      <c r="ER1437" s="264" t="s">
        <v>2267</v>
      </c>
      <c r="ET1437" s="264" t="s">
        <v>3406</v>
      </c>
    </row>
    <row r="1438" spans="1:150" ht="15" hidden="1" customHeight="1">
      <c r="A1438" s="1" t="s">
        <v>1807</v>
      </c>
      <c r="B1438" t="s">
        <v>2256</v>
      </c>
      <c r="C1438" t="s">
        <v>2257</v>
      </c>
      <c r="D1438" t="s">
        <v>2258</v>
      </c>
      <c r="E1438" t="s">
        <v>2259</v>
      </c>
      <c r="F1438" t="s">
        <v>2260</v>
      </c>
      <c r="G1438" t="s">
        <v>1813</v>
      </c>
      <c r="H1438" t="s">
        <v>254</v>
      </c>
      <c r="I1438">
        <v>2013</v>
      </c>
      <c r="J1438">
        <v>49</v>
      </c>
      <c r="K1438" t="s">
        <v>2261</v>
      </c>
      <c r="M1438" t="str">
        <f t="shared" si="1856"/>
        <v>Sikkema_2013</v>
      </c>
      <c r="N1438" t="s">
        <v>222</v>
      </c>
      <c r="O1438" s="145" t="s">
        <v>341</v>
      </c>
      <c r="Q1438" s="264" t="s">
        <v>256</v>
      </c>
      <c r="R1438" s="269" t="s">
        <v>1153</v>
      </c>
      <c r="S1438" s="1" t="s">
        <v>2272</v>
      </c>
      <c r="T1438" t="s">
        <v>1098</v>
      </c>
      <c r="U1438" t="e">
        <f>#REF!</f>
        <v>#REF!</v>
      </c>
      <c r="V1438">
        <v>2</v>
      </c>
      <c r="W1438">
        <v>0</v>
      </c>
      <c r="X1438">
        <v>0</v>
      </c>
      <c r="Y1438">
        <v>0</v>
      </c>
      <c r="Z1438">
        <v>0</v>
      </c>
      <c r="AA1438">
        <v>0</v>
      </c>
      <c r="AB1438">
        <v>0</v>
      </c>
      <c r="AC1438">
        <v>0</v>
      </c>
      <c r="AD1438">
        <v>0</v>
      </c>
      <c r="AE1438">
        <v>0</v>
      </c>
      <c r="AF1438">
        <v>1</v>
      </c>
      <c r="AG1438">
        <v>0</v>
      </c>
      <c r="AH1438">
        <v>0</v>
      </c>
      <c r="AI1438">
        <v>0</v>
      </c>
      <c r="AJ1438">
        <v>0</v>
      </c>
      <c r="AK1438">
        <v>0</v>
      </c>
      <c r="AL1438">
        <v>0</v>
      </c>
      <c r="AM1438">
        <v>0</v>
      </c>
      <c r="AN1438">
        <v>0</v>
      </c>
      <c r="AO1438">
        <v>0</v>
      </c>
      <c r="AP1438">
        <v>0</v>
      </c>
      <c r="AQ1438">
        <v>0</v>
      </c>
      <c r="AR1438">
        <v>0</v>
      </c>
      <c r="AS1438">
        <v>0</v>
      </c>
      <c r="AT1438">
        <v>0</v>
      </c>
      <c r="AU1438">
        <v>0</v>
      </c>
      <c r="AV1438">
        <v>0</v>
      </c>
      <c r="AW1438">
        <v>0</v>
      </c>
      <c r="AX1438" s="141">
        <f t="shared" si="1864"/>
        <v>2</v>
      </c>
      <c r="AY1438" s="141">
        <f t="shared" si="1865"/>
        <v>2</v>
      </c>
      <c r="AZ1438">
        <f t="shared" si="1866"/>
        <v>1</v>
      </c>
      <c r="BA1438">
        <f t="shared" si="1867"/>
        <v>1</v>
      </c>
      <c r="BB1438">
        <f t="shared" si="1868"/>
        <v>0</v>
      </c>
      <c r="BC1438">
        <f t="shared" si="1869"/>
        <v>0</v>
      </c>
      <c r="BD1438">
        <f t="shared" si="1870"/>
        <v>0</v>
      </c>
      <c r="BE1438" t="str" cm="1">
        <f t="array" ref="BE1438">IF(AY1438=1,INDEX($V$7:$AL$7,MATCH(TRUE,INDEX($V1438:$AW1438&lt;&gt;0,),0)),IF(AY1438=0,INDEX($AM$7:$AW$7,MATCH(1,$AM1438:$AW1438,0)),IF(BF1438="Multiple strategies","mixed drivers",IF(BF1438="Supply chain","multiple supply","multiple silviculture"))))</f>
        <v>mixed drivers</v>
      </c>
      <c r="BF1438" s="2" t="str" cm="1">
        <f t="array" ref="BF1438">IF(COUNTIF(AZ1438:BB1438,"&lt;&gt;0")=1,INDEX($V$4:$AW$4,MATCH(TRUE,INDEX($V1438:$AW1438&lt;&gt;0,),0)),IF(COUNTIF(AZ1438:BB1438,"&lt;&gt;0")=0,INDEX($AM$4:$AW$4,MATCH(1,$AM1438:$AW1438,0)),"Multiple strategies"))</f>
        <v>Multiple strategies</v>
      </c>
      <c r="BG1438" s="1" t="s">
        <v>321</v>
      </c>
      <c r="BH1438" t="s">
        <v>2263</v>
      </c>
      <c r="BJ1438" t="s">
        <v>1354</v>
      </c>
      <c r="BK1438">
        <v>130</v>
      </c>
      <c r="BL1438">
        <v>180</v>
      </c>
      <c r="BN1438">
        <f t="shared" si="1871"/>
        <v>50</v>
      </c>
      <c r="BO1438">
        <f t="shared" si="1872"/>
        <v>50000000</v>
      </c>
      <c r="BP1438" s="264" t="s">
        <v>232</v>
      </c>
      <c r="BQ1438" s="264"/>
      <c r="BR1438" t="s">
        <v>1139</v>
      </c>
      <c r="BS1438">
        <v>-41.3</v>
      </c>
      <c r="BT1438">
        <v>-19.2</v>
      </c>
      <c r="BU1438" s="144">
        <v>0.46489104116222763</v>
      </c>
      <c r="BV1438">
        <v>22.099999999999998</v>
      </c>
      <c r="BX1438">
        <f t="shared" si="1873"/>
        <v>22099999.999999996</v>
      </c>
      <c r="BY1438">
        <f t="shared" si="1820"/>
        <v>0.44199999999999995</v>
      </c>
      <c r="BZ1438">
        <v>0</v>
      </c>
      <c r="CA1438">
        <v>0</v>
      </c>
      <c r="CB1438">
        <v>0</v>
      </c>
      <c r="CC1438">
        <v>0</v>
      </c>
      <c r="CD1438">
        <v>0</v>
      </c>
      <c r="CE1438">
        <v>0</v>
      </c>
      <c r="CF1438">
        <v>0</v>
      </c>
      <c r="CG1438">
        <v>0</v>
      </c>
      <c r="CH1438">
        <v>0</v>
      </c>
      <c r="CI1438">
        <v>0</v>
      </c>
      <c r="CJ1438">
        <v>0</v>
      </c>
      <c r="CK1438">
        <v>0</v>
      </c>
      <c r="CL1438">
        <v>0</v>
      </c>
      <c r="CM1438">
        <v>0</v>
      </c>
      <c r="CN1438" t="str">
        <f t="shared" si="1874"/>
        <v>refOK</v>
      </c>
      <c r="CO1438">
        <f t="shared" si="1875"/>
        <v>130</v>
      </c>
      <c r="CP1438">
        <f t="shared" si="1876"/>
        <v>180</v>
      </c>
      <c r="CQ1438">
        <f t="shared" si="1877"/>
        <v>50000000</v>
      </c>
      <c r="CR1438">
        <f t="shared" si="1878"/>
        <v>-41.3</v>
      </c>
      <c r="CS1438">
        <f t="shared" si="1879"/>
        <v>-19.2</v>
      </c>
      <c r="CT1438">
        <f t="shared" si="1880"/>
        <v>22099999.999999996</v>
      </c>
      <c r="CU1438">
        <f t="shared" si="1881"/>
        <v>0.44199999999999995</v>
      </c>
      <c r="CV1438" s="2">
        <f t="shared" si="1882"/>
        <v>0.53510895883777243</v>
      </c>
      <c r="CW1438" s="1" t="s">
        <v>1202</v>
      </c>
      <c r="CX1438" s="264" t="str">
        <f t="shared" si="1883"/>
        <v>reg</v>
      </c>
      <c r="CY1438" t="s">
        <v>540</v>
      </c>
      <c r="CZ1438">
        <v>2012</v>
      </c>
      <c r="DA1438">
        <v>2112</v>
      </c>
      <c r="DB1438">
        <v>100</v>
      </c>
      <c r="DC1438" t="str">
        <f t="shared" si="1884"/>
        <v>71-100</v>
      </c>
      <c r="DD1438">
        <v>0</v>
      </c>
      <c r="DE1438">
        <v>1</v>
      </c>
      <c r="DF1438">
        <v>1</v>
      </c>
      <c r="DG1438">
        <v>1</v>
      </c>
      <c r="DI1438">
        <f t="shared" si="1885"/>
        <v>3</v>
      </c>
      <c r="DJ1438" t="str">
        <f t="shared" si="1886"/>
        <v>mixedProduct</v>
      </c>
      <c r="DK1438">
        <f t="shared" si="1887"/>
        <v>0</v>
      </c>
      <c r="DL1438" t="str">
        <f t="shared" si="1888"/>
        <v>Energy</v>
      </c>
      <c r="DM1438" t="str">
        <f t="shared" si="1889"/>
        <v>Pulp/Paper</v>
      </c>
      <c r="DN1438" t="str">
        <f t="shared" si="1890"/>
        <v>Timber</v>
      </c>
      <c r="DO1438" t="s">
        <v>2264</v>
      </c>
      <c r="DP1438">
        <v>1</v>
      </c>
      <c r="DQ1438" s="184" t="s">
        <v>2265</v>
      </c>
      <c r="DR1438" t="s">
        <v>2266</v>
      </c>
      <c r="DT1438">
        <f t="shared" si="1891"/>
        <v>1</v>
      </c>
      <c r="DU1438" s="143" t="str">
        <f t="shared" si="1892"/>
        <v>external DF used</v>
      </c>
      <c r="DV1438">
        <v>0</v>
      </c>
      <c r="DW1438">
        <v>0</v>
      </c>
      <c r="DX1438">
        <v>0</v>
      </c>
      <c r="DY1438">
        <v>1</v>
      </c>
      <c r="DZ1438">
        <v>1</v>
      </c>
      <c r="EA1438">
        <v>1</v>
      </c>
      <c r="EB1438">
        <v>0</v>
      </c>
      <c r="EC1438">
        <v>1</v>
      </c>
      <c r="ED1438">
        <v>0</v>
      </c>
      <c r="EE1438">
        <v>1</v>
      </c>
      <c r="EF1438">
        <v>1</v>
      </c>
      <c r="EG1438">
        <v>1</v>
      </c>
      <c r="EH1438">
        <v>1</v>
      </c>
      <c r="EI1438" s="2">
        <v>0</v>
      </c>
      <c r="EK1438" t="str">
        <f t="shared" si="1893"/>
        <v/>
      </c>
      <c r="EL1438" t="str">
        <f t="shared" si="1894"/>
        <v/>
      </c>
      <c r="EM1438" s="2" t="str">
        <f t="shared" si="1821"/>
        <v>Technology approach</v>
      </c>
      <c r="EP1438" t="str">
        <f>IF(ISNUMBER(BU1438),IF(ABS(BU1438-[4]QC_indicators!$B$2)&gt;3*[4]QC_indicators!$C$2,"C ratio",IF(ISNUMBER(BY1438),IF(ABS(BY1438-[4]QC_indicators!$B$1)&gt;3*[4]QC_indicators!$C$1,"DF","no"))),IF(ISNUMBER(BY1438),IF(ABS(BY1438-[4]QC_indicators!$B$1)&gt;3*[4]QC_indicators!$C$1,"DF","no")))</f>
        <v>no</v>
      </c>
      <c r="ER1438" s="264" t="s">
        <v>2267</v>
      </c>
      <c r="ET1438" s="264" t="s">
        <v>3406</v>
      </c>
    </row>
    <row r="1439" spans="1:150" ht="15" hidden="1" customHeight="1">
      <c r="A1439" s="1" t="s">
        <v>1807</v>
      </c>
      <c r="B1439" t="s">
        <v>2256</v>
      </c>
      <c r="C1439" t="s">
        <v>2257</v>
      </c>
      <c r="D1439" t="s">
        <v>2258</v>
      </c>
      <c r="E1439" t="s">
        <v>2259</v>
      </c>
      <c r="F1439" t="s">
        <v>2260</v>
      </c>
      <c r="G1439" t="s">
        <v>1813</v>
      </c>
      <c r="H1439" t="s">
        <v>254</v>
      </c>
      <c r="I1439">
        <v>2013</v>
      </c>
      <c r="J1439">
        <v>49</v>
      </c>
      <c r="K1439" t="s">
        <v>2261</v>
      </c>
      <c r="M1439" t="str">
        <f t="shared" si="1856"/>
        <v>Sikkema_2013</v>
      </c>
      <c r="N1439" t="s">
        <v>222</v>
      </c>
      <c r="O1439" s="145" t="s">
        <v>341</v>
      </c>
      <c r="Q1439" s="264" t="s">
        <v>256</v>
      </c>
      <c r="R1439" s="269" t="s">
        <v>1153</v>
      </c>
      <c r="S1439" s="1" t="s">
        <v>2273</v>
      </c>
      <c r="T1439" t="s">
        <v>1098</v>
      </c>
      <c r="U1439" t="e">
        <f>#REF!</f>
        <v>#REF!</v>
      </c>
      <c r="V1439">
        <v>2</v>
      </c>
      <c r="W1439">
        <v>0</v>
      </c>
      <c r="X1439">
        <v>0</v>
      </c>
      <c r="Y1439">
        <v>0</v>
      </c>
      <c r="Z1439">
        <v>0</v>
      </c>
      <c r="AA1439">
        <v>0</v>
      </c>
      <c r="AB1439">
        <v>0</v>
      </c>
      <c r="AC1439">
        <v>0</v>
      </c>
      <c r="AD1439">
        <v>0</v>
      </c>
      <c r="AE1439">
        <v>0</v>
      </c>
      <c r="AF1439">
        <v>1</v>
      </c>
      <c r="AG1439">
        <v>0</v>
      </c>
      <c r="AH1439">
        <v>0</v>
      </c>
      <c r="AI1439">
        <v>0</v>
      </c>
      <c r="AJ1439">
        <v>0</v>
      </c>
      <c r="AK1439">
        <v>0</v>
      </c>
      <c r="AL1439">
        <v>0</v>
      </c>
      <c r="AM1439">
        <v>0</v>
      </c>
      <c r="AN1439">
        <v>0</v>
      </c>
      <c r="AO1439">
        <v>0</v>
      </c>
      <c r="AP1439">
        <v>0</v>
      </c>
      <c r="AQ1439">
        <v>0</v>
      </c>
      <c r="AR1439">
        <v>0</v>
      </c>
      <c r="AS1439">
        <v>0</v>
      </c>
      <c r="AT1439">
        <v>0</v>
      </c>
      <c r="AU1439">
        <v>0</v>
      </c>
      <c r="AV1439">
        <v>0</v>
      </c>
      <c r="AW1439">
        <v>0</v>
      </c>
      <c r="AX1439" s="141">
        <f t="shared" si="1864"/>
        <v>2</v>
      </c>
      <c r="AY1439" s="141">
        <f t="shared" si="1865"/>
        <v>2</v>
      </c>
      <c r="AZ1439">
        <f t="shared" si="1866"/>
        <v>1</v>
      </c>
      <c r="BA1439">
        <f t="shared" si="1867"/>
        <v>1</v>
      </c>
      <c r="BB1439">
        <f t="shared" si="1868"/>
        <v>0</v>
      </c>
      <c r="BC1439">
        <f t="shared" si="1869"/>
        <v>0</v>
      </c>
      <c r="BD1439">
        <f t="shared" si="1870"/>
        <v>0</v>
      </c>
      <c r="BE1439" t="str" cm="1">
        <f t="array" ref="BE1439">IF(AY1439=1,INDEX($V$7:$AL$7,MATCH(TRUE,INDEX($V1439:$AW1439&lt;&gt;0,),0)),IF(AY1439=0,INDEX($AM$7:$AW$7,MATCH(1,$AM1439:$AW1439,0)),IF(BF1439="Multiple strategies","mixed drivers",IF(BF1439="Supply chain","multiple supply","multiple silviculture"))))</f>
        <v>mixed drivers</v>
      </c>
      <c r="BF1439" s="2" t="str" cm="1">
        <f t="array" ref="BF1439">IF(COUNTIF(AZ1439:BB1439,"&lt;&gt;0")=1,INDEX($V$4:$AW$4,MATCH(TRUE,INDEX($V1439:$AW1439&lt;&gt;0,),0)),IF(COUNTIF(AZ1439:BB1439,"&lt;&gt;0")=0,INDEX($AM$4:$AW$4,MATCH(1,$AM1439:$AW1439,0)),"Multiple strategies"))</f>
        <v>Multiple strategies</v>
      </c>
      <c r="BG1439" s="1" t="s">
        <v>321</v>
      </c>
      <c r="BH1439" t="s">
        <v>2263</v>
      </c>
      <c r="BJ1439" t="s">
        <v>1354</v>
      </c>
      <c r="BK1439">
        <v>130</v>
      </c>
      <c r="BL1439">
        <v>180</v>
      </c>
      <c r="BN1439">
        <f t="shared" si="1871"/>
        <v>50</v>
      </c>
      <c r="BO1439">
        <f t="shared" si="1872"/>
        <v>50000000</v>
      </c>
      <c r="BP1439" s="264" t="s">
        <v>232</v>
      </c>
      <c r="BQ1439" s="264"/>
      <c r="BR1439" t="s">
        <v>1139</v>
      </c>
      <c r="BS1439">
        <v>-41.3</v>
      </c>
      <c r="BT1439">
        <v>-19</v>
      </c>
      <c r="BU1439" s="144">
        <v>0.46004842615012109</v>
      </c>
      <c r="BV1439">
        <v>22.299999999999997</v>
      </c>
      <c r="BX1439">
        <f t="shared" si="1873"/>
        <v>22299999.999999996</v>
      </c>
      <c r="BY1439">
        <f t="shared" si="1820"/>
        <v>0.44599999999999995</v>
      </c>
      <c r="BZ1439">
        <v>0</v>
      </c>
      <c r="CA1439">
        <v>0</v>
      </c>
      <c r="CB1439">
        <v>0</v>
      </c>
      <c r="CC1439">
        <v>0</v>
      </c>
      <c r="CD1439">
        <v>0</v>
      </c>
      <c r="CE1439">
        <v>0</v>
      </c>
      <c r="CF1439">
        <v>0</v>
      </c>
      <c r="CG1439">
        <v>0</v>
      </c>
      <c r="CH1439">
        <v>0</v>
      </c>
      <c r="CI1439">
        <v>0</v>
      </c>
      <c r="CJ1439">
        <v>0</v>
      </c>
      <c r="CK1439">
        <v>0</v>
      </c>
      <c r="CL1439">
        <v>0</v>
      </c>
      <c r="CM1439">
        <v>0</v>
      </c>
      <c r="CN1439" t="str">
        <f t="shared" si="1874"/>
        <v>refOK</v>
      </c>
      <c r="CO1439">
        <f t="shared" si="1875"/>
        <v>130</v>
      </c>
      <c r="CP1439">
        <f t="shared" si="1876"/>
        <v>180</v>
      </c>
      <c r="CQ1439">
        <f t="shared" si="1877"/>
        <v>50000000</v>
      </c>
      <c r="CR1439">
        <f t="shared" si="1878"/>
        <v>-41.3</v>
      </c>
      <c r="CS1439">
        <f t="shared" si="1879"/>
        <v>-19</v>
      </c>
      <c r="CT1439">
        <f t="shared" si="1880"/>
        <v>22299999.999999996</v>
      </c>
      <c r="CU1439">
        <f t="shared" si="1881"/>
        <v>0.44599999999999995</v>
      </c>
      <c r="CV1439" s="2">
        <f t="shared" si="1882"/>
        <v>0.53995157384987891</v>
      </c>
      <c r="CW1439" s="1" t="s">
        <v>1202</v>
      </c>
      <c r="CX1439" s="264" t="str">
        <f t="shared" si="1883"/>
        <v>reg</v>
      </c>
      <c r="CY1439" t="s">
        <v>540</v>
      </c>
      <c r="CZ1439">
        <v>2012</v>
      </c>
      <c r="DA1439">
        <v>2112</v>
      </c>
      <c r="DB1439">
        <v>100</v>
      </c>
      <c r="DC1439" t="str">
        <f t="shared" si="1884"/>
        <v>71-100</v>
      </c>
      <c r="DD1439">
        <v>0</v>
      </c>
      <c r="DE1439">
        <v>1</v>
      </c>
      <c r="DF1439">
        <v>1</v>
      </c>
      <c r="DG1439">
        <v>1</v>
      </c>
      <c r="DI1439">
        <f t="shared" si="1885"/>
        <v>3</v>
      </c>
      <c r="DJ1439" t="str">
        <f t="shared" si="1886"/>
        <v>mixedProduct</v>
      </c>
      <c r="DK1439">
        <f t="shared" si="1887"/>
        <v>0</v>
      </c>
      <c r="DL1439" t="str">
        <f t="shared" si="1888"/>
        <v>Energy</v>
      </c>
      <c r="DM1439" t="str">
        <f t="shared" si="1889"/>
        <v>Pulp/Paper</v>
      </c>
      <c r="DN1439" t="str">
        <f t="shared" si="1890"/>
        <v>Timber</v>
      </c>
      <c r="DO1439" t="s">
        <v>2264</v>
      </c>
      <c r="DP1439">
        <v>1</v>
      </c>
      <c r="DQ1439" s="184" t="s">
        <v>2265</v>
      </c>
      <c r="DR1439" t="s">
        <v>2266</v>
      </c>
      <c r="DT1439">
        <f t="shared" si="1891"/>
        <v>1</v>
      </c>
      <c r="DU1439" s="143" t="str">
        <f t="shared" si="1892"/>
        <v>external DF used</v>
      </c>
      <c r="DV1439">
        <v>0</v>
      </c>
      <c r="DW1439">
        <v>0</v>
      </c>
      <c r="DX1439">
        <v>0</v>
      </c>
      <c r="DY1439">
        <v>1</v>
      </c>
      <c r="DZ1439">
        <v>1</v>
      </c>
      <c r="EA1439">
        <v>1</v>
      </c>
      <c r="EB1439">
        <v>0</v>
      </c>
      <c r="EC1439">
        <v>1</v>
      </c>
      <c r="ED1439">
        <v>0</v>
      </c>
      <c r="EE1439">
        <v>1</v>
      </c>
      <c r="EF1439">
        <v>1</v>
      </c>
      <c r="EG1439">
        <v>1</v>
      </c>
      <c r="EH1439">
        <v>1</v>
      </c>
      <c r="EI1439" s="2">
        <v>0</v>
      </c>
      <c r="EK1439" t="str">
        <f t="shared" si="1893"/>
        <v/>
      </c>
      <c r="EL1439" t="str">
        <f t="shared" si="1894"/>
        <v/>
      </c>
      <c r="EM1439" s="2" t="str">
        <f t="shared" si="1821"/>
        <v>Technology approach</v>
      </c>
      <c r="EP1439" t="str">
        <f>IF(ISNUMBER(BU1439),IF(ABS(BU1439-[4]QC_indicators!$B$2)&gt;3*[4]QC_indicators!$C$2,"C ratio",IF(ISNUMBER(BY1439),IF(ABS(BY1439-[4]QC_indicators!$B$1)&gt;3*[4]QC_indicators!$C$1,"DF","no"))),IF(ISNUMBER(BY1439),IF(ABS(BY1439-[4]QC_indicators!$B$1)&gt;3*[4]QC_indicators!$C$1,"DF","no")))</f>
        <v>no</v>
      </c>
      <c r="ER1439" s="264" t="s">
        <v>2267</v>
      </c>
      <c r="ET1439" s="264" t="s">
        <v>3406</v>
      </c>
    </row>
    <row r="1440" spans="1:150" ht="15" hidden="1" customHeight="1">
      <c r="A1440" s="1" t="s">
        <v>1807</v>
      </c>
      <c r="B1440" t="s">
        <v>2256</v>
      </c>
      <c r="C1440" t="s">
        <v>2257</v>
      </c>
      <c r="D1440" t="s">
        <v>2258</v>
      </c>
      <c r="E1440" t="s">
        <v>2259</v>
      </c>
      <c r="F1440" t="s">
        <v>2260</v>
      </c>
      <c r="G1440" t="s">
        <v>1813</v>
      </c>
      <c r="H1440" t="s">
        <v>254</v>
      </c>
      <c r="I1440">
        <v>2013</v>
      </c>
      <c r="J1440">
        <v>49</v>
      </c>
      <c r="K1440" t="s">
        <v>2261</v>
      </c>
      <c r="M1440" t="str">
        <f t="shared" si="1856"/>
        <v>Sikkema_2013</v>
      </c>
      <c r="N1440" t="s">
        <v>222</v>
      </c>
      <c r="O1440" s="145" t="s">
        <v>341</v>
      </c>
      <c r="Q1440" s="264" t="s">
        <v>256</v>
      </c>
      <c r="R1440" s="269" t="s">
        <v>1153</v>
      </c>
      <c r="S1440" s="1" t="s">
        <v>2274</v>
      </c>
      <c r="T1440" t="s">
        <v>1098</v>
      </c>
      <c r="U1440" t="e">
        <f>#REF!</f>
        <v>#REF!</v>
      </c>
      <c r="V1440">
        <v>2</v>
      </c>
      <c r="W1440">
        <v>0</v>
      </c>
      <c r="X1440">
        <v>0</v>
      </c>
      <c r="Y1440">
        <v>0</v>
      </c>
      <c r="Z1440">
        <v>0</v>
      </c>
      <c r="AA1440">
        <v>0</v>
      </c>
      <c r="AB1440">
        <v>0</v>
      </c>
      <c r="AC1440">
        <v>0</v>
      </c>
      <c r="AD1440">
        <v>0</v>
      </c>
      <c r="AE1440">
        <v>0</v>
      </c>
      <c r="AF1440">
        <v>1</v>
      </c>
      <c r="AG1440">
        <v>0</v>
      </c>
      <c r="AH1440">
        <v>0</v>
      </c>
      <c r="AI1440">
        <v>0</v>
      </c>
      <c r="AJ1440">
        <v>0</v>
      </c>
      <c r="AK1440">
        <v>0</v>
      </c>
      <c r="AL1440">
        <v>0</v>
      </c>
      <c r="AM1440">
        <v>0</v>
      </c>
      <c r="AN1440">
        <v>0</v>
      </c>
      <c r="AO1440">
        <v>0</v>
      </c>
      <c r="AP1440">
        <v>0</v>
      </c>
      <c r="AQ1440">
        <v>0</v>
      </c>
      <c r="AR1440">
        <v>0</v>
      </c>
      <c r="AS1440">
        <v>0</v>
      </c>
      <c r="AT1440">
        <v>0</v>
      </c>
      <c r="AU1440">
        <v>0</v>
      </c>
      <c r="AV1440">
        <v>0</v>
      </c>
      <c r="AW1440">
        <v>0</v>
      </c>
      <c r="AX1440" s="141">
        <f t="shared" si="1864"/>
        <v>2</v>
      </c>
      <c r="AY1440" s="141">
        <f t="shared" si="1865"/>
        <v>2</v>
      </c>
      <c r="AZ1440">
        <f t="shared" si="1866"/>
        <v>1</v>
      </c>
      <c r="BA1440">
        <f t="shared" si="1867"/>
        <v>1</v>
      </c>
      <c r="BB1440">
        <f t="shared" si="1868"/>
        <v>0</v>
      </c>
      <c r="BC1440">
        <f t="shared" si="1869"/>
        <v>0</v>
      </c>
      <c r="BD1440">
        <f t="shared" si="1870"/>
        <v>0</v>
      </c>
      <c r="BE1440" t="str" cm="1">
        <f t="array" ref="BE1440">IF(AY1440=1,INDEX($V$7:$AL$7,MATCH(TRUE,INDEX($V1440:$AW1440&lt;&gt;0,),0)),IF(AY1440=0,INDEX($AM$7:$AW$7,MATCH(1,$AM1440:$AW1440,0)),IF(BF1440="Multiple strategies","mixed drivers",IF(BF1440="Supply chain","multiple supply","multiple silviculture"))))</f>
        <v>mixed drivers</v>
      </c>
      <c r="BF1440" s="2" t="str" cm="1">
        <f t="array" ref="BF1440">IF(COUNTIF(AZ1440:BB1440,"&lt;&gt;0")=1,INDEX($V$4:$AW$4,MATCH(TRUE,INDEX($V1440:$AW1440&lt;&gt;0,),0)),IF(COUNTIF(AZ1440:BB1440,"&lt;&gt;0")=0,INDEX($AM$4:$AW$4,MATCH(1,$AM1440:$AW1440,0)),"Multiple strategies"))</f>
        <v>Multiple strategies</v>
      </c>
      <c r="BG1440" s="1" t="s">
        <v>321</v>
      </c>
      <c r="BH1440" t="s">
        <v>2263</v>
      </c>
      <c r="BJ1440" t="s">
        <v>1354</v>
      </c>
      <c r="BK1440">
        <v>130</v>
      </c>
      <c r="BL1440">
        <v>180</v>
      </c>
      <c r="BN1440">
        <f t="shared" si="1871"/>
        <v>50</v>
      </c>
      <c r="BO1440">
        <f t="shared" si="1872"/>
        <v>50000000</v>
      </c>
      <c r="BP1440" s="264" t="s">
        <v>232</v>
      </c>
      <c r="BQ1440" s="264"/>
      <c r="BR1440" t="s">
        <v>1139</v>
      </c>
      <c r="BS1440">
        <v>-41.3</v>
      </c>
      <c r="BT1440">
        <v>-18.399999999999999</v>
      </c>
      <c r="BU1440" s="144">
        <v>0.44552058111380144</v>
      </c>
      <c r="BV1440">
        <v>22.9</v>
      </c>
      <c r="BX1440">
        <f t="shared" si="1873"/>
        <v>22900000</v>
      </c>
      <c r="BY1440">
        <f t="shared" si="1820"/>
        <v>0.45800000000000002</v>
      </c>
      <c r="BZ1440">
        <v>0</v>
      </c>
      <c r="CA1440">
        <v>0</v>
      </c>
      <c r="CB1440">
        <v>0</v>
      </c>
      <c r="CC1440">
        <v>0</v>
      </c>
      <c r="CD1440">
        <v>0</v>
      </c>
      <c r="CE1440">
        <v>0</v>
      </c>
      <c r="CF1440">
        <v>0</v>
      </c>
      <c r="CG1440">
        <v>0</v>
      </c>
      <c r="CH1440">
        <v>0</v>
      </c>
      <c r="CI1440">
        <v>0</v>
      </c>
      <c r="CJ1440">
        <v>0</v>
      </c>
      <c r="CK1440">
        <v>0</v>
      </c>
      <c r="CL1440">
        <v>0</v>
      </c>
      <c r="CM1440">
        <v>0</v>
      </c>
      <c r="CN1440" t="str">
        <f t="shared" si="1874"/>
        <v>refOK</v>
      </c>
      <c r="CO1440">
        <f t="shared" si="1875"/>
        <v>130</v>
      </c>
      <c r="CP1440">
        <f t="shared" si="1876"/>
        <v>180</v>
      </c>
      <c r="CQ1440">
        <f t="shared" si="1877"/>
        <v>50000000</v>
      </c>
      <c r="CR1440">
        <f t="shared" si="1878"/>
        <v>-41.3</v>
      </c>
      <c r="CS1440">
        <f t="shared" si="1879"/>
        <v>-18.399999999999999</v>
      </c>
      <c r="CT1440">
        <f t="shared" si="1880"/>
        <v>22900000</v>
      </c>
      <c r="CU1440">
        <f t="shared" si="1881"/>
        <v>0.45800000000000002</v>
      </c>
      <c r="CV1440" s="2">
        <f t="shared" si="1882"/>
        <v>0.55447941888619856</v>
      </c>
      <c r="CW1440" s="1" t="s">
        <v>1202</v>
      </c>
      <c r="CX1440" s="264" t="str">
        <f t="shared" si="1883"/>
        <v>reg</v>
      </c>
      <c r="CY1440" t="s">
        <v>540</v>
      </c>
      <c r="CZ1440">
        <v>2012</v>
      </c>
      <c r="DA1440">
        <v>2112</v>
      </c>
      <c r="DB1440">
        <v>100</v>
      </c>
      <c r="DC1440" t="str">
        <f t="shared" si="1884"/>
        <v>71-100</v>
      </c>
      <c r="DD1440">
        <v>0</v>
      </c>
      <c r="DE1440">
        <v>1</v>
      </c>
      <c r="DF1440">
        <v>1</v>
      </c>
      <c r="DG1440">
        <v>1</v>
      </c>
      <c r="DI1440">
        <f t="shared" si="1885"/>
        <v>3</v>
      </c>
      <c r="DJ1440" t="str">
        <f t="shared" si="1886"/>
        <v>mixedProduct</v>
      </c>
      <c r="DK1440">
        <f t="shared" si="1887"/>
        <v>0</v>
      </c>
      <c r="DL1440" t="str">
        <f t="shared" si="1888"/>
        <v>Energy</v>
      </c>
      <c r="DM1440" t="str">
        <f t="shared" si="1889"/>
        <v>Pulp/Paper</v>
      </c>
      <c r="DN1440" t="str">
        <f t="shared" si="1890"/>
        <v>Timber</v>
      </c>
      <c r="DO1440" t="s">
        <v>2264</v>
      </c>
      <c r="DP1440">
        <v>1</v>
      </c>
      <c r="DQ1440" s="184" t="s">
        <v>2265</v>
      </c>
      <c r="DR1440" t="s">
        <v>2266</v>
      </c>
      <c r="DT1440">
        <f t="shared" si="1891"/>
        <v>1</v>
      </c>
      <c r="DU1440" s="143" t="str">
        <f t="shared" si="1892"/>
        <v>external DF used</v>
      </c>
      <c r="DV1440">
        <v>0</v>
      </c>
      <c r="DW1440">
        <v>0</v>
      </c>
      <c r="DX1440">
        <v>0</v>
      </c>
      <c r="DY1440">
        <v>1</v>
      </c>
      <c r="DZ1440">
        <v>1</v>
      </c>
      <c r="EA1440">
        <v>1</v>
      </c>
      <c r="EB1440">
        <v>0</v>
      </c>
      <c r="EC1440">
        <v>1</v>
      </c>
      <c r="ED1440">
        <v>0</v>
      </c>
      <c r="EE1440">
        <v>1</v>
      </c>
      <c r="EF1440">
        <v>1</v>
      </c>
      <c r="EG1440">
        <v>1</v>
      </c>
      <c r="EH1440">
        <v>1</v>
      </c>
      <c r="EI1440" s="2">
        <v>0</v>
      </c>
      <c r="EK1440" t="str">
        <f t="shared" si="1893"/>
        <v/>
      </c>
      <c r="EL1440" t="str">
        <f t="shared" si="1894"/>
        <v/>
      </c>
      <c r="EM1440" s="2" t="str">
        <f t="shared" si="1821"/>
        <v>Technology approach</v>
      </c>
      <c r="EP1440" t="str">
        <f>IF(ISNUMBER(BU1440),IF(ABS(BU1440-[4]QC_indicators!$B$2)&gt;3*[4]QC_indicators!$C$2,"C ratio",IF(ISNUMBER(BY1440),IF(ABS(BY1440-[4]QC_indicators!$B$1)&gt;3*[4]QC_indicators!$C$1,"DF","no"))),IF(ISNUMBER(BY1440),IF(ABS(BY1440-[4]QC_indicators!$B$1)&gt;3*[4]QC_indicators!$C$1,"DF","no")))</f>
        <v>no</v>
      </c>
      <c r="ER1440" s="264" t="s">
        <v>2267</v>
      </c>
      <c r="ET1440" s="264" t="s">
        <v>3406</v>
      </c>
    </row>
    <row r="1441" spans="1:150" ht="15" hidden="1" customHeight="1">
      <c r="A1441" s="1" t="s">
        <v>1807</v>
      </c>
      <c r="B1441" t="s">
        <v>2256</v>
      </c>
      <c r="C1441" t="s">
        <v>2257</v>
      </c>
      <c r="D1441" t="s">
        <v>2258</v>
      </c>
      <c r="E1441" t="s">
        <v>2259</v>
      </c>
      <c r="F1441" t="s">
        <v>2260</v>
      </c>
      <c r="G1441" t="s">
        <v>1813</v>
      </c>
      <c r="H1441" t="s">
        <v>254</v>
      </c>
      <c r="I1441">
        <v>2013</v>
      </c>
      <c r="J1441">
        <v>49</v>
      </c>
      <c r="K1441" t="s">
        <v>2261</v>
      </c>
      <c r="M1441" t="str">
        <f t="shared" si="1856"/>
        <v>Sikkema_2013</v>
      </c>
      <c r="N1441" t="s">
        <v>222</v>
      </c>
      <c r="O1441" s="145" t="s">
        <v>341</v>
      </c>
      <c r="Q1441" s="264" t="s">
        <v>256</v>
      </c>
      <c r="R1441" s="269" t="s">
        <v>1153</v>
      </c>
      <c r="S1441" s="1" t="s">
        <v>2275</v>
      </c>
      <c r="T1441" t="s">
        <v>1098</v>
      </c>
      <c r="U1441" t="e">
        <f>#REF!</f>
        <v>#REF!</v>
      </c>
      <c r="V1441">
        <v>2</v>
      </c>
      <c r="W1441">
        <v>0</v>
      </c>
      <c r="X1441">
        <v>0</v>
      </c>
      <c r="Y1441">
        <v>0</v>
      </c>
      <c r="Z1441">
        <v>0</v>
      </c>
      <c r="AA1441">
        <v>0</v>
      </c>
      <c r="AB1441">
        <v>0</v>
      </c>
      <c r="AC1441">
        <v>0</v>
      </c>
      <c r="AD1441">
        <v>0</v>
      </c>
      <c r="AE1441">
        <v>0</v>
      </c>
      <c r="AF1441">
        <v>1</v>
      </c>
      <c r="AG1441">
        <v>0</v>
      </c>
      <c r="AH1441">
        <v>0</v>
      </c>
      <c r="AI1441">
        <v>0</v>
      </c>
      <c r="AJ1441">
        <v>0</v>
      </c>
      <c r="AK1441">
        <v>0</v>
      </c>
      <c r="AL1441">
        <v>0</v>
      </c>
      <c r="AM1441">
        <v>0</v>
      </c>
      <c r="AN1441">
        <v>0</v>
      </c>
      <c r="AO1441">
        <v>0</v>
      </c>
      <c r="AP1441">
        <v>0</v>
      </c>
      <c r="AQ1441">
        <v>0</v>
      </c>
      <c r="AR1441">
        <v>0</v>
      </c>
      <c r="AS1441">
        <v>0</v>
      </c>
      <c r="AT1441">
        <v>0</v>
      </c>
      <c r="AU1441">
        <v>0</v>
      </c>
      <c r="AV1441">
        <v>0</v>
      </c>
      <c r="AW1441">
        <v>0</v>
      </c>
      <c r="AX1441" s="141">
        <f t="shared" si="1864"/>
        <v>2</v>
      </c>
      <c r="AY1441" s="141">
        <f t="shared" si="1865"/>
        <v>2</v>
      </c>
      <c r="AZ1441">
        <f t="shared" si="1866"/>
        <v>1</v>
      </c>
      <c r="BA1441">
        <f t="shared" si="1867"/>
        <v>1</v>
      </c>
      <c r="BB1441">
        <f t="shared" si="1868"/>
        <v>0</v>
      </c>
      <c r="BC1441">
        <f t="shared" si="1869"/>
        <v>0</v>
      </c>
      <c r="BD1441">
        <f t="shared" si="1870"/>
        <v>0</v>
      </c>
      <c r="BE1441" t="str" cm="1">
        <f t="array" ref="BE1441">IF(AY1441=1,INDEX($V$7:$AL$7,MATCH(TRUE,INDEX($V1441:$AW1441&lt;&gt;0,),0)),IF(AY1441=0,INDEX($AM$7:$AW$7,MATCH(1,$AM1441:$AW1441,0)),IF(BF1441="Multiple strategies","mixed drivers",IF(BF1441="Supply chain","multiple supply","multiple silviculture"))))</f>
        <v>mixed drivers</v>
      </c>
      <c r="BF1441" s="2" t="str" cm="1">
        <f t="array" ref="BF1441">IF(COUNTIF(AZ1441:BB1441,"&lt;&gt;0")=1,INDEX($V$4:$AW$4,MATCH(TRUE,INDEX($V1441:$AW1441&lt;&gt;0,),0)),IF(COUNTIF(AZ1441:BB1441,"&lt;&gt;0")=0,INDEX($AM$4:$AW$4,MATCH(1,$AM1441:$AW1441,0)),"Multiple strategies"))</f>
        <v>Multiple strategies</v>
      </c>
      <c r="BG1441" s="1" t="s">
        <v>321</v>
      </c>
      <c r="BH1441" t="s">
        <v>2263</v>
      </c>
      <c r="BJ1441" t="s">
        <v>1354</v>
      </c>
      <c r="BK1441">
        <v>130</v>
      </c>
      <c r="BL1441">
        <v>180</v>
      </c>
      <c r="BN1441">
        <f t="shared" si="1871"/>
        <v>50</v>
      </c>
      <c r="BO1441">
        <f t="shared" si="1872"/>
        <v>50000000</v>
      </c>
      <c r="BP1441" s="264" t="s">
        <v>232</v>
      </c>
      <c r="BQ1441" s="264"/>
      <c r="BR1441" t="s">
        <v>1139</v>
      </c>
      <c r="BS1441">
        <v>-41.3</v>
      </c>
      <c r="BT1441">
        <v>-18.100000000000001</v>
      </c>
      <c r="BU1441" s="144">
        <v>0.43825665859564172</v>
      </c>
      <c r="BV1441">
        <v>23.199999999999996</v>
      </c>
      <c r="BX1441">
        <f t="shared" si="1873"/>
        <v>23199999.999999996</v>
      </c>
      <c r="BY1441">
        <f t="shared" si="1820"/>
        <v>0.46399999999999991</v>
      </c>
      <c r="BZ1441">
        <v>0</v>
      </c>
      <c r="CA1441">
        <v>0</v>
      </c>
      <c r="CB1441">
        <v>0</v>
      </c>
      <c r="CC1441">
        <v>0</v>
      </c>
      <c r="CD1441">
        <v>0</v>
      </c>
      <c r="CE1441">
        <v>0</v>
      </c>
      <c r="CF1441">
        <v>0</v>
      </c>
      <c r="CG1441">
        <v>0</v>
      </c>
      <c r="CH1441">
        <v>0</v>
      </c>
      <c r="CI1441">
        <v>0</v>
      </c>
      <c r="CJ1441">
        <v>0</v>
      </c>
      <c r="CK1441">
        <v>0</v>
      </c>
      <c r="CL1441">
        <v>0</v>
      </c>
      <c r="CM1441">
        <v>0</v>
      </c>
      <c r="CN1441" t="str">
        <f t="shared" si="1874"/>
        <v>refOK</v>
      </c>
      <c r="CO1441">
        <f t="shared" si="1875"/>
        <v>130</v>
      </c>
      <c r="CP1441">
        <f t="shared" si="1876"/>
        <v>180</v>
      </c>
      <c r="CQ1441">
        <f t="shared" si="1877"/>
        <v>50000000</v>
      </c>
      <c r="CR1441">
        <f t="shared" si="1878"/>
        <v>-41.3</v>
      </c>
      <c r="CS1441">
        <f t="shared" si="1879"/>
        <v>-18.100000000000001</v>
      </c>
      <c r="CT1441">
        <f t="shared" si="1880"/>
        <v>23199999.999999996</v>
      </c>
      <c r="CU1441">
        <f t="shared" si="1881"/>
        <v>0.46399999999999991</v>
      </c>
      <c r="CV1441" s="2">
        <f t="shared" si="1882"/>
        <v>0.56174334140435833</v>
      </c>
      <c r="CW1441" s="1" t="s">
        <v>1202</v>
      </c>
      <c r="CX1441" s="264" t="str">
        <f t="shared" si="1883"/>
        <v>reg</v>
      </c>
      <c r="CY1441" t="s">
        <v>540</v>
      </c>
      <c r="CZ1441">
        <v>2012</v>
      </c>
      <c r="DA1441">
        <v>2112</v>
      </c>
      <c r="DB1441">
        <v>100</v>
      </c>
      <c r="DC1441" t="str">
        <f t="shared" si="1884"/>
        <v>71-100</v>
      </c>
      <c r="DD1441">
        <v>0</v>
      </c>
      <c r="DE1441">
        <v>1</v>
      </c>
      <c r="DF1441">
        <v>1</v>
      </c>
      <c r="DG1441">
        <v>1</v>
      </c>
      <c r="DI1441">
        <f t="shared" si="1885"/>
        <v>3</v>
      </c>
      <c r="DJ1441" t="str">
        <f t="shared" si="1886"/>
        <v>mixedProduct</v>
      </c>
      <c r="DK1441">
        <f t="shared" si="1887"/>
        <v>0</v>
      </c>
      <c r="DL1441" t="str">
        <f t="shared" si="1888"/>
        <v>Energy</v>
      </c>
      <c r="DM1441" t="str">
        <f t="shared" si="1889"/>
        <v>Pulp/Paper</v>
      </c>
      <c r="DN1441" t="str">
        <f t="shared" si="1890"/>
        <v>Timber</v>
      </c>
      <c r="DO1441" t="s">
        <v>2264</v>
      </c>
      <c r="DP1441">
        <v>1</v>
      </c>
      <c r="DQ1441" s="184" t="s">
        <v>2265</v>
      </c>
      <c r="DR1441" t="s">
        <v>2266</v>
      </c>
      <c r="DT1441">
        <f t="shared" si="1891"/>
        <v>1</v>
      </c>
      <c r="DU1441" s="143" t="str">
        <f t="shared" si="1892"/>
        <v>external DF used</v>
      </c>
      <c r="DV1441">
        <v>0</v>
      </c>
      <c r="DW1441">
        <v>0</v>
      </c>
      <c r="DX1441">
        <v>0</v>
      </c>
      <c r="DY1441">
        <v>1</v>
      </c>
      <c r="DZ1441">
        <v>1</v>
      </c>
      <c r="EA1441">
        <v>1</v>
      </c>
      <c r="EB1441">
        <v>0</v>
      </c>
      <c r="EC1441">
        <v>1</v>
      </c>
      <c r="ED1441">
        <v>0</v>
      </c>
      <c r="EE1441">
        <v>1</v>
      </c>
      <c r="EF1441">
        <v>1</v>
      </c>
      <c r="EG1441">
        <v>1</v>
      </c>
      <c r="EH1441">
        <v>1</v>
      </c>
      <c r="EI1441" s="2">
        <v>0</v>
      </c>
      <c r="EK1441" t="str">
        <f t="shared" si="1893"/>
        <v/>
      </c>
      <c r="EL1441" t="str">
        <f t="shared" si="1894"/>
        <v/>
      </c>
      <c r="EM1441" s="2" t="str">
        <f t="shared" si="1821"/>
        <v>Technology approach</v>
      </c>
      <c r="EP1441" t="str">
        <f>IF(ISNUMBER(BU1441),IF(ABS(BU1441-[4]QC_indicators!$B$2)&gt;3*[4]QC_indicators!$C$2,"C ratio",IF(ISNUMBER(BY1441),IF(ABS(BY1441-[4]QC_indicators!$B$1)&gt;3*[4]QC_indicators!$C$1,"DF","no"))),IF(ISNUMBER(BY1441),IF(ABS(BY1441-[4]QC_indicators!$B$1)&gt;3*[4]QC_indicators!$C$1,"DF","no")))</f>
        <v>no</v>
      </c>
      <c r="ER1441" s="264" t="s">
        <v>2267</v>
      </c>
      <c r="ET1441" s="264" t="s">
        <v>3406</v>
      </c>
    </row>
    <row r="1442" spans="1:150" ht="15" hidden="1" customHeight="1">
      <c r="A1442" s="1" t="s">
        <v>5027</v>
      </c>
      <c r="B1442" t="s">
        <v>5028</v>
      </c>
      <c r="C1442" t="s">
        <v>544</v>
      </c>
      <c r="D1442" t="s">
        <v>5029</v>
      </c>
      <c r="E1442" t="s">
        <v>5030</v>
      </c>
      <c r="F1442" t="s">
        <v>5031</v>
      </c>
      <c r="G1442" t="s">
        <v>544</v>
      </c>
      <c r="H1442" t="s">
        <v>3964</v>
      </c>
      <c r="I1442">
        <v>2014</v>
      </c>
      <c r="J1442">
        <v>0</v>
      </c>
      <c r="K1442" t="s">
        <v>544</v>
      </c>
      <c r="M1442" t="str">
        <f t="shared" si="1856"/>
        <v>Sikkema_2014</v>
      </c>
      <c r="N1442" t="s">
        <v>2583</v>
      </c>
      <c r="O1442" s="145" t="s">
        <v>341</v>
      </c>
      <c r="Q1442" s="311" t="s">
        <v>256</v>
      </c>
      <c r="R1442" s="312"/>
      <c r="AX1442" s="141"/>
      <c r="AY1442" s="141"/>
      <c r="BE1442"/>
      <c r="BF1442" s="2"/>
      <c r="BU1442" s="144"/>
      <c r="BY1442" t="str">
        <f t="shared" si="1820"/>
        <v/>
      </c>
      <c r="CN1442"/>
      <c r="CO1442"/>
      <c r="CP1442"/>
      <c r="CQ1442"/>
      <c r="CR1442"/>
      <c r="CS1442"/>
      <c r="CT1442"/>
      <c r="CU1442"/>
      <c r="CV1442" s="2"/>
      <c r="CX1442"/>
      <c r="DC1442"/>
      <c r="DI1442"/>
      <c r="DJ1442"/>
      <c r="DK1442"/>
      <c r="DL1442"/>
      <c r="DM1442"/>
      <c r="DN1442"/>
      <c r="DT1442"/>
      <c r="DU1442" s="143"/>
      <c r="EK1442" t="str">
        <f>IF(AND(AND(AND(OR($DX1442=1,$DW1442=1),OR($EC1442=1,$EA1442=1)),SUM($DV1442:$DZ1442,$EF1442)&gt;=3),SUM($EA1442:$EE1442)&gt;=2),"Whole sector","")</f>
        <v/>
      </c>
      <c r="EL1442" t="str">
        <f>IF(AND(AND(OR($DX1442=1,$DW1442=1),AND($EC1442=0,$EA1442=0)),SUM($DV1442:$DZ1442,$EF1442)&gt;=3),"Ecosystem approach","")</f>
        <v/>
      </c>
      <c r="EM1442" s="2" t="str">
        <f t="shared" si="1821"/>
        <v/>
      </c>
      <c r="EO1442" t="s">
        <v>450</v>
      </c>
      <c r="EP1442" t="b">
        <f>IF(ISNUMBER(BU1442),IF(ABS(BU1442-[1]QC_indicators!$B$2)&gt;3*[1]QC_indicators!$C$2,"C ratio",IF(ISNUMBER(BY1442),IF(ABS(BY1442-[1]QC_indicators!$B$1)&gt;3*[1]QC_indicators!$C$1,"DF","no"))),IF(ISNUMBER(BY1442),IF(ABS(BY1442-[1]QC_indicators!$B$1)&gt;3*[1]QC_indicators!$C$1,"DF","no")))</f>
        <v>0</v>
      </c>
    </row>
    <row r="1443" spans="1:150" ht="15" hidden="1" customHeight="1">
      <c r="A1443" s="1" t="s">
        <v>1422</v>
      </c>
      <c r="B1443" t="s">
        <v>4654</v>
      </c>
      <c r="C1443" t="s">
        <v>4655</v>
      </c>
      <c r="D1443" t="s">
        <v>4656</v>
      </c>
      <c r="E1443" t="s">
        <v>4657</v>
      </c>
      <c r="F1443" t="s">
        <v>4658</v>
      </c>
      <c r="G1443" t="s">
        <v>1428</v>
      </c>
      <c r="H1443" t="s">
        <v>254</v>
      </c>
      <c r="I1443">
        <v>2004</v>
      </c>
      <c r="J1443">
        <v>11</v>
      </c>
      <c r="K1443" t="s">
        <v>4659</v>
      </c>
      <c r="M1443" t="str">
        <f t="shared" si="1856"/>
        <v>Smith_2004</v>
      </c>
      <c r="N1443" t="s">
        <v>2582</v>
      </c>
      <c r="O1443" s="145" t="s">
        <v>341</v>
      </c>
      <c r="Q1443" s="311" t="s">
        <v>256</v>
      </c>
      <c r="R1443" s="312"/>
      <c r="AX1443" s="141"/>
      <c r="AY1443" s="141"/>
      <c r="BE1443"/>
      <c r="BF1443" s="2"/>
      <c r="BU1443" s="144"/>
      <c r="BY1443" t="str">
        <f t="shared" si="1820"/>
        <v/>
      </c>
      <c r="CN1443"/>
      <c r="CO1443"/>
      <c r="CP1443"/>
      <c r="CQ1443"/>
      <c r="CR1443"/>
      <c r="CS1443"/>
      <c r="CT1443"/>
      <c r="CU1443"/>
      <c r="CV1443" s="2"/>
      <c r="CX1443"/>
      <c r="DC1443"/>
      <c r="DI1443"/>
      <c r="DJ1443"/>
      <c r="DK1443"/>
      <c r="DL1443"/>
      <c r="DM1443"/>
      <c r="DN1443"/>
      <c r="DT1443"/>
      <c r="DU1443" s="143"/>
      <c r="EK1443" t="str">
        <f>IF(AND(AND(AND(OR($DX1443=1,$DW1443=1),OR($EC1443=1,$EA1443=1)),SUM($DV1443:$DZ1443,$EF1443)&gt;=3),SUM($EA1443:$EE1443)&gt;=2),"Whole sector","")</f>
        <v/>
      </c>
      <c r="EL1443" t="str">
        <f>IF(AND(AND(OR($DX1443=1,$DW1443=1),AND($EC1443=0,$EA1443=0)),SUM($DV1443:$DZ1443,$EF1443)&gt;=3),"Ecosystem approach","")</f>
        <v/>
      </c>
      <c r="EM1443" s="2" t="str">
        <f t="shared" si="1821"/>
        <v/>
      </c>
      <c r="EO1443" t="s">
        <v>450</v>
      </c>
      <c r="EP1443" t="b">
        <f>IF(ISNUMBER(BU1443),IF(ABS(BU1443-[1]QC_indicators!$B$2)&gt;3*[1]QC_indicators!$C$2,"C ratio",IF(ISNUMBER(BY1443),IF(ABS(BY1443-[1]QC_indicators!$B$1)&gt;3*[1]QC_indicators!$C$1,"DF","no"))),IF(ISNUMBER(BY1443),IF(ABS(BY1443-[1]QC_indicators!$B$1)&gt;3*[1]QC_indicators!$C$1,"DF","no")))</f>
        <v>0</v>
      </c>
    </row>
    <row r="1444" spans="1:150" ht="15" hidden="1" customHeight="1">
      <c r="A1444" s="1" t="s">
        <v>2113</v>
      </c>
      <c r="B1444" t="s">
        <v>544</v>
      </c>
      <c r="C1444" t="s">
        <v>2276</v>
      </c>
      <c r="D1444" t="s">
        <v>2277</v>
      </c>
      <c r="E1444" t="s">
        <v>2278</v>
      </c>
      <c r="F1444" t="s">
        <v>2279</v>
      </c>
      <c r="G1444" t="s">
        <v>2114</v>
      </c>
      <c r="H1444" t="s">
        <v>254</v>
      </c>
      <c r="I1444">
        <v>2014</v>
      </c>
      <c r="J1444">
        <v>96</v>
      </c>
      <c r="K1444" t="s">
        <v>2280</v>
      </c>
      <c r="M1444" t="str">
        <f t="shared" si="1856"/>
        <v>Smyth_2014</v>
      </c>
      <c r="N1444" t="s">
        <v>222</v>
      </c>
      <c r="O1444" s="145" t="s">
        <v>341</v>
      </c>
      <c r="Q1444" t="s">
        <v>256</v>
      </c>
      <c r="R1444" s="262" t="s">
        <v>223</v>
      </c>
      <c r="S1444" s="1" t="s">
        <v>2289</v>
      </c>
      <c r="T1444" t="s">
        <v>1154</v>
      </c>
      <c r="U1444" s="264" t="s">
        <v>2285</v>
      </c>
      <c r="V1444">
        <v>0</v>
      </c>
      <c r="W1444">
        <v>0</v>
      </c>
      <c r="X1444">
        <v>0</v>
      </c>
      <c r="Y1444">
        <v>1</v>
      </c>
      <c r="Z1444">
        <v>0</v>
      </c>
      <c r="AA1444">
        <v>0</v>
      </c>
      <c r="AB1444">
        <v>0</v>
      </c>
      <c r="AC1444">
        <v>0</v>
      </c>
      <c r="AD1444">
        <v>0</v>
      </c>
      <c r="AE1444">
        <v>0</v>
      </c>
      <c r="AF1444">
        <v>0</v>
      </c>
      <c r="AG1444">
        <v>0</v>
      </c>
      <c r="AH1444">
        <v>0</v>
      </c>
      <c r="AI1444">
        <v>0</v>
      </c>
      <c r="AJ1444">
        <v>0</v>
      </c>
      <c r="AK1444">
        <v>0</v>
      </c>
      <c r="AL1444">
        <v>0</v>
      </c>
      <c r="AM1444">
        <v>0</v>
      </c>
      <c r="AN1444">
        <v>0</v>
      </c>
      <c r="AO1444">
        <v>0</v>
      </c>
      <c r="AP1444">
        <v>0</v>
      </c>
      <c r="AQ1444">
        <v>0</v>
      </c>
      <c r="AR1444">
        <v>0</v>
      </c>
      <c r="AS1444">
        <v>0</v>
      </c>
      <c r="AT1444">
        <v>0</v>
      </c>
      <c r="AU1444">
        <v>0</v>
      </c>
      <c r="AV1444">
        <v>0</v>
      </c>
      <c r="AW1444">
        <v>0</v>
      </c>
      <c r="AX1444" s="141">
        <f t="shared" ref="AX1444:AX1486" si="1895">COUNTIF(V1444:AW1444,"&lt;&gt;0")</f>
        <v>1</v>
      </c>
      <c r="AY1444" s="141">
        <f t="shared" ref="AY1444:AY1486" si="1896">COUNTIF(V1444:AL1444,"&lt;&gt;0")</f>
        <v>1</v>
      </c>
      <c r="AZ1444">
        <f t="shared" ref="AZ1444:AZ1486" si="1897">COUNTIF(V1444:AC1444,"&lt;&gt;0")</f>
        <v>1</v>
      </c>
      <c r="BA1444">
        <f t="shared" ref="BA1444:BA1486" si="1898">COUNTIF(AD1444:AI1444,"&lt;&gt;0")</f>
        <v>0</v>
      </c>
      <c r="BB1444">
        <f t="shared" ref="BB1444:BB1486" si="1899">COUNTIF(AJ1444:AL1444,"&lt;&gt;0")</f>
        <v>0</v>
      </c>
      <c r="BC1444">
        <f t="shared" ref="BC1444:BC1486" si="1900">COUNTIF(AS1444:AW1444,"&lt;&gt;0")</f>
        <v>0</v>
      </c>
      <c r="BD1444">
        <f t="shared" ref="BD1444:BD1486" si="1901">COUNTIF(AM1444:AR1444,"&lt;&gt;0")</f>
        <v>0</v>
      </c>
      <c r="BE1444" t="str">
        <f t="array" ref="BE1444">IF(AY1444=1,INDEX($V$7:$AL$7,MATCH(TRUE,INDEX($V1444:$AW1444&lt;&gt;0,),0)),IF(AY1444=0,INDEX($AM$7:$AW$7,MATCH(1,$AM1444:$AW1444,0)),IF(BF1444="Multiple strategies","mixed drivers",IF(BF1444="Supply chain","multiple supply","multiple silviculture"))))</f>
        <v xml:space="preserve">cutting intensity </v>
      </c>
      <c r="BF1444" s="2" t="str" cm="1">
        <f t="array" ref="BF1444">IF(COUNTIF(AZ1444:BB1444,"&lt;&gt;0")=1,INDEX($V$4:$AW$4,MATCH(TRUE,INDEX($V1444:$AW1444&lt;&gt;0,),0)),IF(COUNTIF(AZ1444:BB1444,"&lt;&gt;0")=0,INDEX($AM$4:$AW$4,MATCH(1,$AM1444:$AW1444,0)),"Multiple strategies"))</f>
        <v>Silviculture for removals</v>
      </c>
      <c r="BG1444" s="1" t="s">
        <v>321</v>
      </c>
      <c r="BH1444" t="s">
        <v>2286</v>
      </c>
      <c r="BI1444" t="s">
        <v>1035</v>
      </c>
      <c r="BJ1444" t="s">
        <v>2287</v>
      </c>
      <c r="BK1444">
        <v>0</v>
      </c>
      <c r="BL1444">
        <v>2.9000000000000001E-2</v>
      </c>
      <c r="BN1444">
        <f t="shared" ref="BN1444:BN1458" si="1902">BL1444-BK1444</f>
        <v>2.9000000000000001E-2</v>
      </c>
      <c r="BO1444">
        <f t="shared" ref="BO1444:BO1458" si="1903">BN1444*10^6*tC_to_m3</f>
        <v>125922.70950933566</v>
      </c>
      <c r="BP1444" t="s">
        <v>232</v>
      </c>
      <c r="BQ1444" s="267" t="s">
        <v>783</v>
      </c>
      <c r="BR1444" s="264" t="s">
        <v>3243</v>
      </c>
      <c r="BU1444" s="144"/>
      <c r="BV1444">
        <f>-41.7/35</f>
        <v>-1.1914285714285715</v>
      </c>
      <c r="BX1444">
        <f t="shared" ref="BX1444:BX1463" si="1904">BV1444*10^6</f>
        <v>-1191428.5714285716</v>
      </c>
      <c r="BY1444">
        <f t="shared" si="1820"/>
        <v>-9.4615862068965519</v>
      </c>
      <c r="BZ1444">
        <v>0</v>
      </c>
      <c r="CA1444">
        <v>1</v>
      </c>
      <c r="CB1444">
        <v>1</v>
      </c>
      <c r="CC1444">
        <v>1</v>
      </c>
      <c r="CD1444">
        <v>0</v>
      </c>
      <c r="CE1444">
        <v>0</v>
      </c>
      <c r="CF1444">
        <v>0</v>
      </c>
      <c r="CG1444">
        <v>0</v>
      </c>
      <c r="CH1444">
        <v>0</v>
      </c>
      <c r="CI1444">
        <v>0</v>
      </c>
      <c r="CJ1444">
        <v>0</v>
      </c>
      <c r="CK1444">
        <v>0</v>
      </c>
      <c r="CL1444">
        <v>0</v>
      </c>
      <c r="CM1444">
        <v>0</v>
      </c>
      <c r="CN1444" t="str">
        <f t="shared" ref="CN1444:CN1450" si="1905">IF($BL1444&lt;$BK1444,"refNeedCorrection","refOK")</f>
        <v>refOK</v>
      </c>
      <c r="CO1444">
        <f t="shared" ref="CO1444:CO1458" si="1906">IF($CN1444="refOK",$BK1444,$BL1444)</f>
        <v>0</v>
      </c>
      <c r="CP1444">
        <f t="shared" ref="CP1444:CP1458" si="1907">IF($CN1444="refOK",$BL1444,$BK1444)</f>
        <v>2.9000000000000001E-2</v>
      </c>
      <c r="CQ1444">
        <f t="shared" ref="CQ1444:CQ1458" si="1908">IF($CN1444="refOK",$BO1444,-$BO1444)</f>
        <v>125922.70950933566</v>
      </c>
      <c r="CR1444">
        <f t="shared" ref="CR1444:CR1463" si="1909">IF($CN1444="refOK",$BS1444,$BT1444)*IF($BP1444="Emissions positive",-1,1)</f>
        <v>0</v>
      </c>
      <c r="CS1444">
        <f t="shared" ref="CS1444:CS1463" si="1910">IF($CN1444="refOK",$BT1444,$BS1444)*IF($BP1444="Emissions positive",-1,1)</f>
        <v>0</v>
      </c>
      <c r="CT1444">
        <f t="shared" ref="CT1444:CT1486" si="1911">IF($CN1444="refNeedCorrection",-BX1444,BX1444)*IF($BP1444="Emissions positive",-1,1)</f>
        <v>-1191428.5714285716</v>
      </c>
      <c r="CU1444">
        <f t="shared" ref="CU1444:CU1486" si="1912">IFERROR(CT1444/CQ1444,"")</f>
        <v>-9.4615862068965519</v>
      </c>
      <c r="CV1444" s="2" t="str">
        <f t="shared" ref="CV1444:CV1486" si="1913">IFERROR((CS1444-CR1444)/ABS(CR1444),"")</f>
        <v/>
      </c>
      <c r="CW1444" s="1" t="s">
        <v>1202</v>
      </c>
      <c r="CX1444" t="str">
        <f t="shared" ref="CX1444:CX1486" si="1914">IF(OR($CW1444="prd",$CW1444="std",$CW1444="cit"),"loc",IF(OR($CW1444="eur",$CW1444="reg",$CW1444="coy"),"reg",$CW1444))</f>
        <v>reg</v>
      </c>
      <c r="CY1444" t="s">
        <v>540</v>
      </c>
      <c r="CZ1444">
        <v>2015</v>
      </c>
      <c r="DA1444">
        <v>2050</v>
      </c>
      <c r="DB1444">
        <v>35</v>
      </c>
      <c r="DC1444" t="str">
        <f t="shared" ref="DC1444:DC1486" si="1915">IF(DB1444=0,"0",IF(AND(DB1444&gt;=1,DB1444&lt;=30),"1-30",IF(AND(DB1444&gt;30,DB1444&lt;=70),"31-70",IF(AND(DB1444&gt;70,DB1444&lt;=100),"71-100",IF(DB1444&gt;100,"+100")))))</f>
        <v>31-70</v>
      </c>
      <c r="DD1444">
        <v>0</v>
      </c>
      <c r="DE1444">
        <v>1</v>
      </c>
      <c r="DF1444">
        <v>1</v>
      </c>
      <c r="DG1444">
        <v>1</v>
      </c>
      <c r="DI1444">
        <f t="shared" ref="DI1444:DI1486" si="1916">SUM(DD1444:DG1444)</f>
        <v>3</v>
      </c>
      <c r="DJ1444" t="str">
        <f t="shared" ref="DJ1444:DJ1486" si="1917">IF(DI1444=1,INDEX($DD$7:$DG$7,MATCH(1,$DD1444:$DG1444,0)),"mixedProduct")</f>
        <v>mixedProduct</v>
      </c>
      <c r="DK1444">
        <f t="shared" ref="DK1444:DK1486" si="1918">IF(DD1444=1,DK$7,0)</f>
        <v>0</v>
      </c>
      <c r="DL1444" t="str">
        <f t="shared" ref="DL1444:DL1486" si="1919">IF(DE1444=1,DL$7,0)</f>
        <v>Energy</v>
      </c>
      <c r="DM1444" t="str">
        <f t="shared" ref="DM1444:DM1486" si="1920">IF(DF1444=1,DM$7,0)</f>
        <v>Pulp/Paper</v>
      </c>
      <c r="DN1444" t="str">
        <f t="shared" ref="DN1444:DN1486" si="1921">IF(DG1444=1,DN$7,0)</f>
        <v>Timber</v>
      </c>
      <c r="DO1444">
        <v>0</v>
      </c>
      <c r="DP1444">
        <v>0</v>
      </c>
      <c r="DR1444">
        <v>0</v>
      </c>
      <c r="DS1444">
        <v>0</v>
      </c>
      <c r="DT1444">
        <f t="shared" ref="DT1444:DT1486" si="1922">SUM(DO1444:DP1444)</f>
        <v>0</v>
      </c>
      <c r="DU1444" s="143" t="str">
        <f t="shared" ref="DU1444:DU1486" si="1923">IF(DO1444=1,"self-calculated DF",IF(DP1444=1,"external DF used","explicit C balance"))</f>
        <v>explicit C balance</v>
      </c>
      <c r="DV1444">
        <v>1</v>
      </c>
      <c r="DW1444">
        <v>1</v>
      </c>
      <c r="DX1444">
        <v>1</v>
      </c>
      <c r="DY1444">
        <v>1</v>
      </c>
      <c r="DZ1444">
        <v>1</v>
      </c>
      <c r="EA1444">
        <v>0</v>
      </c>
      <c r="EB1444">
        <v>0</v>
      </c>
      <c r="EC1444">
        <v>0</v>
      </c>
      <c r="ED1444">
        <v>0</v>
      </c>
      <c r="EE1444">
        <v>0</v>
      </c>
      <c r="EF1444">
        <v>1</v>
      </c>
      <c r="EG1444">
        <v>0</v>
      </c>
      <c r="EH1444">
        <v>0</v>
      </c>
      <c r="EI1444" s="2">
        <v>0</v>
      </c>
      <c r="EK1444" t="str">
        <f t="shared" ref="EK1444:EK1463" si="1924">IF(AND(AND(AND(OR($DX1444=1,$DW1444=1),OR($EC1444=1,$EA1444=1)),SUM($DV1444:$DZ1444,$EF1444)&gt;=4),SUM($EA1444:$EE1444)&gt;=2),"Whole sector","")</f>
        <v/>
      </c>
      <c r="EL1444" t="str">
        <f t="shared" ref="EL1444:EL1463" si="1925">IF(AND(AND(OR($DX1444=1,$DW1444=1),AND($EC1444=0,$EA1444=0)),SUM($DV1444:$DZ1444,$EF1444)&gt;=4),"Ecosystem approach","")</f>
        <v>Ecosystem approach</v>
      </c>
      <c r="EM1444" s="2" t="str">
        <f t="shared" si="1821"/>
        <v/>
      </c>
      <c r="EP1444" t="str">
        <f>IF(ISNUMBER(BU1444),IF(ABS(BU1444-[3]QC_indicators!$B$2)&gt;3*[3]QC_indicators!$C$2,"C ratio",IF(ISNUMBER(BY1444),IF(ABS(BY1444-[3]QC_indicators!$B$1)&gt;3*[3]QC_indicators!$C$1,"DF","no"))),IF(ISNUMBER(BY1444),IF(ABS(BY1444-[3]QC_indicators!$B$1)&gt;3*[3]QC_indicators!$C$1,"DF","no")))</f>
        <v>no</v>
      </c>
      <c r="ET1444" s="268" t="s">
        <v>3241</v>
      </c>
    </row>
    <row r="1445" spans="1:150" ht="15" hidden="1" customHeight="1">
      <c r="A1445" s="1" t="s">
        <v>2113</v>
      </c>
      <c r="B1445" t="s">
        <v>544</v>
      </c>
      <c r="C1445" t="s">
        <v>2276</v>
      </c>
      <c r="D1445" t="s">
        <v>2277</v>
      </c>
      <c r="E1445" t="s">
        <v>2278</v>
      </c>
      <c r="F1445" t="s">
        <v>2279</v>
      </c>
      <c r="G1445" t="s">
        <v>2114</v>
      </c>
      <c r="H1445" t="s">
        <v>254</v>
      </c>
      <c r="I1445">
        <v>2014</v>
      </c>
      <c r="J1445">
        <v>96</v>
      </c>
      <c r="K1445" t="s">
        <v>2280</v>
      </c>
      <c r="M1445" t="str">
        <f t="shared" si="1856"/>
        <v>Smyth_2014</v>
      </c>
      <c r="N1445" t="s">
        <v>222</v>
      </c>
      <c r="O1445" s="145" t="s">
        <v>341</v>
      </c>
      <c r="Q1445" t="s">
        <v>256</v>
      </c>
      <c r="R1445" s="262" t="s">
        <v>223</v>
      </c>
      <c r="S1445" s="1" t="s">
        <v>2289</v>
      </c>
      <c r="T1445" t="s">
        <v>1154</v>
      </c>
      <c r="U1445" s="264" t="s">
        <v>2285</v>
      </c>
      <c r="V1445">
        <v>0</v>
      </c>
      <c r="W1445">
        <v>0</v>
      </c>
      <c r="X1445">
        <v>0</v>
      </c>
      <c r="Y1445">
        <v>1</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s="141">
        <f t="shared" si="1895"/>
        <v>1</v>
      </c>
      <c r="AY1445" s="141">
        <f t="shared" si="1896"/>
        <v>1</v>
      </c>
      <c r="AZ1445">
        <f t="shared" si="1897"/>
        <v>1</v>
      </c>
      <c r="BA1445">
        <f t="shared" si="1898"/>
        <v>0</v>
      </c>
      <c r="BB1445">
        <f t="shared" si="1899"/>
        <v>0</v>
      </c>
      <c r="BC1445">
        <f t="shared" si="1900"/>
        <v>0</v>
      </c>
      <c r="BD1445">
        <f t="shared" si="1901"/>
        <v>0</v>
      </c>
      <c r="BE1445" t="str">
        <f t="array" ref="BE1445">IF(AY1445=1,INDEX($V$7:$AL$7,MATCH(TRUE,INDEX($V1445:$AW1445&lt;&gt;0,),0)),IF(AY1445=0,INDEX($AM$7:$AW$7,MATCH(1,$AM1445:$AW1445,0)),IF(BF1445="Multiple strategies","mixed drivers",IF(BF1445="Supply chain","multiple supply","multiple silviculture"))))</f>
        <v xml:space="preserve">cutting intensity </v>
      </c>
      <c r="BF1445" s="2" t="str" cm="1">
        <f t="array" ref="BF1445">IF(COUNTIF(AZ1445:BB1445,"&lt;&gt;0")=1,INDEX($V$4:$AW$4,MATCH(TRUE,INDEX($V1445:$AW1445&lt;&gt;0,),0)),IF(COUNTIF(AZ1445:BB1445,"&lt;&gt;0")=0,INDEX($AM$4:$AW$4,MATCH(1,$AM1445:$AW1445,0)),"Multiple strategies"))</f>
        <v>Silviculture for removals</v>
      </c>
      <c r="BG1445" s="1" t="s">
        <v>321</v>
      </c>
      <c r="BH1445" t="s">
        <v>2286</v>
      </c>
      <c r="BI1445" t="s">
        <v>1035</v>
      </c>
      <c r="BJ1445" t="s">
        <v>2287</v>
      </c>
      <c r="BK1445">
        <v>0</v>
      </c>
      <c r="BL1445">
        <v>2.9000000000000001E-2</v>
      </c>
      <c r="BN1445">
        <f t="shared" si="1902"/>
        <v>2.9000000000000001E-2</v>
      </c>
      <c r="BO1445">
        <f t="shared" si="1903"/>
        <v>125922.70950933566</v>
      </c>
      <c r="BP1445" t="s">
        <v>232</v>
      </c>
      <c r="BQ1445" s="267" t="s">
        <v>783</v>
      </c>
      <c r="BR1445" s="264" t="s">
        <v>3243</v>
      </c>
      <c r="BU1445" s="144"/>
      <c r="BV1445">
        <f>-22.7/35</f>
        <v>-0.64857142857142858</v>
      </c>
      <c r="BX1445">
        <f t="shared" si="1904"/>
        <v>-648571.42857142852</v>
      </c>
      <c r="BY1445">
        <f t="shared" si="1820"/>
        <v>-5.1505517241379302</v>
      </c>
      <c r="BZ1445">
        <v>0</v>
      </c>
      <c r="CA1445">
        <v>1</v>
      </c>
      <c r="CB1445">
        <v>1</v>
      </c>
      <c r="CC1445">
        <v>1</v>
      </c>
      <c r="CD1445">
        <v>0</v>
      </c>
      <c r="CE1445">
        <v>0</v>
      </c>
      <c r="CF1445">
        <v>0</v>
      </c>
      <c r="CG1445">
        <v>0</v>
      </c>
      <c r="CH1445">
        <v>0</v>
      </c>
      <c r="CI1445">
        <v>0</v>
      </c>
      <c r="CJ1445">
        <v>0</v>
      </c>
      <c r="CK1445">
        <v>0</v>
      </c>
      <c r="CL1445">
        <v>0</v>
      </c>
      <c r="CM1445">
        <v>0</v>
      </c>
      <c r="CN1445" t="str">
        <f t="shared" si="1905"/>
        <v>refOK</v>
      </c>
      <c r="CO1445">
        <f t="shared" si="1906"/>
        <v>0</v>
      </c>
      <c r="CP1445">
        <f t="shared" si="1907"/>
        <v>2.9000000000000001E-2</v>
      </c>
      <c r="CQ1445">
        <f t="shared" si="1908"/>
        <v>125922.70950933566</v>
      </c>
      <c r="CR1445">
        <f t="shared" si="1909"/>
        <v>0</v>
      </c>
      <c r="CS1445">
        <f t="shared" si="1910"/>
        <v>0</v>
      </c>
      <c r="CT1445">
        <f t="shared" si="1911"/>
        <v>-648571.42857142852</v>
      </c>
      <c r="CU1445">
        <f t="shared" si="1912"/>
        <v>-5.1505517241379302</v>
      </c>
      <c r="CV1445" s="2" t="str">
        <f t="shared" si="1913"/>
        <v/>
      </c>
      <c r="CW1445" s="1" t="s">
        <v>1202</v>
      </c>
      <c r="CX1445" t="str">
        <f t="shared" si="1914"/>
        <v>reg</v>
      </c>
      <c r="CY1445" t="s">
        <v>540</v>
      </c>
      <c r="CZ1445">
        <v>2015</v>
      </c>
      <c r="DA1445">
        <v>2050</v>
      </c>
      <c r="DB1445">
        <v>35</v>
      </c>
      <c r="DC1445" t="str">
        <f t="shared" si="1915"/>
        <v>31-70</v>
      </c>
      <c r="DD1445">
        <v>0</v>
      </c>
      <c r="DE1445">
        <v>1</v>
      </c>
      <c r="DF1445">
        <v>1</v>
      </c>
      <c r="DG1445">
        <v>1</v>
      </c>
      <c r="DI1445">
        <f t="shared" si="1916"/>
        <v>3</v>
      </c>
      <c r="DJ1445" t="str">
        <f t="shared" si="1917"/>
        <v>mixedProduct</v>
      </c>
      <c r="DK1445">
        <f t="shared" si="1918"/>
        <v>0</v>
      </c>
      <c r="DL1445" t="str">
        <f t="shared" si="1919"/>
        <v>Energy</v>
      </c>
      <c r="DM1445" t="str">
        <f t="shared" si="1920"/>
        <v>Pulp/Paper</v>
      </c>
      <c r="DN1445" t="str">
        <f t="shared" si="1921"/>
        <v>Timber</v>
      </c>
      <c r="DO1445">
        <v>0</v>
      </c>
      <c r="DP1445">
        <v>0</v>
      </c>
      <c r="DR1445">
        <v>0</v>
      </c>
      <c r="DS1445">
        <v>0</v>
      </c>
      <c r="DT1445">
        <f t="shared" si="1922"/>
        <v>0</v>
      </c>
      <c r="DU1445" s="143" t="str">
        <f t="shared" si="1923"/>
        <v>explicit C balance</v>
      </c>
      <c r="DV1445">
        <v>1</v>
      </c>
      <c r="DW1445">
        <v>1</v>
      </c>
      <c r="DX1445">
        <v>1</v>
      </c>
      <c r="DY1445">
        <v>0</v>
      </c>
      <c r="DZ1445">
        <v>0</v>
      </c>
      <c r="EA1445">
        <v>0</v>
      </c>
      <c r="EB1445">
        <v>0</v>
      </c>
      <c r="EC1445">
        <v>0</v>
      </c>
      <c r="ED1445">
        <v>0</v>
      </c>
      <c r="EE1445">
        <v>0</v>
      </c>
      <c r="EF1445">
        <v>1</v>
      </c>
      <c r="EG1445">
        <v>0</v>
      </c>
      <c r="EH1445">
        <v>0</v>
      </c>
      <c r="EI1445" s="2">
        <v>0</v>
      </c>
      <c r="EK1445" t="str">
        <f t="shared" si="1924"/>
        <v/>
      </c>
      <c r="EL1445" t="str">
        <f t="shared" si="1925"/>
        <v>Ecosystem approach</v>
      </c>
      <c r="EM1445" s="2" t="str">
        <f t="shared" si="1821"/>
        <v/>
      </c>
      <c r="EP1445" t="str">
        <f>IF(ISNUMBER(BU1445),IF(ABS(BU1445-[3]QC_indicators!$B$2)&gt;3*[3]QC_indicators!$C$2,"C ratio",IF(ISNUMBER(BY1445),IF(ABS(BY1445-[3]QC_indicators!$B$1)&gt;3*[3]QC_indicators!$C$1,"DF","no"))),IF(ISNUMBER(BY1445),IF(ABS(BY1445-[3]QC_indicators!$B$1)&gt;3*[3]QC_indicators!$C$1,"DF","no")))</f>
        <v>no</v>
      </c>
      <c r="ET1445" s="268" t="s">
        <v>3241</v>
      </c>
    </row>
    <row r="1446" spans="1:150" ht="15" hidden="1" customHeight="1">
      <c r="A1446" s="1" t="s">
        <v>2113</v>
      </c>
      <c r="B1446" t="s">
        <v>544</v>
      </c>
      <c r="C1446" t="s">
        <v>2276</v>
      </c>
      <c r="D1446" t="s">
        <v>2277</v>
      </c>
      <c r="E1446" t="s">
        <v>2278</v>
      </c>
      <c r="F1446" t="s">
        <v>2279</v>
      </c>
      <c r="G1446" t="s">
        <v>2114</v>
      </c>
      <c r="H1446" t="s">
        <v>254</v>
      </c>
      <c r="I1446">
        <v>2014</v>
      </c>
      <c r="J1446">
        <v>96</v>
      </c>
      <c r="K1446" t="s">
        <v>2280</v>
      </c>
      <c r="M1446" t="str">
        <f t="shared" si="1856"/>
        <v>Smyth_2014</v>
      </c>
      <c r="N1446" t="s">
        <v>222</v>
      </c>
      <c r="O1446" s="145" t="s">
        <v>341</v>
      </c>
      <c r="Q1446" t="s">
        <v>256</v>
      </c>
      <c r="R1446" s="262" t="s">
        <v>223</v>
      </c>
      <c r="S1446" s="1" t="s">
        <v>2289</v>
      </c>
      <c r="T1446" t="s">
        <v>1154</v>
      </c>
      <c r="U1446" s="264" t="s">
        <v>2285</v>
      </c>
      <c r="V1446">
        <v>0</v>
      </c>
      <c r="W1446">
        <v>0</v>
      </c>
      <c r="X1446">
        <v>0</v>
      </c>
      <c r="Y1446">
        <v>1</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s="141">
        <f t="shared" si="1895"/>
        <v>1</v>
      </c>
      <c r="AY1446" s="141">
        <f t="shared" si="1896"/>
        <v>1</v>
      </c>
      <c r="AZ1446">
        <f t="shared" si="1897"/>
        <v>1</v>
      </c>
      <c r="BA1446">
        <f t="shared" si="1898"/>
        <v>0</v>
      </c>
      <c r="BB1446">
        <f t="shared" si="1899"/>
        <v>0</v>
      </c>
      <c r="BC1446">
        <f t="shared" si="1900"/>
        <v>0</v>
      </c>
      <c r="BD1446">
        <f t="shared" si="1901"/>
        <v>0</v>
      </c>
      <c r="BE1446" t="str">
        <f t="array" ref="BE1446">IF(AY1446=1,INDEX($V$7:$AL$7,MATCH(TRUE,INDEX($V1446:$AW1446&lt;&gt;0,),0)),IF(AY1446=0,INDEX($AM$7:$AW$7,MATCH(1,$AM1446:$AW1446,0)),IF(BF1446="Multiple strategies","mixed drivers",IF(BF1446="Supply chain","multiple supply","multiple silviculture"))))</f>
        <v xml:space="preserve">cutting intensity </v>
      </c>
      <c r="BF1446" s="2" t="str" cm="1">
        <f t="array" ref="BF1446">IF(COUNTIF(AZ1446:BB1446,"&lt;&gt;0")=1,INDEX($V$4:$AW$4,MATCH(TRUE,INDEX($V1446:$AW1446&lt;&gt;0,),0)),IF(COUNTIF(AZ1446:BB1446,"&lt;&gt;0")=0,INDEX($AM$4:$AW$4,MATCH(1,$AM1446:$AW1446,0)),"Multiple strategies"))</f>
        <v>Silviculture for removals</v>
      </c>
      <c r="BG1446" s="1" t="s">
        <v>321</v>
      </c>
      <c r="BH1446" t="s">
        <v>2286</v>
      </c>
      <c r="BI1446" t="s">
        <v>1035</v>
      </c>
      <c r="BJ1446" t="s">
        <v>2287</v>
      </c>
      <c r="BK1446">
        <v>0</v>
      </c>
      <c r="BL1446">
        <v>2.9000000000000001E-2</v>
      </c>
      <c r="BN1446">
        <f t="shared" si="1902"/>
        <v>2.9000000000000001E-2</v>
      </c>
      <c r="BO1446">
        <f t="shared" si="1903"/>
        <v>125922.70950933566</v>
      </c>
      <c r="BP1446" t="s">
        <v>232</v>
      </c>
      <c r="BQ1446" s="267" t="s">
        <v>783</v>
      </c>
      <c r="BR1446" s="264" t="s">
        <v>3243</v>
      </c>
      <c r="BU1446" s="144"/>
      <c r="BV1446">
        <f>-9.8/35</f>
        <v>-0.28000000000000003</v>
      </c>
      <c r="BX1446">
        <f t="shared" si="1904"/>
        <v>-280000</v>
      </c>
      <c r="BY1446">
        <f t="shared" si="1820"/>
        <v>-2.2235862068965515</v>
      </c>
      <c r="BZ1446">
        <v>0</v>
      </c>
      <c r="CA1446">
        <v>1</v>
      </c>
      <c r="CB1446">
        <v>1</v>
      </c>
      <c r="CC1446">
        <v>1</v>
      </c>
      <c r="CD1446">
        <v>0</v>
      </c>
      <c r="CE1446">
        <v>0</v>
      </c>
      <c r="CF1446">
        <v>0</v>
      </c>
      <c r="CG1446">
        <v>0</v>
      </c>
      <c r="CH1446">
        <v>0</v>
      </c>
      <c r="CI1446">
        <v>0</v>
      </c>
      <c r="CJ1446">
        <v>0</v>
      </c>
      <c r="CK1446">
        <v>0</v>
      </c>
      <c r="CL1446">
        <v>0</v>
      </c>
      <c r="CM1446">
        <v>0</v>
      </c>
      <c r="CN1446" t="str">
        <f t="shared" si="1905"/>
        <v>refOK</v>
      </c>
      <c r="CO1446">
        <f t="shared" si="1906"/>
        <v>0</v>
      </c>
      <c r="CP1446">
        <f t="shared" si="1907"/>
        <v>2.9000000000000001E-2</v>
      </c>
      <c r="CQ1446">
        <f t="shared" si="1908"/>
        <v>125922.70950933566</v>
      </c>
      <c r="CR1446">
        <f t="shared" si="1909"/>
        <v>0</v>
      </c>
      <c r="CS1446">
        <f t="shared" si="1910"/>
        <v>0</v>
      </c>
      <c r="CT1446">
        <f t="shared" si="1911"/>
        <v>-280000</v>
      </c>
      <c r="CU1446">
        <f t="shared" si="1912"/>
        <v>-2.2235862068965515</v>
      </c>
      <c r="CV1446" s="2" t="str">
        <f t="shared" si="1913"/>
        <v/>
      </c>
      <c r="CW1446" s="1" t="s">
        <v>1202</v>
      </c>
      <c r="CX1446" t="str">
        <f t="shared" si="1914"/>
        <v>reg</v>
      </c>
      <c r="CY1446" t="s">
        <v>540</v>
      </c>
      <c r="CZ1446">
        <v>2015</v>
      </c>
      <c r="DA1446">
        <v>2050</v>
      </c>
      <c r="DB1446">
        <v>35</v>
      </c>
      <c r="DC1446" t="str">
        <f t="shared" si="1915"/>
        <v>31-70</v>
      </c>
      <c r="DD1446">
        <v>0</v>
      </c>
      <c r="DE1446">
        <v>1</v>
      </c>
      <c r="DF1446">
        <v>1</v>
      </c>
      <c r="DG1446">
        <v>1</v>
      </c>
      <c r="DI1446">
        <f t="shared" si="1916"/>
        <v>3</v>
      </c>
      <c r="DJ1446" t="str">
        <f t="shared" si="1917"/>
        <v>mixedProduct</v>
      </c>
      <c r="DK1446">
        <f t="shared" si="1918"/>
        <v>0</v>
      </c>
      <c r="DL1446" t="str">
        <f t="shared" si="1919"/>
        <v>Energy</v>
      </c>
      <c r="DM1446" t="str">
        <f t="shared" si="1920"/>
        <v>Pulp/Paper</v>
      </c>
      <c r="DN1446" t="str">
        <f t="shared" si="1921"/>
        <v>Timber</v>
      </c>
      <c r="DO1446">
        <v>1</v>
      </c>
      <c r="DP1446">
        <v>1</v>
      </c>
      <c r="DQ1446" t="s">
        <v>2283</v>
      </c>
      <c r="DR1446">
        <v>0</v>
      </c>
      <c r="DS1446">
        <v>0</v>
      </c>
      <c r="DT1446">
        <f t="shared" si="1922"/>
        <v>2</v>
      </c>
      <c r="DU1446" s="143" t="str">
        <f t="shared" si="1923"/>
        <v>self-calculated DF</v>
      </c>
      <c r="DV1446">
        <v>1</v>
      </c>
      <c r="DW1446">
        <v>1</v>
      </c>
      <c r="DX1446">
        <v>1</v>
      </c>
      <c r="DY1446">
        <v>1</v>
      </c>
      <c r="DZ1446">
        <v>1</v>
      </c>
      <c r="EA1446">
        <v>1</v>
      </c>
      <c r="EB1446">
        <v>0</v>
      </c>
      <c r="EC1446">
        <v>0</v>
      </c>
      <c r="ED1446">
        <v>0</v>
      </c>
      <c r="EE1446">
        <v>0</v>
      </c>
      <c r="EF1446">
        <v>1</v>
      </c>
      <c r="EG1446">
        <v>0</v>
      </c>
      <c r="EH1446">
        <v>0</v>
      </c>
      <c r="EI1446" s="2">
        <v>0</v>
      </c>
      <c r="EK1446" t="str">
        <f t="shared" si="1924"/>
        <v/>
      </c>
      <c r="EL1446" t="str">
        <f t="shared" si="1925"/>
        <v/>
      </c>
      <c r="EM1446" s="2" t="str">
        <f t="shared" si="1821"/>
        <v/>
      </c>
      <c r="EP1446" t="str">
        <f>IF(ISNUMBER(BU1446),IF(ABS(BU1446-[3]QC_indicators!$B$2)&gt;3*[3]QC_indicators!$C$2,"C ratio",IF(ISNUMBER(BY1446),IF(ABS(BY1446-[3]QC_indicators!$B$1)&gt;3*[3]QC_indicators!$C$1,"DF","no"))),IF(ISNUMBER(BY1446),IF(ABS(BY1446-[3]QC_indicators!$B$1)&gt;3*[3]QC_indicators!$C$1,"DF","no")))</f>
        <v>no</v>
      </c>
      <c r="ET1446" s="268" t="s">
        <v>3241</v>
      </c>
    </row>
    <row r="1447" spans="1:150" ht="15" hidden="1" customHeight="1">
      <c r="A1447" s="1" t="s">
        <v>2113</v>
      </c>
      <c r="B1447" t="s">
        <v>544</v>
      </c>
      <c r="C1447" t="s">
        <v>2276</v>
      </c>
      <c r="D1447" t="s">
        <v>2277</v>
      </c>
      <c r="E1447" t="s">
        <v>2278</v>
      </c>
      <c r="F1447" t="s">
        <v>2279</v>
      </c>
      <c r="G1447" t="s">
        <v>2114</v>
      </c>
      <c r="H1447" t="s">
        <v>254</v>
      </c>
      <c r="I1447">
        <v>2014</v>
      </c>
      <c r="J1447">
        <v>96</v>
      </c>
      <c r="K1447" t="s">
        <v>2280</v>
      </c>
      <c r="M1447" t="str">
        <f t="shared" si="1856"/>
        <v>Smyth_2014</v>
      </c>
      <c r="N1447" t="s">
        <v>222</v>
      </c>
      <c r="O1447" s="145" t="s">
        <v>341</v>
      </c>
      <c r="Q1447" t="s">
        <v>256</v>
      </c>
      <c r="R1447" s="262" t="s">
        <v>223</v>
      </c>
      <c r="S1447" s="1" t="s">
        <v>2284</v>
      </c>
      <c r="T1447" t="s">
        <v>1154</v>
      </c>
      <c r="U1447" s="264" t="s">
        <v>2290</v>
      </c>
      <c r="V1447">
        <v>0</v>
      </c>
      <c r="W1447">
        <v>0</v>
      </c>
      <c r="X1447">
        <v>0</v>
      </c>
      <c r="Y1447">
        <v>1</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s="141">
        <f t="shared" si="1895"/>
        <v>1</v>
      </c>
      <c r="AY1447" s="141">
        <f t="shared" si="1896"/>
        <v>1</v>
      </c>
      <c r="AZ1447">
        <f t="shared" si="1897"/>
        <v>1</v>
      </c>
      <c r="BA1447">
        <f t="shared" si="1898"/>
        <v>0</v>
      </c>
      <c r="BB1447">
        <f t="shared" si="1899"/>
        <v>0</v>
      </c>
      <c r="BC1447">
        <f t="shared" si="1900"/>
        <v>0</v>
      </c>
      <c r="BD1447">
        <f t="shared" si="1901"/>
        <v>0</v>
      </c>
      <c r="BE1447" t="str">
        <f t="array" ref="BE1447">IF(AY1447=1,INDEX($V$7:$AL$7,MATCH(TRUE,INDEX($V1447:$AW1447&lt;&gt;0,),0)),IF(AY1447=0,INDEX($AM$7:$AW$7,MATCH(1,$AM1447:$AW1447,0)),IF(BF1447="Multiple strategies","mixed drivers",IF(BF1447="Supply chain","multiple supply","multiple silviculture"))))</f>
        <v xml:space="preserve">cutting intensity </v>
      </c>
      <c r="BF1447" s="2" t="str" cm="1">
        <f t="array" ref="BF1447">IF(COUNTIF(AZ1447:BB1447,"&lt;&gt;0")=1,INDEX($V$4:$AW$4,MATCH(TRUE,INDEX($V1447:$AW1447&lt;&gt;0,),0)),IF(COUNTIF(AZ1447:BB1447,"&lt;&gt;0")=0,INDEX($AM$4:$AW$4,MATCH(1,$AM1447:$AW1447,0)),"Multiple strategies"))</f>
        <v>Silviculture for removals</v>
      </c>
      <c r="BG1447" s="1" t="s">
        <v>321</v>
      </c>
      <c r="BH1447" t="s">
        <v>2286</v>
      </c>
      <c r="BI1447" t="s">
        <v>1035</v>
      </c>
      <c r="BJ1447" t="s">
        <v>2287</v>
      </c>
      <c r="BK1447">
        <v>0</v>
      </c>
      <c r="BL1447">
        <v>0.62</v>
      </c>
      <c r="BN1447">
        <f t="shared" si="1902"/>
        <v>0.62</v>
      </c>
      <c r="BO1447">
        <f t="shared" si="1903"/>
        <v>2692140.6860616589</v>
      </c>
      <c r="BP1447" t="s">
        <v>232</v>
      </c>
      <c r="BQ1447" s="267" t="s">
        <v>783</v>
      </c>
      <c r="BR1447" s="264" t="s">
        <v>3243</v>
      </c>
      <c r="BU1447" s="144"/>
      <c r="BV1447">
        <f>-203.9994/35</f>
        <v>-5.8285542857142856</v>
      </c>
      <c r="BX1447">
        <f t="shared" si="1904"/>
        <v>-5828554.2857142854</v>
      </c>
      <c r="BY1447">
        <f t="shared" si="1820"/>
        <v>-2.1650258903225805</v>
      </c>
      <c r="BZ1447">
        <v>0</v>
      </c>
      <c r="CA1447">
        <v>1</v>
      </c>
      <c r="CB1447">
        <v>1</v>
      </c>
      <c r="CC1447">
        <v>1</v>
      </c>
      <c r="CD1447">
        <v>0</v>
      </c>
      <c r="CE1447">
        <v>0</v>
      </c>
      <c r="CF1447">
        <v>0</v>
      </c>
      <c r="CG1447">
        <v>0</v>
      </c>
      <c r="CH1447">
        <v>0</v>
      </c>
      <c r="CI1447">
        <v>0</v>
      </c>
      <c r="CJ1447">
        <v>0</v>
      </c>
      <c r="CK1447">
        <v>0</v>
      </c>
      <c r="CL1447">
        <v>0</v>
      </c>
      <c r="CM1447">
        <v>0</v>
      </c>
      <c r="CN1447" t="str">
        <f t="shared" si="1905"/>
        <v>refOK</v>
      </c>
      <c r="CO1447">
        <f t="shared" si="1906"/>
        <v>0</v>
      </c>
      <c r="CP1447">
        <f t="shared" si="1907"/>
        <v>0.62</v>
      </c>
      <c r="CQ1447">
        <f t="shared" si="1908"/>
        <v>2692140.6860616589</v>
      </c>
      <c r="CR1447">
        <f t="shared" si="1909"/>
        <v>0</v>
      </c>
      <c r="CS1447">
        <f t="shared" si="1910"/>
        <v>0</v>
      </c>
      <c r="CT1447">
        <f t="shared" si="1911"/>
        <v>-5828554.2857142854</v>
      </c>
      <c r="CU1447">
        <f t="shared" si="1912"/>
        <v>-2.1650258903225805</v>
      </c>
      <c r="CV1447" s="2" t="str">
        <f t="shared" si="1913"/>
        <v/>
      </c>
      <c r="CW1447" s="1" t="s">
        <v>1202</v>
      </c>
      <c r="CX1447" t="str">
        <f t="shared" si="1914"/>
        <v>reg</v>
      </c>
      <c r="CY1447" t="s">
        <v>540</v>
      </c>
      <c r="CZ1447">
        <v>2015</v>
      </c>
      <c r="DA1447">
        <v>2050</v>
      </c>
      <c r="DB1447">
        <v>35</v>
      </c>
      <c r="DC1447" t="str">
        <f t="shared" si="1915"/>
        <v>31-70</v>
      </c>
      <c r="DD1447">
        <v>0</v>
      </c>
      <c r="DE1447">
        <v>1</v>
      </c>
      <c r="DF1447">
        <v>1</v>
      </c>
      <c r="DG1447">
        <v>1</v>
      </c>
      <c r="DI1447">
        <f t="shared" si="1916"/>
        <v>3</v>
      </c>
      <c r="DJ1447" t="str">
        <f t="shared" si="1917"/>
        <v>mixedProduct</v>
      </c>
      <c r="DK1447">
        <f t="shared" si="1918"/>
        <v>0</v>
      </c>
      <c r="DL1447" t="str">
        <f t="shared" si="1919"/>
        <v>Energy</v>
      </c>
      <c r="DM1447" t="str">
        <f t="shared" si="1920"/>
        <v>Pulp/Paper</v>
      </c>
      <c r="DN1447" t="str">
        <f t="shared" si="1921"/>
        <v>Timber</v>
      </c>
      <c r="DO1447">
        <v>0</v>
      </c>
      <c r="DP1447">
        <v>0</v>
      </c>
      <c r="DR1447">
        <v>0</v>
      </c>
      <c r="DS1447">
        <v>0</v>
      </c>
      <c r="DT1447">
        <f t="shared" si="1922"/>
        <v>0</v>
      </c>
      <c r="DU1447" s="143" t="str">
        <f t="shared" si="1923"/>
        <v>explicit C balance</v>
      </c>
      <c r="DV1447">
        <v>1</v>
      </c>
      <c r="DW1447">
        <v>1</v>
      </c>
      <c r="DX1447">
        <v>1</v>
      </c>
      <c r="DY1447">
        <v>1</v>
      </c>
      <c r="DZ1447">
        <v>1</v>
      </c>
      <c r="EA1447">
        <v>0</v>
      </c>
      <c r="EB1447">
        <v>0</v>
      </c>
      <c r="EC1447">
        <v>0</v>
      </c>
      <c r="ED1447">
        <v>0</v>
      </c>
      <c r="EE1447">
        <v>0</v>
      </c>
      <c r="EF1447">
        <v>1</v>
      </c>
      <c r="EG1447">
        <v>0</v>
      </c>
      <c r="EH1447">
        <v>0</v>
      </c>
      <c r="EI1447" s="2">
        <v>0</v>
      </c>
      <c r="EK1447" t="str">
        <f t="shared" si="1924"/>
        <v/>
      </c>
      <c r="EL1447" t="str">
        <f t="shared" si="1925"/>
        <v>Ecosystem approach</v>
      </c>
      <c r="EM1447" s="2" t="str">
        <f t="shared" si="1821"/>
        <v/>
      </c>
      <c r="EP1447" t="str">
        <f>IF(ISNUMBER(BU1447),IF(ABS(BU1447-[3]QC_indicators!$B$2)&gt;3*[3]QC_indicators!$C$2,"C ratio",IF(ISNUMBER(BY1447),IF(ABS(BY1447-[3]QC_indicators!$B$1)&gt;3*[3]QC_indicators!$C$1,"DF","no"))),IF(ISNUMBER(BY1447),IF(ABS(BY1447-[3]QC_indicators!$B$1)&gt;3*[3]QC_indicators!$C$1,"DF","no")))</f>
        <v>no</v>
      </c>
      <c r="ER1447" t="s">
        <v>2288</v>
      </c>
      <c r="ET1447" s="268" t="s">
        <v>3241</v>
      </c>
    </row>
    <row r="1448" spans="1:150" ht="15" hidden="1" customHeight="1">
      <c r="A1448" s="1" t="s">
        <v>2113</v>
      </c>
      <c r="B1448" t="s">
        <v>544</v>
      </c>
      <c r="C1448" t="s">
        <v>2276</v>
      </c>
      <c r="D1448" t="s">
        <v>2277</v>
      </c>
      <c r="E1448" t="s">
        <v>2278</v>
      </c>
      <c r="F1448" t="s">
        <v>2279</v>
      </c>
      <c r="G1448" t="s">
        <v>2114</v>
      </c>
      <c r="H1448" t="s">
        <v>254</v>
      </c>
      <c r="I1448">
        <v>2014</v>
      </c>
      <c r="J1448">
        <v>96</v>
      </c>
      <c r="K1448" t="s">
        <v>2280</v>
      </c>
      <c r="M1448" t="str">
        <f t="shared" si="1856"/>
        <v>Smyth_2014</v>
      </c>
      <c r="N1448" t="s">
        <v>222</v>
      </c>
      <c r="O1448" s="145" t="s">
        <v>341</v>
      </c>
      <c r="Q1448" t="s">
        <v>256</v>
      </c>
      <c r="R1448" s="262" t="s">
        <v>223</v>
      </c>
      <c r="S1448" s="1" t="s">
        <v>2301</v>
      </c>
      <c r="T1448" t="s">
        <v>1154</v>
      </c>
      <c r="U1448" t="s">
        <v>2302</v>
      </c>
      <c r="V1448">
        <v>0</v>
      </c>
      <c r="W1448">
        <v>0</v>
      </c>
      <c r="X1448">
        <v>0</v>
      </c>
      <c r="Y1448">
        <v>1</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s="141">
        <f t="shared" si="1895"/>
        <v>1</v>
      </c>
      <c r="AY1448" s="141">
        <f t="shared" si="1896"/>
        <v>1</v>
      </c>
      <c r="AZ1448">
        <f t="shared" si="1897"/>
        <v>1</v>
      </c>
      <c r="BA1448">
        <f t="shared" si="1898"/>
        <v>0</v>
      </c>
      <c r="BB1448">
        <f t="shared" si="1899"/>
        <v>0</v>
      </c>
      <c r="BC1448">
        <f t="shared" si="1900"/>
        <v>0</v>
      </c>
      <c r="BD1448">
        <f t="shared" si="1901"/>
        <v>0</v>
      </c>
      <c r="BE1448" t="str">
        <f t="array" ref="BE1448">IF(AY1448=1,INDEX($V$7:$AL$7,MATCH(TRUE,INDEX($V1448:$AW1448&lt;&gt;0,),0)),IF(AY1448=0,INDEX($AM$7:$AW$7,MATCH(1,$AM1448:$AW1448,0)),IF(BF1448="Multiple strategies","mixed drivers",IF(BF1448="Supply chain","multiple supply","multiple silviculture"))))</f>
        <v xml:space="preserve">cutting intensity </v>
      </c>
      <c r="BF1448" s="2" t="str" cm="1">
        <f t="array" ref="BF1448">IF(COUNTIF(AZ1448:BB1448,"&lt;&gt;0")=1,INDEX($V$4:$AW$4,MATCH(TRUE,INDEX($V1448:$AW1448&lt;&gt;0,),0)),IF(COUNTIF(AZ1448:BB1448,"&lt;&gt;0")=0,INDEX($AM$4:$AW$4,MATCH(1,$AM1448:$AW1448,0)),"Multiple strategies"))</f>
        <v>Silviculture for removals</v>
      </c>
      <c r="BG1448" s="1" t="s">
        <v>321</v>
      </c>
      <c r="BH1448" t="s">
        <v>2286</v>
      </c>
      <c r="BI1448" t="s">
        <v>1035</v>
      </c>
      <c r="BJ1448" t="s">
        <v>2287</v>
      </c>
      <c r="BK1448">
        <v>0</v>
      </c>
      <c r="BL1448">
        <v>1.42</v>
      </c>
      <c r="BN1448">
        <f t="shared" si="1902"/>
        <v>1.42</v>
      </c>
      <c r="BO1448">
        <f t="shared" si="1903"/>
        <v>6165870.6035605734</v>
      </c>
      <c r="BP1448" t="s">
        <v>232</v>
      </c>
      <c r="BQ1448" s="267" t="s">
        <v>783</v>
      </c>
      <c r="BR1448" s="264" t="s">
        <v>3243</v>
      </c>
      <c r="BU1448" s="144"/>
      <c r="BV1448">
        <f>-399.62/35</f>
        <v>-11.417714285714286</v>
      </c>
      <c r="BX1448">
        <f t="shared" si="1904"/>
        <v>-11417714.285714285</v>
      </c>
      <c r="BY1448">
        <f t="shared" si="1820"/>
        <v>-1.8517602816901406</v>
      </c>
      <c r="BZ1448">
        <v>0</v>
      </c>
      <c r="CA1448">
        <v>1</v>
      </c>
      <c r="CB1448">
        <v>1</v>
      </c>
      <c r="CC1448">
        <v>1</v>
      </c>
      <c r="CD1448">
        <v>0</v>
      </c>
      <c r="CE1448">
        <v>0</v>
      </c>
      <c r="CF1448">
        <v>0</v>
      </c>
      <c r="CG1448">
        <v>0</v>
      </c>
      <c r="CH1448">
        <v>0</v>
      </c>
      <c r="CI1448">
        <v>0</v>
      </c>
      <c r="CJ1448">
        <v>0</v>
      </c>
      <c r="CK1448">
        <v>0</v>
      </c>
      <c r="CL1448">
        <v>0</v>
      </c>
      <c r="CM1448">
        <v>0</v>
      </c>
      <c r="CN1448" t="str">
        <f t="shared" si="1905"/>
        <v>refOK</v>
      </c>
      <c r="CO1448">
        <f t="shared" si="1906"/>
        <v>0</v>
      </c>
      <c r="CP1448">
        <f t="shared" si="1907"/>
        <v>1.42</v>
      </c>
      <c r="CQ1448">
        <f t="shared" si="1908"/>
        <v>6165870.6035605734</v>
      </c>
      <c r="CR1448">
        <f t="shared" si="1909"/>
        <v>0</v>
      </c>
      <c r="CS1448">
        <f t="shared" si="1910"/>
        <v>0</v>
      </c>
      <c r="CT1448">
        <f t="shared" si="1911"/>
        <v>-11417714.285714285</v>
      </c>
      <c r="CU1448">
        <f t="shared" si="1912"/>
        <v>-1.8517602816901406</v>
      </c>
      <c r="CV1448" s="2" t="str">
        <f t="shared" si="1913"/>
        <v/>
      </c>
      <c r="CW1448" s="1" t="s">
        <v>1202</v>
      </c>
      <c r="CX1448" t="str">
        <f t="shared" si="1914"/>
        <v>reg</v>
      </c>
      <c r="CY1448" t="s">
        <v>540</v>
      </c>
      <c r="CZ1448">
        <v>2015</v>
      </c>
      <c r="DA1448">
        <v>2050</v>
      </c>
      <c r="DB1448">
        <v>35</v>
      </c>
      <c r="DC1448" t="str">
        <f t="shared" si="1915"/>
        <v>31-70</v>
      </c>
      <c r="DD1448">
        <v>0</v>
      </c>
      <c r="DE1448">
        <v>1</v>
      </c>
      <c r="DF1448">
        <v>1</v>
      </c>
      <c r="DG1448">
        <v>1</v>
      </c>
      <c r="DI1448">
        <f t="shared" si="1916"/>
        <v>3</v>
      </c>
      <c r="DJ1448" t="str">
        <f t="shared" si="1917"/>
        <v>mixedProduct</v>
      </c>
      <c r="DK1448">
        <f t="shared" si="1918"/>
        <v>0</v>
      </c>
      <c r="DL1448" t="str">
        <f t="shared" si="1919"/>
        <v>Energy</v>
      </c>
      <c r="DM1448" t="str">
        <f t="shared" si="1920"/>
        <v>Pulp/Paper</v>
      </c>
      <c r="DN1448" t="str">
        <f t="shared" si="1921"/>
        <v>Timber</v>
      </c>
      <c r="DO1448">
        <v>0</v>
      </c>
      <c r="DP1448">
        <v>0</v>
      </c>
      <c r="DR1448">
        <v>0</v>
      </c>
      <c r="DS1448">
        <v>0</v>
      </c>
      <c r="DT1448">
        <f t="shared" si="1922"/>
        <v>0</v>
      </c>
      <c r="DU1448" s="143" t="str">
        <f t="shared" si="1923"/>
        <v>explicit C balance</v>
      </c>
      <c r="DV1448">
        <v>1</v>
      </c>
      <c r="DW1448">
        <v>1</v>
      </c>
      <c r="DX1448">
        <v>1</v>
      </c>
      <c r="DY1448">
        <v>1</v>
      </c>
      <c r="DZ1448">
        <v>1</v>
      </c>
      <c r="EA1448">
        <v>0</v>
      </c>
      <c r="EB1448">
        <v>0</v>
      </c>
      <c r="EC1448">
        <v>0</v>
      </c>
      <c r="ED1448">
        <v>0</v>
      </c>
      <c r="EE1448">
        <v>0</v>
      </c>
      <c r="EF1448">
        <v>1</v>
      </c>
      <c r="EG1448">
        <v>0</v>
      </c>
      <c r="EH1448">
        <v>0</v>
      </c>
      <c r="EI1448" s="2">
        <v>0</v>
      </c>
      <c r="EK1448" t="str">
        <f t="shared" si="1924"/>
        <v/>
      </c>
      <c r="EL1448" t="str">
        <f t="shared" si="1925"/>
        <v>Ecosystem approach</v>
      </c>
      <c r="EM1448" s="2" t="str">
        <f t="shared" si="1821"/>
        <v/>
      </c>
      <c r="EP1448" t="str">
        <f>IF(ISNUMBER(BU1448),IF(ABS(BU1448-[3]QC_indicators!$B$2)&gt;3*[3]QC_indicators!$C$2,"C ratio",IF(ISNUMBER(BY1448),IF(ABS(BY1448-[3]QC_indicators!$B$1)&gt;3*[3]QC_indicators!$C$1,"DF","no"))),IF(ISNUMBER(BY1448),IF(ABS(BY1448-[3]QC_indicators!$B$1)&gt;3*[3]QC_indicators!$C$1,"DF","no")))</f>
        <v>no</v>
      </c>
      <c r="ET1448" s="268" t="s">
        <v>3241</v>
      </c>
    </row>
    <row r="1449" spans="1:150" ht="15" hidden="1" customHeight="1">
      <c r="A1449" s="1" t="s">
        <v>2113</v>
      </c>
      <c r="B1449" t="s">
        <v>544</v>
      </c>
      <c r="C1449" t="s">
        <v>2276</v>
      </c>
      <c r="D1449" t="s">
        <v>2277</v>
      </c>
      <c r="E1449" t="s">
        <v>2278</v>
      </c>
      <c r="F1449" t="s">
        <v>2279</v>
      </c>
      <c r="G1449" t="s">
        <v>2114</v>
      </c>
      <c r="H1449" t="s">
        <v>254</v>
      </c>
      <c r="I1449">
        <v>2014</v>
      </c>
      <c r="J1449">
        <v>96</v>
      </c>
      <c r="K1449" t="s">
        <v>2280</v>
      </c>
      <c r="M1449" t="str">
        <f t="shared" si="1856"/>
        <v>Smyth_2014</v>
      </c>
      <c r="N1449" t="s">
        <v>222</v>
      </c>
      <c r="O1449" s="145" t="s">
        <v>341</v>
      </c>
      <c r="Q1449" t="s">
        <v>256</v>
      </c>
      <c r="R1449" s="262" t="s">
        <v>223</v>
      </c>
      <c r="S1449" s="1" t="s">
        <v>2284</v>
      </c>
      <c r="T1449" t="s">
        <v>1154</v>
      </c>
      <c r="U1449" s="264" t="s">
        <v>2290</v>
      </c>
      <c r="V1449">
        <v>0</v>
      </c>
      <c r="W1449">
        <v>0</v>
      </c>
      <c r="X1449">
        <v>0</v>
      </c>
      <c r="Y1449">
        <v>1</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s="141">
        <f t="shared" si="1895"/>
        <v>1</v>
      </c>
      <c r="AY1449" s="141">
        <f t="shared" si="1896"/>
        <v>1</v>
      </c>
      <c r="AZ1449">
        <f t="shared" si="1897"/>
        <v>1</v>
      </c>
      <c r="BA1449">
        <f t="shared" si="1898"/>
        <v>0</v>
      </c>
      <c r="BB1449">
        <f t="shared" si="1899"/>
        <v>0</v>
      </c>
      <c r="BC1449">
        <f t="shared" si="1900"/>
        <v>0</v>
      </c>
      <c r="BD1449">
        <f t="shared" si="1901"/>
        <v>0</v>
      </c>
      <c r="BE1449" t="str">
        <f t="array" ref="BE1449">IF(AY1449=1,INDEX($V$7:$AL$7,MATCH(TRUE,INDEX($V1449:$AW1449&lt;&gt;0,),0)),IF(AY1449=0,INDEX($AM$7:$AW$7,MATCH(1,$AM1449:$AW1449,0)),IF(BF1449="Multiple strategies","mixed drivers",IF(BF1449="Supply chain","multiple supply","multiple silviculture"))))</f>
        <v xml:space="preserve">cutting intensity </v>
      </c>
      <c r="BF1449" s="2" t="str" cm="1">
        <f t="array" ref="BF1449">IF(COUNTIF(AZ1449:BB1449,"&lt;&gt;0")=1,INDEX($V$4:$AW$4,MATCH(TRUE,INDEX($V1449:$AW1449&lt;&gt;0,),0)),IF(COUNTIF(AZ1449:BB1449,"&lt;&gt;0")=0,INDEX($AM$4:$AW$4,MATCH(1,$AM1449:$AW1449,0)),"Multiple strategies"))</f>
        <v>Silviculture for removals</v>
      </c>
      <c r="BG1449" s="1" t="s">
        <v>321</v>
      </c>
      <c r="BH1449" t="s">
        <v>2286</v>
      </c>
      <c r="BI1449" t="s">
        <v>1035</v>
      </c>
      <c r="BJ1449" t="s">
        <v>2287</v>
      </c>
      <c r="BK1449">
        <v>0</v>
      </c>
      <c r="BL1449">
        <v>0.62</v>
      </c>
      <c r="BN1449">
        <f t="shared" si="1902"/>
        <v>0.62</v>
      </c>
      <c r="BO1449">
        <f t="shared" si="1903"/>
        <v>2692140.6860616589</v>
      </c>
      <c r="BP1449" t="s">
        <v>232</v>
      </c>
      <c r="BQ1449" s="267" t="s">
        <v>783</v>
      </c>
      <c r="BR1449" s="264" t="s">
        <v>3243</v>
      </c>
      <c r="BU1449" s="144"/>
      <c r="BV1449">
        <f>-156/35</f>
        <v>-4.4571428571428573</v>
      </c>
      <c r="BX1449">
        <f t="shared" si="1904"/>
        <v>-4457142.8571428573</v>
      </c>
      <c r="BY1449">
        <f t="shared" si="1820"/>
        <v>-1.6556129032258065</v>
      </c>
      <c r="BZ1449">
        <v>0</v>
      </c>
      <c r="CA1449">
        <v>1</v>
      </c>
      <c r="CB1449">
        <v>1</v>
      </c>
      <c r="CC1449">
        <v>1</v>
      </c>
      <c r="CD1449">
        <v>0</v>
      </c>
      <c r="CE1449">
        <v>0</v>
      </c>
      <c r="CF1449">
        <v>0</v>
      </c>
      <c r="CG1449">
        <v>0</v>
      </c>
      <c r="CH1449">
        <v>0</v>
      </c>
      <c r="CI1449">
        <v>0</v>
      </c>
      <c r="CJ1449">
        <v>0</v>
      </c>
      <c r="CK1449">
        <v>0</v>
      </c>
      <c r="CL1449">
        <v>0</v>
      </c>
      <c r="CM1449">
        <v>0</v>
      </c>
      <c r="CN1449" t="str">
        <f t="shared" si="1905"/>
        <v>refOK</v>
      </c>
      <c r="CO1449">
        <f t="shared" si="1906"/>
        <v>0</v>
      </c>
      <c r="CP1449">
        <f t="shared" si="1907"/>
        <v>0.62</v>
      </c>
      <c r="CQ1449">
        <f t="shared" si="1908"/>
        <v>2692140.6860616589</v>
      </c>
      <c r="CR1449">
        <f t="shared" si="1909"/>
        <v>0</v>
      </c>
      <c r="CS1449">
        <f t="shared" si="1910"/>
        <v>0</v>
      </c>
      <c r="CT1449">
        <f t="shared" si="1911"/>
        <v>-4457142.8571428573</v>
      </c>
      <c r="CU1449">
        <f t="shared" si="1912"/>
        <v>-1.6556129032258065</v>
      </c>
      <c r="CV1449" s="2" t="str">
        <f t="shared" si="1913"/>
        <v/>
      </c>
      <c r="CW1449" s="1" t="s">
        <v>1202</v>
      </c>
      <c r="CX1449" t="str">
        <f t="shared" si="1914"/>
        <v>reg</v>
      </c>
      <c r="CY1449" t="s">
        <v>540</v>
      </c>
      <c r="CZ1449">
        <v>2015</v>
      </c>
      <c r="DA1449">
        <v>2050</v>
      </c>
      <c r="DB1449">
        <v>35</v>
      </c>
      <c r="DC1449" t="str">
        <f t="shared" si="1915"/>
        <v>31-70</v>
      </c>
      <c r="DD1449">
        <v>0</v>
      </c>
      <c r="DE1449">
        <v>1</v>
      </c>
      <c r="DF1449">
        <v>1</v>
      </c>
      <c r="DG1449">
        <v>1</v>
      </c>
      <c r="DI1449">
        <f t="shared" si="1916"/>
        <v>3</v>
      </c>
      <c r="DJ1449" t="str">
        <f t="shared" si="1917"/>
        <v>mixedProduct</v>
      </c>
      <c r="DK1449">
        <f t="shared" si="1918"/>
        <v>0</v>
      </c>
      <c r="DL1449" t="str">
        <f t="shared" si="1919"/>
        <v>Energy</v>
      </c>
      <c r="DM1449" t="str">
        <f t="shared" si="1920"/>
        <v>Pulp/Paper</v>
      </c>
      <c r="DN1449" t="str">
        <f t="shared" si="1921"/>
        <v>Timber</v>
      </c>
      <c r="DO1449">
        <v>1</v>
      </c>
      <c r="DP1449">
        <v>1</v>
      </c>
      <c r="DQ1449" t="s">
        <v>2283</v>
      </c>
      <c r="DR1449">
        <v>0</v>
      </c>
      <c r="DS1449">
        <v>0</v>
      </c>
      <c r="DT1449">
        <f t="shared" si="1922"/>
        <v>2</v>
      </c>
      <c r="DU1449" s="143" t="str">
        <f t="shared" si="1923"/>
        <v>self-calculated DF</v>
      </c>
      <c r="DV1449">
        <v>1</v>
      </c>
      <c r="DW1449">
        <v>1</v>
      </c>
      <c r="DX1449">
        <v>1</v>
      </c>
      <c r="DY1449">
        <v>1</v>
      </c>
      <c r="DZ1449">
        <v>1</v>
      </c>
      <c r="EA1449">
        <v>1</v>
      </c>
      <c r="EB1449">
        <v>0</v>
      </c>
      <c r="EC1449">
        <v>0</v>
      </c>
      <c r="ED1449">
        <v>0</v>
      </c>
      <c r="EE1449">
        <v>0</v>
      </c>
      <c r="EF1449">
        <v>1</v>
      </c>
      <c r="EG1449">
        <v>0</v>
      </c>
      <c r="EH1449">
        <v>0</v>
      </c>
      <c r="EI1449" s="2">
        <v>0</v>
      </c>
      <c r="EK1449" t="str">
        <f t="shared" si="1924"/>
        <v/>
      </c>
      <c r="EL1449" t="str">
        <f t="shared" si="1925"/>
        <v/>
      </c>
      <c r="EM1449" s="2" t="str">
        <f t="shared" si="1821"/>
        <v/>
      </c>
      <c r="EP1449" t="str">
        <f>IF(ISNUMBER(BU1449),IF(ABS(BU1449-[3]QC_indicators!$B$2)&gt;3*[3]QC_indicators!$C$2,"C ratio",IF(ISNUMBER(BY1449),IF(ABS(BY1449-[3]QC_indicators!$B$1)&gt;3*[3]QC_indicators!$C$1,"DF","no"))),IF(ISNUMBER(BY1449),IF(ABS(BY1449-[3]QC_indicators!$B$1)&gt;3*[3]QC_indicators!$C$1,"DF","no")))</f>
        <v>no</v>
      </c>
      <c r="ER1449" t="s">
        <v>2288</v>
      </c>
      <c r="ET1449" s="268" t="s">
        <v>3241</v>
      </c>
    </row>
    <row r="1450" spans="1:150" ht="15" hidden="1" customHeight="1">
      <c r="A1450" s="1" t="s">
        <v>2113</v>
      </c>
      <c r="B1450" t="s">
        <v>544</v>
      </c>
      <c r="C1450" t="s">
        <v>2276</v>
      </c>
      <c r="D1450" t="s">
        <v>2277</v>
      </c>
      <c r="E1450" t="s">
        <v>2278</v>
      </c>
      <c r="F1450" t="s">
        <v>2279</v>
      </c>
      <c r="G1450" t="s">
        <v>2114</v>
      </c>
      <c r="H1450" t="s">
        <v>254</v>
      </c>
      <c r="I1450">
        <v>2014</v>
      </c>
      <c r="J1450">
        <v>96</v>
      </c>
      <c r="K1450" t="s">
        <v>2280</v>
      </c>
      <c r="M1450" t="str">
        <f t="shared" si="1856"/>
        <v>Smyth_2014</v>
      </c>
      <c r="N1450" t="s">
        <v>222</v>
      </c>
      <c r="O1450" s="145" t="s">
        <v>341</v>
      </c>
      <c r="Q1450" t="s">
        <v>256</v>
      </c>
      <c r="R1450" s="262" t="s">
        <v>223</v>
      </c>
      <c r="S1450" s="1" t="s">
        <v>2301</v>
      </c>
      <c r="T1450" t="s">
        <v>1154</v>
      </c>
      <c r="U1450" t="s">
        <v>2302</v>
      </c>
      <c r="V1450">
        <v>0</v>
      </c>
      <c r="W1450">
        <v>0</v>
      </c>
      <c r="X1450">
        <v>0</v>
      </c>
      <c r="Y1450">
        <v>1</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s="141">
        <f t="shared" si="1895"/>
        <v>1</v>
      </c>
      <c r="AY1450" s="141">
        <f t="shared" si="1896"/>
        <v>1</v>
      </c>
      <c r="AZ1450">
        <f t="shared" si="1897"/>
        <v>1</v>
      </c>
      <c r="BA1450">
        <f t="shared" si="1898"/>
        <v>0</v>
      </c>
      <c r="BB1450">
        <f t="shared" si="1899"/>
        <v>0</v>
      </c>
      <c r="BC1450">
        <f t="shared" si="1900"/>
        <v>0</v>
      </c>
      <c r="BD1450">
        <f t="shared" si="1901"/>
        <v>0</v>
      </c>
      <c r="BE1450" t="str">
        <f t="array" ref="BE1450">IF(AY1450=1,INDEX($V$7:$AL$7,MATCH(TRUE,INDEX($V1450:$AW1450&lt;&gt;0,),0)),IF(AY1450=0,INDEX($AM$7:$AW$7,MATCH(1,$AM1450:$AW1450,0)),IF(BF1450="Multiple strategies","mixed drivers",IF(BF1450="Supply chain","multiple supply","multiple silviculture"))))</f>
        <v xml:space="preserve">cutting intensity </v>
      </c>
      <c r="BF1450" s="2" t="str" cm="1">
        <f t="array" ref="BF1450">IF(COUNTIF(AZ1450:BB1450,"&lt;&gt;0")=1,INDEX($V$4:$AW$4,MATCH(TRUE,INDEX($V1450:$AW1450&lt;&gt;0,),0)),IF(COUNTIF(AZ1450:BB1450,"&lt;&gt;0")=0,INDEX($AM$4:$AW$4,MATCH(1,$AM1450:$AW1450,0)),"Multiple strategies"))</f>
        <v>Silviculture for removals</v>
      </c>
      <c r="BG1450" s="1" t="s">
        <v>321</v>
      </c>
      <c r="BH1450" t="s">
        <v>2286</v>
      </c>
      <c r="BI1450" t="s">
        <v>1035</v>
      </c>
      <c r="BJ1450" t="s">
        <v>2287</v>
      </c>
      <c r="BK1450">
        <v>0</v>
      </c>
      <c r="BL1450">
        <v>1.42</v>
      </c>
      <c r="BN1450">
        <f t="shared" si="1902"/>
        <v>1.42</v>
      </c>
      <c r="BO1450">
        <f t="shared" si="1903"/>
        <v>6165870.6035605734</v>
      </c>
      <c r="BP1450" t="s">
        <v>232</v>
      </c>
      <c r="BQ1450" s="267" t="s">
        <v>783</v>
      </c>
      <c r="BR1450" s="264" t="s">
        <v>3243</v>
      </c>
      <c r="BU1450" s="144"/>
      <c r="BV1450">
        <f>-294/35</f>
        <v>-8.4</v>
      </c>
      <c r="BX1450">
        <f t="shared" si="1904"/>
        <v>-8400000</v>
      </c>
      <c r="BY1450">
        <f t="shared" ref="BY1450:BY1513" si="1926">IFERROR(BX1450/BO1450,"")</f>
        <v>-1.3623380281690141</v>
      </c>
      <c r="BZ1450">
        <v>0</v>
      </c>
      <c r="CA1450">
        <v>1</v>
      </c>
      <c r="CB1450">
        <v>1</v>
      </c>
      <c r="CC1450">
        <v>1</v>
      </c>
      <c r="CD1450">
        <v>0</v>
      </c>
      <c r="CE1450">
        <v>0</v>
      </c>
      <c r="CF1450">
        <v>0</v>
      </c>
      <c r="CG1450">
        <v>0</v>
      </c>
      <c r="CH1450">
        <v>0</v>
      </c>
      <c r="CI1450">
        <v>0</v>
      </c>
      <c r="CJ1450">
        <v>0</v>
      </c>
      <c r="CK1450">
        <v>0</v>
      </c>
      <c r="CL1450">
        <v>0</v>
      </c>
      <c r="CM1450">
        <v>0</v>
      </c>
      <c r="CN1450" t="str">
        <f t="shared" si="1905"/>
        <v>refOK</v>
      </c>
      <c r="CO1450">
        <f t="shared" si="1906"/>
        <v>0</v>
      </c>
      <c r="CP1450">
        <f t="shared" si="1907"/>
        <v>1.42</v>
      </c>
      <c r="CQ1450">
        <f t="shared" si="1908"/>
        <v>6165870.6035605734</v>
      </c>
      <c r="CR1450">
        <f t="shared" si="1909"/>
        <v>0</v>
      </c>
      <c r="CS1450">
        <f t="shared" si="1910"/>
        <v>0</v>
      </c>
      <c r="CT1450">
        <f t="shared" si="1911"/>
        <v>-8400000</v>
      </c>
      <c r="CU1450">
        <f t="shared" si="1912"/>
        <v>-1.3623380281690141</v>
      </c>
      <c r="CV1450" s="2" t="str">
        <f t="shared" si="1913"/>
        <v/>
      </c>
      <c r="CW1450" s="1" t="s">
        <v>1202</v>
      </c>
      <c r="CX1450" t="str">
        <f t="shared" si="1914"/>
        <v>reg</v>
      </c>
      <c r="CY1450" t="s">
        <v>540</v>
      </c>
      <c r="CZ1450">
        <v>2015</v>
      </c>
      <c r="DA1450">
        <v>2050</v>
      </c>
      <c r="DB1450">
        <v>35</v>
      </c>
      <c r="DC1450" t="str">
        <f t="shared" si="1915"/>
        <v>31-70</v>
      </c>
      <c r="DD1450">
        <v>0</v>
      </c>
      <c r="DE1450">
        <v>1</v>
      </c>
      <c r="DF1450">
        <v>1</v>
      </c>
      <c r="DG1450">
        <v>1</v>
      </c>
      <c r="DI1450">
        <f t="shared" si="1916"/>
        <v>3</v>
      </c>
      <c r="DJ1450" t="str">
        <f t="shared" si="1917"/>
        <v>mixedProduct</v>
      </c>
      <c r="DK1450">
        <f t="shared" si="1918"/>
        <v>0</v>
      </c>
      <c r="DL1450" t="str">
        <f t="shared" si="1919"/>
        <v>Energy</v>
      </c>
      <c r="DM1450" t="str">
        <f t="shared" si="1920"/>
        <v>Pulp/Paper</v>
      </c>
      <c r="DN1450" t="str">
        <f t="shared" si="1921"/>
        <v>Timber</v>
      </c>
      <c r="DO1450">
        <v>1</v>
      </c>
      <c r="DP1450">
        <v>1</v>
      </c>
      <c r="DQ1450" t="s">
        <v>2283</v>
      </c>
      <c r="DR1450">
        <v>0</v>
      </c>
      <c r="DS1450">
        <v>0</v>
      </c>
      <c r="DT1450">
        <f t="shared" si="1922"/>
        <v>2</v>
      </c>
      <c r="DU1450" s="143" t="str">
        <f t="shared" si="1923"/>
        <v>self-calculated DF</v>
      </c>
      <c r="DV1450">
        <v>1</v>
      </c>
      <c r="DW1450">
        <v>1</v>
      </c>
      <c r="DX1450">
        <v>1</v>
      </c>
      <c r="DY1450">
        <v>1</v>
      </c>
      <c r="DZ1450">
        <v>1</v>
      </c>
      <c r="EA1450">
        <v>1</v>
      </c>
      <c r="EB1450">
        <v>0</v>
      </c>
      <c r="EC1450">
        <v>0</v>
      </c>
      <c r="ED1450">
        <v>0</v>
      </c>
      <c r="EE1450">
        <v>0</v>
      </c>
      <c r="EF1450">
        <v>1</v>
      </c>
      <c r="EG1450">
        <v>0</v>
      </c>
      <c r="EH1450">
        <v>0</v>
      </c>
      <c r="EI1450" s="2">
        <v>0</v>
      </c>
      <c r="EK1450" t="str">
        <f t="shared" si="1924"/>
        <v/>
      </c>
      <c r="EL1450" t="str">
        <f t="shared" si="1925"/>
        <v/>
      </c>
      <c r="EM1450" s="2" t="str">
        <f t="shared" si="1821"/>
        <v/>
      </c>
      <c r="EP1450" t="str">
        <f>IF(ISNUMBER(BU1450),IF(ABS(BU1450-[3]QC_indicators!$B$2)&gt;3*[3]QC_indicators!$C$2,"C ratio",IF(ISNUMBER(BY1450),IF(ABS(BY1450-[3]QC_indicators!$B$1)&gt;3*[3]QC_indicators!$C$1,"DF","no"))),IF(ISNUMBER(BY1450),IF(ABS(BY1450-[3]QC_indicators!$B$1)&gt;3*[3]QC_indicators!$C$1,"DF","no")))</f>
        <v>no</v>
      </c>
      <c r="ET1450" s="268" t="s">
        <v>3241</v>
      </c>
    </row>
    <row r="1451" spans="1:150" ht="15" hidden="1" customHeight="1">
      <c r="A1451" s="1" t="s">
        <v>2113</v>
      </c>
      <c r="B1451" t="s">
        <v>544</v>
      </c>
      <c r="C1451" t="s">
        <v>2276</v>
      </c>
      <c r="D1451" t="s">
        <v>2277</v>
      </c>
      <c r="E1451" t="s">
        <v>2278</v>
      </c>
      <c r="F1451" t="s">
        <v>2279</v>
      </c>
      <c r="G1451" t="s">
        <v>2114</v>
      </c>
      <c r="H1451" t="s">
        <v>254</v>
      </c>
      <c r="I1451">
        <v>2014</v>
      </c>
      <c r="J1451">
        <v>96</v>
      </c>
      <c r="K1451" t="s">
        <v>2280</v>
      </c>
      <c r="M1451" t="str">
        <f t="shared" si="1856"/>
        <v>Smyth_2014</v>
      </c>
      <c r="N1451" t="s">
        <v>222</v>
      </c>
      <c r="O1451" s="145" t="s">
        <v>341</v>
      </c>
      <c r="Q1451" t="s">
        <v>256</v>
      </c>
      <c r="R1451" s="262" t="s">
        <v>223</v>
      </c>
      <c r="S1451" s="1" t="s">
        <v>2294</v>
      </c>
      <c r="T1451" t="s">
        <v>2295</v>
      </c>
      <c r="U1451" t="s">
        <v>1154</v>
      </c>
      <c r="V1451">
        <v>1</v>
      </c>
      <c r="W1451">
        <v>0</v>
      </c>
      <c r="X1451">
        <v>0</v>
      </c>
      <c r="Y1451">
        <v>2</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s="141">
        <f t="shared" si="1895"/>
        <v>2</v>
      </c>
      <c r="AY1451" s="141">
        <f t="shared" si="1896"/>
        <v>2</v>
      </c>
      <c r="AZ1451">
        <f t="shared" si="1897"/>
        <v>2</v>
      </c>
      <c r="BA1451">
        <f t="shared" si="1898"/>
        <v>0</v>
      </c>
      <c r="BB1451">
        <f t="shared" si="1899"/>
        <v>0</v>
      </c>
      <c r="BC1451">
        <f t="shared" si="1900"/>
        <v>0</v>
      </c>
      <c r="BD1451">
        <f t="shared" si="1901"/>
        <v>0</v>
      </c>
      <c r="BE1451" t="str">
        <f t="array" ref="BE1451">IF(AY1451=1,INDEX($V$7:$AL$7,MATCH(TRUE,INDEX($V1451:$AW1451&lt;&gt;0,),0)),IF(AY1451=0,INDEX($AM$7:$AW$7,MATCH(1,$AM1451:$AW1451,0)),IF(BF1451="Multiple strategies","mixed drivers",IF(BF1451="Supply chain","multiple supply","multiple silviculture"))))</f>
        <v>multiple silviculture</v>
      </c>
      <c r="BF1451" s="2" t="str" cm="1">
        <f t="array" ref="BF1451">IF(COUNTIF(AZ1451:BB1451,"&lt;&gt;0")=1,INDEX($V$4:$AW$4,MATCH(TRUE,INDEX($V1451:$AW1451&lt;&gt;0,),0)),IF(COUNTIF(AZ1451:BB1451,"&lt;&gt;0")=0,INDEX($AM$4:$AW$4,MATCH(1,$AM1451:$AW1451,0)),"Multiple strategies"))</f>
        <v>Silviculture for removals</v>
      </c>
      <c r="BG1451" s="1" t="s">
        <v>321</v>
      </c>
      <c r="BH1451" t="s">
        <v>2296</v>
      </c>
      <c r="BI1451" t="s">
        <v>1035</v>
      </c>
      <c r="BJ1451" t="s">
        <v>2287</v>
      </c>
      <c r="BK1451">
        <v>-1.41</v>
      </c>
      <c r="BL1451">
        <v>0</v>
      </c>
      <c r="BN1451">
        <f t="shared" si="1902"/>
        <v>1.41</v>
      </c>
      <c r="BO1451">
        <f t="shared" si="1903"/>
        <v>6122448.9795918372</v>
      </c>
      <c r="BP1451" t="s">
        <v>232</v>
      </c>
      <c r="BQ1451" s="267" t="s">
        <v>783</v>
      </c>
      <c r="BR1451" s="264" t="s">
        <v>3243</v>
      </c>
      <c r="BU1451" s="144"/>
      <c r="BV1451">
        <f>-264.42/35</f>
        <v>-7.5548571428571432</v>
      </c>
      <c r="BX1451">
        <f t="shared" si="1904"/>
        <v>-7554857.1428571427</v>
      </c>
      <c r="BY1451">
        <f t="shared" si="1926"/>
        <v>-1.2339599999999999</v>
      </c>
      <c r="BZ1451">
        <v>0</v>
      </c>
      <c r="CA1451">
        <v>1</v>
      </c>
      <c r="CB1451">
        <v>1</v>
      </c>
      <c r="CC1451">
        <v>1</v>
      </c>
      <c r="CD1451">
        <v>0</v>
      </c>
      <c r="CE1451">
        <v>0</v>
      </c>
      <c r="CF1451">
        <v>0</v>
      </c>
      <c r="CG1451">
        <v>0</v>
      </c>
      <c r="CH1451">
        <v>0</v>
      </c>
      <c r="CI1451">
        <v>0</v>
      </c>
      <c r="CJ1451">
        <v>0</v>
      </c>
      <c r="CK1451">
        <v>0</v>
      </c>
      <c r="CL1451">
        <v>0</v>
      </c>
      <c r="CM1451">
        <v>0</v>
      </c>
      <c r="CN1451" t="str">
        <f>IF(BL1451&lt;BK1451,"refNeedCorrection","refOK")</f>
        <v>refOK</v>
      </c>
      <c r="CO1451">
        <f t="shared" si="1906"/>
        <v>-1.41</v>
      </c>
      <c r="CP1451">
        <f t="shared" si="1907"/>
        <v>0</v>
      </c>
      <c r="CQ1451">
        <f t="shared" si="1908"/>
        <v>6122448.9795918372</v>
      </c>
      <c r="CR1451">
        <f t="shared" si="1909"/>
        <v>0</v>
      </c>
      <c r="CS1451">
        <f t="shared" si="1910"/>
        <v>0</v>
      </c>
      <c r="CT1451">
        <f t="shared" si="1911"/>
        <v>-7554857.1428571427</v>
      </c>
      <c r="CU1451">
        <f t="shared" si="1912"/>
        <v>-1.2339599999999999</v>
      </c>
      <c r="CV1451" s="2" t="str">
        <f t="shared" si="1913"/>
        <v/>
      </c>
      <c r="CW1451" s="1" t="s">
        <v>1202</v>
      </c>
      <c r="CX1451" t="str">
        <f t="shared" si="1914"/>
        <v>reg</v>
      </c>
      <c r="CY1451" t="s">
        <v>540</v>
      </c>
      <c r="CZ1451">
        <v>2015</v>
      </c>
      <c r="DA1451">
        <v>2050</v>
      </c>
      <c r="DB1451">
        <v>35</v>
      </c>
      <c r="DC1451" t="str">
        <f t="shared" si="1915"/>
        <v>31-70</v>
      </c>
      <c r="DD1451">
        <v>0</v>
      </c>
      <c r="DE1451">
        <v>1</v>
      </c>
      <c r="DF1451">
        <v>1</v>
      </c>
      <c r="DG1451">
        <v>1</v>
      </c>
      <c r="DI1451">
        <f t="shared" si="1916"/>
        <v>3</v>
      </c>
      <c r="DJ1451" t="str">
        <f t="shared" si="1917"/>
        <v>mixedProduct</v>
      </c>
      <c r="DK1451">
        <f t="shared" si="1918"/>
        <v>0</v>
      </c>
      <c r="DL1451" t="str">
        <f t="shared" si="1919"/>
        <v>Energy</v>
      </c>
      <c r="DM1451" t="str">
        <f t="shared" si="1920"/>
        <v>Pulp/Paper</v>
      </c>
      <c r="DN1451" t="str">
        <f t="shared" si="1921"/>
        <v>Timber</v>
      </c>
      <c r="DO1451">
        <v>0</v>
      </c>
      <c r="DP1451">
        <v>0</v>
      </c>
      <c r="DR1451">
        <v>0</v>
      </c>
      <c r="DS1451">
        <v>0</v>
      </c>
      <c r="DT1451">
        <f t="shared" si="1922"/>
        <v>0</v>
      </c>
      <c r="DU1451" s="143" t="str">
        <f t="shared" si="1923"/>
        <v>explicit C balance</v>
      </c>
      <c r="DV1451">
        <v>1</v>
      </c>
      <c r="DW1451">
        <v>1</v>
      </c>
      <c r="DX1451">
        <v>1</v>
      </c>
      <c r="DY1451">
        <v>1</v>
      </c>
      <c r="DZ1451">
        <v>1</v>
      </c>
      <c r="EA1451">
        <v>0</v>
      </c>
      <c r="EB1451">
        <v>0</v>
      </c>
      <c r="EC1451">
        <v>0</v>
      </c>
      <c r="ED1451">
        <v>0</v>
      </c>
      <c r="EE1451">
        <v>0</v>
      </c>
      <c r="EF1451">
        <v>1</v>
      </c>
      <c r="EG1451">
        <v>0</v>
      </c>
      <c r="EH1451">
        <v>0</v>
      </c>
      <c r="EI1451" s="2">
        <v>0</v>
      </c>
      <c r="EK1451" t="str">
        <f t="shared" si="1924"/>
        <v/>
      </c>
      <c r="EL1451" t="str">
        <f t="shared" si="1925"/>
        <v>Ecosystem approach</v>
      </c>
      <c r="EM1451" s="2" t="str">
        <f t="shared" si="1821"/>
        <v/>
      </c>
      <c r="EN1451" t="s">
        <v>2297</v>
      </c>
      <c r="EP1451" t="str">
        <f>IF(ISNUMBER(BU1451),IF(ABS(BU1451-[3]QC_indicators!$B$2)&gt;3*[3]QC_indicators!$C$2,"C ratio",IF(ISNUMBER(BY1451),IF(ABS(BY1451-[3]QC_indicators!$B$1)&gt;3*[3]QC_indicators!$C$1,"DF","no"))),IF(ISNUMBER(BY1451),IF(ABS(BY1451-[3]QC_indicators!$B$1)&gt;3*[3]QC_indicators!$C$1,"DF","no")))</f>
        <v>no</v>
      </c>
      <c r="ER1451" t="s">
        <v>2298</v>
      </c>
      <c r="ET1451" s="268" t="s">
        <v>3241</v>
      </c>
    </row>
    <row r="1452" spans="1:150" ht="15" hidden="1" customHeight="1">
      <c r="A1452" s="1" t="s">
        <v>2113</v>
      </c>
      <c r="B1452" t="s">
        <v>544</v>
      </c>
      <c r="C1452" t="s">
        <v>2276</v>
      </c>
      <c r="D1452" t="s">
        <v>2277</v>
      </c>
      <c r="E1452" t="s">
        <v>2278</v>
      </c>
      <c r="F1452" t="s">
        <v>2279</v>
      </c>
      <c r="G1452" t="s">
        <v>2114</v>
      </c>
      <c r="H1452" t="s">
        <v>254</v>
      </c>
      <c r="I1452">
        <v>2014</v>
      </c>
      <c r="J1452">
        <v>96</v>
      </c>
      <c r="K1452" t="s">
        <v>2280</v>
      </c>
      <c r="M1452" t="str">
        <f t="shared" si="1856"/>
        <v>Smyth_2014</v>
      </c>
      <c r="N1452" t="s">
        <v>222</v>
      </c>
      <c r="O1452" s="145" t="s">
        <v>341</v>
      </c>
      <c r="Q1452" t="s">
        <v>256</v>
      </c>
      <c r="R1452" s="262" t="s">
        <v>223</v>
      </c>
      <c r="S1452" s="1" t="s">
        <v>2284</v>
      </c>
      <c r="T1452" t="s">
        <v>1154</v>
      </c>
      <c r="U1452" s="264" t="s">
        <v>2290</v>
      </c>
      <c r="V1452">
        <v>0</v>
      </c>
      <c r="W1452">
        <v>0</v>
      </c>
      <c r="X1452">
        <v>0</v>
      </c>
      <c r="Y1452">
        <v>1</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s="141">
        <f t="shared" si="1895"/>
        <v>1</v>
      </c>
      <c r="AY1452" s="141">
        <f t="shared" si="1896"/>
        <v>1</v>
      </c>
      <c r="AZ1452">
        <f t="shared" si="1897"/>
        <v>1</v>
      </c>
      <c r="BA1452">
        <f t="shared" si="1898"/>
        <v>0</v>
      </c>
      <c r="BB1452">
        <f t="shared" si="1899"/>
        <v>0</v>
      </c>
      <c r="BC1452">
        <f t="shared" si="1900"/>
        <v>0</v>
      </c>
      <c r="BD1452">
        <f t="shared" si="1901"/>
        <v>0</v>
      </c>
      <c r="BE1452" t="str">
        <f t="array" ref="BE1452">IF(AY1452=1,INDEX($V$7:$AL$7,MATCH(TRUE,INDEX($V1452:$AW1452&lt;&gt;0,),0)),IF(AY1452=0,INDEX($AM$7:$AW$7,MATCH(1,$AM1452:$AW1452,0)),IF(BF1452="Multiple strategies","mixed drivers",IF(BF1452="Supply chain","multiple supply","multiple silviculture"))))</f>
        <v xml:space="preserve">cutting intensity </v>
      </c>
      <c r="BF1452" s="2" t="str" cm="1">
        <f t="array" ref="BF1452">IF(COUNTIF(AZ1452:BB1452,"&lt;&gt;0")=1,INDEX($V$4:$AW$4,MATCH(TRUE,INDEX($V1452:$AW1452&lt;&gt;0,),0)),IF(COUNTIF(AZ1452:BB1452,"&lt;&gt;0")=0,INDEX($AM$4:$AW$4,MATCH(1,$AM1452:$AW1452,0)),"Multiple strategies"))</f>
        <v>Silviculture for removals</v>
      </c>
      <c r="BG1452" s="1" t="s">
        <v>321</v>
      </c>
      <c r="BH1452" t="s">
        <v>2286</v>
      </c>
      <c r="BI1452" t="s">
        <v>1035</v>
      </c>
      <c r="BJ1452" t="s">
        <v>2287</v>
      </c>
      <c r="BK1452">
        <v>0</v>
      </c>
      <c r="BL1452">
        <v>0.62</v>
      </c>
      <c r="BN1452">
        <f t="shared" si="1902"/>
        <v>0.62</v>
      </c>
      <c r="BO1452">
        <f t="shared" si="1903"/>
        <v>2692140.6860616589</v>
      </c>
      <c r="BP1452" t="s">
        <v>232</v>
      </c>
      <c r="BQ1452" s="267" t="s">
        <v>783</v>
      </c>
      <c r="BR1452" s="264" t="s">
        <v>3243</v>
      </c>
      <c r="BU1452" s="144"/>
      <c r="BV1452">
        <f>-108.8/35</f>
        <v>-3.1085714285714285</v>
      </c>
      <c r="BX1452">
        <f t="shared" si="1904"/>
        <v>-3108571.4285714286</v>
      </c>
      <c r="BY1452">
        <f t="shared" si="1926"/>
        <v>-1.1546838709677418</v>
      </c>
      <c r="BZ1452">
        <v>0</v>
      </c>
      <c r="CA1452">
        <v>1</v>
      </c>
      <c r="CB1452">
        <v>1</v>
      </c>
      <c r="CC1452">
        <v>1</v>
      </c>
      <c r="CD1452">
        <v>0</v>
      </c>
      <c r="CE1452">
        <v>0</v>
      </c>
      <c r="CF1452">
        <v>0</v>
      </c>
      <c r="CG1452">
        <v>0</v>
      </c>
      <c r="CH1452">
        <v>0</v>
      </c>
      <c r="CI1452">
        <v>0</v>
      </c>
      <c r="CJ1452">
        <v>0</v>
      </c>
      <c r="CK1452">
        <v>0</v>
      </c>
      <c r="CL1452">
        <v>0</v>
      </c>
      <c r="CM1452">
        <v>0</v>
      </c>
      <c r="CN1452" t="str">
        <f>IF($BL1452&lt;$BK1452,"refNeedCorrection","refOK")</f>
        <v>refOK</v>
      </c>
      <c r="CO1452">
        <f t="shared" si="1906"/>
        <v>0</v>
      </c>
      <c r="CP1452">
        <f t="shared" si="1907"/>
        <v>0.62</v>
      </c>
      <c r="CQ1452">
        <f t="shared" si="1908"/>
        <v>2692140.6860616589</v>
      </c>
      <c r="CR1452">
        <f t="shared" si="1909"/>
        <v>0</v>
      </c>
      <c r="CS1452">
        <f t="shared" si="1910"/>
        <v>0</v>
      </c>
      <c r="CT1452">
        <f t="shared" si="1911"/>
        <v>-3108571.4285714286</v>
      </c>
      <c r="CU1452">
        <f t="shared" si="1912"/>
        <v>-1.1546838709677418</v>
      </c>
      <c r="CV1452" s="2" t="str">
        <f t="shared" si="1913"/>
        <v/>
      </c>
      <c r="CW1452" s="1" t="s">
        <v>1202</v>
      </c>
      <c r="CX1452" t="str">
        <f t="shared" si="1914"/>
        <v>reg</v>
      </c>
      <c r="CY1452" t="s">
        <v>540</v>
      </c>
      <c r="CZ1452">
        <v>2015</v>
      </c>
      <c r="DA1452">
        <v>2050</v>
      </c>
      <c r="DB1452">
        <v>35</v>
      </c>
      <c r="DC1452" t="str">
        <f t="shared" si="1915"/>
        <v>31-70</v>
      </c>
      <c r="DD1452">
        <v>0</v>
      </c>
      <c r="DE1452">
        <v>1</v>
      </c>
      <c r="DF1452">
        <v>1</v>
      </c>
      <c r="DG1452">
        <v>1</v>
      </c>
      <c r="DI1452">
        <f t="shared" si="1916"/>
        <v>3</v>
      </c>
      <c r="DJ1452" t="str">
        <f t="shared" si="1917"/>
        <v>mixedProduct</v>
      </c>
      <c r="DK1452">
        <f t="shared" si="1918"/>
        <v>0</v>
      </c>
      <c r="DL1452" t="str">
        <f t="shared" si="1919"/>
        <v>Energy</v>
      </c>
      <c r="DM1452" t="str">
        <f t="shared" si="1920"/>
        <v>Pulp/Paper</v>
      </c>
      <c r="DN1452" t="str">
        <f t="shared" si="1921"/>
        <v>Timber</v>
      </c>
      <c r="DO1452">
        <v>0</v>
      </c>
      <c r="DP1452">
        <v>0</v>
      </c>
      <c r="DR1452">
        <v>0</v>
      </c>
      <c r="DS1452">
        <v>0</v>
      </c>
      <c r="DT1452">
        <f t="shared" si="1922"/>
        <v>0</v>
      </c>
      <c r="DU1452" s="143" t="str">
        <f t="shared" si="1923"/>
        <v>explicit C balance</v>
      </c>
      <c r="DV1452">
        <v>1</v>
      </c>
      <c r="DW1452">
        <v>1</v>
      </c>
      <c r="DX1452">
        <v>1</v>
      </c>
      <c r="DY1452">
        <v>0</v>
      </c>
      <c r="DZ1452">
        <v>0</v>
      </c>
      <c r="EA1452">
        <v>0</v>
      </c>
      <c r="EB1452">
        <v>0</v>
      </c>
      <c r="EC1452">
        <v>0</v>
      </c>
      <c r="ED1452">
        <v>0</v>
      </c>
      <c r="EE1452">
        <v>0</v>
      </c>
      <c r="EF1452">
        <v>1</v>
      </c>
      <c r="EG1452">
        <v>0</v>
      </c>
      <c r="EH1452">
        <v>0</v>
      </c>
      <c r="EI1452" s="2">
        <v>0</v>
      </c>
      <c r="EK1452" t="str">
        <f t="shared" si="1924"/>
        <v/>
      </c>
      <c r="EL1452" t="str">
        <f t="shared" si="1925"/>
        <v>Ecosystem approach</v>
      </c>
      <c r="EM1452" s="2" t="str">
        <f t="shared" ref="EM1452:EM1515" si="1927">IF(AND(AND(AND($DX1452=0,$DW1452=0),OR($EC1452=1,$EA1452=1)),SUM($EB1452:$EE1452)&gt;=2),"Technology approach","")</f>
        <v/>
      </c>
      <c r="EP1452" t="str">
        <f>IF(ISNUMBER(BU1452),IF(ABS(BU1452-[3]QC_indicators!$B$2)&gt;3*[3]QC_indicators!$C$2,"C ratio",IF(ISNUMBER(BY1452),IF(ABS(BY1452-[3]QC_indicators!$B$1)&gt;3*[3]QC_indicators!$C$1,"DF","no"))),IF(ISNUMBER(BY1452),IF(ABS(BY1452-[3]QC_indicators!$B$1)&gt;3*[3]QC_indicators!$C$1,"DF","no")))</f>
        <v>no</v>
      </c>
      <c r="ER1452" t="s">
        <v>2288</v>
      </c>
      <c r="ET1452" s="268" t="s">
        <v>3241</v>
      </c>
    </row>
    <row r="1453" spans="1:150" ht="15" hidden="1" customHeight="1">
      <c r="A1453" s="1" t="s">
        <v>2113</v>
      </c>
      <c r="B1453" t="s">
        <v>544</v>
      </c>
      <c r="C1453" t="s">
        <v>2276</v>
      </c>
      <c r="D1453" t="s">
        <v>2277</v>
      </c>
      <c r="E1453" t="s">
        <v>2278</v>
      </c>
      <c r="F1453" t="s">
        <v>2279</v>
      </c>
      <c r="G1453" t="s">
        <v>2114</v>
      </c>
      <c r="H1453" t="s">
        <v>254</v>
      </c>
      <c r="I1453">
        <v>2014</v>
      </c>
      <c r="J1453">
        <v>96</v>
      </c>
      <c r="K1453" t="s">
        <v>2280</v>
      </c>
      <c r="M1453" t="str">
        <f t="shared" si="1856"/>
        <v>Smyth_2014</v>
      </c>
      <c r="N1453" t="s">
        <v>222</v>
      </c>
      <c r="O1453" s="145" t="s">
        <v>341</v>
      </c>
      <c r="Q1453" t="s">
        <v>256</v>
      </c>
      <c r="R1453" s="262" t="s">
        <v>223</v>
      </c>
      <c r="S1453" s="1" t="s">
        <v>2294</v>
      </c>
      <c r="T1453" t="s">
        <v>2295</v>
      </c>
      <c r="U1453" t="s">
        <v>1154</v>
      </c>
      <c r="V1453">
        <v>1</v>
      </c>
      <c r="W1453">
        <v>0</v>
      </c>
      <c r="X1453">
        <v>0</v>
      </c>
      <c r="Y1453">
        <v>2</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s="141">
        <f t="shared" si="1895"/>
        <v>2</v>
      </c>
      <c r="AY1453" s="141">
        <f t="shared" si="1896"/>
        <v>2</v>
      </c>
      <c r="AZ1453">
        <f t="shared" si="1897"/>
        <v>2</v>
      </c>
      <c r="BA1453">
        <f t="shared" si="1898"/>
        <v>0</v>
      </c>
      <c r="BB1453">
        <f t="shared" si="1899"/>
        <v>0</v>
      </c>
      <c r="BC1453">
        <f t="shared" si="1900"/>
        <v>0</v>
      </c>
      <c r="BD1453">
        <f t="shared" si="1901"/>
        <v>0</v>
      </c>
      <c r="BE1453" t="str">
        <f t="array" ref="BE1453">IF(AY1453=1,INDEX($V$7:$AL$7,MATCH(TRUE,INDEX($V1453:$AW1453&lt;&gt;0,),0)),IF(AY1453=0,INDEX($AM$7:$AW$7,MATCH(1,$AM1453:$AW1453,0)),IF(BF1453="Multiple strategies","mixed drivers",IF(BF1453="Supply chain","multiple supply","multiple silviculture"))))</f>
        <v>multiple silviculture</v>
      </c>
      <c r="BF1453" s="2" t="str" cm="1">
        <f t="array" ref="BF1453">IF(COUNTIF(AZ1453:BB1453,"&lt;&gt;0")=1,INDEX($V$4:$AW$4,MATCH(TRUE,INDEX($V1453:$AW1453&lt;&gt;0,),0)),IF(COUNTIF(AZ1453:BB1453,"&lt;&gt;0")=0,INDEX($AM$4:$AW$4,MATCH(1,$AM1453:$AW1453,0)),"Multiple strategies"))</f>
        <v>Silviculture for removals</v>
      </c>
      <c r="BG1453" s="1" t="s">
        <v>321</v>
      </c>
      <c r="BH1453" t="s">
        <v>2296</v>
      </c>
      <c r="BI1453" t="s">
        <v>1035</v>
      </c>
      <c r="BJ1453" t="s">
        <v>2287</v>
      </c>
      <c r="BK1453">
        <v>-1.41</v>
      </c>
      <c r="BL1453">
        <v>0</v>
      </c>
      <c r="BN1453">
        <f t="shared" si="1902"/>
        <v>1.41</v>
      </c>
      <c r="BO1453">
        <f t="shared" si="1903"/>
        <v>6122448.9795918372</v>
      </c>
      <c r="BP1453" t="s">
        <v>232</v>
      </c>
      <c r="BQ1453" s="267" t="s">
        <v>783</v>
      </c>
      <c r="BR1453" s="264" t="s">
        <v>3243</v>
      </c>
      <c r="BU1453" s="144"/>
      <c r="BV1453">
        <f>-205/35</f>
        <v>-5.8571428571428568</v>
      </c>
      <c r="BX1453">
        <f t="shared" si="1904"/>
        <v>-5857142.8571428563</v>
      </c>
      <c r="BY1453">
        <f t="shared" si="1926"/>
        <v>-0.95666666666666644</v>
      </c>
      <c r="BZ1453">
        <v>0</v>
      </c>
      <c r="CA1453">
        <v>1</v>
      </c>
      <c r="CB1453">
        <v>1</v>
      </c>
      <c r="CC1453">
        <v>1</v>
      </c>
      <c r="CD1453">
        <v>0</v>
      </c>
      <c r="CE1453">
        <v>0</v>
      </c>
      <c r="CF1453">
        <v>0</v>
      </c>
      <c r="CG1453">
        <v>0</v>
      </c>
      <c r="CH1453">
        <v>0</v>
      </c>
      <c r="CI1453">
        <v>0</v>
      </c>
      <c r="CJ1453">
        <v>0</v>
      </c>
      <c r="CK1453">
        <v>0</v>
      </c>
      <c r="CL1453">
        <v>0</v>
      </c>
      <c r="CM1453">
        <v>0</v>
      </c>
      <c r="CN1453" t="str">
        <f>IF(BL1453&lt;BK1453,"refNeedCorrection","refOK")</f>
        <v>refOK</v>
      </c>
      <c r="CO1453">
        <f t="shared" si="1906"/>
        <v>-1.41</v>
      </c>
      <c r="CP1453">
        <f t="shared" si="1907"/>
        <v>0</v>
      </c>
      <c r="CQ1453">
        <f t="shared" si="1908"/>
        <v>6122448.9795918372</v>
      </c>
      <c r="CR1453">
        <f t="shared" si="1909"/>
        <v>0</v>
      </c>
      <c r="CS1453">
        <f t="shared" si="1910"/>
        <v>0</v>
      </c>
      <c r="CT1453">
        <f t="shared" si="1911"/>
        <v>-5857142.8571428563</v>
      </c>
      <c r="CU1453">
        <f t="shared" si="1912"/>
        <v>-0.95666666666666644</v>
      </c>
      <c r="CV1453" s="2" t="str">
        <f t="shared" si="1913"/>
        <v/>
      </c>
      <c r="CW1453" s="1" t="s">
        <v>1202</v>
      </c>
      <c r="CX1453" t="str">
        <f t="shared" si="1914"/>
        <v>reg</v>
      </c>
      <c r="CY1453" t="s">
        <v>540</v>
      </c>
      <c r="CZ1453">
        <v>2015</v>
      </c>
      <c r="DA1453">
        <v>2050</v>
      </c>
      <c r="DB1453">
        <v>35</v>
      </c>
      <c r="DC1453" t="str">
        <f t="shared" si="1915"/>
        <v>31-70</v>
      </c>
      <c r="DD1453">
        <v>0</v>
      </c>
      <c r="DE1453">
        <v>1</v>
      </c>
      <c r="DF1453">
        <v>1</v>
      </c>
      <c r="DG1453">
        <v>1</v>
      </c>
      <c r="DI1453">
        <f t="shared" si="1916"/>
        <v>3</v>
      </c>
      <c r="DJ1453" t="str">
        <f t="shared" si="1917"/>
        <v>mixedProduct</v>
      </c>
      <c r="DK1453">
        <f t="shared" si="1918"/>
        <v>0</v>
      </c>
      <c r="DL1453" t="str">
        <f t="shared" si="1919"/>
        <v>Energy</v>
      </c>
      <c r="DM1453" t="str">
        <f t="shared" si="1920"/>
        <v>Pulp/Paper</v>
      </c>
      <c r="DN1453" t="str">
        <f t="shared" si="1921"/>
        <v>Timber</v>
      </c>
      <c r="DO1453">
        <v>1</v>
      </c>
      <c r="DP1453">
        <v>1</v>
      </c>
      <c r="DQ1453" t="s">
        <v>2283</v>
      </c>
      <c r="DR1453">
        <v>0</v>
      </c>
      <c r="DS1453">
        <v>0</v>
      </c>
      <c r="DT1453">
        <f t="shared" si="1922"/>
        <v>2</v>
      </c>
      <c r="DU1453" s="143" t="str">
        <f t="shared" si="1923"/>
        <v>self-calculated DF</v>
      </c>
      <c r="DV1453">
        <v>1</v>
      </c>
      <c r="DW1453">
        <v>1</v>
      </c>
      <c r="DX1453">
        <v>1</v>
      </c>
      <c r="DY1453">
        <v>1</v>
      </c>
      <c r="DZ1453">
        <v>1</v>
      </c>
      <c r="EA1453">
        <v>1</v>
      </c>
      <c r="EB1453">
        <v>0</v>
      </c>
      <c r="EC1453">
        <v>0</v>
      </c>
      <c r="ED1453">
        <v>0</v>
      </c>
      <c r="EE1453">
        <v>0</v>
      </c>
      <c r="EF1453">
        <v>1</v>
      </c>
      <c r="EG1453">
        <v>0</v>
      </c>
      <c r="EH1453">
        <v>0</v>
      </c>
      <c r="EI1453" s="2">
        <v>0</v>
      </c>
      <c r="EK1453" t="str">
        <f t="shared" si="1924"/>
        <v/>
      </c>
      <c r="EL1453" t="str">
        <f t="shared" si="1925"/>
        <v/>
      </c>
      <c r="EM1453" s="2" t="str">
        <f t="shared" si="1927"/>
        <v/>
      </c>
      <c r="EN1453" t="s">
        <v>2297</v>
      </c>
      <c r="EP1453" t="str">
        <f>IF(ISNUMBER(BU1453),IF(ABS(BU1453-[3]QC_indicators!$B$2)&gt;3*[3]QC_indicators!$C$2,"C ratio",IF(ISNUMBER(BY1453),IF(ABS(BY1453-[3]QC_indicators!$B$1)&gt;3*[3]QC_indicators!$C$1,"DF","no"))),IF(ISNUMBER(BY1453),IF(ABS(BY1453-[3]QC_indicators!$B$1)&gt;3*[3]QC_indicators!$C$1,"DF","no")))</f>
        <v>no</v>
      </c>
      <c r="ER1453" t="s">
        <v>2298</v>
      </c>
      <c r="ET1453" s="268" t="s">
        <v>3241</v>
      </c>
    </row>
    <row r="1454" spans="1:150" ht="15" hidden="1" customHeight="1">
      <c r="A1454" s="1" t="s">
        <v>2113</v>
      </c>
      <c r="B1454" t="s">
        <v>544</v>
      </c>
      <c r="C1454" t="s">
        <v>2276</v>
      </c>
      <c r="D1454" t="s">
        <v>2277</v>
      </c>
      <c r="E1454" t="s">
        <v>2278</v>
      </c>
      <c r="F1454" t="s">
        <v>2279</v>
      </c>
      <c r="G1454" t="s">
        <v>2114</v>
      </c>
      <c r="H1454" t="s">
        <v>254</v>
      </c>
      <c r="I1454">
        <v>2014</v>
      </c>
      <c r="J1454">
        <v>96</v>
      </c>
      <c r="K1454" t="s">
        <v>2280</v>
      </c>
      <c r="M1454" t="str">
        <f t="shared" si="1856"/>
        <v>Smyth_2014</v>
      </c>
      <c r="N1454" t="s">
        <v>222</v>
      </c>
      <c r="O1454" s="145" t="s">
        <v>341</v>
      </c>
      <c r="Q1454" t="s">
        <v>256</v>
      </c>
      <c r="R1454" s="262" t="s">
        <v>223</v>
      </c>
      <c r="S1454" s="1" t="s">
        <v>2301</v>
      </c>
      <c r="T1454" t="s">
        <v>1154</v>
      </c>
      <c r="U1454" t="s">
        <v>2302</v>
      </c>
      <c r="V1454">
        <v>0</v>
      </c>
      <c r="W1454">
        <v>0</v>
      </c>
      <c r="X1454">
        <v>0</v>
      </c>
      <c r="Y1454">
        <v>1</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s="141">
        <f t="shared" si="1895"/>
        <v>1</v>
      </c>
      <c r="AY1454" s="141">
        <f t="shared" si="1896"/>
        <v>1</v>
      </c>
      <c r="AZ1454">
        <f t="shared" si="1897"/>
        <v>1</v>
      </c>
      <c r="BA1454">
        <f t="shared" si="1898"/>
        <v>0</v>
      </c>
      <c r="BB1454">
        <f t="shared" si="1899"/>
        <v>0</v>
      </c>
      <c r="BC1454">
        <f t="shared" si="1900"/>
        <v>0</v>
      </c>
      <c r="BD1454">
        <f t="shared" si="1901"/>
        <v>0</v>
      </c>
      <c r="BE1454" t="str">
        <f t="array" ref="BE1454">IF(AY1454=1,INDEX($V$7:$AL$7,MATCH(TRUE,INDEX($V1454:$AW1454&lt;&gt;0,),0)),IF(AY1454=0,INDEX($AM$7:$AW$7,MATCH(1,$AM1454:$AW1454,0)),IF(BF1454="Multiple strategies","mixed drivers",IF(BF1454="Supply chain","multiple supply","multiple silviculture"))))</f>
        <v xml:space="preserve">cutting intensity </v>
      </c>
      <c r="BF1454" s="2" t="str" cm="1">
        <f t="array" ref="BF1454">IF(COUNTIF(AZ1454:BB1454,"&lt;&gt;0")=1,INDEX($V$4:$AW$4,MATCH(TRUE,INDEX($V1454:$AW1454&lt;&gt;0,),0)),IF(COUNTIF(AZ1454:BB1454,"&lt;&gt;0")=0,INDEX($AM$4:$AW$4,MATCH(1,$AM1454:$AW1454,0)),"Multiple strategies"))</f>
        <v>Silviculture for removals</v>
      </c>
      <c r="BG1454" s="1" t="s">
        <v>321</v>
      </c>
      <c r="BH1454" t="s">
        <v>2286</v>
      </c>
      <c r="BI1454" t="s">
        <v>1035</v>
      </c>
      <c r="BJ1454" t="s">
        <v>2287</v>
      </c>
      <c r="BK1454">
        <v>0</v>
      </c>
      <c r="BL1454">
        <v>1.42</v>
      </c>
      <c r="BN1454">
        <f t="shared" si="1902"/>
        <v>1.42</v>
      </c>
      <c r="BO1454">
        <f t="shared" si="1903"/>
        <v>6165870.6035605734</v>
      </c>
      <c r="BP1454" t="s">
        <v>232</v>
      </c>
      <c r="BQ1454" s="267" t="s">
        <v>783</v>
      </c>
      <c r="BR1454" s="264" t="s">
        <v>3243</v>
      </c>
      <c r="BU1454" s="144"/>
      <c r="BV1454">
        <f>-194.9/35</f>
        <v>-5.5685714285714285</v>
      </c>
      <c r="BX1454">
        <f t="shared" si="1904"/>
        <v>-5568571.4285714282</v>
      </c>
      <c r="BY1454">
        <f t="shared" si="1926"/>
        <v>-0.90312816901408444</v>
      </c>
      <c r="BZ1454">
        <v>0</v>
      </c>
      <c r="CA1454">
        <v>1</v>
      </c>
      <c r="CB1454">
        <v>1</v>
      </c>
      <c r="CC1454">
        <v>1</v>
      </c>
      <c r="CD1454">
        <v>0</v>
      </c>
      <c r="CE1454">
        <v>0</v>
      </c>
      <c r="CF1454">
        <v>0</v>
      </c>
      <c r="CG1454">
        <v>0</v>
      </c>
      <c r="CH1454">
        <v>0</v>
      </c>
      <c r="CI1454">
        <v>0</v>
      </c>
      <c r="CJ1454">
        <v>0</v>
      </c>
      <c r="CK1454">
        <v>0</v>
      </c>
      <c r="CL1454">
        <v>0</v>
      </c>
      <c r="CM1454">
        <v>0</v>
      </c>
      <c r="CN1454" t="str">
        <f>IF($BL1454&lt;$BK1454,"refNeedCorrection","refOK")</f>
        <v>refOK</v>
      </c>
      <c r="CO1454">
        <f t="shared" si="1906"/>
        <v>0</v>
      </c>
      <c r="CP1454">
        <f t="shared" si="1907"/>
        <v>1.42</v>
      </c>
      <c r="CQ1454">
        <f t="shared" si="1908"/>
        <v>6165870.6035605734</v>
      </c>
      <c r="CR1454">
        <f t="shared" si="1909"/>
        <v>0</v>
      </c>
      <c r="CS1454">
        <f t="shared" si="1910"/>
        <v>0</v>
      </c>
      <c r="CT1454">
        <f t="shared" si="1911"/>
        <v>-5568571.4285714282</v>
      </c>
      <c r="CU1454">
        <f t="shared" si="1912"/>
        <v>-0.90312816901408444</v>
      </c>
      <c r="CV1454" s="2" t="str">
        <f t="shared" si="1913"/>
        <v/>
      </c>
      <c r="CW1454" s="1" t="s">
        <v>1202</v>
      </c>
      <c r="CX1454" t="str">
        <f t="shared" si="1914"/>
        <v>reg</v>
      </c>
      <c r="CY1454" t="s">
        <v>540</v>
      </c>
      <c r="CZ1454">
        <v>2015</v>
      </c>
      <c r="DA1454">
        <v>2050</v>
      </c>
      <c r="DB1454">
        <v>35</v>
      </c>
      <c r="DC1454" t="str">
        <f t="shared" si="1915"/>
        <v>31-70</v>
      </c>
      <c r="DD1454">
        <v>0</v>
      </c>
      <c r="DE1454">
        <v>1</v>
      </c>
      <c r="DF1454">
        <v>1</v>
      </c>
      <c r="DG1454">
        <v>1</v>
      </c>
      <c r="DI1454">
        <f t="shared" si="1916"/>
        <v>3</v>
      </c>
      <c r="DJ1454" t="str">
        <f t="shared" si="1917"/>
        <v>mixedProduct</v>
      </c>
      <c r="DK1454">
        <f t="shared" si="1918"/>
        <v>0</v>
      </c>
      <c r="DL1454" t="str">
        <f t="shared" si="1919"/>
        <v>Energy</v>
      </c>
      <c r="DM1454" t="str">
        <f t="shared" si="1920"/>
        <v>Pulp/Paper</v>
      </c>
      <c r="DN1454" t="str">
        <f t="shared" si="1921"/>
        <v>Timber</v>
      </c>
      <c r="DO1454">
        <v>0</v>
      </c>
      <c r="DP1454">
        <v>0</v>
      </c>
      <c r="DR1454">
        <v>0</v>
      </c>
      <c r="DS1454">
        <v>0</v>
      </c>
      <c r="DT1454">
        <f t="shared" si="1922"/>
        <v>0</v>
      </c>
      <c r="DU1454" s="143" t="str">
        <f t="shared" si="1923"/>
        <v>explicit C balance</v>
      </c>
      <c r="DV1454">
        <v>1</v>
      </c>
      <c r="DW1454">
        <v>1</v>
      </c>
      <c r="DX1454">
        <v>1</v>
      </c>
      <c r="DY1454">
        <v>0</v>
      </c>
      <c r="DZ1454">
        <v>0</v>
      </c>
      <c r="EA1454">
        <v>0</v>
      </c>
      <c r="EB1454">
        <v>0</v>
      </c>
      <c r="EC1454">
        <v>0</v>
      </c>
      <c r="ED1454">
        <v>0</v>
      </c>
      <c r="EE1454">
        <v>0</v>
      </c>
      <c r="EF1454">
        <v>1</v>
      </c>
      <c r="EG1454">
        <v>0</v>
      </c>
      <c r="EH1454">
        <v>0</v>
      </c>
      <c r="EI1454" s="2">
        <v>0</v>
      </c>
      <c r="EK1454" t="str">
        <f t="shared" si="1924"/>
        <v/>
      </c>
      <c r="EL1454" t="str">
        <f t="shared" si="1925"/>
        <v>Ecosystem approach</v>
      </c>
      <c r="EM1454" s="2" t="str">
        <f t="shared" si="1927"/>
        <v/>
      </c>
      <c r="EP1454" t="str">
        <f>IF(ISNUMBER(BU1454),IF(ABS(BU1454-[3]QC_indicators!$B$2)&gt;3*[3]QC_indicators!$C$2,"C ratio",IF(ISNUMBER(BY1454),IF(ABS(BY1454-[3]QC_indicators!$B$1)&gt;3*[3]QC_indicators!$C$1,"DF","no"))),IF(ISNUMBER(BY1454),IF(ABS(BY1454-[3]QC_indicators!$B$1)&gt;3*[3]QC_indicators!$C$1,"DF","no")))</f>
        <v>no</v>
      </c>
      <c r="ET1454" s="268" t="s">
        <v>3241</v>
      </c>
    </row>
    <row r="1455" spans="1:150" ht="15" hidden="1" customHeight="1">
      <c r="A1455" s="1" t="s">
        <v>2113</v>
      </c>
      <c r="B1455" t="s">
        <v>544</v>
      </c>
      <c r="C1455" t="s">
        <v>2276</v>
      </c>
      <c r="D1455" t="s">
        <v>2277</v>
      </c>
      <c r="E1455" t="s">
        <v>2278</v>
      </c>
      <c r="F1455" t="s">
        <v>2279</v>
      </c>
      <c r="G1455" t="s">
        <v>2114</v>
      </c>
      <c r="H1455" t="s">
        <v>254</v>
      </c>
      <c r="I1455">
        <v>2014</v>
      </c>
      <c r="J1455">
        <v>96</v>
      </c>
      <c r="K1455" t="s">
        <v>2280</v>
      </c>
      <c r="M1455" t="str">
        <f t="shared" si="1856"/>
        <v>Smyth_2014</v>
      </c>
      <c r="N1455" t="s">
        <v>222</v>
      </c>
      <c r="O1455" s="145" t="s">
        <v>341</v>
      </c>
      <c r="Q1455" t="s">
        <v>256</v>
      </c>
      <c r="R1455" s="262" t="s">
        <v>223</v>
      </c>
      <c r="S1455" s="1" t="s">
        <v>2294</v>
      </c>
      <c r="T1455" t="s">
        <v>2295</v>
      </c>
      <c r="U1455" t="s">
        <v>1154</v>
      </c>
      <c r="V1455">
        <v>1</v>
      </c>
      <c r="W1455">
        <v>0</v>
      </c>
      <c r="X1455">
        <v>0</v>
      </c>
      <c r="Y1455">
        <v>2</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s="141">
        <f t="shared" si="1895"/>
        <v>2</v>
      </c>
      <c r="AY1455" s="141">
        <f t="shared" si="1896"/>
        <v>2</v>
      </c>
      <c r="AZ1455">
        <f t="shared" si="1897"/>
        <v>2</v>
      </c>
      <c r="BA1455">
        <f t="shared" si="1898"/>
        <v>0</v>
      </c>
      <c r="BB1455">
        <f t="shared" si="1899"/>
        <v>0</v>
      </c>
      <c r="BC1455">
        <f t="shared" si="1900"/>
        <v>0</v>
      </c>
      <c r="BD1455">
        <f t="shared" si="1901"/>
        <v>0</v>
      </c>
      <c r="BE1455" t="str">
        <f t="array" ref="BE1455">IF(AY1455=1,INDEX($V$7:$AL$7,MATCH(TRUE,INDEX($V1455:$AW1455&lt;&gt;0,),0)),IF(AY1455=0,INDEX($AM$7:$AW$7,MATCH(1,$AM1455:$AW1455,0)),IF(BF1455="Multiple strategies","mixed drivers",IF(BF1455="Supply chain","multiple supply","multiple silviculture"))))</f>
        <v>multiple silviculture</v>
      </c>
      <c r="BF1455" s="2" t="str" cm="1">
        <f t="array" ref="BF1455">IF(COUNTIF(AZ1455:BB1455,"&lt;&gt;0")=1,INDEX($V$4:$AW$4,MATCH(TRUE,INDEX($V1455:$AW1455&lt;&gt;0,),0)),IF(COUNTIF(AZ1455:BB1455,"&lt;&gt;0")=0,INDEX($AM$4:$AW$4,MATCH(1,$AM1455:$AW1455,0)),"Multiple strategies"))</f>
        <v>Silviculture for removals</v>
      </c>
      <c r="BG1455" s="1" t="s">
        <v>321</v>
      </c>
      <c r="BH1455" t="s">
        <v>2296</v>
      </c>
      <c r="BI1455" t="s">
        <v>1035</v>
      </c>
      <c r="BJ1455" t="s">
        <v>2287</v>
      </c>
      <c r="BK1455">
        <v>-1.41</v>
      </c>
      <c r="BL1455">
        <v>0</v>
      </c>
      <c r="BN1455">
        <f t="shared" si="1902"/>
        <v>1.41</v>
      </c>
      <c r="BO1455">
        <f t="shared" si="1903"/>
        <v>6122448.9795918372</v>
      </c>
      <c r="BP1455" t="s">
        <v>232</v>
      </c>
      <c r="BQ1455" s="267" t="s">
        <v>783</v>
      </c>
      <c r="BR1455" s="264" t="s">
        <v>3243</v>
      </c>
      <c r="BU1455" s="144"/>
      <c r="BV1455">
        <f>-136/35</f>
        <v>-3.8857142857142857</v>
      </c>
      <c r="BX1455">
        <f t="shared" si="1904"/>
        <v>-3885714.2857142854</v>
      </c>
      <c r="BY1455">
        <f t="shared" si="1926"/>
        <v>-0.6346666666666666</v>
      </c>
      <c r="BZ1455">
        <v>0</v>
      </c>
      <c r="CA1455">
        <v>1</v>
      </c>
      <c r="CB1455">
        <v>1</v>
      </c>
      <c r="CC1455">
        <v>1</v>
      </c>
      <c r="CD1455">
        <v>0</v>
      </c>
      <c r="CE1455">
        <v>0</v>
      </c>
      <c r="CF1455">
        <v>0</v>
      </c>
      <c r="CG1455">
        <v>0</v>
      </c>
      <c r="CH1455">
        <v>0</v>
      </c>
      <c r="CI1455">
        <v>0</v>
      </c>
      <c r="CJ1455">
        <v>0</v>
      </c>
      <c r="CK1455">
        <v>0</v>
      </c>
      <c r="CL1455">
        <v>0</v>
      </c>
      <c r="CM1455">
        <v>0</v>
      </c>
      <c r="CN1455" t="str">
        <f>IF(BL1455&lt;BK1455,"refNeedCorrection","refOK")</f>
        <v>refOK</v>
      </c>
      <c r="CO1455">
        <f t="shared" si="1906"/>
        <v>-1.41</v>
      </c>
      <c r="CP1455">
        <f t="shared" si="1907"/>
        <v>0</v>
      </c>
      <c r="CQ1455">
        <f t="shared" si="1908"/>
        <v>6122448.9795918372</v>
      </c>
      <c r="CR1455">
        <f t="shared" si="1909"/>
        <v>0</v>
      </c>
      <c r="CS1455">
        <f t="shared" si="1910"/>
        <v>0</v>
      </c>
      <c r="CT1455">
        <f t="shared" si="1911"/>
        <v>-3885714.2857142854</v>
      </c>
      <c r="CU1455">
        <f t="shared" si="1912"/>
        <v>-0.6346666666666666</v>
      </c>
      <c r="CV1455" s="2" t="str">
        <f t="shared" si="1913"/>
        <v/>
      </c>
      <c r="CW1455" s="1" t="s">
        <v>1202</v>
      </c>
      <c r="CX1455" t="str">
        <f t="shared" si="1914"/>
        <v>reg</v>
      </c>
      <c r="CY1455" t="s">
        <v>540</v>
      </c>
      <c r="CZ1455">
        <v>2015</v>
      </c>
      <c r="DA1455">
        <v>2050</v>
      </c>
      <c r="DB1455">
        <v>35</v>
      </c>
      <c r="DC1455" t="str">
        <f t="shared" si="1915"/>
        <v>31-70</v>
      </c>
      <c r="DD1455">
        <v>0</v>
      </c>
      <c r="DE1455">
        <v>1</v>
      </c>
      <c r="DF1455">
        <v>1</v>
      </c>
      <c r="DG1455">
        <v>1</v>
      </c>
      <c r="DI1455">
        <f t="shared" si="1916"/>
        <v>3</v>
      </c>
      <c r="DJ1455" t="str">
        <f t="shared" si="1917"/>
        <v>mixedProduct</v>
      </c>
      <c r="DK1455">
        <f t="shared" si="1918"/>
        <v>0</v>
      </c>
      <c r="DL1455" t="str">
        <f t="shared" si="1919"/>
        <v>Energy</v>
      </c>
      <c r="DM1455" t="str">
        <f t="shared" si="1920"/>
        <v>Pulp/Paper</v>
      </c>
      <c r="DN1455" t="str">
        <f t="shared" si="1921"/>
        <v>Timber</v>
      </c>
      <c r="DO1455">
        <v>0</v>
      </c>
      <c r="DP1455">
        <v>0</v>
      </c>
      <c r="DR1455">
        <v>0</v>
      </c>
      <c r="DS1455">
        <v>0</v>
      </c>
      <c r="DT1455">
        <f t="shared" si="1922"/>
        <v>0</v>
      </c>
      <c r="DU1455" s="143" t="str">
        <f t="shared" si="1923"/>
        <v>explicit C balance</v>
      </c>
      <c r="DV1455">
        <v>1</v>
      </c>
      <c r="DW1455">
        <v>1</v>
      </c>
      <c r="DX1455">
        <v>1</v>
      </c>
      <c r="DY1455">
        <v>0</v>
      </c>
      <c r="DZ1455">
        <v>0</v>
      </c>
      <c r="EA1455">
        <v>0</v>
      </c>
      <c r="EB1455">
        <v>0</v>
      </c>
      <c r="EC1455">
        <v>0</v>
      </c>
      <c r="ED1455">
        <v>0</v>
      </c>
      <c r="EE1455">
        <v>0</v>
      </c>
      <c r="EF1455">
        <v>1</v>
      </c>
      <c r="EG1455">
        <v>0</v>
      </c>
      <c r="EH1455">
        <v>0</v>
      </c>
      <c r="EI1455" s="2">
        <v>0</v>
      </c>
      <c r="EK1455" t="str">
        <f t="shared" si="1924"/>
        <v/>
      </c>
      <c r="EL1455" t="str">
        <f t="shared" si="1925"/>
        <v>Ecosystem approach</v>
      </c>
      <c r="EM1455" s="2" t="str">
        <f t="shared" si="1927"/>
        <v/>
      </c>
      <c r="EN1455" t="s">
        <v>2297</v>
      </c>
      <c r="EP1455" t="str">
        <f>IF(ISNUMBER(BU1455),IF(ABS(BU1455-[3]QC_indicators!$B$2)&gt;3*[3]QC_indicators!$C$2,"C ratio",IF(ISNUMBER(BY1455),IF(ABS(BY1455-[3]QC_indicators!$B$1)&gt;3*[3]QC_indicators!$C$1,"DF","no"))),IF(ISNUMBER(BY1455),IF(ABS(BY1455-[3]QC_indicators!$B$1)&gt;3*[3]QC_indicators!$C$1,"DF","no")))</f>
        <v>no</v>
      </c>
      <c r="ER1455" t="s">
        <v>2298</v>
      </c>
      <c r="ET1455" s="268" t="s">
        <v>3241</v>
      </c>
    </row>
    <row r="1456" spans="1:150" ht="15" hidden="1" customHeight="1">
      <c r="A1456" s="1" t="s">
        <v>2113</v>
      </c>
      <c r="B1456" t="s">
        <v>544</v>
      </c>
      <c r="C1456" t="s">
        <v>2276</v>
      </c>
      <c r="D1456" t="s">
        <v>2277</v>
      </c>
      <c r="E1456" t="s">
        <v>2278</v>
      </c>
      <c r="F1456" t="s">
        <v>2279</v>
      </c>
      <c r="G1456" t="s">
        <v>2114</v>
      </c>
      <c r="H1456" t="s">
        <v>254</v>
      </c>
      <c r="I1456">
        <v>2014</v>
      </c>
      <c r="J1456">
        <v>96</v>
      </c>
      <c r="K1456" t="s">
        <v>2280</v>
      </c>
      <c r="M1456" t="str">
        <f t="shared" si="1856"/>
        <v>Smyth_2014</v>
      </c>
      <c r="N1456" t="s">
        <v>222</v>
      </c>
      <c r="O1456" s="145" t="s">
        <v>341</v>
      </c>
      <c r="Q1456" t="s">
        <v>256</v>
      </c>
      <c r="R1456" s="262" t="s">
        <v>223</v>
      </c>
      <c r="S1456" s="1" t="s">
        <v>2291</v>
      </c>
      <c r="T1456" t="s">
        <v>1154</v>
      </c>
      <c r="U1456" t="s">
        <v>2292</v>
      </c>
      <c r="V1456">
        <v>0</v>
      </c>
      <c r="W1456">
        <v>0</v>
      </c>
      <c r="X1456">
        <v>0</v>
      </c>
      <c r="Y1456">
        <v>1</v>
      </c>
      <c r="Z1456">
        <v>0</v>
      </c>
      <c r="AA1456">
        <v>0</v>
      </c>
      <c r="AB1456">
        <v>0</v>
      </c>
      <c r="AC1456">
        <v>0</v>
      </c>
      <c r="AD1456">
        <v>0</v>
      </c>
      <c r="AE1456">
        <v>0</v>
      </c>
      <c r="AF1456">
        <v>0</v>
      </c>
      <c r="AG1456">
        <v>0</v>
      </c>
      <c r="AH1456">
        <v>0</v>
      </c>
      <c r="AI1456">
        <v>0</v>
      </c>
      <c r="AJ1456">
        <v>2</v>
      </c>
      <c r="AK1456">
        <v>0</v>
      </c>
      <c r="AL1456">
        <v>0</v>
      </c>
      <c r="AM1456">
        <v>0</v>
      </c>
      <c r="AN1456">
        <v>0</v>
      </c>
      <c r="AO1456">
        <v>0</v>
      </c>
      <c r="AP1456">
        <v>0</v>
      </c>
      <c r="AQ1456">
        <v>0</v>
      </c>
      <c r="AR1456">
        <v>0</v>
      </c>
      <c r="AS1456">
        <v>0</v>
      </c>
      <c r="AT1456">
        <v>0</v>
      </c>
      <c r="AU1456">
        <v>0</v>
      </c>
      <c r="AV1456">
        <v>0</v>
      </c>
      <c r="AW1456">
        <v>0</v>
      </c>
      <c r="AX1456" s="141">
        <f t="shared" si="1895"/>
        <v>2</v>
      </c>
      <c r="AY1456" s="141">
        <f t="shared" si="1896"/>
        <v>2</v>
      </c>
      <c r="AZ1456">
        <f t="shared" si="1897"/>
        <v>1</v>
      </c>
      <c r="BA1456">
        <f t="shared" si="1898"/>
        <v>0</v>
      </c>
      <c r="BB1456">
        <f t="shared" si="1899"/>
        <v>1</v>
      </c>
      <c r="BC1456">
        <f t="shared" si="1900"/>
        <v>0</v>
      </c>
      <c r="BD1456">
        <f t="shared" si="1901"/>
        <v>0</v>
      </c>
      <c r="BE1456" t="str">
        <f t="array" ref="BE1456">IF(AY1456=1,INDEX($V$7:$AL$7,MATCH(TRUE,INDEX($V1456:$AW1456&lt;&gt;0,),0)),IF(AY1456=0,INDEX($AM$7:$AW$7,MATCH(1,$AM1456:$AW1456,0)),IF(BF1456="Multiple strategies","mixed drivers",IF(BF1456="Supply chain","multiple supply","multiple silviculture"))))</f>
        <v>mixed drivers</v>
      </c>
      <c r="BF1456" s="2" t="str" cm="1">
        <f t="array" ref="BF1456">IF(COUNTIF(AZ1456:BB1456,"&lt;&gt;0")=1,INDEX($V$4:$AW$4,MATCH(TRUE,INDEX($V1456:$AW1456&lt;&gt;0,),0)),IF(COUNTIF(AZ1456:BB1456,"&lt;&gt;0")=0,INDEX($AM$4:$AW$4,MATCH(1,$AM1456:$AW1456,0)),"Multiple strategies"))</f>
        <v>Multiple strategies</v>
      </c>
      <c r="BG1456" s="1" t="s">
        <v>321</v>
      </c>
      <c r="BH1456" t="s">
        <v>2293</v>
      </c>
      <c r="BI1456" s="264" t="s">
        <v>1035</v>
      </c>
      <c r="BJ1456" t="s">
        <v>2287</v>
      </c>
      <c r="BK1456">
        <v>0</v>
      </c>
      <c r="BL1456">
        <v>9.9</v>
      </c>
      <c r="BN1456">
        <f t="shared" si="1902"/>
        <v>9.9</v>
      </c>
      <c r="BO1456">
        <f t="shared" si="1903"/>
        <v>42987407.729049072</v>
      </c>
      <c r="BP1456" t="s">
        <v>232</v>
      </c>
      <c r="BQ1456" s="267" t="s">
        <v>3242</v>
      </c>
      <c r="BR1456" s="264" t="s">
        <v>3243</v>
      </c>
      <c r="BU1456" s="144"/>
      <c r="BV1456">
        <f>22.34/35</f>
        <v>0.63828571428571423</v>
      </c>
      <c r="BX1456">
        <f t="shared" si="1904"/>
        <v>638285.7142857142</v>
      </c>
      <c r="BY1456">
        <f t="shared" si="1926"/>
        <v>1.4848202020202017E-2</v>
      </c>
      <c r="BZ1456">
        <v>0</v>
      </c>
      <c r="CA1456">
        <v>1</v>
      </c>
      <c r="CB1456">
        <v>1</v>
      </c>
      <c r="CC1456">
        <v>1</v>
      </c>
      <c r="CD1456">
        <v>0</v>
      </c>
      <c r="CE1456">
        <v>0</v>
      </c>
      <c r="CF1456">
        <v>0</v>
      </c>
      <c r="CG1456">
        <v>0</v>
      </c>
      <c r="CH1456">
        <v>0</v>
      </c>
      <c r="CI1456">
        <v>0</v>
      </c>
      <c r="CJ1456">
        <v>0</v>
      </c>
      <c r="CK1456">
        <v>0</v>
      </c>
      <c r="CL1456">
        <v>0</v>
      </c>
      <c r="CM1456">
        <v>0</v>
      </c>
      <c r="CN1456" t="str">
        <f>IF($BL1456&lt;$BK1456,"refNeedCorrection","refOK")</f>
        <v>refOK</v>
      </c>
      <c r="CO1456">
        <f t="shared" si="1906"/>
        <v>0</v>
      </c>
      <c r="CP1456">
        <f t="shared" si="1907"/>
        <v>9.9</v>
      </c>
      <c r="CQ1456">
        <f t="shared" si="1908"/>
        <v>42987407.729049072</v>
      </c>
      <c r="CR1456">
        <f t="shared" si="1909"/>
        <v>0</v>
      </c>
      <c r="CS1456">
        <f t="shared" si="1910"/>
        <v>0</v>
      </c>
      <c r="CT1456">
        <f t="shared" si="1911"/>
        <v>638285.7142857142</v>
      </c>
      <c r="CU1456">
        <f t="shared" si="1912"/>
        <v>1.4848202020202017E-2</v>
      </c>
      <c r="CV1456" s="2" t="str">
        <f t="shared" si="1913"/>
        <v/>
      </c>
      <c r="CW1456" s="1" t="s">
        <v>1202</v>
      </c>
      <c r="CX1456" t="str">
        <f t="shared" si="1914"/>
        <v>reg</v>
      </c>
      <c r="CY1456" t="s">
        <v>540</v>
      </c>
      <c r="CZ1456">
        <v>2015</v>
      </c>
      <c r="DA1456">
        <v>2050</v>
      </c>
      <c r="DB1456">
        <v>35</v>
      </c>
      <c r="DC1456" t="str">
        <f t="shared" si="1915"/>
        <v>31-70</v>
      </c>
      <c r="DD1456">
        <v>0</v>
      </c>
      <c r="DE1456">
        <v>1</v>
      </c>
      <c r="DF1456">
        <v>1</v>
      </c>
      <c r="DG1456">
        <v>1</v>
      </c>
      <c r="DI1456">
        <f t="shared" si="1916"/>
        <v>3</v>
      </c>
      <c r="DJ1456" t="str">
        <f t="shared" si="1917"/>
        <v>mixedProduct</v>
      </c>
      <c r="DK1456">
        <f t="shared" si="1918"/>
        <v>0</v>
      </c>
      <c r="DL1456" t="str">
        <f t="shared" si="1919"/>
        <v>Energy</v>
      </c>
      <c r="DM1456" t="str">
        <f t="shared" si="1920"/>
        <v>Pulp/Paper</v>
      </c>
      <c r="DN1456" t="str">
        <f t="shared" si="1921"/>
        <v>Timber</v>
      </c>
      <c r="DO1456">
        <v>0</v>
      </c>
      <c r="DP1456">
        <v>0</v>
      </c>
      <c r="DR1456">
        <v>0</v>
      </c>
      <c r="DS1456">
        <v>0</v>
      </c>
      <c r="DT1456">
        <f t="shared" si="1922"/>
        <v>0</v>
      </c>
      <c r="DU1456" s="143" t="str">
        <f t="shared" si="1923"/>
        <v>explicit C balance</v>
      </c>
      <c r="DV1456">
        <v>1</v>
      </c>
      <c r="DW1456">
        <v>1</v>
      </c>
      <c r="DX1456">
        <v>1</v>
      </c>
      <c r="DY1456">
        <v>1</v>
      </c>
      <c r="DZ1456">
        <v>1</v>
      </c>
      <c r="EA1456">
        <v>0</v>
      </c>
      <c r="EB1456">
        <v>0</v>
      </c>
      <c r="EC1456">
        <v>0</v>
      </c>
      <c r="ED1456">
        <v>0</v>
      </c>
      <c r="EE1456">
        <v>0</v>
      </c>
      <c r="EF1456">
        <v>1</v>
      </c>
      <c r="EG1456">
        <v>0</v>
      </c>
      <c r="EH1456">
        <v>0</v>
      </c>
      <c r="EI1456" s="2">
        <v>0</v>
      </c>
      <c r="EK1456" t="str">
        <f t="shared" si="1924"/>
        <v/>
      </c>
      <c r="EL1456" t="str">
        <f t="shared" si="1925"/>
        <v>Ecosystem approach</v>
      </c>
      <c r="EM1456" s="2" t="str">
        <f t="shared" si="1927"/>
        <v/>
      </c>
      <c r="EP1456" t="str">
        <f>IF(ISNUMBER(BU1456),IF(ABS(BU1456-[3]QC_indicators!$B$2)&gt;3*[3]QC_indicators!$C$2,"C ratio",IF(ISNUMBER(BY1456),IF(ABS(BY1456-[3]QC_indicators!$B$1)&gt;3*[3]QC_indicators!$C$1,"DF","no"))),IF(ISNUMBER(BY1456),IF(ABS(BY1456-[3]QC_indicators!$B$1)&gt;3*[3]QC_indicators!$C$1,"DF","no")))</f>
        <v>no</v>
      </c>
      <c r="ET1456" s="268" t="s">
        <v>3241</v>
      </c>
    </row>
    <row r="1457" spans="1:150" ht="15" hidden="1" customHeight="1">
      <c r="A1457" s="1" t="s">
        <v>2113</v>
      </c>
      <c r="B1457" t="s">
        <v>544</v>
      </c>
      <c r="C1457" t="s">
        <v>2276</v>
      </c>
      <c r="D1457" t="s">
        <v>2277</v>
      </c>
      <c r="E1457" t="s">
        <v>2278</v>
      </c>
      <c r="F1457" t="s">
        <v>2279</v>
      </c>
      <c r="G1457" t="s">
        <v>2114</v>
      </c>
      <c r="H1457" t="s">
        <v>254</v>
      </c>
      <c r="I1457">
        <v>2014</v>
      </c>
      <c r="J1457">
        <v>96</v>
      </c>
      <c r="K1457" t="s">
        <v>2280</v>
      </c>
      <c r="M1457" t="str">
        <f t="shared" si="1856"/>
        <v>Smyth_2014</v>
      </c>
      <c r="N1457" t="s">
        <v>222</v>
      </c>
      <c r="O1457" s="145" t="s">
        <v>341</v>
      </c>
      <c r="Q1457" t="s">
        <v>256</v>
      </c>
      <c r="R1457" s="262" t="s">
        <v>223</v>
      </c>
      <c r="S1457" s="1" t="s">
        <v>2291</v>
      </c>
      <c r="T1457" t="s">
        <v>1154</v>
      </c>
      <c r="U1457" t="s">
        <v>2292</v>
      </c>
      <c r="V1457">
        <v>0</v>
      </c>
      <c r="W1457">
        <v>0</v>
      </c>
      <c r="X1457">
        <v>0</v>
      </c>
      <c r="Y1457">
        <v>1</v>
      </c>
      <c r="Z1457">
        <v>0</v>
      </c>
      <c r="AA1457">
        <v>0</v>
      </c>
      <c r="AB1457">
        <v>0</v>
      </c>
      <c r="AC1457">
        <v>0</v>
      </c>
      <c r="AD1457">
        <v>0</v>
      </c>
      <c r="AE1457">
        <v>0</v>
      </c>
      <c r="AF1457">
        <v>0</v>
      </c>
      <c r="AG1457">
        <v>0</v>
      </c>
      <c r="AH1457">
        <v>0</v>
      </c>
      <c r="AI1457">
        <v>0</v>
      </c>
      <c r="AJ1457">
        <v>2</v>
      </c>
      <c r="AK1457">
        <v>0</v>
      </c>
      <c r="AL1457">
        <v>0</v>
      </c>
      <c r="AM1457">
        <v>0</v>
      </c>
      <c r="AN1457">
        <v>0</v>
      </c>
      <c r="AO1457">
        <v>0</v>
      </c>
      <c r="AP1457">
        <v>0</v>
      </c>
      <c r="AQ1457">
        <v>0</v>
      </c>
      <c r="AR1457">
        <v>0</v>
      </c>
      <c r="AS1457">
        <v>0</v>
      </c>
      <c r="AT1457">
        <v>0</v>
      </c>
      <c r="AU1457">
        <v>0</v>
      </c>
      <c r="AV1457">
        <v>0</v>
      </c>
      <c r="AW1457">
        <v>0</v>
      </c>
      <c r="AX1457" s="141">
        <f t="shared" si="1895"/>
        <v>2</v>
      </c>
      <c r="AY1457" s="141">
        <f t="shared" si="1896"/>
        <v>2</v>
      </c>
      <c r="AZ1457">
        <f t="shared" si="1897"/>
        <v>1</v>
      </c>
      <c r="BA1457">
        <f t="shared" si="1898"/>
        <v>0</v>
      </c>
      <c r="BB1457">
        <f t="shared" si="1899"/>
        <v>1</v>
      </c>
      <c r="BC1457">
        <f t="shared" si="1900"/>
        <v>0</v>
      </c>
      <c r="BD1457">
        <f t="shared" si="1901"/>
        <v>0</v>
      </c>
      <c r="BE1457" t="str">
        <f t="array" ref="BE1457">IF(AY1457=1,INDEX($V$7:$AL$7,MATCH(TRUE,INDEX($V1457:$AW1457&lt;&gt;0,),0)),IF(AY1457=0,INDEX($AM$7:$AW$7,MATCH(1,$AM1457:$AW1457,0)),IF(BF1457="Multiple strategies","mixed drivers",IF(BF1457="Supply chain","multiple supply","multiple silviculture"))))</f>
        <v>mixed drivers</v>
      </c>
      <c r="BF1457" s="2" t="str" cm="1">
        <f t="array" ref="BF1457">IF(COUNTIF(AZ1457:BB1457,"&lt;&gt;0")=1,INDEX($V$4:$AW$4,MATCH(TRUE,INDEX($V1457:$AW1457&lt;&gt;0,),0)),IF(COUNTIF(AZ1457:BB1457,"&lt;&gt;0")=0,INDEX($AM$4:$AW$4,MATCH(1,$AM1457:$AW1457,0)),"Multiple strategies"))</f>
        <v>Multiple strategies</v>
      </c>
      <c r="BG1457" s="1" t="s">
        <v>321</v>
      </c>
      <c r="BH1457" t="s">
        <v>2293</v>
      </c>
      <c r="BI1457" s="264" t="s">
        <v>1035</v>
      </c>
      <c r="BJ1457" t="s">
        <v>2287</v>
      </c>
      <c r="BK1457">
        <v>0</v>
      </c>
      <c r="BL1457">
        <v>9.9</v>
      </c>
      <c r="BN1457">
        <f t="shared" si="1902"/>
        <v>9.9</v>
      </c>
      <c r="BO1457">
        <f t="shared" si="1903"/>
        <v>42987407.729049072</v>
      </c>
      <c r="BP1457" t="s">
        <v>232</v>
      </c>
      <c r="BQ1457" s="267" t="s">
        <v>3242</v>
      </c>
      <c r="BR1457" s="264" t="s">
        <v>3243</v>
      </c>
      <c r="BU1457" s="144"/>
      <c r="BV1457">
        <f>511/35</f>
        <v>14.6</v>
      </c>
      <c r="BX1457">
        <f t="shared" si="1904"/>
        <v>14600000</v>
      </c>
      <c r="BY1457">
        <f t="shared" si="1926"/>
        <v>0.3396343434343434</v>
      </c>
      <c r="BZ1457">
        <v>0</v>
      </c>
      <c r="CA1457">
        <v>1</v>
      </c>
      <c r="CB1457">
        <v>1</v>
      </c>
      <c r="CC1457">
        <v>1</v>
      </c>
      <c r="CD1457">
        <v>0</v>
      </c>
      <c r="CE1457">
        <v>0</v>
      </c>
      <c r="CF1457">
        <v>0</v>
      </c>
      <c r="CG1457">
        <v>0</v>
      </c>
      <c r="CH1457">
        <v>0</v>
      </c>
      <c r="CI1457">
        <v>0</v>
      </c>
      <c r="CJ1457">
        <v>0</v>
      </c>
      <c r="CK1457">
        <v>0</v>
      </c>
      <c r="CL1457">
        <v>0</v>
      </c>
      <c r="CM1457">
        <v>0</v>
      </c>
      <c r="CN1457" t="str">
        <f>IF($BL1457&lt;$BK1457,"refNeedCorrection","refOK")</f>
        <v>refOK</v>
      </c>
      <c r="CO1457">
        <f t="shared" si="1906"/>
        <v>0</v>
      </c>
      <c r="CP1457">
        <f t="shared" si="1907"/>
        <v>9.9</v>
      </c>
      <c r="CQ1457">
        <f t="shared" si="1908"/>
        <v>42987407.729049072</v>
      </c>
      <c r="CR1457">
        <f t="shared" si="1909"/>
        <v>0</v>
      </c>
      <c r="CS1457">
        <f t="shared" si="1910"/>
        <v>0</v>
      </c>
      <c r="CT1457">
        <f t="shared" si="1911"/>
        <v>14600000</v>
      </c>
      <c r="CU1457">
        <f t="shared" si="1912"/>
        <v>0.3396343434343434</v>
      </c>
      <c r="CV1457" s="2" t="str">
        <f t="shared" si="1913"/>
        <v/>
      </c>
      <c r="CW1457" s="1" t="s">
        <v>1202</v>
      </c>
      <c r="CX1457" t="str">
        <f t="shared" si="1914"/>
        <v>reg</v>
      </c>
      <c r="CY1457" t="s">
        <v>540</v>
      </c>
      <c r="CZ1457">
        <v>2015</v>
      </c>
      <c r="DA1457">
        <v>2050</v>
      </c>
      <c r="DB1457">
        <v>35</v>
      </c>
      <c r="DC1457" t="str">
        <f t="shared" si="1915"/>
        <v>31-70</v>
      </c>
      <c r="DD1457">
        <v>0</v>
      </c>
      <c r="DE1457">
        <v>1</v>
      </c>
      <c r="DF1457">
        <v>1</v>
      </c>
      <c r="DG1457">
        <v>1</v>
      </c>
      <c r="DI1457">
        <f t="shared" si="1916"/>
        <v>3</v>
      </c>
      <c r="DJ1457" t="str">
        <f t="shared" si="1917"/>
        <v>mixedProduct</v>
      </c>
      <c r="DK1457">
        <f t="shared" si="1918"/>
        <v>0</v>
      </c>
      <c r="DL1457" t="str">
        <f t="shared" si="1919"/>
        <v>Energy</v>
      </c>
      <c r="DM1457" t="str">
        <f t="shared" si="1920"/>
        <v>Pulp/Paper</v>
      </c>
      <c r="DN1457" t="str">
        <f t="shared" si="1921"/>
        <v>Timber</v>
      </c>
      <c r="DO1457">
        <v>1</v>
      </c>
      <c r="DP1457">
        <v>1</v>
      </c>
      <c r="DQ1457" t="s">
        <v>2283</v>
      </c>
      <c r="DR1457">
        <v>0</v>
      </c>
      <c r="DS1457">
        <v>0</v>
      </c>
      <c r="DT1457">
        <f t="shared" si="1922"/>
        <v>2</v>
      </c>
      <c r="DU1457" s="143" t="str">
        <f t="shared" si="1923"/>
        <v>self-calculated DF</v>
      </c>
      <c r="DV1457">
        <v>1</v>
      </c>
      <c r="DW1457">
        <v>1</v>
      </c>
      <c r="DX1457">
        <v>1</v>
      </c>
      <c r="DY1457">
        <v>1</v>
      </c>
      <c r="DZ1457">
        <v>1</v>
      </c>
      <c r="EA1457">
        <v>1</v>
      </c>
      <c r="EB1457">
        <v>0</v>
      </c>
      <c r="EC1457">
        <v>0</v>
      </c>
      <c r="ED1457">
        <v>0</v>
      </c>
      <c r="EE1457">
        <v>0</v>
      </c>
      <c r="EF1457">
        <v>1</v>
      </c>
      <c r="EG1457">
        <v>0</v>
      </c>
      <c r="EH1457">
        <v>0</v>
      </c>
      <c r="EI1457" s="2">
        <v>0</v>
      </c>
      <c r="EK1457" t="str">
        <f t="shared" si="1924"/>
        <v/>
      </c>
      <c r="EL1457" t="str">
        <f t="shared" si="1925"/>
        <v/>
      </c>
      <c r="EM1457" s="2" t="str">
        <f t="shared" si="1927"/>
        <v/>
      </c>
      <c r="EP1457" t="str">
        <f>IF(ISNUMBER(BU1457),IF(ABS(BU1457-[3]QC_indicators!$B$2)&gt;3*[3]QC_indicators!$C$2,"C ratio",IF(ISNUMBER(BY1457),IF(ABS(BY1457-[3]QC_indicators!$B$1)&gt;3*[3]QC_indicators!$C$1,"DF","no"))),IF(ISNUMBER(BY1457),IF(ABS(BY1457-[3]QC_indicators!$B$1)&gt;3*[3]QC_indicators!$C$1,"DF","no")))</f>
        <v>no</v>
      </c>
      <c r="ET1457" s="268" t="s">
        <v>3241</v>
      </c>
    </row>
    <row r="1458" spans="1:150" ht="15" hidden="1" customHeight="1">
      <c r="A1458" s="1" t="s">
        <v>2113</v>
      </c>
      <c r="B1458" t="s">
        <v>544</v>
      </c>
      <c r="C1458" t="s">
        <v>2276</v>
      </c>
      <c r="D1458" t="s">
        <v>2277</v>
      </c>
      <c r="E1458" t="s">
        <v>2278</v>
      </c>
      <c r="F1458" t="s">
        <v>2279</v>
      </c>
      <c r="G1458" t="s">
        <v>2114</v>
      </c>
      <c r="H1458" t="s">
        <v>254</v>
      </c>
      <c r="I1458">
        <v>2014</v>
      </c>
      <c r="J1458">
        <v>96</v>
      </c>
      <c r="K1458" t="s">
        <v>2280</v>
      </c>
      <c r="M1458" t="str">
        <f t="shared" si="1856"/>
        <v>Smyth_2014</v>
      </c>
      <c r="N1458" t="s">
        <v>222</v>
      </c>
      <c r="O1458" s="145" t="s">
        <v>341</v>
      </c>
      <c r="Q1458" t="s">
        <v>256</v>
      </c>
      <c r="R1458" s="262" t="s">
        <v>223</v>
      </c>
      <c r="S1458" s="1" t="s">
        <v>2291</v>
      </c>
      <c r="T1458" t="s">
        <v>1154</v>
      </c>
      <c r="U1458" t="s">
        <v>2292</v>
      </c>
      <c r="V1458">
        <v>0</v>
      </c>
      <c r="W1458">
        <v>0</v>
      </c>
      <c r="X1458">
        <v>0</v>
      </c>
      <c r="Y1458">
        <v>1</v>
      </c>
      <c r="Z1458">
        <v>0</v>
      </c>
      <c r="AA1458">
        <v>0</v>
      </c>
      <c r="AB1458">
        <v>0</v>
      </c>
      <c r="AC1458">
        <v>0</v>
      </c>
      <c r="AD1458">
        <v>0</v>
      </c>
      <c r="AE1458">
        <v>0</v>
      </c>
      <c r="AF1458">
        <v>0</v>
      </c>
      <c r="AG1458">
        <v>0</v>
      </c>
      <c r="AH1458">
        <v>0</v>
      </c>
      <c r="AI1458">
        <v>0</v>
      </c>
      <c r="AJ1458">
        <v>2</v>
      </c>
      <c r="AK1458">
        <v>0</v>
      </c>
      <c r="AL1458">
        <v>0</v>
      </c>
      <c r="AM1458">
        <v>0</v>
      </c>
      <c r="AN1458">
        <v>0</v>
      </c>
      <c r="AO1458">
        <v>0</v>
      </c>
      <c r="AP1458">
        <v>0</v>
      </c>
      <c r="AQ1458">
        <v>0</v>
      </c>
      <c r="AR1458">
        <v>0</v>
      </c>
      <c r="AS1458">
        <v>0</v>
      </c>
      <c r="AT1458">
        <v>0</v>
      </c>
      <c r="AU1458">
        <v>0</v>
      </c>
      <c r="AV1458">
        <v>0</v>
      </c>
      <c r="AW1458">
        <v>0</v>
      </c>
      <c r="AX1458" s="141">
        <f t="shared" si="1895"/>
        <v>2</v>
      </c>
      <c r="AY1458" s="141">
        <f t="shared" si="1896"/>
        <v>2</v>
      </c>
      <c r="AZ1458">
        <f t="shared" si="1897"/>
        <v>1</v>
      </c>
      <c r="BA1458">
        <f t="shared" si="1898"/>
        <v>0</v>
      </c>
      <c r="BB1458">
        <f t="shared" si="1899"/>
        <v>1</v>
      </c>
      <c r="BC1458">
        <f t="shared" si="1900"/>
        <v>0</v>
      </c>
      <c r="BD1458">
        <f t="shared" si="1901"/>
        <v>0</v>
      </c>
      <c r="BE1458" t="str">
        <f t="array" ref="BE1458">IF(AY1458=1,INDEX($V$7:$AL$7,MATCH(TRUE,INDEX($V1458:$AW1458&lt;&gt;0,),0)),IF(AY1458=0,INDEX($AM$7:$AW$7,MATCH(1,$AM1458:$AW1458,0)),IF(BF1458="Multiple strategies","mixed drivers",IF(BF1458="Supply chain","multiple supply","multiple silviculture"))))</f>
        <v>mixed drivers</v>
      </c>
      <c r="BF1458" s="2" t="str" cm="1">
        <f t="array" ref="BF1458">IF(COUNTIF(AZ1458:BB1458,"&lt;&gt;0")=1,INDEX($V$4:$AW$4,MATCH(TRUE,INDEX($V1458:$AW1458&lt;&gt;0,),0)),IF(COUNTIF(AZ1458:BB1458,"&lt;&gt;0")=0,INDEX($AM$4:$AW$4,MATCH(1,$AM1458:$AW1458,0)),"Multiple strategies"))</f>
        <v>Multiple strategies</v>
      </c>
      <c r="BG1458" s="1" t="s">
        <v>321</v>
      </c>
      <c r="BH1458" t="s">
        <v>2293</v>
      </c>
      <c r="BI1458" s="264" t="s">
        <v>1035</v>
      </c>
      <c r="BJ1458" t="s">
        <v>2287</v>
      </c>
      <c r="BK1458">
        <v>0</v>
      </c>
      <c r="BL1458">
        <v>9.9</v>
      </c>
      <c r="BN1458">
        <f t="shared" si="1902"/>
        <v>9.9</v>
      </c>
      <c r="BO1458">
        <f t="shared" si="1903"/>
        <v>42987407.729049072</v>
      </c>
      <c r="BP1458" t="s">
        <v>232</v>
      </c>
      <c r="BQ1458" s="267" t="s">
        <v>3242</v>
      </c>
      <c r="BR1458" s="264" t="s">
        <v>3243</v>
      </c>
      <c r="BU1458" s="144"/>
      <c r="BV1458">
        <f>1341/35</f>
        <v>38.314285714285717</v>
      </c>
      <c r="BX1458">
        <f t="shared" si="1904"/>
        <v>38314285.714285716</v>
      </c>
      <c r="BY1458">
        <f t="shared" si="1926"/>
        <v>0.89129090909090902</v>
      </c>
      <c r="BZ1458">
        <v>0</v>
      </c>
      <c r="CA1458">
        <v>1</v>
      </c>
      <c r="CB1458">
        <v>1</v>
      </c>
      <c r="CC1458">
        <v>1</v>
      </c>
      <c r="CD1458">
        <v>0</v>
      </c>
      <c r="CE1458">
        <v>0</v>
      </c>
      <c r="CF1458">
        <v>0</v>
      </c>
      <c r="CG1458">
        <v>0</v>
      </c>
      <c r="CH1458">
        <v>0</v>
      </c>
      <c r="CI1458">
        <v>0</v>
      </c>
      <c r="CJ1458">
        <v>0</v>
      </c>
      <c r="CK1458">
        <v>0</v>
      </c>
      <c r="CL1458">
        <v>0</v>
      </c>
      <c r="CM1458">
        <v>0</v>
      </c>
      <c r="CN1458" t="str">
        <f>IF($BL1458&lt;$BK1458,"refNeedCorrection","refOK")</f>
        <v>refOK</v>
      </c>
      <c r="CO1458">
        <f t="shared" si="1906"/>
        <v>0</v>
      </c>
      <c r="CP1458">
        <f t="shared" si="1907"/>
        <v>9.9</v>
      </c>
      <c r="CQ1458">
        <f t="shared" si="1908"/>
        <v>42987407.729049072</v>
      </c>
      <c r="CR1458">
        <f t="shared" si="1909"/>
        <v>0</v>
      </c>
      <c r="CS1458">
        <f t="shared" si="1910"/>
        <v>0</v>
      </c>
      <c r="CT1458">
        <f t="shared" si="1911"/>
        <v>38314285.714285716</v>
      </c>
      <c r="CU1458">
        <f t="shared" si="1912"/>
        <v>0.89129090909090902</v>
      </c>
      <c r="CV1458" s="2" t="str">
        <f t="shared" si="1913"/>
        <v/>
      </c>
      <c r="CW1458" s="1" t="s">
        <v>1202</v>
      </c>
      <c r="CX1458" t="str">
        <f t="shared" si="1914"/>
        <v>reg</v>
      </c>
      <c r="CY1458" t="s">
        <v>540</v>
      </c>
      <c r="CZ1458">
        <v>2015</v>
      </c>
      <c r="DA1458">
        <v>2050</v>
      </c>
      <c r="DB1458">
        <v>35</v>
      </c>
      <c r="DC1458" t="str">
        <f t="shared" si="1915"/>
        <v>31-70</v>
      </c>
      <c r="DD1458">
        <v>0</v>
      </c>
      <c r="DE1458">
        <v>1</v>
      </c>
      <c r="DF1458">
        <v>1</v>
      </c>
      <c r="DG1458">
        <v>1</v>
      </c>
      <c r="DI1458">
        <f t="shared" si="1916"/>
        <v>3</v>
      </c>
      <c r="DJ1458" t="str">
        <f t="shared" si="1917"/>
        <v>mixedProduct</v>
      </c>
      <c r="DK1458">
        <f t="shared" si="1918"/>
        <v>0</v>
      </c>
      <c r="DL1458" t="str">
        <f t="shared" si="1919"/>
        <v>Energy</v>
      </c>
      <c r="DM1458" t="str">
        <f t="shared" si="1920"/>
        <v>Pulp/Paper</v>
      </c>
      <c r="DN1458" t="str">
        <f t="shared" si="1921"/>
        <v>Timber</v>
      </c>
      <c r="DO1458">
        <v>0</v>
      </c>
      <c r="DP1458">
        <v>0</v>
      </c>
      <c r="DR1458">
        <v>0</v>
      </c>
      <c r="DS1458">
        <v>0</v>
      </c>
      <c r="DT1458">
        <f t="shared" si="1922"/>
        <v>0</v>
      </c>
      <c r="DU1458" s="143" t="str">
        <f t="shared" si="1923"/>
        <v>explicit C balance</v>
      </c>
      <c r="DV1458">
        <v>1</v>
      </c>
      <c r="DW1458">
        <v>1</v>
      </c>
      <c r="DX1458">
        <v>1</v>
      </c>
      <c r="DY1458">
        <v>0</v>
      </c>
      <c r="DZ1458">
        <v>0</v>
      </c>
      <c r="EA1458">
        <v>0</v>
      </c>
      <c r="EB1458">
        <v>0</v>
      </c>
      <c r="EC1458">
        <v>0</v>
      </c>
      <c r="ED1458">
        <v>0</v>
      </c>
      <c r="EE1458">
        <v>0</v>
      </c>
      <c r="EF1458">
        <v>1</v>
      </c>
      <c r="EG1458">
        <v>0</v>
      </c>
      <c r="EH1458">
        <v>0</v>
      </c>
      <c r="EI1458" s="2">
        <v>0</v>
      </c>
      <c r="EK1458" t="str">
        <f t="shared" si="1924"/>
        <v/>
      </c>
      <c r="EL1458" t="str">
        <f t="shared" si="1925"/>
        <v>Ecosystem approach</v>
      </c>
      <c r="EM1458" s="2" t="str">
        <f t="shared" si="1927"/>
        <v/>
      </c>
      <c r="EP1458" t="str">
        <f>IF(ISNUMBER(BU1458),IF(ABS(BU1458-[3]QC_indicators!$B$2)&gt;3*[3]QC_indicators!$C$2,"C ratio",IF(ISNUMBER(BY1458),IF(ABS(BY1458-[3]QC_indicators!$B$1)&gt;3*[3]QC_indicators!$C$1,"DF","no"))),IF(ISNUMBER(BY1458),IF(ABS(BY1458-[3]QC_indicators!$B$1)&gt;3*[3]QC_indicators!$C$1,"DF","no")))</f>
        <v>no</v>
      </c>
      <c r="ET1458" s="268" t="s">
        <v>3241</v>
      </c>
    </row>
    <row r="1459" spans="1:150" ht="15" hidden="1" customHeight="1">
      <c r="A1459" s="1" t="s">
        <v>2113</v>
      </c>
      <c r="B1459" t="s">
        <v>544</v>
      </c>
      <c r="C1459" t="s">
        <v>2276</v>
      </c>
      <c r="D1459" t="s">
        <v>2277</v>
      </c>
      <c r="E1459" t="s">
        <v>2278</v>
      </c>
      <c r="F1459" t="s">
        <v>2279</v>
      </c>
      <c r="G1459" t="s">
        <v>2114</v>
      </c>
      <c r="H1459" t="s">
        <v>254</v>
      </c>
      <c r="I1459">
        <v>2014</v>
      </c>
      <c r="J1459">
        <v>96</v>
      </c>
      <c r="K1459" t="s">
        <v>2280</v>
      </c>
      <c r="M1459" t="str">
        <f t="shared" si="1856"/>
        <v>Smyth_2014</v>
      </c>
      <c r="N1459" t="s">
        <v>222</v>
      </c>
      <c r="O1459" s="145" t="s">
        <v>341</v>
      </c>
      <c r="Q1459" t="s">
        <v>256</v>
      </c>
      <c r="R1459" s="262" t="s">
        <v>223</v>
      </c>
      <c r="S1459" s="1" t="s">
        <v>2281</v>
      </c>
      <c r="T1459" t="s">
        <v>1154</v>
      </c>
      <c r="U1459" t="s">
        <v>2282</v>
      </c>
      <c r="V1459">
        <v>0</v>
      </c>
      <c r="W1459">
        <v>0</v>
      </c>
      <c r="X1459">
        <v>0</v>
      </c>
      <c r="Y1459">
        <v>0</v>
      </c>
      <c r="Z1459">
        <v>0</v>
      </c>
      <c r="AA1459">
        <v>0</v>
      </c>
      <c r="AB1459">
        <v>1</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s="141">
        <f t="shared" si="1895"/>
        <v>1</v>
      </c>
      <c r="AY1459" s="141">
        <f t="shared" si="1896"/>
        <v>1</v>
      </c>
      <c r="AZ1459">
        <f t="shared" si="1897"/>
        <v>1</v>
      </c>
      <c r="BA1459">
        <f t="shared" si="1898"/>
        <v>0</v>
      </c>
      <c r="BB1459">
        <f t="shared" si="1899"/>
        <v>0</v>
      </c>
      <c r="BC1459">
        <f t="shared" si="1900"/>
        <v>0</v>
      </c>
      <c r="BD1459">
        <f t="shared" si="1901"/>
        <v>0</v>
      </c>
      <c r="BE1459" t="str">
        <f t="array" ref="BE1459">IF(AY1459=1,INDEX($V$7:$AL$7,MATCH(TRUE,INDEX($V1459:$AW1459&lt;&gt;0,),0)),IF(AY1459=0,INDEX($AM$7:$AW$7,MATCH(1,$AM1459:$AW1459,0)),IF(BF1459="Multiple strategies","mixed drivers",IF(BF1459="Supply chain","multiple supply","multiple silviculture"))))</f>
        <v>fertilisation</v>
      </c>
      <c r="BF1459" s="2" t="str" cm="1">
        <f t="array" ref="BF1459">IF(COUNTIF(AZ1459:BB1459,"&lt;&gt;0")=1,INDEX($V$4:$AW$4,MATCH(TRUE,INDEX($V1459:$AW1459&lt;&gt;0,),0)),IF(COUNTIF(AZ1459:BB1459,"&lt;&gt;0")=0,INDEX($AM$4:$AW$4,MATCH(1,$AM1459:$AW1459,0)),"Multiple strategies"))</f>
        <v>Silviculture for productivity</v>
      </c>
      <c r="BP1459" t="s">
        <v>232</v>
      </c>
      <c r="BR1459" t="s">
        <v>1139</v>
      </c>
      <c r="BS1459">
        <v>159.80000000000001</v>
      </c>
      <c r="BT1459">
        <f>BV1459+BS1459</f>
        <v>169.8</v>
      </c>
      <c r="BU1459" s="144">
        <f>IFERROR(BT1459/BS1459,"")</f>
        <v>1.062578222778473</v>
      </c>
      <c r="BV1459">
        <v>10</v>
      </c>
      <c r="BX1459">
        <f t="shared" si="1904"/>
        <v>10000000</v>
      </c>
      <c r="BY1459" t="str">
        <f t="shared" si="1926"/>
        <v/>
      </c>
      <c r="BZ1459">
        <v>0</v>
      </c>
      <c r="CA1459">
        <v>1</v>
      </c>
      <c r="CB1459">
        <v>1</v>
      </c>
      <c r="CC1459">
        <v>1</v>
      </c>
      <c r="CD1459">
        <v>0</v>
      </c>
      <c r="CE1459">
        <v>0</v>
      </c>
      <c r="CF1459">
        <v>0</v>
      </c>
      <c r="CG1459">
        <v>0</v>
      </c>
      <c r="CH1459">
        <v>0</v>
      </c>
      <c r="CI1459">
        <v>0</v>
      </c>
      <c r="CJ1459">
        <v>0</v>
      </c>
      <c r="CK1459">
        <v>0</v>
      </c>
      <c r="CL1459">
        <v>0</v>
      </c>
      <c r="CM1459">
        <v>0</v>
      </c>
      <c r="CN1459" t="str">
        <f>IF(BL1459&lt;BK1459,"refNeedCorrection","refOK")</f>
        <v>refOK</v>
      </c>
      <c r="CO1459"/>
      <c r="CP1459"/>
      <c r="CQ1459"/>
      <c r="CR1459">
        <f t="shared" si="1909"/>
        <v>159.80000000000001</v>
      </c>
      <c r="CS1459">
        <f t="shared" si="1910"/>
        <v>169.8</v>
      </c>
      <c r="CT1459">
        <f t="shared" si="1911"/>
        <v>10000000</v>
      </c>
      <c r="CU1459" t="str">
        <f t="shared" si="1912"/>
        <v/>
      </c>
      <c r="CV1459" s="2">
        <f t="shared" si="1913"/>
        <v>6.257822277847308E-2</v>
      </c>
      <c r="CW1459" s="1" t="s">
        <v>1202</v>
      </c>
      <c r="CX1459" t="str">
        <f t="shared" si="1914"/>
        <v>reg</v>
      </c>
      <c r="CY1459" t="s">
        <v>540</v>
      </c>
      <c r="CZ1459">
        <v>2015</v>
      </c>
      <c r="DA1459">
        <v>2050</v>
      </c>
      <c r="DB1459">
        <v>35</v>
      </c>
      <c r="DC1459" t="str">
        <f t="shared" si="1915"/>
        <v>31-70</v>
      </c>
      <c r="DD1459">
        <v>0</v>
      </c>
      <c r="DE1459">
        <v>1</v>
      </c>
      <c r="DF1459">
        <v>1</v>
      </c>
      <c r="DG1459">
        <v>1</v>
      </c>
      <c r="DI1459">
        <f t="shared" si="1916"/>
        <v>3</v>
      </c>
      <c r="DJ1459" t="str">
        <f t="shared" si="1917"/>
        <v>mixedProduct</v>
      </c>
      <c r="DK1459">
        <f t="shared" si="1918"/>
        <v>0</v>
      </c>
      <c r="DL1459" t="str">
        <f t="shared" si="1919"/>
        <v>Energy</v>
      </c>
      <c r="DM1459" t="str">
        <f t="shared" si="1920"/>
        <v>Pulp/Paper</v>
      </c>
      <c r="DN1459" t="str">
        <f t="shared" si="1921"/>
        <v>Timber</v>
      </c>
      <c r="DO1459">
        <v>1</v>
      </c>
      <c r="DP1459">
        <v>1</v>
      </c>
      <c r="DQ1459" t="s">
        <v>2283</v>
      </c>
      <c r="DR1459">
        <v>0</v>
      </c>
      <c r="DS1459">
        <v>0</v>
      </c>
      <c r="DT1459">
        <f t="shared" si="1922"/>
        <v>2</v>
      </c>
      <c r="DU1459" s="143" t="str">
        <f t="shared" si="1923"/>
        <v>self-calculated DF</v>
      </c>
      <c r="DV1459">
        <v>1</v>
      </c>
      <c r="DW1459">
        <v>1</v>
      </c>
      <c r="DX1459">
        <v>1</v>
      </c>
      <c r="DY1459">
        <v>1</v>
      </c>
      <c r="DZ1459">
        <v>1</v>
      </c>
      <c r="EA1459">
        <v>1</v>
      </c>
      <c r="EB1459">
        <v>0</v>
      </c>
      <c r="EC1459">
        <v>0</v>
      </c>
      <c r="ED1459">
        <v>0</v>
      </c>
      <c r="EE1459">
        <v>0</v>
      </c>
      <c r="EF1459">
        <v>1</v>
      </c>
      <c r="EG1459">
        <v>0</v>
      </c>
      <c r="EH1459">
        <v>0</v>
      </c>
      <c r="EI1459" s="2">
        <v>0</v>
      </c>
      <c r="EK1459" t="str">
        <f t="shared" si="1924"/>
        <v/>
      </c>
      <c r="EL1459" t="str">
        <f t="shared" si="1925"/>
        <v/>
      </c>
      <c r="EM1459" s="2" t="str">
        <f t="shared" si="1927"/>
        <v/>
      </c>
      <c r="EP1459" t="b">
        <f>IF(ISNUMBER(BU1459),IF(ABS(BU1459-[3]QC_indicators!$B$2)&gt;3*[3]QC_indicators!$C$2,"C ratio",IF(ISNUMBER(BY1459),IF(ABS(BY1459-[3]QC_indicators!$B$1)&gt;3*[3]QC_indicators!$C$1,"DF","no"))),IF(ISNUMBER(BY1459),IF(ABS(BY1459-[3]QC_indicators!$B$1)&gt;3*[3]QC_indicators!$C$1,"DF","no")))</f>
        <v>0</v>
      </c>
      <c r="ET1459" s="268" t="s">
        <v>3241</v>
      </c>
    </row>
    <row r="1460" spans="1:150" ht="15" hidden="1" customHeight="1">
      <c r="A1460" s="1" t="s">
        <v>2113</v>
      </c>
      <c r="B1460" t="s">
        <v>544</v>
      </c>
      <c r="C1460" t="s">
        <v>2276</v>
      </c>
      <c r="D1460" t="s">
        <v>2277</v>
      </c>
      <c r="E1460" t="s">
        <v>2278</v>
      </c>
      <c r="F1460" t="s">
        <v>2279</v>
      </c>
      <c r="G1460" t="s">
        <v>2114</v>
      </c>
      <c r="H1460" t="s">
        <v>254</v>
      </c>
      <c r="I1460">
        <v>2014</v>
      </c>
      <c r="J1460">
        <v>96</v>
      </c>
      <c r="K1460" t="s">
        <v>2280</v>
      </c>
      <c r="M1460" t="str">
        <f t="shared" si="1856"/>
        <v>Smyth_2014</v>
      </c>
      <c r="N1460" t="s">
        <v>222</v>
      </c>
      <c r="O1460" s="145" t="s">
        <v>341</v>
      </c>
      <c r="Q1460" t="s">
        <v>256</v>
      </c>
      <c r="R1460" s="262" t="s">
        <v>223</v>
      </c>
      <c r="S1460" s="1" t="s">
        <v>2299</v>
      </c>
      <c r="T1460" t="s">
        <v>1154</v>
      </c>
      <c r="U1460" t="s">
        <v>2300</v>
      </c>
      <c r="V1460">
        <v>0</v>
      </c>
      <c r="W1460">
        <v>0</v>
      </c>
      <c r="X1460">
        <v>0</v>
      </c>
      <c r="Y1460">
        <v>0</v>
      </c>
      <c r="Z1460">
        <v>0</v>
      </c>
      <c r="AA1460">
        <v>1</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s="141">
        <f t="shared" si="1895"/>
        <v>1</v>
      </c>
      <c r="AY1460" s="141">
        <f t="shared" si="1896"/>
        <v>1</v>
      </c>
      <c r="AZ1460">
        <f t="shared" si="1897"/>
        <v>1</v>
      </c>
      <c r="BA1460">
        <f t="shared" si="1898"/>
        <v>0</v>
      </c>
      <c r="BB1460">
        <f t="shared" si="1899"/>
        <v>0</v>
      </c>
      <c r="BC1460">
        <f t="shared" si="1900"/>
        <v>0</v>
      </c>
      <c r="BD1460">
        <f t="shared" si="1901"/>
        <v>0</v>
      </c>
      <c r="BE1460" t="str">
        <f t="array" ref="BE1460">IF(AY1460=1,INDEX($V$7:$AL$7,MATCH(TRUE,INDEX($V1460:$AW1460&lt;&gt;0,),0)),IF(AY1460=0,INDEX($AM$7:$AW$7,MATCH(1,$AM1460:$AW1460,0)),IF(BF1460="Multiple strategies","mixed drivers",IF(BF1460="Supply chain","multiple supply","multiple silviculture"))))</f>
        <v>plantation density</v>
      </c>
      <c r="BF1460" s="2" t="str" cm="1">
        <f t="array" ref="BF1460">IF(COUNTIF(AZ1460:BB1460,"&lt;&gt;0")=1,INDEX($V$4:$AW$4,MATCH(TRUE,INDEX($V1460:$AW1460&lt;&gt;0,),0)),IF(COUNTIF(AZ1460:BB1460,"&lt;&gt;0")=0,INDEX($AM$4:$AW$4,MATCH(1,$AM1460:$AW1460,0)),"Multiple strategies"))</f>
        <v>Silviculture for productivity</v>
      </c>
      <c r="BP1460" t="s">
        <v>232</v>
      </c>
      <c r="BR1460" t="s">
        <v>1139</v>
      </c>
      <c r="BS1460">
        <v>159.80000000000001</v>
      </c>
      <c r="BT1460">
        <f>BV1460+BS1460</f>
        <v>164.8</v>
      </c>
      <c r="BU1460" s="144">
        <f>IFERROR(BT1460/BS1460,"")</f>
        <v>1.0312891113892366</v>
      </c>
      <c r="BV1460">
        <v>5</v>
      </c>
      <c r="BX1460">
        <f t="shared" si="1904"/>
        <v>5000000</v>
      </c>
      <c r="BY1460" t="str">
        <f t="shared" si="1926"/>
        <v/>
      </c>
      <c r="BZ1460">
        <v>0</v>
      </c>
      <c r="CA1460">
        <v>1</v>
      </c>
      <c r="CB1460">
        <v>1</v>
      </c>
      <c r="CC1460">
        <v>1</v>
      </c>
      <c r="CD1460">
        <v>0</v>
      </c>
      <c r="CE1460">
        <v>0</v>
      </c>
      <c r="CF1460">
        <v>0</v>
      </c>
      <c r="CG1460">
        <v>0</v>
      </c>
      <c r="CH1460">
        <v>0</v>
      </c>
      <c r="CI1460">
        <v>0</v>
      </c>
      <c r="CJ1460">
        <v>0</v>
      </c>
      <c r="CK1460">
        <v>0</v>
      </c>
      <c r="CL1460">
        <v>0</v>
      </c>
      <c r="CM1460">
        <v>0</v>
      </c>
      <c r="CN1460" t="str">
        <f>IF(BL1460&lt;BK1460,"refNeedCorrection","refOK")</f>
        <v>refOK</v>
      </c>
      <c r="CO1460"/>
      <c r="CP1460"/>
      <c r="CQ1460"/>
      <c r="CR1460">
        <f t="shared" si="1909"/>
        <v>159.80000000000001</v>
      </c>
      <c r="CS1460">
        <f t="shared" si="1910"/>
        <v>164.8</v>
      </c>
      <c r="CT1460">
        <f t="shared" si="1911"/>
        <v>5000000</v>
      </c>
      <c r="CU1460" t="str">
        <f t="shared" si="1912"/>
        <v/>
      </c>
      <c r="CV1460" s="2">
        <f t="shared" si="1913"/>
        <v>3.128911138923654E-2</v>
      </c>
      <c r="CW1460" s="1" t="s">
        <v>1202</v>
      </c>
      <c r="CX1460" t="str">
        <f t="shared" si="1914"/>
        <v>reg</v>
      </c>
      <c r="CY1460" t="s">
        <v>540</v>
      </c>
      <c r="CZ1460">
        <v>2015</v>
      </c>
      <c r="DA1460">
        <v>2050</v>
      </c>
      <c r="DB1460">
        <v>35</v>
      </c>
      <c r="DC1460" t="str">
        <f t="shared" si="1915"/>
        <v>31-70</v>
      </c>
      <c r="DD1460">
        <v>0</v>
      </c>
      <c r="DE1460">
        <v>1</v>
      </c>
      <c r="DF1460">
        <v>1</v>
      </c>
      <c r="DG1460">
        <v>1</v>
      </c>
      <c r="DI1460">
        <f t="shared" si="1916"/>
        <v>3</v>
      </c>
      <c r="DJ1460" t="str">
        <f t="shared" si="1917"/>
        <v>mixedProduct</v>
      </c>
      <c r="DK1460">
        <f t="shared" si="1918"/>
        <v>0</v>
      </c>
      <c r="DL1460" t="str">
        <f t="shared" si="1919"/>
        <v>Energy</v>
      </c>
      <c r="DM1460" t="str">
        <f t="shared" si="1920"/>
        <v>Pulp/Paper</v>
      </c>
      <c r="DN1460" t="str">
        <f t="shared" si="1921"/>
        <v>Timber</v>
      </c>
      <c r="DO1460">
        <v>1</v>
      </c>
      <c r="DP1460">
        <v>1</v>
      </c>
      <c r="DQ1460" t="s">
        <v>2283</v>
      </c>
      <c r="DR1460">
        <v>0</v>
      </c>
      <c r="DS1460">
        <v>0</v>
      </c>
      <c r="DT1460">
        <f t="shared" si="1922"/>
        <v>2</v>
      </c>
      <c r="DU1460" s="143" t="str">
        <f t="shared" si="1923"/>
        <v>self-calculated DF</v>
      </c>
      <c r="DV1460">
        <v>1</v>
      </c>
      <c r="DW1460">
        <v>1</v>
      </c>
      <c r="DX1460">
        <v>1</v>
      </c>
      <c r="DY1460">
        <v>1</v>
      </c>
      <c r="DZ1460">
        <v>1</v>
      </c>
      <c r="EA1460">
        <v>1</v>
      </c>
      <c r="EB1460">
        <v>0</v>
      </c>
      <c r="EC1460">
        <v>0</v>
      </c>
      <c r="ED1460">
        <v>0</v>
      </c>
      <c r="EE1460">
        <v>0</v>
      </c>
      <c r="EF1460">
        <v>1</v>
      </c>
      <c r="EG1460">
        <v>0</v>
      </c>
      <c r="EH1460">
        <v>0</v>
      </c>
      <c r="EI1460" s="2">
        <v>0</v>
      </c>
      <c r="EK1460" t="str">
        <f t="shared" si="1924"/>
        <v/>
      </c>
      <c r="EL1460" t="str">
        <f t="shared" si="1925"/>
        <v/>
      </c>
      <c r="EM1460" s="2" t="str">
        <f t="shared" si="1927"/>
        <v/>
      </c>
      <c r="EP1460" t="b">
        <f>IF(ISNUMBER(BU1460),IF(ABS(BU1460-[3]QC_indicators!$B$2)&gt;3*[3]QC_indicators!$C$2,"C ratio",IF(ISNUMBER(BY1460),IF(ABS(BY1460-[3]QC_indicators!$B$1)&gt;3*[3]QC_indicators!$C$1,"DF","no"))),IF(ISNUMBER(BY1460),IF(ABS(BY1460-[3]QC_indicators!$B$1)&gt;3*[3]QC_indicators!$C$1,"DF","no")))</f>
        <v>0</v>
      </c>
      <c r="ET1460" s="268" t="s">
        <v>3241</v>
      </c>
    </row>
    <row r="1461" spans="1:150" ht="15" hidden="1" customHeight="1">
      <c r="A1461" s="1" t="s">
        <v>2113</v>
      </c>
      <c r="B1461" t="s">
        <v>544</v>
      </c>
      <c r="C1461" t="s">
        <v>2276</v>
      </c>
      <c r="D1461" t="s">
        <v>2277</v>
      </c>
      <c r="E1461" t="s">
        <v>2278</v>
      </c>
      <c r="F1461" t="s">
        <v>2279</v>
      </c>
      <c r="G1461" t="s">
        <v>2114</v>
      </c>
      <c r="H1461" t="s">
        <v>254</v>
      </c>
      <c r="I1461">
        <v>2014</v>
      </c>
      <c r="J1461">
        <v>96</v>
      </c>
      <c r="K1461" t="s">
        <v>2280</v>
      </c>
      <c r="M1461" t="str">
        <f t="shared" si="1856"/>
        <v>Smyth_2014</v>
      </c>
      <c r="N1461" t="s">
        <v>222</v>
      </c>
      <c r="O1461" s="145" t="s">
        <v>341</v>
      </c>
      <c r="Q1461" t="s">
        <v>256</v>
      </c>
      <c r="R1461" s="262" t="s">
        <v>223</v>
      </c>
      <c r="S1461" s="1" t="s">
        <v>2303</v>
      </c>
      <c r="T1461" t="s">
        <v>1154</v>
      </c>
      <c r="U1461" t="s">
        <v>2304</v>
      </c>
      <c r="V1461">
        <v>0</v>
      </c>
      <c r="W1461">
        <v>0</v>
      </c>
      <c r="X1461">
        <v>0</v>
      </c>
      <c r="Y1461">
        <v>0</v>
      </c>
      <c r="Z1461">
        <v>0</v>
      </c>
      <c r="AA1461">
        <v>0</v>
      </c>
      <c r="AB1461">
        <v>0</v>
      </c>
      <c r="AC1461">
        <v>0</v>
      </c>
      <c r="AD1461">
        <v>0</v>
      </c>
      <c r="AE1461">
        <v>0</v>
      </c>
      <c r="AF1461">
        <v>1</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s="141">
        <f t="shared" si="1895"/>
        <v>1</v>
      </c>
      <c r="AY1461" s="141">
        <f t="shared" si="1896"/>
        <v>1</v>
      </c>
      <c r="AZ1461">
        <f t="shared" si="1897"/>
        <v>0</v>
      </c>
      <c r="BA1461">
        <f t="shared" si="1898"/>
        <v>1</v>
      </c>
      <c r="BB1461">
        <f t="shared" si="1899"/>
        <v>0</v>
      </c>
      <c r="BC1461">
        <f t="shared" si="1900"/>
        <v>0</v>
      </c>
      <c r="BD1461">
        <f t="shared" si="1901"/>
        <v>0</v>
      </c>
      <c r="BE1461" t="str">
        <f t="array" ref="BE1461">IF(AY1461=1,INDEX($V$7:$AL$7,MATCH(TRUE,INDEX($V1461:$AW1461&lt;&gt;0,),0)),IF(AY1461=0,INDEX($AM$7:$AW$7,MATCH(1,$AM1461:$AW1461,0)),IF(BF1461="Multiple strategies","mixed drivers",IF(BF1461="Supply chain","multiple supply","multiple silviculture"))))</f>
        <v>supply chain organization</v>
      </c>
      <c r="BF1461" s="2" t="str" cm="1">
        <f t="array" ref="BF1461">IF(COUNTIF(AZ1461:BB1461,"&lt;&gt;0")=1,INDEX($V$4:$AW$4,MATCH(TRUE,INDEX($V1461:$AW1461&lt;&gt;0,),0)),IF(COUNTIF(AZ1461:BB1461,"&lt;&gt;0")=0,INDEX($AM$4:$AW$4,MATCH(1,$AM1461:$AW1461,0)),"Multiple strategies"))</f>
        <v>Supply chain</v>
      </c>
      <c r="BL1461" s="197"/>
      <c r="BP1461" t="s">
        <v>232</v>
      </c>
      <c r="BR1461" t="s">
        <v>1139</v>
      </c>
      <c r="BS1461">
        <v>159.80000000000001</v>
      </c>
      <c r="BT1461">
        <f>BV1461+BS1461</f>
        <v>149.80000000000001</v>
      </c>
      <c r="BU1461" s="144">
        <f>IFERROR(BT1461/BS1461,"")</f>
        <v>0.93742177722152686</v>
      </c>
      <c r="BV1461">
        <v>-10</v>
      </c>
      <c r="BX1461">
        <f t="shared" si="1904"/>
        <v>-10000000</v>
      </c>
      <c r="BY1461" t="str">
        <f t="shared" si="1926"/>
        <v/>
      </c>
      <c r="BZ1461">
        <v>0</v>
      </c>
      <c r="CA1461">
        <v>1</v>
      </c>
      <c r="CB1461">
        <v>1</v>
      </c>
      <c r="CC1461">
        <v>1</v>
      </c>
      <c r="CD1461">
        <v>0</v>
      </c>
      <c r="CE1461">
        <v>0</v>
      </c>
      <c r="CF1461">
        <v>0</v>
      </c>
      <c r="CG1461">
        <v>0</v>
      </c>
      <c r="CH1461">
        <v>0</v>
      </c>
      <c r="CI1461">
        <v>0</v>
      </c>
      <c r="CJ1461">
        <v>0</v>
      </c>
      <c r="CK1461">
        <v>0</v>
      </c>
      <c r="CL1461">
        <v>0</v>
      </c>
      <c r="CM1461">
        <v>0</v>
      </c>
      <c r="CN1461" t="str">
        <f>IF(BL1461&lt;BK1461,"refNeedCorrection","refOK")</f>
        <v>refOK</v>
      </c>
      <c r="CO1461"/>
      <c r="CP1461"/>
      <c r="CQ1461"/>
      <c r="CR1461">
        <f t="shared" si="1909"/>
        <v>159.80000000000001</v>
      </c>
      <c r="CS1461">
        <f t="shared" si="1910"/>
        <v>149.80000000000001</v>
      </c>
      <c r="CT1461">
        <f t="shared" si="1911"/>
        <v>-10000000</v>
      </c>
      <c r="CU1461" t="str">
        <f t="shared" si="1912"/>
        <v/>
      </c>
      <c r="CV1461" s="2">
        <f t="shared" si="1913"/>
        <v>-6.257822277847308E-2</v>
      </c>
      <c r="CW1461" s="1" t="s">
        <v>1202</v>
      </c>
      <c r="CX1461" t="str">
        <f t="shared" si="1914"/>
        <v>reg</v>
      </c>
      <c r="CY1461" t="s">
        <v>540</v>
      </c>
      <c r="CZ1461">
        <v>2015</v>
      </c>
      <c r="DA1461">
        <v>2050</v>
      </c>
      <c r="DB1461">
        <v>35</v>
      </c>
      <c r="DC1461" t="str">
        <f t="shared" si="1915"/>
        <v>31-70</v>
      </c>
      <c r="DD1461">
        <v>0</v>
      </c>
      <c r="DE1461">
        <v>1</v>
      </c>
      <c r="DF1461">
        <v>1</v>
      </c>
      <c r="DG1461">
        <v>1</v>
      </c>
      <c r="DI1461">
        <f t="shared" si="1916"/>
        <v>3</v>
      </c>
      <c r="DJ1461" t="str">
        <f t="shared" si="1917"/>
        <v>mixedProduct</v>
      </c>
      <c r="DK1461">
        <f t="shared" si="1918"/>
        <v>0</v>
      </c>
      <c r="DL1461" t="str">
        <f t="shared" si="1919"/>
        <v>Energy</v>
      </c>
      <c r="DM1461" t="str">
        <f t="shared" si="1920"/>
        <v>Pulp/Paper</v>
      </c>
      <c r="DN1461" t="str">
        <f t="shared" si="1921"/>
        <v>Timber</v>
      </c>
      <c r="DO1461">
        <v>1</v>
      </c>
      <c r="DP1461">
        <v>1</v>
      </c>
      <c r="DQ1461" t="s">
        <v>2283</v>
      </c>
      <c r="DR1461">
        <v>0</v>
      </c>
      <c r="DS1461">
        <v>0</v>
      </c>
      <c r="DT1461">
        <f t="shared" si="1922"/>
        <v>2</v>
      </c>
      <c r="DU1461" s="143" t="str">
        <f t="shared" si="1923"/>
        <v>self-calculated DF</v>
      </c>
      <c r="DV1461">
        <v>1</v>
      </c>
      <c r="DW1461">
        <v>1</v>
      </c>
      <c r="DX1461">
        <v>1</v>
      </c>
      <c r="DY1461">
        <v>1</v>
      </c>
      <c r="DZ1461">
        <v>1</v>
      </c>
      <c r="EA1461">
        <v>1</v>
      </c>
      <c r="EB1461">
        <v>0</v>
      </c>
      <c r="EC1461">
        <v>0</v>
      </c>
      <c r="ED1461">
        <v>0</v>
      </c>
      <c r="EE1461">
        <v>0</v>
      </c>
      <c r="EF1461">
        <v>1</v>
      </c>
      <c r="EG1461">
        <v>0</v>
      </c>
      <c r="EH1461">
        <v>0</v>
      </c>
      <c r="EI1461" s="2">
        <v>0</v>
      </c>
      <c r="EK1461" t="str">
        <f t="shared" si="1924"/>
        <v/>
      </c>
      <c r="EL1461" t="str">
        <f t="shared" si="1925"/>
        <v/>
      </c>
      <c r="EM1461" s="2" t="str">
        <f t="shared" si="1927"/>
        <v/>
      </c>
      <c r="EP1461" t="b">
        <f>IF(ISNUMBER(BU1461),IF(ABS(BU1461-[3]QC_indicators!$B$2)&gt;3*[3]QC_indicators!$C$2,"C ratio",IF(ISNUMBER(BY1461),IF(ABS(BY1461-[3]QC_indicators!$B$1)&gt;3*[3]QC_indicators!$C$1,"DF","no"))),IF(ISNUMBER(BY1461),IF(ABS(BY1461-[3]QC_indicators!$B$1)&gt;3*[3]QC_indicators!$C$1,"DF","no")))</f>
        <v>0</v>
      </c>
      <c r="ET1461" s="268" t="s">
        <v>3241</v>
      </c>
    </row>
    <row r="1462" spans="1:150" ht="15" hidden="1" customHeight="1">
      <c r="A1462" s="1" t="s">
        <v>2113</v>
      </c>
      <c r="B1462" t="s">
        <v>544</v>
      </c>
      <c r="C1462" t="s">
        <v>2276</v>
      </c>
      <c r="D1462" t="s">
        <v>2277</v>
      </c>
      <c r="E1462" t="s">
        <v>2278</v>
      </c>
      <c r="F1462" t="s">
        <v>2279</v>
      </c>
      <c r="G1462" t="s">
        <v>2114</v>
      </c>
      <c r="H1462" t="s">
        <v>254</v>
      </c>
      <c r="I1462">
        <v>2014</v>
      </c>
      <c r="J1462">
        <v>96</v>
      </c>
      <c r="K1462" t="s">
        <v>2280</v>
      </c>
      <c r="M1462" t="str">
        <f t="shared" si="1856"/>
        <v>Smyth_2014</v>
      </c>
      <c r="N1462" t="s">
        <v>222</v>
      </c>
      <c r="O1462" s="145" t="s">
        <v>341</v>
      </c>
      <c r="Q1462" t="s">
        <v>256</v>
      </c>
      <c r="R1462" s="262" t="s">
        <v>223</v>
      </c>
      <c r="S1462" s="1" t="s">
        <v>2305</v>
      </c>
      <c r="T1462" t="s">
        <v>1154</v>
      </c>
      <c r="U1462" t="s">
        <v>1398</v>
      </c>
      <c r="V1462">
        <v>0</v>
      </c>
      <c r="W1462">
        <v>0</v>
      </c>
      <c r="X1462">
        <v>0</v>
      </c>
      <c r="Y1462">
        <v>0</v>
      </c>
      <c r="Z1462">
        <v>0</v>
      </c>
      <c r="AA1462">
        <v>0</v>
      </c>
      <c r="AB1462">
        <v>0</v>
      </c>
      <c r="AC1462">
        <v>0</v>
      </c>
      <c r="AD1462">
        <v>0</v>
      </c>
      <c r="AE1462">
        <v>0</v>
      </c>
      <c r="AF1462">
        <v>1</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s="141">
        <f t="shared" si="1895"/>
        <v>1</v>
      </c>
      <c r="AY1462" s="141">
        <f t="shared" si="1896"/>
        <v>1</v>
      </c>
      <c r="AZ1462">
        <f t="shared" si="1897"/>
        <v>0</v>
      </c>
      <c r="BA1462">
        <f t="shared" si="1898"/>
        <v>1</v>
      </c>
      <c r="BB1462">
        <f t="shared" si="1899"/>
        <v>0</v>
      </c>
      <c r="BC1462">
        <f t="shared" si="1900"/>
        <v>0</v>
      </c>
      <c r="BD1462">
        <f t="shared" si="1901"/>
        <v>0</v>
      </c>
      <c r="BE1462" t="str">
        <f t="array" ref="BE1462">IF(AY1462=1,INDEX($V$7:$AL$7,MATCH(TRUE,INDEX($V1462:$AW1462&lt;&gt;0,),0)),IF(AY1462=0,INDEX($AM$7:$AW$7,MATCH(1,$AM1462:$AW1462,0)),IF(BF1462="Multiple strategies","mixed drivers",IF(BF1462="Supply chain","multiple supply","multiple silviculture"))))</f>
        <v>supply chain organization</v>
      </c>
      <c r="BF1462" s="2" t="str" cm="1">
        <f t="array" ref="BF1462">IF(COUNTIF(AZ1462:BB1462,"&lt;&gt;0")=1,INDEX($V$4:$AW$4,MATCH(TRUE,INDEX($V1462:$AW1462&lt;&gt;0,),0)),IF(COUNTIF(AZ1462:BB1462,"&lt;&gt;0")=0,INDEX($AM$4:$AW$4,MATCH(1,$AM1462:$AW1462,0)),"Multiple strategies"))</f>
        <v>Supply chain</v>
      </c>
      <c r="BL1462" s="197"/>
      <c r="BP1462" t="s">
        <v>232</v>
      </c>
      <c r="BR1462" t="s">
        <v>1139</v>
      </c>
      <c r="BS1462">
        <v>159.80000000000001</v>
      </c>
      <c r="BT1462">
        <f>BV1462+BS1462</f>
        <v>559.79999999999995</v>
      </c>
      <c r="BU1462" s="144">
        <f>IFERROR(BT1462/BS1462,"")</f>
        <v>3.5031289111389232</v>
      </c>
      <c r="BV1462">
        <v>400</v>
      </c>
      <c r="BX1462">
        <f t="shared" si="1904"/>
        <v>400000000</v>
      </c>
      <c r="BY1462" t="str">
        <f t="shared" si="1926"/>
        <v/>
      </c>
      <c r="BZ1462">
        <v>0</v>
      </c>
      <c r="CA1462">
        <v>1</v>
      </c>
      <c r="CB1462">
        <v>1</v>
      </c>
      <c r="CC1462">
        <v>1</v>
      </c>
      <c r="CD1462">
        <v>0</v>
      </c>
      <c r="CE1462">
        <v>0</v>
      </c>
      <c r="CF1462">
        <v>0</v>
      </c>
      <c r="CG1462">
        <v>0</v>
      </c>
      <c r="CH1462">
        <v>0</v>
      </c>
      <c r="CI1462">
        <v>0</v>
      </c>
      <c r="CJ1462">
        <v>0</v>
      </c>
      <c r="CK1462">
        <v>0</v>
      </c>
      <c r="CL1462">
        <v>0</v>
      </c>
      <c r="CM1462">
        <v>0</v>
      </c>
      <c r="CN1462" t="str">
        <f>IF(BL1462&lt;BK1462,"refNeedCorrection","refOK")</f>
        <v>refOK</v>
      </c>
      <c r="CO1462"/>
      <c r="CP1462"/>
      <c r="CQ1462"/>
      <c r="CR1462">
        <f t="shared" si="1909"/>
        <v>159.80000000000001</v>
      </c>
      <c r="CS1462">
        <f t="shared" si="1910"/>
        <v>559.79999999999995</v>
      </c>
      <c r="CT1462">
        <f t="shared" si="1911"/>
        <v>400000000</v>
      </c>
      <c r="CU1462" t="str">
        <f t="shared" si="1912"/>
        <v/>
      </c>
      <c r="CV1462" s="2">
        <f t="shared" si="1913"/>
        <v>2.5031289111389232</v>
      </c>
      <c r="CW1462" s="1" t="s">
        <v>1202</v>
      </c>
      <c r="CX1462" t="str">
        <f t="shared" si="1914"/>
        <v>reg</v>
      </c>
      <c r="CY1462" t="s">
        <v>540</v>
      </c>
      <c r="CZ1462">
        <v>2015</v>
      </c>
      <c r="DA1462">
        <v>2050</v>
      </c>
      <c r="DB1462">
        <v>35</v>
      </c>
      <c r="DC1462" t="str">
        <f t="shared" si="1915"/>
        <v>31-70</v>
      </c>
      <c r="DD1462">
        <v>0</v>
      </c>
      <c r="DE1462">
        <v>1</v>
      </c>
      <c r="DF1462">
        <v>1</v>
      </c>
      <c r="DG1462">
        <v>1</v>
      </c>
      <c r="DI1462">
        <f t="shared" si="1916"/>
        <v>3</v>
      </c>
      <c r="DJ1462" t="str">
        <f t="shared" si="1917"/>
        <v>mixedProduct</v>
      </c>
      <c r="DK1462">
        <f t="shared" si="1918"/>
        <v>0</v>
      </c>
      <c r="DL1462" t="str">
        <f t="shared" si="1919"/>
        <v>Energy</v>
      </c>
      <c r="DM1462" t="str">
        <f t="shared" si="1920"/>
        <v>Pulp/Paper</v>
      </c>
      <c r="DN1462" t="str">
        <f t="shared" si="1921"/>
        <v>Timber</v>
      </c>
      <c r="DO1462">
        <v>1</v>
      </c>
      <c r="DP1462">
        <v>1</v>
      </c>
      <c r="DQ1462" t="s">
        <v>2283</v>
      </c>
      <c r="DR1462">
        <v>0</v>
      </c>
      <c r="DS1462">
        <v>0</v>
      </c>
      <c r="DT1462">
        <f t="shared" si="1922"/>
        <v>2</v>
      </c>
      <c r="DU1462" s="143" t="str">
        <f t="shared" si="1923"/>
        <v>self-calculated DF</v>
      </c>
      <c r="DV1462">
        <v>1</v>
      </c>
      <c r="DW1462">
        <v>1</v>
      </c>
      <c r="DX1462">
        <v>1</v>
      </c>
      <c r="DY1462">
        <v>1</v>
      </c>
      <c r="DZ1462">
        <v>1</v>
      </c>
      <c r="EA1462">
        <v>1</v>
      </c>
      <c r="EB1462">
        <v>0</v>
      </c>
      <c r="EC1462">
        <v>0</v>
      </c>
      <c r="ED1462">
        <v>0</v>
      </c>
      <c r="EE1462">
        <v>0</v>
      </c>
      <c r="EF1462">
        <v>1</v>
      </c>
      <c r="EG1462">
        <v>0</v>
      </c>
      <c r="EH1462">
        <v>0</v>
      </c>
      <c r="EI1462" s="2">
        <v>0</v>
      </c>
      <c r="EK1462" t="str">
        <f t="shared" si="1924"/>
        <v/>
      </c>
      <c r="EL1462" t="str">
        <f t="shared" si="1925"/>
        <v/>
      </c>
      <c r="EM1462" s="2" t="str">
        <f t="shared" si="1927"/>
        <v/>
      </c>
      <c r="EP1462" t="b">
        <f>IF(ISNUMBER(BU1462),IF(ABS(BU1462-[3]QC_indicators!$B$2)&gt;3*[3]QC_indicators!$C$2,"C ratio",IF(ISNUMBER(BY1462),IF(ABS(BY1462-[3]QC_indicators!$B$1)&gt;3*[3]QC_indicators!$C$1,"DF","no"))),IF(ISNUMBER(BY1462),IF(ABS(BY1462-[3]QC_indicators!$B$1)&gt;3*[3]QC_indicators!$C$1,"DF","no")))</f>
        <v>0</v>
      </c>
      <c r="ET1462" s="268" t="s">
        <v>3241</v>
      </c>
    </row>
    <row r="1463" spans="1:150" ht="15" hidden="1" customHeight="1">
      <c r="A1463" s="1" t="s">
        <v>1101</v>
      </c>
      <c r="B1463" t="s">
        <v>2306</v>
      </c>
      <c r="C1463" t="s">
        <v>2307</v>
      </c>
      <c r="D1463" t="s">
        <v>2308</v>
      </c>
      <c r="E1463" s="264" t="s">
        <v>2309</v>
      </c>
      <c r="F1463" t="s">
        <v>2310</v>
      </c>
      <c r="G1463" t="s">
        <v>1107</v>
      </c>
      <c r="H1463" t="s">
        <v>254</v>
      </c>
      <c r="I1463">
        <v>2017</v>
      </c>
      <c r="J1463">
        <v>28</v>
      </c>
      <c r="K1463" t="s">
        <v>2311</v>
      </c>
      <c r="M1463" t="str">
        <f t="shared" si="1856"/>
        <v>Smyth_2017</v>
      </c>
      <c r="N1463" t="s">
        <v>222</v>
      </c>
      <c r="O1463" s="145" t="s">
        <v>341</v>
      </c>
      <c r="Q1463" t="s">
        <v>256</v>
      </c>
      <c r="R1463" s="262" t="s">
        <v>223</v>
      </c>
      <c r="S1463" s="1" t="s">
        <v>2312</v>
      </c>
      <c r="T1463" t="s">
        <v>1154</v>
      </c>
      <c r="U1463" t="s">
        <v>2167</v>
      </c>
      <c r="V1463">
        <v>0</v>
      </c>
      <c r="W1463">
        <v>0</v>
      </c>
      <c r="X1463">
        <v>0</v>
      </c>
      <c r="Y1463">
        <v>1</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s="141">
        <f t="shared" si="1895"/>
        <v>1</v>
      </c>
      <c r="AY1463" s="141">
        <f t="shared" si="1896"/>
        <v>1</v>
      </c>
      <c r="AZ1463">
        <f t="shared" si="1897"/>
        <v>1</v>
      </c>
      <c r="BA1463">
        <f t="shared" si="1898"/>
        <v>0</v>
      </c>
      <c r="BB1463">
        <f t="shared" si="1899"/>
        <v>0</v>
      </c>
      <c r="BC1463">
        <f t="shared" si="1900"/>
        <v>0</v>
      </c>
      <c r="BD1463">
        <f t="shared" si="1901"/>
        <v>0</v>
      </c>
      <c r="BE1463" t="str">
        <f t="array" ref="BE1463">IF(AY1463=1,INDEX($V$7:$AL$7,MATCH(TRUE,INDEX($V1463:$AW1463&lt;&gt;0,),0)),IF(AY1463=0,INDEX($AM$7:$AW$7,MATCH(1,$AM1463:$AW1463,0)),IF(BF1463="Multiple strategies","mixed drivers",IF(BF1463="Supply chain","multiple supply","multiple silviculture"))))</f>
        <v xml:space="preserve">cutting intensity </v>
      </c>
      <c r="BF1463" s="2" t="str" cm="1">
        <f t="array" ref="BF1463">IF(COUNTIF(AZ1463:BB1463,"&lt;&gt;0")=1,INDEX($V$4:$AW$4,MATCH(TRUE,INDEX($V1463:$AW1463&lt;&gt;0,),0)),IF(COUNTIF(AZ1463:BB1463,"&lt;&gt;0")=0,INDEX($AM$4:$AW$4,MATCH(1,$AM1463:$AW1463,0)),"Multiple strategies"))</f>
        <v>Silviculture for removals</v>
      </c>
      <c r="BG1463" s="174" t="s">
        <v>321</v>
      </c>
      <c r="BH1463" t="s">
        <v>2313</v>
      </c>
      <c r="BI1463" s="264" t="s">
        <v>3244</v>
      </c>
      <c r="BJ1463" t="s">
        <v>2287</v>
      </c>
      <c r="BK1463">
        <f>1*33</f>
        <v>33</v>
      </c>
      <c r="BL1463">
        <f>11.9*33</f>
        <v>392.7</v>
      </c>
      <c r="BN1463">
        <f>BL1463-BK1463</f>
        <v>359.7</v>
      </c>
      <c r="BO1463">
        <f>BN1463*10^6*tC_to_m3</f>
        <v>1561875814.1554496</v>
      </c>
      <c r="BP1463" t="s">
        <v>232</v>
      </c>
      <c r="BQ1463" s="153" t="s">
        <v>3245</v>
      </c>
      <c r="BR1463" t="s">
        <v>1139</v>
      </c>
      <c r="BS1463">
        <f>-11.5*33</f>
        <v>-379.5</v>
      </c>
      <c r="BT1463">
        <f>-3.4*33</f>
        <v>-112.2</v>
      </c>
      <c r="BU1463" s="144">
        <f>IFERROR(BT1463/BS1463,"")</f>
        <v>0.29565217391304349</v>
      </c>
      <c r="BV1463">
        <f>BT1463-BS1463</f>
        <v>267.3</v>
      </c>
      <c r="BX1463">
        <f t="shared" si="1904"/>
        <v>267300000</v>
      </c>
      <c r="BY1463">
        <f t="shared" si="1926"/>
        <v>0.17114036697247703</v>
      </c>
      <c r="BZ1463">
        <v>0</v>
      </c>
      <c r="CA1463">
        <v>1</v>
      </c>
      <c r="CB1463">
        <v>1</v>
      </c>
      <c r="CC1463">
        <v>1</v>
      </c>
      <c r="CD1463">
        <v>0</v>
      </c>
      <c r="CE1463">
        <v>0</v>
      </c>
      <c r="CF1463">
        <v>0</v>
      </c>
      <c r="CG1463">
        <v>0</v>
      </c>
      <c r="CH1463">
        <v>0</v>
      </c>
      <c r="CI1463">
        <v>0</v>
      </c>
      <c r="CJ1463">
        <v>0</v>
      </c>
      <c r="CK1463">
        <v>0</v>
      </c>
      <c r="CL1463">
        <v>0</v>
      </c>
      <c r="CM1463">
        <v>0</v>
      </c>
      <c r="CN1463" t="str">
        <f>IF($BL1463&lt;$BK1463,"refNeedCorrection","refOK")</f>
        <v>refOK</v>
      </c>
      <c r="CO1463">
        <f>IF($CN1463="refOK",$BK1463,$BL1463)</f>
        <v>33</v>
      </c>
      <c r="CP1463">
        <f>IF($CN1463="refOK",$BL1463,$BK1463)</f>
        <v>392.7</v>
      </c>
      <c r="CQ1463">
        <f>IF($CN1463="refOK",$BO1463,-$BO1463)</f>
        <v>1561875814.1554496</v>
      </c>
      <c r="CR1463">
        <f t="shared" si="1909"/>
        <v>-379.5</v>
      </c>
      <c r="CS1463">
        <f t="shared" si="1910"/>
        <v>-112.2</v>
      </c>
      <c r="CT1463">
        <f t="shared" si="1911"/>
        <v>267300000</v>
      </c>
      <c r="CU1463">
        <f t="shared" si="1912"/>
        <v>0.17114036697247703</v>
      </c>
      <c r="CV1463" s="2">
        <f t="shared" si="1913"/>
        <v>0.70434782608695656</v>
      </c>
      <c r="CW1463" s="1" t="s">
        <v>1202</v>
      </c>
      <c r="CX1463" t="str">
        <f t="shared" si="1914"/>
        <v>reg</v>
      </c>
      <c r="CY1463" t="s">
        <v>540</v>
      </c>
      <c r="CZ1463">
        <v>2017</v>
      </c>
      <c r="DA1463">
        <v>2050</v>
      </c>
      <c r="DB1463">
        <v>33</v>
      </c>
      <c r="DC1463" t="str">
        <f t="shared" si="1915"/>
        <v>31-70</v>
      </c>
      <c r="DD1463">
        <v>0</v>
      </c>
      <c r="DE1463">
        <v>1</v>
      </c>
      <c r="DF1463">
        <v>1</v>
      </c>
      <c r="DG1463">
        <v>1</v>
      </c>
      <c r="DI1463">
        <f t="shared" si="1916"/>
        <v>3</v>
      </c>
      <c r="DJ1463" t="str">
        <f t="shared" si="1917"/>
        <v>mixedProduct</v>
      </c>
      <c r="DK1463">
        <f t="shared" si="1918"/>
        <v>0</v>
      </c>
      <c r="DL1463" t="str">
        <f t="shared" si="1919"/>
        <v>Energy</v>
      </c>
      <c r="DM1463" t="str">
        <f t="shared" si="1920"/>
        <v>Pulp/Paper</v>
      </c>
      <c r="DN1463" t="str">
        <f t="shared" si="1921"/>
        <v>Timber</v>
      </c>
      <c r="DO1463">
        <v>1</v>
      </c>
      <c r="DP1463">
        <v>1</v>
      </c>
      <c r="DQ1463" t="s">
        <v>2314</v>
      </c>
      <c r="DR1463">
        <v>0</v>
      </c>
      <c r="DS1463">
        <v>0</v>
      </c>
      <c r="DT1463">
        <f t="shared" si="1922"/>
        <v>2</v>
      </c>
      <c r="DU1463" s="143" t="str">
        <f t="shared" si="1923"/>
        <v>self-calculated DF</v>
      </c>
      <c r="DV1463">
        <v>1</v>
      </c>
      <c r="DW1463">
        <v>1</v>
      </c>
      <c r="DX1463">
        <v>1</v>
      </c>
      <c r="DY1463">
        <v>1</v>
      </c>
      <c r="DZ1463">
        <v>1</v>
      </c>
      <c r="EA1463">
        <v>1</v>
      </c>
      <c r="EB1463">
        <v>0</v>
      </c>
      <c r="EC1463">
        <v>0</v>
      </c>
      <c r="ED1463">
        <v>0</v>
      </c>
      <c r="EE1463">
        <v>0</v>
      </c>
      <c r="EF1463">
        <v>1</v>
      </c>
      <c r="EG1463">
        <v>0</v>
      </c>
      <c r="EH1463">
        <v>0</v>
      </c>
      <c r="EI1463" s="2">
        <v>0</v>
      </c>
      <c r="EK1463" t="str">
        <f t="shared" si="1924"/>
        <v/>
      </c>
      <c r="EL1463" t="str">
        <f t="shared" si="1925"/>
        <v/>
      </c>
      <c r="EM1463" s="2" t="str">
        <f t="shared" si="1927"/>
        <v/>
      </c>
      <c r="EP1463" t="str">
        <f>IF(ISNUMBER(BU1463),IF(ABS(BU1463-[3]QC_indicators!$B$2)&gt;3*[3]QC_indicators!$C$2,"C ratio",IF(ISNUMBER(BY1463),IF(ABS(BY1463-[3]QC_indicators!$B$1)&gt;3*[3]QC_indicators!$C$1,"DF","no"))),IF(ISNUMBER(BY1463),IF(ABS(BY1463-[3]QC_indicators!$B$1)&gt;3*[3]QC_indicators!$C$1,"DF","no")))</f>
        <v>no</v>
      </c>
      <c r="ET1463" s="264" t="s">
        <v>3246</v>
      </c>
    </row>
    <row r="1464" spans="1:150" ht="15" hidden="1" customHeight="1">
      <c r="D1464" t="s">
        <v>4169</v>
      </c>
      <c r="E1464" t="s">
        <v>4170</v>
      </c>
      <c r="G1464" t="s">
        <v>3563</v>
      </c>
      <c r="I1464">
        <v>2018</v>
      </c>
      <c r="K1464" t="s">
        <v>4171</v>
      </c>
      <c r="M1464" t="str">
        <f t="shared" si="1856"/>
        <v>Smyth_2018</v>
      </c>
      <c r="N1464" s="311" t="s">
        <v>4382</v>
      </c>
      <c r="O1464" s="145" t="s">
        <v>225</v>
      </c>
      <c r="Q1464" s="311" t="s">
        <v>256</v>
      </c>
      <c r="R1464" s="312"/>
      <c r="S1464" s="1" t="s">
        <v>2295</v>
      </c>
      <c r="V1464" s="143">
        <v>1</v>
      </c>
      <c r="W1464" s="143">
        <v>0</v>
      </c>
      <c r="X1464" s="143">
        <v>0</v>
      </c>
      <c r="Y1464" s="143">
        <v>0</v>
      </c>
      <c r="Z1464" s="143">
        <v>0</v>
      </c>
      <c r="AA1464" s="143">
        <v>0</v>
      </c>
      <c r="AB1464" s="143">
        <v>0</v>
      </c>
      <c r="AC1464" s="143">
        <v>0</v>
      </c>
      <c r="AD1464" s="143">
        <v>0</v>
      </c>
      <c r="AE1464" s="143">
        <v>0</v>
      </c>
      <c r="AF1464" s="143">
        <v>0</v>
      </c>
      <c r="AG1464" s="143">
        <v>0</v>
      </c>
      <c r="AH1464" s="143">
        <v>0</v>
      </c>
      <c r="AI1464" s="143">
        <v>0</v>
      </c>
      <c r="AJ1464" s="143">
        <v>0</v>
      </c>
      <c r="AK1464" s="143">
        <v>0</v>
      </c>
      <c r="AL1464" s="143">
        <v>0</v>
      </c>
      <c r="AM1464" s="143">
        <v>0</v>
      </c>
      <c r="AN1464" s="143">
        <v>0</v>
      </c>
      <c r="AO1464" s="143">
        <v>0</v>
      </c>
      <c r="AP1464" s="143">
        <v>0</v>
      </c>
      <c r="AQ1464" s="143">
        <v>0</v>
      </c>
      <c r="AR1464" s="143">
        <v>0</v>
      </c>
      <c r="AS1464" s="143">
        <v>0</v>
      </c>
      <c r="AT1464" s="143">
        <v>0</v>
      </c>
      <c r="AU1464" s="143">
        <v>0</v>
      </c>
      <c r="AV1464" s="143">
        <v>0</v>
      </c>
      <c r="AW1464" s="143">
        <v>0</v>
      </c>
      <c r="AX1464" s="141">
        <f t="shared" si="1895"/>
        <v>1</v>
      </c>
      <c r="AY1464" s="141">
        <f t="shared" si="1896"/>
        <v>1</v>
      </c>
      <c r="AZ1464">
        <f t="shared" si="1897"/>
        <v>1</v>
      </c>
      <c r="BA1464">
        <f t="shared" si="1898"/>
        <v>0</v>
      </c>
      <c r="BB1464">
        <f t="shared" si="1899"/>
        <v>0</v>
      </c>
      <c r="BC1464">
        <f t="shared" si="1900"/>
        <v>0</v>
      </c>
      <c r="BD1464">
        <f t="shared" si="1901"/>
        <v>0</v>
      </c>
      <c r="BE1464" t="str" cm="1">
        <f t="array" ref="BE1464">IF(AY1464=1,INDEX($V$7:$AL$7,MATCH(TRUE,INDEX($V1464:$AW1464&lt;&gt;0,),0)),IF(AY1464=0,INDEX($AM$7:$AW$7,MATCH(1,$AM1464:$AW1464,0)),IF(BF1464="Multiple strategies","mixed drivers",IF(BF1464="Supply chain","multiple supply","multiple silviculture"))))</f>
        <v>area subject to harvest</v>
      </c>
      <c r="BF1464" s="2" t="str" cm="1">
        <f t="array" ref="BF1464">IF(COUNTIF(AZ1464:BB1464,"&lt;&gt;0")=1,INDEX($V$4:$AW$4,MATCH(TRUE,INDEX($V1464:$AW1464&lt;&gt;0,),0)),IF(COUNTIF(AZ1464:BB1464,"&lt;&gt;0")=0,INDEX($AM$4:$AW$4,MATCH(1,$AM1464:$AW1464,0)),"Multiple strategies"))</f>
        <v>Silviculture for removals</v>
      </c>
      <c r="BG1464" s="1" t="s">
        <v>321</v>
      </c>
      <c r="BP1464" s="311" t="s">
        <v>232</v>
      </c>
      <c r="BQ1464" s="311"/>
      <c r="BR1464" t="s">
        <v>4172</v>
      </c>
      <c r="BU1464" s="144"/>
      <c r="BV1464">
        <v>42</v>
      </c>
      <c r="BY1464" t="str">
        <f t="shared" si="1926"/>
        <v/>
      </c>
      <c r="BZ1464" s="143">
        <v>0</v>
      </c>
      <c r="CA1464" s="143">
        <v>0</v>
      </c>
      <c r="CB1464" s="143">
        <v>0</v>
      </c>
      <c r="CC1464" s="143">
        <v>0</v>
      </c>
      <c r="CD1464" s="143">
        <v>0</v>
      </c>
      <c r="CE1464" s="143">
        <v>0</v>
      </c>
      <c r="CF1464" s="143">
        <v>0</v>
      </c>
      <c r="CG1464" s="143">
        <v>0</v>
      </c>
      <c r="CH1464" s="143">
        <v>0</v>
      </c>
      <c r="CI1464" s="143">
        <v>0</v>
      </c>
      <c r="CJ1464" s="143">
        <v>0</v>
      </c>
      <c r="CK1464" s="143">
        <v>0</v>
      </c>
      <c r="CL1464" s="143">
        <v>0</v>
      </c>
      <c r="CM1464" s="143">
        <v>0</v>
      </c>
      <c r="CN1464" t="str">
        <f t="shared" ref="CN1464:CN1486" si="1928">IF(BL1464&lt;BK1464,"refNeedCorrection","refOK")</f>
        <v>refOK</v>
      </c>
      <c r="CO1464"/>
      <c r="CP1464"/>
      <c r="CQ1464"/>
      <c r="CR1464"/>
      <c r="CS1464"/>
      <c r="CT1464">
        <f t="shared" si="1911"/>
        <v>0</v>
      </c>
      <c r="CU1464" t="str">
        <f t="shared" si="1912"/>
        <v/>
      </c>
      <c r="CV1464" s="2" t="str">
        <f t="shared" si="1913"/>
        <v/>
      </c>
      <c r="CW1464" s="1" t="s">
        <v>1198</v>
      </c>
      <c r="CX1464" s="311" t="str">
        <f t="shared" si="1914"/>
        <v>reg</v>
      </c>
      <c r="CY1464" t="s">
        <v>540</v>
      </c>
      <c r="CZ1464">
        <v>2018</v>
      </c>
      <c r="DA1464">
        <v>2050</v>
      </c>
      <c r="DB1464">
        <f t="shared" ref="DB1464:DB1472" si="1929">DA1464-CZ1464</f>
        <v>32</v>
      </c>
      <c r="DC1464" t="str">
        <f t="shared" si="1915"/>
        <v>31-70</v>
      </c>
      <c r="DD1464">
        <v>1</v>
      </c>
      <c r="DE1464">
        <v>1</v>
      </c>
      <c r="DF1464">
        <v>1</v>
      </c>
      <c r="DG1464">
        <v>1</v>
      </c>
      <c r="DI1464">
        <f t="shared" si="1916"/>
        <v>4</v>
      </c>
      <c r="DJ1464" t="str">
        <f t="shared" si="1917"/>
        <v>mixedProduct</v>
      </c>
      <c r="DK1464" t="str">
        <f t="shared" si="1918"/>
        <v>Upstream</v>
      </c>
      <c r="DL1464" t="str">
        <f t="shared" si="1919"/>
        <v>Energy</v>
      </c>
      <c r="DM1464" t="str">
        <f t="shared" si="1920"/>
        <v>Pulp/Paper</v>
      </c>
      <c r="DN1464" t="str">
        <f t="shared" si="1921"/>
        <v>Timber</v>
      </c>
      <c r="DO1464">
        <v>1</v>
      </c>
      <c r="DP1464" s="143">
        <v>0</v>
      </c>
      <c r="DQ1464">
        <v>0</v>
      </c>
      <c r="DR1464">
        <v>0</v>
      </c>
      <c r="DS1464">
        <v>0</v>
      </c>
      <c r="DT1464">
        <f t="shared" si="1922"/>
        <v>1</v>
      </c>
      <c r="DU1464" s="143" t="str">
        <f t="shared" si="1923"/>
        <v>self-calculated DF</v>
      </c>
      <c r="DV1464" s="143">
        <v>1</v>
      </c>
      <c r="DW1464" s="143">
        <v>1</v>
      </c>
      <c r="DX1464" s="143">
        <v>1</v>
      </c>
      <c r="DY1464" s="143">
        <v>1</v>
      </c>
      <c r="DZ1464" s="143">
        <v>1</v>
      </c>
      <c r="EA1464" s="143">
        <v>1</v>
      </c>
      <c r="EB1464" s="143">
        <v>0</v>
      </c>
      <c r="EC1464" s="143">
        <v>0</v>
      </c>
      <c r="ED1464" s="143">
        <v>0</v>
      </c>
      <c r="EE1464" s="143">
        <v>0</v>
      </c>
      <c r="EF1464" s="143">
        <v>0</v>
      </c>
      <c r="EG1464" s="143">
        <v>0</v>
      </c>
      <c r="EH1464" s="143">
        <v>0</v>
      </c>
      <c r="EI1464" s="196">
        <v>0</v>
      </c>
      <c r="EK1464" t="str">
        <f t="shared" ref="EK1464:EK1472" si="1930">IF(AND(AND(AND(OR($DX1464=1,$DW1464=1),OR($EC1464=1,$EA1464=1)),SUM($DV1464:$DZ1464,$EF1464)&gt;=3),SUM($EA1464:$EE1464)&gt;=2),"Whole sector","")</f>
        <v/>
      </c>
      <c r="EL1464" t="str">
        <f t="shared" ref="EL1464:EL1472" si="1931">IF(AND(AND(OR($DX1464=1,$DW1464=1),AND($EC1464=0,$EA1464=0)),SUM($DV1464:$DZ1464,$EF1464)&gt;=3),"Ecosystem approach","")</f>
        <v/>
      </c>
      <c r="EM1464" s="2" t="str">
        <f t="shared" si="1927"/>
        <v/>
      </c>
      <c r="EP1464" t="b">
        <f>IF(ISNUMBER(BU1464),IF(ABS(BU1464-[1]QC_indicators!$B$2)&gt;3*[1]QC_indicators!$C$2,"C ratio",IF(ISNUMBER(BY1464),IF(ABS(BY1464-[1]QC_indicators!$B$1)&gt;3*[1]QC_indicators!$C$1,"DF","no"))),IF(ISNUMBER(BY1464),IF(ABS(BY1464-[1]QC_indicators!$B$1)&gt;3*[1]QC_indicators!$C$1,"DF","no")))</f>
        <v>0</v>
      </c>
      <c r="ER1464" s="313" t="s">
        <v>349</v>
      </c>
    </row>
    <row r="1465" spans="1:150" ht="15" hidden="1" customHeight="1">
      <c r="D1465" t="s">
        <v>4169</v>
      </c>
      <c r="E1465" t="s">
        <v>4170</v>
      </c>
      <c r="G1465" t="s">
        <v>3563</v>
      </c>
      <c r="I1465">
        <v>2018</v>
      </c>
      <c r="K1465" t="s">
        <v>4171</v>
      </c>
      <c r="M1465" t="str">
        <f t="shared" si="1856"/>
        <v>Smyth_2018</v>
      </c>
      <c r="N1465" s="311" t="s">
        <v>4382</v>
      </c>
      <c r="O1465" s="145" t="s">
        <v>225</v>
      </c>
      <c r="Q1465" s="311" t="s">
        <v>256</v>
      </c>
      <c r="R1465" s="312"/>
      <c r="S1465" s="1" t="s">
        <v>2295</v>
      </c>
      <c r="V1465" s="143">
        <v>1</v>
      </c>
      <c r="W1465" s="143">
        <v>0</v>
      </c>
      <c r="X1465" s="143">
        <v>0</v>
      </c>
      <c r="Y1465" s="143">
        <v>0</v>
      </c>
      <c r="Z1465" s="143">
        <v>0</v>
      </c>
      <c r="AA1465" s="143">
        <v>0</v>
      </c>
      <c r="AB1465" s="143">
        <v>0</v>
      </c>
      <c r="AC1465" s="143">
        <v>0</v>
      </c>
      <c r="AD1465" s="143">
        <v>0</v>
      </c>
      <c r="AE1465" s="143">
        <v>0</v>
      </c>
      <c r="AF1465" s="143">
        <v>0</v>
      </c>
      <c r="AG1465" s="143">
        <v>0</v>
      </c>
      <c r="AH1465" s="143">
        <v>0</v>
      </c>
      <c r="AI1465" s="143">
        <v>0</v>
      </c>
      <c r="AJ1465" s="143">
        <v>0</v>
      </c>
      <c r="AK1465" s="143">
        <v>0</v>
      </c>
      <c r="AL1465" s="143">
        <v>0</v>
      </c>
      <c r="AM1465" s="143">
        <v>0</v>
      </c>
      <c r="AN1465" s="143">
        <v>0</v>
      </c>
      <c r="AO1465" s="143">
        <v>0</v>
      </c>
      <c r="AP1465" s="143">
        <v>0</v>
      </c>
      <c r="AQ1465" s="143">
        <v>0</v>
      </c>
      <c r="AR1465" s="143">
        <v>0</v>
      </c>
      <c r="AS1465" s="143">
        <v>0</v>
      </c>
      <c r="AT1465" s="143">
        <v>0</v>
      </c>
      <c r="AU1465" s="143">
        <v>0</v>
      </c>
      <c r="AV1465" s="143">
        <v>0</v>
      </c>
      <c r="AW1465" s="143">
        <v>0</v>
      </c>
      <c r="AX1465" s="141">
        <f t="shared" si="1895"/>
        <v>1</v>
      </c>
      <c r="AY1465" s="141">
        <f t="shared" si="1896"/>
        <v>1</v>
      </c>
      <c r="AZ1465">
        <f t="shared" si="1897"/>
        <v>1</v>
      </c>
      <c r="BA1465">
        <f t="shared" si="1898"/>
        <v>0</v>
      </c>
      <c r="BB1465">
        <f t="shared" si="1899"/>
        <v>0</v>
      </c>
      <c r="BC1465">
        <f t="shared" si="1900"/>
        <v>0</v>
      </c>
      <c r="BD1465">
        <f t="shared" si="1901"/>
        <v>0</v>
      </c>
      <c r="BE1465" t="str" cm="1">
        <f t="array" ref="BE1465">IF(AY1465=1,INDEX($V$7:$AL$7,MATCH(TRUE,INDEX($V1465:$AW1465&lt;&gt;0,),0)),IF(AY1465=0,INDEX($AM$7:$AW$7,MATCH(1,$AM1465:$AW1465,0)),IF(BF1465="Multiple strategies","mixed drivers",IF(BF1465="Supply chain","multiple supply","multiple silviculture"))))</f>
        <v>area subject to harvest</v>
      </c>
      <c r="BF1465" s="2" t="str" cm="1">
        <f t="array" ref="BF1465">IF(COUNTIF(AZ1465:BB1465,"&lt;&gt;0")=1,INDEX($V$4:$AW$4,MATCH(TRUE,INDEX($V1465:$AW1465&lt;&gt;0,),0)),IF(COUNTIF(AZ1465:BB1465,"&lt;&gt;0")=0,INDEX($AM$4:$AW$4,MATCH(1,$AM1465:$AW1465,0)),"Multiple strategies"))</f>
        <v>Silviculture for removals</v>
      </c>
      <c r="BG1465" s="1" t="s">
        <v>321</v>
      </c>
      <c r="BP1465" s="311" t="s">
        <v>232</v>
      </c>
      <c r="BQ1465" s="311"/>
      <c r="BR1465" t="s">
        <v>4172</v>
      </c>
      <c r="BU1465" s="144"/>
      <c r="BV1465">
        <v>5</v>
      </c>
      <c r="BY1465" t="str">
        <f t="shared" si="1926"/>
        <v/>
      </c>
      <c r="BZ1465" s="143">
        <v>0</v>
      </c>
      <c r="CA1465" s="143">
        <v>0</v>
      </c>
      <c r="CB1465" s="143">
        <v>0</v>
      </c>
      <c r="CC1465" s="143">
        <v>0</v>
      </c>
      <c r="CD1465" s="143">
        <v>0</v>
      </c>
      <c r="CE1465" s="143">
        <v>0</v>
      </c>
      <c r="CF1465" s="143">
        <v>0</v>
      </c>
      <c r="CG1465" s="143">
        <v>0</v>
      </c>
      <c r="CH1465" s="143">
        <v>0</v>
      </c>
      <c r="CI1465" s="143">
        <v>0</v>
      </c>
      <c r="CJ1465" s="143">
        <v>0</v>
      </c>
      <c r="CK1465" s="143">
        <v>0</v>
      </c>
      <c r="CL1465" s="143">
        <v>0</v>
      </c>
      <c r="CM1465" s="143">
        <v>0</v>
      </c>
      <c r="CN1465" t="str">
        <f t="shared" si="1928"/>
        <v>refOK</v>
      </c>
      <c r="CO1465"/>
      <c r="CP1465"/>
      <c r="CQ1465"/>
      <c r="CR1465"/>
      <c r="CS1465"/>
      <c r="CT1465">
        <f t="shared" si="1911"/>
        <v>0</v>
      </c>
      <c r="CU1465" t="str">
        <f t="shared" si="1912"/>
        <v/>
      </c>
      <c r="CV1465" s="2" t="str">
        <f t="shared" si="1913"/>
        <v/>
      </c>
      <c r="CW1465" s="1" t="s">
        <v>1198</v>
      </c>
      <c r="CX1465" s="311" t="str">
        <f t="shared" si="1914"/>
        <v>reg</v>
      </c>
      <c r="CY1465" t="s">
        <v>540</v>
      </c>
      <c r="CZ1465">
        <v>2018</v>
      </c>
      <c r="DA1465">
        <v>2050</v>
      </c>
      <c r="DB1465">
        <f t="shared" si="1929"/>
        <v>32</v>
      </c>
      <c r="DC1465" t="str">
        <f t="shared" si="1915"/>
        <v>31-70</v>
      </c>
      <c r="DD1465">
        <v>1</v>
      </c>
      <c r="DE1465">
        <v>1</v>
      </c>
      <c r="DF1465">
        <v>1</v>
      </c>
      <c r="DG1465">
        <v>1</v>
      </c>
      <c r="DI1465">
        <f t="shared" si="1916"/>
        <v>4</v>
      </c>
      <c r="DJ1465" t="str">
        <f t="shared" si="1917"/>
        <v>mixedProduct</v>
      </c>
      <c r="DK1465" t="str">
        <f t="shared" si="1918"/>
        <v>Upstream</v>
      </c>
      <c r="DL1465" t="str">
        <f t="shared" si="1919"/>
        <v>Energy</v>
      </c>
      <c r="DM1465" t="str">
        <f t="shared" si="1920"/>
        <v>Pulp/Paper</v>
      </c>
      <c r="DN1465" t="str">
        <f t="shared" si="1921"/>
        <v>Timber</v>
      </c>
      <c r="DO1465">
        <v>1</v>
      </c>
      <c r="DP1465" s="143">
        <v>0</v>
      </c>
      <c r="DQ1465">
        <v>0</v>
      </c>
      <c r="DR1465">
        <v>0</v>
      </c>
      <c r="DS1465">
        <v>0</v>
      </c>
      <c r="DT1465">
        <f t="shared" si="1922"/>
        <v>1</v>
      </c>
      <c r="DU1465" s="143" t="str">
        <f t="shared" si="1923"/>
        <v>self-calculated DF</v>
      </c>
      <c r="DV1465" s="143">
        <v>1</v>
      </c>
      <c r="DW1465" s="143">
        <v>1</v>
      </c>
      <c r="DX1465" s="143">
        <v>1</v>
      </c>
      <c r="DY1465" s="143">
        <v>1</v>
      </c>
      <c r="DZ1465" s="143">
        <v>1</v>
      </c>
      <c r="EA1465" s="143">
        <v>1</v>
      </c>
      <c r="EB1465" s="143">
        <v>0</v>
      </c>
      <c r="EC1465" s="143">
        <v>0</v>
      </c>
      <c r="ED1465" s="143">
        <v>0</v>
      </c>
      <c r="EE1465" s="143">
        <v>0</v>
      </c>
      <c r="EF1465" s="143">
        <v>0</v>
      </c>
      <c r="EG1465" s="143">
        <v>0</v>
      </c>
      <c r="EH1465" s="143">
        <v>0</v>
      </c>
      <c r="EI1465" s="196">
        <v>0</v>
      </c>
      <c r="EK1465" t="str">
        <f t="shared" si="1930"/>
        <v/>
      </c>
      <c r="EL1465" t="str">
        <f t="shared" si="1931"/>
        <v/>
      </c>
      <c r="EM1465" s="2" t="str">
        <f t="shared" si="1927"/>
        <v/>
      </c>
      <c r="EP1465" t="b">
        <f>IF(ISNUMBER(BU1465),IF(ABS(BU1465-[1]QC_indicators!$B$2)&gt;3*[1]QC_indicators!$C$2,"C ratio",IF(ISNUMBER(BY1465),IF(ABS(BY1465-[1]QC_indicators!$B$1)&gt;3*[1]QC_indicators!$C$1,"DF","no"))),IF(ISNUMBER(BY1465),IF(ABS(BY1465-[1]QC_indicators!$B$1)&gt;3*[1]QC_indicators!$C$1,"DF","no")))</f>
        <v>0</v>
      </c>
      <c r="ER1465" s="313" t="s">
        <v>349</v>
      </c>
    </row>
    <row r="1466" spans="1:150" ht="15" hidden="1" customHeight="1">
      <c r="D1466" t="s">
        <v>4169</v>
      </c>
      <c r="E1466" t="s">
        <v>4170</v>
      </c>
      <c r="G1466" t="s">
        <v>3563</v>
      </c>
      <c r="I1466">
        <v>2018</v>
      </c>
      <c r="K1466" t="s">
        <v>4171</v>
      </c>
      <c r="M1466" t="str">
        <f t="shared" si="1856"/>
        <v>Smyth_2018</v>
      </c>
      <c r="N1466" s="311" t="s">
        <v>4382</v>
      </c>
      <c r="O1466" s="145" t="s">
        <v>225</v>
      </c>
      <c r="Q1466" s="311" t="s">
        <v>256</v>
      </c>
      <c r="R1466" s="312"/>
      <c r="S1466" s="1" t="s">
        <v>4173</v>
      </c>
      <c r="V1466" s="143">
        <v>0</v>
      </c>
      <c r="W1466" s="143">
        <v>0</v>
      </c>
      <c r="X1466" s="143">
        <v>0</v>
      </c>
      <c r="Y1466" s="143">
        <v>1</v>
      </c>
      <c r="Z1466" s="143">
        <v>0</v>
      </c>
      <c r="AA1466" s="143">
        <v>0</v>
      </c>
      <c r="AB1466" s="143">
        <v>0</v>
      </c>
      <c r="AC1466" s="143">
        <v>0</v>
      </c>
      <c r="AD1466" s="143">
        <v>0</v>
      </c>
      <c r="AE1466" s="143">
        <v>0</v>
      </c>
      <c r="AF1466" s="143">
        <v>0</v>
      </c>
      <c r="AG1466" s="143">
        <v>0</v>
      </c>
      <c r="AH1466" s="143">
        <v>0</v>
      </c>
      <c r="AI1466" s="143">
        <v>0</v>
      </c>
      <c r="AJ1466" s="143">
        <v>0</v>
      </c>
      <c r="AK1466" s="143">
        <v>0</v>
      </c>
      <c r="AL1466" s="143">
        <v>0</v>
      </c>
      <c r="AM1466" s="143">
        <v>0</v>
      </c>
      <c r="AN1466" s="143">
        <v>0</v>
      </c>
      <c r="AO1466" s="143">
        <v>0</v>
      </c>
      <c r="AP1466" s="143">
        <v>0</v>
      </c>
      <c r="AQ1466" s="143">
        <v>0</v>
      </c>
      <c r="AR1466" s="143">
        <v>0</v>
      </c>
      <c r="AS1466" s="143">
        <v>0</v>
      </c>
      <c r="AT1466" s="143">
        <v>0</v>
      </c>
      <c r="AU1466" s="143">
        <v>0</v>
      </c>
      <c r="AV1466" s="143">
        <v>0</v>
      </c>
      <c r="AW1466" s="143">
        <v>0</v>
      </c>
      <c r="AX1466" s="141">
        <f t="shared" si="1895"/>
        <v>1</v>
      </c>
      <c r="AY1466" s="141">
        <f t="shared" si="1896"/>
        <v>1</v>
      </c>
      <c r="AZ1466">
        <f t="shared" si="1897"/>
        <v>1</v>
      </c>
      <c r="BA1466">
        <f t="shared" si="1898"/>
        <v>0</v>
      </c>
      <c r="BB1466">
        <f t="shared" si="1899"/>
        <v>0</v>
      </c>
      <c r="BC1466">
        <f t="shared" si="1900"/>
        <v>0</v>
      </c>
      <c r="BD1466">
        <f t="shared" si="1901"/>
        <v>0</v>
      </c>
      <c r="BE1466" t="str" cm="1">
        <f t="array" ref="BE1466">IF(AY1466=1,INDEX($V$7:$AL$7,MATCH(TRUE,INDEX($V1466:$AW1466&lt;&gt;0,),0)),IF(AY1466=0,INDEX($AM$7:$AW$7,MATCH(1,$AM1466:$AW1466,0)),IF(BF1466="Multiple strategies","mixed drivers",IF(BF1466="Supply chain","multiple supply","multiple silviculture"))))</f>
        <v xml:space="preserve">cutting intensity </v>
      </c>
      <c r="BF1466" s="2" t="str" cm="1">
        <f t="array" ref="BF1466">IF(COUNTIF(AZ1466:BB1466,"&lt;&gt;0")=1,INDEX($V$4:$AW$4,MATCH(TRUE,INDEX($V1466:$AW1466&lt;&gt;0,),0)),IF(COUNTIF(AZ1466:BB1466,"&lt;&gt;0")=0,INDEX($AM$4:$AW$4,MATCH(1,$AM1466:$AW1466,0)),"Multiple strategies"))</f>
        <v>Silviculture for removals</v>
      </c>
      <c r="BG1466" s="1" t="s">
        <v>321</v>
      </c>
      <c r="BP1466" s="311" t="s">
        <v>232</v>
      </c>
      <c r="BQ1466" s="311"/>
      <c r="BR1466" t="s">
        <v>4172</v>
      </c>
      <c r="BU1466" s="144"/>
      <c r="BV1466">
        <v>114</v>
      </c>
      <c r="BY1466" t="str">
        <f t="shared" si="1926"/>
        <v/>
      </c>
      <c r="BZ1466" s="143">
        <v>0</v>
      </c>
      <c r="CA1466" s="143">
        <v>0</v>
      </c>
      <c r="CB1466" s="143">
        <v>0</v>
      </c>
      <c r="CC1466" s="143">
        <v>0</v>
      </c>
      <c r="CD1466" s="143">
        <v>0</v>
      </c>
      <c r="CE1466" s="143">
        <v>0</v>
      </c>
      <c r="CF1466" s="143">
        <v>0</v>
      </c>
      <c r="CG1466" s="143">
        <v>0</v>
      </c>
      <c r="CH1466" s="143">
        <v>0</v>
      </c>
      <c r="CI1466" s="143">
        <v>0</v>
      </c>
      <c r="CJ1466" s="143">
        <v>0</v>
      </c>
      <c r="CK1466" s="143">
        <v>0</v>
      </c>
      <c r="CL1466" s="143">
        <v>0</v>
      </c>
      <c r="CM1466" s="143">
        <v>0</v>
      </c>
      <c r="CN1466" t="str">
        <f t="shared" si="1928"/>
        <v>refOK</v>
      </c>
      <c r="CO1466"/>
      <c r="CP1466"/>
      <c r="CQ1466"/>
      <c r="CR1466"/>
      <c r="CS1466"/>
      <c r="CT1466">
        <f t="shared" si="1911"/>
        <v>0</v>
      </c>
      <c r="CU1466" t="str">
        <f t="shared" si="1912"/>
        <v/>
      </c>
      <c r="CV1466" s="2" t="str">
        <f t="shared" si="1913"/>
        <v/>
      </c>
      <c r="CW1466" s="1" t="s">
        <v>1198</v>
      </c>
      <c r="CX1466" s="311" t="str">
        <f t="shared" si="1914"/>
        <v>reg</v>
      </c>
      <c r="CY1466" t="s">
        <v>540</v>
      </c>
      <c r="CZ1466">
        <v>2018</v>
      </c>
      <c r="DA1466">
        <v>2050</v>
      </c>
      <c r="DB1466">
        <f t="shared" si="1929"/>
        <v>32</v>
      </c>
      <c r="DC1466" t="str">
        <f t="shared" si="1915"/>
        <v>31-70</v>
      </c>
      <c r="DD1466">
        <v>1</v>
      </c>
      <c r="DE1466">
        <v>1</v>
      </c>
      <c r="DF1466">
        <v>1</v>
      </c>
      <c r="DG1466">
        <v>1</v>
      </c>
      <c r="DI1466">
        <f t="shared" si="1916"/>
        <v>4</v>
      </c>
      <c r="DJ1466" t="str">
        <f t="shared" si="1917"/>
        <v>mixedProduct</v>
      </c>
      <c r="DK1466" t="str">
        <f t="shared" si="1918"/>
        <v>Upstream</v>
      </c>
      <c r="DL1466" t="str">
        <f t="shared" si="1919"/>
        <v>Energy</v>
      </c>
      <c r="DM1466" t="str">
        <f t="shared" si="1920"/>
        <v>Pulp/Paper</v>
      </c>
      <c r="DN1466" t="str">
        <f t="shared" si="1921"/>
        <v>Timber</v>
      </c>
      <c r="DO1466">
        <v>1</v>
      </c>
      <c r="DP1466" s="143">
        <v>0</v>
      </c>
      <c r="DQ1466">
        <v>0</v>
      </c>
      <c r="DR1466">
        <v>0</v>
      </c>
      <c r="DS1466">
        <v>0</v>
      </c>
      <c r="DT1466">
        <f t="shared" si="1922"/>
        <v>1</v>
      </c>
      <c r="DU1466" s="143" t="str">
        <f t="shared" si="1923"/>
        <v>self-calculated DF</v>
      </c>
      <c r="DV1466" s="143">
        <v>1</v>
      </c>
      <c r="DW1466" s="143">
        <v>1</v>
      </c>
      <c r="DX1466" s="143">
        <v>1</v>
      </c>
      <c r="DY1466" s="143">
        <v>1</v>
      </c>
      <c r="DZ1466" s="143">
        <v>1</v>
      </c>
      <c r="EA1466" s="143">
        <v>1</v>
      </c>
      <c r="EB1466" s="143">
        <v>0</v>
      </c>
      <c r="EC1466" s="143">
        <v>0</v>
      </c>
      <c r="ED1466" s="143">
        <v>0</v>
      </c>
      <c r="EE1466" s="143">
        <v>0</v>
      </c>
      <c r="EF1466" s="143">
        <v>0</v>
      </c>
      <c r="EG1466" s="143">
        <v>0</v>
      </c>
      <c r="EH1466" s="143">
        <v>0</v>
      </c>
      <c r="EI1466" s="196">
        <v>0</v>
      </c>
      <c r="EK1466" t="str">
        <f t="shared" si="1930"/>
        <v/>
      </c>
      <c r="EL1466" t="str">
        <f t="shared" si="1931"/>
        <v/>
      </c>
      <c r="EM1466" s="2" t="str">
        <f t="shared" si="1927"/>
        <v/>
      </c>
      <c r="EP1466" t="b">
        <f>IF(ISNUMBER(BU1466),IF(ABS(BU1466-[1]QC_indicators!$B$2)&gt;3*[1]QC_indicators!$C$2,"C ratio",IF(ISNUMBER(BY1466),IF(ABS(BY1466-[1]QC_indicators!$B$1)&gt;3*[1]QC_indicators!$C$1,"DF","no"))),IF(ISNUMBER(BY1466),IF(ABS(BY1466-[1]QC_indicators!$B$1)&gt;3*[1]QC_indicators!$C$1,"DF","no")))</f>
        <v>0</v>
      </c>
      <c r="ER1466" s="313" t="s">
        <v>349</v>
      </c>
    </row>
    <row r="1467" spans="1:150" ht="15" hidden="1" customHeight="1">
      <c r="D1467" t="s">
        <v>4169</v>
      </c>
      <c r="E1467" t="s">
        <v>4170</v>
      </c>
      <c r="G1467" t="s">
        <v>3563</v>
      </c>
      <c r="I1467">
        <v>2018</v>
      </c>
      <c r="K1467" t="s">
        <v>4171</v>
      </c>
      <c r="M1467" t="str">
        <f t="shared" si="1856"/>
        <v>Smyth_2018</v>
      </c>
      <c r="N1467" s="311" t="s">
        <v>4382</v>
      </c>
      <c r="O1467" s="145" t="s">
        <v>225</v>
      </c>
      <c r="Q1467" s="311" t="s">
        <v>256</v>
      </c>
      <c r="R1467" s="312"/>
      <c r="S1467" s="1" t="s">
        <v>4173</v>
      </c>
      <c r="V1467" s="143">
        <v>0</v>
      </c>
      <c r="W1467" s="143">
        <v>0</v>
      </c>
      <c r="X1467" s="143">
        <v>0</v>
      </c>
      <c r="Y1467" s="143">
        <v>1</v>
      </c>
      <c r="Z1467" s="143">
        <v>0</v>
      </c>
      <c r="AA1467" s="143">
        <v>0</v>
      </c>
      <c r="AB1467" s="143">
        <v>0</v>
      </c>
      <c r="AC1467" s="143">
        <v>0</v>
      </c>
      <c r="AD1467" s="143">
        <v>0</v>
      </c>
      <c r="AE1467" s="143">
        <v>0</v>
      </c>
      <c r="AF1467" s="143">
        <v>0</v>
      </c>
      <c r="AG1467" s="143">
        <v>0</v>
      </c>
      <c r="AH1467" s="143">
        <v>0</v>
      </c>
      <c r="AI1467" s="143">
        <v>0</v>
      </c>
      <c r="AJ1467" s="143">
        <v>0</v>
      </c>
      <c r="AK1467" s="143">
        <v>0</v>
      </c>
      <c r="AL1467" s="143">
        <v>0</v>
      </c>
      <c r="AM1467" s="143">
        <v>0</v>
      </c>
      <c r="AN1467" s="143">
        <v>0</v>
      </c>
      <c r="AO1467" s="143">
        <v>0</v>
      </c>
      <c r="AP1467" s="143">
        <v>0</v>
      </c>
      <c r="AQ1467" s="143">
        <v>0</v>
      </c>
      <c r="AR1467" s="143">
        <v>0</v>
      </c>
      <c r="AS1467" s="143">
        <v>0</v>
      </c>
      <c r="AT1467" s="143">
        <v>0</v>
      </c>
      <c r="AU1467" s="143">
        <v>0</v>
      </c>
      <c r="AV1467" s="143">
        <v>0</v>
      </c>
      <c r="AW1467" s="143">
        <v>0</v>
      </c>
      <c r="AX1467" s="141">
        <f t="shared" si="1895"/>
        <v>1</v>
      </c>
      <c r="AY1467" s="141">
        <f t="shared" si="1896"/>
        <v>1</v>
      </c>
      <c r="AZ1467">
        <f t="shared" si="1897"/>
        <v>1</v>
      </c>
      <c r="BA1467">
        <f t="shared" si="1898"/>
        <v>0</v>
      </c>
      <c r="BB1467">
        <f t="shared" si="1899"/>
        <v>0</v>
      </c>
      <c r="BC1467">
        <f t="shared" si="1900"/>
        <v>0</v>
      </c>
      <c r="BD1467">
        <f t="shared" si="1901"/>
        <v>0</v>
      </c>
      <c r="BE1467" t="str" cm="1">
        <f t="array" ref="BE1467">IF(AY1467=1,INDEX($V$7:$AL$7,MATCH(TRUE,INDEX($V1467:$AW1467&lt;&gt;0,),0)),IF(AY1467=0,INDEX($AM$7:$AW$7,MATCH(1,$AM1467:$AW1467,0)),IF(BF1467="Multiple strategies","mixed drivers",IF(BF1467="Supply chain","multiple supply","multiple silviculture"))))</f>
        <v xml:space="preserve">cutting intensity </v>
      </c>
      <c r="BF1467" s="2" t="str" cm="1">
        <f t="array" ref="BF1467">IF(COUNTIF(AZ1467:BB1467,"&lt;&gt;0")=1,INDEX($V$4:$AW$4,MATCH(TRUE,INDEX($V1467:$AW1467&lt;&gt;0,),0)),IF(COUNTIF(AZ1467:BB1467,"&lt;&gt;0")=0,INDEX($AM$4:$AW$4,MATCH(1,$AM1467:$AW1467,0)),"Multiple strategies"))</f>
        <v>Silviculture for removals</v>
      </c>
      <c r="BG1467" s="1" t="s">
        <v>321</v>
      </c>
      <c r="BP1467" s="311" t="s">
        <v>232</v>
      </c>
      <c r="BQ1467" s="311"/>
      <c r="BR1467" t="s">
        <v>4172</v>
      </c>
      <c r="BU1467" s="144"/>
      <c r="BV1467">
        <v>35</v>
      </c>
      <c r="BY1467" t="str">
        <f t="shared" si="1926"/>
        <v/>
      </c>
      <c r="BZ1467" s="143">
        <v>0</v>
      </c>
      <c r="CA1467" s="143">
        <v>0</v>
      </c>
      <c r="CB1467" s="143">
        <v>0</v>
      </c>
      <c r="CC1467" s="143">
        <v>0</v>
      </c>
      <c r="CD1467" s="143">
        <v>0</v>
      </c>
      <c r="CE1467" s="143">
        <v>0</v>
      </c>
      <c r="CF1467" s="143">
        <v>0</v>
      </c>
      <c r="CG1467" s="143">
        <v>0</v>
      </c>
      <c r="CH1467" s="143">
        <v>0</v>
      </c>
      <c r="CI1467" s="143">
        <v>0</v>
      </c>
      <c r="CJ1467" s="143">
        <v>0</v>
      </c>
      <c r="CK1467" s="143">
        <v>0</v>
      </c>
      <c r="CL1467" s="143">
        <v>0</v>
      </c>
      <c r="CM1467" s="143">
        <v>0</v>
      </c>
      <c r="CN1467" t="str">
        <f t="shared" si="1928"/>
        <v>refOK</v>
      </c>
      <c r="CO1467"/>
      <c r="CP1467"/>
      <c r="CQ1467"/>
      <c r="CR1467"/>
      <c r="CS1467"/>
      <c r="CT1467">
        <f t="shared" si="1911"/>
        <v>0</v>
      </c>
      <c r="CU1467" t="str">
        <f t="shared" si="1912"/>
        <v/>
      </c>
      <c r="CV1467" s="2" t="str">
        <f t="shared" si="1913"/>
        <v/>
      </c>
      <c r="CW1467" s="1" t="s">
        <v>1198</v>
      </c>
      <c r="CX1467" s="311" t="str">
        <f t="shared" si="1914"/>
        <v>reg</v>
      </c>
      <c r="CY1467" t="s">
        <v>540</v>
      </c>
      <c r="CZ1467">
        <v>2018</v>
      </c>
      <c r="DA1467">
        <v>2050</v>
      </c>
      <c r="DB1467">
        <f t="shared" si="1929"/>
        <v>32</v>
      </c>
      <c r="DC1467" t="str">
        <f t="shared" si="1915"/>
        <v>31-70</v>
      </c>
      <c r="DD1467">
        <v>1</v>
      </c>
      <c r="DE1467">
        <v>1</v>
      </c>
      <c r="DF1467">
        <v>1</v>
      </c>
      <c r="DG1467">
        <v>1</v>
      </c>
      <c r="DI1467">
        <f t="shared" si="1916"/>
        <v>4</v>
      </c>
      <c r="DJ1467" t="str">
        <f t="shared" si="1917"/>
        <v>mixedProduct</v>
      </c>
      <c r="DK1467" t="str">
        <f t="shared" si="1918"/>
        <v>Upstream</v>
      </c>
      <c r="DL1467" t="str">
        <f t="shared" si="1919"/>
        <v>Energy</v>
      </c>
      <c r="DM1467" t="str">
        <f t="shared" si="1920"/>
        <v>Pulp/Paper</v>
      </c>
      <c r="DN1467" t="str">
        <f t="shared" si="1921"/>
        <v>Timber</v>
      </c>
      <c r="DO1467">
        <v>1</v>
      </c>
      <c r="DP1467" s="143">
        <v>0</v>
      </c>
      <c r="DQ1467">
        <v>0</v>
      </c>
      <c r="DR1467">
        <v>0</v>
      </c>
      <c r="DS1467">
        <v>0</v>
      </c>
      <c r="DT1467">
        <f t="shared" si="1922"/>
        <v>1</v>
      </c>
      <c r="DU1467" s="143" t="str">
        <f t="shared" si="1923"/>
        <v>self-calculated DF</v>
      </c>
      <c r="DV1467" s="143">
        <v>1</v>
      </c>
      <c r="DW1467" s="143">
        <v>1</v>
      </c>
      <c r="DX1467" s="143">
        <v>1</v>
      </c>
      <c r="DY1467" s="143">
        <v>1</v>
      </c>
      <c r="DZ1467" s="143">
        <v>1</v>
      </c>
      <c r="EA1467" s="143">
        <v>1</v>
      </c>
      <c r="EB1467" s="143">
        <v>0</v>
      </c>
      <c r="EC1467" s="143">
        <v>0</v>
      </c>
      <c r="ED1467" s="143">
        <v>0</v>
      </c>
      <c r="EE1467" s="143">
        <v>0</v>
      </c>
      <c r="EF1467" s="143">
        <v>0</v>
      </c>
      <c r="EG1467" s="143">
        <v>0</v>
      </c>
      <c r="EH1467" s="143">
        <v>0</v>
      </c>
      <c r="EI1467" s="196">
        <v>0</v>
      </c>
      <c r="EK1467" t="str">
        <f t="shared" si="1930"/>
        <v/>
      </c>
      <c r="EL1467" t="str">
        <f t="shared" si="1931"/>
        <v/>
      </c>
      <c r="EM1467" s="2" t="str">
        <f t="shared" si="1927"/>
        <v/>
      </c>
      <c r="EP1467" t="b">
        <f>IF(ISNUMBER(BU1467),IF(ABS(BU1467-[1]QC_indicators!$B$2)&gt;3*[1]QC_indicators!$C$2,"C ratio",IF(ISNUMBER(BY1467),IF(ABS(BY1467-[1]QC_indicators!$B$1)&gt;3*[1]QC_indicators!$C$1,"DF","no"))),IF(ISNUMBER(BY1467),IF(ABS(BY1467-[1]QC_indicators!$B$1)&gt;3*[1]QC_indicators!$C$1,"DF","no")))</f>
        <v>0</v>
      </c>
      <c r="ER1467" s="313" t="s">
        <v>349</v>
      </c>
    </row>
    <row r="1468" spans="1:150" ht="15" hidden="1" customHeight="1">
      <c r="D1468" t="s">
        <v>4169</v>
      </c>
      <c r="E1468" t="s">
        <v>4170</v>
      </c>
      <c r="G1468" t="s">
        <v>3563</v>
      </c>
      <c r="I1468">
        <v>2018</v>
      </c>
      <c r="K1468" t="s">
        <v>4171</v>
      </c>
      <c r="M1468" t="str">
        <f t="shared" si="1856"/>
        <v>Smyth_2018</v>
      </c>
      <c r="N1468" s="311" t="s">
        <v>4382</v>
      </c>
      <c r="O1468" s="145" t="s">
        <v>225</v>
      </c>
      <c r="Q1468" s="311" t="s">
        <v>256</v>
      </c>
      <c r="R1468" s="312"/>
      <c r="S1468" s="1" t="s">
        <v>4174</v>
      </c>
      <c r="V1468" s="143">
        <v>0</v>
      </c>
      <c r="W1468" s="143">
        <v>0</v>
      </c>
      <c r="X1468" s="143">
        <v>0</v>
      </c>
      <c r="Y1468" s="143">
        <v>1</v>
      </c>
      <c r="Z1468" s="143">
        <v>0</v>
      </c>
      <c r="AA1468" s="143">
        <v>0</v>
      </c>
      <c r="AB1468" s="143">
        <v>0</v>
      </c>
      <c r="AC1468" s="143">
        <v>0</v>
      </c>
      <c r="AD1468" s="143">
        <v>0</v>
      </c>
      <c r="AE1468" s="143">
        <v>0</v>
      </c>
      <c r="AF1468" s="143">
        <v>0</v>
      </c>
      <c r="AG1468" s="143">
        <v>0</v>
      </c>
      <c r="AH1468" s="143">
        <v>0</v>
      </c>
      <c r="AI1468" s="143">
        <v>0</v>
      </c>
      <c r="AJ1468" s="143">
        <v>0</v>
      </c>
      <c r="AK1468" s="143">
        <v>0</v>
      </c>
      <c r="AL1468" s="143">
        <v>0</v>
      </c>
      <c r="AM1468" s="143">
        <v>0</v>
      </c>
      <c r="AN1468" s="143">
        <v>0</v>
      </c>
      <c r="AO1468" s="143">
        <v>0</v>
      </c>
      <c r="AP1468" s="143">
        <v>0</v>
      </c>
      <c r="AQ1468" s="143">
        <v>0</v>
      </c>
      <c r="AR1468" s="143">
        <v>0</v>
      </c>
      <c r="AS1468" s="143">
        <v>0</v>
      </c>
      <c r="AT1468" s="143">
        <v>0</v>
      </c>
      <c r="AU1468" s="143">
        <v>0</v>
      </c>
      <c r="AV1468" s="143">
        <v>0</v>
      </c>
      <c r="AW1468" s="143">
        <v>0</v>
      </c>
      <c r="AX1468" s="141">
        <f t="shared" si="1895"/>
        <v>1</v>
      </c>
      <c r="AY1468" s="141">
        <f t="shared" si="1896"/>
        <v>1</v>
      </c>
      <c r="AZ1468">
        <f t="shared" si="1897"/>
        <v>1</v>
      </c>
      <c r="BA1468">
        <f t="shared" si="1898"/>
        <v>0</v>
      </c>
      <c r="BB1468">
        <f t="shared" si="1899"/>
        <v>0</v>
      </c>
      <c r="BC1468">
        <f t="shared" si="1900"/>
        <v>0</v>
      </c>
      <c r="BD1468">
        <f t="shared" si="1901"/>
        <v>0</v>
      </c>
      <c r="BE1468" t="str" cm="1">
        <f t="array" ref="BE1468">IF(AY1468=1,INDEX($V$7:$AL$7,MATCH(TRUE,INDEX($V1468:$AW1468&lt;&gt;0,),0)),IF(AY1468=0,INDEX($AM$7:$AW$7,MATCH(1,$AM1468:$AW1468,0)),IF(BF1468="Multiple strategies","mixed drivers",IF(BF1468="Supply chain","multiple supply","multiple silviculture"))))</f>
        <v xml:space="preserve">cutting intensity </v>
      </c>
      <c r="BF1468" s="2" t="str" cm="1">
        <f t="array" ref="BF1468">IF(COUNTIF(AZ1468:BB1468,"&lt;&gt;0")=1,INDEX($V$4:$AW$4,MATCH(TRUE,INDEX($V1468:$AW1468&lt;&gt;0,),0)),IF(COUNTIF(AZ1468:BB1468,"&lt;&gt;0")=0,INDEX($AM$4:$AW$4,MATCH(1,$AM1468:$AW1468,0)),"Multiple strategies"))</f>
        <v>Silviculture for removals</v>
      </c>
      <c r="BG1468" s="1" t="s">
        <v>321</v>
      </c>
      <c r="BP1468" s="311" t="s">
        <v>232</v>
      </c>
      <c r="BQ1468" s="311"/>
      <c r="BR1468" t="s">
        <v>4172</v>
      </c>
      <c r="BU1468" s="144"/>
      <c r="BV1468">
        <v>7</v>
      </c>
      <c r="BY1468" t="str">
        <f t="shared" si="1926"/>
        <v/>
      </c>
      <c r="BZ1468" s="143">
        <v>0</v>
      </c>
      <c r="CA1468" s="143">
        <v>0</v>
      </c>
      <c r="CB1468" s="143">
        <v>0</v>
      </c>
      <c r="CC1468" s="143">
        <v>0</v>
      </c>
      <c r="CD1468" s="143">
        <v>0</v>
      </c>
      <c r="CE1468" s="143">
        <v>0</v>
      </c>
      <c r="CF1468" s="143">
        <v>0</v>
      </c>
      <c r="CG1468" s="143">
        <v>0</v>
      </c>
      <c r="CH1468" s="143">
        <v>0</v>
      </c>
      <c r="CI1468" s="143">
        <v>0</v>
      </c>
      <c r="CJ1468" s="143">
        <v>0</v>
      </c>
      <c r="CK1468" s="143">
        <v>0</v>
      </c>
      <c r="CL1468" s="143">
        <v>0</v>
      </c>
      <c r="CM1468" s="143">
        <v>0</v>
      </c>
      <c r="CN1468" t="str">
        <f t="shared" si="1928"/>
        <v>refOK</v>
      </c>
      <c r="CO1468"/>
      <c r="CP1468"/>
      <c r="CQ1468"/>
      <c r="CR1468"/>
      <c r="CS1468"/>
      <c r="CT1468">
        <f t="shared" si="1911"/>
        <v>0</v>
      </c>
      <c r="CU1468" t="str">
        <f t="shared" si="1912"/>
        <v/>
      </c>
      <c r="CV1468" s="2" t="str">
        <f t="shared" si="1913"/>
        <v/>
      </c>
      <c r="CW1468" s="1" t="s">
        <v>1198</v>
      </c>
      <c r="CX1468" s="311" t="str">
        <f t="shared" si="1914"/>
        <v>reg</v>
      </c>
      <c r="CY1468" t="s">
        <v>540</v>
      </c>
      <c r="CZ1468">
        <v>2018</v>
      </c>
      <c r="DA1468">
        <v>2050</v>
      </c>
      <c r="DB1468">
        <f t="shared" si="1929"/>
        <v>32</v>
      </c>
      <c r="DC1468" t="str">
        <f t="shared" si="1915"/>
        <v>31-70</v>
      </c>
      <c r="DD1468">
        <v>1</v>
      </c>
      <c r="DE1468">
        <v>1</v>
      </c>
      <c r="DF1468">
        <v>1</v>
      </c>
      <c r="DG1468">
        <v>1</v>
      </c>
      <c r="DI1468">
        <f t="shared" si="1916"/>
        <v>4</v>
      </c>
      <c r="DJ1468" t="str">
        <f t="shared" si="1917"/>
        <v>mixedProduct</v>
      </c>
      <c r="DK1468" t="str">
        <f t="shared" si="1918"/>
        <v>Upstream</v>
      </c>
      <c r="DL1468" t="str">
        <f t="shared" si="1919"/>
        <v>Energy</v>
      </c>
      <c r="DM1468" t="str">
        <f t="shared" si="1920"/>
        <v>Pulp/Paper</v>
      </c>
      <c r="DN1468" t="str">
        <f t="shared" si="1921"/>
        <v>Timber</v>
      </c>
      <c r="DO1468">
        <v>1</v>
      </c>
      <c r="DP1468" s="143">
        <v>0</v>
      </c>
      <c r="DQ1468">
        <v>0</v>
      </c>
      <c r="DR1468">
        <v>0</v>
      </c>
      <c r="DS1468">
        <v>0</v>
      </c>
      <c r="DT1468">
        <f t="shared" si="1922"/>
        <v>1</v>
      </c>
      <c r="DU1468" s="143" t="str">
        <f t="shared" si="1923"/>
        <v>self-calculated DF</v>
      </c>
      <c r="DV1468" s="143">
        <v>1</v>
      </c>
      <c r="DW1468" s="143">
        <v>1</v>
      </c>
      <c r="DX1468" s="143">
        <v>1</v>
      </c>
      <c r="DY1468" s="143">
        <v>1</v>
      </c>
      <c r="DZ1468" s="143">
        <v>1</v>
      </c>
      <c r="EA1468" s="143">
        <v>1</v>
      </c>
      <c r="EB1468" s="143">
        <v>0</v>
      </c>
      <c r="EC1468" s="143">
        <v>0</v>
      </c>
      <c r="ED1468" s="143">
        <v>0</v>
      </c>
      <c r="EE1468" s="143">
        <v>0</v>
      </c>
      <c r="EF1468" s="143">
        <v>0</v>
      </c>
      <c r="EG1468" s="143">
        <v>0</v>
      </c>
      <c r="EH1468" s="143">
        <v>0</v>
      </c>
      <c r="EI1468" s="196">
        <v>0</v>
      </c>
      <c r="EK1468" t="str">
        <f t="shared" si="1930"/>
        <v/>
      </c>
      <c r="EL1468" t="str">
        <f t="shared" si="1931"/>
        <v/>
      </c>
      <c r="EM1468" s="2" t="str">
        <f t="shared" si="1927"/>
        <v/>
      </c>
      <c r="EP1468" t="b">
        <f>IF(ISNUMBER(BU1468),IF(ABS(BU1468-[1]QC_indicators!$B$2)&gt;3*[1]QC_indicators!$C$2,"C ratio",IF(ISNUMBER(BY1468),IF(ABS(BY1468-[1]QC_indicators!$B$1)&gt;3*[1]QC_indicators!$C$1,"DF","no"))),IF(ISNUMBER(BY1468),IF(ABS(BY1468-[1]QC_indicators!$B$1)&gt;3*[1]QC_indicators!$C$1,"DF","no")))</f>
        <v>0</v>
      </c>
      <c r="ER1468" s="313" t="s">
        <v>349</v>
      </c>
    </row>
    <row r="1469" spans="1:150" ht="15" hidden="1" customHeight="1">
      <c r="D1469" t="s">
        <v>4169</v>
      </c>
      <c r="E1469" t="s">
        <v>4170</v>
      </c>
      <c r="G1469" t="s">
        <v>3563</v>
      </c>
      <c r="I1469">
        <v>2018</v>
      </c>
      <c r="K1469" t="s">
        <v>4171</v>
      </c>
      <c r="M1469" t="str">
        <f t="shared" si="1856"/>
        <v>Smyth_2018</v>
      </c>
      <c r="N1469" s="311" t="s">
        <v>4382</v>
      </c>
      <c r="O1469" s="145" t="s">
        <v>225</v>
      </c>
      <c r="Q1469" s="311" t="s">
        <v>256</v>
      </c>
      <c r="R1469" s="312"/>
      <c r="S1469" s="1" t="s">
        <v>4175</v>
      </c>
      <c r="V1469" s="143">
        <v>0</v>
      </c>
      <c r="W1469" s="143">
        <v>0</v>
      </c>
      <c r="X1469" s="143">
        <v>0</v>
      </c>
      <c r="Y1469" s="143">
        <v>0</v>
      </c>
      <c r="Z1469" s="143">
        <v>0</v>
      </c>
      <c r="AA1469" s="143">
        <v>0</v>
      </c>
      <c r="AB1469" s="143">
        <v>0</v>
      </c>
      <c r="AC1469" s="143">
        <v>0</v>
      </c>
      <c r="AD1469" s="143">
        <v>0</v>
      </c>
      <c r="AE1469" s="143">
        <v>0</v>
      </c>
      <c r="AF1469" s="143">
        <v>0</v>
      </c>
      <c r="AG1469" s="143">
        <v>0</v>
      </c>
      <c r="AH1469" s="143">
        <v>0</v>
      </c>
      <c r="AI1469" s="143">
        <v>0</v>
      </c>
      <c r="AJ1469" s="143">
        <v>1</v>
      </c>
      <c r="AK1469" s="143">
        <v>0</v>
      </c>
      <c r="AL1469" s="143">
        <v>0</v>
      </c>
      <c r="AM1469" s="143">
        <v>0</v>
      </c>
      <c r="AN1469" s="143">
        <v>0</v>
      </c>
      <c r="AO1469" s="143">
        <v>0</v>
      </c>
      <c r="AP1469" s="143">
        <v>0</v>
      </c>
      <c r="AQ1469" s="143">
        <v>0</v>
      </c>
      <c r="AR1469" s="143">
        <v>0</v>
      </c>
      <c r="AS1469" s="143">
        <v>0</v>
      </c>
      <c r="AT1469" s="143">
        <v>0</v>
      </c>
      <c r="AU1469" s="143">
        <v>0</v>
      </c>
      <c r="AV1469" s="143">
        <v>0</v>
      </c>
      <c r="AW1469" s="143">
        <v>0</v>
      </c>
      <c r="AX1469" s="141">
        <f t="shared" si="1895"/>
        <v>1</v>
      </c>
      <c r="AY1469" s="141">
        <f t="shared" si="1896"/>
        <v>1</v>
      </c>
      <c r="AZ1469">
        <f t="shared" si="1897"/>
        <v>0</v>
      </c>
      <c r="BA1469">
        <f t="shared" si="1898"/>
        <v>0</v>
      </c>
      <c r="BB1469">
        <f t="shared" si="1899"/>
        <v>1</v>
      </c>
      <c r="BC1469">
        <f t="shared" si="1900"/>
        <v>0</v>
      </c>
      <c r="BD1469">
        <f t="shared" si="1901"/>
        <v>0</v>
      </c>
      <c r="BE1469" t="str" cm="1">
        <f t="array" ref="BE1469">IF(AY1469=1,INDEX($V$7:$AL$7,MATCH(TRUE,INDEX($V1469:$AW1469&lt;&gt;0,),0)),IF(AY1469=0,INDEX($AM$7:$AW$7,MATCH(1,$AM1469:$AW1469,0)),IF(BF1469="Multiple strategies","mixed drivers",IF(BF1469="Supply chain","multiple supply","multiple silviculture"))))</f>
        <v>efficiency improvement</v>
      </c>
      <c r="BF1469" s="2" t="str" cm="1">
        <f t="array" ref="BF1469">IF(COUNTIF(AZ1469:BB1469,"&lt;&gt;0")=1,INDEX($V$4:$AW$4,MATCH(TRUE,INDEX($V1469:$AW1469&lt;&gt;0,),0)),IF(COUNTIF(AZ1469:BB1469,"&lt;&gt;0")=0,INDEX($AM$4:$AW$4,MATCH(1,$AM1469:$AW1469,0)),"Multiple strategies"))</f>
        <v>Technology</v>
      </c>
      <c r="BG1469" s="1" t="s">
        <v>321</v>
      </c>
      <c r="BP1469" s="311" t="s">
        <v>232</v>
      </c>
      <c r="BQ1469" s="311"/>
      <c r="BR1469" t="s">
        <v>4172</v>
      </c>
      <c r="BU1469" s="144"/>
      <c r="BV1469">
        <v>46</v>
      </c>
      <c r="BY1469" t="str">
        <f t="shared" si="1926"/>
        <v/>
      </c>
      <c r="BZ1469" s="143">
        <v>0</v>
      </c>
      <c r="CA1469" s="143">
        <v>0</v>
      </c>
      <c r="CB1469" s="143">
        <v>0</v>
      </c>
      <c r="CC1469" s="143">
        <v>0</v>
      </c>
      <c r="CD1469" s="143">
        <v>0</v>
      </c>
      <c r="CE1469" s="143">
        <v>0</v>
      </c>
      <c r="CF1469" s="143">
        <v>0</v>
      </c>
      <c r="CG1469" s="143">
        <v>0</v>
      </c>
      <c r="CH1469" s="143">
        <v>0</v>
      </c>
      <c r="CI1469" s="143">
        <v>0</v>
      </c>
      <c r="CJ1469" s="143">
        <v>0</v>
      </c>
      <c r="CK1469" s="143">
        <v>0</v>
      </c>
      <c r="CL1469" s="143">
        <v>0</v>
      </c>
      <c r="CM1469" s="143">
        <v>0</v>
      </c>
      <c r="CN1469" t="str">
        <f t="shared" si="1928"/>
        <v>refOK</v>
      </c>
      <c r="CO1469"/>
      <c r="CP1469"/>
      <c r="CQ1469"/>
      <c r="CR1469"/>
      <c r="CS1469"/>
      <c r="CT1469">
        <f t="shared" si="1911"/>
        <v>0</v>
      </c>
      <c r="CU1469" t="str">
        <f t="shared" si="1912"/>
        <v/>
      </c>
      <c r="CV1469" s="2" t="str">
        <f t="shared" si="1913"/>
        <v/>
      </c>
      <c r="CW1469" s="1" t="s">
        <v>1198</v>
      </c>
      <c r="CX1469" s="311" t="str">
        <f t="shared" si="1914"/>
        <v>reg</v>
      </c>
      <c r="CY1469" t="s">
        <v>540</v>
      </c>
      <c r="CZ1469">
        <v>2018</v>
      </c>
      <c r="DA1469">
        <v>2050</v>
      </c>
      <c r="DB1469">
        <f t="shared" si="1929"/>
        <v>32</v>
      </c>
      <c r="DC1469" t="str">
        <f t="shared" si="1915"/>
        <v>31-70</v>
      </c>
      <c r="DD1469">
        <v>1</v>
      </c>
      <c r="DE1469">
        <v>1</v>
      </c>
      <c r="DF1469">
        <v>1</v>
      </c>
      <c r="DG1469">
        <v>1</v>
      </c>
      <c r="DI1469">
        <f t="shared" si="1916"/>
        <v>4</v>
      </c>
      <c r="DJ1469" t="str">
        <f t="shared" si="1917"/>
        <v>mixedProduct</v>
      </c>
      <c r="DK1469" t="str">
        <f t="shared" si="1918"/>
        <v>Upstream</v>
      </c>
      <c r="DL1469" t="str">
        <f t="shared" si="1919"/>
        <v>Energy</v>
      </c>
      <c r="DM1469" t="str">
        <f t="shared" si="1920"/>
        <v>Pulp/Paper</v>
      </c>
      <c r="DN1469" t="str">
        <f t="shared" si="1921"/>
        <v>Timber</v>
      </c>
      <c r="DO1469">
        <v>1</v>
      </c>
      <c r="DP1469" s="143">
        <v>0</v>
      </c>
      <c r="DQ1469">
        <v>0</v>
      </c>
      <c r="DR1469">
        <v>0</v>
      </c>
      <c r="DS1469">
        <v>0</v>
      </c>
      <c r="DT1469">
        <f t="shared" si="1922"/>
        <v>1</v>
      </c>
      <c r="DU1469" s="143" t="str">
        <f t="shared" si="1923"/>
        <v>self-calculated DF</v>
      </c>
      <c r="DV1469" s="143">
        <v>1</v>
      </c>
      <c r="DW1469" s="143">
        <v>1</v>
      </c>
      <c r="DX1469" s="143">
        <v>1</v>
      </c>
      <c r="DY1469" s="143">
        <v>1</v>
      </c>
      <c r="DZ1469" s="143">
        <v>1</v>
      </c>
      <c r="EA1469" s="143">
        <v>1</v>
      </c>
      <c r="EB1469" s="143">
        <v>0</v>
      </c>
      <c r="EC1469" s="143">
        <v>0</v>
      </c>
      <c r="ED1469" s="143">
        <v>0</v>
      </c>
      <c r="EE1469" s="143">
        <v>0</v>
      </c>
      <c r="EF1469" s="143">
        <v>0</v>
      </c>
      <c r="EG1469" s="143">
        <v>0</v>
      </c>
      <c r="EH1469" s="143">
        <v>0</v>
      </c>
      <c r="EI1469" s="196">
        <v>0</v>
      </c>
      <c r="EK1469" t="str">
        <f t="shared" si="1930"/>
        <v/>
      </c>
      <c r="EL1469" t="str">
        <f t="shared" si="1931"/>
        <v/>
      </c>
      <c r="EM1469" s="2" t="str">
        <f t="shared" si="1927"/>
        <v/>
      </c>
      <c r="EP1469" t="b">
        <f>IF(ISNUMBER(BU1469),IF(ABS(BU1469-[1]QC_indicators!$B$2)&gt;3*[1]QC_indicators!$C$2,"C ratio",IF(ISNUMBER(BY1469),IF(ABS(BY1469-[1]QC_indicators!$B$1)&gt;3*[1]QC_indicators!$C$1,"DF","no"))),IF(ISNUMBER(BY1469),IF(ABS(BY1469-[1]QC_indicators!$B$1)&gt;3*[1]QC_indicators!$C$1,"DF","no")))</f>
        <v>0</v>
      </c>
      <c r="ER1469" s="313" t="s">
        <v>349</v>
      </c>
    </row>
    <row r="1470" spans="1:150" ht="15" hidden="1" customHeight="1">
      <c r="D1470" t="s">
        <v>4169</v>
      </c>
      <c r="E1470" t="s">
        <v>4170</v>
      </c>
      <c r="G1470" t="s">
        <v>3563</v>
      </c>
      <c r="I1470">
        <v>2018</v>
      </c>
      <c r="K1470" t="s">
        <v>4171</v>
      </c>
      <c r="M1470" t="str">
        <f t="shared" si="1856"/>
        <v>Smyth_2018</v>
      </c>
      <c r="N1470" s="311" t="s">
        <v>4382</v>
      </c>
      <c r="O1470" s="145" t="s">
        <v>225</v>
      </c>
      <c r="Q1470" s="311" t="s">
        <v>256</v>
      </c>
      <c r="R1470" s="312"/>
      <c r="S1470" s="1" t="s">
        <v>4175</v>
      </c>
      <c r="V1470" s="143">
        <v>0</v>
      </c>
      <c r="W1470" s="143">
        <v>0</v>
      </c>
      <c r="X1470" s="143">
        <v>0</v>
      </c>
      <c r="Y1470" s="143">
        <v>0</v>
      </c>
      <c r="Z1470" s="143">
        <v>0</v>
      </c>
      <c r="AA1470" s="143">
        <v>0</v>
      </c>
      <c r="AB1470" s="143">
        <v>0</v>
      </c>
      <c r="AC1470" s="143">
        <v>0</v>
      </c>
      <c r="AD1470" s="143">
        <v>0</v>
      </c>
      <c r="AE1470" s="143">
        <v>0</v>
      </c>
      <c r="AF1470" s="143">
        <v>0</v>
      </c>
      <c r="AG1470" s="143">
        <v>0</v>
      </c>
      <c r="AH1470" s="143">
        <v>0</v>
      </c>
      <c r="AI1470" s="143">
        <v>0</v>
      </c>
      <c r="AJ1470" s="143">
        <v>1</v>
      </c>
      <c r="AK1470" s="143">
        <v>0</v>
      </c>
      <c r="AL1470" s="143">
        <v>0</v>
      </c>
      <c r="AM1470" s="143">
        <v>0</v>
      </c>
      <c r="AN1470" s="143">
        <v>0</v>
      </c>
      <c r="AO1470" s="143">
        <v>0</v>
      </c>
      <c r="AP1470" s="143">
        <v>0</v>
      </c>
      <c r="AQ1470" s="143">
        <v>0</v>
      </c>
      <c r="AR1470" s="143">
        <v>0</v>
      </c>
      <c r="AS1470" s="143">
        <v>0</v>
      </c>
      <c r="AT1470" s="143">
        <v>0</v>
      </c>
      <c r="AU1470" s="143">
        <v>0</v>
      </c>
      <c r="AV1470" s="143">
        <v>0</v>
      </c>
      <c r="AW1470" s="143">
        <v>0</v>
      </c>
      <c r="AX1470" s="141">
        <f t="shared" si="1895"/>
        <v>1</v>
      </c>
      <c r="AY1470" s="141">
        <f t="shared" si="1896"/>
        <v>1</v>
      </c>
      <c r="AZ1470">
        <f t="shared" si="1897"/>
        <v>0</v>
      </c>
      <c r="BA1470">
        <f t="shared" si="1898"/>
        <v>0</v>
      </c>
      <c r="BB1470">
        <f t="shared" si="1899"/>
        <v>1</v>
      </c>
      <c r="BC1470">
        <f t="shared" si="1900"/>
        <v>0</v>
      </c>
      <c r="BD1470">
        <f t="shared" si="1901"/>
        <v>0</v>
      </c>
      <c r="BE1470" t="str" cm="1">
        <f t="array" ref="BE1470">IF(AY1470=1,INDEX($V$7:$AL$7,MATCH(TRUE,INDEX($V1470:$AW1470&lt;&gt;0,),0)),IF(AY1470=0,INDEX($AM$7:$AW$7,MATCH(1,$AM1470:$AW1470,0)),IF(BF1470="Multiple strategies","mixed drivers",IF(BF1470="Supply chain","multiple supply","multiple silviculture"))))</f>
        <v>efficiency improvement</v>
      </c>
      <c r="BF1470" s="2" t="str" cm="1">
        <f t="array" ref="BF1470">IF(COUNTIF(AZ1470:BB1470,"&lt;&gt;0")=1,INDEX($V$4:$AW$4,MATCH(TRUE,INDEX($V1470:$AW1470&lt;&gt;0,),0)),IF(COUNTIF(AZ1470:BB1470,"&lt;&gt;0")=0,INDEX($AM$4:$AW$4,MATCH(1,$AM1470:$AW1470,0)),"Multiple strategies"))</f>
        <v>Technology</v>
      </c>
      <c r="BG1470" s="1" t="s">
        <v>321</v>
      </c>
      <c r="BP1470" s="311" t="s">
        <v>232</v>
      </c>
      <c r="BQ1470" s="311"/>
      <c r="BR1470" t="s">
        <v>4172</v>
      </c>
      <c r="BU1470" s="144"/>
      <c r="BV1470">
        <v>16</v>
      </c>
      <c r="BY1470" t="str">
        <f t="shared" si="1926"/>
        <v/>
      </c>
      <c r="BZ1470" s="143">
        <v>0</v>
      </c>
      <c r="CA1470" s="143">
        <v>0</v>
      </c>
      <c r="CB1470" s="143">
        <v>0</v>
      </c>
      <c r="CC1470" s="143">
        <v>0</v>
      </c>
      <c r="CD1470" s="143">
        <v>0</v>
      </c>
      <c r="CE1470" s="143">
        <v>0</v>
      </c>
      <c r="CF1470" s="143">
        <v>0</v>
      </c>
      <c r="CG1470" s="143">
        <v>0</v>
      </c>
      <c r="CH1470" s="143">
        <v>0</v>
      </c>
      <c r="CI1470" s="143">
        <v>0</v>
      </c>
      <c r="CJ1470" s="143">
        <v>0</v>
      </c>
      <c r="CK1470" s="143">
        <v>0</v>
      </c>
      <c r="CL1470" s="143">
        <v>0</v>
      </c>
      <c r="CM1470" s="143">
        <v>0</v>
      </c>
      <c r="CN1470" t="str">
        <f t="shared" si="1928"/>
        <v>refOK</v>
      </c>
      <c r="CO1470"/>
      <c r="CP1470"/>
      <c r="CQ1470"/>
      <c r="CR1470"/>
      <c r="CS1470"/>
      <c r="CT1470">
        <f t="shared" si="1911"/>
        <v>0</v>
      </c>
      <c r="CU1470" t="str">
        <f t="shared" si="1912"/>
        <v/>
      </c>
      <c r="CV1470" s="2" t="str">
        <f t="shared" si="1913"/>
        <v/>
      </c>
      <c r="CW1470" s="1" t="s">
        <v>1198</v>
      </c>
      <c r="CX1470" s="311" t="str">
        <f t="shared" si="1914"/>
        <v>reg</v>
      </c>
      <c r="CY1470" t="s">
        <v>540</v>
      </c>
      <c r="CZ1470">
        <v>2018</v>
      </c>
      <c r="DA1470">
        <v>2050</v>
      </c>
      <c r="DB1470">
        <f t="shared" si="1929"/>
        <v>32</v>
      </c>
      <c r="DC1470" t="str">
        <f t="shared" si="1915"/>
        <v>31-70</v>
      </c>
      <c r="DD1470">
        <v>1</v>
      </c>
      <c r="DE1470">
        <v>1</v>
      </c>
      <c r="DF1470">
        <v>1</v>
      </c>
      <c r="DG1470">
        <v>1</v>
      </c>
      <c r="DI1470">
        <f t="shared" si="1916"/>
        <v>4</v>
      </c>
      <c r="DJ1470" t="str">
        <f t="shared" si="1917"/>
        <v>mixedProduct</v>
      </c>
      <c r="DK1470" t="str">
        <f t="shared" si="1918"/>
        <v>Upstream</v>
      </c>
      <c r="DL1470" t="str">
        <f t="shared" si="1919"/>
        <v>Energy</v>
      </c>
      <c r="DM1470" t="str">
        <f t="shared" si="1920"/>
        <v>Pulp/Paper</v>
      </c>
      <c r="DN1470" t="str">
        <f t="shared" si="1921"/>
        <v>Timber</v>
      </c>
      <c r="DO1470">
        <v>1</v>
      </c>
      <c r="DP1470" s="143">
        <v>0</v>
      </c>
      <c r="DQ1470">
        <v>0</v>
      </c>
      <c r="DR1470">
        <v>0</v>
      </c>
      <c r="DS1470">
        <v>0</v>
      </c>
      <c r="DT1470">
        <f t="shared" si="1922"/>
        <v>1</v>
      </c>
      <c r="DU1470" s="143" t="str">
        <f t="shared" si="1923"/>
        <v>self-calculated DF</v>
      </c>
      <c r="DV1470" s="143">
        <v>1</v>
      </c>
      <c r="DW1470" s="143">
        <v>1</v>
      </c>
      <c r="DX1470" s="143">
        <v>1</v>
      </c>
      <c r="DY1470" s="143">
        <v>1</v>
      </c>
      <c r="DZ1470" s="143">
        <v>1</v>
      </c>
      <c r="EA1470" s="143">
        <v>1</v>
      </c>
      <c r="EB1470" s="143">
        <v>0</v>
      </c>
      <c r="EC1470" s="143">
        <v>0</v>
      </c>
      <c r="ED1470" s="143">
        <v>0</v>
      </c>
      <c r="EE1470" s="143">
        <v>0</v>
      </c>
      <c r="EF1470" s="143">
        <v>0</v>
      </c>
      <c r="EG1470" s="143">
        <v>0</v>
      </c>
      <c r="EH1470" s="143">
        <v>0</v>
      </c>
      <c r="EI1470" s="196">
        <v>0</v>
      </c>
      <c r="EK1470" t="str">
        <f t="shared" si="1930"/>
        <v/>
      </c>
      <c r="EL1470" t="str">
        <f t="shared" si="1931"/>
        <v/>
      </c>
      <c r="EM1470" s="2" t="str">
        <f t="shared" si="1927"/>
        <v/>
      </c>
      <c r="EP1470" t="b">
        <f>IF(ISNUMBER(BU1470),IF(ABS(BU1470-[1]QC_indicators!$B$2)&gt;3*[1]QC_indicators!$C$2,"C ratio",IF(ISNUMBER(BY1470),IF(ABS(BY1470-[1]QC_indicators!$B$1)&gt;3*[1]QC_indicators!$C$1,"DF","no"))),IF(ISNUMBER(BY1470),IF(ABS(BY1470-[1]QC_indicators!$B$1)&gt;3*[1]QC_indicators!$C$1,"DF","no")))</f>
        <v>0</v>
      </c>
      <c r="ER1470" s="313" t="s">
        <v>349</v>
      </c>
    </row>
    <row r="1471" spans="1:150" ht="15" hidden="1" customHeight="1">
      <c r="D1471" t="s">
        <v>4169</v>
      </c>
      <c r="E1471" t="s">
        <v>4170</v>
      </c>
      <c r="G1471" t="s">
        <v>3563</v>
      </c>
      <c r="I1471">
        <v>2018</v>
      </c>
      <c r="K1471" t="s">
        <v>4171</v>
      </c>
      <c r="M1471" t="str">
        <f t="shared" si="1856"/>
        <v>Smyth_2018</v>
      </c>
      <c r="N1471" s="311" t="s">
        <v>4382</v>
      </c>
      <c r="O1471" s="145" t="s">
        <v>225</v>
      </c>
      <c r="Q1471" s="311" t="s">
        <v>256</v>
      </c>
      <c r="R1471" s="312"/>
      <c r="S1471" s="1" t="s">
        <v>4176</v>
      </c>
      <c r="V1471" s="143">
        <v>0</v>
      </c>
      <c r="W1471" s="143">
        <v>0</v>
      </c>
      <c r="X1471" s="143">
        <v>0</v>
      </c>
      <c r="Y1471" s="143">
        <v>0</v>
      </c>
      <c r="Z1471" s="143">
        <v>0</v>
      </c>
      <c r="AA1471" s="143">
        <v>0</v>
      </c>
      <c r="AB1471" s="143">
        <v>0</v>
      </c>
      <c r="AC1471" s="143">
        <v>0</v>
      </c>
      <c r="AD1471" s="143">
        <v>0</v>
      </c>
      <c r="AE1471" s="143">
        <v>0</v>
      </c>
      <c r="AF1471" s="143">
        <v>0</v>
      </c>
      <c r="AG1471" s="143">
        <v>0</v>
      </c>
      <c r="AH1471" s="143">
        <v>0</v>
      </c>
      <c r="AI1471" s="143">
        <v>1</v>
      </c>
      <c r="AJ1471" s="143">
        <v>0</v>
      </c>
      <c r="AK1471" s="143">
        <v>0</v>
      </c>
      <c r="AL1471" s="143">
        <v>0</v>
      </c>
      <c r="AM1471" s="143">
        <v>0</v>
      </c>
      <c r="AN1471" s="143">
        <v>0</v>
      </c>
      <c r="AO1471" s="143">
        <v>0</v>
      </c>
      <c r="AP1471" s="143">
        <v>0</v>
      </c>
      <c r="AQ1471" s="143">
        <v>0</v>
      </c>
      <c r="AR1471" s="143">
        <v>0</v>
      </c>
      <c r="AS1471" s="143">
        <v>0</v>
      </c>
      <c r="AT1471" s="143">
        <v>0</v>
      </c>
      <c r="AU1471" s="143">
        <v>0</v>
      </c>
      <c r="AV1471" s="143">
        <v>0</v>
      </c>
      <c r="AW1471" s="143">
        <v>0</v>
      </c>
      <c r="AX1471" s="141">
        <f t="shared" si="1895"/>
        <v>1</v>
      </c>
      <c r="AY1471" s="141">
        <f t="shared" si="1896"/>
        <v>1</v>
      </c>
      <c r="AZ1471">
        <f t="shared" si="1897"/>
        <v>0</v>
      </c>
      <c r="BA1471">
        <f t="shared" si="1898"/>
        <v>1</v>
      </c>
      <c r="BB1471">
        <f t="shared" si="1899"/>
        <v>0</v>
      </c>
      <c r="BC1471">
        <f t="shared" si="1900"/>
        <v>0</v>
      </c>
      <c r="BD1471">
        <f t="shared" si="1901"/>
        <v>0</v>
      </c>
      <c r="BE1471" t="str" cm="1">
        <f t="array" ref="BE1471">IF(AY1471=1,INDEX($V$7:$AL$7,MATCH(TRUE,INDEX($V1471:$AW1471&lt;&gt;0,),0)),IF(AY1471=0,INDEX($AM$7:$AW$7,MATCH(1,$AM1471:$AW1471,0)),IF(BF1471="Multiple strategies","mixed drivers",IF(BF1471="Supply chain","multiple supply","multiple silviculture"))))</f>
        <v>products lifespan</v>
      </c>
      <c r="BF1471" s="2" t="str" cm="1">
        <f t="array" ref="BF1471">IF(COUNTIF(AZ1471:BB1471,"&lt;&gt;0")=1,INDEX($V$4:$AW$4,MATCH(TRUE,INDEX($V1471:$AW1471&lt;&gt;0,),0)),IF(COUNTIF(AZ1471:BB1471,"&lt;&gt;0")=0,INDEX($AM$4:$AW$4,MATCH(1,$AM1471:$AW1471,0)),"Multiple strategies"))</f>
        <v>Supply chain</v>
      </c>
      <c r="BG1471" s="1" t="s">
        <v>321</v>
      </c>
      <c r="BP1471" s="311" t="s">
        <v>232</v>
      </c>
      <c r="BQ1471" s="311"/>
      <c r="BR1471" t="s">
        <v>4172</v>
      </c>
      <c r="BU1471" s="144"/>
      <c r="BV1471">
        <v>104</v>
      </c>
      <c r="BY1471" t="str">
        <f t="shared" si="1926"/>
        <v/>
      </c>
      <c r="BZ1471" s="143">
        <v>0</v>
      </c>
      <c r="CA1471" s="143">
        <v>0</v>
      </c>
      <c r="CB1471" s="143">
        <v>0</v>
      </c>
      <c r="CC1471" s="143">
        <v>0</v>
      </c>
      <c r="CD1471" s="143">
        <v>0</v>
      </c>
      <c r="CE1471" s="143">
        <v>0</v>
      </c>
      <c r="CF1471" s="143">
        <v>0</v>
      </c>
      <c r="CG1471" s="143">
        <v>0</v>
      </c>
      <c r="CH1471" s="143">
        <v>0</v>
      </c>
      <c r="CI1471" s="143">
        <v>0</v>
      </c>
      <c r="CJ1471" s="143">
        <v>0</v>
      </c>
      <c r="CK1471" s="143">
        <v>0</v>
      </c>
      <c r="CL1471" s="143">
        <v>0</v>
      </c>
      <c r="CM1471" s="143">
        <v>0</v>
      </c>
      <c r="CN1471" t="str">
        <f t="shared" si="1928"/>
        <v>refOK</v>
      </c>
      <c r="CO1471"/>
      <c r="CP1471"/>
      <c r="CQ1471"/>
      <c r="CR1471"/>
      <c r="CS1471"/>
      <c r="CT1471">
        <f t="shared" si="1911"/>
        <v>0</v>
      </c>
      <c r="CU1471" t="str">
        <f t="shared" si="1912"/>
        <v/>
      </c>
      <c r="CV1471" s="2" t="str">
        <f t="shared" si="1913"/>
        <v/>
      </c>
      <c r="CW1471" s="1" t="s">
        <v>1198</v>
      </c>
      <c r="CX1471" s="311" t="str">
        <f t="shared" si="1914"/>
        <v>reg</v>
      </c>
      <c r="CY1471" t="s">
        <v>540</v>
      </c>
      <c r="CZ1471">
        <v>2018</v>
      </c>
      <c r="DA1471">
        <v>2050</v>
      </c>
      <c r="DB1471">
        <f t="shared" si="1929"/>
        <v>32</v>
      </c>
      <c r="DC1471" t="str">
        <f t="shared" si="1915"/>
        <v>31-70</v>
      </c>
      <c r="DD1471">
        <v>1</v>
      </c>
      <c r="DE1471">
        <v>1</v>
      </c>
      <c r="DF1471">
        <v>1</v>
      </c>
      <c r="DG1471">
        <v>1</v>
      </c>
      <c r="DI1471">
        <f t="shared" si="1916"/>
        <v>4</v>
      </c>
      <c r="DJ1471" t="str">
        <f t="shared" si="1917"/>
        <v>mixedProduct</v>
      </c>
      <c r="DK1471" t="str">
        <f t="shared" si="1918"/>
        <v>Upstream</v>
      </c>
      <c r="DL1471" t="str">
        <f t="shared" si="1919"/>
        <v>Energy</v>
      </c>
      <c r="DM1471" t="str">
        <f t="shared" si="1920"/>
        <v>Pulp/Paper</v>
      </c>
      <c r="DN1471" t="str">
        <f t="shared" si="1921"/>
        <v>Timber</v>
      </c>
      <c r="DO1471">
        <v>1</v>
      </c>
      <c r="DP1471" s="143">
        <v>0</v>
      </c>
      <c r="DQ1471">
        <v>0</v>
      </c>
      <c r="DR1471">
        <v>0</v>
      </c>
      <c r="DS1471">
        <v>0</v>
      </c>
      <c r="DT1471">
        <f t="shared" si="1922"/>
        <v>1</v>
      </c>
      <c r="DU1471" s="143" t="str">
        <f t="shared" si="1923"/>
        <v>self-calculated DF</v>
      </c>
      <c r="DV1471" s="143">
        <v>1</v>
      </c>
      <c r="DW1471" s="143">
        <v>1</v>
      </c>
      <c r="DX1471" s="143">
        <v>1</v>
      </c>
      <c r="DY1471" s="143">
        <v>1</v>
      </c>
      <c r="DZ1471" s="143">
        <v>1</v>
      </c>
      <c r="EA1471" s="143">
        <v>1</v>
      </c>
      <c r="EB1471" s="143">
        <v>0</v>
      </c>
      <c r="EC1471" s="143">
        <v>0</v>
      </c>
      <c r="ED1471" s="143">
        <v>0</v>
      </c>
      <c r="EE1471" s="143">
        <v>0</v>
      </c>
      <c r="EF1471" s="143">
        <v>0</v>
      </c>
      <c r="EG1471" s="143">
        <v>0</v>
      </c>
      <c r="EH1471" s="143">
        <v>0</v>
      </c>
      <c r="EI1471" s="196">
        <v>0</v>
      </c>
      <c r="EK1471" t="str">
        <f t="shared" si="1930"/>
        <v/>
      </c>
      <c r="EL1471" t="str">
        <f t="shared" si="1931"/>
        <v/>
      </c>
      <c r="EM1471" s="2" t="str">
        <f t="shared" si="1927"/>
        <v/>
      </c>
      <c r="EP1471" t="b">
        <f>IF(ISNUMBER(BU1471),IF(ABS(BU1471-[1]QC_indicators!$B$2)&gt;3*[1]QC_indicators!$C$2,"C ratio",IF(ISNUMBER(BY1471),IF(ABS(BY1471-[1]QC_indicators!$B$1)&gt;3*[1]QC_indicators!$C$1,"DF","no"))),IF(ISNUMBER(BY1471),IF(ABS(BY1471-[1]QC_indicators!$B$1)&gt;3*[1]QC_indicators!$C$1,"DF","no")))</f>
        <v>0</v>
      </c>
      <c r="ER1471" s="313" t="s">
        <v>349</v>
      </c>
    </row>
    <row r="1472" spans="1:150" ht="15" hidden="1" customHeight="1">
      <c r="D1472" t="s">
        <v>4169</v>
      </c>
      <c r="E1472" t="s">
        <v>4170</v>
      </c>
      <c r="G1472" t="s">
        <v>3563</v>
      </c>
      <c r="I1472">
        <v>2018</v>
      </c>
      <c r="K1472" t="s">
        <v>4171</v>
      </c>
      <c r="M1472" t="str">
        <f t="shared" si="1856"/>
        <v>Smyth_2018</v>
      </c>
      <c r="N1472" s="311" t="s">
        <v>4382</v>
      </c>
      <c r="O1472" s="145" t="s">
        <v>225</v>
      </c>
      <c r="Q1472" s="311" t="s">
        <v>256</v>
      </c>
      <c r="R1472" s="312"/>
      <c r="S1472" s="1" t="s">
        <v>4176</v>
      </c>
      <c r="V1472" s="143">
        <v>0</v>
      </c>
      <c r="W1472" s="143">
        <v>0</v>
      </c>
      <c r="X1472" s="143">
        <v>0</v>
      </c>
      <c r="Y1472" s="143">
        <v>0</v>
      </c>
      <c r="Z1472" s="143">
        <v>0</v>
      </c>
      <c r="AA1472" s="143">
        <v>0</v>
      </c>
      <c r="AB1472" s="143">
        <v>0</v>
      </c>
      <c r="AC1472" s="143">
        <v>0</v>
      </c>
      <c r="AD1472" s="143">
        <v>0</v>
      </c>
      <c r="AE1472" s="143">
        <v>0</v>
      </c>
      <c r="AF1472" s="143">
        <v>0</v>
      </c>
      <c r="AG1472" s="143">
        <v>0</v>
      </c>
      <c r="AH1472" s="143">
        <v>0</v>
      </c>
      <c r="AI1472" s="143">
        <v>1</v>
      </c>
      <c r="AJ1472" s="143">
        <v>0</v>
      </c>
      <c r="AK1472" s="143">
        <v>0</v>
      </c>
      <c r="AL1472" s="143">
        <v>0</v>
      </c>
      <c r="AM1472" s="143">
        <v>0</v>
      </c>
      <c r="AN1472" s="143">
        <v>0</v>
      </c>
      <c r="AO1472" s="143">
        <v>0</v>
      </c>
      <c r="AP1472" s="143">
        <v>0</v>
      </c>
      <c r="AQ1472" s="143">
        <v>0</v>
      </c>
      <c r="AR1472" s="143">
        <v>0</v>
      </c>
      <c r="AS1472" s="143">
        <v>0</v>
      </c>
      <c r="AT1472" s="143">
        <v>0</v>
      </c>
      <c r="AU1472" s="143">
        <v>0</v>
      </c>
      <c r="AV1472" s="143">
        <v>0</v>
      </c>
      <c r="AW1472" s="143">
        <v>0</v>
      </c>
      <c r="AX1472" s="141">
        <f t="shared" si="1895"/>
        <v>1</v>
      </c>
      <c r="AY1472" s="141">
        <f t="shared" si="1896"/>
        <v>1</v>
      </c>
      <c r="AZ1472">
        <f t="shared" si="1897"/>
        <v>0</v>
      </c>
      <c r="BA1472">
        <f t="shared" si="1898"/>
        <v>1</v>
      </c>
      <c r="BB1472">
        <f t="shared" si="1899"/>
        <v>0</v>
      </c>
      <c r="BC1472">
        <f t="shared" si="1900"/>
        <v>0</v>
      </c>
      <c r="BD1472">
        <f t="shared" si="1901"/>
        <v>0</v>
      </c>
      <c r="BE1472" t="str" cm="1">
        <f t="array" ref="BE1472">IF(AY1472=1,INDEX($V$7:$AL$7,MATCH(TRUE,INDEX($V1472:$AW1472&lt;&gt;0,),0)),IF(AY1472=0,INDEX($AM$7:$AW$7,MATCH(1,$AM1472:$AW1472,0)),IF(BF1472="Multiple strategies","mixed drivers",IF(BF1472="Supply chain","multiple supply","multiple silviculture"))))</f>
        <v>products lifespan</v>
      </c>
      <c r="BF1472" s="2" t="str" cm="1">
        <f t="array" ref="BF1472">IF(COUNTIF(AZ1472:BB1472,"&lt;&gt;0")=1,INDEX($V$4:$AW$4,MATCH(TRUE,INDEX($V1472:$AW1472&lt;&gt;0,),0)),IF(COUNTIF(AZ1472:BB1472,"&lt;&gt;0")=0,INDEX($AM$4:$AW$4,MATCH(1,$AM1472:$AW1472,0)),"Multiple strategies"))</f>
        <v>Supply chain</v>
      </c>
      <c r="BG1472" s="1" t="s">
        <v>321</v>
      </c>
      <c r="BP1472" s="311" t="s">
        <v>232</v>
      </c>
      <c r="BQ1472" s="311"/>
      <c r="BR1472" t="s">
        <v>4172</v>
      </c>
      <c r="BU1472" s="144"/>
      <c r="BV1472">
        <v>42</v>
      </c>
      <c r="BY1472" t="str">
        <f t="shared" si="1926"/>
        <v/>
      </c>
      <c r="BZ1472" s="143">
        <v>0</v>
      </c>
      <c r="CA1472" s="143">
        <v>0</v>
      </c>
      <c r="CB1472" s="143">
        <v>0</v>
      </c>
      <c r="CC1472" s="143">
        <v>0</v>
      </c>
      <c r="CD1472" s="143">
        <v>0</v>
      </c>
      <c r="CE1472" s="143">
        <v>0</v>
      </c>
      <c r="CF1472" s="143">
        <v>0</v>
      </c>
      <c r="CG1472" s="143">
        <v>0</v>
      </c>
      <c r="CH1472" s="143">
        <v>0</v>
      </c>
      <c r="CI1472" s="143">
        <v>0</v>
      </c>
      <c r="CJ1472" s="143">
        <v>0</v>
      </c>
      <c r="CK1472" s="143">
        <v>0</v>
      </c>
      <c r="CL1472" s="143">
        <v>0</v>
      </c>
      <c r="CM1472" s="143">
        <v>0</v>
      </c>
      <c r="CN1472" t="str">
        <f t="shared" si="1928"/>
        <v>refOK</v>
      </c>
      <c r="CO1472"/>
      <c r="CP1472"/>
      <c r="CQ1472"/>
      <c r="CR1472"/>
      <c r="CS1472"/>
      <c r="CT1472">
        <f t="shared" si="1911"/>
        <v>0</v>
      </c>
      <c r="CU1472" t="str">
        <f t="shared" si="1912"/>
        <v/>
      </c>
      <c r="CV1472" s="2" t="str">
        <f t="shared" si="1913"/>
        <v/>
      </c>
      <c r="CW1472" s="1" t="s">
        <v>1198</v>
      </c>
      <c r="CX1472" s="311" t="str">
        <f t="shared" si="1914"/>
        <v>reg</v>
      </c>
      <c r="CY1472" t="s">
        <v>540</v>
      </c>
      <c r="CZ1472">
        <v>2018</v>
      </c>
      <c r="DA1472">
        <v>2050</v>
      </c>
      <c r="DB1472">
        <f t="shared" si="1929"/>
        <v>32</v>
      </c>
      <c r="DC1472" t="str">
        <f t="shared" si="1915"/>
        <v>31-70</v>
      </c>
      <c r="DD1472">
        <v>1</v>
      </c>
      <c r="DE1472">
        <v>1</v>
      </c>
      <c r="DF1472">
        <v>1</v>
      </c>
      <c r="DG1472">
        <v>1</v>
      </c>
      <c r="DI1472">
        <f t="shared" si="1916"/>
        <v>4</v>
      </c>
      <c r="DJ1472" t="str">
        <f t="shared" si="1917"/>
        <v>mixedProduct</v>
      </c>
      <c r="DK1472" t="str">
        <f t="shared" si="1918"/>
        <v>Upstream</v>
      </c>
      <c r="DL1472" t="str">
        <f t="shared" si="1919"/>
        <v>Energy</v>
      </c>
      <c r="DM1472" t="str">
        <f t="shared" si="1920"/>
        <v>Pulp/Paper</v>
      </c>
      <c r="DN1472" t="str">
        <f t="shared" si="1921"/>
        <v>Timber</v>
      </c>
      <c r="DO1472">
        <v>1</v>
      </c>
      <c r="DP1472" s="143">
        <v>0</v>
      </c>
      <c r="DQ1472">
        <v>0</v>
      </c>
      <c r="DR1472">
        <v>0</v>
      </c>
      <c r="DS1472">
        <v>0</v>
      </c>
      <c r="DT1472">
        <f t="shared" si="1922"/>
        <v>1</v>
      </c>
      <c r="DU1472" s="143" t="str">
        <f t="shared" si="1923"/>
        <v>self-calculated DF</v>
      </c>
      <c r="DV1472" s="143">
        <v>1</v>
      </c>
      <c r="DW1472" s="143">
        <v>1</v>
      </c>
      <c r="DX1472" s="143">
        <v>1</v>
      </c>
      <c r="DY1472" s="143">
        <v>1</v>
      </c>
      <c r="DZ1472" s="143">
        <v>1</v>
      </c>
      <c r="EA1472" s="143">
        <v>1</v>
      </c>
      <c r="EB1472" s="143">
        <v>0</v>
      </c>
      <c r="EC1472" s="143">
        <v>0</v>
      </c>
      <c r="ED1472" s="143">
        <v>0</v>
      </c>
      <c r="EE1472" s="143">
        <v>0</v>
      </c>
      <c r="EF1472" s="143">
        <v>0</v>
      </c>
      <c r="EG1472" s="143">
        <v>0</v>
      </c>
      <c r="EH1472" s="143">
        <v>0</v>
      </c>
      <c r="EI1472" s="196">
        <v>0</v>
      </c>
      <c r="EK1472" t="str">
        <f t="shared" si="1930"/>
        <v/>
      </c>
      <c r="EL1472" t="str">
        <f t="shared" si="1931"/>
        <v/>
      </c>
      <c r="EM1472" s="2" t="str">
        <f t="shared" si="1927"/>
        <v/>
      </c>
      <c r="EP1472" t="b">
        <f>IF(ISNUMBER(BU1472),IF(ABS(BU1472-[1]QC_indicators!$B$2)&gt;3*[1]QC_indicators!$C$2,"C ratio",IF(ISNUMBER(BY1472),IF(ABS(BY1472-[1]QC_indicators!$B$1)&gt;3*[1]QC_indicators!$C$1,"DF","no"))),IF(ISNUMBER(BY1472),IF(ABS(BY1472-[1]QC_indicators!$B$1)&gt;3*[1]QC_indicators!$C$1,"DF","no")))</f>
        <v>0</v>
      </c>
      <c r="ER1472" s="313" t="s">
        <v>349</v>
      </c>
    </row>
    <row r="1473" spans="1:151" ht="15" hidden="1" customHeight="1">
      <c r="A1473" s="1" t="s">
        <v>1971</v>
      </c>
      <c r="B1473" t="s">
        <v>2315</v>
      </c>
      <c r="C1473" t="s">
        <v>2316</v>
      </c>
      <c r="D1473" t="s">
        <v>2317</v>
      </c>
      <c r="E1473" t="s">
        <v>2318</v>
      </c>
      <c r="F1473" t="s">
        <v>2319</v>
      </c>
      <c r="G1473" t="s">
        <v>1977</v>
      </c>
      <c r="H1473" t="s">
        <v>254</v>
      </c>
      <c r="I1473">
        <v>2020</v>
      </c>
      <c r="J1473">
        <v>7</v>
      </c>
      <c r="K1473" t="s">
        <v>2320</v>
      </c>
      <c r="M1473" t="str">
        <f t="shared" ref="M1473:M1536" si="1932">LEFT($D1473,FIND(",",$D1473)-1)&amp;"_"&amp;I1473&amp;L1473</f>
        <v>Smyth_2020</v>
      </c>
      <c r="N1473" t="s">
        <v>222</v>
      </c>
      <c r="O1473" s="145" t="s">
        <v>341</v>
      </c>
      <c r="Q1473" t="s">
        <v>256</v>
      </c>
      <c r="R1473" s="290" t="s">
        <v>225</v>
      </c>
      <c r="S1473" s="1" t="s">
        <v>2321</v>
      </c>
      <c r="T1473" t="s">
        <v>2322</v>
      </c>
      <c r="U1473" t="s">
        <v>1154</v>
      </c>
      <c r="V1473">
        <v>1</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s="141">
        <f t="shared" si="1895"/>
        <v>1</v>
      </c>
      <c r="AY1473" s="141">
        <f t="shared" si="1896"/>
        <v>1</v>
      </c>
      <c r="AZ1473">
        <f t="shared" si="1897"/>
        <v>1</v>
      </c>
      <c r="BA1473">
        <f t="shared" si="1898"/>
        <v>0</v>
      </c>
      <c r="BB1473">
        <f t="shared" si="1899"/>
        <v>0</v>
      </c>
      <c r="BC1473">
        <f t="shared" si="1900"/>
        <v>0</v>
      </c>
      <c r="BD1473">
        <f t="shared" si="1901"/>
        <v>0</v>
      </c>
      <c r="BE1473" t="str">
        <f t="array" ref="BE1473">IF(AY1473=1,INDEX($V$7:$AL$7,MATCH(TRUE,INDEX($V1473:$AW1473&lt;&gt;0,),0)),IF(AY1473=0,INDEX($AM$7:$AW$7,MATCH(1,$AM1473:$AW1473,0)),IF(BF1473="Multiple strategies","mixed drivers",IF(BF1473="Supply chain","multiple supply","multiple silviculture"))))</f>
        <v>area subject to harvest</v>
      </c>
      <c r="BF1473" s="2" t="str" cm="1">
        <f t="array" ref="BF1473">IF(COUNTIF(AZ1473:BB1473,"&lt;&gt;0")=1,INDEX($V$4:$AW$4,MATCH(TRUE,INDEX($V1473:$AW1473&lt;&gt;0,),0)),IF(COUNTIF(AZ1473:BB1473,"&lt;&gt;0")=0,INDEX($AM$4:$AW$4,MATCH(1,$AM1473:$AW1473,0)),"Multiple strategies"))</f>
        <v>Silviculture for removals</v>
      </c>
      <c r="BG1473" s="1" t="s">
        <v>321</v>
      </c>
      <c r="BH1473" t="s">
        <v>2323</v>
      </c>
      <c r="BI1473" s="260" t="s">
        <v>3389</v>
      </c>
      <c r="BJ1473" t="s">
        <v>1358</v>
      </c>
      <c r="BK1473">
        <v>425</v>
      </c>
      <c r="BL1473">
        <v>457</v>
      </c>
      <c r="BM1473">
        <f t="shared" ref="BM1473:BM1484" si="1933">BL1473/BK1473</f>
        <v>1.0752941176470587</v>
      </c>
      <c r="BN1473">
        <f t="shared" ref="BN1473:BN1484" si="1934">BL1473-BK1473</f>
        <v>32</v>
      </c>
      <c r="BO1473">
        <f t="shared" ref="BO1473:BO1486" si="1935">BN1473*10^6*tC_to_m3</f>
        <v>138949196.6999566</v>
      </c>
      <c r="BP1473" t="s">
        <v>232</v>
      </c>
      <c r="BQ1473" s="260" t="s">
        <v>3390</v>
      </c>
      <c r="BR1473" t="s">
        <v>2324</v>
      </c>
      <c r="BU1473" s="144"/>
      <c r="BV1473">
        <v>-300</v>
      </c>
      <c r="BX1473">
        <f t="shared" ref="BX1473:BX1484" si="1936">BV1473*10^6</f>
        <v>-300000000</v>
      </c>
      <c r="BY1473">
        <f t="shared" si="1926"/>
        <v>-2.1590624999999997</v>
      </c>
      <c r="BZ1473">
        <v>0</v>
      </c>
      <c r="CA1473">
        <v>1</v>
      </c>
      <c r="CB1473">
        <v>1</v>
      </c>
      <c r="CC1473">
        <v>1</v>
      </c>
      <c r="CD1473">
        <v>0</v>
      </c>
      <c r="CE1473">
        <v>0</v>
      </c>
      <c r="CF1473">
        <v>0</v>
      </c>
      <c r="CG1473">
        <v>0</v>
      </c>
      <c r="CH1473">
        <v>0</v>
      </c>
      <c r="CI1473">
        <v>0</v>
      </c>
      <c r="CJ1473">
        <v>0</v>
      </c>
      <c r="CK1473">
        <v>0</v>
      </c>
      <c r="CL1473">
        <v>0</v>
      </c>
      <c r="CM1473">
        <v>0</v>
      </c>
      <c r="CN1473" t="str">
        <f t="shared" si="1928"/>
        <v>refOK</v>
      </c>
      <c r="CO1473"/>
      <c r="CP1473"/>
      <c r="CQ1473">
        <f t="shared" ref="CQ1473:CQ1484" si="1937">IF($CN1473="refOK",$BO1473,-$BO1473)</f>
        <v>138949196.6999566</v>
      </c>
      <c r="CR1473">
        <f t="shared" ref="CR1473:CR1486" si="1938">IF($CN1473="refOK",$BS1473,$BT1473)*IF($BP1473="Emissions positive",-1,1)</f>
        <v>0</v>
      </c>
      <c r="CS1473">
        <f t="shared" ref="CS1473:CS1486" si="1939">IF($CN1473="refOK",$BT1473,$BS1473)*IF($BP1473="Emissions positive",-1,1)</f>
        <v>0</v>
      </c>
      <c r="CT1473">
        <f t="shared" si="1911"/>
        <v>-300000000</v>
      </c>
      <c r="CU1473">
        <f t="shared" si="1912"/>
        <v>-2.1590624999999997</v>
      </c>
      <c r="CV1473" s="2" t="str">
        <f t="shared" si="1913"/>
        <v/>
      </c>
      <c r="CW1473" s="1" t="s">
        <v>1198</v>
      </c>
      <c r="CX1473" t="str">
        <f t="shared" si="1914"/>
        <v>reg</v>
      </c>
      <c r="CY1473" t="s">
        <v>540</v>
      </c>
      <c r="CZ1473">
        <v>2015</v>
      </c>
      <c r="DA1473">
        <v>2070</v>
      </c>
      <c r="DB1473">
        <v>45</v>
      </c>
      <c r="DC1473" t="str">
        <f t="shared" si="1915"/>
        <v>31-70</v>
      </c>
      <c r="DD1473">
        <v>0</v>
      </c>
      <c r="DE1473">
        <v>1</v>
      </c>
      <c r="DF1473">
        <v>1</v>
      </c>
      <c r="DG1473">
        <v>1</v>
      </c>
      <c r="DI1473">
        <f t="shared" si="1916"/>
        <v>3</v>
      </c>
      <c r="DJ1473" t="str">
        <f t="shared" si="1917"/>
        <v>mixedProduct</v>
      </c>
      <c r="DK1473">
        <f t="shared" si="1918"/>
        <v>0</v>
      </c>
      <c r="DL1473" t="str">
        <f t="shared" si="1919"/>
        <v>Energy</v>
      </c>
      <c r="DM1473" t="str">
        <f t="shared" si="1920"/>
        <v>Pulp/Paper</v>
      </c>
      <c r="DN1473" t="str">
        <f t="shared" si="1921"/>
        <v>Timber</v>
      </c>
      <c r="DO1473">
        <v>1</v>
      </c>
      <c r="DP1473">
        <v>1</v>
      </c>
      <c r="DQ1473" t="s">
        <v>2314</v>
      </c>
      <c r="DR1473">
        <v>0</v>
      </c>
      <c r="DS1473">
        <v>0</v>
      </c>
      <c r="DT1473">
        <f t="shared" si="1922"/>
        <v>2</v>
      </c>
      <c r="DU1473" s="143" t="str">
        <f t="shared" si="1923"/>
        <v>self-calculated DF</v>
      </c>
      <c r="DV1473">
        <v>1</v>
      </c>
      <c r="DW1473">
        <v>1</v>
      </c>
      <c r="DX1473">
        <v>1</v>
      </c>
      <c r="DY1473">
        <v>1</v>
      </c>
      <c r="DZ1473">
        <v>1</v>
      </c>
      <c r="EA1473" s="143">
        <v>1</v>
      </c>
      <c r="EB1473">
        <v>1</v>
      </c>
      <c r="EC1473">
        <v>1</v>
      </c>
      <c r="ED1473">
        <v>1</v>
      </c>
      <c r="EE1473">
        <v>1</v>
      </c>
      <c r="EF1473">
        <v>1</v>
      </c>
      <c r="EG1473">
        <v>1</v>
      </c>
      <c r="EH1473">
        <v>0</v>
      </c>
      <c r="EI1473" s="2">
        <v>0</v>
      </c>
      <c r="EK1473" t="str">
        <f t="shared" ref="EK1473:EK1486" si="1940">IF(AND(AND(AND(OR($DX1473=1,$DW1473=1),OR($EC1473=1,$EA1473=1)),SUM($DV1473:$DZ1473,$EF1473)&gt;=4),SUM($EA1473:$EE1473)&gt;=2),"Whole sector","")</f>
        <v>Whole sector</v>
      </c>
      <c r="EL1473" t="str">
        <f t="shared" ref="EL1473:EL1486" si="1941">IF(AND(AND(OR($DX1473=1,$DW1473=1),AND($EC1473=0,$EA1473=0)),SUM($DV1473:$DZ1473,$EF1473)&gt;=4),"Ecosystem approach","")</f>
        <v/>
      </c>
      <c r="EM1473" s="2" t="str">
        <f t="shared" si="1927"/>
        <v/>
      </c>
      <c r="EP1473" t="str">
        <f>IF(ISNUMBER(BU1473),IF(ABS(BU1473-[5]QC_indicators!$B$2)&gt;3*[5]QC_indicators!$C$2,"C ratio",IF(ISNUMBER(BY1473),IF(ABS(BY1473-[5]QC_indicators!$B$1)&gt;3*[5]QC_indicators!$C$1,"DF","no"))),IF(ISNUMBER(BY1473),IF(ABS(BY1473-[5]QC_indicators!$B$1)&gt;3*[5]QC_indicators!$C$1,"DF","no")))</f>
        <v>no</v>
      </c>
      <c r="ER1473" s="149" t="s">
        <v>2325</v>
      </c>
      <c r="ET1473" s="264" t="s">
        <v>3272</v>
      </c>
    </row>
    <row r="1474" spans="1:151" ht="15" hidden="1" customHeight="1">
      <c r="A1474" s="1" t="s">
        <v>1971</v>
      </c>
      <c r="B1474" t="s">
        <v>2315</v>
      </c>
      <c r="C1474" t="s">
        <v>2316</v>
      </c>
      <c r="D1474" t="s">
        <v>2317</v>
      </c>
      <c r="E1474" t="s">
        <v>2318</v>
      </c>
      <c r="F1474" t="s">
        <v>2319</v>
      </c>
      <c r="G1474" t="s">
        <v>1977</v>
      </c>
      <c r="H1474" t="s">
        <v>254</v>
      </c>
      <c r="I1474">
        <v>2020</v>
      </c>
      <c r="J1474">
        <v>7</v>
      </c>
      <c r="K1474" t="s">
        <v>2320</v>
      </c>
      <c r="M1474" t="str">
        <f t="shared" si="1932"/>
        <v>Smyth_2020</v>
      </c>
      <c r="N1474" t="s">
        <v>222</v>
      </c>
      <c r="O1474" s="145" t="s">
        <v>341</v>
      </c>
      <c r="Q1474" t="s">
        <v>256</v>
      </c>
      <c r="R1474" s="290" t="s">
        <v>225</v>
      </c>
      <c r="S1474" s="1" t="s">
        <v>2326</v>
      </c>
      <c r="T1474" t="s">
        <v>2327</v>
      </c>
      <c r="U1474" t="s">
        <v>1154</v>
      </c>
      <c r="V1474">
        <v>1</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s="141">
        <f t="shared" si="1895"/>
        <v>1</v>
      </c>
      <c r="AY1474" s="141">
        <f t="shared" si="1896"/>
        <v>1</v>
      </c>
      <c r="AZ1474">
        <f t="shared" si="1897"/>
        <v>1</v>
      </c>
      <c r="BA1474">
        <f t="shared" si="1898"/>
        <v>0</v>
      </c>
      <c r="BB1474">
        <f t="shared" si="1899"/>
        <v>0</v>
      </c>
      <c r="BC1474">
        <f t="shared" si="1900"/>
        <v>0</v>
      </c>
      <c r="BD1474">
        <f t="shared" si="1901"/>
        <v>0</v>
      </c>
      <c r="BE1474" t="str">
        <f t="array" ref="BE1474">IF(AY1474=1,INDEX($V$7:$AL$7,MATCH(TRUE,INDEX($V1474:$AW1474&lt;&gt;0,),0)),IF(AY1474=0,INDEX($AM$7:$AW$7,MATCH(1,$AM1474:$AW1474,0)),IF(BF1474="Multiple strategies","mixed drivers",IF(BF1474="Supply chain","multiple supply","multiple silviculture"))))</f>
        <v>area subject to harvest</v>
      </c>
      <c r="BF1474" s="2" t="str" cm="1">
        <f t="array" ref="BF1474">IF(COUNTIF(AZ1474:BB1474,"&lt;&gt;0")=1,INDEX($V$4:$AW$4,MATCH(TRUE,INDEX($V1474:$AW1474&lt;&gt;0,),0)),IF(COUNTIF(AZ1474:BB1474,"&lt;&gt;0")=0,INDEX($AM$4:$AW$4,MATCH(1,$AM1474:$AW1474,0)),"Multiple strategies"))</f>
        <v>Silviculture for removals</v>
      </c>
      <c r="BG1474" s="1" t="s">
        <v>321</v>
      </c>
      <c r="BH1474" t="s">
        <v>2323</v>
      </c>
      <c r="BI1474" s="260" t="s">
        <v>3389</v>
      </c>
      <c r="BJ1474" t="s">
        <v>1358</v>
      </c>
      <c r="BK1474">
        <v>434</v>
      </c>
      <c r="BL1474">
        <v>457</v>
      </c>
      <c r="BM1474">
        <f t="shared" si="1933"/>
        <v>1.0529953917050692</v>
      </c>
      <c r="BN1474">
        <f t="shared" si="1934"/>
        <v>23</v>
      </c>
      <c r="BO1474">
        <f t="shared" si="1935"/>
        <v>99869735.128093794</v>
      </c>
      <c r="BP1474" t="s">
        <v>232</v>
      </c>
      <c r="BQ1474" s="260" t="s">
        <v>3390</v>
      </c>
      <c r="BR1474" t="s">
        <v>2324</v>
      </c>
      <c r="BU1474" s="144"/>
      <c r="BV1474">
        <v>-208</v>
      </c>
      <c r="BX1474">
        <f t="shared" si="1936"/>
        <v>-208000000</v>
      </c>
      <c r="BY1474">
        <f t="shared" si="1926"/>
        <v>-2.0827130434782606</v>
      </c>
      <c r="BZ1474">
        <v>0</v>
      </c>
      <c r="CA1474">
        <v>1</v>
      </c>
      <c r="CB1474">
        <v>1</v>
      </c>
      <c r="CC1474">
        <v>1</v>
      </c>
      <c r="CD1474">
        <v>0</v>
      </c>
      <c r="CE1474">
        <v>0</v>
      </c>
      <c r="CF1474">
        <v>0</v>
      </c>
      <c r="CG1474">
        <v>0</v>
      </c>
      <c r="CH1474">
        <v>0</v>
      </c>
      <c r="CI1474">
        <v>0</v>
      </c>
      <c r="CJ1474">
        <v>0</v>
      </c>
      <c r="CK1474">
        <v>0</v>
      </c>
      <c r="CL1474">
        <v>0</v>
      </c>
      <c r="CM1474">
        <v>0</v>
      </c>
      <c r="CN1474" t="str">
        <f t="shared" si="1928"/>
        <v>refOK</v>
      </c>
      <c r="CO1474"/>
      <c r="CP1474"/>
      <c r="CQ1474">
        <f t="shared" si="1937"/>
        <v>99869735.128093794</v>
      </c>
      <c r="CR1474">
        <f t="shared" si="1938"/>
        <v>0</v>
      </c>
      <c r="CS1474">
        <f t="shared" si="1939"/>
        <v>0</v>
      </c>
      <c r="CT1474">
        <f t="shared" si="1911"/>
        <v>-208000000</v>
      </c>
      <c r="CU1474">
        <f t="shared" si="1912"/>
        <v>-2.0827130434782606</v>
      </c>
      <c r="CV1474" s="2" t="str">
        <f t="shared" si="1913"/>
        <v/>
      </c>
      <c r="CW1474" s="1" t="s">
        <v>1198</v>
      </c>
      <c r="CX1474" t="str">
        <f t="shared" si="1914"/>
        <v>reg</v>
      </c>
      <c r="CY1474" t="s">
        <v>540</v>
      </c>
      <c r="CZ1474">
        <v>2015</v>
      </c>
      <c r="DA1474">
        <v>2070</v>
      </c>
      <c r="DB1474">
        <v>45</v>
      </c>
      <c r="DC1474" t="str">
        <f t="shared" si="1915"/>
        <v>31-70</v>
      </c>
      <c r="DD1474">
        <v>0</v>
      </c>
      <c r="DE1474">
        <v>1</v>
      </c>
      <c r="DF1474">
        <v>1</v>
      </c>
      <c r="DG1474">
        <v>1</v>
      </c>
      <c r="DI1474">
        <f t="shared" si="1916"/>
        <v>3</v>
      </c>
      <c r="DJ1474" t="str">
        <f t="shared" si="1917"/>
        <v>mixedProduct</v>
      </c>
      <c r="DK1474">
        <f t="shared" si="1918"/>
        <v>0</v>
      </c>
      <c r="DL1474" t="str">
        <f t="shared" si="1919"/>
        <v>Energy</v>
      </c>
      <c r="DM1474" t="str">
        <f t="shared" si="1920"/>
        <v>Pulp/Paper</v>
      </c>
      <c r="DN1474" t="str">
        <f t="shared" si="1921"/>
        <v>Timber</v>
      </c>
      <c r="DO1474">
        <v>1</v>
      </c>
      <c r="DP1474">
        <v>1</v>
      </c>
      <c r="DQ1474" t="s">
        <v>2314</v>
      </c>
      <c r="DR1474">
        <v>0</v>
      </c>
      <c r="DS1474">
        <v>0</v>
      </c>
      <c r="DT1474">
        <f t="shared" si="1922"/>
        <v>2</v>
      </c>
      <c r="DU1474" s="143" t="str">
        <f t="shared" si="1923"/>
        <v>self-calculated DF</v>
      </c>
      <c r="DV1474">
        <v>1</v>
      </c>
      <c r="DW1474">
        <v>1</v>
      </c>
      <c r="DX1474">
        <v>1</v>
      </c>
      <c r="DY1474">
        <v>1</v>
      </c>
      <c r="DZ1474">
        <v>1</v>
      </c>
      <c r="EA1474" s="143">
        <v>1</v>
      </c>
      <c r="EB1474">
        <v>1</v>
      </c>
      <c r="EC1474">
        <v>1</v>
      </c>
      <c r="ED1474">
        <v>1</v>
      </c>
      <c r="EE1474">
        <v>1</v>
      </c>
      <c r="EF1474">
        <v>1</v>
      </c>
      <c r="EG1474">
        <v>1</v>
      </c>
      <c r="EH1474">
        <v>0</v>
      </c>
      <c r="EI1474" s="2">
        <v>0</v>
      </c>
      <c r="EK1474" t="str">
        <f t="shared" si="1940"/>
        <v>Whole sector</v>
      </c>
      <c r="EL1474" t="str">
        <f t="shared" si="1941"/>
        <v/>
      </c>
      <c r="EM1474" s="2" t="str">
        <f t="shared" si="1927"/>
        <v/>
      </c>
      <c r="EP1474" t="str">
        <f>IF(ISNUMBER(BU1474),IF(ABS(BU1474-[5]QC_indicators!$B$2)&gt;3*[5]QC_indicators!$C$2,"C ratio",IF(ISNUMBER(BY1474),IF(ABS(BY1474-[5]QC_indicators!$B$1)&gt;3*[5]QC_indicators!$C$1,"DF","no"))),IF(ISNUMBER(BY1474),IF(ABS(BY1474-[5]QC_indicators!$B$1)&gt;3*[5]QC_indicators!$C$1,"DF","no")))</f>
        <v>no</v>
      </c>
      <c r="ER1474" s="149" t="s">
        <v>2325</v>
      </c>
      <c r="ET1474" s="264" t="s">
        <v>3272</v>
      </c>
    </row>
    <row r="1475" spans="1:151" ht="15" hidden="1" customHeight="1">
      <c r="A1475" s="1" t="s">
        <v>1971</v>
      </c>
      <c r="B1475" t="s">
        <v>2315</v>
      </c>
      <c r="C1475" t="s">
        <v>2316</v>
      </c>
      <c r="D1475" t="s">
        <v>2317</v>
      </c>
      <c r="E1475" t="s">
        <v>2318</v>
      </c>
      <c r="F1475" t="s">
        <v>2319</v>
      </c>
      <c r="G1475" t="s">
        <v>1977</v>
      </c>
      <c r="H1475" t="s">
        <v>254</v>
      </c>
      <c r="I1475">
        <v>2020</v>
      </c>
      <c r="J1475">
        <v>7</v>
      </c>
      <c r="K1475" t="s">
        <v>2320</v>
      </c>
      <c r="M1475" t="str">
        <f t="shared" si="1932"/>
        <v>Smyth_2020</v>
      </c>
      <c r="N1475" t="s">
        <v>222</v>
      </c>
      <c r="O1475" s="145" t="s">
        <v>341</v>
      </c>
      <c r="Q1475" t="s">
        <v>256</v>
      </c>
      <c r="R1475" s="290" t="s">
        <v>225</v>
      </c>
      <c r="S1475" s="1" t="s">
        <v>2328</v>
      </c>
      <c r="T1475" t="s">
        <v>2329</v>
      </c>
      <c r="U1475" t="s">
        <v>1154</v>
      </c>
      <c r="V1475">
        <v>1</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s="141">
        <f t="shared" si="1895"/>
        <v>1</v>
      </c>
      <c r="AY1475" s="141">
        <f t="shared" si="1896"/>
        <v>1</v>
      </c>
      <c r="AZ1475">
        <f t="shared" si="1897"/>
        <v>1</v>
      </c>
      <c r="BA1475">
        <f t="shared" si="1898"/>
        <v>0</v>
      </c>
      <c r="BB1475">
        <f t="shared" si="1899"/>
        <v>0</v>
      </c>
      <c r="BC1475">
        <f t="shared" si="1900"/>
        <v>0</v>
      </c>
      <c r="BD1475">
        <f t="shared" si="1901"/>
        <v>0</v>
      </c>
      <c r="BE1475" t="str">
        <f t="array" ref="BE1475">IF(AY1475=1,INDEX($V$7:$AL$7,MATCH(TRUE,INDEX($V1475:$AW1475&lt;&gt;0,),0)),IF(AY1475=0,INDEX($AM$7:$AW$7,MATCH(1,$AM1475:$AW1475,0)),IF(BF1475="Multiple strategies","mixed drivers",IF(BF1475="Supply chain","multiple supply","multiple silviculture"))))</f>
        <v>area subject to harvest</v>
      </c>
      <c r="BF1475" s="2" t="str" cm="1">
        <f t="array" ref="BF1475">IF(COUNTIF(AZ1475:BB1475,"&lt;&gt;0")=1,INDEX($V$4:$AW$4,MATCH(TRUE,INDEX($V1475:$AW1475&lt;&gt;0,),0)),IF(COUNTIF(AZ1475:BB1475,"&lt;&gt;0")=0,INDEX($AM$4:$AW$4,MATCH(1,$AM1475:$AW1475,0)),"Multiple strategies"))</f>
        <v>Silviculture for removals</v>
      </c>
      <c r="BG1475" s="1" t="s">
        <v>321</v>
      </c>
      <c r="BH1475" t="s">
        <v>2323</v>
      </c>
      <c r="BI1475" s="260" t="s">
        <v>3389</v>
      </c>
      <c r="BJ1475" t="s">
        <v>1358</v>
      </c>
      <c r="BK1475">
        <v>425</v>
      </c>
      <c r="BL1475">
        <v>457</v>
      </c>
      <c r="BM1475">
        <f t="shared" si="1933"/>
        <v>1.0752941176470587</v>
      </c>
      <c r="BN1475">
        <f t="shared" si="1934"/>
        <v>32</v>
      </c>
      <c r="BO1475">
        <f t="shared" si="1935"/>
        <v>138949196.6999566</v>
      </c>
      <c r="BP1475" t="s">
        <v>232</v>
      </c>
      <c r="BQ1475" s="260" t="s">
        <v>3391</v>
      </c>
      <c r="BR1475" t="s">
        <v>2324</v>
      </c>
      <c r="BU1475" s="144"/>
      <c r="BV1475">
        <v>-187</v>
      </c>
      <c r="BX1475">
        <f t="shared" si="1936"/>
        <v>-187000000</v>
      </c>
      <c r="BY1475">
        <f t="shared" si="1926"/>
        <v>-1.3458156249999997</v>
      </c>
      <c r="BZ1475">
        <v>0</v>
      </c>
      <c r="CA1475">
        <v>1</v>
      </c>
      <c r="CB1475">
        <v>1</v>
      </c>
      <c r="CC1475">
        <v>1</v>
      </c>
      <c r="CD1475">
        <v>0</v>
      </c>
      <c r="CE1475">
        <v>0</v>
      </c>
      <c r="CF1475">
        <v>0</v>
      </c>
      <c r="CG1475">
        <v>0</v>
      </c>
      <c r="CH1475">
        <v>0</v>
      </c>
      <c r="CI1475">
        <v>0</v>
      </c>
      <c r="CJ1475">
        <v>0</v>
      </c>
      <c r="CK1475">
        <v>0</v>
      </c>
      <c r="CL1475">
        <v>0</v>
      </c>
      <c r="CM1475">
        <v>0</v>
      </c>
      <c r="CN1475" t="str">
        <f t="shared" si="1928"/>
        <v>refOK</v>
      </c>
      <c r="CO1475"/>
      <c r="CP1475"/>
      <c r="CQ1475">
        <f t="shared" si="1937"/>
        <v>138949196.6999566</v>
      </c>
      <c r="CR1475">
        <f t="shared" si="1938"/>
        <v>0</v>
      </c>
      <c r="CS1475">
        <f t="shared" si="1939"/>
        <v>0</v>
      </c>
      <c r="CT1475">
        <f t="shared" si="1911"/>
        <v>-187000000</v>
      </c>
      <c r="CU1475">
        <f t="shared" si="1912"/>
        <v>-1.3458156249999997</v>
      </c>
      <c r="CV1475" s="2" t="str">
        <f t="shared" si="1913"/>
        <v/>
      </c>
      <c r="CW1475" s="1" t="s">
        <v>1198</v>
      </c>
      <c r="CX1475" t="str">
        <f t="shared" si="1914"/>
        <v>reg</v>
      </c>
      <c r="CY1475" t="s">
        <v>540</v>
      </c>
      <c r="CZ1475">
        <v>2015</v>
      </c>
      <c r="DA1475">
        <v>2070</v>
      </c>
      <c r="DB1475">
        <v>45</v>
      </c>
      <c r="DC1475" t="str">
        <f t="shared" si="1915"/>
        <v>31-70</v>
      </c>
      <c r="DD1475">
        <v>0</v>
      </c>
      <c r="DE1475">
        <v>1</v>
      </c>
      <c r="DF1475">
        <v>1</v>
      </c>
      <c r="DG1475">
        <v>1</v>
      </c>
      <c r="DI1475">
        <f t="shared" si="1916"/>
        <v>3</v>
      </c>
      <c r="DJ1475" t="str">
        <f t="shared" si="1917"/>
        <v>mixedProduct</v>
      </c>
      <c r="DK1475">
        <f t="shared" si="1918"/>
        <v>0</v>
      </c>
      <c r="DL1475" t="str">
        <f t="shared" si="1919"/>
        <v>Energy</v>
      </c>
      <c r="DM1475" t="str">
        <f t="shared" si="1920"/>
        <v>Pulp/Paper</v>
      </c>
      <c r="DN1475" t="str">
        <f t="shared" si="1921"/>
        <v>Timber</v>
      </c>
      <c r="DO1475">
        <v>1</v>
      </c>
      <c r="DP1475">
        <v>1</v>
      </c>
      <c r="DQ1475" t="s">
        <v>2314</v>
      </c>
      <c r="DR1475">
        <v>0</v>
      </c>
      <c r="DS1475">
        <v>0</v>
      </c>
      <c r="DT1475">
        <f t="shared" si="1922"/>
        <v>2</v>
      </c>
      <c r="DU1475" s="143" t="str">
        <f t="shared" si="1923"/>
        <v>self-calculated DF</v>
      </c>
      <c r="DV1475">
        <v>1</v>
      </c>
      <c r="DW1475">
        <v>1</v>
      </c>
      <c r="DX1475">
        <v>1</v>
      </c>
      <c r="DY1475">
        <v>1</v>
      </c>
      <c r="DZ1475">
        <v>1</v>
      </c>
      <c r="EA1475" s="143">
        <v>1</v>
      </c>
      <c r="EB1475">
        <v>1</v>
      </c>
      <c r="EC1475">
        <v>1</v>
      </c>
      <c r="ED1475">
        <v>1</v>
      </c>
      <c r="EE1475">
        <v>1</v>
      </c>
      <c r="EF1475">
        <v>1</v>
      </c>
      <c r="EG1475">
        <v>1</v>
      </c>
      <c r="EH1475">
        <v>0</v>
      </c>
      <c r="EI1475" s="2">
        <v>0</v>
      </c>
      <c r="EK1475" t="str">
        <f t="shared" si="1940"/>
        <v>Whole sector</v>
      </c>
      <c r="EL1475" t="str">
        <f t="shared" si="1941"/>
        <v/>
      </c>
      <c r="EM1475" s="2" t="str">
        <f t="shared" si="1927"/>
        <v/>
      </c>
      <c r="EP1475" t="str">
        <f>IF(ISNUMBER(BU1475),IF(ABS(BU1475-[5]QC_indicators!$B$2)&gt;3*[5]QC_indicators!$C$2,"C ratio",IF(ISNUMBER(BY1475),IF(ABS(BY1475-[5]QC_indicators!$B$1)&gt;3*[5]QC_indicators!$C$1,"DF","no"))),IF(ISNUMBER(BY1475),IF(ABS(BY1475-[5]QC_indicators!$B$1)&gt;3*[5]QC_indicators!$C$1,"DF","no")))</f>
        <v>no</v>
      </c>
      <c r="ER1475" s="149" t="s">
        <v>2325</v>
      </c>
      <c r="ET1475" s="264" t="s">
        <v>3272</v>
      </c>
    </row>
    <row r="1476" spans="1:151" ht="15" hidden="1" customHeight="1">
      <c r="A1476" s="1" t="s">
        <v>1971</v>
      </c>
      <c r="B1476" t="s">
        <v>2315</v>
      </c>
      <c r="C1476" t="s">
        <v>2316</v>
      </c>
      <c r="D1476" t="s">
        <v>2317</v>
      </c>
      <c r="E1476" t="s">
        <v>2318</v>
      </c>
      <c r="F1476" t="s">
        <v>2319</v>
      </c>
      <c r="G1476" t="s">
        <v>1977</v>
      </c>
      <c r="H1476" t="s">
        <v>254</v>
      </c>
      <c r="I1476">
        <v>2020</v>
      </c>
      <c r="J1476">
        <v>7</v>
      </c>
      <c r="K1476" t="s">
        <v>2320</v>
      </c>
      <c r="M1476" t="str">
        <f t="shared" si="1932"/>
        <v>Smyth_2020</v>
      </c>
      <c r="N1476" t="s">
        <v>222</v>
      </c>
      <c r="O1476" s="145" t="s">
        <v>341</v>
      </c>
      <c r="Q1476" t="s">
        <v>256</v>
      </c>
      <c r="R1476" s="290" t="s">
        <v>225</v>
      </c>
      <c r="S1476" s="1" t="s">
        <v>2330</v>
      </c>
      <c r="T1476" t="s">
        <v>2331</v>
      </c>
      <c r="U1476" t="s">
        <v>1154</v>
      </c>
      <c r="V1476">
        <v>1</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s="141">
        <f t="shared" si="1895"/>
        <v>1</v>
      </c>
      <c r="AY1476" s="141">
        <f t="shared" si="1896"/>
        <v>1</v>
      </c>
      <c r="AZ1476">
        <f t="shared" si="1897"/>
        <v>1</v>
      </c>
      <c r="BA1476">
        <f t="shared" si="1898"/>
        <v>0</v>
      </c>
      <c r="BB1476">
        <f t="shared" si="1899"/>
        <v>0</v>
      </c>
      <c r="BC1476">
        <f t="shared" si="1900"/>
        <v>0</v>
      </c>
      <c r="BD1476">
        <f t="shared" si="1901"/>
        <v>0</v>
      </c>
      <c r="BE1476" t="str">
        <f t="array" ref="BE1476">IF(AY1476=1,INDEX($V$7:$AL$7,MATCH(TRUE,INDEX($V1476:$AW1476&lt;&gt;0,),0)),IF(AY1476=0,INDEX($AM$7:$AW$7,MATCH(1,$AM1476:$AW1476,0)),IF(BF1476="Multiple strategies","mixed drivers",IF(BF1476="Supply chain","multiple supply","multiple silviculture"))))</f>
        <v>area subject to harvest</v>
      </c>
      <c r="BF1476" s="2" t="str" cm="1">
        <f t="array" ref="BF1476">IF(COUNTIF(AZ1476:BB1476,"&lt;&gt;0")=1,INDEX($V$4:$AW$4,MATCH(TRUE,INDEX($V1476:$AW1476&lt;&gt;0,),0)),IF(COUNTIF(AZ1476:BB1476,"&lt;&gt;0")=0,INDEX($AM$4:$AW$4,MATCH(1,$AM1476:$AW1476,0)),"Multiple strategies"))</f>
        <v>Silviculture for removals</v>
      </c>
      <c r="BG1476" s="1" t="s">
        <v>321</v>
      </c>
      <c r="BH1476" t="s">
        <v>2323</v>
      </c>
      <c r="BI1476" s="260" t="s">
        <v>3389</v>
      </c>
      <c r="BJ1476" t="s">
        <v>1358</v>
      </c>
      <c r="BK1476">
        <v>434</v>
      </c>
      <c r="BL1476">
        <v>457</v>
      </c>
      <c r="BM1476">
        <f t="shared" si="1933"/>
        <v>1.0529953917050692</v>
      </c>
      <c r="BN1476">
        <f t="shared" si="1934"/>
        <v>23</v>
      </c>
      <c r="BO1476">
        <f t="shared" si="1935"/>
        <v>99869735.128093794</v>
      </c>
      <c r="BP1476" t="s">
        <v>232</v>
      </c>
      <c r="BQ1476" s="260" t="s">
        <v>3391</v>
      </c>
      <c r="BR1476" t="s">
        <v>2324</v>
      </c>
      <c r="BU1476" s="144"/>
      <c r="BV1476">
        <v>-116</v>
      </c>
      <c r="BX1476">
        <f t="shared" si="1936"/>
        <v>-116000000</v>
      </c>
      <c r="BY1476">
        <f t="shared" si="1926"/>
        <v>-1.1615130434782608</v>
      </c>
      <c r="BZ1476">
        <v>0</v>
      </c>
      <c r="CA1476">
        <v>1</v>
      </c>
      <c r="CB1476">
        <v>1</v>
      </c>
      <c r="CC1476">
        <v>1</v>
      </c>
      <c r="CD1476">
        <v>0</v>
      </c>
      <c r="CE1476">
        <v>0</v>
      </c>
      <c r="CF1476">
        <v>0</v>
      </c>
      <c r="CG1476">
        <v>0</v>
      </c>
      <c r="CH1476">
        <v>0</v>
      </c>
      <c r="CI1476">
        <v>0</v>
      </c>
      <c r="CJ1476">
        <v>0</v>
      </c>
      <c r="CK1476">
        <v>0</v>
      </c>
      <c r="CL1476">
        <v>0</v>
      </c>
      <c r="CM1476">
        <v>0</v>
      </c>
      <c r="CN1476" t="str">
        <f t="shared" si="1928"/>
        <v>refOK</v>
      </c>
      <c r="CO1476"/>
      <c r="CP1476"/>
      <c r="CQ1476">
        <f t="shared" si="1937"/>
        <v>99869735.128093794</v>
      </c>
      <c r="CR1476">
        <f t="shared" si="1938"/>
        <v>0</v>
      </c>
      <c r="CS1476">
        <f t="shared" si="1939"/>
        <v>0</v>
      </c>
      <c r="CT1476">
        <f t="shared" si="1911"/>
        <v>-116000000</v>
      </c>
      <c r="CU1476">
        <f t="shared" si="1912"/>
        <v>-1.1615130434782608</v>
      </c>
      <c r="CV1476" s="2" t="str">
        <f t="shared" si="1913"/>
        <v/>
      </c>
      <c r="CW1476" s="1" t="s">
        <v>1198</v>
      </c>
      <c r="CX1476" t="str">
        <f t="shared" si="1914"/>
        <v>reg</v>
      </c>
      <c r="CY1476" t="s">
        <v>540</v>
      </c>
      <c r="CZ1476">
        <v>2015</v>
      </c>
      <c r="DA1476">
        <v>2070</v>
      </c>
      <c r="DB1476">
        <v>45</v>
      </c>
      <c r="DC1476" t="str">
        <f t="shared" si="1915"/>
        <v>31-70</v>
      </c>
      <c r="DD1476">
        <v>0</v>
      </c>
      <c r="DE1476">
        <v>1</v>
      </c>
      <c r="DF1476">
        <v>1</v>
      </c>
      <c r="DG1476">
        <v>1</v>
      </c>
      <c r="DI1476">
        <f t="shared" si="1916"/>
        <v>3</v>
      </c>
      <c r="DJ1476" t="str">
        <f t="shared" si="1917"/>
        <v>mixedProduct</v>
      </c>
      <c r="DK1476">
        <f t="shared" si="1918"/>
        <v>0</v>
      </c>
      <c r="DL1476" t="str">
        <f t="shared" si="1919"/>
        <v>Energy</v>
      </c>
      <c r="DM1476" t="str">
        <f t="shared" si="1920"/>
        <v>Pulp/Paper</v>
      </c>
      <c r="DN1476" t="str">
        <f t="shared" si="1921"/>
        <v>Timber</v>
      </c>
      <c r="DO1476">
        <v>1</v>
      </c>
      <c r="DP1476">
        <v>1</v>
      </c>
      <c r="DQ1476" t="s">
        <v>2314</v>
      </c>
      <c r="DR1476">
        <v>0</v>
      </c>
      <c r="DS1476">
        <v>0</v>
      </c>
      <c r="DT1476">
        <f t="shared" si="1922"/>
        <v>2</v>
      </c>
      <c r="DU1476" s="143" t="str">
        <f t="shared" si="1923"/>
        <v>self-calculated DF</v>
      </c>
      <c r="DV1476">
        <v>1</v>
      </c>
      <c r="DW1476">
        <v>1</v>
      </c>
      <c r="DX1476">
        <v>1</v>
      </c>
      <c r="DY1476">
        <v>1</v>
      </c>
      <c r="DZ1476">
        <v>1</v>
      </c>
      <c r="EA1476" s="143">
        <v>1</v>
      </c>
      <c r="EB1476">
        <v>1</v>
      </c>
      <c r="EC1476">
        <v>1</v>
      </c>
      <c r="ED1476">
        <v>1</v>
      </c>
      <c r="EE1476">
        <v>1</v>
      </c>
      <c r="EF1476">
        <v>1</v>
      </c>
      <c r="EG1476">
        <v>1</v>
      </c>
      <c r="EH1476">
        <v>0</v>
      </c>
      <c r="EI1476" s="2">
        <v>0</v>
      </c>
      <c r="EK1476" t="str">
        <f t="shared" si="1940"/>
        <v>Whole sector</v>
      </c>
      <c r="EL1476" t="str">
        <f t="shared" si="1941"/>
        <v/>
      </c>
      <c r="EM1476" s="2" t="str">
        <f t="shared" si="1927"/>
        <v/>
      </c>
      <c r="EP1476" t="str">
        <f>IF(ISNUMBER(BU1476),IF(ABS(BU1476-[5]QC_indicators!$B$2)&gt;3*[5]QC_indicators!$C$2,"C ratio",IF(ISNUMBER(BY1476),IF(ABS(BY1476-[5]QC_indicators!$B$1)&gt;3*[5]QC_indicators!$C$1,"DF","no"))),IF(ISNUMBER(BY1476),IF(ABS(BY1476-[5]QC_indicators!$B$1)&gt;3*[5]QC_indicators!$C$1,"DF","no")))</f>
        <v>no</v>
      </c>
      <c r="ER1476" s="149" t="s">
        <v>2325</v>
      </c>
      <c r="ET1476" s="264" t="s">
        <v>3272</v>
      </c>
    </row>
    <row r="1477" spans="1:151" ht="15" hidden="1" customHeight="1">
      <c r="A1477" s="1" t="s">
        <v>1971</v>
      </c>
      <c r="B1477" t="s">
        <v>2315</v>
      </c>
      <c r="C1477" t="s">
        <v>2316</v>
      </c>
      <c r="D1477" t="s">
        <v>2317</v>
      </c>
      <c r="E1477" t="s">
        <v>2318</v>
      </c>
      <c r="F1477" t="s">
        <v>2319</v>
      </c>
      <c r="G1477" t="s">
        <v>1977</v>
      </c>
      <c r="H1477" t="s">
        <v>254</v>
      </c>
      <c r="I1477">
        <v>2020</v>
      </c>
      <c r="J1477">
        <v>7</v>
      </c>
      <c r="K1477" t="s">
        <v>2320</v>
      </c>
      <c r="M1477" t="str">
        <f t="shared" si="1932"/>
        <v>Smyth_2020</v>
      </c>
      <c r="N1477" t="s">
        <v>222</v>
      </c>
      <c r="O1477" s="145" t="s">
        <v>341</v>
      </c>
      <c r="Q1477" t="s">
        <v>256</v>
      </c>
      <c r="R1477" s="290" t="s">
        <v>225</v>
      </c>
      <c r="S1477" s="1" t="s">
        <v>2342</v>
      </c>
      <c r="T1477" t="s">
        <v>1154</v>
      </c>
      <c r="U1477" t="s">
        <v>2333</v>
      </c>
      <c r="V1477">
        <v>0</v>
      </c>
      <c r="W1477">
        <v>0</v>
      </c>
      <c r="X1477">
        <v>0</v>
      </c>
      <c r="Y1477">
        <v>0</v>
      </c>
      <c r="Z1477">
        <v>0</v>
      </c>
      <c r="AA1477">
        <v>0</v>
      </c>
      <c r="AB1477">
        <v>0</v>
      </c>
      <c r="AC1477">
        <v>0</v>
      </c>
      <c r="AD1477">
        <v>0</v>
      </c>
      <c r="AE1477">
        <v>0</v>
      </c>
      <c r="AF1477">
        <v>1</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s="141">
        <f t="shared" si="1895"/>
        <v>1</v>
      </c>
      <c r="AY1477" s="141">
        <f t="shared" si="1896"/>
        <v>1</v>
      </c>
      <c r="AZ1477">
        <f t="shared" si="1897"/>
        <v>0</v>
      </c>
      <c r="BA1477">
        <f t="shared" si="1898"/>
        <v>1</v>
      </c>
      <c r="BB1477">
        <f t="shared" si="1899"/>
        <v>0</v>
      </c>
      <c r="BC1477">
        <f t="shared" si="1900"/>
        <v>0</v>
      </c>
      <c r="BD1477">
        <f t="shared" si="1901"/>
        <v>0</v>
      </c>
      <c r="BE1477" t="str">
        <f t="array" ref="BE1477">IF(AY1477=1,INDEX($V$7:$AL$7,MATCH(TRUE,INDEX($V1477:$AW1477&lt;&gt;0,),0)),IF(AY1477=0,INDEX($AM$7:$AW$7,MATCH(1,$AM1477:$AW1477,0)),IF(BF1477="Multiple strategies","mixed drivers",IF(BF1477="Supply chain","multiple supply","multiple silviculture"))))</f>
        <v>supply chain organization</v>
      </c>
      <c r="BF1477" s="2" t="str" cm="1">
        <f t="array" ref="BF1477">IF(COUNTIF(AZ1477:BB1477,"&lt;&gt;0")=1,INDEX($V$4:$AW$4,MATCH(TRUE,INDEX($V1477:$AW1477&lt;&gt;0,),0)),IF(COUNTIF(AZ1477:BB1477,"&lt;&gt;0")=0,INDEX($AM$4:$AW$4,MATCH(1,$AM1477:$AW1477,0)),"Multiple strategies"))</f>
        <v>Supply chain</v>
      </c>
      <c r="BG1477" s="1" t="s">
        <v>321</v>
      </c>
      <c r="BH1477" t="s">
        <v>2323</v>
      </c>
      <c r="BI1477" s="260" t="s">
        <v>3389</v>
      </c>
      <c r="BJ1477" t="s">
        <v>1358</v>
      </c>
      <c r="BK1477">
        <v>457</v>
      </c>
      <c r="BL1477">
        <v>488</v>
      </c>
      <c r="BM1477">
        <f t="shared" si="1933"/>
        <v>1.0678336980306347</v>
      </c>
      <c r="BN1477">
        <f t="shared" si="1934"/>
        <v>31</v>
      </c>
      <c r="BO1477">
        <f t="shared" si="1935"/>
        <v>134607034.30308294</v>
      </c>
      <c r="BP1477" t="s">
        <v>232</v>
      </c>
      <c r="BQ1477" s="260" t="s">
        <v>3390</v>
      </c>
      <c r="BR1477" t="s">
        <v>1139</v>
      </c>
      <c r="BU1477" s="144"/>
      <c r="BV1477">
        <v>25</v>
      </c>
      <c r="BX1477">
        <f t="shared" si="1936"/>
        <v>25000000</v>
      </c>
      <c r="BY1477">
        <f t="shared" si="1926"/>
        <v>0.18572580645161288</v>
      </c>
      <c r="BZ1477">
        <v>0</v>
      </c>
      <c r="CA1477">
        <v>1</v>
      </c>
      <c r="CB1477">
        <v>1</v>
      </c>
      <c r="CC1477">
        <v>1</v>
      </c>
      <c r="CD1477">
        <v>0</v>
      </c>
      <c r="CE1477">
        <v>0</v>
      </c>
      <c r="CF1477">
        <v>0</v>
      </c>
      <c r="CG1477">
        <v>0</v>
      </c>
      <c r="CH1477">
        <v>0</v>
      </c>
      <c r="CI1477">
        <v>0</v>
      </c>
      <c r="CJ1477">
        <v>0</v>
      </c>
      <c r="CK1477">
        <v>0</v>
      </c>
      <c r="CL1477">
        <v>0</v>
      </c>
      <c r="CM1477">
        <v>0</v>
      </c>
      <c r="CN1477" t="str">
        <f t="shared" si="1928"/>
        <v>refOK</v>
      </c>
      <c r="CO1477"/>
      <c r="CP1477"/>
      <c r="CQ1477">
        <f t="shared" si="1937"/>
        <v>134607034.30308294</v>
      </c>
      <c r="CR1477">
        <f t="shared" si="1938"/>
        <v>0</v>
      </c>
      <c r="CS1477">
        <f t="shared" si="1939"/>
        <v>0</v>
      </c>
      <c r="CT1477">
        <f t="shared" si="1911"/>
        <v>25000000</v>
      </c>
      <c r="CU1477">
        <f t="shared" si="1912"/>
        <v>0.18572580645161288</v>
      </c>
      <c r="CV1477" s="2" t="str">
        <f t="shared" si="1913"/>
        <v/>
      </c>
      <c r="CW1477" s="1" t="s">
        <v>1198</v>
      </c>
      <c r="CX1477" t="str">
        <f t="shared" si="1914"/>
        <v>reg</v>
      </c>
      <c r="CY1477" t="s">
        <v>540</v>
      </c>
      <c r="CZ1477">
        <v>2015</v>
      </c>
      <c r="DA1477">
        <v>2070</v>
      </c>
      <c r="DB1477">
        <v>45</v>
      </c>
      <c r="DC1477" t="str">
        <f t="shared" si="1915"/>
        <v>31-70</v>
      </c>
      <c r="DD1477">
        <v>0</v>
      </c>
      <c r="DE1477">
        <v>1</v>
      </c>
      <c r="DF1477">
        <v>1</v>
      </c>
      <c r="DG1477">
        <v>1</v>
      </c>
      <c r="DI1477">
        <f t="shared" si="1916"/>
        <v>3</v>
      </c>
      <c r="DJ1477" t="str">
        <f t="shared" si="1917"/>
        <v>mixedProduct</v>
      </c>
      <c r="DK1477">
        <f t="shared" si="1918"/>
        <v>0</v>
      </c>
      <c r="DL1477" t="str">
        <f t="shared" si="1919"/>
        <v>Energy</v>
      </c>
      <c r="DM1477" t="str">
        <f t="shared" si="1920"/>
        <v>Pulp/Paper</v>
      </c>
      <c r="DN1477" t="str">
        <f t="shared" si="1921"/>
        <v>Timber</v>
      </c>
      <c r="DO1477">
        <v>1</v>
      </c>
      <c r="DP1477">
        <v>1</v>
      </c>
      <c r="DQ1477" t="s">
        <v>2314</v>
      </c>
      <c r="DR1477">
        <v>0</v>
      </c>
      <c r="DS1477">
        <v>0</v>
      </c>
      <c r="DT1477">
        <f t="shared" si="1922"/>
        <v>2</v>
      </c>
      <c r="DU1477" s="143" t="str">
        <f t="shared" si="1923"/>
        <v>self-calculated DF</v>
      </c>
      <c r="DV1477">
        <v>1</v>
      </c>
      <c r="DW1477">
        <v>1</v>
      </c>
      <c r="DX1477">
        <v>1</v>
      </c>
      <c r="DY1477">
        <v>1</v>
      </c>
      <c r="DZ1477">
        <v>1</v>
      </c>
      <c r="EA1477" s="143">
        <v>1</v>
      </c>
      <c r="EB1477">
        <v>1</v>
      </c>
      <c r="EC1477">
        <v>1</v>
      </c>
      <c r="ED1477">
        <v>1</v>
      </c>
      <c r="EE1477">
        <v>1</v>
      </c>
      <c r="EF1477">
        <v>1</v>
      </c>
      <c r="EG1477">
        <v>1</v>
      </c>
      <c r="EH1477">
        <v>0</v>
      </c>
      <c r="EI1477" s="2">
        <v>0</v>
      </c>
      <c r="EK1477" t="str">
        <f t="shared" si="1940"/>
        <v>Whole sector</v>
      </c>
      <c r="EL1477" t="str">
        <f t="shared" si="1941"/>
        <v/>
      </c>
      <c r="EM1477" s="2" t="str">
        <f t="shared" si="1927"/>
        <v/>
      </c>
      <c r="EP1477" t="str">
        <f>IF(ISNUMBER(BU1477),IF(ABS(BU1477-[5]QC_indicators!$B$2)&gt;3*[5]QC_indicators!$C$2,"C ratio",IF(ISNUMBER(BY1477),IF(ABS(BY1477-[5]QC_indicators!$B$1)&gt;3*[5]QC_indicators!$C$1,"DF","no"))),IF(ISNUMBER(BY1477),IF(ABS(BY1477-[5]QC_indicators!$B$1)&gt;3*[5]QC_indicators!$C$1,"DF","no")))</f>
        <v>no</v>
      </c>
      <c r="ER1477" s="149" t="s">
        <v>349</v>
      </c>
      <c r="ET1477" s="264" t="s">
        <v>3272</v>
      </c>
    </row>
    <row r="1478" spans="1:151" ht="15" hidden="1" customHeight="1">
      <c r="A1478" s="1" t="s">
        <v>1971</v>
      </c>
      <c r="B1478" t="s">
        <v>2315</v>
      </c>
      <c r="C1478" t="s">
        <v>2316</v>
      </c>
      <c r="D1478" t="s">
        <v>2317</v>
      </c>
      <c r="E1478" t="s">
        <v>2318</v>
      </c>
      <c r="F1478" t="s">
        <v>2319</v>
      </c>
      <c r="G1478" t="s">
        <v>1977</v>
      </c>
      <c r="H1478" t="s">
        <v>254</v>
      </c>
      <c r="I1478">
        <v>2020</v>
      </c>
      <c r="J1478">
        <v>7</v>
      </c>
      <c r="K1478" t="s">
        <v>2320</v>
      </c>
      <c r="M1478" t="str">
        <f t="shared" si="1932"/>
        <v>Smyth_2020</v>
      </c>
      <c r="N1478" t="s">
        <v>222</v>
      </c>
      <c r="O1478" s="145" t="s">
        <v>341</v>
      </c>
      <c r="Q1478" t="s">
        <v>256</v>
      </c>
      <c r="R1478" s="290" t="s">
        <v>225</v>
      </c>
      <c r="S1478" s="1" t="s">
        <v>2343</v>
      </c>
      <c r="T1478" t="s">
        <v>1154</v>
      </c>
      <c r="U1478" t="s">
        <v>2344</v>
      </c>
      <c r="V1478">
        <v>0</v>
      </c>
      <c r="W1478">
        <v>0</v>
      </c>
      <c r="X1478">
        <v>0</v>
      </c>
      <c r="Y1478">
        <v>0</v>
      </c>
      <c r="Z1478">
        <v>0</v>
      </c>
      <c r="AA1478">
        <v>0</v>
      </c>
      <c r="AB1478">
        <v>0</v>
      </c>
      <c r="AC1478">
        <v>0</v>
      </c>
      <c r="AD1478">
        <v>0</v>
      </c>
      <c r="AE1478">
        <v>0</v>
      </c>
      <c r="AF1478">
        <v>1</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s="141">
        <f t="shared" si="1895"/>
        <v>1</v>
      </c>
      <c r="AY1478" s="141">
        <f t="shared" si="1896"/>
        <v>1</v>
      </c>
      <c r="AZ1478">
        <f t="shared" si="1897"/>
        <v>0</v>
      </c>
      <c r="BA1478">
        <f t="shared" si="1898"/>
        <v>1</v>
      </c>
      <c r="BB1478">
        <f t="shared" si="1899"/>
        <v>0</v>
      </c>
      <c r="BC1478">
        <f t="shared" si="1900"/>
        <v>0</v>
      </c>
      <c r="BD1478">
        <f t="shared" si="1901"/>
        <v>0</v>
      </c>
      <c r="BE1478" t="str">
        <f t="array" ref="BE1478">IF(AY1478=1,INDEX($V$7:$AL$7,MATCH(TRUE,INDEX($V1478:$AW1478&lt;&gt;0,),0)),IF(AY1478=0,INDEX($AM$7:$AW$7,MATCH(1,$AM1478:$AW1478,0)),IF(BF1478="Multiple strategies","mixed drivers",IF(BF1478="Supply chain","multiple supply","multiple silviculture"))))</f>
        <v>supply chain organization</v>
      </c>
      <c r="BF1478" s="2" t="str" cm="1">
        <f t="array" ref="BF1478">IF(COUNTIF(AZ1478:BB1478,"&lt;&gt;0")=1,INDEX($V$4:$AW$4,MATCH(TRUE,INDEX($V1478:$AW1478&lt;&gt;0,),0)),IF(COUNTIF(AZ1478:BB1478,"&lt;&gt;0")=0,INDEX($AM$4:$AW$4,MATCH(1,$AM1478:$AW1478,0)),"Multiple strategies"))</f>
        <v>Supply chain</v>
      </c>
      <c r="BG1478" s="1" t="s">
        <v>321</v>
      </c>
      <c r="BH1478" t="s">
        <v>2323</v>
      </c>
      <c r="BI1478" s="260" t="s">
        <v>3393</v>
      </c>
      <c r="BJ1478" t="s">
        <v>1358</v>
      </c>
      <c r="BK1478">
        <v>457</v>
      </c>
      <c r="BL1478" s="291">
        <f>BK1478+(4.2/tC_to_m3*55)</f>
        <v>510.19929999999999</v>
      </c>
      <c r="BM1478">
        <f t="shared" si="1933"/>
        <v>1.1164098468271335</v>
      </c>
      <c r="BN1478">
        <f t="shared" si="1934"/>
        <v>53.199299999999994</v>
      </c>
      <c r="BO1478">
        <f t="shared" si="1935"/>
        <v>230999999.99999997</v>
      </c>
      <c r="BP1478" t="s">
        <v>232</v>
      </c>
      <c r="BQ1478" s="260" t="s">
        <v>3390</v>
      </c>
      <c r="BR1478" t="s">
        <v>2324</v>
      </c>
      <c r="BU1478" s="144"/>
      <c r="BV1478">
        <v>156</v>
      </c>
      <c r="BX1478">
        <f t="shared" si="1936"/>
        <v>156000000</v>
      </c>
      <c r="BY1478">
        <f t="shared" si="1926"/>
        <v>0.67532467532467544</v>
      </c>
      <c r="BZ1478">
        <v>0</v>
      </c>
      <c r="CA1478">
        <v>1</v>
      </c>
      <c r="CB1478">
        <v>1</v>
      </c>
      <c r="CC1478">
        <v>1</v>
      </c>
      <c r="CD1478">
        <v>0</v>
      </c>
      <c r="CE1478">
        <v>0</v>
      </c>
      <c r="CF1478">
        <v>0</v>
      </c>
      <c r="CG1478">
        <v>0</v>
      </c>
      <c r="CH1478">
        <v>0</v>
      </c>
      <c r="CI1478">
        <v>0</v>
      </c>
      <c r="CJ1478">
        <v>0</v>
      </c>
      <c r="CK1478">
        <v>0</v>
      </c>
      <c r="CL1478">
        <v>0</v>
      </c>
      <c r="CM1478">
        <v>0</v>
      </c>
      <c r="CN1478" t="str">
        <f t="shared" si="1928"/>
        <v>refOK</v>
      </c>
      <c r="CO1478"/>
      <c r="CP1478"/>
      <c r="CQ1478">
        <f t="shared" si="1937"/>
        <v>230999999.99999997</v>
      </c>
      <c r="CR1478">
        <f t="shared" si="1938"/>
        <v>0</v>
      </c>
      <c r="CS1478">
        <f t="shared" si="1939"/>
        <v>0</v>
      </c>
      <c r="CT1478">
        <f t="shared" si="1911"/>
        <v>156000000</v>
      </c>
      <c r="CU1478">
        <f t="shared" si="1912"/>
        <v>0.67532467532467544</v>
      </c>
      <c r="CV1478" s="2" t="str">
        <f t="shared" si="1913"/>
        <v/>
      </c>
      <c r="CW1478" s="1" t="s">
        <v>1198</v>
      </c>
      <c r="CX1478" t="str">
        <f t="shared" si="1914"/>
        <v>reg</v>
      </c>
      <c r="CY1478" t="s">
        <v>540</v>
      </c>
      <c r="CZ1478">
        <v>2015</v>
      </c>
      <c r="DA1478">
        <v>2070</v>
      </c>
      <c r="DB1478">
        <v>45</v>
      </c>
      <c r="DC1478" t="str">
        <f t="shared" si="1915"/>
        <v>31-70</v>
      </c>
      <c r="DD1478">
        <v>0</v>
      </c>
      <c r="DE1478">
        <v>1</v>
      </c>
      <c r="DF1478">
        <v>1</v>
      </c>
      <c r="DG1478">
        <v>1</v>
      </c>
      <c r="DI1478">
        <f t="shared" si="1916"/>
        <v>3</v>
      </c>
      <c r="DJ1478" t="str">
        <f t="shared" si="1917"/>
        <v>mixedProduct</v>
      </c>
      <c r="DK1478">
        <f t="shared" si="1918"/>
        <v>0</v>
      </c>
      <c r="DL1478" t="str">
        <f t="shared" si="1919"/>
        <v>Energy</v>
      </c>
      <c r="DM1478" t="str">
        <f t="shared" si="1920"/>
        <v>Pulp/Paper</v>
      </c>
      <c r="DN1478" t="str">
        <f t="shared" si="1921"/>
        <v>Timber</v>
      </c>
      <c r="DO1478">
        <v>1</v>
      </c>
      <c r="DP1478">
        <v>1</v>
      </c>
      <c r="DQ1478" t="s">
        <v>2314</v>
      </c>
      <c r="DR1478">
        <v>0</v>
      </c>
      <c r="DS1478">
        <v>0</v>
      </c>
      <c r="DT1478">
        <f t="shared" si="1922"/>
        <v>2</v>
      </c>
      <c r="DU1478" s="143" t="str">
        <f t="shared" si="1923"/>
        <v>self-calculated DF</v>
      </c>
      <c r="DV1478">
        <v>1</v>
      </c>
      <c r="DW1478">
        <v>1</v>
      </c>
      <c r="DX1478">
        <v>1</v>
      </c>
      <c r="DY1478">
        <v>1</v>
      </c>
      <c r="DZ1478">
        <v>1</v>
      </c>
      <c r="EA1478" s="143">
        <v>1</v>
      </c>
      <c r="EB1478">
        <v>1</v>
      </c>
      <c r="EC1478">
        <v>1</v>
      </c>
      <c r="ED1478">
        <v>1</v>
      </c>
      <c r="EE1478">
        <v>1</v>
      </c>
      <c r="EF1478">
        <v>1</v>
      </c>
      <c r="EG1478">
        <v>1</v>
      </c>
      <c r="EH1478">
        <v>0</v>
      </c>
      <c r="EI1478" s="2">
        <v>0</v>
      </c>
      <c r="EK1478" t="str">
        <f t="shared" si="1940"/>
        <v>Whole sector</v>
      </c>
      <c r="EL1478" t="str">
        <f t="shared" si="1941"/>
        <v/>
      </c>
      <c r="EM1478" s="2" t="str">
        <f t="shared" si="1927"/>
        <v/>
      </c>
      <c r="EP1478" t="str">
        <f>IF(ISNUMBER(BU1478),IF(ABS(BU1478-[5]QC_indicators!$B$2)&gt;3*[5]QC_indicators!$C$2,"C ratio",IF(ISNUMBER(BY1478),IF(ABS(BY1478-[5]QC_indicators!$B$1)&gt;3*[5]QC_indicators!$C$1,"DF","no"))),IF(ISNUMBER(BY1478),IF(ABS(BY1478-[5]QC_indicators!$B$1)&gt;3*[5]QC_indicators!$C$1,"DF","no")))</f>
        <v>no</v>
      </c>
      <c r="ER1478" s="149" t="s">
        <v>2325</v>
      </c>
      <c r="ET1478" s="264" t="s">
        <v>3272</v>
      </c>
    </row>
    <row r="1479" spans="1:151" ht="15" hidden="1" customHeight="1">
      <c r="A1479" s="1" t="s">
        <v>1971</v>
      </c>
      <c r="B1479" t="s">
        <v>2315</v>
      </c>
      <c r="C1479" t="s">
        <v>2316</v>
      </c>
      <c r="D1479" t="s">
        <v>2317</v>
      </c>
      <c r="E1479" t="s">
        <v>2318</v>
      </c>
      <c r="F1479" t="s">
        <v>2319</v>
      </c>
      <c r="G1479" t="s">
        <v>1977</v>
      </c>
      <c r="H1479" t="s">
        <v>254</v>
      </c>
      <c r="I1479">
        <v>2020</v>
      </c>
      <c r="J1479">
        <v>7</v>
      </c>
      <c r="K1479" t="s">
        <v>2320</v>
      </c>
      <c r="M1479" t="str">
        <f t="shared" si="1932"/>
        <v>Smyth_2020</v>
      </c>
      <c r="N1479" t="s">
        <v>222</v>
      </c>
      <c r="O1479" s="145" t="s">
        <v>341</v>
      </c>
      <c r="Q1479" t="s">
        <v>256</v>
      </c>
      <c r="R1479" s="290" t="s">
        <v>225</v>
      </c>
      <c r="S1479" s="1" t="s">
        <v>2334</v>
      </c>
      <c r="T1479" t="s">
        <v>1154</v>
      </c>
      <c r="U1479" t="s">
        <v>2335</v>
      </c>
      <c r="V1479">
        <v>0</v>
      </c>
      <c r="W1479">
        <v>0</v>
      </c>
      <c r="X1479">
        <v>0</v>
      </c>
      <c r="Y1479">
        <v>1</v>
      </c>
      <c r="Z1479">
        <v>0</v>
      </c>
      <c r="AA1479">
        <v>0</v>
      </c>
      <c r="AB1479">
        <v>0</v>
      </c>
      <c r="AC1479">
        <v>0</v>
      </c>
      <c r="AD1479">
        <v>0</v>
      </c>
      <c r="AE1479">
        <v>0</v>
      </c>
      <c r="AF1479">
        <v>1</v>
      </c>
      <c r="AG1479">
        <v>0</v>
      </c>
      <c r="AH1479">
        <v>0</v>
      </c>
      <c r="AI1479">
        <v>1</v>
      </c>
      <c r="AJ1479">
        <v>0</v>
      </c>
      <c r="AK1479">
        <v>0</v>
      </c>
      <c r="AL1479">
        <v>0</v>
      </c>
      <c r="AM1479">
        <v>0</v>
      </c>
      <c r="AN1479">
        <v>0</v>
      </c>
      <c r="AO1479">
        <v>0</v>
      </c>
      <c r="AP1479">
        <v>0</v>
      </c>
      <c r="AQ1479">
        <v>0</v>
      </c>
      <c r="AR1479">
        <v>0</v>
      </c>
      <c r="AS1479">
        <v>0</v>
      </c>
      <c r="AT1479">
        <v>0</v>
      </c>
      <c r="AU1479">
        <v>0</v>
      </c>
      <c r="AV1479">
        <v>0</v>
      </c>
      <c r="AW1479">
        <v>0</v>
      </c>
      <c r="AX1479" s="141">
        <f t="shared" si="1895"/>
        <v>3</v>
      </c>
      <c r="AY1479" s="141">
        <f t="shared" si="1896"/>
        <v>3</v>
      </c>
      <c r="AZ1479">
        <f t="shared" si="1897"/>
        <v>1</v>
      </c>
      <c r="BA1479">
        <f t="shared" si="1898"/>
        <v>2</v>
      </c>
      <c r="BB1479">
        <f t="shared" si="1899"/>
        <v>0</v>
      </c>
      <c r="BC1479">
        <f t="shared" si="1900"/>
        <v>0</v>
      </c>
      <c r="BD1479">
        <f t="shared" si="1901"/>
        <v>0</v>
      </c>
      <c r="BE1479" t="str">
        <f t="array" ref="BE1479">IF(AY1479=1,INDEX($V$7:$AL$7,MATCH(TRUE,INDEX($V1479:$AW1479&lt;&gt;0,),0)),IF(AY1479=0,INDEX($AM$7:$AW$7,MATCH(1,$AM1479:$AW1479,0)),IF(BF1479="Multiple strategies","mixed drivers",IF(BF1479="Supply chain","multiple supply","multiple silviculture"))))</f>
        <v>mixed drivers</v>
      </c>
      <c r="BF1479" s="2" t="str" cm="1">
        <f t="array" ref="BF1479">IF(COUNTIF(AZ1479:BB1479,"&lt;&gt;0")=1,INDEX($V$4:$AW$4,MATCH(TRUE,INDEX($V1479:$AW1479&lt;&gt;0,),0)),IF(COUNTIF(AZ1479:BB1479,"&lt;&gt;0")=0,INDEX($AM$4:$AW$4,MATCH(1,$AM1479:$AW1479,0)),"Multiple strategies"))</f>
        <v>Multiple strategies</v>
      </c>
      <c r="BG1479" s="1" t="s">
        <v>321</v>
      </c>
      <c r="BH1479" t="s">
        <v>2323</v>
      </c>
      <c r="BI1479" s="260" t="s">
        <v>3392</v>
      </c>
      <c r="BJ1479" t="s">
        <v>1358</v>
      </c>
      <c r="BK1479">
        <v>457</v>
      </c>
      <c r="BL1479" s="291">
        <f>488+(4.2/tC_to_m3*55)</f>
        <v>541.19929999999999</v>
      </c>
      <c r="BM1479">
        <f t="shared" si="1933"/>
        <v>1.1842435448577679</v>
      </c>
      <c r="BN1479">
        <f t="shared" si="1934"/>
        <v>84.199299999999994</v>
      </c>
      <c r="BO1479">
        <f t="shared" si="1935"/>
        <v>365607034.30308294</v>
      </c>
      <c r="BP1479" t="s">
        <v>232</v>
      </c>
      <c r="BQ1479" s="260" t="s">
        <v>3390</v>
      </c>
      <c r="BR1479" t="s">
        <v>2324</v>
      </c>
      <c r="BU1479" s="144"/>
      <c r="BV1479">
        <v>268</v>
      </c>
      <c r="BX1479">
        <f t="shared" si="1936"/>
        <v>268000000</v>
      </c>
      <c r="BY1479">
        <f t="shared" si="1926"/>
        <v>0.7330274717248243</v>
      </c>
      <c r="BZ1479">
        <v>0</v>
      </c>
      <c r="CA1479">
        <v>1</v>
      </c>
      <c r="CB1479">
        <v>1</v>
      </c>
      <c r="CC1479">
        <v>1</v>
      </c>
      <c r="CD1479">
        <v>0</v>
      </c>
      <c r="CE1479">
        <v>0</v>
      </c>
      <c r="CF1479">
        <v>0</v>
      </c>
      <c r="CG1479">
        <v>0</v>
      </c>
      <c r="CH1479">
        <v>0</v>
      </c>
      <c r="CI1479">
        <v>0</v>
      </c>
      <c r="CJ1479">
        <v>0</v>
      </c>
      <c r="CK1479">
        <v>0</v>
      </c>
      <c r="CL1479">
        <v>0</v>
      </c>
      <c r="CM1479">
        <v>0</v>
      </c>
      <c r="CN1479" t="str">
        <f t="shared" si="1928"/>
        <v>refOK</v>
      </c>
      <c r="CO1479"/>
      <c r="CP1479"/>
      <c r="CQ1479">
        <f t="shared" si="1937"/>
        <v>365607034.30308294</v>
      </c>
      <c r="CR1479">
        <f t="shared" si="1938"/>
        <v>0</v>
      </c>
      <c r="CS1479">
        <f t="shared" si="1939"/>
        <v>0</v>
      </c>
      <c r="CT1479">
        <f t="shared" si="1911"/>
        <v>268000000</v>
      </c>
      <c r="CU1479">
        <f t="shared" si="1912"/>
        <v>0.7330274717248243</v>
      </c>
      <c r="CV1479" s="2" t="str">
        <f t="shared" si="1913"/>
        <v/>
      </c>
      <c r="CW1479" s="1" t="s">
        <v>1198</v>
      </c>
      <c r="CX1479" t="str">
        <f t="shared" si="1914"/>
        <v>reg</v>
      </c>
      <c r="CY1479" t="s">
        <v>540</v>
      </c>
      <c r="CZ1479">
        <v>2015</v>
      </c>
      <c r="DA1479">
        <v>2070</v>
      </c>
      <c r="DB1479">
        <v>45</v>
      </c>
      <c r="DC1479" t="str">
        <f t="shared" si="1915"/>
        <v>31-70</v>
      </c>
      <c r="DD1479">
        <v>0</v>
      </c>
      <c r="DE1479">
        <v>1</v>
      </c>
      <c r="DF1479">
        <v>1</v>
      </c>
      <c r="DG1479">
        <v>1</v>
      </c>
      <c r="DI1479">
        <f t="shared" si="1916"/>
        <v>3</v>
      </c>
      <c r="DJ1479" t="str">
        <f t="shared" si="1917"/>
        <v>mixedProduct</v>
      </c>
      <c r="DK1479">
        <f t="shared" si="1918"/>
        <v>0</v>
      </c>
      <c r="DL1479" t="str">
        <f t="shared" si="1919"/>
        <v>Energy</v>
      </c>
      <c r="DM1479" t="str">
        <f t="shared" si="1920"/>
        <v>Pulp/Paper</v>
      </c>
      <c r="DN1479" t="str">
        <f t="shared" si="1921"/>
        <v>Timber</v>
      </c>
      <c r="DO1479">
        <v>1</v>
      </c>
      <c r="DP1479">
        <v>1</v>
      </c>
      <c r="DQ1479" t="s">
        <v>2314</v>
      </c>
      <c r="DR1479">
        <v>0</v>
      </c>
      <c r="DS1479">
        <v>0</v>
      </c>
      <c r="DT1479">
        <f t="shared" si="1922"/>
        <v>2</v>
      </c>
      <c r="DU1479" s="143" t="str">
        <f t="shared" si="1923"/>
        <v>self-calculated DF</v>
      </c>
      <c r="DV1479">
        <v>1</v>
      </c>
      <c r="DW1479">
        <v>1</v>
      </c>
      <c r="DX1479">
        <v>1</v>
      </c>
      <c r="DY1479">
        <v>1</v>
      </c>
      <c r="DZ1479">
        <v>1</v>
      </c>
      <c r="EA1479" s="143">
        <v>1</v>
      </c>
      <c r="EB1479">
        <v>1</v>
      </c>
      <c r="EC1479">
        <v>1</v>
      </c>
      <c r="ED1479">
        <v>1</v>
      </c>
      <c r="EE1479">
        <v>1</v>
      </c>
      <c r="EF1479">
        <v>1</v>
      </c>
      <c r="EG1479">
        <v>1</v>
      </c>
      <c r="EH1479">
        <v>0</v>
      </c>
      <c r="EI1479" s="2">
        <v>0</v>
      </c>
      <c r="EK1479" t="str">
        <f t="shared" si="1940"/>
        <v>Whole sector</v>
      </c>
      <c r="EL1479" t="str">
        <f t="shared" si="1941"/>
        <v/>
      </c>
      <c r="EM1479" s="2" t="str">
        <f t="shared" si="1927"/>
        <v/>
      </c>
      <c r="EP1479" t="str">
        <f>IF(ISNUMBER(BU1479),IF(ABS(BU1479-[5]QC_indicators!$B$2)&gt;3*[5]QC_indicators!$C$2,"C ratio",IF(ISNUMBER(BY1479),IF(ABS(BY1479-[5]QC_indicators!$B$1)&gt;3*[5]QC_indicators!$C$1,"DF","no"))),IF(ISNUMBER(BY1479),IF(ABS(BY1479-[5]QC_indicators!$B$1)&gt;3*[5]QC_indicators!$C$1,"DF","no")))</f>
        <v>no</v>
      </c>
      <c r="ER1479" s="149" t="s">
        <v>2325</v>
      </c>
      <c r="ET1479" s="264" t="s">
        <v>3272</v>
      </c>
    </row>
    <row r="1480" spans="1:151" ht="15" hidden="1" customHeight="1">
      <c r="A1480" s="1" t="s">
        <v>1971</v>
      </c>
      <c r="B1480" t="s">
        <v>2315</v>
      </c>
      <c r="C1480" t="s">
        <v>2316</v>
      </c>
      <c r="D1480" t="s">
        <v>2317</v>
      </c>
      <c r="E1480" t="s">
        <v>2318</v>
      </c>
      <c r="F1480" t="s">
        <v>2319</v>
      </c>
      <c r="G1480" t="s">
        <v>1977</v>
      </c>
      <c r="H1480" t="s">
        <v>254</v>
      </c>
      <c r="I1480">
        <v>2020</v>
      </c>
      <c r="J1480">
        <v>7</v>
      </c>
      <c r="K1480" t="s">
        <v>2320</v>
      </c>
      <c r="M1480" t="str">
        <f t="shared" si="1932"/>
        <v>Smyth_2020</v>
      </c>
      <c r="N1480" t="s">
        <v>222</v>
      </c>
      <c r="O1480" s="145" t="s">
        <v>341</v>
      </c>
      <c r="Q1480" t="s">
        <v>256</v>
      </c>
      <c r="R1480" s="290" t="s">
        <v>225</v>
      </c>
      <c r="S1480" s="1" t="s">
        <v>2345</v>
      </c>
      <c r="T1480" t="s">
        <v>1154</v>
      </c>
      <c r="U1480" t="s">
        <v>2346</v>
      </c>
      <c r="V1480">
        <v>0</v>
      </c>
      <c r="W1480">
        <v>0</v>
      </c>
      <c r="X1480">
        <v>0</v>
      </c>
      <c r="Y1480">
        <v>0</v>
      </c>
      <c r="Z1480">
        <v>0</v>
      </c>
      <c r="AA1480">
        <v>0</v>
      </c>
      <c r="AB1480">
        <v>0</v>
      </c>
      <c r="AC1480">
        <v>0</v>
      </c>
      <c r="AD1480">
        <v>0</v>
      </c>
      <c r="AE1480">
        <v>0</v>
      </c>
      <c r="AF1480">
        <v>1</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s="141">
        <f t="shared" si="1895"/>
        <v>1</v>
      </c>
      <c r="AY1480" s="141">
        <f t="shared" si="1896"/>
        <v>1</v>
      </c>
      <c r="AZ1480">
        <f t="shared" si="1897"/>
        <v>0</v>
      </c>
      <c r="BA1480">
        <f t="shared" si="1898"/>
        <v>1</v>
      </c>
      <c r="BB1480">
        <f t="shared" si="1899"/>
        <v>0</v>
      </c>
      <c r="BC1480">
        <f t="shared" si="1900"/>
        <v>0</v>
      </c>
      <c r="BD1480">
        <f t="shared" si="1901"/>
        <v>0</v>
      </c>
      <c r="BE1480" t="str">
        <f t="array" ref="BE1480">IF(AY1480=1,INDEX($V$7:$AL$7,MATCH(TRUE,INDEX($V1480:$AW1480&lt;&gt;0,),0)),IF(AY1480=0,INDEX($AM$7:$AW$7,MATCH(1,$AM1480:$AW1480,0)),IF(BF1480="Multiple strategies","mixed drivers",IF(BF1480="Supply chain","multiple supply","multiple silviculture"))))</f>
        <v>supply chain organization</v>
      </c>
      <c r="BF1480" s="2" t="str" cm="1">
        <f t="array" ref="BF1480">IF(COUNTIF(AZ1480:BB1480,"&lt;&gt;0")=1,INDEX($V$4:$AW$4,MATCH(TRUE,INDEX($V1480:$AW1480&lt;&gt;0,),0)),IF(COUNTIF(AZ1480:BB1480,"&lt;&gt;0")=0,INDEX($AM$4:$AW$4,MATCH(1,$AM1480:$AW1480,0)),"Multiple strategies"))</f>
        <v>Supply chain</v>
      </c>
      <c r="BG1480" s="1" t="s">
        <v>321</v>
      </c>
      <c r="BH1480" t="s">
        <v>2323</v>
      </c>
      <c r="BI1480" s="260" t="s">
        <v>3393</v>
      </c>
      <c r="BJ1480" t="s">
        <v>1358</v>
      </c>
      <c r="BK1480">
        <v>457</v>
      </c>
      <c r="BL1480" s="291">
        <f>BK1480+(4.2/tC_to_m3*55)</f>
        <v>510.19929999999999</v>
      </c>
      <c r="BM1480">
        <f t="shared" si="1933"/>
        <v>1.1164098468271335</v>
      </c>
      <c r="BN1480">
        <f t="shared" si="1934"/>
        <v>53.199299999999994</v>
      </c>
      <c r="BO1480">
        <f t="shared" si="1935"/>
        <v>230999999.99999997</v>
      </c>
      <c r="BP1480" t="s">
        <v>232</v>
      </c>
      <c r="BQ1480" s="260" t="s">
        <v>3391</v>
      </c>
      <c r="BR1480" t="s">
        <v>2324</v>
      </c>
      <c r="BU1480" s="144"/>
      <c r="BV1480">
        <v>191</v>
      </c>
      <c r="BX1480">
        <f t="shared" si="1936"/>
        <v>191000000</v>
      </c>
      <c r="BY1480">
        <f t="shared" si="1926"/>
        <v>0.82683982683982693</v>
      </c>
      <c r="BZ1480">
        <v>0</v>
      </c>
      <c r="CA1480">
        <v>1</v>
      </c>
      <c r="CB1480">
        <v>1</v>
      </c>
      <c r="CC1480">
        <v>1</v>
      </c>
      <c r="CD1480">
        <v>0</v>
      </c>
      <c r="CE1480">
        <v>0</v>
      </c>
      <c r="CF1480">
        <v>0</v>
      </c>
      <c r="CG1480">
        <v>0</v>
      </c>
      <c r="CH1480">
        <v>0</v>
      </c>
      <c r="CI1480">
        <v>0</v>
      </c>
      <c r="CJ1480">
        <v>0</v>
      </c>
      <c r="CK1480">
        <v>0</v>
      </c>
      <c r="CL1480">
        <v>0</v>
      </c>
      <c r="CM1480">
        <v>0</v>
      </c>
      <c r="CN1480" t="str">
        <f t="shared" si="1928"/>
        <v>refOK</v>
      </c>
      <c r="CO1480"/>
      <c r="CP1480"/>
      <c r="CQ1480">
        <f t="shared" si="1937"/>
        <v>230999999.99999997</v>
      </c>
      <c r="CR1480">
        <f t="shared" si="1938"/>
        <v>0</v>
      </c>
      <c r="CS1480">
        <f t="shared" si="1939"/>
        <v>0</v>
      </c>
      <c r="CT1480">
        <f t="shared" si="1911"/>
        <v>191000000</v>
      </c>
      <c r="CU1480">
        <f t="shared" si="1912"/>
        <v>0.82683982683982693</v>
      </c>
      <c r="CV1480" s="2" t="str">
        <f t="shared" si="1913"/>
        <v/>
      </c>
      <c r="CW1480" s="1" t="s">
        <v>1198</v>
      </c>
      <c r="CX1480" t="str">
        <f t="shared" si="1914"/>
        <v>reg</v>
      </c>
      <c r="CY1480" t="s">
        <v>540</v>
      </c>
      <c r="CZ1480">
        <v>2015</v>
      </c>
      <c r="DA1480">
        <v>2070</v>
      </c>
      <c r="DB1480">
        <v>45</v>
      </c>
      <c r="DC1480" t="str">
        <f t="shared" si="1915"/>
        <v>31-70</v>
      </c>
      <c r="DD1480">
        <v>0</v>
      </c>
      <c r="DE1480">
        <v>1</v>
      </c>
      <c r="DF1480">
        <v>1</v>
      </c>
      <c r="DG1480">
        <v>1</v>
      </c>
      <c r="DI1480">
        <f t="shared" si="1916"/>
        <v>3</v>
      </c>
      <c r="DJ1480" t="str">
        <f t="shared" si="1917"/>
        <v>mixedProduct</v>
      </c>
      <c r="DK1480">
        <f t="shared" si="1918"/>
        <v>0</v>
      </c>
      <c r="DL1480" t="str">
        <f t="shared" si="1919"/>
        <v>Energy</v>
      </c>
      <c r="DM1480" t="str">
        <f t="shared" si="1920"/>
        <v>Pulp/Paper</v>
      </c>
      <c r="DN1480" t="str">
        <f t="shared" si="1921"/>
        <v>Timber</v>
      </c>
      <c r="DO1480">
        <v>1</v>
      </c>
      <c r="DP1480">
        <v>1</v>
      </c>
      <c r="DQ1480" t="s">
        <v>2314</v>
      </c>
      <c r="DR1480">
        <v>0</v>
      </c>
      <c r="DS1480">
        <v>0</v>
      </c>
      <c r="DT1480">
        <f t="shared" si="1922"/>
        <v>2</v>
      </c>
      <c r="DU1480" s="143" t="str">
        <f t="shared" si="1923"/>
        <v>self-calculated DF</v>
      </c>
      <c r="DV1480">
        <v>1</v>
      </c>
      <c r="DW1480">
        <v>1</v>
      </c>
      <c r="DX1480">
        <v>1</v>
      </c>
      <c r="DY1480">
        <v>1</v>
      </c>
      <c r="DZ1480">
        <v>1</v>
      </c>
      <c r="EA1480" s="143">
        <v>1</v>
      </c>
      <c r="EB1480">
        <v>1</v>
      </c>
      <c r="EC1480">
        <v>1</v>
      </c>
      <c r="ED1480">
        <v>1</v>
      </c>
      <c r="EE1480">
        <v>1</v>
      </c>
      <c r="EF1480">
        <v>1</v>
      </c>
      <c r="EG1480">
        <v>1</v>
      </c>
      <c r="EH1480">
        <v>0</v>
      </c>
      <c r="EI1480" s="2">
        <v>0</v>
      </c>
      <c r="EK1480" t="str">
        <f t="shared" si="1940"/>
        <v>Whole sector</v>
      </c>
      <c r="EL1480" t="str">
        <f t="shared" si="1941"/>
        <v/>
      </c>
      <c r="EM1480" s="2" t="str">
        <f t="shared" si="1927"/>
        <v/>
      </c>
      <c r="EP1480" t="str">
        <f>IF(ISNUMBER(BU1480),IF(ABS(BU1480-[5]QC_indicators!$B$2)&gt;3*[5]QC_indicators!$C$2,"C ratio",IF(ISNUMBER(BY1480),IF(ABS(BY1480-[5]QC_indicators!$B$1)&gt;3*[5]QC_indicators!$C$1,"DF","no"))),IF(ISNUMBER(BY1480),IF(ABS(BY1480-[5]QC_indicators!$B$1)&gt;3*[5]QC_indicators!$C$1,"DF","no")))</f>
        <v>no</v>
      </c>
      <c r="ER1480" s="149" t="s">
        <v>2325</v>
      </c>
      <c r="ET1480" s="264" t="s">
        <v>3272</v>
      </c>
    </row>
    <row r="1481" spans="1:151" ht="15" hidden="1" customHeight="1">
      <c r="A1481" s="1" t="s">
        <v>1971</v>
      </c>
      <c r="B1481" t="s">
        <v>2315</v>
      </c>
      <c r="C1481" t="s">
        <v>2316</v>
      </c>
      <c r="D1481" t="s">
        <v>2317</v>
      </c>
      <c r="E1481" t="s">
        <v>2318</v>
      </c>
      <c r="F1481" t="s">
        <v>2319</v>
      </c>
      <c r="G1481" t="s">
        <v>1977</v>
      </c>
      <c r="H1481" t="s">
        <v>254</v>
      </c>
      <c r="I1481">
        <v>2020</v>
      </c>
      <c r="J1481">
        <v>7</v>
      </c>
      <c r="K1481" t="s">
        <v>2320</v>
      </c>
      <c r="M1481" t="str">
        <f t="shared" si="1932"/>
        <v>Smyth_2020</v>
      </c>
      <c r="N1481" t="s">
        <v>222</v>
      </c>
      <c r="O1481" s="145" t="s">
        <v>341</v>
      </c>
      <c r="Q1481" t="s">
        <v>256</v>
      </c>
      <c r="R1481" s="290" t="s">
        <v>225</v>
      </c>
      <c r="S1481" s="1" t="s">
        <v>2332</v>
      </c>
      <c r="T1481" t="s">
        <v>1154</v>
      </c>
      <c r="U1481" t="s">
        <v>2333</v>
      </c>
      <c r="V1481">
        <v>0</v>
      </c>
      <c r="W1481">
        <v>0</v>
      </c>
      <c r="X1481">
        <v>0</v>
      </c>
      <c r="Y1481">
        <v>0</v>
      </c>
      <c r="Z1481">
        <v>0</v>
      </c>
      <c r="AA1481">
        <v>0</v>
      </c>
      <c r="AB1481">
        <v>0</v>
      </c>
      <c r="AC1481">
        <v>0</v>
      </c>
      <c r="AD1481">
        <v>0</v>
      </c>
      <c r="AE1481">
        <v>0</v>
      </c>
      <c r="AF1481">
        <v>1</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s="141">
        <f t="shared" si="1895"/>
        <v>1</v>
      </c>
      <c r="AY1481" s="141">
        <f t="shared" si="1896"/>
        <v>1</v>
      </c>
      <c r="AZ1481">
        <f t="shared" si="1897"/>
        <v>0</v>
      </c>
      <c r="BA1481">
        <f t="shared" si="1898"/>
        <v>1</v>
      </c>
      <c r="BB1481">
        <f t="shared" si="1899"/>
        <v>0</v>
      </c>
      <c r="BC1481">
        <f t="shared" si="1900"/>
        <v>0</v>
      </c>
      <c r="BD1481">
        <f t="shared" si="1901"/>
        <v>0</v>
      </c>
      <c r="BE1481" t="str">
        <f t="array" ref="BE1481">IF(AY1481=1,INDEX($V$7:$AL$7,MATCH(TRUE,INDEX($V1481:$AW1481&lt;&gt;0,),0)),IF(AY1481=0,INDEX($AM$7:$AW$7,MATCH(1,$AM1481:$AW1481,0)),IF(BF1481="Multiple strategies","mixed drivers",IF(BF1481="Supply chain","multiple supply","multiple silviculture"))))</f>
        <v>supply chain organization</v>
      </c>
      <c r="BF1481" s="2" t="str" cm="1">
        <f t="array" ref="BF1481">IF(COUNTIF(AZ1481:BB1481,"&lt;&gt;0")=1,INDEX($V$4:$AW$4,MATCH(TRUE,INDEX($V1481:$AW1481&lt;&gt;0,),0)),IF(COUNTIF(AZ1481:BB1481,"&lt;&gt;0")=0,INDEX($AM$4:$AW$4,MATCH(1,$AM1481:$AW1481,0)),"Multiple strategies"))</f>
        <v>Supply chain</v>
      </c>
      <c r="BG1481" s="1" t="s">
        <v>321</v>
      </c>
      <c r="BH1481" t="s">
        <v>2323</v>
      </c>
      <c r="BI1481" s="260" t="s">
        <v>3389</v>
      </c>
      <c r="BJ1481" t="s">
        <v>1358</v>
      </c>
      <c r="BK1481">
        <v>457</v>
      </c>
      <c r="BL1481">
        <v>488</v>
      </c>
      <c r="BM1481">
        <f t="shared" si="1933"/>
        <v>1.0678336980306347</v>
      </c>
      <c r="BN1481">
        <f t="shared" si="1934"/>
        <v>31</v>
      </c>
      <c r="BO1481">
        <f t="shared" si="1935"/>
        <v>134607034.30308294</v>
      </c>
      <c r="BP1481" t="s">
        <v>232</v>
      </c>
      <c r="BQ1481" s="260" t="s">
        <v>3390</v>
      </c>
      <c r="BR1481" t="s">
        <v>2324</v>
      </c>
      <c r="BU1481" s="144"/>
      <c r="BV1481">
        <v>123</v>
      </c>
      <c r="BX1481">
        <f t="shared" si="1936"/>
        <v>123000000</v>
      </c>
      <c r="BY1481">
        <f t="shared" si="1926"/>
        <v>0.91377096774193545</v>
      </c>
      <c r="BZ1481">
        <v>0</v>
      </c>
      <c r="CA1481">
        <v>1</v>
      </c>
      <c r="CB1481">
        <v>1</v>
      </c>
      <c r="CC1481">
        <v>1</v>
      </c>
      <c r="CD1481">
        <v>0</v>
      </c>
      <c r="CE1481">
        <v>0</v>
      </c>
      <c r="CF1481">
        <v>0</v>
      </c>
      <c r="CG1481">
        <v>0</v>
      </c>
      <c r="CH1481">
        <v>0</v>
      </c>
      <c r="CI1481">
        <v>0</v>
      </c>
      <c r="CJ1481">
        <v>0</v>
      </c>
      <c r="CK1481">
        <v>0</v>
      </c>
      <c r="CL1481">
        <v>0</v>
      </c>
      <c r="CM1481">
        <v>0</v>
      </c>
      <c r="CN1481" t="str">
        <f t="shared" si="1928"/>
        <v>refOK</v>
      </c>
      <c r="CO1481"/>
      <c r="CP1481"/>
      <c r="CQ1481">
        <f t="shared" si="1937"/>
        <v>134607034.30308294</v>
      </c>
      <c r="CR1481">
        <f t="shared" si="1938"/>
        <v>0</v>
      </c>
      <c r="CS1481">
        <f t="shared" si="1939"/>
        <v>0</v>
      </c>
      <c r="CT1481">
        <f t="shared" si="1911"/>
        <v>123000000</v>
      </c>
      <c r="CU1481">
        <f t="shared" si="1912"/>
        <v>0.91377096774193545</v>
      </c>
      <c r="CV1481" s="2" t="str">
        <f t="shared" si="1913"/>
        <v/>
      </c>
      <c r="CW1481" s="1" t="s">
        <v>1198</v>
      </c>
      <c r="CX1481" t="str">
        <f t="shared" si="1914"/>
        <v>reg</v>
      </c>
      <c r="CY1481" t="s">
        <v>540</v>
      </c>
      <c r="CZ1481">
        <v>2015</v>
      </c>
      <c r="DA1481">
        <v>2070</v>
      </c>
      <c r="DB1481">
        <v>45</v>
      </c>
      <c r="DC1481" t="str">
        <f t="shared" si="1915"/>
        <v>31-70</v>
      </c>
      <c r="DD1481">
        <v>0</v>
      </c>
      <c r="DE1481">
        <v>1</v>
      </c>
      <c r="DF1481">
        <v>1</v>
      </c>
      <c r="DG1481">
        <v>1</v>
      </c>
      <c r="DI1481">
        <f t="shared" si="1916"/>
        <v>3</v>
      </c>
      <c r="DJ1481" t="str">
        <f t="shared" si="1917"/>
        <v>mixedProduct</v>
      </c>
      <c r="DK1481">
        <f t="shared" si="1918"/>
        <v>0</v>
      </c>
      <c r="DL1481" t="str">
        <f t="shared" si="1919"/>
        <v>Energy</v>
      </c>
      <c r="DM1481" t="str">
        <f t="shared" si="1920"/>
        <v>Pulp/Paper</v>
      </c>
      <c r="DN1481" t="str">
        <f t="shared" si="1921"/>
        <v>Timber</v>
      </c>
      <c r="DO1481">
        <v>1</v>
      </c>
      <c r="DP1481">
        <v>1</v>
      </c>
      <c r="DQ1481" t="s">
        <v>2314</v>
      </c>
      <c r="DR1481">
        <v>0</v>
      </c>
      <c r="DS1481">
        <v>0</v>
      </c>
      <c r="DT1481">
        <f t="shared" si="1922"/>
        <v>2</v>
      </c>
      <c r="DU1481" s="143" t="str">
        <f t="shared" si="1923"/>
        <v>self-calculated DF</v>
      </c>
      <c r="DV1481">
        <v>1</v>
      </c>
      <c r="DW1481">
        <v>1</v>
      </c>
      <c r="DX1481">
        <v>1</v>
      </c>
      <c r="DY1481">
        <v>1</v>
      </c>
      <c r="DZ1481">
        <v>1</v>
      </c>
      <c r="EA1481" s="143">
        <v>1</v>
      </c>
      <c r="EB1481">
        <v>1</v>
      </c>
      <c r="EC1481">
        <v>1</v>
      </c>
      <c r="ED1481">
        <v>1</v>
      </c>
      <c r="EE1481">
        <v>1</v>
      </c>
      <c r="EF1481">
        <v>1</v>
      </c>
      <c r="EG1481">
        <v>1</v>
      </c>
      <c r="EH1481">
        <v>0</v>
      </c>
      <c r="EI1481" s="2">
        <v>0</v>
      </c>
      <c r="EK1481" t="str">
        <f t="shared" si="1940"/>
        <v>Whole sector</v>
      </c>
      <c r="EL1481" t="str">
        <f t="shared" si="1941"/>
        <v/>
      </c>
      <c r="EM1481" s="2" t="str">
        <f t="shared" si="1927"/>
        <v/>
      </c>
      <c r="EP1481" t="str">
        <f>IF(ISNUMBER(BU1481),IF(ABS(BU1481-[5]QC_indicators!$B$2)&gt;3*[5]QC_indicators!$C$2,"C ratio",IF(ISNUMBER(BY1481),IF(ABS(BY1481-[5]QC_indicators!$B$1)&gt;3*[5]QC_indicators!$C$1,"DF","no"))),IF(ISNUMBER(BY1481),IF(ABS(BY1481-[5]QC_indicators!$B$1)&gt;3*[5]QC_indicators!$C$1,"DF","no")))</f>
        <v>no</v>
      </c>
      <c r="ER1481" s="149" t="s">
        <v>2325</v>
      </c>
      <c r="ET1481" s="264" t="s">
        <v>3272</v>
      </c>
    </row>
    <row r="1482" spans="1:151" ht="15" hidden="1" customHeight="1">
      <c r="A1482" s="1" t="s">
        <v>1971</v>
      </c>
      <c r="B1482" t="s">
        <v>2315</v>
      </c>
      <c r="C1482" t="s">
        <v>2316</v>
      </c>
      <c r="D1482" t="s">
        <v>2317</v>
      </c>
      <c r="E1482" t="s">
        <v>2318</v>
      </c>
      <c r="F1482" t="s">
        <v>2319</v>
      </c>
      <c r="G1482" t="s">
        <v>1977</v>
      </c>
      <c r="H1482" t="s">
        <v>254</v>
      </c>
      <c r="I1482">
        <v>2020</v>
      </c>
      <c r="J1482">
        <v>7</v>
      </c>
      <c r="K1482" t="s">
        <v>2320</v>
      </c>
      <c r="M1482" t="str">
        <f t="shared" si="1932"/>
        <v>Smyth_2020</v>
      </c>
      <c r="N1482" t="s">
        <v>222</v>
      </c>
      <c r="O1482" s="145" t="s">
        <v>341</v>
      </c>
      <c r="Q1482" t="s">
        <v>256</v>
      </c>
      <c r="R1482" s="290" t="s">
        <v>225</v>
      </c>
      <c r="S1482" s="1" t="s">
        <v>2336</v>
      </c>
      <c r="T1482" t="s">
        <v>1154</v>
      </c>
      <c r="U1482" t="s">
        <v>2337</v>
      </c>
      <c r="V1482">
        <v>0</v>
      </c>
      <c r="W1482">
        <v>0</v>
      </c>
      <c r="X1482">
        <v>0</v>
      </c>
      <c r="Y1482">
        <v>1</v>
      </c>
      <c r="Z1482">
        <v>0</v>
      </c>
      <c r="AA1482">
        <v>0</v>
      </c>
      <c r="AB1482">
        <v>0</v>
      </c>
      <c r="AC1482">
        <v>0</v>
      </c>
      <c r="AD1482">
        <v>0</v>
      </c>
      <c r="AE1482">
        <v>0</v>
      </c>
      <c r="AF1482">
        <v>1</v>
      </c>
      <c r="AG1482">
        <v>0</v>
      </c>
      <c r="AH1482">
        <v>0</v>
      </c>
      <c r="AI1482">
        <v>1</v>
      </c>
      <c r="AJ1482">
        <v>0</v>
      </c>
      <c r="AK1482">
        <v>0</v>
      </c>
      <c r="AL1482">
        <v>0</v>
      </c>
      <c r="AM1482">
        <v>0</v>
      </c>
      <c r="AN1482">
        <v>0</v>
      </c>
      <c r="AO1482">
        <v>0</v>
      </c>
      <c r="AP1482">
        <v>0</v>
      </c>
      <c r="AQ1482">
        <v>0</v>
      </c>
      <c r="AR1482">
        <v>0</v>
      </c>
      <c r="AS1482">
        <v>0</v>
      </c>
      <c r="AT1482">
        <v>0</v>
      </c>
      <c r="AU1482">
        <v>0</v>
      </c>
      <c r="AV1482">
        <v>0</v>
      </c>
      <c r="AW1482">
        <v>0</v>
      </c>
      <c r="AX1482" s="141">
        <f t="shared" si="1895"/>
        <v>3</v>
      </c>
      <c r="AY1482" s="141">
        <f t="shared" si="1896"/>
        <v>3</v>
      </c>
      <c r="AZ1482">
        <f t="shared" si="1897"/>
        <v>1</v>
      </c>
      <c r="BA1482">
        <f t="shared" si="1898"/>
        <v>2</v>
      </c>
      <c r="BB1482">
        <f t="shared" si="1899"/>
        <v>0</v>
      </c>
      <c r="BC1482">
        <f t="shared" si="1900"/>
        <v>0</v>
      </c>
      <c r="BD1482">
        <f t="shared" si="1901"/>
        <v>0</v>
      </c>
      <c r="BE1482" t="str">
        <f t="array" ref="BE1482">IF(AY1482=1,INDEX($V$7:$AL$7,MATCH(TRUE,INDEX($V1482:$AW1482&lt;&gt;0,),0)),IF(AY1482=0,INDEX($AM$7:$AW$7,MATCH(1,$AM1482:$AW1482,0)),IF(BF1482="Multiple strategies","mixed drivers",IF(BF1482="Supply chain","multiple supply","multiple silviculture"))))</f>
        <v>mixed drivers</v>
      </c>
      <c r="BF1482" s="2" t="str" cm="1">
        <f t="array" ref="BF1482">IF(COUNTIF(AZ1482:BB1482,"&lt;&gt;0")=1,INDEX($V$4:$AW$4,MATCH(TRUE,INDEX($V1482:$AW1482&lt;&gt;0,),0)),IF(COUNTIF(AZ1482:BB1482,"&lt;&gt;0")=0,INDEX($AM$4:$AW$4,MATCH(1,$AM1482:$AW1482,0)),"Multiple strategies"))</f>
        <v>Multiple strategies</v>
      </c>
      <c r="BG1482" s="1" t="s">
        <v>321</v>
      </c>
      <c r="BH1482" t="s">
        <v>2323</v>
      </c>
      <c r="BI1482" s="260" t="s">
        <v>3392</v>
      </c>
      <c r="BJ1482" t="s">
        <v>1358</v>
      </c>
      <c r="BK1482">
        <v>457</v>
      </c>
      <c r="BL1482" s="291">
        <f>488+(4.2/tC_to_m3*55)</f>
        <v>541.19929999999999</v>
      </c>
      <c r="BM1482">
        <f t="shared" si="1933"/>
        <v>1.1842435448577679</v>
      </c>
      <c r="BN1482">
        <f t="shared" si="1934"/>
        <v>84.199299999999994</v>
      </c>
      <c r="BO1482">
        <f t="shared" si="1935"/>
        <v>365607034.30308294</v>
      </c>
      <c r="BP1482" t="s">
        <v>232</v>
      </c>
      <c r="BQ1482" s="260" t="s">
        <v>3391</v>
      </c>
      <c r="BR1482" t="s">
        <v>2324</v>
      </c>
      <c r="BU1482" s="144"/>
      <c r="BV1482">
        <v>527</v>
      </c>
      <c r="BX1482">
        <f t="shared" si="1936"/>
        <v>527000000</v>
      </c>
      <c r="BY1482">
        <f t="shared" si="1926"/>
        <v>1.4414383492499343</v>
      </c>
      <c r="BZ1482">
        <v>0</v>
      </c>
      <c r="CA1482">
        <v>1</v>
      </c>
      <c r="CB1482">
        <v>1</v>
      </c>
      <c r="CC1482">
        <v>1</v>
      </c>
      <c r="CD1482">
        <v>0</v>
      </c>
      <c r="CE1482">
        <v>0</v>
      </c>
      <c r="CF1482">
        <v>0</v>
      </c>
      <c r="CG1482">
        <v>0</v>
      </c>
      <c r="CH1482">
        <v>0</v>
      </c>
      <c r="CI1482">
        <v>0</v>
      </c>
      <c r="CJ1482">
        <v>0</v>
      </c>
      <c r="CK1482">
        <v>0</v>
      </c>
      <c r="CL1482">
        <v>0</v>
      </c>
      <c r="CM1482">
        <v>0</v>
      </c>
      <c r="CN1482" t="str">
        <f t="shared" si="1928"/>
        <v>refOK</v>
      </c>
      <c r="CO1482"/>
      <c r="CP1482"/>
      <c r="CQ1482">
        <f t="shared" si="1937"/>
        <v>365607034.30308294</v>
      </c>
      <c r="CR1482">
        <f t="shared" si="1938"/>
        <v>0</v>
      </c>
      <c r="CS1482">
        <f t="shared" si="1939"/>
        <v>0</v>
      </c>
      <c r="CT1482">
        <f t="shared" si="1911"/>
        <v>527000000</v>
      </c>
      <c r="CU1482">
        <f t="shared" si="1912"/>
        <v>1.4414383492499343</v>
      </c>
      <c r="CV1482" s="2" t="str">
        <f t="shared" si="1913"/>
        <v/>
      </c>
      <c r="CW1482" s="1" t="s">
        <v>1198</v>
      </c>
      <c r="CX1482" t="str">
        <f t="shared" si="1914"/>
        <v>reg</v>
      </c>
      <c r="CY1482" t="s">
        <v>540</v>
      </c>
      <c r="CZ1482">
        <v>2015</v>
      </c>
      <c r="DA1482">
        <v>2070</v>
      </c>
      <c r="DB1482">
        <v>45</v>
      </c>
      <c r="DC1482" t="str">
        <f t="shared" si="1915"/>
        <v>31-70</v>
      </c>
      <c r="DD1482">
        <v>0</v>
      </c>
      <c r="DE1482">
        <v>1</v>
      </c>
      <c r="DF1482">
        <v>1</v>
      </c>
      <c r="DG1482">
        <v>1</v>
      </c>
      <c r="DI1482">
        <f t="shared" si="1916"/>
        <v>3</v>
      </c>
      <c r="DJ1482" t="str">
        <f t="shared" si="1917"/>
        <v>mixedProduct</v>
      </c>
      <c r="DK1482">
        <f t="shared" si="1918"/>
        <v>0</v>
      </c>
      <c r="DL1482" t="str">
        <f t="shared" si="1919"/>
        <v>Energy</v>
      </c>
      <c r="DM1482" t="str">
        <f t="shared" si="1920"/>
        <v>Pulp/Paper</v>
      </c>
      <c r="DN1482" t="str">
        <f t="shared" si="1921"/>
        <v>Timber</v>
      </c>
      <c r="DO1482">
        <v>1</v>
      </c>
      <c r="DP1482">
        <v>1</v>
      </c>
      <c r="DQ1482" t="s">
        <v>2314</v>
      </c>
      <c r="DR1482">
        <v>0</v>
      </c>
      <c r="DS1482">
        <v>0</v>
      </c>
      <c r="DT1482">
        <f t="shared" si="1922"/>
        <v>2</v>
      </c>
      <c r="DU1482" s="143" t="str">
        <f t="shared" si="1923"/>
        <v>self-calculated DF</v>
      </c>
      <c r="DV1482">
        <v>1</v>
      </c>
      <c r="DW1482">
        <v>1</v>
      </c>
      <c r="DX1482">
        <v>1</v>
      </c>
      <c r="DY1482">
        <v>1</v>
      </c>
      <c r="DZ1482">
        <v>1</v>
      </c>
      <c r="EA1482" s="143">
        <v>1</v>
      </c>
      <c r="EB1482">
        <v>1</v>
      </c>
      <c r="EC1482">
        <v>1</v>
      </c>
      <c r="ED1482">
        <v>1</v>
      </c>
      <c r="EE1482">
        <v>1</v>
      </c>
      <c r="EF1482">
        <v>1</v>
      </c>
      <c r="EG1482">
        <v>1</v>
      </c>
      <c r="EH1482">
        <v>0</v>
      </c>
      <c r="EI1482" s="2">
        <v>0</v>
      </c>
      <c r="EK1482" t="str">
        <f t="shared" si="1940"/>
        <v>Whole sector</v>
      </c>
      <c r="EL1482" t="str">
        <f t="shared" si="1941"/>
        <v/>
      </c>
      <c r="EM1482" s="2" t="str">
        <f t="shared" si="1927"/>
        <v/>
      </c>
      <c r="EP1482" t="str">
        <f>IF(ISNUMBER(BU1482),IF(ABS(BU1482-[5]QC_indicators!$B$2)&gt;3*[5]QC_indicators!$C$2,"C ratio",IF(ISNUMBER(BY1482),IF(ABS(BY1482-[5]QC_indicators!$B$1)&gt;3*[5]QC_indicators!$C$1,"DF","no"))),IF(ISNUMBER(BY1482),IF(ABS(BY1482-[5]QC_indicators!$B$1)&gt;3*[5]QC_indicators!$C$1,"DF","no")))</f>
        <v>no</v>
      </c>
      <c r="ER1482" s="149" t="s">
        <v>2325</v>
      </c>
      <c r="ET1482" s="264" t="s">
        <v>3272</v>
      </c>
    </row>
    <row r="1483" spans="1:151" ht="15" hidden="1" customHeight="1">
      <c r="A1483" s="1" t="s">
        <v>1971</v>
      </c>
      <c r="B1483" t="s">
        <v>2315</v>
      </c>
      <c r="C1483" t="s">
        <v>2316</v>
      </c>
      <c r="D1483" t="s">
        <v>2317</v>
      </c>
      <c r="E1483" t="s">
        <v>2318</v>
      </c>
      <c r="F1483" t="s">
        <v>2319</v>
      </c>
      <c r="G1483" t="s">
        <v>1977</v>
      </c>
      <c r="H1483" t="s">
        <v>254</v>
      </c>
      <c r="I1483">
        <v>2020</v>
      </c>
      <c r="J1483">
        <v>7</v>
      </c>
      <c r="K1483" t="s">
        <v>2320</v>
      </c>
      <c r="M1483" t="str">
        <f t="shared" si="1932"/>
        <v>Smyth_2020</v>
      </c>
      <c r="N1483" t="s">
        <v>222</v>
      </c>
      <c r="O1483" s="145" t="s">
        <v>341</v>
      </c>
      <c r="Q1483" t="s">
        <v>256</v>
      </c>
      <c r="R1483" s="290" t="s">
        <v>225</v>
      </c>
      <c r="S1483" s="1" t="s">
        <v>2338</v>
      </c>
      <c r="T1483" t="s">
        <v>1154</v>
      </c>
      <c r="U1483" t="s">
        <v>2339</v>
      </c>
      <c r="V1483">
        <v>0</v>
      </c>
      <c r="W1483">
        <v>0</v>
      </c>
      <c r="X1483">
        <v>0</v>
      </c>
      <c r="Y1483">
        <v>0</v>
      </c>
      <c r="Z1483">
        <v>0</v>
      </c>
      <c r="AA1483">
        <v>0</v>
      </c>
      <c r="AB1483">
        <v>0</v>
      </c>
      <c r="AC1483">
        <v>0</v>
      </c>
      <c r="AD1483">
        <v>0</v>
      </c>
      <c r="AE1483">
        <v>0</v>
      </c>
      <c r="AF1483">
        <v>1</v>
      </c>
      <c r="AG1483">
        <v>0</v>
      </c>
      <c r="AH1483">
        <v>0</v>
      </c>
      <c r="AI1483">
        <v>1</v>
      </c>
      <c r="AJ1483">
        <v>0</v>
      </c>
      <c r="AK1483">
        <v>0</v>
      </c>
      <c r="AL1483">
        <v>0</v>
      </c>
      <c r="AM1483">
        <v>0</v>
      </c>
      <c r="AN1483">
        <v>0</v>
      </c>
      <c r="AO1483">
        <v>0</v>
      </c>
      <c r="AP1483">
        <v>0</v>
      </c>
      <c r="AQ1483">
        <v>0</v>
      </c>
      <c r="AR1483">
        <v>0</v>
      </c>
      <c r="AS1483">
        <v>0</v>
      </c>
      <c r="AT1483">
        <v>0</v>
      </c>
      <c r="AU1483">
        <v>0</v>
      </c>
      <c r="AV1483">
        <v>0</v>
      </c>
      <c r="AW1483">
        <v>0</v>
      </c>
      <c r="AX1483" s="141">
        <f t="shared" si="1895"/>
        <v>2</v>
      </c>
      <c r="AY1483" s="141">
        <f t="shared" si="1896"/>
        <v>2</v>
      </c>
      <c r="AZ1483">
        <f t="shared" si="1897"/>
        <v>0</v>
      </c>
      <c r="BA1483">
        <f t="shared" si="1898"/>
        <v>2</v>
      </c>
      <c r="BB1483">
        <f t="shared" si="1899"/>
        <v>0</v>
      </c>
      <c r="BC1483">
        <f t="shared" si="1900"/>
        <v>0</v>
      </c>
      <c r="BD1483">
        <f t="shared" si="1901"/>
        <v>0</v>
      </c>
      <c r="BE1483" t="str">
        <f t="array" ref="BE1483">IF(AY1483=1,INDEX($V$7:$AL$7,MATCH(TRUE,INDEX($V1483:$AW1483&lt;&gt;0,),0)),IF(AY1483=0,INDEX($AM$7:$AW$7,MATCH(1,$AM1483:$AW1483,0)),IF(BF1483="Multiple strategies","mixed drivers",IF(BF1483="Supply chain","multiple supply","multiple silviculture"))))</f>
        <v>multiple supply</v>
      </c>
      <c r="BF1483" s="2" t="str" cm="1">
        <f t="array" ref="BF1483">IF(COUNTIF(AZ1483:BB1483,"&lt;&gt;0")=1,INDEX($V$4:$AW$4,MATCH(TRUE,INDEX($V1483:$AW1483&lt;&gt;0,),0)),IF(COUNTIF(AZ1483:BB1483,"&lt;&gt;0")=0,INDEX($AM$4:$AW$4,MATCH(1,$AM1483:$AW1483,0)),"Multiple strategies"))</f>
        <v>Supply chain</v>
      </c>
      <c r="BG1483" s="1" t="s">
        <v>321</v>
      </c>
      <c r="BH1483" t="s">
        <v>2323</v>
      </c>
      <c r="BI1483" s="260" t="s">
        <v>3389</v>
      </c>
      <c r="BJ1483" t="s">
        <v>1358</v>
      </c>
      <c r="BK1483">
        <v>457</v>
      </c>
      <c r="BL1483">
        <v>457</v>
      </c>
      <c r="BM1483">
        <f t="shared" si="1933"/>
        <v>1</v>
      </c>
      <c r="BN1483">
        <f t="shared" si="1934"/>
        <v>0</v>
      </c>
      <c r="BO1483">
        <f t="shared" si="1935"/>
        <v>0</v>
      </c>
      <c r="BP1483" t="s">
        <v>232</v>
      </c>
      <c r="BQ1483" s="260" t="s">
        <v>3390</v>
      </c>
      <c r="BR1483" t="s">
        <v>1139</v>
      </c>
      <c r="BU1483" s="144"/>
      <c r="BV1483">
        <v>71</v>
      </c>
      <c r="BX1483">
        <f t="shared" si="1936"/>
        <v>71000000</v>
      </c>
      <c r="BY1483" t="str">
        <f t="shared" si="1926"/>
        <v/>
      </c>
      <c r="BZ1483">
        <v>0</v>
      </c>
      <c r="CA1483">
        <v>1</v>
      </c>
      <c r="CB1483">
        <v>1</v>
      </c>
      <c r="CC1483">
        <v>1</v>
      </c>
      <c r="CD1483">
        <v>0</v>
      </c>
      <c r="CE1483">
        <v>0</v>
      </c>
      <c r="CF1483">
        <v>0</v>
      </c>
      <c r="CG1483">
        <v>0</v>
      </c>
      <c r="CH1483">
        <v>0</v>
      </c>
      <c r="CI1483">
        <v>0</v>
      </c>
      <c r="CJ1483">
        <v>0</v>
      </c>
      <c r="CK1483">
        <v>0</v>
      </c>
      <c r="CL1483">
        <v>0</v>
      </c>
      <c r="CM1483">
        <v>0</v>
      </c>
      <c r="CN1483" t="str">
        <f t="shared" si="1928"/>
        <v>refOK</v>
      </c>
      <c r="CO1483"/>
      <c r="CP1483"/>
      <c r="CQ1483">
        <f t="shared" si="1937"/>
        <v>0</v>
      </c>
      <c r="CR1483">
        <f t="shared" si="1938"/>
        <v>0</v>
      </c>
      <c r="CS1483">
        <f t="shared" si="1939"/>
        <v>0</v>
      </c>
      <c r="CT1483">
        <f t="shared" si="1911"/>
        <v>71000000</v>
      </c>
      <c r="CU1483" t="str">
        <f t="shared" si="1912"/>
        <v/>
      </c>
      <c r="CV1483" s="2" t="str">
        <f t="shared" si="1913"/>
        <v/>
      </c>
      <c r="CW1483" s="1" t="s">
        <v>1198</v>
      </c>
      <c r="CX1483" t="str">
        <f t="shared" si="1914"/>
        <v>reg</v>
      </c>
      <c r="CY1483" t="s">
        <v>540</v>
      </c>
      <c r="CZ1483">
        <v>2015</v>
      </c>
      <c r="DA1483">
        <v>2070</v>
      </c>
      <c r="DB1483">
        <v>45</v>
      </c>
      <c r="DC1483" t="str">
        <f t="shared" si="1915"/>
        <v>31-70</v>
      </c>
      <c r="DD1483">
        <v>0</v>
      </c>
      <c r="DE1483">
        <v>1</v>
      </c>
      <c r="DF1483">
        <v>1</v>
      </c>
      <c r="DG1483">
        <v>1</v>
      </c>
      <c r="DI1483">
        <f t="shared" si="1916"/>
        <v>3</v>
      </c>
      <c r="DJ1483" t="str">
        <f t="shared" si="1917"/>
        <v>mixedProduct</v>
      </c>
      <c r="DK1483">
        <f t="shared" si="1918"/>
        <v>0</v>
      </c>
      <c r="DL1483" t="str">
        <f t="shared" si="1919"/>
        <v>Energy</v>
      </c>
      <c r="DM1483" t="str">
        <f t="shared" si="1920"/>
        <v>Pulp/Paper</v>
      </c>
      <c r="DN1483" t="str">
        <f t="shared" si="1921"/>
        <v>Timber</v>
      </c>
      <c r="DO1483">
        <v>1</v>
      </c>
      <c r="DP1483">
        <v>1</v>
      </c>
      <c r="DQ1483" t="s">
        <v>2314</v>
      </c>
      <c r="DR1483">
        <v>0</v>
      </c>
      <c r="DS1483">
        <v>0</v>
      </c>
      <c r="DT1483">
        <f t="shared" si="1922"/>
        <v>2</v>
      </c>
      <c r="DU1483" s="143" t="str">
        <f t="shared" si="1923"/>
        <v>self-calculated DF</v>
      </c>
      <c r="DV1483">
        <v>1</v>
      </c>
      <c r="DW1483">
        <v>1</v>
      </c>
      <c r="DX1483">
        <v>1</v>
      </c>
      <c r="DY1483">
        <v>1</v>
      </c>
      <c r="DZ1483">
        <v>1</v>
      </c>
      <c r="EA1483">
        <v>1</v>
      </c>
      <c r="EB1483">
        <v>1</v>
      </c>
      <c r="EC1483">
        <v>1</v>
      </c>
      <c r="ED1483">
        <v>1</v>
      </c>
      <c r="EE1483">
        <v>1</v>
      </c>
      <c r="EF1483">
        <v>1</v>
      </c>
      <c r="EG1483">
        <v>1</v>
      </c>
      <c r="EH1483">
        <v>0</v>
      </c>
      <c r="EI1483" s="2">
        <v>0</v>
      </c>
      <c r="EK1483" t="str">
        <f t="shared" si="1940"/>
        <v>Whole sector</v>
      </c>
      <c r="EL1483" t="str">
        <f t="shared" si="1941"/>
        <v/>
      </c>
      <c r="EM1483" s="2" t="str">
        <f t="shared" si="1927"/>
        <v/>
      </c>
      <c r="EP1483" t="b">
        <f>IF(ISNUMBER(BU1483),IF(ABS(BU1483-[5]QC_indicators!$B$2)&gt;3*[5]QC_indicators!$C$2,"C ratio",IF(ISNUMBER(BY1483),IF(ABS(BY1483-[5]QC_indicators!$B$1)&gt;3*[5]QC_indicators!$C$1,"DF","no"))),IF(ISNUMBER(BY1483),IF(ABS(BY1483-[5]QC_indicators!$B$1)&gt;3*[5]QC_indicators!$C$1,"DF","no")))</f>
        <v>0</v>
      </c>
      <c r="ER1483" s="149" t="s">
        <v>349</v>
      </c>
      <c r="ET1483" s="264" t="s">
        <v>3272</v>
      </c>
    </row>
    <row r="1484" spans="1:151" ht="14" hidden="1" customHeight="1">
      <c r="A1484" s="1" t="s">
        <v>1971</v>
      </c>
      <c r="B1484" t="s">
        <v>2315</v>
      </c>
      <c r="C1484" t="s">
        <v>2316</v>
      </c>
      <c r="D1484" t="s">
        <v>2317</v>
      </c>
      <c r="E1484" t="s">
        <v>2318</v>
      </c>
      <c r="F1484" t="s">
        <v>2319</v>
      </c>
      <c r="G1484" t="s">
        <v>1977</v>
      </c>
      <c r="H1484" t="s">
        <v>254</v>
      </c>
      <c r="I1484">
        <v>2020</v>
      </c>
      <c r="J1484">
        <v>7</v>
      </c>
      <c r="K1484" t="s">
        <v>2320</v>
      </c>
      <c r="M1484" t="str">
        <f t="shared" si="1932"/>
        <v>Smyth_2020</v>
      </c>
      <c r="N1484" t="s">
        <v>222</v>
      </c>
      <c r="O1484" s="145" t="s">
        <v>341</v>
      </c>
      <c r="Q1484" t="s">
        <v>256</v>
      </c>
      <c r="R1484" s="290" t="s">
        <v>225</v>
      </c>
      <c r="S1484" s="1" t="s">
        <v>2340</v>
      </c>
      <c r="T1484" t="s">
        <v>1154</v>
      </c>
      <c r="U1484" t="s">
        <v>2341</v>
      </c>
      <c r="V1484">
        <v>0</v>
      </c>
      <c r="W1484">
        <v>0</v>
      </c>
      <c r="X1484">
        <v>0</v>
      </c>
      <c r="Y1484">
        <v>0</v>
      </c>
      <c r="Z1484">
        <v>0</v>
      </c>
      <c r="AA1484">
        <v>0</v>
      </c>
      <c r="AB1484">
        <v>0</v>
      </c>
      <c r="AC1484">
        <v>0</v>
      </c>
      <c r="AD1484">
        <v>0</v>
      </c>
      <c r="AE1484">
        <v>0</v>
      </c>
      <c r="AF1484">
        <v>1</v>
      </c>
      <c r="AG1484">
        <v>0</v>
      </c>
      <c r="AH1484">
        <v>0</v>
      </c>
      <c r="AI1484">
        <v>1</v>
      </c>
      <c r="AJ1484">
        <v>0</v>
      </c>
      <c r="AK1484">
        <v>0</v>
      </c>
      <c r="AL1484">
        <v>0</v>
      </c>
      <c r="AM1484">
        <v>0</v>
      </c>
      <c r="AN1484">
        <v>0</v>
      </c>
      <c r="AO1484">
        <v>0</v>
      </c>
      <c r="AP1484">
        <v>0</v>
      </c>
      <c r="AQ1484">
        <v>0</v>
      </c>
      <c r="AR1484">
        <v>0</v>
      </c>
      <c r="AS1484">
        <v>0</v>
      </c>
      <c r="AT1484">
        <v>0</v>
      </c>
      <c r="AU1484">
        <v>0</v>
      </c>
      <c r="AV1484">
        <v>0</v>
      </c>
      <c r="AW1484">
        <v>0</v>
      </c>
      <c r="AX1484" s="141">
        <f t="shared" si="1895"/>
        <v>2</v>
      </c>
      <c r="AY1484" s="141">
        <f t="shared" si="1896"/>
        <v>2</v>
      </c>
      <c r="AZ1484">
        <f t="shared" si="1897"/>
        <v>0</v>
      </c>
      <c r="BA1484">
        <f t="shared" si="1898"/>
        <v>2</v>
      </c>
      <c r="BB1484">
        <f t="shared" si="1899"/>
        <v>0</v>
      </c>
      <c r="BC1484">
        <f t="shared" si="1900"/>
        <v>0</v>
      </c>
      <c r="BD1484">
        <f t="shared" si="1901"/>
        <v>0</v>
      </c>
      <c r="BE1484" t="str">
        <f t="array" ref="BE1484">IF(AY1484=1,INDEX($V$7:$AL$7,MATCH(TRUE,INDEX($V1484:$AW1484&lt;&gt;0,),0)),IF(AY1484=0,INDEX($AM$7:$AW$7,MATCH(1,$AM1484:$AW1484,0)),IF(BF1484="Multiple strategies","mixed drivers",IF(BF1484="Supply chain","multiple supply","multiple silviculture"))))</f>
        <v>multiple supply</v>
      </c>
      <c r="BF1484" s="2" t="str" cm="1">
        <f t="array" ref="BF1484">IF(COUNTIF(AZ1484:BB1484,"&lt;&gt;0")=1,INDEX($V$4:$AW$4,MATCH(TRUE,INDEX($V1484:$AW1484&lt;&gt;0,),0)),IF(COUNTIF(AZ1484:BB1484,"&lt;&gt;0")=0,INDEX($AM$4:$AW$4,MATCH(1,$AM1484:$AW1484,0)),"Multiple strategies"))</f>
        <v>Supply chain</v>
      </c>
      <c r="BG1484" s="1" t="s">
        <v>321</v>
      </c>
      <c r="BH1484" t="s">
        <v>2323</v>
      </c>
      <c r="BI1484" s="260" t="s">
        <v>3389</v>
      </c>
      <c r="BJ1484" t="s">
        <v>1358</v>
      </c>
      <c r="BK1484">
        <v>457</v>
      </c>
      <c r="BL1484">
        <v>457</v>
      </c>
      <c r="BM1484">
        <f t="shared" si="1933"/>
        <v>1</v>
      </c>
      <c r="BN1484">
        <f t="shared" si="1934"/>
        <v>0</v>
      </c>
      <c r="BO1484">
        <f t="shared" si="1935"/>
        <v>0</v>
      </c>
      <c r="BP1484" t="s">
        <v>232</v>
      </c>
      <c r="BQ1484" s="260" t="s">
        <v>3391</v>
      </c>
      <c r="BR1484" t="s">
        <v>2324</v>
      </c>
      <c r="BU1484" s="144"/>
      <c r="BV1484">
        <v>191</v>
      </c>
      <c r="BX1484">
        <f t="shared" si="1936"/>
        <v>191000000</v>
      </c>
      <c r="BY1484" t="str">
        <f t="shared" si="1926"/>
        <v/>
      </c>
      <c r="BZ1484">
        <v>0</v>
      </c>
      <c r="CA1484">
        <v>1</v>
      </c>
      <c r="CB1484">
        <v>1</v>
      </c>
      <c r="CC1484">
        <v>1</v>
      </c>
      <c r="CD1484">
        <v>0</v>
      </c>
      <c r="CE1484">
        <v>0</v>
      </c>
      <c r="CF1484">
        <v>0</v>
      </c>
      <c r="CG1484">
        <v>0</v>
      </c>
      <c r="CH1484">
        <v>0</v>
      </c>
      <c r="CI1484">
        <v>0</v>
      </c>
      <c r="CJ1484">
        <v>0</v>
      </c>
      <c r="CK1484">
        <v>0</v>
      </c>
      <c r="CL1484">
        <v>0</v>
      </c>
      <c r="CM1484">
        <v>0</v>
      </c>
      <c r="CN1484" t="str">
        <f t="shared" si="1928"/>
        <v>refOK</v>
      </c>
      <c r="CO1484"/>
      <c r="CP1484"/>
      <c r="CQ1484">
        <f t="shared" si="1937"/>
        <v>0</v>
      </c>
      <c r="CR1484">
        <f t="shared" si="1938"/>
        <v>0</v>
      </c>
      <c r="CS1484">
        <f t="shared" si="1939"/>
        <v>0</v>
      </c>
      <c r="CT1484">
        <f t="shared" si="1911"/>
        <v>191000000</v>
      </c>
      <c r="CU1484" t="str">
        <f t="shared" si="1912"/>
        <v/>
      </c>
      <c r="CV1484" s="2" t="str">
        <f t="shared" si="1913"/>
        <v/>
      </c>
      <c r="CW1484" s="1" t="s">
        <v>1198</v>
      </c>
      <c r="CX1484" t="str">
        <f t="shared" si="1914"/>
        <v>reg</v>
      </c>
      <c r="CY1484" t="s">
        <v>540</v>
      </c>
      <c r="CZ1484">
        <v>2015</v>
      </c>
      <c r="DA1484">
        <v>2070</v>
      </c>
      <c r="DB1484">
        <v>45</v>
      </c>
      <c r="DC1484" t="str">
        <f t="shared" si="1915"/>
        <v>31-70</v>
      </c>
      <c r="DD1484">
        <v>0</v>
      </c>
      <c r="DE1484">
        <v>1</v>
      </c>
      <c r="DF1484">
        <v>1</v>
      </c>
      <c r="DG1484">
        <v>1</v>
      </c>
      <c r="DI1484">
        <f t="shared" si="1916"/>
        <v>3</v>
      </c>
      <c r="DJ1484" t="str">
        <f t="shared" si="1917"/>
        <v>mixedProduct</v>
      </c>
      <c r="DK1484">
        <f t="shared" si="1918"/>
        <v>0</v>
      </c>
      <c r="DL1484" t="str">
        <f t="shared" si="1919"/>
        <v>Energy</v>
      </c>
      <c r="DM1484" t="str">
        <f t="shared" si="1920"/>
        <v>Pulp/Paper</v>
      </c>
      <c r="DN1484" t="str">
        <f t="shared" si="1921"/>
        <v>Timber</v>
      </c>
      <c r="DO1484">
        <v>1</v>
      </c>
      <c r="DP1484">
        <v>1</v>
      </c>
      <c r="DQ1484" t="s">
        <v>2314</v>
      </c>
      <c r="DR1484">
        <v>0</v>
      </c>
      <c r="DS1484">
        <v>0</v>
      </c>
      <c r="DT1484">
        <f t="shared" si="1922"/>
        <v>2</v>
      </c>
      <c r="DU1484" s="143" t="str">
        <f t="shared" si="1923"/>
        <v>self-calculated DF</v>
      </c>
      <c r="DV1484">
        <v>1</v>
      </c>
      <c r="DW1484">
        <v>1</v>
      </c>
      <c r="DX1484">
        <v>1</v>
      </c>
      <c r="DY1484">
        <v>1</v>
      </c>
      <c r="DZ1484">
        <v>1</v>
      </c>
      <c r="EA1484">
        <v>1</v>
      </c>
      <c r="EB1484">
        <v>1</v>
      </c>
      <c r="EC1484">
        <v>1</v>
      </c>
      <c r="ED1484">
        <v>1</v>
      </c>
      <c r="EE1484">
        <v>1</v>
      </c>
      <c r="EF1484">
        <v>1</v>
      </c>
      <c r="EG1484">
        <v>1</v>
      </c>
      <c r="EH1484">
        <v>0</v>
      </c>
      <c r="EI1484" s="2">
        <v>0</v>
      </c>
      <c r="EK1484" t="str">
        <f t="shared" si="1940"/>
        <v>Whole sector</v>
      </c>
      <c r="EL1484" t="str">
        <f t="shared" si="1941"/>
        <v/>
      </c>
      <c r="EM1484" s="2" t="str">
        <f t="shared" si="1927"/>
        <v/>
      </c>
      <c r="EP1484" t="b">
        <f>IF(ISNUMBER(BU1484),IF(ABS(BU1484-[5]QC_indicators!$B$2)&gt;3*[5]QC_indicators!$C$2,"C ratio",IF(ISNUMBER(BY1484),IF(ABS(BY1484-[5]QC_indicators!$B$1)&gt;3*[5]QC_indicators!$C$1,"DF","no"))),IF(ISNUMBER(BY1484),IF(ABS(BY1484-[5]QC_indicators!$B$1)&gt;3*[5]QC_indicators!$C$1,"DF","no")))</f>
        <v>0</v>
      </c>
      <c r="ER1484" s="149" t="s">
        <v>2325</v>
      </c>
      <c r="ET1484" s="264" t="s">
        <v>3272</v>
      </c>
    </row>
    <row r="1485" spans="1:151" ht="14" hidden="1" customHeight="1">
      <c r="A1485" s="1" t="s">
        <v>2347</v>
      </c>
      <c r="B1485" t="s">
        <v>2348</v>
      </c>
      <c r="C1485" t="s">
        <v>544</v>
      </c>
      <c r="D1485" t="s">
        <v>2349</v>
      </c>
      <c r="E1485" t="s">
        <v>2350</v>
      </c>
      <c r="F1485" t="s">
        <v>2351</v>
      </c>
      <c r="G1485" t="s">
        <v>2352</v>
      </c>
      <c r="H1485" t="s">
        <v>254</v>
      </c>
      <c r="I1485">
        <v>2021</v>
      </c>
      <c r="J1485">
        <v>1</v>
      </c>
      <c r="K1485" t="s">
        <v>2353</v>
      </c>
      <c r="M1485" t="str">
        <f t="shared" si="1932"/>
        <v>Soimakallio_2021</v>
      </c>
      <c r="N1485" t="s">
        <v>222</v>
      </c>
      <c r="O1485" s="145" t="s">
        <v>341</v>
      </c>
      <c r="Q1485" t="s">
        <v>256</v>
      </c>
      <c r="R1485" s="283" t="s">
        <v>225</v>
      </c>
      <c r="S1485" s="1" t="s">
        <v>2354</v>
      </c>
      <c r="T1485" t="s">
        <v>1110</v>
      </c>
      <c r="U1485" s="151" t="s">
        <v>3084</v>
      </c>
      <c r="V1485" s="151">
        <v>0</v>
      </c>
      <c r="W1485">
        <v>0</v>
      </c>
      <c r="X1485">
        <v>0</v>
      </c>
      <c r="Y1485" s="151">
        <v>2</v>
      </c>
      <c r="Z1485">
        <v>0</v>
      </c>
      <c r="AA1485">
        <v>0</v>
      </c>
      <c r="AB1485">
        <v>0</v>
      </c>
      <c r="AC1485">
        <v>0</v>
      </c>
      <c r="AD1485">
        <v>0</v>
      </c>
      <c r="AE1485">
        <v>0</v>
      </c>
      <c r="AF1485" s="151">
        <v>1</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s="141">
        <f t="shared" si="1895"/>
        <v>2</v>
      </c>
      <c r="AY1485" s="141">
        <f t="shared" si="1896"/>
        <v>2</v>
      </c>
      <c r="AZ1485">
        <f t="shared" si="1897"/>
        <v>1</v>
      </c>
      <c r="BA1485">
        <f t="shared" si="1898"/>
        <v>1</v>
      </c>
      <c r="BB1485">
        <f t="shared" si="1899"/>
        <v>0</v>
      </c>
      <c r="BC1485">
        <f t="shared" si="1900"/>
        <v>0</v>
      </c>
      <c r="BD1485">
        <f t="shared" si="1901"/>
        <v>0</v>
      </c>
      <c r="BE1485" t="str">
        <f t="array" ref="BE1485">IF(AY1485=1,INDEX($V$7:$AL$7,MATCH(TRUE,INDEX($V1485:$AW1485&lt;&gt;0,),0)),IF(AY1485=0,INDEX($AM$7:$AW$7,MATCH(1,$AM1485:$AW1485,0)),IF(BF1485="Multiple strategies","mixed drivers",IF(BF1485="Supply chain","multiple supply","multiple silviculture"))))</f>
        <v>mixed drivers</v>
      </c>
      <c r="BF1485" s="2" t="str" cm="1">
        <f t="array" ref="BF1485">IF(COUNTIF(AZ1485:BB1485,"&lt;&gt;0")=1,INDEX($V$4:$AW$4,MATCH(TRUE,INDEX($V1485:$AW1485&lt;&gt;0,),0)),IF(COUNTIF(AZ1485:BB1485,"&lt;&gt;0")=0,INDEX($AM$4:$AW$4,MATCH(1,$AM1485:$AW1485,0)),"Multiple strategies"))</f>
        <v>Multiple strategies</v>
      </c>
      <c r="BG1485" s="1" t="s">
        <v>229</v>
      </c>
      <c r="BH1485" t="s">
        <v>2355</v>
      </c>
      <c r="BI1485" s="151" t="s">
        <v>811</v>
      </c>
      <c r="BJ1485" s="151" t="s">
        <v>1358</v>
      </c>
      <c r="BN1485">
        <v>0.9</v>
      </c>
      <c r="BO1485">
        <f t="shared" si="1935"/>
        <v>3907946.1571862791</v>
      </c>
      <c r="BP1485" t="s">
        <v>232</v>
      </c>
      <c r="BQ1485" s="151" t="s">
        <v>811</v>
      </c>
      <c r="BR1485" s="151" t="s">
        <v>1299</v>
      </c>
      <c r="BU1485" s="144"/>
      <c r="BV1485">
        <v>-3.9</v>
      </c>
      <c r="BX1485">
        <f>BV1485*10^6*C_to_CO2</f>
        <v>-14313000</v>
      </c>
      <c r="BY1485">
        <f t="shared" si="1926"/>
        <v>-3.6625376666666662</v>
      </c>
      <c r="BZ1485">
        <v>0</v>
      </c>
      <c r="CA1485">
        <v>1</v>
      </c>
      <c r="CB1485" s="151">
        <v>0</v>
      </c>
      <c r="CC1485" s="151">
        <v>1</v>
      </c>
      <c r="CD1485">
        <v>0</v>
      </c>
      <c r="CE1485">
        <v>0</v>
      </c>
      <c r="CF1485">
        <v>0</v>
      </c>
      <c r="CG1485">
        <v>0</v>
      </c>
      <c r="CH1485">
        <v>0</v>
      </c>
      <c r="CI1485">
        <v>0</v>
      </c>
      <c r="CJ1485">
        <v>0</v>
      </c>
      <c r="CK1485">
        <v>0</v>
      </c>
      <c r="CL1485">
        <v>0</v>
      </c>
      <c r="CM1485">
        <v>0</v>
      </c>
      <c r="CN1485" t="str">
        <f t="shared" si="1928"/>
        <v>refOK</v>
      </c>
      <c r="CO1485"/>
      <c r="CP1485"/>
      <c r="CQ1485">
        <f>IF($CN1485="refNeedCorrection",-BO1485,BO1485)</f>
        <v>3907946.1571862791</v>
      </c>
      <c r="CR1485">
        <f t="shared" si="1938"/>
        <v>0</v>
      </c>
      <c r="CS1485">
        <f t="shared" si="1939"/>
        <v>0</v>
      </c>
      <c r="CT1485">
        <f t="shared" si="1911"/>
        <v>-14313000</v>
      </c>
      <c r="CU1485">
        <f t="shared" si="1912"/>
        <v>-3.6625376666666662</v>
      </c>
      <c r="CV1485" s="2" t="str">
        <f t="shared" si="1913"/>
        <v/>
      </c>
      <c r="CW1485" s="1" t="s">
        <v>1202</v>
      </c>
      <c r="CX1485" t="str">
        <f t="shared" si="1914"/>
        <v>reg</v>
      </c>
      <c r="CY1485" t="s">
        <v>235</v>
      </c>
      <c r="CZ1485">
        <v>2015</v>
      </c>
      <c r="DA1485">
        <v>2044</v>
      </c>
      <c r="DB1485">
        <f>DA1485-CZ1485</f>
        <v>29</v>
      </c>
      <c r="DC1485" t="str">
        <f t="shared" si="1915"/>
        <v>1-30</v>
      </c>
      <c r="DD1485">
        <v>0</v>
      </c>
      <c r="DE1485">
        <v>1</v>
      </c>
      <c r="DF1485">
        <v>1</v>
      </c>
      <c r="DG1485">
        <v>1</v>
      </c>
      <c r="DI1485">
        <f t="shared" si="1916"/>
        <v>3</v>
      </c>
      <c r="DJ1485" t="str">
        <f t="shared" si="1917"/>
        <v>mixedProduct</v>
      </c>
      <c r="DK1485">
        <f t="shared" si="1918"/>
        <v>0</v>
      </c>
      <c r="DL1485" t="str">
        <f t="shared" si="1919"/>
        <v>Energy</v>
      </c>
      <c r="DM1485" t="str">
        <f t="shared" si="1920"/>
        <v>Pulp/Paper</v>
      </c>
      <c r="DN1485" t="str">
        <f t="shared" si="1921"/>
        <v>Timber</v>
      </c>
      <c r="DO1485">
        <v>1</v>
      </c>
      <c r="DP1485">
        <v>1</v>
      </c>
      <c r="DQ1485" t="s">
        <v>2356</v>
      </c>
      <c r="DR1485">
        <v>0</v>
      </c>
      <c r="DS1485" t="s">
        <v>2357</v>
      </c>
      <c r="DT1485">
        <f t="shared" si="1922"/>
        <v>2</v>
      </c>
      <c r="DU1485" s="143" t="str">
        <f t="shared" si="1923"/>
        <v>self-calculated DF</v>
      </c>
      <c r="DV1485">
        <v>1</v>
      </c>
      <c r="DW1485">
        <v>1</v>
      </c>
      <c r="DX1485">
        <v>1</v>
      </c>
      <c r="DY1485">
        <v>1</v>
      </c>
      <c r="DZ1485" s="151">
        <v>1</v>
      </c>
      <c r="EA1485" s="292">
        <v>1</v>
      </c>
      <c r="EB1485">
        <v>0</v>
      </c>
      <c r="EC1485">
        <v>1</v>
      </c>
      <c r="ED1485">
        <v>0</v>
      </c>
      <c r="EE1485">
        <v>0</v>
      </c>
      <c r="EF1485">
        <v>1</v>
      </c>
      <c r="EG1485">
        <v>0</v>
      </c>
      <c r="EH1485">
        <v>0</v>
      </c>
      <c r="EI1485" s="2">
        <v>0</v>
      </c>
      <c r="EK1485" t="str">
        <f t="shared" si="1940"/>
        <v>Whole sector</v>
      </c>
      <c r="EL1485" t="str">
        <f t="shared" si="1941"/>
        <v/>
      </c>
      <c r="EM1485" s="2" t="str">
        <f t="shared" si="1927"/>
        <v/>
      </c>
      <c r="EP1485" t="str">
        <f>IF(ISNUMBER(BU1485),IF(ABS(BU1485-[5]QC_indicators!$B$2)&gt;3*[5]QC_indicators!$C$2,"C ratio",IF(ISNUMBER(BY1485),IF(ABS(BY1485-[5]QC_indicators!$B$1)&gt;3*[5]QC_indicators!$C$1,"DF","no"))),IF(ISNUMBER(BY1485),IF(ABS(BY1485-[5]QC_indicators!$B$1)&gt;3*[5]QC_indicators!$C$1,"DF","no")))</f>
        <v>no</v>
      </c>
      <c r="ER1485" s="149" t="s">
        <v>349</v>
      </c>
      <c r="ET1485" t="s">
        <v>3083</v>
      </c>
    </row>
    <row r="1486" spans="1:151" ht="18" hidden="1" customHeight="1">
      <c r="A1486" s="1" t="s">
        <v>2347</v>
      </c>
      <c r="B1486" t="s">
        <v>2348</v>
      </c>
      <c r="C1486" t="s">
        <v>544</v>
      </c>
      <c r="D1486" t="s">
        <v>2349</v>
      </c>
      <c r="E1486" t="s">
        <v>2350</v>
      </c>
      <c r="F1486" t="s">
        <v>2351</v>
      </c>
      <c r="G1486" t="s">
        <v>2352</v>
      </c>
      <c r="H1486" t="s">
        <v>254</v>
      </c>
      <c r="I1486">
        <v>2021</v>
      </c>
      <c r="J1486">
        <v>1</v>
      </c>
      <c r="K1486" t="s">
        <v>2353</v>
      </c>
      <c r="M1486" t="str">
        <f t="shared" si="1932"/>
        <v>Soimakallio_2021</v>
      </c>
      <c r="N1486" t="s">
        <v>222</v>
      </c>
      <c r="O1486" s="145" t="s">
        <v>341</v>
      </c>
      <c r="Q1486" t="s">
        <v>256</v>
      </c>
      <c r="R1486" s="283" t="s">
        <v>225</v>
      </c>
      <c r="S1486" s="1" t="s">
        <v>2358</v>
      </c>
      <c r="T1486" t="s">
        <v>1110</v>
      </c>
      <c r="U1486" s="151" t="s">
        <v>3085</v>
      </c>
      <c r="V1486" s="151">
        <v>0</v>
      </c>
      <c r="W1486">
        <v>0</v>
      </c>
      <c r="X1486">
        <v>0</v>
      </c>
      <c r="Y1486" s="151">
        <v>2</v>
      </c>
      <c r="Z1486">
        <v>0</v>
      </c>
      <c r="AA1486">
        <v>0</v>
      </c>
      <c r="AB1486">
        <v>0</v>
      </c>
      <c r="AC1486">
        <v>0</v>
      </c>
      <c r="AD1486">
        <v>0</v>
      </c>
      <c r="AE1486">
        <v>0</v>
      </c>
      <c r="AF1486" s="151">
        <v>1</v>
      </c>
      <c r="AG1486">
        <v>0</v>
      </c>
      <c r="AH1486">
        <v>0</v>
      </c>
      <c r="AI1486">
        <v>0</v>
      </c>
      <c r="AJ1486">
        <v>0</v>
      </c>
      <c r="AK1486">
        <v>0</v>
      </c>
      <c r="AL1486">
        <v>0</v>
      </c>
      <c r="AM1486">
        <v>0</v>
      </c>
      <c r="AN1486">
        <v>0</v>
      </c>
      <c r="AO1486">
        <v>0</v>
      </c>
      <c r="AP1486">
        <v>0</v>
      </c>
      <c r="AQ1486">
        <v>0</v>
      </c>
      <c r="AR1486">
        <v>0</v>
      </c>
      <c r="AS1486">
        <v>2</v>
      </c>
      <c r="AT1486">
        <v>0</v>
      </c>
      <c r="AU1486">
        <v>0</v>
      </c>
      <c r="AV1486">
        <v>0</v>
      </c>
      <c r="AW1486">
        <v>0</v>
      </c>
      <c r="AX1486" s="141">
        <f t="shared" si="1895"/>
        <v>3</v>
      </c>
      <c r="AY1486" s="141">
        <f t="shared" si="1896"/>
        <v>2</v>
      </c>
      <c r="AZ1486">
        <f t="shared" si="1897"/>
        <v>1</v>
      </c>
      <c r="BA1486">
        <f t="shared" si="1898"/>
        <v>1</v>
      </c>
      <c r="BB1486">
        <f t="shared" si="1899"/>
        <v>0</v>
      </c>
      <c r="BC1486">
        <f t="shared" si="1900"/>
        <v>1</v>
      </c>
      <c r="BD1486">
        <f t="shared" si="1901"/>
        <v>0</v>
      </c>
      <c r="BE1486" t="str">
        <f t="array" ref="BE1486">IF(AY1486=1,INDEX($V$7:$AL$7,MATCH(TRUE,INDEX($V1486:$AW1486&lt;&gt;0,),0)),IF(AY1486=0,INDEX($AM$7:$AW$7,MATCH(1,$AM1486:$AW1486,0)),IF(BF1486="Multiple strategies","mixed drivers",IF(BF1486="Supply chain","multiple supply","multiple silviculture"))))</f>
        <v>mixed drivers</v>
      </c>
      <c r="BF1486" s="2" t="str" cm="1">
        <f t="array" ref="BF1486">IF(COUNTIF(AZ1486:BB1486,"&lt;&gt;0")=1,INDEX($V$4:$AW$4,MATCH(TRUE,INDEX($V1486:$AW1486&lt;&gt;0,),0)),IF(COUNTIF(AZ1486:BB1486,"&lt;&gt;0")=0,INDEX($AM$4:$AW$4,MATCH(1,$AM1486:$AW1486,0)),"Multiple strategies"))</f>
        <v>Multiple strategies</v>
      </c>
      <c r="BG1486" s="1" t="s">
        <v>229</v>
      </c>
      <c r="BH1486" t="s">
        <v>2355</v>
      </c>
      <c r="BI1486" s="151" t="s">
        <v>811</v>
      </c>
      <c r="BJ1486" s="151" t="s">
        <v>1358</v>
      </c>
      <c r="BN1486">
        <v>0.3</v>
      </c>
      <c r="BO1486">
        <f t="shared" si="1935"/>
        <v>1302648.7190620929</v>
      </c>
      <c r="BP1486" t="s">
        <v>232</v>
      </c>
      <c r="BQ1486" s="151" t="s">
        <v>811</v>
      </c>
      <c r="BR1486" s="151" t="s">
        <v>1299</v>
      </c>
      <c r="BU1486" s="144"/>
      <c r="BV1486">
        <v>-0.9</v>
      </c>
      <c r="BX1486">
        <f>BV1486*10^6*C_to_CO2</f>
        <v>-3303000</v>
      </c>
      <c r="BY1486">
        <f t="shared" si="1926"/>
        <v>-2.5356030000000001</v>
      </c>
      <c r="BZ1486">
        <v>0</v>
      </c>
      <c r="CA1486">
        <v>1</v>
      </c>
      <c r="CB1486" s="151">
        <v>0</v>
      </c>
      <c r="CC1486" s="151">
        <v>1</v>
      </c>
      <c r="CD1486">
        <v>0</v>
      </c>
      <c r="CE1486">
        <v>0</v>
      </c>
      <c r="CF1486">
        <v>0</v>
      </c>
      <c r="CG1486">
        <v>0</v>
      </c>
      <c r="CH1486">
        <v>0</v>
      </c>
      <c r="CI1486">
        <v>0</v>
      </c>
      <c r="CJ1486">
        <v>0</v>
      </c>
      <c r="CK1486">
        <v>0</v>
      </c>
      <c r="CL1486">
        <v>0</v>
      </c>
      <c r="CM1486">
        <v>0</v>
      </c>
      <c r="CN1486" t="str">
        <f t="shared" si="1928"/>
        <v>refOK</v>
      </c>
      <c r="CO1486"/>
      <c r="CP1486"/>
      <c r="CQ1486">
        <f>IF($CN1486="refNeedCorrection",-BO1486,BO1486)</f>
        <v>1302648.7190620929</v>
      </c>
      <c r="CR1486">
        <f t="shared" si="1938"/>
        <v>0</v>
      </c>
      <c r="CS1486">
        <f t="shared" si="1939"/>
        <v>0</v>
      </c>
      <c r="CT1486">
        <f t="shared" si="1911"/>
        <v>-3303000</v>
      </c>
      <c r="CU1486">
        <f t="shared" si="1912"/>
        <v>-2.5356030000000001</v>
      </c>
      <c r="CV1486" s="2" t="str">
        <f t="shared" si="1913"/>
        <v/>
      </c>
      <c r="CW1486" s="1" t="s">
        <v>1202</v>
      </c>
      <c r="CX1486" t="str">
        <f t="shared" si="1914"/>
        <v>reg</v>
      </c>
      <c r="CY1486" t="s">
        <v>235</v>
      </c>
      <c r="CZ1486">
        <v>2015</v>
      </c>
      <c r="DA1486">
        <v>2044</v>
      </c>
      <c r="DB1486">
        <f>DA1486-CZ1486</f>
        <v>29</v>
      </c>
      <c r="DC1486" t="str">
        <f t="shared" si="1915"/>
        <v>1-30</v>
      </c>
      <c r="DD1486">
        <v>0</v>
      </c>
      <c r="DE1486">
        <v>1</v>
      </c>
      <c r="DF1486">
        <v>1</v>
      </c>
      <c r="DG1486">
        <v>1</v>
      </c>
      <c r="DI1486">
        <f t="shared" si="1916"/>
        <v>3</v>
      </c>
      <c r="DJ1486" t="str">
        <f t="shared" si="1917"/>
        <v>mixedProduct</v>
      </c>
      <c r="DK1486">
        <f t="shared" si="1918"/>
        <v>0</v>
      </c>
      <c r="DL1486" t="str">
        <f t="shared" si="1919"/>
        <v>Energy</v>
      </c>
      <c r="DM1486" t="str">
        <f t="shared" si="1920"/>
        <v>Pulp/Paper</v>
      </c>
      <c r="DN1486" t="str">
        <f t="shared" si="1921"/>
        <v>Timber</v>
      </c>
      <c r="DO1486">
        <v>1</v>
      </c>
      <c r="DP1486">
        <v>1</v>
      </c>
      <c r="DQ1486" t="s">
        <v>2356</v>
      </c>
      <c r="DR1486">
        <v>0</v>
      </c>
      <c r="DS1486" t="s">
        <v>2357</v>
      </c>
      <c r="DT1486">
        <f t="shared" si="1922"/>
        <v>2</v>
      </c>
      <c r="DU1486" s="143" t="str">
        <f t="shared" si="1923"/>
        <v>self-calculated DF</v>
      </c>
      <c r="DV1486">
        <v>1</v>
      </c>
      <c r="DW1486">
        <v>1</v>
      </c>
      <c r="DX1486">
        <v>1</v>
      </c>
      <c r="DY1486">
        <v>1</v>
      </c>
      <c r="DZ1486" s="151">
        <v>1</v>
      </c>
      <c r="EA1486" s="292">
        <v>1</v>
      </c>
      <c r="EB1486">
        <v>0</v>
      </c>
      <c r="EC1486">
        <v>1</v>
      </c>
      <c r="ED1486">
        <v>0</v>
      </c>
      <c r="EE1486">
        <v>0</v>
      </c>
      <c r="EF1486">
        <v>1</v>
      </c>
      <c r="EG1486">
        <v>0</v>
      </c>
      <c r="EH1486">
        <v>0</v>
      </c>
      <c r="EI1486" s="2">
        <v>0</v>
      </c>
      <c r="EK1486" t="str">
        <f t="shared" si="1940"/>
        <v>Whole sector</v>
      </c>
      <c r="EL1486" t="str">
        <f t="shared" si="1941"/>
        <v/>
      </c>
      <c r="EM1486" s="2" t="str">
        <f t="shared" si="1927"/>
        <v/>
      </c>
      <c r="EP1486" t="str">
        <f>IF(ISNUMBER(BU1486),IF(ABS(BU1486-[5]QC_indicators!$B$2)&gt;3*[5]QC_indicators!$C$2,"C ratio",IF(ISNUMBER(BY1486),IF(ABS(BY1486-[5]QC_indicators!$B$1)&gt;3*[5]QC_indicators!$C$1,"DF","no"))),IF(ISNUMBER(BY1486),IF(ABS(BY1486-[5]QC_indicators!$B$1)&gt;3*[5]QC_indicators!$C$1,"DF","no")))</f>
        <v>no</v>
      </c>
      <c r="ER1486" s="149" t="s">
        <v>349</v>
      </c>
      <c r="ET1486" t="s">
        <v>3083</v>
      </c>
    </row>
    <row r="1487" spans="1:151" ht="18" hidden="1" customHeight="1">
      <c r="A1487" s="1" t="s">
        <v>1101</v>
      </c>
      <c r="B1487" t="s">
        <v>5178</v>
      </c>
      <c r="C1487" t="s">
        <v>5179</v>
      </c>
      <c r="D1487" t="s">
        <v>5180</v>
      </c>
      <c r="E1487" t="s">
        <v>5181</v>
      </c>
      <c r="F1487" t="s">
        <v>5182</v>
      </c>
      <c r="G1487" t="s">
        <v>1107</v>
      </c>
      <c r="H1487" t="s">
        <v>3790</v>
      </c>
      <c r="I1487">
        <v>2022</v>
      </c>
      <c r="J1487">
        <v>4</v>
      </c>
      <c r="K1487" t="s">
        <v>5183</v>
      </c>
      <c r="M1487" t="str">
        <f t="shared" si="1932"/>
        <v>Soimakallio_2022</v>
      </c>
      <c r="N1487" t="s">
        <v>2585</v>
      </c>
      <c r="BE1487"/>
      <c r="BF1487" s="2"/>
      <c r="BY1487" t="str">
        <f t="shared" si="1926"/>
        <v/>
      </c>
      <c r="CN1487"/>
      <c r="CO1487"/>
      <c r="CP1487"/>
      <c r="CQ1487"/>
      <c r="CR1487"/>
      <c r="CS1487"/>
      <c r="CT1487"/>
      <c r="CU1487"/>
      <c r="CV1487" s="2"/>
      <c r="CX1487"/>
      <c r="DC1487"/>
      <c r="DI1487"/>
      <c r="DJ1487"/>
      <c r="DK1487"/>
      <c r="DL1487"/>
      <c r="DM1487"/>
      <c r="DN1487"/>
      <c r="DT1487"/>
      <c r="DU1487"/>
      <c r="EK1487" t="str">
        <f t="shared" ref="EK1487:EK1510" si="1942">IF(AND(AND(AND(OR($DX1487=1,$DW1487=1),OR($EC1487=1,$EA1487=1)),SUM($DV1487:$DZ1487,$EF1487)&gt;=3),SUM($EA1487:$EE1487)&gt;=2),"Whole sector","")</f>
        <v/>
      </c>
      <c r="EL1487" t="str">
        <f t="shared" ref="EL1487:EL1510" si="1943">IF(AND(AND(OR($DX1487=1,$DW1487=1),AND($EC1487=0,$EA1487=0)),SUM($DV1487:$DZ1487,$EF1487)&gt;=3),"Ecosystem approach","")</f>
        <v/>
      </c>
      <c r="EM1487" s="2" t="str">
        <f t="shared" si="1927"/>
        <v/>
      </c>
      <c r="EP1487" t="b">
        <f>IF(ISNUMBER(BU1487),IF(ABS(BU1487-[1]QC_indicators!$B$2)&gt;3*[1]QC_indicators!$C$2,"C ratio",IF(ISNUMBER(BY1487),IF(ABS(BY1487-[1]QC_indicators!$B$1)&gt;3*[1]QC_indicators!$C$1,"DF","no"))),IF(ISNUMBER(BY1487),IF(ABS(BY1487-[1]QC_indicators!$B$1)&gt;3*[1]QC_indicators!$C$1,"DF","no")))</f>
        <v>0</v>
      </c>
      <c r="EU1487" s="185"/>
    </row>
    <row r="1488" spans="1:151" ht="18" hidden="1" customHeight="1">
      <c r="A1488" s="1" t="s">
        <v>4177</v>
      </c>
      <c r="B1488" t="s">
        <v>544</v>
      </c>
      <c r="C1488" t="s">
        <v>4178</v>
      </c>
      <c r="D1488" t="s">
        <v>4179</v>
      </c>
      <c r="E1488" t="s">
        <v>4180</v>
      </c>
      <c r="F1488" t="s">
        <v>4181</v>
      </c>
      <c r="G1488" t="s">
        <v>4182</v>
      </c>
      <c r="H1488" t="s">
        <v>1627</v>
      </c>
      <c r="I1488">
        <v>2006</v>
      </c>
      <c r="J1488">
        <v>50</v>
      </c>
      <c r="K1488" t="s">
        <v>4183</v>
      </c>
      <c r="M1488" t="str">
        <f t="shared" si="1932"/>
        <v>Sonne_2006</v>
      </c>
      <c r="N1488" s="311" t="s">
        <v>4382</v>
      </c>
      <c r="O1488" s="171" t="s">
        <v>341</v>
      </c>
      <c r="P1488" t="s">
        <v>513</v>
      </c>
      <c r="Q1488" s="311" t="s">
        <v>389</v>
      </c>
      <c r="R1488" s="312"/>
      <c r="S1488" s="1" t="s">
        <v>4184</v>
      </c>
      <c r="T1488" t="s">
        <v>4185</v>
      </c>
      <c r="U1488" t="s">
        <v>4186</v>
      </c>
      <c r="V1488">
        <v>0</v>
      </c>
      <c r="W1488">
        <v>0</v>
      </c>
      <c r="X1488">
        <v>0</v>
      </c>
      <c r="Y1488">
        <v>1</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s="141">
        <f t="shared" ref="AX1488:AX1494" si="1944">COUNTIF(V1488:AW1488,"&lt;&gt;0")</f>
        <v>1</v>
      </c>
      <c r="AY1488" s="141">
        <f t="shared" ref="AY1488:AY1494" si="1945">COUNTIF(V1488:AL1488,"&lt;&gt;0")</f>
        <v>1</v>
      </c>
      <c r="AZ1488">
        <f t="shared" ref="AZ1488:AZ1494" si="1946">COUNTIF(V1488:AC1488,"&lt;&gt;0")</f>
        <v>1</v>
      </c>
      <c r="BA1488">
        <f t="shared" ref="BA1488:BA1494" si="1947">COUNTIF(AD1488:AI1488,"&lt;&gt;0")</f>
        <v>0</v>
      </c>
      <c r="BB1488">
        <f t="shared" ref="BB1488:BB1494" si="1948">COUNTIF(AJ1488:AL1488,"&lt;&gt;0")</f>
        <v>0</v>
      </c>
      <c r="BC1488">
        <f t="shared" ref="BC1488:BC1494" si="1949">COUNTIF(AS1488:AW1488,"&lt;&gt;0")</f>
        <v>0</v>
      </c>
      <c r="BD1488">
        <f t="shared" ref="BD1488:BD1494" si="1950">COUNTIF(AM1488:AR1488,"&lt;&gt;0")</f>
        <v>0</v>
      </c>
      <c r="BE1488" t="str" cm="1">
        <f t="array" ref="BE1488">IF(AY1488=1,INDEX($V$7:$AL$7,MATCH(TRUE,INDEX($V1488:$AW1488&lt;&gt;0,),0)),IF(AY1488=0,INDEX($AM$7:$AW$7,MATCH(1,$AM1488:$AW1488,0)),IF(BF1488="Multiple strategies","mixed drivers",IF(BF1488="Supply chain","multiple supply","multiple silviculture"))))</f>
        <v xml:space="preserve">cutting intensity </v>
      </c>
      <c r="BF1488" s="2" t="str" cm="1">
        <f t="array" ref="BF1488">IF(COUNTIF(AZ1488:BB1488,"&lt;&gt;0")=1,INDEX($V$4:$AW$4,MATCH(TRUE,INDEX($V1488:$AW1488&lt;&gt;0,),0)),IF(COUNTIF(AZ1488:BB1488,"&lt;&gt;0")=0,INDEX($AM$4:$AW$4,MATCH(1,$AM1488:$AW1488,0)),"Multiple strategies"))</f>
        <v>Silviculture for removals</v>
      </c>
      <c r="BG1488" s="1" t="s">
        <v>229</v>
      </c>
      <c r="BM1488" t="str">
        <f t="shared" ref="BM1488:BM1494" si="1951">IFERROR(BL1488/BK1488,"")</f>
        <v/>
      </c>
      <c r="BR1488" t="s">
        <v>4187</v>
      </c>
      <c r="BS1488">
        <v>1.4500000000000001E-2</v>
      </c>
      <c r="BT1488">
        <v>1.8700000000000001E-2</v>
      </c>
      <c r="BU1488" s="144">
        <f t="shared" ref="BU1488:BU1494" si="1952">BT1488/BS1488</f>
        <v>1.2896551724137932</v>
      </c>
      <c r="BV1488">
        <f t="shared" ref="BV1488:BV1494" si="1953">BT1488-BS1488</f>
        <v>4.2000000000000006E-3</v>
      </c>
      <c r="BX1488">
        <f t="shared" ref="BX1488:BX1494" si="1954">BV1488</f>
        <v>4.2000000000000006E-3</v>
      </c>
      <c r="BY1488" t="str">
        <f t="shared" si="1926"/>
        <v/>
      </c>
      <c r="BZ1488">
        <v>0</v>
      </c>
      <c r="CA1488">
        <v>1</v>
      </c>
      <c r="CB1488">
        <v>0</v>
      </c>
      <c r="CC1488">
        <v>1</v>
      </c>
      <c r="CD1488">
        <v>0</v>
      </c>
      <c r="CE1488">
        <v>0</v>
      </c>
      <c r="CF1488">
        <v>0</v>
      </c>
      <c r="CG1488">
        <v>0</v>
      </c>
      <c r="CH1488">
        <v>0</v>
      </c>
      <c r="CI1488">
        <v>0</v>
      </c>
      <c r="CJ1488">
        <v>0</v>
      </c>
      <c r="CK1488">
        <v>0</v>
      </c>
      <c r="CL1488">
        <v>0</v>
      </c>
      <c r="CM1488">
        <v>0</v>
      </c>
      <c r="CN1488" t="str">
        <f t="shared" ref="CN1488:CN1494" si="1955">IF($BL1488&lt;$BK1488,"refNeedCorrection","refOK")</f>
        <v>refOK</v>
      </c>
      <c r="CO1488"/>
      <c r="CP1488"/>
      <c r="CQ1488"/>
      <c r="CR1488">
        <f t="shared" ref="CR1488:CR1494" si="1956">IF($CN1488="refOK",$BS1488,$BT1488)*IF($BP1488="Emissions positive",-1,1)</f>
        <v>1.4500000000000001E-2</v>
      </c>
      <c r="CS1488">
        <f t="shared" ref="CS1488:CS1494" si="1957">IF($CN1488="refOK",$BT1488,$BS1488)*IF($BP1488="Emissions positive",-1,1)</f>
        <v>1.8700000000000001E-2</v>
      </c>
      <c r="CT1488">
        <f t="shared" ref="CT1488:CT1494" si="1958">IF($CN1488="refNeedCorrection",-BX1488,BX1488)*IF($BP1488="Emissions positive",-1,1)</f>
        <v>4.2000000000000006E-3</v>
      </c>
      <c r="CU1488" t="str">
        <f t="shared" ref="CU1488:CU1494" si="1959">IFERROR(CT1488/CQ1488,"")</f>
        <v/>
      </c>
      <c r="CV1488" s="2">
        <f t="shared" ref="CV1488:CV1494" si="1960">IFERROR((CS1488-CR1488)/ABS(CR1488),"")</f>
        <v>0.28965517241379313</v>
      </c>
      <c r="CW1488" s="1" t="s">
        <v>2035</v>
      </c>
      <c r="CX1488" s="311" t="str">
        <f t="shared" ref="CX1488:CX1494" si="1961">IF(OR($CW1488="prd",$CW1488="std",$CW1488="cit"),"loc",IF(OR($CW1488="eur",$CW1488="reg",$CW1488="coy"),"reg",$CW1488))</f>
        <v>reg</v>
      </c>
      <c r="CY1488" s="311" t="s">
        <v>428</v>
      </c>
      <c r="DB1488">
        <v>30</v>
      </c>
      <c r="DC1488" t="str">
        <f t="shared" ref="DC1488:DC1494" si="1962">IF(DB1488=0,"0",IF(AND(DB1488&gt;=1,DB1488&lt;=30),"1-30",IF(AND(DB1488&gt;30,DB1488&lt;=70),"31-70",IF(AND(DB1488&gt;70,DB1488&lt;=100),"71-100",IF(DB1488&gt;100,"+100")))))</f>
        <v>1-30</v>
      </c>
      <c r="DD1488">
        <v>1</v>
      </c>
      <c r="DE1488">
        <v>0</v>
      </c>
      <c r="DF1488">
        <v>0</v>
      </c>
      <c r="DG1488">
        <v>0</v>
      </c>
      <c r="DH1488">
        <v>0</v>
      </c>
      <c r="DI1488">
        <f t="shared" ref="DI1488:DI1494" si="1963">SUM(DD1488:DH1488)</f>
        <v>1</v>
      </c>
      <c r="DJ1488" t="str">
        <f t="shared" ref="DJ1488:DJ1494" si="1964">IF(DI1488=1,INDEX($DD$7:$DG$7,MATCH(1,$DD1488:$DG1488,0)),"mixedProduct")</f>
        <v>UpstreamInput</v>
      </c>
      <c r="DK1488" t="str">
        <f t="shared" ref="DK1488:DN1494" si="1965">IF(DD1488=1,DK$7,0)</f>
        <v>Upstream</v>
      </c>
      <c r="DL1488">
        <f t="shared" si="1965"/>
        <v>0</v>
      </c>
      <c r="DM1488">
        <f t="shared" si="1965"/>
        <v>0</v>
      </c>
      <c r="DN1488">
        <f t="shared" si="1965"/>
        <v>0</v>
      </c>
      <c r="DO1488">
        <v>0</v>
      </c>
      <c r="DP1488">
        <v>0</v>
      </c>
      <c r="DQ1488">
        <v>0</v>
      </c>
      <c r="DR1488">
        <v>0</v>
      </c>
      <c r="DS1488">
        <v>0</v>
      </c>
      <c r="DT1488"/>
      <c r="DU1488" s="143" t="str">
        <f t="shared" ref="DU1488:DU1494" si="1966">IF(DO1488=1,"self-calculated DF",IF(DP1488=1,"external DF used","explicit C balance"))</f>
        <v>explicit C balance</v>
      </c>
      <c r="DV1488">
        <v>0</v>
      </c>
      <c r="DW1488">
        <v>0</v>
      </c>
      <c r="DX1488">
        <v>0</v>
      </c>
      <c r="DY1488">
        <v>0</v>
      </c>
      <c r="DZ1488">
        <v>0</v>
      </c>
      <c r="EA1488" s="143">
        <v>0</v>
      </c>
      <c r="EB1488">
        <v>1</v>
      </c>
      <c r="EC1488">
        <v>0</v>
      </c>
      <c r="ED1488">
        <v>0</v>
      </c>
      <c r="EE1488">
        <v>0</v>
      </c>
      <c r="EF1488">
        <v>0</v>
      </c>
      <c r="EG1488">
        <v>0</v>
      </c>
      <c r="EH1488">
        <v>0</v>
      </c>
      <c r="EI1488" s="2">
        <v>0</v>
      </c>
      <c r="EK1488" t="str">
        <f t="shared" si="1942"/>
        <v/>
      </c>
      <c r="EL1488" t="str">
        <f t="shared" si="1943"/>
        <v/>
      </c>
      <c r="EM1488" s="2" t="str">
        <f t="shared" si="1927"/>
        <v/>
      </c>
      <c r="EP1488" t="b">
        <f>IF(ISNUMBER(BU1488),IF(ABS(BU1488-[1]QC_indicators!$B$2)&gt;3*[1]QC_indicators!$C$2,"C ratio",IF(ISNUMBER(BY1488),IF(ABS(BY1488-[1]QC_indicators!$B$1)&gt;3*[1]QC_indicators!$C$1,"DF","no"))),IF(ISNUMBER(BY1488),IF(ABS(BY1488-[1]QC_indicators!$B$1)&gt;3*[1]QC_indicators!$C$1,"DF","no")))</f>
        <v>0</v>
      </c>
    </row>
    <row r="1489" spans="1:148" ht="18" hidden="1" customHeight="1">
      <c r="A1489" s="1" t="s">
        <v>4177</v>
      </c>
      <c r="B1489" t="s">
        <v>544</v>
      </c>
      <c r="C1489" t="s">
        <v>4178</v>
      </c>
      <c r="D1489" t="s">
        <v>4179</v>
      </c>
      <c r="E1489" t="s">
        <v>4180</v>
      </c>
      <c r="F1489" t="s">
        <v>4181</v>
      </c>
      <c r="G1489" t="s">
        <v>4182</v>
      </c>
      <c r="H1489" t="s">
        <v>1627</v>
      </c>
      <c r="I1489">
        <v>2006</v>
      </c>
      <c r="J1489">
        <v>50</v>
      </c>
      <c r="K1489" t="s">
        <v>4183</v>
      </c>
      <c r="M1489" t="str">
        <f t="shared" si="1932"/>
        <v>Sonne_2006</v>
      </c>
      <c r="N1489" s="311" t="s">
        <v>4382</v>
      </c>
      <c r="O1489" s="171" t="s">
        <v>341</v>
      </c>
      <c r="P1489" t="s">
        <v>513</v>
      </c>
      <c r="Q1489" s="311" t="s">
        <v>389</v>
      </c>
      <c r="R1489" s="312"/>
      <c r="S1489" s="1" t="s">
        <v>4184</v>
      </c>
      <c r="T1489" t="s">
        <v>4185</v>
      </c>
      <c r="U1489" t="s">
        <v>4188</v>
      </c>
      <c r="V1489">
        <v>0</v>
      </c>
      <c r="W1489">
        <v>0</v>
      </c>
      <c r="X1489">
        <v>0</v>
      </c>
      <c r="Y1489">
        <v>1</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s="141">
        <f t="shared" si="1944"/>
        <v>1</v>
      </c>
      <c r="AY1489" s="141">
        <f t="shared" si="1945"/>
        <v>1</v>
      </c>
      <c r="AZ1489">
        <f t="shared" si="1946"/>
        <v>1</v>
      </c>
      <c r="BA1489">
        <f t="shared" si="1947"/>
        <v>0</v>
      </c>
      <c r="BB1489">
        <f t="shared" si="1948"/>
        <v>0</v>
      </c>
      <c r="BC1489">
        <f t="shared" si="1949"/>
        <v>0</v>
      </c>
      <c r="BD1489">
        <f t="shared" si="1950"/>
        <v>0</v>
      </c>
      <c r="BE1489" t="str" cm="1">
        <f t="array" ref="BE1489">IF(AY1489=1,INDEX($V$7:$AL$7,MATCH(TRUE,INDEX($V1489:$AW1489&lt;&gt;0,),0)),IF(AY1489=0,INDEX($AM$7:$AW$7,MATCH(1,$AM1489:$AW1489,0)),IF(BF1489="Multiple strategies","mixed drivers",IF(BF1489="Supply chain","multiple supply","multiple silviculture"))))</f>
        <v xml:space="preserve">cutting intensity </v>
      </c>
      <c r="BF1489" s="2" t="str" cm="1">
        <f t="array" ref="BF1489">IF(COUNTIF(AZ1489:BB1489,"&lt;&gt;0")=1,INDEX($V$4:$AW$4,MATCH(TRUE,INDEX($V1489:$AW1489&lt;&gt;0,),0)),IF(COUNTIF(AZ1489:BB1489,"&lt;&gt;0")=0,INDEX($AM$4:$AW$4,MATCH(1,$AM1489:$AW1489,0)),"Multiple strategies"))</f>
        <v>Silviculture for removals</v>
      </c>
      <c r="BG1489" s="1" t="s">
        <v>229</v>
      </c>
      <c r="BM1489" t="str">
        <f t="shared" si="1951"/>
        <v/>
      </c>
      <c r="BR1489" t="s">
        <v>4187</v>
      </c>
      <c r="BS1489">
        <v>1.4500000000000001E-2</v>
      </c>
      <c r="BT1489">
        <v>1.9400000000000001E-2</v>
      </c>
      <c r="BU1489" s="144">
        <f t="shared" si="1952"/>
        <v>1.3379310344827586</v>
      </c>
      <c r="BV1489">
        <f t="shared" si="1953"/>
        <v>4.8999999999999998E-3</v>
      </c>
      <c r="BX1489">
        <f t="shared" si="1954"/>
        <v>4.8999999999999998E-3</v>
      </c>
      <c r="BY1489" t="str">
        <f t="shared" si="1926"/>
        <v/>
      </c>
      <c r="BZ1489">
        <v>0</v>
      </c>
      <c r="CA1489">
        <v>1</v>
      </c>
      <c r="CB1489">
        <v>0</v>
      </c>
      <c r="CC1489">
        <v>1</v>
      </c>
      <c r="CD1489">
        <v>0</v>
      </c>
      <c r="CE1489">
        <v>0</v>
      </c>
      <c r="CF1489">
        <v>0</v>
      </c>
      <c r="CG1489">
        <v>0</v>
      </c>
      <c r="CH1489">
        <v>0</v>
      </c>
      <c r="CI1489">
        <v>0</v>
      </c>
      <c r="CJ1489">
        <v>0</v>
      </c>
      <c r="CK1489">
        <v>0</v>
      </c>
      <c r="CL1489">
        <v>0</v>
      </c>
      <c r="CM1489">
        <v>0</v>
      </c>
      <c r="CN1489" t="str">
        <f t="shared" si="1955"/>
        <v>refOK</v>
      </c>
      <c r="CO1489"/>
      <c r="CP1489"/>
      <c r="CQ1489"/>
      <c r="CR1489">
        <f t="shared" si="1956"/>
        <v>1.4500000000000001E-2</v>
      </c>
      <c r="CS1489">
        <f t="shared" si="1957"/>
        <v>1.9400000000000001E-2</v>
      </c>
      <c r="CT1489">
        <f t="shared" si="1958"/>
        <v>4.8999999999999998E-3</v>
      </c>
      <c r="CU1489" t="str">
        <f t="shared" si="1959"/>
        <v/>
      </c>
      <c r="CV1489" s="2">
        <f t="shared" si="1960"/>
        <v>0.33793103448275857</v>
      </c>
      <c r="CW1489" s="1" t="s">
        <v>2035</v>
      </c>
      <c r="CX1489" s="311" t="str">
        <f t="shared" si="1961"/>
        <v>reg</v>
      </c>
      <c r="CY1489" s="311" t="s">
        <v>428</v>
      </c>
      <c r="DB1489">
        <v>30</v>
      </c>
      <c r="DC1489" t="str">
        <f t="shared" si="1962"/>
        <v>1-30</v>
      </c>
      <c r="DD1489">
        <v>1</v>
      </c>
      <c r="DE1489">
        <v>0</v>
      </c>
      <c r="DF1489">
        <v>0</v>
      </c>
      <c r="DG1489">
        <v>0</v>
      </c>
      <c r="DH1489">
        <v>0</v>
      </c>
      <c r="DI1489">
        <f t="shared" si="1963"/>
        <v>1</v>
      </c>
      <c r="DJ1489" t="str">
        <f t="shared" si="1964"/>
        <v>UpstreamInput</v>
      </c>
      <c r="DK1489" t="str">
        <f t="shared" si="1965"/>
        <v>Upstream</v>
      </c>
      <c r="DL1489">
        <f t="shared" si="1965"/>
        <v>0</v>
      </c>
      <c r="DM1489">
        <f t="shared" si="1965"/>
        <v>0</v>
      </c>
      <c r="DN1489">
        <f t="shared" si="1965"/>
        <v>0</v>
      </c>
      <c r="DO1489">
        <v>0</v>
      </c>
      <c r="DP1489">
        <v>0</v>
      </c>
      <c r="DQ1489">
        <v>0</v>
      </c>
      <c r="DR1489">
        <v>0</v>
      </c>
      <c r="DS1489">
        <v>0</v>
      </c>
      <c r="DT1489"/>
      <c r="DU1489" s="143" t="str">
        <f t="shared" si="1966"/>
        <v>explicit C balance</v>
      </c>
      <c r="DV1489">
        <v>0</v>
      </c>
      <c r="DW1489">
        <v>0</v>
      </c>
      <c r="DX1489">
        <v>0</v>
      </c>
      <c r="DY1489">
        <v>0</v>
      </c>
      <c r="DZ1489">
        <v>0</v>
      </c>
      <c r="EA1489" s="143">
        <v>0</v>
      </c>
      <c r="EB1489">
        <v>1</v>
      </c>
      <c r="EC1489">
        <v>0</v>
      </c>
      <c r="ED1489">
        <v>0</v>
      </c>
      <c r="EE1489">
        <v>0</v>
      </c>
      <c r="EF1489">
        <v>0</v>
      </c>
      <c r="EG1489">
        <v>0</v>
      </c>
      <c r="EH1489">
        <v>0</v>
      </c>
      <c r="EI1489" s="2">
        <v>0</v>
      </c>
      <c r="EK1489" t="str">
        <f t="shared" si="1942"/>
        <v/>
      </c>
      <c r="EL1489" t="str">
        <f t="shared" si="1943"/>
        <v/>
      </c>
      <c r="EM1489" s="2" t="str">
        <f t="shared" si="1927"/>
        <v/>
      </c>
      <c r="EP1489" t="b">
        <f>IF(ISNUMBER(BU1489),IF(ABS(BU1489-[1]QC_indicators!$B$2)&gt;3*[1]QC_indicators!$C$2,"C ratio",IF(ISNUMBER(BY1489),IF(ABS(BY1489-[1]QC_indicators!$B$1)&gt;3*[1]QC_indicators!$C$1,"DF","no"))),IF(ISNUMBER(BY1489),IF(ABS(BY1489-[1]QC_indicators!$B$1)&gt;3*[1]QC_indicators!$C$1,"DF","no")))</f>
        <v>0</v>
      </c>
    </row>
    <row r="1490" spans="1:148" ht="15" hidden="1" customHeight="1">
      <c r="A1490" s="1" t="s">
        <v>4177</v>
      </c>
      <c r="B1490" t="s">
        <v>544</v>
      </c>
      <c r="C1490" t="s">
        <v>4178</v>
      </c>
      <c r="D1490" t="s">
        <v>4179</v>
      </c>
      <c r="E1490" t="s">
        <v>4180</v>
      </c>
      <c r="F1490" t="s">
        <v>4181</v>
      </c>
      <c r="G1490" t="s">
        <v>4182</v>
      </c>
      <c r="H1490" t="s">
        <v>1627</v>
      </c>
      <c r="I1490">
        <v>2006</v>
      </c>
      <c r="J1490">
        <v>50</v>
      </c>
      <c r="K1490" t="s">
        <v>4183</v>
      </c>
      <c r="M1490" t="str">
        <f t="shared" si="1932"/>
        <v>Sonne_2006</v>
      </c>
      <c r="N1490" s="311" t="s">
        <v>4382</v>
      </c>
      <c r="O1490" s="171" t="s">
        <v>341</v>
      </c>
      <c r="P1490" t="s">
        <v>513</v>
      </c>
      <c r="Q1490" s="311" t="s">
        <v>389</v>
      </c>
      <c r="R1490" s="312"/>
      <c r="S1490" s="1" t="s">
        <v>3419</v>
      </c>
      <c r="T1490" t="s">
        <v>4189</v>
      </c>
      <c r="U1490" t="s">
        <v>4190</v>
      </c>
      <c r="V1490">
        <v>0</v>
      </c>
      <c r="W1490">
        <v>0</v>
      </c>
      <c r="X1490">
        <v>0</v>
      </c>
      <c r="Y1490">
        <v>0</v>
      </c>
      <c r="Z1490">
        <v>0</v>
      </c>
      <c r="AA1490">
        <v>0</v>
      </c>
      <c r="AB1490">
        <v>1</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s="141">
        <f t="shared" si="1944"/>
        <v>1</v>
      </c>
      <c r="AY1490" s="141">
        <f t="shared" si="1945"/>
        <v>1</v>
      </c>
      <c r="AZ1490">
        <f t="shared" si="1946"/>
        <v>1</v>
      </c>
      <c r="BA1490">
        <f t="shared" si="1947"/>
        <v>0</v>
      </c>
      <c r="BB1490">
        <f t="shared" si="1948"/>
        <v>0</v>
      </c>
      <c r="BC1490">
        <f t="shared" si="1949"/>
        <v>0</v>
      </c>
      <c r="BD1490">
        <f t="shared" si="1950"/>
        <v>0</v>
      </c>
      <c r="BE1490" t="str" cm="1">
        <f t="array" ref="BE1490">IF(AY1490=1,INDEX($V$7:$AL$7,MATCH(TRUE,INDEX($V1490:$AW1490&lt;&gt;0,),0)),IF(AY1490=0,INDEX($AM$7:$AW$7,MATCH(1,$AM1490:$AW1490,0)),IF(BF1490="Multiple strategies","mixed drivers",IF(BF1490="Supply chain","multiple supply","multiple silviculture"))))</f>
        <v>fertilisation</v>
      </c>
      <c r="BF1490" s="2" t="str" cm="1">
        <f t="array" ref="BF1490">IF(COUNTIF(AZ1490:BB1490,"&lt;&gt;0")=1,INDEX($V$4:$AW$4,MATCH(TRUE,INDEX($V1490:$AW1490&lt;&gt;0,),0)),IF(COUNTIF(AZ1490:BB1490,"&lt;&gt;0")=0,INDEX($AM$4:$AW$4,MATCH(1,$AM1490:$AW1490,0)),"Multiple strategies"))</f>
        <v>Silviculture for productivity</v>
      </c>
      <c r="BG1490" s="1" t="s">
        <v>229</v>
      </c>
      <c r="BM1490" t="str">
        <f t="shared" si="1951"/>
        <v/>
      </c>
      <c r="BR1490" t="s">
        <v>4187</v>
      </c>
      <c r="BS1490">
        <v>1.9400000000000001E-2</v>
      </c>
      <c r="BT1490">
        <v>2.6100000000000002E-2</v>
      </c>
      <c r="BU1490" s="144">
        <f t="shared" si="1952"/>
        <v>1.3453608247422681</v>
      </c>
      <c r="BV1490">
        <f t="shared" si="1953"/>
        <v>6.7000000000000011E-3</v>
      </c>
      <c r="BX1490">
        <f t="shared" si="1954"/>
        <v>6.7000000000000011E-3</v>
      </c>
      <c r="BY1490" t="str">
        <f t="shared" si="1926"/>
        <v/>
      </c>
      <c r="BZ1490">
        <v>0</v>
      </c>
      <c r="CA1490">
        <v>1</v>
      </c>
      <c r="CB1490">
        <v>0</v>
      </c>
      <c r="CC1490">
        <v>1</v>
      </c>
      <c r="CD1490">
        <v>0</v>
      </c>
      <c r="CE1490">
        <v>0</v>
      </c>
      <c r="CF1490">
        <v>0</v>
      </c>
      <c r="CG1490">
        <v>0</v>
      </c>
      <c r="CH1490">
        <v>0</v>
      </c>
      <c r="CI1490">
        <v>0</v>
      </c>
      <c r="CJ1490">
        <v>0</v>
      </c>
      <c r="CK1490">
        <v>0</v>
      </c>
      <c r="CL1490">
        <v>0</v>
      </c>
      <c r="CM1490">
        <v>0</v>
      </c>
      <c r="CN1490" t="str">
        <f t="shared" si="1955"/>
        <v>refOK</v>
      </c>
      <c r="CO1490"/>
      <c r="CP1490"/>
      <c r="CQ1490"/>
      <c r="CR1490">
        <f t="shared" si="1956"/>
        <v>1.9400000000000001E-2</v>
      </c>
      <c r="CS1490">
        <f t="shared" si="1957"/>
        <v>2.6100000000000002E-2</v>
      </c>
      <c r="CT1490">
        <f t="shared" si="1958"/>
        <v>6.7000000000000011E-3</v>
      </c>
      <c r="CU1490" t="str">
        <f t="shared" si="1959"/>
        <v/>
      </c>
      <c r="CV1490" s="2">
        <f t="shared" si="1960"/>
        <v>0.34536082474226809</v>
      </c>
      <c r="CW1490" s="1" t="s">
        <v>2035</v>
      </c>
      <c r="CX1490" s="311" t="str">
        <f t="shared" si="1961"/>
        <v>reg</v>
      </c>
      <c r="CY1490" s="311" t="s">
        <v>428</v>
      </c>
      <c r="DB1490">
        <v>30</v>
      </c>
      <c r="DC1490" t="str">
        <f t="shared" si="1962"/>
        <v>1-30</v>
      </c>
      <c r="DD1490">
        <v>1</v>
      </c>
      <c r="DE1490">
        <v>0</v>
      </c>
      <c r="DF1490">
        <v>0</v>
      </c>
      <c r="DG1490">
        <v>0</v>
      </c>
      <c r="DH1490">
        <v>0</v>
      </c>
      <c r="DI1490">
        <f t="shared" si="1963"/>
        <v>1</v>
      </c>
      <c r="DJ1490" t="str">
        <f t="shared" si="1964"/>
        <v>UpstreamInput</v>
      </c>
      <c r="DK1490" t="str">
        <f t="shared" si="1965"/>
        <v>Upstream</v>
      </c>
      <c r="DL1490">
        <f t="shared" si="1965"/>
        <v>0</v>
      </c>
      <c r="DM1490">
        <f t="shared" si="1965"/>
        <v>0</v>
      </c>
      <c r="DN1490">
        <f t="shared" si="1965"/>
        <v>0</v>
      </c>
      <c r="DO1490">
        <v>0</v>
      </c>
      <c r="DP1490">
        <v>0</v>
      </c>
      <c r="DQ1490">
        <v>0</v>
      </c>
      <c r="DR1490">
        <v>0</v>
      </c>
      <c r="DS1490">
        <v>0</v>
      </c>
      <c r="DT1490"/>
      <c r="DU1490" s="143" t="str">
        <f t="shared" si="1966"/>
        <v>explicit C balance</v>
      </c>
      <c r="DV1490">
        <v>0</v>
      </c>
      <c r="DW1490">
        <v>0</v>
      </c>
      <c r="DX1490">
        <v>0</v>
      </c>
      <c r="DY1490">
        <v>0</v>
      </c>
      <c r="DZ1490">
        <v>0</v>
      </c>
      <c r="EA1490" s="143">
        <v>0</v>
      </c>
      <c r="EB1490">
        <v>1</v>
      </c>
      <c r="EC1490">
        <v>0</v>
      </c>
      <c r="ED1490">
        <v>0</v>
      </c>
      <c r="EE1490">
        <v>0</v>
      </c>
      <c r="EF1490">
        <v>0</v>
      </c>
      <c r="EG1490">
        <v>0</v>
      </c>
      <c r="EH1490">
        <v>0</v>
      </c>
      <c r="EI1490" s="2">
        <v>0</v>
      </c>
      <c r="EK1490" t="str">
        <f t="shared" si="1942"/>
        <v/>
      </c>
      <c r="EL1490" t="str">
        <f t="shared" si="1943"/>
        <v/>
      </c>
      <c r="EM1490" s="2" t="str">
        <f t="shared" si="1927"/>
        <v/>
      </c>
      <c r="EP1490" t="b">
        <f>IF(ISNUMBER(BU1490),IF(ABS(BU1490-[1]QC_indicators!$B$2)&gt;3*[1]QC_indicators!$C$2,"C ratio",IF(ISNUMBER(BY1490),IF(ABS(BY1490-[1]QC_indicators!$B$1)&gt;3*[1]QC_indicators!$C$1,"DF","no"))),IF(ISNUMBER(BY1490),IF(ABS(BY1490-[1]QC_indicators!$B$1)&gt;3*[1]QC_indicators!$C$1,"DF","no")))</f>
        <v>0</v>
      </c>
    </row>
    <row r="1491" spans="1:148" ht="15" hidden="1" customHeight="1">
      <c r="A1491" s="1" t="s">
        <v>4177</v>
      </c>
      <c r="B1491" t="s">
        <v>544</v>
      </c>
      <c r="C1491" t="s">
        <v>4178</v>
      </c>
      <c r="D1491" t="s">
        <v>4179</v>
      </c>
      <c r="E1491" t="s">
        <v>4180</v>
      </c>
      <c r="F1491" t="s">
        <v>4181</v>
      </c>
      <c r="G1491" t="s">
        <v>4182</v>
      </c>
      <c r="H1491" t="s">
        <v>1627</v>
      </c>
      <c r="I1491">
        <v>2006</v>
      </c>
      <c r="J1491">
        <v>50</v>
      </c>
      <c r="K1491" t="s">
        <v>4183</v>
      </c>
      <c r="M1491" t="str">
        <f t="shared" si="1932"/>
        <v>Sonne_2006</v>
      </c>
      <c r="N1491" s="311" t="s">
        <v>4382</v>
      </c>
      <c r="O1491" s="171" t="s">
        <v>341</v>
      </c>
      <c r="P1491" t="s">
        <v>513</v>
      </c>
      <c r="Q1491" s="311" t="s">
        <v>389</v>
      </c>
      <c r="R1491" s="312"/>
      <c r="S1491" s="1" t="s">
        <v>4191</v>
      </c>
      <c r="T1491" t="s">
        <v>4192</v>
      </c>
      <c r="U1491" t="s">
        <v>4193</v>
      </c>
      <c r="V1491">
        <v>0</v>
      </c>
      <c r="W1491">
        <v>0</v>
      </c>
      <c r="X1491">
        <v>0</v>
      </c>
      <c r="Y1491">
        <v>0</v>
      </c>
      <c r="Z1491">
        <v>0</v>
      </c>
      <c r="AA1491">
        <v>1</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s="141">
        <f t="shared" si="1944"/>
        <v>1</v>
      </c>
      <c r="AY1491" s="141">
        <f t="shared" si="1945"/>
        <v>1</v>
      </c>
      <c r="AZ1491">
        <f t="shared" si="1946"/>
        <v>1</v>
      </c>
      <c r="BA1491">
        <f t="shared" si="1947"/>
        <v>0</v>
      </c>
      <c r="BB1491">
        <f t="shared" si="1948"/>
        <v>0</v>
      </c>
      <c r="BC1491">
        <f t="shared" si="1949"/>
        <v>0</v>
      </c>
      <c r="BD1491">
        <f t="shared" si="1950"/>
        <v>0</v>
      </c>
      <c r="BE1491" t="str" cm="1">
        <f t="array" ref="BE1491">IF(AY1491=1,INDEX($V$7:$AL$7,MATCH(TRUE,INDEX($V1491:$AW1491&lt;&gt;0,),0)),IF(AY1491=0,INDEX($AM$7:$AW$7,MATCH(1,$AM1491:$AW1491,0)),IF(BF1491="Multiple strategies","mixed drivers",IF(BF1491="Supply chain","multiple supply","multiple silviculture"))))</f>
        <v>plantation density</v>
      </c>
      <c r="BF1491" s="2" t="str" cm="1">
        <f t="array" ref="BF1491">IF(COUNTIF(AZ1491:BB1491,"&lt;&gt;0")=1,INDEX($V$4:$AW$4,MATCH(TRUE,INDEX($V1491:$AW1491&lt;&gt;0,),0)),IF(COUNTIF(AZ1491:BB1491,"&lt;&gt;0")=0,INDEX($AM$4:$AW$4,MATCH(1,$AM1491:$AW1491,0)),"Multiple strategies"))</f>
        <v>Silviculture for productivity</v>
      </c>
      <c r="BG1491" s="1" t="s">
        <v>229</v>
      </c>
      <c r="BM1491" t="str">
        <f t="shared" si="1951"/>
        <v/>
      </c>
      <c r="BR1491" t="s">
        <v>4187</v>
      </c>
      <c r="BS1491">
        <v>1.5900000000000001E-2</v>
      </c>
      <c r="BT1491">
        <v>1.4500000000000001E-2</v>
      </c>
      <c r="BU1491" s="144">
        <f t="shared" si="1952"/>
        <v>0.91194968553459121</v>
      </c>
      <c r="BV1491">
        <f t="shared" si="1953"/>
        <v>-1.4000000000000002E-3</v>
      </c>
      <c r="BX1491">
        <f t="shared" si="1954"/>
        <v>-1.4000000000000002E-3</v>
      </c>
      <c r="BY1491" t="str">
        <f t="shared" si="1926"/>
        <v/>
      </c>
      <c r="BZ1491">
        <v>0</v>
      </c>
      <c r="CA1491">
        <v>1</v>
      </c>
      <c r="CB1491">
        <v>0</v>
      </c>
      <c r="CC1491">
        <v>1</v>
      </c>
      <c r="CD1491">
        <v>0</v>
      </c>
      <c r="CE1491">
        <v>0</v>
      </c>
      <c r="CF1491">
        <v>0</v>
      </c>
      <c r="CG1491">
        <v>0</v>
      </c>
      <c r="CH1491">
        <v>0</v>
      </c>
      <c r="CI1491">
        <v>0</v>
      </c>
      <c r="CJ1491">
        <v>0</v>
      </c>
      <c r="CK1491">
        <v>0</v>
      </c>
      <c r="CL1491">
        <v>0</v>
      </c>
      <c r="CM1491">
        <v>0</v>
      </c>
      <c r="CN1491" t="str">
        <f t="shared" si="1955"/>
        <v>refOK</v>
      </c>
      <c r="CO1491"/>
      <c r="CP1491"/>
      <c r="CQ1491"/>
      <c r="CR1491">
        <f t="shared" si="1956"/>
        <v>1.5900000000000001E-2</v>
      </c>
      <c r="CS1491">
        <f t="shared" si="1957"/>
        <v>1.4500000000000001E-2</v>
      </c>
      <c r="CT1491">
        <f t="shared" si="1958"/>
        <v>-1.4000000000000002E-3</v>
      </c>
      <c r="CU1491" t="str">
        <f t="shared" si="1959"/>
        <v/>
      </c>
      <c r="CV1491" s="2">
        <f t="shared" si="1960"/>
        <v>-8.8050314465408813E-2</v>
      </c>
      <c r="CW1491" s="1" t="s">
        <v>2035</v>
      </c>
      <c r="CX1491" s="311" t="str">
        <f t="shared" si="1961"/>
        <v>reg</v>
      </c>
      <c r="CY1491" s="311" t="s">
        <v>428</v>
      </c>
      <c r="DB1491">
        <v>30</v>
      </c>
      <c r="DC1491" t="str">
        <f t="shared" si="1962"/>
        <v>1-30</v>
      </c>
      <c r="DD1491">
        <v>1</v>
      </c>
      <c r="DE1491">
        <v>0</v>
      </c>
      <c r="DF1491">
        <v>0</v>
      </c>
      <c r="DG1491">
        <v>0</v>
      </c>
      <c r="DH1491">
        <v>0</v>
      </c>
      <c r="DI1491">
        <f t="shared" si="1963"/>
        <v>1</v>
      </c>
      <c r="DJ1491" t="str">
        <f t="shared" si="1964"/>
        <v>UpstreamInput</v>
      </c>
      <c r="DK1491" t="str">
        <f t="shared" si="1965"/>
        <v>Upstream</v>
      </c>
      <c r="DL1491">
        <f t="shared" si="1965"/>
        <v>0</v>
      </c>
      <c r="DM1491">
        <f t="shared" si="1965"/>
        <v>0</v>
      </c>
      <c r="DN1491">
        <f t="shared" si="1965"/>
        <v>0</v>
      </c>
      <c r="DO1491">
        <v>0</v>
      </c>
      <c r="DP1491">
        <v>0</v>
      </c>
      <c r="DQ1491">
        <v>0</v>
      </c>
      <c r="DR1491">
        <v>0</v>
      </c>
      <c r="DS1491">
        <v>0</v>
      </c>
      <c r="DT1491"/>
      <c r="DU1491" s="143" t="str">
        <f t="shared" si="1966"/>
        <v>explicit C balance</v>
      </c>
      <c r="DV1491">
        <v>0</v>
      </c>
      <c r="DW1491">
        <v>0</v>
      </c>
      <c r="DX1491">
        <v>0</v>
      </c>
      <c r="DY1491">
        <v>0</v>
      </c>
      <c r="DZ1491">
        <v>0</v>
      </c>
      <c r="EA1491" s="143">
        <v>0</v>
      </c>
      <c r="EB1491">
        <v>1</v>
      </c>
      <c r="EC1491">
        <v>0</v>
      </c>
      <c r="ED1491">
        <v>0</v>
      </c>
      <c r="EE1491">
        <v>0</v>
      </c>
      <c r="EF1491">
        <v>0</v>
      </c>
      <c r="EG1491">
        <v>0</v>
      </c>
      <c r="EH1491">
        <v>0</v>
      </c>
      <c r="EI1491" s="2">
        <v>0</v>
      </c>
      <c r="EK1491" t="str">
        <f t="shared" si="1942"/>
        <v/>
      </c>
      <c r="EL1491" t="str">
        <f t="shared" si="1943"/>
        <v/>
      </c>
      <c r="EM1491" s="2" t="str">
        <f t="shared" si="1927"/>
        <v/>
      </c>
      <c r="EP1491" t="b">
        <f>IF(ISNUMBER(BU1491),IF(ABS(BU1491-[1]QC_indicators!$B$2)&gt;3*[1]QC_indicators!$C$2,"C ratio",IF(ISNUMBER(BY1491),IF(ABS(BY1491-[1]QC_indicators!$B$1)&gt;3*[1]QC_indicators!$C$1,"DF","no"))),IF(ISNUMBER(BY1491),IF(ABS(BY1491-[1]QC_indicators!$B$1)&gt;3*[1]QC_indicators!$C$1,"DF","no")))</f>
        <v>0</v>
      </c>
    </row>
    <row r="1492" spans="1:148" ht="15" hidden="1" customHeight="1">
      <c r="A1492" s="1" t="s">
        <v>4177</v>
      </c>
      <c r="B1492" t="s">
        <v>544</v>
      </c>
      <c r="C1492" t="s">
        <v>4178</v>
      </c>
      <c r="D1492" t="s">
        <v>4179</v>
      </c>
      <c r="E1492" t="s">
        <v>4180</v>
      </c>
      <c r="F1492" t="s">
        <v>4181</v>
      </c>
      <c r="G1492" t="s">
        <v>4182</v>
      </c>
      <c r="H1492" t="s">
        <v>1627</v>
      </c>
      <c r="I1492">
        <v>2006</v>
      </c>
      <c r="J1492">
        <v>50</v>
      </c>
      <c r="K1492" t="s">
        <v>4183</v>
      </c>
      <c r="M1492" t="str">
        <f t="shared" si="1932"/>
        <v>Sonne_2006</v>
      </c>
      <c r="N1492" s="311" t="s">
        <v>4382</v>
      </c>
      <c r="O1492" s="171" t="s">
        <v>341</v>
      </c>
      <c r="P1492" t="s">
        <v>513</v>
      </c>
      <c r="Q1492" s="311" t="s">
        <v>389</v>
      </c>
      <c r="R1492" s="312"/>
      <c r="S1492" s="1" t="s">
        <v>314</v>
      </c>
      <c r="T1492" t="s">
        <v>4194</v>
      </c>
      <c r="U1492" t="s">
        <v>4195</v>
      </c>
      <c r="V1492">
        <v>0</v>
      </c>
      <c r="W1492">
        <v>0</v>
      </c>
      <c r="X1492">
        <v>1</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s="141">
        <f t="shared" si="1944"/>
        <v>1</v>
      </c>
      <c r="AY1492" s="141">
        <f t="shared" si="1945"/>
        <v>1</v>
      </c>
      <c r="AZ1492">
        <f t="shared" si="1946"/>
        <v>1</v>
      </c>
      <c r="BA1492">
        <f t="shared" si="1947"/>
        <v>0</v>
      </c>
      <c r="BB1492">
        <f t="shared" si="1948"/>
        <v>0</v>
      </c>
      <c r="BC1492">
        <f t="shared" si="1949"/>
        <v>0</v>
      </c>
      <c r="BD1492">
        <f t="shared" si="1950"/>
        <v>0</v>
      </c>
      <c r="BE1492" t="str" cm="1">
        <f t="array" ref="BE1492">IF(AY1492=1,INDEX($V$7:$AL$7,MATCH(TRUE,INDEX($V1492:$AW1492&lt;&gt;0,),0)),IF(AY1492=0,INDEX($AM$7:$AW$7,MATCH(1,$AM1492:$AW1492,0)),IF(BF1492="Multiple strategies","mixed drivers",IF(BF1492="Supply chain","multiple supply","multiple silviculture"))))</f>
        <v>rotation length</v>
      </c>
      <c r="BF1492" s="2" t="str" cm="1">
        <f t="array" ref="BF1492">IF(COUNTIF(AZ1492:BB1492,"&lt;&gt;0")=1,INDEX($V$4:$AW$4,MATCH(TRUE,INDEX($V1492:$AW1492&lt;&gt;0,),0)),IF(COUNTIF(AZ1492:BB1492,"&lt;&gt;0")=0,INDEX($AM$4:$AW$4,MATCH(1,$AM1492:$AW1492,0)),"Multiple strategies"))</f>
        <v>Silviculture for removals</v>
      </c>
      <c r="BG1492" s="1" t="s">
        <v>229</v>
      </c>
      <c r="BM1492" t="str">
        <f t="shared" si="1951"/>
        <v/>
      </c>
      <c r="BR1492" t="s">
        <v>4187</v>
      </c>
      <c r="BS1492">
        <v>1.24E-2</v>
      </c>
      <c r="BT1492">
        <v>1.24E-2</v>
      </c>
      <c r="BU1492" s="144">
        <f t="shared" si="1952"/>
        <v>1</v>
      </c>
      <c r="BV1492">
        <f t="shared" si="1953"/>
        <v>0</v>
      </c>
      <c r="BX1492">
        <f t="shared" si="1954"/>
        <v>0</v>
      </c>
      <c r="BY1492" t="str">
        <f t="shared" si="1926"/>
        <v/>
      </c>
      <c r="BZ1492">
        <v>0</v>
      </c>
      <c r="CA1492">
        <v>1</v>
      </c>
      <c r="CB1492">
        <v>0</v>
      </c>
      <c r="CC1492">
        <v>1</v>
      </c>
      <c r="CD1492">
        <v>0</v>
      </c>
      <c r="CE1492">
        <v>0</v>
      </c>
      <c r="CF1492">
        <v>0</v>
      </c>
      <c r="CG1492">
        <v>0</v>
      </c>
      <c r="CH1492">
        <v>0</v>
      </c>
      <c r="CI1492">
        <v>0</v>
      </c>
      <c r="CJ1492">
        <v>0</v>
      </c>
      <c r="CK1492">
        <v>0</v>
      </c>
      <c r="CL1492">
        <v>0</v>
      </c>
      <c r="CM1492">
        <v>0</v>
      </c>
      <c r="CN1492" t="str">
        <f t="shared" si="1955"/>
        <v>refOK</v>
      </c>
      <c r="CO1492"/>
      <c r="CP1492"/>
      <c r="CQ1492"/>
      <c r="CR1492">
        <f t="shared" si="1956"/>
        <v>1.24E-2</v>
      </c>
      <c r="CS1492">
        <f t="shared" si="1957"/>
        <v>1.24E-2</v>
      </c>
      <c r="CT1492">
        <f t="shared" si="1958"/>
        <v>0</v>
      </c>
      <c r="CU1492" t="str">
        <f t="shared" si="1959"/>
        <v/>
      </c>
      <c r="CV1492" s="2">
        <f t="shared" si="1960"/>
        <v>0</v>
      </c>
      <c r="CW1492" s="1" t="s">
        <v>2035</v>
      </c>
      <c r="CX1492" s="311" t="str">
        <f t="shared" si="1961"/>
        <v>reg</v>
      </c>
      <c r="CY1492" s="311" t="s">
        <v>428</v>
      </c>
      <c r="DB1492">
        <v>40</v>
      </c>
      <c r="DC1492" t="str">
        <f t="shared" si="1962"/>
        <v>31-70</v>
      </c>
      <c r="DD1492">
        <v>1</v>
      </c>
      <c r="DE1492">
        <v>0</v>
      </c>
      <c r="DF1492">
        <v>0</v>
      </c>
      <c r="DG1492">
        <v>0</v>
      </c>
      <c r="DH1492">
        <v>0</v>
      </c>
      <c r="DI1492">
        <f t="shared" si="1963"/>
        <v>1</v>
      </c>
      <c r="DJ1492" t="str">
        <f t="shared" si="1964"/>
        <v>UpstreamInput</v>
      </c>
      <c r="DK1492" t="str">
        <f t="shared" si="1965"/>
        <v>Upstream</v>
      </c>
      <c r="DL1492">
        <f t="shared" si="1965"/>
        <v>0</v>
      </c>
      <c r="DM1492">
        <f t="shared" si="1965"/>
        <v>0</v>
      </c>
      <c r="DN1492">
        <f t="shared" si="1965"/>
        <v>0</v>
      </c>
      <c r="DO1492">
        <v>0</v>
      </c>
      <c r="DP1492">
        <v>0</v>
      </c>
      <c r="DQ1492">
        <v>0</v>
      </c>
      <c r="DR1492">
        <v>0</v>
      </c>
      <c r="DS1492">
        <v>0</v>
      </c>
      <c r="DT1492"/>
      <c r="DU1492" s="143" t="str">
        <f t="shared" si="1966"/>
        <v>explicit C balance</v>
      </c>
      <c r="DV1492">
        <v>0</v>
      </c>
      <c r="DW1492">
        <v>0</v>
      </c>
      <c r="DX1492">
        <v>0</v>
      </c>
      <c r="DY1492">
        <v>0</v>
      </c>
      <c r="DZ1492">
        <v>0</v>
      </c>
      <c r="EA1492" s="143">
        <v>0</v>
      </c>
      <c r="EB1492">
        <v>1</v>
      </c>
      <c r="EC1492">
        <v>0</v>
      </c>
      <c r="ED1492">
        <v>0</v>
      </c>
      <c r="EE1492">
        <v>0</v>
      </c>
      <c r="EF1492">
        <v>0</v>
      </c>
      <c r="EG1492">
        <v>0</v>
      </c>
      <c r="EH1492">
        <v>0</v>
      </c>
      <c r="EI1492" s="2">
        <v>0</v>
      </c>
      <c r="EK1492" t="str">
        <f t="shared" si="1942"/>
        <v/>
      </c>
      <c r="EL1492" t="str">
        <f t="shared" si="1943"/>
        <v/>
      </c>
      <c r="EM1492" s="2" t="str">
        <f t="shared" si="1927"/>
        <v/>
      </c>
      <c r="EP1492" t="b">
        <f>IF(ISNUMBER(BU1492),IF(ABS(BU1492-[1]QC_indicators!$B$2)&gt;3*[1]QC_indicators!$C$2,"C ratio",IF(ISNUMBER(BY1492),IF(ABS(BY1492-[1]QC_indicators!$B$1)&gt;3*[1]QC_indicators!$C$1,"DF","no"))),IF(ISNUMBER(BY1492),IF(ABS(BY1492-[1]QC_indicators!$B$1)&gt;3*[1]QC_indicators!$C$1,"DF","no")))</f>
        <v>0</v>
      </c>
    </row>
    <row r="1493" spans="1:148" ht="18" hidden="1" customHeight="1">
      <c r="A1493" s="1" t="s">
        <v>4177</v>
      </c>
      <c r="B1493" t="s">
        <v>544</v>
      </c>
      <c r="C1493" t="s">
        <v>4178</v>
      </c>
      <c r="D1493" t="s">
        <v>4179</v>
      </c>
      <c r="E1493" t="s">
        <v>4180</v>
      </c>
      <c r="F1493" t="s">
        <v>4181</v>
      </c>
      <c r="G1493" t="s">
        <v>4182</v>
      </c>
      <c r="H1493" t="s">
        <v>1627</v>
      </c>
      <c r="I1493">
        <v>2006</v>
      </c>
      <c r="J1493">
        <v>50</v>
      </c>
      <c r="K1493" t="s">
        <v>4183</v>
      </c>
      <c r="M1493" t="str">
        <f t="shared" si="1932"/>
        <v>Sonne_2006</v>
      </c>
      <c r="N1493" s="311" t="s">
        <v>4382</v>
      </c>
      <c r="O1493" s="171" t="s">
        <v>341</v>
      </c>
      <c r="P1493" t="s">
        <v>513</v>
      </c>
      <c r="Q1493" s="311" t="s">
        <v>389</v>
      </c>
      <c r="R1493" s="312"/>
      <c r="S1493" s="1" t="s">
        <v>314</v>
      </c>
      <c r="T1493" t="s">
        <v>4194</v>
      </c>
      <c r="U1493" t="s">
        <v>4196</v>
      </c>
      <c r="V1493">
        <v>0</v>
      </c>
      <c r="W1493">
        <v>0</v>
      </c>
      <c r="X1493">
        <v>1</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s="141">
        <f t="shared" si="1944"/>
        <v>1</v>
      </c>
      <c r="AY1493" s="141">
        <f t="shared" si="1945"/>
        <v>1</v>
      </c>
      <c r="AZ1493">
        <f t="shared" si="1946"/>
        <v>1</v>
      </c>
      <c r="BA1493">
        <f t="shared" si="1947"/>
        <v>0</v>
      </c>
      <c r="BB1493">
        <f t="shared" si="1948"/>
        <v>0</v>
      </c>
      <c r="BC1493">
        <f t="shared" si="1949"/>
        <v>0</v>
      </c>
      <c r="BD1493">
        <f t="shared" si="1950"/>
        <v>0</v>
      </c>
      <c r="BE1493" t="str" cm="1">
        <f t="array" ref="BE1493">IF(AY1493=1,INDEX($V$7:$AL$7,MATCH(TRUE,INDEX($V1493:$AW1493&lt;&gt;0,),0)),IF(AY1493=0,INDEX($AM$7:$AW$7,MATCH(1,$AM1493:$AW1493,0)),IF(BF1493="Multiple strategies","mixed drivers",IF(BF1493="Supply chain","multiple supply","multiple silviculture"))))</f>
        <v>rotation length</v>
      </c>
      <c r="BF1493" s="2" t="str" cm="1">
        <f t="array" ref="BF1493">IF(COUNTIF(AZ1493:BB1493,"&lt;&gt;0")=1,INDEX($V$4:$AW$4,MATCH(TRUE,INDEX($V1493:$AW1493&lt;&gt;0,),0)),IF(COUNTIF(AZ1493:BB1493,"&lt;&gt;0")=0,INDEX($AM$4:$AW$4,MATCH(1,$AM1493:$AW1493,0)),"Multiple strategies"))</f>
        <v>Silviculture for removals</v>
      </c>
      <c r="BG1493" s="1" t="s">
        <v>229</v>
      </c>
      <c r="BM1493" t="str">
        <f t="shared" si="1951"/>
        <v/>
      </c>
      <c r="BR1493" t="s">
        <v>4187</v>
      </c>
      <c r="BS1493">
        <v>1.24E-2</v>
      </c>
      <c r="BT1493">
        <v>1.3100000000000001E-2</v>
      </c>
      <c r="BU1493" s="144">
        <f t="shared" si="1952"/>
        <v>1.056451612903226</v>
      </c>
      <c r="BV1493">
        <f t="shared" si="1953"/>
        <v>7.0000000000000097E-4</v>
      </c>
      <c r="BX1493">
        <f t="shared" si="1954"/>
        <v>7.0000000000000097E-4</v>
      </c>
      <c r="BY1493" t="str">
        <f t="shared" si="1926"/>
        <v/>
      </c>
      <c r="BZ1493">
        <v>0</v>
      </c>
      <c r="CA1493">
        <v>1</v>
      </c>
      <c r="CB1493">
        <v>0</v>
      </c>
      <c r="CC1493">
        <v>1</v>
      </c>
      <c r="CD1493">
        <v>0</v>
      </c>
      <c r="CE1493">
        <v>0</v>
      </c>
      <c r="CF1493">
        <v>0</v>
      </c>
      <c r="CG1493">
        <v>0</v>
      </c>
      <c r="CH1493">
        <v>0</v>
      </c>
      <c r="CI1493">
        <v>0</v>
      </c>
      <c r="CJ1493">
        <v>0</v>
      </c>
      <c r="CK1493">
        <v>0</v>
      </c>
      <c r="CL1493">
        <v>0</v>
      </c>
      <c r="CM1493">
        <v>0</v>
      </c>
      <c r="CN1493" t="str">
        <f t="shared" si="1955"/>
        <v>refOK</v>
      </c>
      <c r="CO1493"/>
      <c r="CP1493"/>
      <c r="CQ1493"/>
      <c r="CR1493">
        <f t="shared" si="1956"/>
        <v>1.24E-2</v>
      </c>
      <c r="CS1493">
        <f t="shared" si="1957"/>
        <v>1.3100000000000001E-2</v>
      </c>
      <c r="CT1493">
        <f t="shared" si="1958"/>
        <v>7.0000000000000097E-4</v>
      </c>
      <c r="CU1493" t="str">
        <f t="shared" si="1959"/>
        <v/>
      </c>
      <c r="CV1493" s="2">
        <f t="shared" si="1960"/>
        <v>5.6451612903225888E-2</v>
      </c>
      <c r="CW1493" s="1" t="s">
        <v>2035</v>
      </c>
      <c r="CX1493" s="311" t="str">
        <f t="shared" si="1961"/>
        <v>reg</v>
      </c>
      <c r="CY1493" s="311" t="s">
        <v>428</v>
      </c>
      <c r="DB1493">
        <v>50</v>
      </c>
      <c r="DC1493" t="str">
        <f t="shared" si="1962"/>
        <v>31-70</v>
      </c>
      <c r="DD1493">
        <v>1</v>
      </c>
      <c r="DE1493">
        <v>0</v>
      </c>
      <c r="DF1493">
        <v>0</v>
      </c>
      <c r="DG1493">
        <v>0</v>
      </c>
      <c r="DH1493">
        <v>0</v>
      </c>
      <c r="DI1493">
        <f t="shared" si="1963"/>
        <v>1</v>
      </c>
      <c r="DJ1493" t="str">
        <f t="shared" si="1964"/>
        <v>UpstreamInput</v>
      </c>
      <c r="DK1493" t="str">
        <f t="shared" si="1965"/>
        <v>Upstream</v>
      </c>
      <c r="DL1493">
        <f t="shared" si="1965"/>
        <v>0</v>
      </c>
      <c r="DM1493">
        <f t="shared" si="1965"/>
        <v>0</v>
      </c>
      <c r="DN1493">
        <f t="shared" si="1965"/>
        <v>0</v>
      </c>
      <c r="DO1493">
        <v>0</v>
      </c>
      <c r="DP1493">
        <v>0</v>
      </c>
      <c r="DQ1493">
        <v>0</v>
      </c>
      <c r="DR1493">
        <v>0</v>
      </c>
      <c r="DS1493">
        <v>0</v>
      </c>
      <c r="DT1493"/>
      <c r="DU1493" s="143" t="str">
        <f t="shared" si="1966"/>
        <v>explicit C balance</v>
      </c>
      <c r="DV1493">
        <v>0</v>
      </c>
      <c r="DW1493">
        <v>0</v>
      </c>
      <c r="DX1493">
        <v>0</v>
      </c>
      <c r="DY1493">
        <v>0</v>
      </c>
      <c r="DZ1493">
        <v>0</v>
      </c>
      <c r="EA1493" s="143">
        <v>0</v>
      </c>
      <c r="EB1493">
        <v>1</v>
      </c>
      <c r="EC1493">
        <v>0</v>
      </c>
      <c r="ED1493">
        <v>0</v>
      </c>
      <c r="EE1493">
        <v>0</v>
      </c>
      <c r="EF1493">
        <v>0</v>
      </c>
      <c r="EG1493">
        <v>0</v>
      </c>
      <c r="EH1493">
        <v>0</v>
      </c>
      <c r="EI1493" s="2">
        <v>0</v>
      </c>
      <c r="EK1493" t="str">
        <f t="shared" si="1942"/>
        <v/>
      </c>
      <c r="EL1493" t="str">
        <f t="shared" si="1943"/>
        <v/>
      </c>
      <c r="EM1493" s="2" t="str">
        <f t="shared" si="1927"/>
        <v/>
      </c>
      <c r="EP1493" t="b">
        <f>IF(ISNUMBER(BU1493),IF(ABS(BU1493-[1]QC_indicators!$B$2)&gt;3*[1]QC_indicators!$C$2,"C ratio",IF(ISNUMBER(BY1493),IF(ABS(BY1493-[1]QC_indicators!$B$1)&gt;3*[1]QC_indicators!$C$1,"DF","no"))),IF(ISNUMBER(BY1493),IF(ABS(BY1493-[1]QC_indicators!$B$1)&gt;3*[1]QC_indicators!$C$1,"DF","no")))</f>
        <v>0</v>
      </c>
    </row>
    <row r="1494" spans="1:148" ht="18" hidden="1" customHeight="1">
      <c r="A1494" s="1" t="s">
        <v>4177</v>
      </c>
      <c r="B1494" t="s">
        <v>544</v>
      </c>
      <c r="C1494" t="s">
        <v>4178</v>
      </c>
      <c r="D1494" t="s">
        <v>4179</v>
      </c>
      <c r="E1494" t="s">
        <v>4180</v>
      </c>
      <c r="F1494" t="s">
        <v>4181</v>
      </c>
      <c r="G1494" t="s">
        <v>4182</v>
      </c>
      <c r="H1494" t="s">
        <v>1627</v>
      </c>
      <c r="I1494">
        <v>2006</v>
      </c>
      <c r="J1494">
        <v>50</v>
      </c>
      <c r="K1494" t="s">
        <v>4183</v>
      </c>
      <c r="M1494" t="str">
        <f t="shared" si="1932"/>
        <v>Sonne_2006</v>
      </c>
      <c r="N1494" s="311" t="s">
        <v>4382</v>
      </c>
      <c r="O1494" s="171" t="s">
        <v>341</v>
      </c>
      <c r="P1494" t="s">
        <v>513</v>
      </c>
      <c r="Q1494" s="311" t="s">
        <v>389</v>
      </c>
      <c r="R1494" s="312"/>
      <c r="S1494" s="1" t="s">
        <v>314</v>
      </c>
      <c r="T1494" t="s">
        <v>4194</v>
      </c>
      <c r="U1494" t="s">
        <v>4197</v>
      </c>
      <c r="V1494">
        <v>0</v>
      </c>
      <c r="W1494">
        <v>0</v>
      </c>
      <c r="X1494">
        <v>1</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s="141">
        <f t="shared" si="1944"/>
        <v>1</v>
      </c>
      <c r="AY1494" s="141">
        <f t="shared" si="1945"/>
        <v>1</v>
      </c>
      <c r="AZ1494">
        <f t="shared" si="1946"/>
        <v>1</v>
      </c>
      <c r="BA1494">
        <f t="shared" si="1947"/>
        <v>0</v>
      </c>
      <c r="BB1494">
        <f t="shared" si="1948"/>
        <v>0</v>
      </c>
      <c r="BC1494">
        <f t="shared" si="1949"/>
        <v>0</v>
      </c>
      <c r="BD1494">
        <f t="shared" si="1950"/>
        <v>0</v>
      </c>
      <c r="BE1494" t="str" cm="1">
        <f t="array" ref="BE1494">IF(AY1494=1,INDEX($V$7:$AL$7,MATCH(TRUE,INDEX($V1494:$AW1494&lt;&gt;0,),0)),IF(AY1494=0,INDEX($AM$7:$AW$7,MATCH(1,$AM1494:$AW1494,0)),IF(BF1494="Multiple strategies","mixed drivers",IF(BF1494="Supply chain","multiple supply","multiple silviculture"))))</f>
        <v>rotation length</v>
      </c>
      <c r="BF1494" s="2" t="str" cm="1">
        <f t="array" ref="BF1494">IF(COUNTIF(AZ1494:BB1494,"&lt;&gt;0")=1,INDEX($V$4:$AW$4,MATCH(TRUE,INDEX($V1494:$AW1494&lt;&gt;0,),0)),IF(COUNTIF(AZ1494:BB1494,"&lt;&gt;0")=0,INDEX($AM$4:$AW$4,MATCH(1,$AM1494:$AW1494,0)),"Multiple strategies"))</f>
        <v>Silviculture for removals</v>
      </c>
      <c r="BG1494" s="1" t="s">
        <v>229</v>
      </c>
      <c r="BM1494" t="str">
        <f t="shared" si="1951"/>
        <v/>
      </c>
      <c r="BR1494" t="s">
        <v>4187</v>
      </c>
      <c r="BS1494">
        <v>1.24E-2</v>
      </c>
      <c r="BT1494">
        <v>1.5900000000000001E-2</v>
      </c>
      <c r="BU1494" s="144">
        <f t="shared" si="1952"/>
        <v>1.2822580645161292</v>
      </c>
      <c r="BV1494">
        <f t="shared" si="1953"/>
        <v>3.5000000000000014E-3</v>
      </c>
      <c r="BX1494">
        <f t="shared" si="1954"/>
        <v>3.5000000000000014E-3</v>
      </c>
      <c r="BY1494" t="str">
        <f t="shared" si="1926"/>
        <v/>
      </c>
      <c r="BZ1494">
        <v>0</v>
      </c>
      <c r="CA1494">
        <v>1</v>
      </c>
      <c r="CB1494">
        <v>0</v>
      </c>
      <c r="CC1494">
        <v>1</v>
      </c>
      <c r="CD1494">
        <v>0</v>
      </c>
      <c r="CE1494">
        <v>0</v>
      </c>
      <c r="CF1494">
        <v>0</v>
      </c>
      <c r="CG1494">
        <v>0</v>
      </c>
      <c r="CH1494">
        <v>0</v>
      </c>
      <c r="CI1494">
        <v>0</v>
      </c>
      <c r="CJ1494">
        <v>0</v>
      </c>
      <c r="CK1494">
        <v>0</v>
      </c>
      <c r="CL1494">
        <v>0</v>
      </c>
      <c r="CM1494">
        <v>0</v>
      </c>
      <c r="CN1494" t="str">
        <f t="shared" si="1955"/>
        <v>refOK</v>
      </c>
      <c r="CO1494"/>
      <c r="CP1494"/>
      <c r="CQ1494"/>
      <c r="CR1494">
        <f t="shared" si="1956"/>
        <v>1.24E-2</v>
      </c>
      <c r="CS1494">
        <f t="shared" si="1957"/>
        <v>1.5900000000000001E-2</v>
      </c>
      <c r="CT1494">
        <f t="shared" si="1958"/>
        <v>3.5000000000000014E-3</v>
      </c>
      <c r="CU1494" t="str">
        <f t="shared" si="1959"/>
        <v/>
      </c>
      <c r="CV1494" s="2">
        <f t="shared" si="1960"/>
        <v>0.28225806451612917</v>
      </c>
      <c r="CW1494" s="1" t="s">
        <v>2035</v>
      </c>
      <c r="CX1494" s="311" t="str">
        <f t="shared" si="1961"/>
        <v>reg</v>
      </c>
      <c r="CY1494" s="311" t="s">
        <v>428</v>
      </c>
      <c r="DB1494">
        <v>30</v>
      </c>
      <c r="DC1494" t="str">
        <f t="shared" si="1962"/>
        <v>1-30</v>
      </c>
      <c r="DD1494">
        <v>1</v>
      </c>
      <c r="DE1494">
        <v>0</v>
      </c>
      <c r="DF1494">
        <v>0</v>
      </c>
      <c r="DG1494">
        <v>0</v>
      </c>
      <c r="DH1494">
        <v>0</v>
      </c>
      <c r="DI1494">
        <f t="shared" si="1963"/>
        <v>1</v>
      </c>
      <c r="DJ1494" t="str">
        <f t="shared" si="1964"/>
        <v>UpstreamInput</v>
      </c>
      <c r="DK1494" t="str">
        <f t="shared" si="1965"/>
        <v>Upstream</v>
      </c>
      <c r="DL1494">
        <f t="shared" si="1965"/>
        <v>0</v>
      </c>
      <c r="DM1494">
        <f t="shared" si="1965"/>
        <v>0</v>
      </c>
      <c r="DN1494">
        <f t="shared" si="1965"/>
        <v>0</v>
      </c>
      <c r="DO1494">
        <v>0</v>
      </c>
      <c r="DP1494">
        <v>0</v>
      </c>
      <c r="DQ1494">
        <v>0</v>
      </c>
      <c r="DR1494">
        <v>0</v>
      </c>
      <c r="DS1494">
        <v>0</v>
      </c>
      <c r="DT1494"/>
      <c r="DU1494" s="143" t="str">
        <f t="shared" si="1966"/>
        <v>explicit C balance</v>
      </c>
      <c r="DV1494">
        <v>0</v>
      </c>
      <c r="DW1494">
        <v>0</v>
      </c>
      <c r="DX1494">
        <v>0</v>
      </c>
      <c r="DY1494">
        <v>0</v>
      </c>
      <c r="DZ1494">
        <v>0</v>
      </c>
      <c r="EA1494" s="143">
        <v>0</v>
      </c>
      <c r="EB1494">
        <v>1</v>
      </c>
      <c r="EC1494">
        <v>0</v>
      </c>
      <c r="ED1494">
        <v>0</v>
      </c>
      <c r="EE1494">
        <v>0</v>
      </c>
      <c r="EF1494">
        <v>0</v>
      </c>
      <c r="EG1494">
        <v>0</v>
      </c>
      <c r="EH1494">
        <v>0</v>
      </c>
      <c r="EI1494" s="2">
        <v>0</v>
      </c>
      <c r="EK1494" t="str">
        <f t="shared" si="1942"/>
        <v/>
      </c>
      <c r="EL1494" t="str">
        <f t="shared" si="1943"/>
        <v/>
      </c>
      <c r="EM1494" s="2" t="str">
        <f t="shared" si="1927"/>
        <v/>
      </c>
      <c r="EP1494" t="b">
        <f>IF(ISNUMBER(BU1494),IF(ABS(BU1494-[1]QC_indicators!$B$2)&gt;3*[1]QC_indicators!$C$2,"C ratio",IF(ISNUMBER(BY1494),IF(ABS(BY1494-[1]QC_indicators!$B$1)&gt;3*[1]QC_indicators!$C$1,"DF","no"))),IF(ISNUMBER(BY1494),IF(ABS(BY1494-[1]QC_indicators!$B$1)&gt;3*[1]QC_indicators!$C$1,"DF","no")))</f>
        <v>0</v>
      </c>
    </row>
    <row r="1495" spans="1:148" ht="18" hidden="1" customHeight="1">
      <c r="A1495" s="1" t="s">
        <v>3634</v>
      </c>
      <c r="B1495" t="s">
        <v>544</v>
      </c>
      <c r="C1495" t="s">
        <v>4660</v>
      </c>
      <c r="D1495" t="s">
        <v>4661</v>
      </c>
      <c r="E1495" t="s">
        <v>4662</v>
      </c>
      <c r="F1495" t="s">
        <v>4663</v>
      </c>
      <c r="G1495" t="s">
        <v>3639</v>
      </c>
      <c r="H1495" t="s">
        <v>254</v>
      </c>
      <c r="I1495">
        <v>2022</v>
      </c>
      <c r="J1495">
        <v>1</v>
      </c>
      <c r="K1495" t="s">
        <v>4664</v>
      </c>
      <c r="M1495" t="str">
        <f t="shared" si="1932"/>
        <v>Spanjer_2022</v>
      </c>
      <c r="N1495" t="s">
        <v>2582</v>
      </c>
      <c r="BE1495"/>
      <c r="BF1495" s="2"/>
      <c r="BY1495" t="str">
        <f t="shared" si="1926"/>
        <v/>
      </c>
      <c r="CN1495"/>
      <c r="CO1495"/>
      <c r="CP1495"/>
      <c r="CQ1495"/>
      <c r="CR1495"/>
      <c r="CS1495"/>
      <c r="CT1495"/>
      <c r="CU1495"/>
      <c r="CV1495" s="2"/>
      <c r="CX1495"/>
      <c r="DC1495"/>
      <c r="DI1495"/>
      <c r="DJ1495"/>
      <c r="DK1495"/>
      <c r="DL1495"/>
      <c r="DM1495"/>
      <c r="DN1495"/>
      <c r="DT1495"/>
      <c r="DU1495"/>
      <c r="EK1495" t="str">
        <f t="shared" si="1942"/>
        <v/>
      </c>
      <c r="EL1495" t="str">
        <f t="shared" si="1943"/>
        <v/>
      </c>
      <c r="EM1495" s="2" t="str">
        <f t="shared" si="1927"/>
        <v/>
      </c>
      <c r="EP1495" t="b">
        <f>IF(ISNUMBER(BU1495),IF(ABS(BU1495-[1]QC_indicators!$B$2)&gt;3*[1]QC_indicators!$C$2,"C ratio",IF(ISNUMBER(BY1495),IF(ABS(BY1495-[1]QC_indicators!$B$1)&gt;3*[1]QC_indicators!$C$1,"DF","no"))),IF(ISNUMBER(BY1495),IF(ABS(BY1495-[1]QC_indicators!$B$1)&gt;3*[1]QC_indicators!$C$1,"DF","no")))</f>
        <v>0</v>
      </c>
    </row>
    <row r="1496" spans="1:148" ht="18" hidden="1" customHeight="1">
      <c r="A1496" s="1" t="s">
        <v>5032</v>
      </c>
      <c r="B1496" t="s">
        <v>544</v>
      </c>
      <c r="C1496" t="s">
        <v>544</v>
      </c>
      <c r="D1496" t="s">
        <v>5033</v>
      </c>
      <c r="E1496" t="s">
        <v>5034</v>
      </c>
      <c r="F1496" t="s">
        <v>5035</v>
      </c>
      <c r="G1496" t="s">
        <v>544</v>
      </c>
      <c r="H1496" t="s">
        <v>3964</v>
      </c>
      <c r="I1496">
        <v>2013</v>
      </c>
      <c r="J1496">
        <v>0</v>
      </c>
      <c r="K1496" t="s">
        <v>544</v>
      </c>
      <c r="M1496" t="str">
        <f t="shared" si="1932"/>
        <v>Spinelli_2013</v>
      </c>
      <c r="N1496" t="s">
        <v>2583</v>
      </c>
      <c r="O1496" s="145" t="s">
        <v>341</v>
      </c>
      <c r="Q1496" s="311" t="s">
        <v>256</v>
      </c>
      <c r="R1496" s="312"/>
      <c r="AX1496" s="141"/>
      <c r="AY1496" s="141"/>
      <c r="BE1496"/>
      <c r="BF1496" s="2"/>
      <c r="BU1496" s="144"/>
      <c r="BY1496" t="str">
        <f t="shared" si="1926"/>
        <v/>
      </c>
      <c r="CN1496"/>
      <c r="CO1496"/>
      <c r="CP1496"/>
      <c r="CQ1496"/>
      <c r="CR1496"/>
      <c r="CS1496"/>
      <c r="CT1496"/>
      <c r="CU1496"/>
      <c r="CV1496" s="2"/>
      <c r="CX1496"/>
      <c r="DC1496"/>
      <c r="DI1496"/>
      <c r="DJ1496"/>
      <c r="DK1496"/>
      <c r="DL1496"/>
      <c r="DM1496"/>
      <c r="DN1496"/>
      <c r="DT1496"/>
      <c r="DU1496" s="143"/>
      <c r="EK1496" t="str">
        <f t="shared" si="1942"/>
        <v/>
      </c>
      <c r="EL1496" t="str">
        <f t="shared" si="1943"/>
        <v/>
      </c>
      <c r="EM1496" s="2" t="str">
        <f t="shared" si="1927"/>
        <v/>
      </c>
      <c r="EO1496" t="s">
        <v>450</v>
      </c>
      <c r="EP1496" t="b">
        <f>IF(ISNUMBER(BU1496),IF(ABS(BU1496-[1]QC_indicators!$B$2)&gt;3*[1]QC_indicators!$C$2,"C ratio",IF(ISNUMBER(BY1496),IF(ABS(BY1496-[1]QC_indicators!$B$1)&gt;3*[1]QC_indicators!$C$1,"DF","no"))),IF(ISNUMBER(BY1496),IF(ABS(BY1496-[1]QC_indicators!$B$1)&gt;3*[1]QC_indicators!$C$1,"DF","no")))</f>
        <v>0</v>
      </c>
    </row>
    <row r="1497" spans="1:148" ht="18" hidden="1" customHeight="1">
      <c r="A1497" s="1" t="s">
        <v>1137</v>
      </c>
      <c r="B1497" t="s">
        <v>4665</v>
      </c>
      <c r="C1497" t="s">
        <v>4666</v>
      </c>
      <c r="D1497" t="s">
        <v>4667</v>
      </c>
      <c r="E1497" t="s">
        <v>4668</v>
      </c>
      <c r="F1497" t="s">
        <v>4669</v>
      </c>
      <c r="G1497" t="s">
        <v>1138</v>
      </c>
      <c r="H1497" t="s">
        <v>254</v>
      </c>
      <c r="I1497">
        <v>2020</v>
      </c>
      <c r="J1497">
        <v>0</v>
      </c>
      <c r="K1497" t="s">
        <v>4670</v>
      </c>
      <c r="M1497" t="str">
        <f t="shared" si="1932"/>
        <v>Sprengel_2020</v>
      </c>
      <c r="N1497" t="s">
        <v>2582</v>
      </c>
      <c r="O1497" s="145" t="s">
        <v>341</v>
      </c>
      <c r="Q1497" s="311" t="s">
        <v>256</v>
      </c>
      <c r="R1497" s="312"/>
      <c r="AX1497" s="141"/>
      <c r="AY1497" s="141"/>
      <c r="BE1497"/>
      <c r="BF1497" s="2"/>
      <c r="BU1497" s="144"/>
      <c r="BY1497" t="str">
        <f t="shared" si="1926"/>
        <v/>
      </c>
      <c r="CN1497"/>
      <c r="CO1497"/>
      <c r="CP1497"/>
      <c r="CQ1497"/>
      <c r="CR1497"/>
      <c r="CS1497"/>
      <c r="CT1497"/>
      <c r="CU1497"/>
      <c r="CV1497" s="2"/>
      <c r="CX1497"/>
      <c r="DC1497"/>
      <c r="DI1497"/>
      <c r="DJ1497"/>
      <c r="DK1497"/>
      <c r="DL1497"/>
      <c r="DM1497"/>
      <c r="DN1497"/>
      <c r="DT1497"/>
      <c r="DU1497" s="143"/>
      <c r="EK1497" t="str">
        <f t="shared" si="1942"/>
        <v/>
      </c>
      <c r="EL1497" t="str">
        <f t="shared" si="1943"/>
        <v/>
      </c>
      <c r="EM1497" s="2" t="str">
        <f t="shared" si="1927"/>
        <v/>
      </c>
      <c r="EO1497" t="s">
        <v>450</v>
      </c>
      <c r="EP1497" t="b">
        <f>IF(ISNUMBER(BU1497),IF(ABS(BU1497-[1]QC_indicators!$B$2)&gt;3*[1]QC_indicators!$C$2,"C ratio",IF(ISNUMBER(BY1497),IF(ABS(BY1497-[1]QC_indicators!$B$1)&gt;3*[1]QC_indicators!$C$1,"DF","no"))),IF(ISNUMBER(BY1497),IF(ABS(BY1497-[1]QC_indicators!$B$1)&gt;3*[1]QC_indicators!$C$1,"DF","no")))</f>
        <v>0</v>
      </c>
    </row>
    <row r="1498" spans="1:148" ht="18" hidden="1" customHeight="1">
      <c r="A1498" s="1" t="s">
        <v>848</v>
      </c>
      <c r="B1498" t="s">
        <v>4198</v>
      </c>
      <c r="C1498" t="s">
        <v>4199</v>
      </c>
      <c r="D1498" t="s">
        <v>4200</v>
      </c>
      <c r="E1498" t="s">
        <v>4201</v>
      </c>
      <c r="F1498" t="s">
        <v>4202</v>
      </c>
      <c r="G1498" t="s">
        <v>854</v>
      </c>
      <c r="H1498" t="s">
        <v>254</v>
      </c>
      <c r="I1498">
        <v>2018</v>
      </c>
      <c r="J1498">
        <v>58</v>
      </c>
      <c r="K1498" t="s">
        <v>4203</v>
      </c>
      <c r="M1498" t="str">
        <f t="shared" si="1932"/>
        <v>Sterman_2018</v>
      </c>
      <c r="N1498" s="311" t="s">
        <v>4382</v>
      </c>
      <c r="O1498" s="145" t="s">
        <v>341</v>
      </c>
      <c r="Q1498" s="311" t="s">
        <v>256</v>
      </c>
      <c r="R1498" s="312"/>
      <c r="S1498" s="1" t="s">
        <v>4204</v>
      </c>
      <c r="T1498" t="s">
        <v>4205</v>
      </c>
      <c r="U1498" t="s">
        <v>4206</v>
      </c>
      <c r="V1498">
        <v>2</v>
      </c>
      <c r="W1498">
        <v>2</v>
      </c>
      <c r="X1498">
        <v>0</v>
      </c>
      <c r="Y1498">
        <v>2</v>
      </c>
      <c r="Z1498">
        <v>2</v>
      </c>
      <c r="AA1498">
        <v>0</v>
      </c>
      <c r="AB1498">
        <v>0</v>
      </c>
      <c r="AC1498">
        <v>0</v>
      </c>
      <c r="AD1498">
        <v>0</v>
      </c>
      <c r="AE1498">
        <v>0</v>
      </c>
      <c r="AF1498">
        <v>1</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s="141">
        <f t="shared" ref="AX1498:AX1508" si="1967">COUNTIF(V1498:AW1498,"&lt;&gt;0")</f>
        <v>5</v>
      </c>
      <c r="AY1498" s="141">
        <f t="shared" ref="AY1498:AY1508" si="1968">COUNTIF(V1498:AL1498,"&lt;&gt;0")</f>
        <v>5</v>
      </c>
      <c r="AZ1498">
        <f t="shared" ref="AZ1498:AZ1508" si="1969">COUNTIF(V1498:AC1498,"&lt;&gt;0")</f>
        <v>4</v>
      </c>
      <c r="BA1498">
        <f t="shared" ref="BA1498:BA1508" si="1970">COUNTIF(AD1498:AI1498,"&lt;&gt;0")</f>
        <v>1</v>
      </c>
      <c r="BB1498">
        <f t="shared" ref="BB1498:BB1508" si="1971">COUNTIF(AJ1498:AL1498,"&lt;&gt;0")</f>
        <v>0</v>
      </c>
      <c r="BC1498">
        <f t="shared" ref="BC1498:BC1508" si="1972">COUNTIF(AS1498:AW1498,"&lt;&gt;0")</f>
        <v>0</v>
      </c>
      <c r="BD1498">
        <f t="shared" ref="BD1498:BD1508" si="1973">COUNTIF(AM1498:AR1498,"&lt;&gt;0")</f>
        <v>0</v>
      </c>
      <c r="BE1498" t="str" cm="1">
        <f t="array" ref="BE1498">IF(AY1498=1,INDEX($V$7:$AL$7,MATCH(TRUE,INDEX($V1498:$AW1498&lt;&gt;0,),0)),IF(AY1498=0,INDEX($AM$7:$AW$7,MATCH(1,$AM1498:$AW1498,0)),IF(BF1498="Multiple strategies","mixed drivers",IF(BF1498="Supply chain","multiple supply","multiple silviculture"))))</f>
        <v>mixed drivers</v>
      </c>
      <c r="BF1498" s="2" t="str" cm="1">
        <f t="array" ref="BF1498">IF(COUNTIF(AZ1498:BB1498,"&lt;&gt;0")=1,INDEX($V$4:$AW$4,MATCH(TRUE,INDEX($V1498:$AW1498&lt;&gt;0,),0)),IF(COUNTIF(AZ1498:BB1498,"&lt;&gt;0")=0,INDEX($AM$4:$AW$4,MATCH(1,$AM1498:$AW1498,0)),"Multiple strategies"))</f>
        <v>Multiple strategies</v>
      </c>
      <c r="BP1498" s="311" t="s">
        <v>232</v>
      </c>
      <c r="BQ1498" s="311"/>
      <c r="BR1498" s="311" t="s">
        <v>4207</v>
      </c>
      <c r="BU1498" s="144"/>
      <c r="BV1498">
        <v>0.04</v>
      </c>
      <c r="BX1498">
        <f t="shared" ref="BX1498:BX1508" si="1974">BV1498*1.75*10^9*C_to_CO2</f>
        <v>256900000</v>
      </c>
      <c r="BY1498" t="str">
        <f t="shared" si="1926"/>
        <v/>
      </c>
      <c r="BZ1498">
        <v>0</v>
      </c>
      <c r="CA1498">
        <v>0</v>
      </c>
      <c r="CB1498">
        <v>0</v>
      </c>
      <c r="CC1498">
        <v>0</v>
      </c>
      <c r="CD1498">
        <v>0</v>
      </c>
      <c r="CE1498">
        <v>0</v>
      </c>
      <c r="CF1498">
        <v>0</v>
      </c>
      <c r="CG1498">
        <v>0</v>
      </c>
      <c r="CH1498">
        <v>0</v>
      </c>
      <c r="CI1498">
        <v>0</v>
      </c>
      <c r="CJ1498">
        <v>0</v>
      </c>
      <c r="CK1498">
        <v>0</v>
      </c>
      <c r="CL1498">
        <v>0</v>
      </c>
      <c r="CM1498">
        <v>0</v>
      </c>
      <c r="CN1498" t="str">
        <f t="shared" ref="CN1498:CN1508" si="1975">IF(BL1498&lt;BK1498,"refNeedCorrection","refOK")</f>
        <v>refOK</v>
      </c>
      <c r="CO1498"/>
      <c r="CP1498"/>
      <c r="CQ1498"/>
      <c r="CR1498">
        <f t="shared" ref="CR1498:CR1508" si="1976">IF($CN1498="refOK",$BS1498,$BT1498)*IF($BP1498="Emissions positive",-1,1)</f>
        <v>0</v>
      </c>
      <c r="CS1498">
        <f t="shared" ref="CS1498:CS1508" si="1977">IF($CN1498="refOK",$BT1498,$BS1498)*IF($BP1498="Emissions positive",-1,1)</f>
        <v>0</v>
      </c>
      <c r="CT1498">
        <f t="shared" ref="CT1498:CT1508" si="1978">IF($CN1498="refNeedCorrection",-BX1498,BX1498)*IF($BP1498="Emissions positive",-1,1)</f>
        <v>256900000</v>
      </c>
      <c r="CU1498" t="str">
        <f t="shared" ref="CU1498:CU1508" si="1979">IFERROR(CT1498/CQ1498,"")</f>
        <v/>
      </c>
      <c r="CV1498" s="2" t="str">
        <f t="shared" ref="CV1498:CV1508" si="1980">IFERROR((CS1498-CR1498)/ABS(CR1498),"")</f>
        <v/>
      </c>
      <c r="CW1498" s="1" t="s">
        <v>1198</v>
      </c>
      <c r="CX1498" s="311" t="str">
        <f t="shared" ref="CX1498:CX1508" si="1981">IF(OR($CW1498="prd",$CW1498="std",$CW1498="cit"),"loc",IF(OR($CW1498="eur",$CW1498="reg",$CW1498="coy"),"reg",$CW1498))</f>
        <v>reg</v>
      </c>
      <c r="CY1498" t="s">
        <v>428</v>
      </c>
      <c r="CZ1498">
        <v>2020</v>
      </c>
      <c r="DA1498">
        <v>2100</v>
      </c>
      <c r="DB1498">
        <v>80</v>
      </c>
      <c r="DC1498" t="str">
        <f t="shared" ref="DC1498:DC1508" si="1982">IF(DB1498=0,"0",IF(AND(DB1498&gt;=1,DB1498&lt;=30),"1-30",IF(AND(DB1498&gt;30,DB1498&lt;=70),"31-70",IF(AND(DB1498&gt;70,DB1498&lt;=100),"71-100",IF(DB1498&gt;100,"+100")))))</f>
        <v>71-100</v>
      </c>
      <c r="DD1498">
        <v>0</v>
      </c>
      <c r="DE1498">
        <v>1</v>
      </c>
      <c r="DF1498">
        <v>0</v>
      </c>
      <c r="DG1498">
        <v>0</v>
      </c>
      <c r="DI1498">
        <f t="shared" ref="DI1498:DI1508" si="1983">SUM(DD1498:DG1498)</f>
        <v>1</v>
      </c>
      <c r="DJ1498" t="str">
        <f t="shared" ref="DJ1498:DJ1508" si="1984">IF(DI1498=1,INDEX($DD$7:$DG$7,MATCH(1,$DD1498:$DG1498,0)),"mixedProduct")</f>
        <v>EnergyInput</v>
      </c>
      <c r="DK1498">
        <f t="shared" ref="DK1498:DK1508" si="1985">IF(DD1498=1,DK$7,0)</f>
        <v>0</v>
      </c>
      <c r="DL1498" t="str">
        <f t="shared" ref="DL1498:DL1508" si="1986">IF(DE1498=1,DL$7,0)</f>
        <v>Energy</v>
      </c>
      <c r="DM1498">
        <f t="shared" ref="DM1498:DM1508" si="1987">IF(DF1498=1,DM$7,0)</f>
        <v>0</v>
      </c>
      <c r="DN1498">
        <f t="shared" ref="DN1498:DN1508" si="1988">IF(DG1498=1,DN$7,0)</f>
        <v>0</v>
      </c>
      <c r="DO1498">
        <v>1</v>
      </c>
      <c r="DP1498">
        <v>1</v>
      </c>
      <c r="DQ1498" t="s">
        <v>4208</v>
      </c>
      <c r="DR1498">
        <v>0</v>
      </c>
      <c r="DS1498" t="s">
        <v>4209</v>
      </c>
      <c r="DT1498">
        <f t="shared" ref="DT1498:DT1508" si="1989">SUM(DO1498:DP1498)</f>
        <v>2</v>
      </c>
      <c r="DU1498" s="143" t="str">
        <f t="shared" ref="DU1498:DU1508" si="1990">IF(DO1498=1,"self-calculated DF",IF(DP1498=1,"external DF used","explicit C balance"))</f>
        <v>self-calculated DF</v>
      </c>
      <c r="DV1498">
        <v>1</v>
      </c>
      <c r="DW1498">
        <v>1</v>
      </c>
      <c r="DX1498">
        <v>1</v>
      </c>
      <c r="DY1498">
        <v>0</v>
      </c>
      <c r="DZ1498">
        <v>1</v>
      </c>
      <c r="EA1498">
        <v>0</v>
      </c>
      <c r="EB1498">
        <v>1</v>
      </c>
      <c r="EC1498">
        <v>1</v>
      </c>
      <c r="ED1498">
        <v>0</v>
      </c>
      <c r="EE1498">
        <v>1</v>
      </c>
      <c r="EF1498">
        <v>1</v>
      </c>
      <c r="EG1498">
        <v>1</v>
      </c>
      <c r="EH1498">
        <v>0</v>
      </c>
      <c r="EI1498" s="2">
        <v>0</v>
      </c>
      <c r="EK1498" t="str">
        <f t="shared" si="1942"/>
        <v>Whole sector</v>
      </c>
      <c r="EL1498" t="str">
        <f t="shared" si="1943"/>
        <v/>
      </c>
      <c r="EM1498" s="2" t="str">
        <f t="shared" si="1927"/>
        <v/>
      </c>
      <c r="EP1498" t="b">
        <f>IF(ISNUMBER(BU1498),IF(ABS(BU1498-[1]QC_indicators!$B$2)&gt;3*[1]QC_indicators!$C$2,"C ratio",IF(ISNUMBER(BY1498),IF(ABS(BY1498-[1]QC_indicators!$B$1)&gt;3*[1]QC_indicators!$C$1,"DF","no"))),IF(ISNUMBER(BY1498),IF(ABS(BY1498-[1]QC_indicators!$B$1)&gt;3*[1]QC_indicators!$C$1,"DF","no")))</f>
        <v>0</v>
      </c>
      <c r="ER1498" s="313" t="s">
        <v>349</v>
      </c>
    </row>
    <row r="1499" spans="1:148" ht="18" hidden="1" customHeight="1">
      <c r="A1499" s="1" t="s">
        <v>848</v>
      </c>
      <c r="B1499" t="s">
        <v>4198</v>
      </c>
      <c r="C1499" t="s">
        <v>4199</v>
      </c>
      <c r="D1499" t="s">
        <v>4200</v>
      </c>
      <c r="E1499" t="s">
        <v>4201</v>
      </c>
      <c r="F1499" t="s">
        <v>4202</v>
      </c>
      <c r="G1499" t="s">
        <v>854</v>
      </c>
      <c r="H1499" t="s">
        <v>254</v>
      </c>
      <c r="I1499">
        <v>2018</v>
      </c>
      <c r="J1499">
        <v>58</v>
      </c>
      <c r="K1499" t="s">
        <v>4203</v>
      </c>
      <c r="M1499" t="str">
        <f t="shared" si="1932"/>
        <v>Sterman_2018</v>
      </c>
      <c r="N1499" s="311" t="s">
        <v>4382</v>
      </c>
      <c r="O1499" s="145" t="s">
        <v>341</v>
      </c>
      <c r="Q1499" s="311" t="s">
        <v>256</v>
      </c>
      <c r="R1499" s="312"/>
      <c r="S1499" s="1" t="s">
        <v>4210</v>
      </c>
      <c r="T1499" t="s">
        <v>4205</v>
      </c>
      <c r="U1499" t="s">
        <v>1725</v>
      </c>
      <c r="V1499">
        <v>0</v>
      </c>
      <c r="W1499">
        <v>0</v>
      </c>
      <c r="X1499">
        <v>0</v>
      </c>
      <c r="Y1499">
        <v>0</v>
      </c>
      <c r="Z1499">
        <v>0</v>
      </c>
      <c r="AA1499">
        <v>0</v>
      </c>
      <c r="AB1499">
        <v>0</v>
      </c>
      <c r="AC1499">
        <v>0</v>
      </c>
      <c r="AD1499">
        <v>0</v>
      </c>
      <c r="AE1499">
        <v>0</v>
      </c>
      <c r="AF1499">
        <v>0</v>
      </c>
      <c r="AG1499">
        <v>0</v>
      </c>
      <c r="AH1499">
        <v>0</v>
      </c>
      <c r="AI1499">
        <v>0</v>
      </c>
      <c r="AJ1499">
        <v>0</v>
      </c>
      <c r="AK1499">
        <v>1</v>
      </c>
      <c r="AL1499">
        <v>0</v>
      </c>
      <c r="AM1499">
        <v>0</v>
      </c>
      <c r="AN1499">
        <v>0</v>
      </c>
      <c r="AO1499">
        <v>0</v>
      </c>
      <c r="AP1499">
        <v>0</v>
      </c>
      <c r="AQ1499">
        <v>0</v>
      </c>
      <c r="AR1499">
        <v>0</v>
      </c>
      <c r="AS1499">
        <v>0</v>
      </c>
      <c r="AT1499">
        <v>0</v>
      </c>
      <c r="AU1499">
        <v>0</v>
      </c>
      <c r="AV1499">
        <v>0</v>
      </c>
      <c r="AW1499">
        <v>0</v>
      </c>
      <c r="AX1499" s="141">
        <f t="shared" si="1967"/>
        <v>1</v>
      </c>
      <c r="AY1499" s="141">
        <f t="shared" si="1968"/>
        <v>1</v>
      </c>
      <c r="AZ1499">
        <f t="shared" si="1969"/>
        <v>0</v>
      </c>
      <c r="BA1499">
        <f t="shared" si="1970"/>
        <v>0</v>
      </c>
      <c r="BB1499">
        <f t="shared" si="1971"/>
        <v>1</v>
      </c>
      <c r="BC1499">
        <f t="shared" si="1972"/>
        <v>0</v>
      </c>
      <c r="BD1499">
        <f t="shared" si="1973"/>
        <v>0</v>
      </c>
      <c r="BE1499" t="str" cm="1">
        <f t="array" ref="BE1499">IF(AY1499=1,INDEX($V$7:$AL$7,MATCH(TRUE,INDEX($V1499:$AW1499&lt;&gt;0,),0)),IF(AY1499=0,INDEX($AM$7:$AW$7,MATCH(1,$AM1499:$AW1499,0)),IF(BF1499="Multiple strategies","mixed drivers",IF(BF1499="Supply chain","multiple supply","multiple silviculture"))))</f>
        <v>technologies/design switch</v>
      </c>
      <c r="BF1499" s="2" t="str" cm="1">
        <f t="array" ref="BF1499">IF(COUNTIF(AZ1499:BB1499,"&lt;&gt;0")=1,INDEX($V$4:$AW$4,MATCH(TRUE,INDEX($V1499:$AW1499&lt;&gt;0,),0)),IF(COUNTIF(AZ1499:BB1499,"&lt;&gt;0")=0,INDEX($AM$4:$AW$4,MATCH(1,$AM1499:$AW1499,0)),"Multiple strategies"))</f>
        <v>Technology</v>
      </c>
      <c r="BG1499" s="142"/>
      <c r="BJ1499" s="143"/>
      <c r="BL1499" s="143"/>
      <c r="BM1499" s="143"/>
      <c r="BN1499" s="143"/>
      <c r="BO1499" s="143"/>
      <c r="BP1499" s="311" t="s">
        <v>232</v>
      </c>
      <c r="BQ1499" s="311"/>
      <c r="BR1499" t="s">
        <v>4207</v>
      </c>
      <c r="BS1499" s="143"/>
      <c r="BU1499" s="144"/>
      <c r="BV1499">
        <v>-6.2E-2</v>
      </c>
      <c r="BX1499">
        <f t="shared" si="1974"/>
        <v>-398195000</v>
      </c>
      <c r="BY1499" t="str">
        <f t="shared" si="1926"/>
        <v/>
      </c>
      <c r="BZ1499">
        <v>0</v>
      </c>
      <c r="CA1499">
        <v>0</v>
      </c>
      <c r="CB1499">
        <v>0</v>
      </c>
      <c r="CC1499">
        <v>0</v>
      </c>
      <c r="CD1499">
        <v>0</v>
      </c>
      <c r="CE1499">
        <v>0</v>
      </c>
      <c r="CF1499">
        <v>0</v>
      </c>
      <c r="CG1499">
        <v>0</v>
      </c>
      <c r="CH1499">
        <v>0</v>
      </c>
      <c r="CI1499">
        <v>0</v>
      </c>
      <c r="CJ1499">
        <v>0</v>
      </c>
      <c r="CK1499">
        <v>0</v>
      </c>
      <c r="CL1499">
        <v>0</v>
      </c>
      <c r="CM1499">
        <v>0</v>
      </c>
      <c r="CN1499" t="str">
        <f t="shared" si="1975"/>
        <v>refOK</v>
      </c>
      <c r="CO1499"/>
      <c r="CP1499"/>
      <c r="CQ1499"/>
      <c r="CR1499">
        <f t="shared" si="1976"/>
        <v>0</v>
      </c>
      <c r="CS1499">
        <f t="shared" si="1977"/>
        <v>0</v>
      </c>
      <c r="CT1499">
        <f t="shared" si="1978"/>
        <v>-398195000</v>
      </c>
      <c r="CU1499" t="str">
        <f t="shared" si="1979"/>
        <v/>
      </c>
      <c r="CV1499" s="2" t="str">
        <f t="shared" si="1980"/>
        <v/>
      </c>
      <c r="CW1499" s="1" t="s">
        <v>1198</v>
      </c>
      <c r="CX1499" s="311" t="str">
        <f t="shared" si="1981"/>
        <v>reg</v>
      </c>
      <c r="CY1499" t="s">
        <v>428</v>
      </c>
      <c r="CZ1499">
        <v>2020</v>
      </c>
      <c r="DA1499">
        <v>2100</v>
      </c>
      <c r="DB1499">
        <v>80</v>
      </c>
      <c r="DC1499" t="str">
        <f t="shared" si="1982"/>
        <v>71-100</v>
      </c>
      <c r="DD1499">
        <v>0</v>
      </c>
      <c r="DE1499">
        <v>1</v>
      </c>
      <c r="DF1499">
        <v>0</v>
      </c>
      <c r="DG1499">
        <v>0</v>
      </c>
      <c r="DI1499">
        <f t="shared" si="1983"/>
        <v>1</v>
      </c>
      <c r="DJ1499" t="str">
        <f t="shared" si="1984"/>
        <v>EnergyInput</v>
      </c>
      <c r="DK1499">
        <f t="shared" si="1985"/>
        <v>0</v>
      </c>
      <c r="DL1499" t="str">
        <f t="shared" si="1986"/>
        <v>Energy</v>
      </c>
      <c r="DM1499">
        <f t="shared" si="1987"/>
        <v>0</v>
      </c>
      <c r="DN1499">
        <f t="shared" si="1988"/>
        <v>0</v>
      </c>
      <c r="DO1499">
        <v>1</v>
      </c>
      <c r="DP1499">
        <v>1</v>
      </c>
      <c r="DQ1499" t="s">
        <v>4208</v>
      </c>
      <c r="DR1499">
        <v>0</v>
      </c>
      <c r="DS1499" t="s">
        <v>4209</v>
      </c>
      <c r="DT1499">
        <f t="shared" si="1989"/>
        <v>2</v>
      </c>
      <c r="DU1499" s="143" t="str">
        <f t="shared" si="1990"/>
        <v>self-calculated DF</v>
      </c>
      <c r="DV1499">
        <v>1</v>
      </c>
      <c r="DW1499">
        <v>1</v>
      </c>
      <c r="DX1499">
        <v>1</v>
      </c>
      <c r="DY1499">
        <v>0</v>
      </c>
      <c r="DZ1499">
        <v>1</v>
      </c>
      <c r="EA1499">
        <v>0</v>
      </c>
      <c r="EB1499">
        <v>1</v>
      </c>
      <c r="EC1499">
        <v>1</v>
      </c>
      <c r="ED1499">
        <v>0</v>
      </c>
      <c r="EE1499">
        <v>1</v>
      </c>
      <c r="EF1499">
        <v>1</v>
      </c>
      <c r="EG1499">
        <v>1</v>
      </c>
      <c r="EH1499">
        <v>0</v>
      </c>
      <c r="EI1499" s="2">
        <v>0</v>
      </c>
      <c r="EK1499" t="str">
        <f t="shared" si="1942"/>
        <v>Whole sector</v>
      </c>
      <c r="EL1499" t="str">
        <f t="shared" si="1943"/>
        <v/>
      </c>
      <c r="EM1499" s="2" t="str">
        <f t="shared" si="1927"/>
        <v/>
      </c>
      <c r="EP1499" t="b">
        <f>IF(ISNUMBER(BU1499),IF(ABS(BU1499-[1]QC_indicators!$B$2)&gt;3*[1]QC_indicators!$C$2,"C ratio",IF(ISNUMBER(BY1499),IF(ABS(BY1499-[1]QC_indicators!$B$1)&gt;3*[1]QC_indicators!$C$1,"DF","no"))),IF(ISNUMBER(BY1499),IF(ABS(BY1499-[1]QC_indicators!$B$1)&gt;3*[1]QC_indicators!$C$1,"DF","no")))</f>
        <v>0</v>
      </c>
      <c r="ER1499" s="313" t="s">
        <v>349</v>
      </c>
    </row>
    <row r="1500" spans="1:148" ht="18" hidden="1" customHeight="1">
      <c r="A1500" s="1" t="s">
        <v>848</v>
      </c>
      <c r="B1500" t="s">
        <v>4198</v>
      </c>
      <c r="C1500" t="s">
        <v>4199</v>
      </c>
      <c r="D1500" t="s">
        <v>4200</v>
      </c>
      <c r="E1500" t="s">
        <v>4201</v>
      </c>
      <c r="F1500" t="s">
        <v>4202</v>
      </c>
      <c r="G1500" t="s">
        <v>854</v>
      </c>
      <c r="H1500" t="s">
        <v>254</v>
      </c>
      <c r="I1500">
        <v>2018</v>
      </c>
      <c r="J1500">
        <v>58</v>
      </c>
      <c r="K1500" t="s">
        <v>4203</v>
      </c>
      <c r="M1500" t="str">
        <f t="shared" si="1932"/>
        <v>Sterman_2018</v>
      </c>
      <c r="N1500" s="311" t="s">
        <v>4382</v>
      </c>
      <c r="O1500" s="145" t="s">
        <v>341</v>
      </c>
      <c r="Q1500" s="311" t="s">
        <v>256</v>
      </c>
      <c r="R1500" s="312"/>
      <c r="S1500" s="1" t="s">
        <v>4211</v>
      </c>
      <c r="T1500" t="s">
        <v>4205</v>
      </c>
      <c r="U1500" t="s">
        <v>1725</v>
      </c>
      <c r="V1500">
        <v>0</v>
      </c>
      <c r="W1500">
        <v>0</v>
      </c>
      <c r="X1500">
        <v>0</v>
      </c>
      <c r="Y1500">
        <v>0</v>
      </c>
      <c r="Z1500">
        <v>0</v>
      </c>
      <c r="AA1500">
        <v>0</v>
      </c>
      <c r="AB1500">
        <v>0</v>
      </c>
      <c r="AC1500">
        <v>0</v>
      </c>
      <c r="AD1500">
        <v>0</v>
      </c>
      <c r="AE1500">
        <v>0</v>
      </c>
      <c r="AF1500">
        <v>0</v>
      </c>
      <c r="AG1500">
        <v>0</v>
      </c>
      <c r="AH1500">
        <v>0</v>
      </c>
      <c r="AI1500">
        <v>0</v>
      </c>
      <c r="AJ1500">
        <v>0</v>
      </c>
      <c r="AK1500">
        <v>1</v>
      </c>
      <c r="AL1500">
        <v>0</v>
      </c>
      <c r="AM1500">
        <v>0</v>
      </c>
      <c r="AN1500">
        <v>0</v>
      </c>
      <c r="AO1500">
        <v>0</v>
      </c>
      <c r="AP1500">
        <v>0</v>
      </c>
      <c r="AQ1500">
        <v>0</v>
      </c>
      <c r="AR1500">
        <v>0</v>
      </c>
      <c r="AS1500">
        <v>0</v>
      </c>
      <c r="AT1500">
        <v>0</v>
      </c>
      <c r="AU1500">
        <v>0</v>
      </c>
      <c r="AV1500">
        <v>0</v>
      </c>
      <c r="AW1500">
        <v>0</v>
      </c>
      <c r="AX1500" s="141">
        <f t="shared" si="1967"/>
        <v>1</v>
      </c>
      <c r="AY1500" s="141">
        <f t="shared" si="1968"/>
        <v>1</v>
      </c>
      <c r="AZ1500">
        <f t="shared" si="1969"/>
        <v>0</v>
      </c>
      <c r="BA1500">
        <f t="shared" si="1970"/>
        <v>0</v>
      </c>
      <c r="BB1500">
        <f t="shared" si="1971"/>
        <v>1</v>
      </c>
      <c r="BC1500">
        <f t="shared" si="1972"/>
        <v>0</v>
      </c>
      <c r="BD1500">
        <f t="shared" si="1973"/>
        <v>0</v>
      </c>
      <c r="BE1500" t="str" cm="1">
        <f t="array" ref="BE1500">IF(AY1500=1,INDEX($V$7:$AL$7,MATCH(TRUE,INDEX($V1500:$AW1500&lt;&gt;0,),0)),IF(AY1500=0,INDEX($AM$7:$AW$7,MATCH(1,$AM1500:$AW1500,0)),IF(BF1500="Multiple strategies","mixed drivers",IF(BF1500="Supply chain","multiple supply","multiple silviculture"))))</f>
        <v>technologies/design switch</v>
      </c>
      <c r="BF1500" s="2" t="str" cm="1">
        <f t="array" ref="BF1500">IF(COUNTIF(AZ1500:BB1500,"&lt;&gt;0")=1,INDEX($V$4:$AW$4,MATCH(TRUE,INDEX($V1500:$AW1500&lt;&gt;0,),0)),IF(COUNTIF(AZ1500:BB1500,"&lt;&gt;0")=0,INDEX($AM$4:$AW$4,MATCH(1,$AM1500:$AW1500,0)),"Multiple strategies"))</f>
        <v>Technology</v>
      </c>
      <c r="BG1500" s="142"/>
      <c r="BJ1500" s="143"/>
      <c r="BL1500" s="143"/>
      <c r="BM1500" s="143"/>
      <c r="BN1500" s="143"/>
      <c r="BO1500" s="143"/>
      <c r="BP1500" s="311" t="s">
        <v>232</v>
      </c>
      <c r="BQ1500" s="311"/>
      <c r="BR1500" t="s">
        <v>4207</v>
      </c>
      <c r="BS1500" s="143"/>
      <c r="BU1500" s="144"/>
      <c r="BV1500">
        <v>-6.0999999999999999E-2</v>
      </c>
      <c r="BX1500">
        <f t="shared" si="1974"/>
        <v>-391772500</v>
      </c>
      <c r="BY1500" t="str">
        <f t="shared" si="1926"/>
        <v/>
      </c>
      <c r="BZ1500">
        <v>0</v>
      </c>
      <c r="CA1500">
        <v>0</v>
      </c>
      <c r="CB1500">
        <v>0</v>
      </c>
      <c r="CC1500">
        <v>0</v>
      </c>
      <c r="CD1500">
        <v>0</v>
      </c>
      <c r="CE1500">
        <v>0</v>
      </c>
      <c r="CF1500">
        <v>0</v>
      </c>
      <c r="CG1500">
        <v>0</v>
      </c>
      <c r="CH1500">
        <v>0</v>
      </c>
      <c r="CI1500">
        <v>0</v>
      </c>
      <c r="CJ1500">
        <v>0</v>
      </c>
      <c r="CK1500">
        <v>0</v>
      </c>
      <c r="CL1500">
        <v>0</v>
      </c>
      <c r="CM1500">
        <v>0</v>
      </c>
      <c r="CN1500" t="str">
        <f t="shared" si="1975"/>
        <v>refOK</v>
      </c>
      <c r="CO1500"/>
      <c r="CP1500"/>
      <c r="CQ1500"/>
      <c r="CR1500">
        <f t="shared" si="1976"/>
        <v>0</v>
      </c>
      <c r="CS1500">
        <f t="shared" si="1977"/>
        <v>0</v>
      </c>
      <c r="CT1500">
        <f t="shared" si="1978"/>
        <v>-391772500</v>
      </c>
      <c r="CU1500" t="str">
        <f t="shared" si="1979"/>
        <v/>
      </c>
      <c r="CV1500" s="2" t="str">
        <f t="shared" si="1980"/>
        <v/>
      </c>
      <c r="CW1500" s="1" t="s">
        <v>1198</v>
      </c>
      <c r="CX1500" s="311" t="str">
        <f t="shared" si="1981"/>
        <v>reg</v>
      </c>
      <c r="CY1500" t="s">
        <v>428</v>
      </c>
      <c r="CZ1500">
        <v>2020</v>
      </c>
      <c r="DA1500">
        <v>2100</v>
      </c>
      <c r="DB1500">
        <v>80</v>
      </c>
      <c r="DC1500" t="str">
        <f t="shared" si="1982"/>
        <v>71-100</v>
      </c>
      <c r="DD1500">
        <v>0</v>
      </c>
      <c r="DE1500">
        <v>1</v>
      </c>
      <c r="DF1500">
        <v>0</v>
      </c>
      <c r="DG1500">
        <v>0</v>
      </c>
      <c r="DI1500">
        <f t="shared" si="1983"/>
        <v>1</v>
      </c>
      <c r="DJ1500" t="str">
        <f t="shared" si="1984"/>
        <v>EnergyInput</v>
      </c>
      <c r="DK1500">
        <f t="shared" si="1985"/>
        <v>0</v>
      </c>
      <c r="DL1500" t="str">
        <f t="shared" si="1986"/>
        <v>Energy</v>
      </c>
      <c r="DM1500">
        <f t="shared" si="1987"/>
        <v>0</v>
      </c>
      <c r="DN1500">
        <f t="shared" si="1988"/>
        <v>0</v>
      </c>
      <c r="DO1500">
        <v>1</v>
      </c>
      <c r="DP1500">
        <v>1</v>
      </c>
      <c r="DQ1500" t="s">
        <v>4208</v>
      </c>
      <c r="DR1500">
        <v>0</v>
      </c>
      <c r="DS1500" t="s">
        <v>4209</v>
      </c>
      <c r="DT1500">
        <f t="shared" si="1989"/>
        <v>2</v>
      </c>
      <c r="DU1500" s="143" t="str">
        <f t="shared" si="1990"/>
        <v>self-calculated DF</v>
      </c>
      <c r="DV1500">
        <v>1</v>
      </c>
      <c r="DW1500">
        <v>1</v>
      </c>
      <c r="DX1500">
        <v>1</v>
      </c>
      <c r="DY1500">
        <v>0</v>
      </c>
      <c r="DZ1500">
        <v>1</v>
      </c>
      <c r="EA1500">
        <v>0</v>
      </c>
      <c r="EB1500">
        <v>1</v>
      </c>
      <c r="EC1500">
        <v>1</v>
      </c>
      <c r="ED1500">
        <v>0</v>
      </c>
      <c r="EE1500">
        <v>1</v>
      </c>
      <c r="EF1500">
        <v>1</v>
      </c>
      <c r="EG1500">
        <v>1</v>
      </c>
      <c r="EH1500">
        <v>0</v>
      </c>
      <c r="EI1500" s="2">
        <v>0</v>
      </c>
      <c r="EK1500" t="str">
        <f t="shared" si="1942"/>
        <v>Whole sector</v>
      </c>
      <c r="EL1500" t="str">
        <f t="shared" si="1943"/>
        <v/>
      </c>
      <c r="EM1500" s="2" t="str">
        <f t="shared" si="1927"/>
        <v/>
      </c>
      <c r="EP1500" t="b">
        <f>IF(ISNUMBER(BU1500),IF(ABS(BU1500-[1]QC_indicators!$B$2)&gt;3*[1]QC_indicators!$C$2,"C ratio",IF(ISNUMBER(BY1500),IF(ABS(BY1500-[1]QC_indicators!$B$1)&gt;3*[1]QC_indicators!$C$1,"DF","no"))),IF(ISNUMBER(BY1500),IF(ABS(BY1500-[1]QC_indicators!$B$1)&gt;3*[1]QC_indicators!$C$1,"DF","no")))</f>
        <v>0</v>
      </c>
      <c r="ER1500" s="313" t="s">
        <v>349</v>
      </c>
    </row>
    <row r="1501" spans="1:148" ht="18" hidden="1" customHeight="1">
      <c r="A1501" s="1" t="s">
        <v>848</v>
      </c>
      <c r="B1501" t="s">
        <v>4198</v>
      </c>
      <c r="C1501" t="s">
        <v>4199</v>
      </c>
      <c r="D1501" t="s">
        <v>4200</v>
      </c>
      <c r="E1501" t="s">
        <v>4201</v>
      </c>
      <c r="F1501" t="s">
        <v>4202</v>
      </c>
      <c r="G1501" t="s">
        <v>854</v>
      </c>
      <c r="H1501" t="s">
        <v>254</v>
      </c>
      <c r="I1501">
        <v>2018</v>
      </c>
      <c r="J1501">
        <v>58</v>
      </c>
      <c r="K1501" t="s">
        <v>4203</v>
      </c>
      <c r="M1501" t="str">
        <f t="shared" si="1932"/>
        <v>Sterman_2018</v>
      </c>
      <c r="N1501" s="311" t="s">
        <v>4382</v>
      </c>
      <c r="O1501" s="145" t="s">
        <v>341</v>
      </c>
      <c r="Q1501" s="311" t="s">
        <v>256</v>
      </c>
      <c r="R1501" s="312"/>
      <c r="S1501" s="1" t="s">
        <v>4212</v>
      </c>
      <c r="T1501" t="s">
        <v>4205</v>
      </c>
      <c r="U1501" t="s">
        <v>1725</v>
      </c>
      <c r="V1501">
        <v>0</v>
      </c>
      <c r="W1501">
        <v>0</v>
      </c>
      <c r="X1501">
        <v>0</v>
      </c>
      <c r="Y1501">
        <v>0</v>
      </c>
      <c r="Z1501">
        <v>0</v>
      </c>
      <c r="AA1501">
        <v>0</v>
      </c>
      <c r="AB1501">
        <v>0</v>
      </c>
      <c r="AC1501">
        <v>0</v>
      </c>
      <c r="AD1501">
        <v>0</v>
      </c>
      <c r="AE1501">
        <v>0</v>
      </c>
      <c r="AF1501">
        <v>0</v>
      </c>
      <c r="AG1501">
        <v>0</v>
      </c>
      <c r="AH1501">
        <v>0</v>
      </c>
      <c r="AI1501">
        <v>0</v>
      </c>
      <c r="AJ1501">
        <v>0</v>
      </c>
      <c r="AK1501">
        <v>1</v>
      </c>
      <c r="AL1501">
        <v>0</v>
      </c>
      <c r="AM1501">
        <v>0</v>
      </c>
      <c r="AN1501">
        <v>0</v>
      </c>
      <c r="AO1501">
        <v>0</v>
      </c>
      <c r="AP1501">
        <v>0</v>
      </c>
      <c r="AQ1501">
        <v>0</v>
      </c>
      <c r="AR1501">
        <v>0</v>
      </c>
      <c r="AS1501">
        <v>0</v>
      </c>
      <c r="AT1501">
        <v>0</v>
      </c>
      <c r="AU1501">
        <v>0</v>
      </c>
      <c r="AV1501">
        <v>0</v>
      </c>
      <c r="AW1501">
        <v>0</v>
      </c>
      <c r="AX1501" s="141">
        <f t="shared" si="1967"/>
        <v>1</v>
      </c>
      <c r="AY1501" s="141">
        <f t="shared" si="1968"/>
        <v>1</v>
      </c>
      <c r="AZ1501">
        <f t="shared" si="1969"/>
        <v>0</v>
      </c>
      <c r="BA1501">
        <f t="shared" si="1970"/>
        <v>0</v>
      </c>
      <c r="BB1501">
        <f t="shared" si="1971"/>
        <v>1</v>
      </c>
      <c r="BC1501">
        <f t="shared" si="1972"/>
        <v>0</v>
      </c>
      <c r="BD1501">
        <f t="shared" si="1973"/>
        <v>0</v>
      </c>
      <c r="BE1501" t="str" cm="1">
        <f t="array" ref="BE1501">IF(AY1501=1,INDEX($V$7:$AL$7,MATCH(TRUE,INDEX($V1501:$AW1501&lt;&gt;0,),0)),IF(AY1501=0,INDEX($AM$7:$AW$7,MATCH(1,$AM1501:$AW1501,0)),IF(BF1501="Multiple strategies","mixed drivers",IF(BF1501="Supply chain","multiple supply","multiple silviculture"))))</f>
        <v>technologies/design switch</v>
      </c>
      <c r="BF1501" s="2" t="str" cm="1">
        <f t="array" ref="BF1501">IF(COUNTIF(AZ1501:BB1501,"&lt;&gt;0")=1,INDEX($V$4:$AW$4,MATCH(TRUE,INDEX($V1501:$AW1501&lt;&gt;0,),0)),IF(COUNTIF(AZ1501:BB1501,"&lt;&gt;0")=0,INDEX($AM$4:$AW$4,MATCH(1,$AM1501:$AW1501,0)),"Multiple strategies"))</f>
        <v>Technology</v>
      </c>
      <c r="BG1501" s="142"/>
      <c r="BJ1501" s="143"/>
      <c r="BL1501" s="143"/>
      <c r="BM1501" s="143"/>
      <c r="BN1501" s="143"/>
      <c r="BO1501" s="143"/>
      <c r="BP1501" s="311" t="s">
        <v>232</v>
      </c>
      <c r="BQ1501" s="311"/>
      <c r="BR1501" t="s">
        <v>4207</v>
      </c>
      <c r="BS1501" s="143"/>
      <c r="BU1501" s="144"/>
      <c r="BV1501">
        <v>-3.5000000000000003E-2</v>
      </c>
      <c r="BX1501">
        <f t="shared" si="1974"/>
        <v>-224787500.00000003</v>
      </c>
      <c r="BY1501" t="str">
        <f t="shared" si="1926"/>
        <v/>
      </c>
      <c r="BZ1501">
        <v>0</v>
      </c>
      <c r="CA1501">
        <v>0</v>
      </c>
      <c r="CB1501">
        <v>0</v>
      </c>
      <c r="CC1501">
        <v>0</v>
      </c>
      <c r="CD1501">
        <v>0</v>
      </c>
      <c r="CE1501">
        <v>0</v>
      </c>
      <c r="CF1501">
        <v>0</v>
      </c>
      <c r="CG1501">
        <v>0</v>
      </c>
      <c r="CH1501">
        <v>0</v>
      </c>
      <c r="CI1501">
        <v>0</v>
      </c>
      <c r="CJ1501">
        <v>0</v>
      </c>
      <c r="CK1501">
        <v>0</v>
      </c>
      <c r="CL1501">
        <v>0</v>
      </c>
      <c r="CM1501">
        <v>0</v>
      </c>
      <c r="CN1501" t="str">
        <f t="shared" si="1975"/>
        <v>refOK</v>
      </c>
      <c r="CO1501"/>
      <c r="CP1501"/>
      <c r="CQ1501"/>
      <c r="CR1501">
        <f t="shared" si="1976"/>
        <v>0</v>
      </c>
      <c r="CS1501">
        <f t="shared" si="1977"/>
        <v>0</v>
      </c>
      <c r="CT1501">
        <f t="shared" si="1978"/>
        <v>-224787500.00000003</v>
      </c>
      <c r="CU1501" t="str">
        <f t="shared" si="1979"/>
        <v/>
      </c>
      <c r="CV1501" s="2" t="str">
        <f t="shared" si="1980"/>
        <v/>
      </c>
      <c r="CW1501" s="1" t="s">
        <v>1198</v>
      </c>
      <c r="CX1501" s="311" t="str">
        <f t="shared" si="1981"/>
        <v>reg</v>
      </c>
      <c r="CY1501" t="s">
        <v>428</v>
      </c>
      <c r="CZ1501">
        <v>2020</v>
      </c>
      <c r="DA1501">
        <v>2100</v>
      </c>
      <c r="DB1501">
        <v>80</v>
      </c>
      <c r="DC1501" t="str">
        <f t="shared" si="1982"/>
        <v>71-100</v>
      </c>
      <c r="DD1501">
        <v>0</v>
      </c>
      <c r="DE1501">
        <v>1</v>
      </c>
      <c r="DF1501">
        <v>0</v>
      </c>
      <c r="DG1501">
        <v>0</v>
      </c>
      <c r="DI1501">
        <f t="shared" si="1983"/>
        <v>1</v>
      </c>
      <c r="DJ1501" t="str">
        <f t="shared" si="1984"/>
        <v>EnergyInput</v>
      </c>
      <c r="DK1501">
        <f t="shared" si="1985"/>
        <v>0</v>
      </c>
      <c r="DL1501" t="str">
        <f t="shared" si="1986"/>
        <v>Energy</v>
      </c>
      <c r="DM1501">
        <f t="shared" si="1987"/>
        <v>0</v>
      </c>
      <c r="DN1501">
        <f t="shared" si="1988"/>
        <v>0</v>
      </c>
      <c r="DO1501">
        <v>1</v>
      </c>
      <c r="DP1501">
        <v>1</v>
      </c>
      <c r="DQ1501" t="s">
        <v>4208</v>
      </c>
      <c r="DR1501">
        <v>0</v>
      </c>
      <c r="DS1501" t="s">
        <v>4209</v>
      </c>
      <c r="DT1501">
        <f t="shared" si="1989"/>
        <v>2</v>
      </c>
      <c r="DU1501" s="143" t="str">
        <f t="shared" si="1990"/>
        <v>self-calculated DF</v>
      </c>
      <c r="DV1501">
        <v>1</v>
      </c>
      <c r="DW1501">
        <v>1</v>
      </c>
      <c r="DX1501">
        <v>1</v>
      </c>
      <c r="DY1501">
        <v>0</v>
      </c>
      <c r="DZ1501">
        <v>1</v>
      </c>
      <c r="EA1501">
        <v>0</v>
      </c>
      <c r="EB1501">
        <v>1</v>
      </c>
      <c r="EC1501">
        <v>1</v>
      </c>
      <c r="ED1501">
        <v>0</v>
      </c>
      <c r="EE1501">
        <v>1</v>
      </c>
      <c r="EF1501">
        <v>1</v>
      </c>
      <c r="EG1501">
        <v>1</v>
      </c>
      <c r="EH1501">
        <v>0</v>
      </c>
      <c r="EI1501" s="2">
        <v>0</v>
      </c>
      <c r="EK1501" t="str">
        <f t="shared" si="1942"/>
        <v>Whole sector</v>
      </c>
      <c r="EL1501" t="str">
        <f t="shared" si="1943"/>
        <v/>
      </c>
      <c r="EM1501" s="2" t="str">
        <f t="shared" si="1927"/>
        <v/>
      </c>
      <c r="EP1501" t="b">
        <f>IF(ISNUMBER(BU1501),IF(ABS(BU1501-[1]QC_indicators!$B$2)&gt;3*[1]QC_indicators!$C$2,"C ratio",IF(ISNUMBER(BY1501),IF(ABS(BY1501-[1]QC_indicators!$B$1)&gt;3*[1]QC_indicators!$C$1,"DF","no"))),IF(ISNUMBER(BY1501),IF(ABS(BY1501-[1]QC_indicators!$B$1)&gt;3*[1]QC_indicators!$C$1,"DF","no")))</f>
        <v>0</v>
      </c>
      <c r="ER1501" s="313" t="s">
        <v>349</v>
      </c>
    </row>
    <row r="1502" spans="1:148" ht="18" hidden="1" customHeight="1">
      <c r="A1502" s="1" t="s">
        <v>848</v>
      </c>
      <c r="B1502" t="s">
        <v>4198</v>
      </c>
      <c r="C1502" t="s">
        <v>4199</v>
      </c>
      <c r="D1502" t="s">
        <v>4200</v>
      </c>
      <c r="E1502" t="s">
        <v>4201</v>
      </c>
      <c r="F1502" t="s">
        <v>4202</v>
      </c>
      <c r="G1502" t="s">
        <v>854</v>
      </c>
      <c r="H1502" t="s">
        <v>254</v>
      </c>
      <c r="I1502">
        <v>2018</v>
      </c>
      <c r="J1502">
        <v>58</v>
      </c>
      <c r="K1502" t="s">
        <v>4203</v>
      </c>
      <c r="M1502" t="str">
        <f t="shared" si="1932"/>
        <v>Sterman_2018</v>
      </c>
      <c r="N1502" s="311" t="s">
        <v>4382</v>
      </c>
      <c r="O1502" s="145" t="s">
        <v>341</v>
      </c>
      <c r="Q1502" s="311" t="s">
        <v>256</v>
      </c>
      <c r="R1502" s="312"/>
      <c r="S1502" s="1" t="s">
        <v>4213</v>
      </c>
      <c r="T1502" t="s">
        <v>4205</v>
      </c>
      <c r="U1502" t="s">
        <v>1725</v>
      </c>
      <c r="V1502">
        <v>0</v>
      </c>
      <c r="W1502">
        <v>0</v>
      </c>
      <c r="X1502">
        <v>0</v>
      </c>
      <c r="Y1502">
        <v>0</v>
      </c>
      <c r="Z1502">
        <v>0</v>
      </c>
      <c r="AA1502">
        <v>0</v>
      </c>
      <c r="AB1502">
        <v>0</v>
      </c>
      <c r="AC1502">
        <v>0</v>
      </c>
      <c r="AD1502">
        <v>0</v>
      </c>
      <c r="AE1502">
        <v>0</v>
      </c>
      <c r="AF1502">
        <v>0</v>
      </c>
      <c r="AG1502">
        <v>0</v>
      </c>
      <c r="AH1502">
        <v>0</v>
      </c>
      <c r="AI1502">
        <v>0</v>
      </c>
      <c r="AJ1502">
        <v>0</v>
      </c>
      <c r="AK1502">
        <v>1</v>
      </c>
      <c r="AL1502">
        <v>0</v>
      </c>
      <c r="AM1502">
        <v>0</v>
      </c>
      <c r="AN1502">
        <v>0</v>
      </c>
      <c r="AO1502">
        <v>0</v>
      </c>
      <c r="AP1502">
        <v>0</v>
      </c>
      <c r="AQ1502">
        <v>0</v>
      </c>
      <c r="AR1502">
        <v>0</v>
      </c>
      <c r="AS1502">
        <v>0</v>
      </c>
      <c r="AT1502">
        <v>0</v>
      </c>
      <c r="AU1502">
        <v>0</v>
      </c>
      <c r="AV1502">
        <v>0</v>
      </c>
      <c r="AW1502">
        <v>0</v>
      </c>
      <c r="AX1502" s="141">
        <f t="shared" si="1967"/>
        <v>1</v>
      </c>
      <c r="AY1502" s="141">
        <f t="shared" si="1968"/>
        <v>1</v>
      </c>
      <c r="AZ1502">
        <f t="shared" si="1969"/>
        <v>0</v>
      </c>
      <c r="BA1502">
        <f t="shared" si="1970"/>
        <v>0</v>
      </c>
      <c r="BB1502">
        <f t="shared" si="1971"/>
        <v>1</v>
      </c>
      <c r="BC1502">
        <f t="shared" si="1972"/>
        <v>0</v>
      </c>
      <c r="BD1502">
        <f t="shared" si="1973"/>
        <v>0</v>
      </c>
      <c r="BE1502" t="str" cm="1">
        <f t="array" ref="BE1502">IF(AY1502=1,INDEX($V$7:$AL$7,MATCH(TRUE,INDEX($V1502:$AW1502&lt;&gt;0,),0)),IF(AY1502=0,INDEX($AM$7:$AW$7,MATCH(1,$AM1502:$AW1502,0)),IF(BF1502="Multiple strategies","mixed drivers",IF(BF1502="Supply chain","multiple supply","multiple silviculture"))))</f>
        <v>technologies/design switch</v>
      </c>
      <c r="BF1502" s="2" t="str" cm="1">
        <f t="array" ref="BF1502">IF(COUNTIF(AZ1502:BB1502,"&lt;&gt;0")=1,INDEX($V$4:$AW$4,MATCH(TRUE,INDEX($V1502:$AW1502&lt;&gt;0,),0)),IF(COUNTIF(AZ1502:BB1502,"&lt;&gt;0")=0,INDEX($AM$4:$AW$4,MATCH(1,$AM1502:$AW1502,0)),"Multiple strategies"))</f>
        <v>Technology</v>
      </c>
      <c r="BG1502" s="142"/>
      <c r="BJ1502" s="143"/>
      <c r="BL1502" s="143"/>
      <c r="BM1502" s="143"/>
      <c r="BN1502" s="143"/>
      <c r="BO1502" s="143"/>
      <c r="BP1502" s="311" t="s">
        <v>232</v>
      </c>
      <c r="BQ1502" s="311"/>
      <c r="BR1502" t="s">
        <v>4207</v>
      </c>
      <c r="BS1502" s="143"/>
      <c r="BU1502" s="144"/>
      <c r="BV1502">
        <v>-3.5000000000000003E-2</v>
      </c>
      <c r="BX1502">
        <f t="shared" si="1974"/>
        <v>-224787500.00000003</v>
      </c>
      <c r="BY1502" t="str">
        <f t="shared" si="1926"/>
        <v/>
      </c>
      <c r="BZ1502">
        <v>0</v>
      </c>
      <c r="CA1502">
        <v>0</v>
      </c>
      <c r="CB1502">
        <v>0</v>
      </c>
      <c r="CC1502">
        <v>0</v>
      </c>
      <c r="CD1502">
        <v>0</v>
      </c>
      <c r="CE1502">
        <v>0</v>
      </c>
      <c r="CF1502">
        <v>0</v>
      </c>
      <c r="CG1502">
        <v>0</v>
      </c>
      <c r="CH1502">
        <v>0</v>
      </c>
      <c r="CI1502">
        <v>0</v>
      </c>
      <c r="CJ1502">
        <v>0</v>
      </c>
      <c r="CK1502">
        <v>0</v>
      </c>
      <c r="CL1502">
        <v>0</v>
      </c>
      <c r="CM1502">
        <v>0</v>
      </c>
      <c r="CN1502" t="str">
        <f t="shared" si="1975"/>
        <v>refOK</v>
      </c>
      <c r="CO1502"/>
      <c r="CP1502"/>
      <c r="CQ1502"/>
      <c r="CR1502">
        <f t="shared" si="1976"/>
        <v>0</v>
      </c>
      <c r="CS1502">
        <f t="shared" si="1977"/>
        <v>0</v>
      </c>
      <c r="CT1502">
        <f t="shared" si="1978"/>
        <v>-224787500.00000003</v>
      </c>
      <c r="CU1502" t="str">
        <f t="shared" si="1979"/>
        <v/>
      </c>
      <c r="CV1502" s="2" t="str">
        <f t="shared" si="1980"/>
        <v/>
      </c>
      <c r="CW1502" s="1" t="s">
        <v>1198</v>
      </c>
      <c r="CX1502" s="311" t="str">
        <f t="shared" si="1981"/>
        <v>reg</v>
      </c>
      <c r="CY1502" t="s">
        <v>428</v>
      </c>
      <c r="CZ1502">
        <v>2020</v>
      </c>
      <c r="DA1502">
        <v>2100</v>
      </c>
      <c r="DB1502">
        <v>80</v>
      </c>
      <c r="DC1502" t="str">
        <f t="shared" si="1982"/>
        <v>71-100</v>
      </c>
      <c r="DD1502">
        <v>0</v>
      </c>
      <c r="DE1502">
        <v>1</v>
      </c>
      <c r="DF1502">
        <v>0</v>
      </c>
      <c r="DG1502">
        <v>0</v>
      </c>
      <c r="DI1502">
        <f t="shared" si="1983"/>
        <v>1</v>
      </c>
      <c r="DJ1502" t="str">
        <f t="shared" si="1984"/>
        <v>EnergyInput</v>
      </c>
      <c r="DK1502">
        <f t="shared" si="1985"/>
        <v>0</v>
      </c>
      <c r="DL1502" t="str">
        <f t="shared" si="1986"/>
        <v>Energy</v>
      </c>
      <c r="DM1502">
        <f t="shared" si="1987"/>
        <v>0</v>
      </c>
      <c r="DN1502">
        <f t="shared" si="1988"/>
        <v>0</v>
      </c>
      <c r="DO1502">
        <v>1</v>
      </c>
      <c r="DP1502">
        <v>1</v>
      </c>
      <c r="DQ1502" t="s">
        <v>4208</v>
      </c>
      <c r="DR1502">
        <v>0</v>
      </c>
      <c r="DS1502" t="s">
        <v>4209</v>
      </c>
      <c r="DT1502">
        <f t="shared" si="1989"/>
        <v>2</v>
      </c>
      <c r="DU1502" s="143" t="str">
        <f t="shared" si="1990"/>
        <v>self-calculated DF</v>
      </c>
      <c r="DV1502">
        <v>1</v>
      </c>
      <c r="DW1502">
        <v>1</v>
      </c>
      <c r="DX1502">
        <v>1</v>
      </c>
      <c r="DY1502">
        <v>0</v>
      </c>
      <c r="DZ1502">
        <v>1</v>
      </c>
      <c r="EA1502">
        <v>0</v>
      </c>
      <c r="EB1502">
        <v>1</v>
      </c>
      <c r="EC1502">
        <v>1</v>
      </c>
      <c r="ED1502">
        <v>0</v>
      </c>
      <c r="EE1502">
        <v>1</v>
      </c>
      <c r="EF1502">
        <v>1</v>
      </c>
      <c r="EG1502">
        <v>1</v>
      </c>
      <c r="EH1502">
        <v>0</v>
      </c>
      <c r="EI1502" s="2">
        <v>0</v>
      </c>
      <c r="EK1502" t="str">
        <f t="shared" si="1942"/>
        <v>Whole sector</v>
      </c>
      <c r="EL1502" t="str">
        <f t="shared" si="1943"/>
        <v/>
      </c>
      <c r="EM1502" s="2" t="str">
        <f t="shared" si="1927"/>
        <v/>
      </c>
      <c r="EP1502" t="b">
        <f>IF(ISNUMBER(BU1502),IF(ABS(BU1502-[1]QC_indicators!$B$2)&gt;3*[1]QC_indicators!$C$2,"C ratio",IF(ISNUMBER(BY1502),IF(ABS(BY1502-[1]QC_indicators!$B$1)&gt;3*[1]QC_indicators!$C$1,"DF","no"))),IF(ISNUMBER(BY1502),IF(ABS(BY1502-[1]QC_indicators!$B$1)&gt;3*[1]QC_indicators!$C$1,"DF","no")))</f>
        <v>0</v>
      </c>
      <c r="ER1502" s="313" t="s">
        <v>349</v>
      </c>
    </row>
    <row r="1503" spans="1:148" ht="18" hidden="1" customHeight="1">
      <c r="A1503" s="1" t="s">
        <v>848</v>
      </c>
      <c r="B1503" t="s">
        <v>4198</v>
      </c>
      <c r="C1503" t="s">
        <v>4199</v>
      </c>
      <c r="D1503" t="s">
        <v>4200</v>
      </c>
      <c r="E1503" t="s">
        <v>4201</v>
      </c>
      <c r="F1503" t="s">
        <v>4202</v>
      </c>
      <c r="G1503" t="s">
        <v>854</v>
      </c>
      <c r="H1503" t="s">
        <v>254</v>
      </c>
      <c r="I1503">
        <v>2018</v>
      </c>
      <c r="J1503">
        <v>58</v>
      </c>
      <c r="K1503" t="s">
        <v>4203</v>
      </c>
      <c r="M1503" t="str">
        <f t="shared" si="1932"/>
        <v>Sterman_2018</v>
      </c>
      <c r="N1503" s="311" t="s">
        <v>4382</v>
      </c>
      <c r="O1503" s="145" t="s">
        <v>341</v>
      </c>
      <c r="Q1503" s="311" t="s">
        <v>256</v>
      </c>
      <c r="R1503" s="312"/>
      <c r="S1503" s="1" t="s">
        <v>4214</v>
      </c>
      <c r="T1503" t="s">
        <v>4205</v>
      </c>
      <c r="U1503" t="s">
        <v>1725</v>
      </c>
      <c r="V1503">
        <v>0</v>
      </c>
      <c r="W1503">
        <v>0</v>
      </c>
      <c r="X1503">
        <v>0</v>
      </c>
      <c r="Y1503">
        <v>0</v>
      </c>
      <c r="Z1503">
        <v>0</v>
      </c>
      <c r="AA1503">
        <v>0</v>
      </c>
      <c r="AB1503">
        <v>0</v>
      </c>
      <c r="AC1503">
        <v>0</v>
      </c>
      <c r="AD1503">
        <v>0</v>
      </c>
      <c r="AE1503">
        <v>0</v>
      </c>
      <c r="AF1503">
        <v>0</v>
      </c>
      <c r="AG1503">
        <v>0</v>
      </c>
      <c r="AH1503">
        <v>0</v>
      </c>
      <c r="AI1503">
        <v>0</v>
      </c>
      <c r="AJ1503">
        <v>0</v>
      </c>
      <c r="AK1503">
        <v>1</v>
      </c>
      <c r="AL1503">
        <v>0</v>
      </c>
      <c r="AM1503">
        <v>0</v>
      </c>
      <c r="AN1503">
        <v>0</v>
      </c>
      <c r="AO1503">
        <v>0</v>
      </c>
      <c r="AP1503">
        <v>0</v>
      </c>
      <c r="AQ1503">
        <v>0</v>
      </c>
      <c r="AR1503">
        <v>0</v>
      </c>
      <c r="AS1503">
        <v>0</v>
      </c>
      <c r="AT1503">
        <v>0</v>
      </c>
      <c r="AU1503">
        <v>0</v>
      </c>
      <c r="AV1503">
        <v>0</v>
      </c>
      <c r="AW1503">
        <v>0</v>
      </c>
      <c r="AX1503" s="141">
        <f t="shared" si="1967"/>
        <v>1</v>
      </c>
      <c r="AY1503" s="141">
        <f t="shared" si="1968"/>
        <v>1</v>
      </c>
      <c r="AZ1503">
        <f t="shared" si="1969"/>
        <v>0</v>
      </c>
      <c r="BA1503">
        <f t="shared" si="1970"/>
        <v>0</v>
      </c>
      <c r="BB1503">
        <f t="shared" si="1971"/>
        <v>1</v>
      </c>
      <c r="BC1503">
        <f t="shared" si="1972"/>
        <v>0</v>
      </c>
      <c r="BD1503">
        <f t="shared" si="1973"/>
        <v>0</v>
      </c>
      <c r="BE1503" t="str" cm="1">
        <f t="array" ref="BE1503">IF(AY1503=1,INDEX($V$7:$AL$7,MATCH(TRUE,INDEX($V1503:$AW1503&lt;&gt;0,),0)),IF(AY1503=0,INDEX($AM$7:$AW$7,MATCH(1,$AM1503:$AW1503,0)),IF(BF1503="Multiple strategies","mixed drivers",IF(BF1503="Supply chain","multiple supply","multiple silviculture"))))</f>
        <v>technologies/design switch</v>
      </c>
      <c r="BF1503" s="2" t="str" cm="1">
        <f t="array" ref="BF1503">IF(COUNTIF(AZ1503:BB1503,"&lt;&gt;0")=1,INDEX($V$4:$AW$4,MATCH(TRUE,INDEX($V1503:$AW1503&lt;&gt;0,),0)),IF(COUNTIF(AZ1503:BB1503,"&lt;&gt;0")=0,INDEX($AM$4:$AW$4,MATCH(1,$AM1503:$AW1503,0)),"Multiple strategies"))</f>
        <v>Technology</v>
      </c>
      <c r="BG1503" s="142"/>
      <c r="BJ1503" s="143"/>
      <c r="BL1503" s="143"/>
      <c r="BM1503" s="143"/>
      <c r="BN1503" s="143"/>
      <c r="BO1503" s="143"/>
      <c r="BP1503" s="311" t="s">
        <v>232</v>
      </c>
      <c r="BQ1503" s="311"/>
      <c r="BR1503" t="s">
        <v>4207</v>
      </c>
      <c r="BS1503" s="143"/>
      <c r="BU1503" s="144"/>
      <c r="BV1503">
        <v>0.01</v>
      </c>
      <c r="BX1503">
        <f t="shared" si="1974"/>
        <v>64225000</v>
      </c>
      <c r="BY1503" t="str">
        <f t="shared" si="1926"/>
        <v/>
      </c>
      <c r="BZ1503">
        <v>0</v>
      </c>
      <c r="CA1503">
        <v>0</v>
      </c>
      <c r="CB1503">
        <v>0</v>
      </c>
      <c r="CC1503">
        <v>0</v>
      </c>
      <c r="CD1503">
        <v>0</v>
      </c>
      <c r="CE1503">
        <v>0</v>
      </c>
      <c r="CF1503">
        <v>0</v>
      </c>
      <c r="CG1503">
        <v>0</v>
      </c>
      <c r="CH1503">
        <v>0</v>
      </c>
      <c r="CI1503">
        <v>0</v>
      </c>
      <c r="CJ1503">
        <v>0</v>
      </c>
      <c r="CK1503">
        <v>0</v>
      </c>
      <c r="CL1503">
        <v>0</v>
      </c>
      <c r="CM1503">
        <v>0</v>
      </c>
      <c r="CN1503" t="str">
        <f t="shared" si="1975"/>
        <v>refOK</v>
      </c>
      <c r="CO1503"/>
      <c r="CP1503"/>
      <c r="CQ1503"/>
      <c r="CR1503">
        <f t="shared" si="1976"/>
        <v>0</v>
      </c>
      <c r="CS1503">
        <f t="shared" si="1977"/>
        <v>0</v>
      </c>
      <c r="CT1503">
        <f t="shared" si="1978"/>
        <v>64225000</v>
      </c>
      <c r="CU1503" t="str">
        <f t="shared" si="1979"/>
        <v/>
      </c>
      <c r="CV1503" s="2" t="str">
        <f t="shared" si="1980"/>
        <v/>
      </c>
      <c r="CW1503" s="1" t="s">
        <v>1198</v>
      </c>
      <c r="CX1503" s="311" t="str">
        <f t="shared" si="1981"/>
        <v>reg</v>
      </c>
      <c r="CY1503" t="s">
        <v>428</v>
      </c>
      <c r="CZ1503">
        <v>2020</v>
      </c>
      <c r="DA1503">
        <v>2100</v>
      </c>
      <c r="DB1503">
        <v>80</v>
      </c>
      <c r="DC1503" t="str">
        <f t="shared" si="1982"/>
        <v>71-100</v>
      </c>
      <c r="DD1503">
        <v>0</v>
      </c>
      <c r="DE1503">
        <v>1</v>
      </c>
      <c r="DF1503">
        <v>0</v>
      </c>
      <c r="DG1503">
        <v>0</v>
      </c>
      <c r="DI1503">
        <f t="shared" si="1983"/>
        <v>1</v>
      </c>
      <c r="DJ1503" t="str">
        <f t="shared" si="1984"/>
        <v>EnergyInput</v>
      </c>
      <c r="DK1503">
        <f t="shared" si="1985"/>
        <v>0</v>
      </c>
      <c r="DL1503" t="str">
        <f t="shared" si="1986"/>
        <v>Energy</v>
      </c>
      <c r="DM1503">
        <f t="shared" si="1987"/>
        <v>0</v>
      </c>
      <c r="DN1503">
        <f t="shared" si="1988"/>
        <v>0</v>
      </c>
      <c r="DO1503">
        <v>1</v>
      </c>
      <c r="DP1503">
        <v>1</v>
      </c>
      <c r="DQ1503" t="s">
        <v>4208</v>
      </c>
      <c r="DR1503">
        <v>0</v>
      </c>
      <c r="DS1503" t="s">
        <v>4209</v>
      </c>
      <c r="DT1503">
        <f t="shared" si="1989"/>
        <v>2</v>
      </c>
      <c r="DU1503" s="143" t="str">
        <f t="shared" si="1990"/>
        <v>self-calculated DF</v>
      </c>
      <c r="DV1503">
        <v>1</v>
      </c>
      <c r="DW1503">
        <v>1</v>
      </c>
      <c r="DX1503">
        <v>1</v>
      </c>
      <c r="DY1503">
        <v>0</v>
      </c>
      <c r="DZ1503">
        <v>1</v>
      </c>
      <c r="EA1503">
        <v>0</v>
      </c>
      <c r="EB1503">
        <v>1</v>
      </c>
      <c r="EC1503">
        <v>1</v>
      </c>
      <c r="ED1503">
        <v>0</v>
      </c>
      <c r="EE1503">
        <v>1</v>
      </c>
      <c r="EF1503">
        <v>1</v>
      </c>
      <c r="EG1503">
        <v>1</v>
      </c>
      <c r="EH1503">
        <v>0</v>
      </c>
      <c r="EI1503" s="2">
        <v>0</v>
      </c>
      <c r="EK1503" t="str">
        <f t="shared" si="1942"/>
        <v>Whole sector</v>
      </c>
      <c r="EL1503" t="str">
        <f t="shared" si="1943"/>
        <v/>
      </c>
      <c r="EM1503" s="2" t="str">
        <f t="shared" si="1927"/>
        <v/>
      </c>
      <c r="EP1503" t="b">
        <f>IF(ISNUMBER(BU1503),IF(ABS(BU1503-[1]QC_indicators!$B$2)&gt;3*[1]QC_indicators!$C$2,"C ratio",IF(ISNUMBER(BY1503),IF(ABS(BY1503-[1]QC_indicators!$B$1)&gt;3*[1]QC_indicators!$C$1,"DF","no"))),IF(ISNUMBER(BY1503),IF(ABS(BY1503-[1]QC_indicators!$B$1)&gt;3*[1]QC_indicators!$C$1,"DF","no")))</f>
        <v>0</v>
      </c>
      <c r="ER1503" s="313" t="s">
        <v>349</v>
      </c>
    </row>
    <row r="1504" spans="1:148" ht="18" hidden="1" customHeight="1">
      <c r="A1504" s="1" t="s">
        <v>848</v>
      </c>
      <c r="B1504" t="s">
        <v>4198</v>
      </c>
      <c r="C1504" t="s">
        <v>4199</v>
      </c>
      <c r="D1504" t="s">
        <v>4200</v>
      </c>
      <c r="E1504" t="s">
        <v>4201</v>
      </c>
      <c r="F1504" t="s">
        <v>4202</v>
      </c>
      <c r="G1504" t="s">
        <v>854</v>
      </c>
      <c r="H1504" t="s">
        <v>254</v>
      </c>
      <c r="I1504">
        <v>2018</v>
      </c>
      <c r="J1504">
        <v>58</v>
      </c>
      <c r="K1504" t="s">
        <v>4203</v>
      </c>
      <c r="M1504" t="str">
        <f t="shared" si="1932"/>
        <v>Sterman_2018</v>
      </c>
      <c r="N1504" s="311" t="s">
        <v>4382</v>
      </c>
      <c r="O1504" s="145" t="s">
        <v>341</v>
      </c>
      <c r="Q1504" s="311" t="s">
        <v>256</v>
      </c>
      <c r="R1504" s="312"/>
      <c r="S1504" s="1" t="s">
        <v>4215</v>
      </c>
      <c r="T1504" t="s">
        <v>4205</v>
      </c>
      <c r="U1504" t="s">
        <v>1725</v>
      </c>
      <c r="V1504">
        <v>0</v>
      </c>
      <c r="W1504">
        <v>0</v>
      </c>
      <c r="X1504">
        <v>0</v>
      </c>
      <c r="Y1504">
        <v>0</v>
      </c>
      <c r="Z1504">
        <v>0</v>
      </c>
      <c r="AA1504">
        <v>0</v>
      </c>
      <c r="AB1504">
        <v>0</v>
      </c>
      <c r="AC1504">
        <v>0</v>
      </c>
      <c r="AD1504">
        <v>0</v>
      </c>
      <c r="AE1504">
        <v>0</v>
      </c>
      <c r="AF1504">
        <v>0</v>
      </c>
      <c r="AG1504">
        <v>0</v>
      </c>
      <c r="AH1504">
        <v>0</v>
      </c>
      <c r="AI1504">
        <v>0</v>
      </c>
      <c r="AJ1504">
        <v>0</v>
      </c>
      <c r="AK1504">
        <v>1</v>
      </c>
      <c r="AL1504">
        <v>0</v>
      </c>
      <c r="AM1504">
        <v>0</v>
      </c>
      <c r="AN1504">
        <v>0</v>
      </c>
      <c r="AO1504">
        <v>0</v>
      </c>
      <c r="AP1504">
        <v>0</v>
      </c>
      <c r="AQ1504">
        <v>0</v>
      </c>
      <c r="AR1504">
        <v>0</v>
      </c>
      <c r="AS1504">
        <v>0</v>
      </c>
      <c r="AT1504">
        <v>0</v>
      </c>
      <c r="AU1504">
        <v>0</v>
      </c>
      <c r="AV1504">
        <v>0</v>
      </c>
      <c r="AW1504">
        <v>0</v>
      </c>
      <c r="AX1504" s="141">
        <f t="shared" si="1967"/>
        <v>1</v>
      </c>
      <c r="AY1504" s="141">
        <f t="shared" si="1968"/>
        <v>1</v>
      </c>
      <c r="AZ1504">
        <f t="shared" si="1969"/>
        <v>0</v>
      </c>
      <c r="BA1504">
        <f t="shared" si="1970"/>
        <v>0</v>
      </c>
      <c r="BB1504">
        <f t="shared" si="1971"/>
        <v>1</v>
      </c>
      <c r="BC1504">
        <f t="shared" si="1972"/>
        <v>0</v>
      </c>
      <c r="BD1504">
        <f t="shared" si="1973"/>
        <v>0</v>
      </c>
      <c r="BE1504" t="str" cm="1">
        <f t="array" ref="BE1504">IF(AY1504=1,INDEX($V$7:$AL$7,MATCH(TRUE,INDEX($V1504:$AW1504&lt;&gt;0,),0)),IF(AY1504=0,INDEX($AM$7:$AW$7,MATCH(1,$AM1504:$AW1504,0)),IF(BF1504="Multiple strategies","mixed drivers",IF(BF1504="Supply chain","multiple supply","multiple silviculture"))))</f>
        <v>technologies/design switch</v>
      </c>
      <c r="BF1504" s="2" t="str" cm="1">
        <f t="array" ref="BF1504">IF(COUNTIF(AZ1504:BB1504,"&lt;&gt;0")=1,INDEX($V$4:$AW$4,MATCH(TRUE,INDEX($V1504:$AW1504&lt;&gt;0,),0)),IF(COUNTIF(AZ1504:BB1504,"&lt;&gt;0")=0,INDEX($AM$4:$AW$4,MATCH(1,$AM1504:$AW1504,0)),"Multiple strategies"))</f>
        <v>Technology</v>
      </c>
      <c r="BG1504" s="142"/>
      <c r="BJ1504" s="143"/>
      <c r="BL1504" s="143"/>
      <c r="BM1504" s="143"/>
      <c r="BN1504" s="143"/>
      <c r="BO1504" s="143"/>
      <c r="BP1504" s="311" t="s">
        <v>232</v>
      </c>
      <c r="BQ1504" s="311"/>
      <c r="BR1504" t="s">
        <v>4207</v>
      </c>
      <c r="BS1504" s="143"/>
      <c r="BU1504" s="144"/>
      <c r="BV1504">
        <v>1.9E-2</v>
      </c>
      <c r="BX1504">
        <f t="shared" si="1974"/>
        <v>122027500</v>
      </c>
      <c r="BY1504" t="str">
        <f t="shared" si="1926"/>
        <v/>
      </c>
      <c r="BZ1504">
        <v>0</v>
      </c>
      <c r="CA1504">
        <v>0</v>
      </c>
      <c r="CB1504">
        <v>0</v>
      </c>
      <c r="CC1504">
        <v>0</v>
      </c>
      <c r="CD1504">
        <v>0</v>
      </c>
      <c r="CE1504">
        <v>0</v>
      </c>
      <c r="CF1504">
        <v>0</v>
      </c>
      <c r="CG1504">
        <v>0</v>
      </c>
      <c r="CH1504">
        <v>0</v>
      </c>
      <c r="CI1504">
        <v>0</v>
      </c>
      <c r="CJ1504">
        <v>0</v>
      </c>
      <c r="CK1504">
        <v>0</v>
      </c>
      <c r="CL1504">
        <v>0</v>
      </c>
      <c r="CM1504">
        <v>0</v>
      </c>
      <c r="CN1504" t="str">
        <f t="shared" si="1975"/>
        <v>refOK</v>
      </c>
      <c r="CO1504"/>
      <c r="CP1504"/>
      <c r="CQ1504"/>
      <c r="CR1504">
        <f t="shared" si="1976"/>
        <v>0</v>
      </c>
      <c r="CS1504">
        <f t="shared" si="1977"/>
        <v>0</v>
      </c>
      <c r="CT1504">
        <f t="shared" si="1978"/>
        <v>122027500</v>
      </c>
      <c r="CU1504" t="str">
        <f t="shared" si="1979"/>
        <v/>
      </c>
      <c r="CV1504" s="2" t="str">
        <f t="shared" si="1980"/>
        <v/>
      </c>
      <c r="CW1504" s="1" t="s">
        <v>1198</v>
      </c>
      <c r="CX1504" s="311" t="str">
        <f t="shared" si="1981"/>
        <v>reg</v>
      </c>
      <c r="CY1504" t="s">
        <v>428</v>
      </c>
      <c r="CZ1504">
        <v>2020</v>
      </c>
      <c r="DA1504">
        <v>2100</v>
      </c>
      <c r="DB1504">
        <v>80</v>
      </c>
      <c r="DC1504" t="str">
        <f t="shared" si="1982"/>
        <v>71-100</v>
      </c>
      <c r="DD1504">
        <v>0</v>
      </c>
      <c r="DE1504">
        <v>1</v>
      </c>
      <c r="DF1504">
        <v>0</v>
      </c>
      <c r="DG1504">
        <v>0</v>
      </c>
      <c r="DI1504">
        <f t="shared" si="1983"/>
        <v>1</v>
      </c>
      <c r="DJ1504" t="str">
        <f t="shared" si="1984"/>
        <v>EnergyInput</v>
      </c>
      <c r="DK1504">
        <f t="shared" si="1985"/>
        <v>0</v>
      </c>
      <c r="DL1504" t="str">
        <f t="shared" si="1986"/>
        <v>Energy</v>
      </c>
      <c r="DM1504">
        <f t="shared" si="1987"/>
        <v>0</v>
      </c>
      <c r="DN1504">
        <f t="shared" si="1988"/>
        <v>0</v>
      </c>
      <c r="DO1504">
        <v>1</v>
      </c>
      <c r="DP1504">
        <v>1</v>
      </c>
      <c r="DQ1504" t="s">
        <v>4208</v>
      </c>
      <c r="DR1504">
        <v>0</v>
      </c>
      <c r="DS1504" t="s">
        <v>4209</v>
      </c>
      <c r="DT1504">
        <f t="shared" si="1989"/>
        <v>2</v>
      </c>
      <c r="DU1504" s="143" t="str">
        <f t="shared" si="1990"/>
        <v>self-calculated DF</v>
      </c>
      <c r="DV1504">
        <v>1</v>
      </c>
      <c r="DW1504">
        <v>1</v>
      </c>
      <c r="DX1504">
        <v>1</v>
      </c>
      <c r="DY1504">
        <v>0</v>
      </c>
      <c r="DZ1504">
        <v>1</v>
      </c>
      <c r="EA1504">
        <v>0</v>
      </c>
      <c r="EB1504">
        <v>1</v>
      </c>
      <c r="EC1504">
        <v>1</v>
      </c>
      <c r="ED1504">
        <v>0</v>
      </c>
      <c r="EE1504">
        <v>1</v>
      </c>
      <c r="EF1504">
        <v>1</v>
      </c>
      <c r="EG1504">
        <v>1</v>
      </c>
      <c r="EH1504">
        <v>0</v>
      </c>
      <c r="EI1504" s="2">
        <v>0</v>
      </c>
      <c r="EK1504" t="str">
        <f t="shared" si="1942"/>
        <v>Whole sector</v>
      </c>
      <c r="EL1504" t="str">
        <f t="shared" si="1943"/>
        <v/>
      </c>
      <c r="EM1504" s="2" t="str">
        <f t="shared" si="1927"/>
        <v/>
      </c>
      <c r="EP1504" t="b">
        <f>IF(ISNUMBER(BU1504),IF(ABS(BU1504-[1]QC_indicators!$B$2)&gt;3*[1]QC_indicators!$C$2,"C ratio",IF(ISNUMBER(BY1504),IF(ABS(BY1504-[1]QC_indicators!$B$1)&gt;3*[1]QC_indicators!$C$1,"DF","no"))),IF(ISNUMBER(BY1504),IF(ABS(BY1504-[1]QC_indicators!$B$1)&gt;3*[1]QC_indicators!$C$1,"DF","no")))</f>
        <v>0</v>
      </c>
      <c r="ER1504" s="313" t="s">
        <v>349</v>
      </c>
    </row>
    <row r="1505" spans="1:151" ht="18" hidden="1" customHeight="1">
      <c r="A1505" s="1" t="s">
        <v>848</v>
      </c>
      <c r="B1505" t="s">
        <v>4198</v>
      </c>
      <c r="C1505" t="s">
        <v>4199</v>
      </c>
      <c r="D1505" t="s">
        <v>4200</v>
      </c>
      <c r="E1505" t="s">
        <v>4201</v>
      </c>
      <c r="F1505" t="s">
        <v>4202</v>
      </c>
      <c r="G1505" t="s">
        <v>854</v>
      </c>
      <c r="H1505" t="s">
        <v>254</v>
      </c>
      <c r="I1505">
        <v>2018</v>
      </c>
      <c r="J1505">
        <v>58</v>
      </c>
      <c r="K1505" t="s">
        <v>4203</v>
      </c>
      <c r="M1505" t="str">
        <f t="shared" si="1932"/>
        <v>Sterman_2018</v>
      </c>
      <c r="N1505" s="311" t="s">
        <v>4382</v>
      </c>
      <c r="O1505" s="145" t="s">
        <v>341</v>
      </c>
      <c r="Q1505" s="311" t="s">
        <v>256</v>
      </c>
      <c r="R1505" s="312"/>
      <c r="S1505" s="1" t="s">
        <v>4216</v>
      </c>
      <c r="T1505" t="s">
        <v>4205</v>
      </c>
      <c r="U1505" t="s">
        <v>1725</v>
      </c>
      <c r="V1505">
        <v>0</v>
      </c>
      <c r="W1505">
        <v>0</v>
      </c>
      <c r="X1505">
        <v>0</v>
      </c>
      <c r="Y1505">
        <v>0</v>
      </c>
      <c r="Z1505">
        <v>0</v>
      </c>
      <c r="AA1505">
        <v>0</v>
      </c>
      <c r="AB1505">
        <v>0</v>
      </c>
      <c r="AC1505">
        <v>0</v>
      </c>
      <c r="AD1505">
        <v>0</v>
      </c>
      <c r="AE1505">
        <v>0</v>
      </c>
      <c r="AF1505">
        <v>0</v>
      </c>
      <c r="AG1505">
        <v>0</v>
      </c>
      <c r="AH1505">
        <v>0</v>
      </c>
      <c r="AI1505">
        <v>0</v>
      </c>
      <c r="AJ1505">
        <v>0</v>
      </c>
      <c r="AK1505">
        <v>1</v>
      </c>
      <c r="AL1505">
        <v>0</v>
      </c>
      <c r="AM1505">
        <v>0</v>
      </c>
      <c r="AN1505">
        <v>0</v>
      </c>
      <c r="AO1505">
        <v>0</v>
      </c>
      <c r="AP1505">
        <v>0</v>
      </c>
      <c r="AQ1505">
        <v>0</v>
      </c>
      <c r="AR1505">
        <v>0</v>
      </c>
      <c r="AS1505">
        <v>0</v>
      </c>
      <c r="AT1505">
        <v>0</v>
      </c>
      <c r="AU1505">
        <v>0</v>
      </c>
      <c r="AV1505">
        <v>0</v>
      </c>
      <c r="AW1505">
        <v>0</v>
      </c>
      <c r="AX1505" s="141">
        <f t="shared" si="1967"/>
        <v>1</v>
      </c>
      <c r="AY1505" s="141">
        <f t="shared" si="1968"/>
        <v>1</v>
      </c>
      <c r="AZ1505">
        <f t="shared" si="1969"/>
        <v>0</v>
      </c>
      <c r="BA1505">
        <f t="shared" si="1970"/>
        <v>0</v>
      </c>
      <c r="BB1505">
        <f t="shared" si="1971"/>
        <v>1</v>
      </c>
      <c r="BC1505">
        <f t="shared" si="1972"/>
        <v>0</v>
      </c>
      <c r="BD1505">
        <f t="shared" si="1973"/>
        <v>0</v>
      </c>
      <c r="BE1505" t="str" cm="1">
        <f t="array" ref="BE1505">IF(AY1505=1,INDEX($V$7:$AL$7,MATCH(TRUE,INDEX($V1505:$AW1505&lt;&gt;0,),0)),IF(AY1505=0,INDEX($AM$7:$AW$7,MATCH(1,$AM1505:$AW1505,0)),IF(BF1505="Multiple strategies","mixed drivers",IF(BF1505="Supply chain","multiple supply","multiple silviculture"))))</f>
        <v>technologies/design switch</v>
      </c>
      <c r="BF1505" s="2" t="str" cm="1">
        <f t="array" ref="BF1505">IF(COUNTIF(AZ1505:BB1505,"&lt;&gt;0")=1,INDEX($V$4:$AW$4,MATCH(TRUE,INDEX($V1505:$AW1505&lt;&gt;0,),0)),IF(COUNTIF(AZ1505:BB1505,"&lt;&gt;0")=0,INDEX($AM$4:$AW$4,MATCH(1,$AM1505:$AW1505,0)),"Multiple strategies"))</f>
        <v>Technology</v>
      </c>
      <c r="BG1505" s="142"/>
      <c r="BJ1505" s="143"/>
      <c r="BL1505" s="143"/>
      <c r="BM1505" s="143"/>
      <c r="BN1505" s="143"/>
      <c r="BO1505" s="143"/>
      <c r="BP1505" s="311" t="s">
        <v>232</v>
      </c>
      <c r="BQ1505" s="311"/>
      <c r="BR1505" t="s">
        <v>4207</v>
      </c>
      <c r="BS1505" s="143"/>
      <c r="BU1505" s="144"/>
      <c r="BV1505">
        <v>2.5999999999999999E-2</v>
      </c>
      <c r="BX1505">
        <f t="shared" si="1974"/>
        <v>166985000</v>
      </c>
      <c r="BY1505" t="str">
        <f t="shared" si="1926"/>
        <v/>
      </c>
      <c r="BZ1505">
        <v>0</v>
      </c>
      <c r="CA1505">
        <v>0</v>
      </c>
      <c r="CB1505">
        <v>0</v>
      </c>
      <c r="CC1505">
        <v>0</v>
      </c>
      <c r="CD1505">
        <v>0</v>
      </c>
      <c r="CE1505">
        <v>0</v>
      </c>
      <c r="CF1505">
        <v>0</v>
      </c>
      <c r="CG1505">
        <v>0</v>
      </c>
      <c r="CH1505">
        <v>0</v>
      </c>
      <c r="CI1505">
        <v>0</v>
      </c>
      <c r="CJ1505">
        <v>0</v>
      </c>
      <c r="CK1505">
        <v>0</v>
      </c>
      <c r="CL1505">
        <v>0</v>
      </c>
      <c r="CM1505">
        <v>0</v>
      </c>
      <c r="CN1505" t="str">
        <f t="shared" si="1975"/>
        <v>refOK</v>
      </c>
      <c r="CO1505"/>
      <c r="CP1505"/>
      <c r="CQ1505"/>
      <c r="CR1505">
        <f t="shared" si="1976"/>
        <v>0</v>
      </c>
      <c r="CS1505">
        <f t="shared" si="1977"/>
        <v>0</v>
      </c>
      <c r="CT1505">
        <f t="shared" si="1978"/>
        <v>166985000</v>
      </c>
      <c r="CU1505" t="str">
        <f t="shared" si="1979"/>
        <v/>
      </c>
      <c r="CV1505" s="2" t="str">
        <f t="shared" si="1980"/>
        <v/>
      </c>
      <c r="CW1505" s="1" t="s">
        <v>1198</v>
      </c>
      <c r="CX1505" s="311" t="str">
        <f t="shared" si="1981"/>
        <v>reg</v>
      </c>
      <c r="CY1505" t="s">
        <v>428</v>
      </c>
      <c r="CZ1505">
        <v>2020</v>
      </c>
      <c r="DA1505">
        <v>2100</v>
      </c>
      <c r="DB1505">
        <v>80</v>
      </c>
      <c r="DC1505" t="str">
        <f t="shared" si="1982"/>
        <v>71-100</v>
      </c>
      <c r="DD1505">
        <v>0</v>
      </c>
      <c r="DE1505">
        <v>1</v>
      </c>
      <c r="DF1505">
        <v>0</v>
      </c>
      <c r="DG1505">
        <v>0</v>
      </c>
      <c r="DI1505">
        <f t="shared" si="1983"/>
        <v>1</v>
      </c>
      <c r="DJ1505" t="str">
        <f t="shared" si="1984"/>
        <v>EnergyInput</v>
      </c>
      <c r="DK1505">
        <f t="shared" si="1985"/>
        <v>0</v>
      </c>
      <c r="DL1505" t="str">
        <f t="shared" si="1986"/>
        <v>Energy</v>
      </c>
      <c r="DM1505">
        <f t="shared" si="1987"/>
        <v>0</v>
      </c>
      <c r="DN1505">
        <f t="shared" si="1988"/>
        <v>0</v>
      </c>
      <c r="DO1505">
        <v>1</v>
      </c>
      <c r="DP1505">
        <v>1</v>
      </c>
      <c r="DQ1505" t="s">
        <v>4208</v>
      </c>
      <c r="DR1505">
        <v>0</v>
      </c>
      <c r="DS1505" t="s">
        <v>4209</v>
      </c>
      <c r="DT1505">
        <f t="shared" si="1989"/>
        <v>2</v>
      </c>
      <c r="DU1505" s="143" t="str">
        <f t="shared" si="1990"/>
        <v>self-calculated DF</v>
      </c>
      <c r="DV1505">
        <v>1</v>
      </c>
      <c r="DW1505">
        <v>1</v>
      </c>
      <c r="DX1505">
        <v>1</v>
      </c>
      <c r="DY1505">
        <v>0</v>
      </c>
      <c r="DZ1505">
        <v>1</v>
      </c>
      <c r="EA1505">
        <v>0</v>
      </c>
      <c r="EB1505">
        <v>1</v>
      </c>
      <c r="EC1505">
        <v>1</v>
      </c>
      <c r="ED1505">
        <v>0</v>
      </c>
      <c r="EE1505">
        <v>1</v>
      </c>
      <c r="EF1505">
        <v>1</v>
      </c>
      <c r="EG1505">
        <v>1</v>
      </c>
      <c r="EH1505">
        <v>0</v>
      </c>
      <c r="EI1505" s="2">
        <v>0</v>
      </c>
      <c r="EK1505" t="str">
        <f t="shared" si="1942"/>
        <v>Whole sector</v>
      </c>
      <c r="EL1505" t="str">
        <f t="shared" si="1943"/>
        <v/>
      </c>
      <c r="EM1505" s="2" t="str">
        <f t="shared" si="1927"/>
        <v/>
      </c>
      <c r="EP1505" t="b">
        <f>IF(ISNUMBER(BU1505),IF(ABS(BU1505-[1]QC_indicators!$B$2)&gt;3*[1]QC_indicators!$C$2,"C ratio",IF(ISNUMBER(BY1505),IF(ABS(BY1505-[1]QC_indicators!$B$1)&gt;3*[1]QC_indicators!$C$1,"DF","no"))),IF(ISNUMBER(BY1505),IF(ABS(BY1505-[1]QC_indicators!$B$1)&gt;3*[1]QC_indicators!$C$1,"DF","no")))</f>
        <v>0</v>
      </c>
      <c r="ER1505" s="313" t="s">
        <v>349</v>
      </c>
    </row>
    <row r="1506" spans="1:151" ht="18" hidden="1" customHeight="1">
      <c r="A1506" s="1" t="s">
        <v>848</v>
      </c>
      <c r="B1506" t="s">
        <v>4198</v>
      </c>
      <c r="C1506" t="s">
        <v>4199</v>
      </c>
      <c r="D1506" t="s">
        <v>4200</v>
      </c>
      <c r="E1506" t="s">
        <v>4201</v>
      </c>
      <c r="F1506" t="s">
        <v>4202</v>
      </c>
      <c r="G1506" t="s">
        <v>854</v>
      </c>
      <c r="H1506" t="s">
        <v>254</v>
      </c>
      <c r="I1506">
        <v>2018</v>
      </c>
      <c r="J1506">
        <v>58</v>
      </c>
      <c r="K1506" t="s">
        <v>4203</v>
      </c>
      <c r="M1506" t="str">
        <f t="shared" si="1932"/>
        <v>Sterman_2018</v>
      </c>
      <c r="N1506" s="311" t="s">
        <v>4382</v>
      </c>
      <c r="O1506" s="145" t="s">
        <v>341</v>
      </c>
      <c r="Q1506" s="311" t="s">
        <v>256</v>
      </c>
      <c r="R1506" s="312"/>
      <c r="S1506" s="1" t="s">
        <v>4217</v>
      </c>
      <c r="T1506" t="s">
        <v>4205</v>
      </c>
      <c r="U1506" t="s">
        <v>1725</v>
      </c>
      <c r="V1506">
        <v>0</v>
      </c>
      <c r="W1506">
        <v>0</v>
      </c>
      <c r="X1506">
        <v>0</v>
      </c>
      <c r="Y1506">
        <v>0</v>
      </c>
      <c r="Z1506">
        <v>0</v>
      </c>
      <c r="AA1506">
        <v>0</v>
      </c>
      <c r="AB1506">
        <v>0</v>
      </c>
      <c r="AC1506">
        <v>0</v>
      </c>
      <c r="AD1506">
        <v>0</v>
      </c>
      <c r="AE1506">
        <v>0</v>
      </c>
      <c r="AF1506">
        <v>0</v>
      </c>
      <c r="AG1506">
        <v>0</v>
      </c>
      <c r="AH1506">
        <v>0</v>
      </c>
      <c r="AI1506">
        <v>0</v>
      </c>
      <c r="AJ1506">
        <v>0</v>
      </c>
      <c r="AK1506">
        <v>1</v>
      </c>
      <c r="AL1506">
        <v>0</v>
      </c>
      <c r="AM1506">
        <v>0</v>
      </c>
      <c r="AN1506">
        <v>0</v>
      </c>
      <c r="AO1506">
        <v>0</v>
      </c>
      <c r="AP1506">
        <v>0</v>
      </c>
      <c r="AQ1506">
        <v>0</v>
      </c>
      <c r="AR1506">
        <v>0</v>
      </c>
      <c r="AS1506">
        <v>0</v>
      </c>
      <c r="AT1506">
        <v>0</v>
      </c>
      <c r="AU1506">
        <v>0</v>
      </c>
      <c r="AV1506">
        <v>0</v>
      </c>
      <c r="AW1506">
        <v>0</v>
      </c>
      <c r="AX1506" s="141">
        <f t="shared" si="1967"/>
        <v>1</v>
      </c>
      <c r="AY1506" s="141">
        <f t="shared" si="1968"/>
        <v>1</v>
      </c>
      <c r="AZ1506">
        <f t="shared" si="1969"/>
        <v>0</v>
      </c>
      <c r="BA1506">
        <f t="shared" si="1970"/>
        <v>0</v>
      </c>
      <c r="BB1506">
        <f t="shared" si="1971"/>
        <v>1</v>
      </c>
      <c r="BC1506">
        <f t="shared" si="1972"/>
        <v>0</v>
      </c>
      <c r="BD1506">
        <f t="shared" si="1973"/>
        <v>0</v>
      </c>
      <c r="BE1506" t="str" cm="1">
        <f t="array" ref="BE1506">IF(AY1506=1,INDEX($V$7:$AL$7,MATCH(TRUE,INDEX($V1506:$AW1506&lt;&gt;0,),0)),IF(AY1506=0,INDEX($AM$7:$AW$7,MATCH(1,$AM1506:$AW1506,0)),IF(BF1506="Multiple strategies","mixed drivers",IF(BF1506="Supply chain","multiple supply","multiple silviculture"))))</f>
        <v>technologies/design switch</v>
      </c>
      <c r="BF1506" s="2" t="str" cm="1">
        <f t="array" ref="BF1506">IF(COUNTIF(AZ1506:BB1506,"&lt;&gt;0")=1,INDEX($V$4:$AW$4,MATCH(TRUE,INDEX($V1506:$AW1506&lt;&gt;0,),0)),IF(COUNTIF(AZ1506:BB1506,"&lt;&gt;0")=0,INDEX($AM$4:$AW$4,MATCH(1,$AM1506:$AW1506,0)),"Multiple strategies"))</f>
        <v>Technology</v>
      </c>
      <c r="BG1506" s="142"/>
      <c r="BJ1506" s="143"/>
      <c r="BL1506" s="143"/>
      <c r="BM1506" s="143"/>
      <c r="BN1506" s="143"/>
      <c r="BO1506" s="143"/>
      <c r="BP1506" s="311" t="s">
        <v>232</v>
      </c>
      <c r="BQ1506" s="311"/>
      <c r="BR1506" t="s">
        <v>4207</v>
      </c>
      <c r="BS1506" s="143"/>
      <c r="BU1506" s="144"/>
      <c r="BV1506">
        <v>3.7999999999999999E-2</v>
      </c>
      <c r="BX1506">
        <f t="shared" si="1974"/>
        <v>244055000</v>
      </c>
      <c r="BY1506" t="str">
        <f t="shared" si="1926"/>
        <v/>
      </c>
      <c r="BZ1506">
        <v>0</v>
      </c>
      <c r="CA1506">
        <v>0</v>
      </c>
      <c r="CB1506">
        <v>0</v>
      </c>
      <c r="CC1506">
        <v>0</v>
      </c>
      <c r="CD1506">
        <v>0</v>
      </c>
      <c r="CE1506">
        <v>0</v>
      </c>
      <c r="CF1506">
        <v>0</v>
      </c>
      <c r="CG1506">
        <v>0</v>
      </c>
      <c r="CH1506">
        <v>0</v>
      </c>
      <c r="CI1506">
        <v>0</v>
      </c>
      <c r="CJ1506">
        <v>0</v>
      </c>
      <c r="CK1506">
        <v>0</v>
      </c>
      <c r="CL1506">
        <v>0</v>
      </c>
      <c r="CM1506">
        <v>0</v>
      </c>
      <c r="CN1506" t="str">
        <f t="shared" si="1975"/>
        <v>refOK</v>
      </c>
      <c r="CO1506"/>
      <c r="CP1506"/>
      <c r="CQ1506"/>
      <c r="CR1506">
        <f t="shared" si="1976"/>
        <v>0</v>
      </c>
      <c r="CS1506">
        <f t="shared" si="1977"/>
        <v>0</v>
      </c>
      <c r="CT1506">
        <f t="shared" si="1978"/>
        <v>244055000</v>
      </c>
      <c r="CU1506" t="str">
        <f t="shared" si="1979"/>
        <v/>
      </c>
      <c r="CV1506" s="2" t="str">
        <f t="shared" si="1980"/>
        <v/>
      </c>
      <c r="CW1506" s="1" t="s">
        <v>1198</v>
      </c>
      <c r="CX1506" s="311" t="str">
        <f t="shared" si="1981"/>
        <v>reg</v>
      </c>
      <c r="CY1506" t="s">
        <v>428</v>
      </c>
      <c r="CZ1506">
        <v>2020</v>
      </c>
      <c r="DA1506">
        <v>2100</v>
      </c>
      <c r="DB1506">
        <v>80</v>
      </c>
      <c r="DC1506" t="str">
        <f t="shared" si="1982"/>
        <v>71-100</v>
      </c>
      <c r="DD1506">
        <v>0</v>
      </c>
      <c r="DE1506">
        <v>1</v>
      </c>
      <c r="DF1506">
        <v>0</v>
      </c>
      <c r="DG1506">
        <v>0</v>
      </c>
      <c r="DI1506">
        <f t="shared" si="1983"/>
        <v>1</v>
      </c>
      <c r="DJ1506" t="str">
        <f t="shared" si="1984"/>
        <v>EnergyInput</v>
      </c>
      <c r="DK1506">
        <f t="shared" si="1985"/>
        <v>0</v>
      </c>
      <c r="DL1506" t="str">
        <f t="shared" si="1986"/>
        <v>Energy</v>
      </c>
      <c r="DM1506">
        <f t="shared" si="1987"/>
        <v>0</v>
      </c>
      <c r="DN1506">
        <f t="shared" si="1988"/>
        <v>0</v>
      </c>
      <c r="DO1506">
        <v>1</v>
      </c>
      <c r="DP1506">
        <v>1</v>
      </c>
      <c r="DQ1506" t="s">
        <v>4208</v>
      </c>
      <c r="DR1506">
        <v>0</v>
      </c>
      <c r="DS1506" t="s">
        <v>4209</v>
      </c>
      <c r="DT1506">
        <f t="shared" si="1989"/>
        <v>2</v>
      </c>
      <c r="DU1506" s="143" t="str">
        <f t="shared" si="1990"/>
        <v>self-calculated DF</v>
      </c>
      <c r="DV1506">
        <v>1</v>
      </c>
      <c r="DW1506">
        <v>1</v>
      </c>
      <c r="DX1506">
        <v>1</v>
      </c>
      <c r="DY1506">
        <v>0</v>
      </c>
      <c r="DZ1506">
        <v>1</v>
      </c>
      <c r="EA1506">
        <v>0</v>
      </c>
      <c r="EB1506">
        <v>1</v>
      </c>
      <c r="EC1506">
        <v>1</v>
      </c>
      <c r="ED1506">
        <v>0</v>
      </c>
      <c r="EE1506">
        <v>1</v>
      </c>
      <c r="EF1506">
        <v>1</v>
      </c>
      <c r="EG1506">
        <v>1</v>
      </c>
      <c r="EH1506">
        <v>0</v>
      </c>
      <c r="EI1506" s="2">
        <v>0</v>
      </c>
      <c r="EK1506" t="str">
        <f t="shared" si="1942"/>
        <v>Whole sector</v>
      </c>
      <c r="EL1506" t="str">
        <f t="shared" si="1943"/>
        <v/>
      </c>
      <c r="EM1506" s="2" t="str">
        <f t="shared" si="1927"/>
        <v/>
      </c>
      <c r="EP1506" t="b">
        <f>IF(ISNUMBER(BU1506),IF(ABS(BU1506-[1]QC_indicators!$B$2)&gt;3*[1]QC_indicators!$C$2,"C ratio",IF(ISNUMBER(BY1506),IF(ABS(BY1506-[1]QC_indicators!$B$1)&gt;3*[1]QC_indicators!$C$1,"DF","no"))),IF(ISNUMBER(BY1506),IF(ABS(BY1506-[1]QC_indicators!$B$1)&gt;3*[1]QC_indicators!$C$1,"DF","no")))</f>
        <v>0</v>
      </c>
      <c r="ER1506" s="313" t="s">
        <v>349</v>
      </c>
    </row>
    <row r="1507" spans="1:151" ht="18" hidden="1" customHeight="1">
      <c r="A1507" s="1" t="s">
        <v>848</v>
      </c>
      <c r="B1507" t="s">
        <v>4198</v>
      </c>
      <c r="C1507" t="s">
        <v>4199</v>
      </c>
      <c r="D1507" t="s">
        <v>4200</v>
      </c>
      <c r="E1507" t="s">
        <v>4201</v>
      </c>
      <c r="F1507" t="s">
        <v>4202</v>
      </c>
      <c r="G1507" t="s">
        <v>854</v>
      </c>
      <c r="H1507" t="s">
        <v>254</v>
      </c>
      <c r="I1507">
        <v>2018</v>
      </c>
      <c r="J1507">
        <v>58</v>
      </c>
      <c r="K1507" t="s">
        <v>4203</v>
      </c>
      <c r="M1507" t="str">
        <f t="shared" si="1932"/>
        <v>Sterman_2018</v>
      </c>
      <c r="N1507" s="311" t="s">
        <v>4382</v>
      </c>
      <c r="O1507" s="145" t="s">
        <v>341</v>
      </c>
      <c r="Q1507" s="311" t="s">
        <v>256</v>
      </c>
      <c r="R1507" s="312"/>
      <c r="S1507" s="1" t="s">
        <v>4218</v>
      </c>
      <c r="T1507" t="s">
        <v>4205</v>
      </c>
      <c r="U1507" t="s">
        <v>1725</v>
      </c>
      <c r="V1507">
        <v>0</v>
      </c>
      <c r="W1507">
        <v>0</v>
      </c>
      <c r="X1507">
        <v>0</v>
      </c>
      <c r="Y1507">
        <v>0</v>
      </c>
      <c r="Z1507">
        <v>0</v>
      </c>
      <c r="AA1507">
        <v>0</v>
      </c>
      <c r="AB1507">
        <v>0</v>
      </c>
      <c r="AC1507">
        <v>0</v>
      </c>
      <c r="AD1507">
        <v>0</v>
      </c>
      <c r="AE1507">
        <v>0</v>
      </c>
      <c r="AF1507">
        <v>0</v>
      </c>
      <c r="AG1507">
        <v>0</v>
      </c>
      <c r="AH1507">
        <v>0</v>
      </c>
      <c r="AI1507">
        <v>0</v>
      </c>
      <c r="AJ1507">
        <v>0</v>
      </c>
      <c r="AK1507">
        <v>1</v>
      </c>
      <c r="AL1507">
        <v>0</v>
      </c>
      <c r="AM1507">
        <v>0</v>
      </c>
      <c r="AN1507">
        <v>0</v>
      </c>
      <c r="AO1507">
        <v>0</v>
      </c>
      <c r="AP1507">
        <v>0</v>
      </c>
      <c r="AQ1507">
        <v>0</v>
      </c>
      <c r="AR1507">
        <v>0</v>
      </c>
      <c r="AS1507">
        <v>0</v>
      </c>
      <c r="AT1507">
        <v>0</v>
      </c>
      <c r="AU1507">
        <v>0</v>
      </c>
      <c r="AV1507">
        <v>0</v>
      </c>
      <c r="AW1507">
        <v>0</v>
      </c>
      <c r="AX1507" s="141">
        <f t="shared" si="1967"/>
        <v>1</v>
      </c>
      <c r="AY1507" s="141">
        <f t="shared" si="1968"/>
        <v>1</v>
      </c>
      <c r="AZ1507">
        <f t="shared" si="1969"/>
        <v>0</v>
      </c>
      <c r="BA1507">
        <f t="shared" si="1970"/>
        <v>0</v>
      </c>
      <c r="BB1507">
        <f t="shared" si="1971"/>
        <v>1</v>
      </c>
      <c r="BC1507">
        <f t="shared" si="1972"/>
        <v>0</v>
      </c>
      <c r="BD1507">
        <f t="shared" si="1973"/>
        <v>0</v>
      </c>
      <c r="BE1507" t="str" cm="1">
        <f t="array" ref="BE1507">IF(AY1507=1,INDEX($V$7:$AL$7,MATCH(TRUE,INDEX($V1507:$AW1507&lt;&gt;0,),0)),IF(AY1507=0,INDEX($AM$7:$AW$7,MATCH(1,$AM1507:$AW1507,0)),IF(BF1507="Multiple strategies","mixed drivers",IF(BF1507="Supply chain","multiple supply","multiple silviculture"))))</f>
        <v>technologies/design switch</v>
      </c>
      <c r="BF1507" s="2" t="str" cm="1">
        <f t="array" ref="BF1507">IF(COUNTIF(AZ1507:BB1507,"&lt;&gt;0")=1,INDEX($V$4:$AW$4,MATCH(TRUE,INDEX($V1507:$AW1507&lt;&gt;0,),0)),IF(COUNTIF(AZ1507:BB1507,"&lt;&gt;0")=0,INDEX($AM$4:$AW$4,MATCH(1,$AM1507:$AW1507,0)),"Multiple strategies"))</f>
        <v>Technology</v>
      </c>
      <c r="BG1507" s="142"/>
      <c r="BJ1507" s="143"/>
      <c r="BL1507" s="143"/>
      <c r="BM1507" s="143"/>
      <c r="BN1507" s="143"/>
      <c r="BO1507" s="143"/>
      <c r="BP1507" s="311" t="s">
        <v>232</v>
      </c>
      <c r="BQ1507" s="311"/>
      <c r="BR1507" t="s">
        <v>4207</v>
      </c>
      <c r="BS1507" s="143"/>
      <c r="BU1507" s="144"/>
      <c r="BV1507">
        <v>3.7999999999999999E-2</v>
      </c>
      <c r="BX1507">
        <f t="shared" si="1974"/>
        <v>244055000</v>
      </c>
      <c r="BY1507" t="str">
        <f t="shared" si="1926"/>
        <v/>
      </c>
      <c r="BZ1507">
        <v>0</v>
      </c>
      <c r="CA1507">
        <v>0</v>
      </c>
      <c r="CB1507">
        <v>0</v>
      </c>
      <c r="CC1507">
        <v>0</v>
      </c>
      <c r="CD1507">
        <v>0</v>
      </c>
      <c r="CE1507">
        <v>0</v>
      </c>
      <c r="CF1507">
        <v>0</v>
      </c>
      <c r="CG1507">
        <v>0</v>
      </c>
      <c r="CH1507">
        <v>0</v>
      </c>
      <c r="CI1507">
        <v>0</v>
      </c>
      <c r="CJ1507">
        <v>0</v>
      </c>
      <c r="CK1507">
        <v>0</v>
      </c>
      <c r="CL1507">
        <v>0</v>
      </c>
      <c r="CM1507">
        <v>0</v>
      </c>
      <c r="CN1507" t="str">
        <f t="shared" si="1975"/>
        <v>refOK</v>
      </c>
      <c r="CO1507"/>
      <c r="CP1507"/>
      <c r="CQ1507"/>
      <c r="CR1507">
        <f t="shared" si="1976"/>
        <v>0</v>
      </c>
      <c r="CS1507">
        <f t="shared" si="1977"/>
        <v>0</v>
      </c>
      <c r="CT1507">
        <f t="shared" si="1978"/>
        <v>244055000</v>
      </c>
      <c r="CU1507" t="str">
        <f t="shared" si="1979"/>
        <v/>
      </c>
      <c r="CV1507" s="2" t="str">
        <f t="shared" si="1980"/>
        <v/>
      </c>
      <c r="CW1507" s="1" t="s">
        <v>1198</v>
      </c>
      <c r="CX1507" s="311" t="str">
        <f t="shared" si="1981"/>
        <v>reg</v>
      </c>
      <c r="CY1507" t="s">
        <v>428</v>
      </c>
      <c r="CZ1507">
        <v>2020</v>
      </c>
      <c r="DA1507">
        <v>2100</v>
      </c>
      <c r="DB1507">
        <v>80</v>
      </c>
      <c r="DC1507" t="str">
        <f t="shared" si="1982"/>
        <v>71-100</v>
      </c>
      <c r="DD1507">
        <v>0</v>
      </c>
      <c r="DE1507">
        <v>1</v>
      </c>
      <c r="DF1507">
        <v>0</v>
      </c>
      <c r="DG1507">
        <v>0</v>
      </c>
      <c r="DI1507">
        <f t="shared" si="1983"/>
        <v>1</v>
      </c>
      <c r="DJ1507" t="str">
        <f t="shared" si="1984"/>
        <v>EnergyInput</v>
      </c>
      <c r="DK1507">
        <f t="shared" si="1985"/>
        <v>0</v>
      </c>
      <c r="DL1507" t="str">
        <f t="shared" si="1986"/>
        <v>Energy</v>
      </c>
      <c r="DM1507">
        <f t="shared" si="1987"/>
        <v>0</v>
      </c>
      <c r="DN1507">
        <f t="shared" si="1988"/>
        <v>0</v>
      </c>
      <c r="DO1507">
        <v>1</v>
      </c>
      <c r="DP1507">
        <v>1</v>
      </c>
      <c r="DQ1507" t="s">
        <v>4208</v>
      </c>
      <c r="DR1507">
        <v>0</v>
      </c>
      <c r="DS1507" t="s">
        <v>4209</v>
      </c>
      <c r="DT1507">
        <f t="shared" si="1989"/>
        <v>2</v>
      </c>
      <c r="DU1507" s="143" t="str">
        <f t="shared" si="1990"/>
        <v>self-calculated DF</v>
      </c>
      <c r="DV1507">
        <v>1</v>
      </c>
      <c r="DW1507">
        <v>1</v>
      </c>
      <c r="DX1507">
        <v>1</v>
      </c>
      <c r="DY1507">
        <v>0</v>
      </c>
      <c r="DZ1507">
        <v>1</v>
      </c>
      <c r="EA1507">
        <v>0</v>
      </c>
      <c r="EB1507">
        <v>1</v>
      </c>
      <c r="EC1507">
        <v>1</v>
      </c>
      <c r="ED1507">
        <v>0</v>
      </c>
      <c r="EE1507">
        <v>1</v>
      </c>
      <c r="EF1507">
        <v>1</v>
      </c>
      <c r="EG1507">
        <v>1</v>
      </c>
      <c r="EH1507">
        <v>0</v>
      </c>
      <c r="EI1507" s="2">
        <v>0</v>
      </c>
      <c r="EK1507" t="str">
        <f t="shared" si="1942"/>
        <v>Whole sector</v>
      </c>
      <c r="EL1507" t="str">
        <f t="shared" si="1943"/>
        <v/>
      </c>
      <c r="EM1507" s="2" t="str">
        <f t="shared" si="1927"/>
        <v/>
      </c>
      <c r="EP1507" t="b">
        <f>IF(ISNUMBER(BU1507),IF(ABS(BU1507-[1]QC_indicators!$B$2)&gt;3*[1]QC_indicators!$C$2,"C ratio",IF(ISNUMBER(BY1507),IF(ABS(BY1507-[1]QC_indicators!$B$1)&gt;3*[1]QC_indicators!$C$1,"DF","no"))),IF(ISNUMBER(BY1507),IF(ABS(BY1507-[1]QC_indicators!$B$1)&gt;3*[1]QC_indicators!$C$1,"DF","no")))</f>
        <v>0</v>
      </c>
      <c r="ER1507" s="313" t="s">
        <v>349</v>
      </c>
    </row>
    <row r="1508" spans="1:151" ht="18" hidden="1" customHeight="1">
      <c r="A1508" s="1" t="s">
        <v>848</v>
      </c>
      <c r="B1508" t="s">
        <v>4198</v>
      </c>
      <c r="C1508" t="s">
        <v>4199</v>
      </c>
      <c r="D1508" t="s">
        <v>4200</v>
      </c>
      <c r="E1508" t="s">
        <v>4201</v>
      </c>
      <c r="F1508" t="s">
        <v>4202</v>
      </c>
      <c r="G1508" t="s">
        <v>854</v>
      </c>
      <c r="H1508" t="s">
        <v>254</v>
      </c>
      <c r="I1508">
        <v>2018</v>
      </c>
      <c r="J1508">
        <v>58</v>
      </c>
      <c r="K1508" t="s">
        <v>4203</v>
      </c>
      <c r="M1508" t="str">
        <f t="shared" si="1932"/>
        <v>Sterman_2018</v>
      </c>
      <c r="N1508" s="311" t="s">
        <v>4382</v>
      </c>
      <c r="O1508" s="145" t="s">
        <v>341</v>
      </c>
      <c r="Q1508" s="311" t="s">
        <v>256</v>
      </c>
      <c r="R1508" s="312"/>
      <c r="S1508" s="1" t="s">
        <v>4219</v>
      </c>
      <c r="T1508" t="s">
        <v>4205</v>
      </c>
      <c r="U1508" t="s">
        <v>1725</v>
      </c>
      <c r="V1508">
        <v>0</v>
      </c>
      <c r="W1508">
        <v>0</v>
      </c>
      <c r="X1508">
        <v>0</v>
      </c>
      <c r="Y1508">
        <v>0</v>
      </c>
      <c r="Z1508">
        <v>0</v>
      </c>
      <c r="AA1508">
        <v>0</v>
      </c>
      <c r="AB1508">
        <v>0</v>
      </c>
      <c r="AC1508">
        <v>0</v>
      </c>
      <c r="AD1508">
        <v>0</v>
      </c>
      <c r="AE1508">
        <v>0</v>
      </c>
      <c r="AF1508">
        <v>0</v>
      </c>
      <c r="AG1508">
        <v>0</v>
      </c>
      <c r="AH1508">
        <v>0</v>
      </c>
      <c r="AI1508">
        <v>0</v>
      </c>
      <c r="AJ1508">
        <v>0</v>
      </c>
      <c r="AK1508">
        <v>1</v>
      </c>
      <c r="AL1508">
        <v>0</v>
      </c>
      <c r="AM1508">
        <v>0</v>
      </c>
      <c r="AN1508">
        <v>0</v>
      </c>
      <c r="AO1508">
        <v>0</v>
      </c>
      <c r="AP1508">
        <v>0</v>
      </c>
      <c r="AQ1508">
        <v>0</v>
      </c>
      <c r="AR1508">
        <v>0</v>
      </c>
      <c r="AS1508">
        <v>0</v>
      </c>
      <c r="AT1508">
        <v>0</v>
      </c>
      <c r="AU1508">
        <v>0</v>
      </c>
      <c r="AV1508">
        <v>0</v>
      </c>
      <c r="AW1508">
        <v>0</v>
      </c>
      <c r="AX1508" s="141">
        <f t="shared" si="1967"/>
        <v>1</v>
      </c>
      <c r="AY1508" s="141">
        <f t="shared" si="1968"/>
        <v>1</v>
      </c>
      <c r="AZ1508">
        <f t="shared" si="1969"/>
        <v>0</v>
      </c>
      <c r="BA1508">
        <f t="shared" si="1970"/>
        <v>0</v>
      </c>
      <c r="BB1508">
        <f t="shared" si="1971"/>
        <v>1</v>
      </c>
      <c r="BC1508">
        <f t="shared" si="1972"/>
        <v>0</v>
      </c>
      <c r="BD1508">
        <f t="shared" si="1973"/>
        <v>0</v>
      </c>
      <c r="BE1508" t="str" cm="1">
        <f t="array" ref="BE1508">IF(AY1508=1,INDEX($V$7:$AL$7,MATCH(TRUE,INDEX($V1508:$AW1508&lt;&gt;0,),0)),IF(AY1508=0,INDEX($AM$7:$AW$7,MATCH(1,$AM1508:$AW1508,0)),IF(BF1508="Multiple strategies","mixed drivers",IF(BF1508="Supply chain","multiple supply","multiple silviculture"))))</f>
        <v>technologies/design switch</v>
      </c>
      <c r="BF1508" s="2" t="str" cm="1">
        <f t="array" ref="BF1508">IF(COUNTIF(AZ1508:BB1508,"&lt;&gt;0")=1,INDEX($V$4:$AW$4,MATCH(TRUE,INDEX($V1508:$AW1508&lt;&gt;0,),0)),IF(COUNTIF(AZ1508:BB1508,"&lt;&gt;0")=0,INDEX($AM$4:$AW$4,MATCH(1,$AM1508:$AW1508,0)),"Multiple strategies"))</f>
        <v>Technology</v>
      </c>
      <c r="BG1508" s="142"/>
      <c r="BJ1508" s="143"/>
      <c r="BL1508" s="143"/>
      <c r="BM1508" s="143"/>
      <c r="BN1508" s="143"/>
      <c r="BO1508" s="143"/>
      <c r="BP1508" s="311" t="s">
        <v>232</v>
      </c>
      <c r="BQ1508" s="311"/>
      <c r="BR1508" t="s">
        <v>4207</v>
      </c>
      <c r="BS1508" s="143"/>
      <c r="BU1508" s="144"/>
      <c r="BV1508">
        <v>3.9E-2</v>
      </c>
      <c r="BX1508">
        <f t="shared" si="1974"/>
        <v>250477500</v>
      </c>
      <c r="BY1508" t="str">
        <f t="shared" si="1926"/>
        <v/>
      </c>
      <c r="BZ1508">
        <v>0</v>
      </c>
      <c r="CA1508">
        <v>0</v>
      </c>
      <c r="CB1508">
        <v>0</v>
      </c>
      <c r="CC1508">
        <v>0</v>
      </c>
      <c r="CD1508">
        <v>0</v>
      </c>
      <c r="CE1508">
        <v>0</v>
      </c>
      <c r="CF1508">
        <v>0</v>
      </c>
      <c r="CG1508">
        <v>0</v>
      </c>
      <c r="CH1508">
        <v>0</v>
      </c>
      <c r="CI1508">
        <v>0</v>
      </c>
      <c r="CJ1508">
        <v>0</v>
      </c>
      <c r="CK1508">
        <v>0</v>
      </c>
      <c r="CL1508">
        <v>0</v>
      </c>
      <c r="CM1508">
        <v>0</v>
      </c>
      <c r="CN1508" t="str">
        <f t="shared" si="1975"/>
        <v>refOK</v>
      </c>
      <c r="CO1508"/>
      <c r="CP1508"/>
      <c r="CQ1508"/>
      <c r="CR1508">
        <f t="shared" si="1976"/>
        <v>0</v>
      </c>
      <c r="CS1508">
        <f t="shared" si="1977"/>
        <v>0</v>
      </c>
      <c r="CT1508">
        <f t="shared" si="1978"/>
        <v>250477500</v>
      </c>
      <c r="CU1508" t="str">
        <f t="shared" si="1979"/>
        <v/>
      </c>
      <c r="CV1508" s="2" t="str">
        <f t="shared" si="1980"/>
        <v/>
      </c>
      <c r="CW1508" s="1" t="s">
        <v>1198</v>
      </c>
      <c r="CX1508" s="311" t="str">
        <f t="shared" si="1981"/>
        <v>reg</v>
      </c>
      <c r="CY1508" t="s">
        <v>428</v>
      </c>
      <c r="CZ1508">
        <v>2020</v>
      </c>
      <c r="DA1508">
        <v>2100</v>
      </c>
      <c r="DB1508">
        <v>80</v>
      </c>
      <c r="DC1508" t="str">
        <f t="shared" si="1982"/>
        <v>71-100</v>
      </c>
      <c r="DD1508">
        <v>0</v>
      </c>
      <c r="DE1508">
        <v>1</v>
      </c>
      <c r="DF1508">
        <v>0</v>
      </c>
      <c r="DG1508">
        <v>0</v>
      </c>
      <c r="DI1508">
        <f t="shared" si="1983"/>
        <v>1</v>
      </c>
      <c r="DJ1508" t="str">
        <f t="shared" si="1984"/>
        <v>EnergyInput</v>
      </c>
      <c r="DK1508">
        <f t="shared" si="1985"/>
        <v>0</v>
      </c>
      <c r="DL1508" t="str">
        <f t="shared" si="1986"/>
        <v>Energy</v>
      </c>
      <c r="DM1508">
        <f t="shared" si="1987"/>
        <v>0</v>
      </c>
      <c r="DN1508">
        <f t="shared" si="1988"/>
        <v>0</v>
      </c>
      <c r="DO1508">
        <v>1</v>
      </c>
      <c r="DP1508">
        <v>1</v>
      </c>
      <c r="DQ1508" t="s">
        <v>4208</v>
      </c>
      <c r="DR1508">
        <v>0</v>
      </c>
      <c r="DS1508" t="s">
        <v>4209</v>
      </c>
      <c r="DT1508">
        <f t="shared" si="1989"/>
        <v>2</v>
      </c>
      <c r="DU1508" s="143" t="str">
        <f t="shared" si="1990"/>
        <v>self-calculated DF</v>
      </c>
      <c r="DV1508">
        <v>1</v>
      </c>
      <c r="DW1508">
        <v>1</v>
      </c>
      <c r="DX1508">
        <v>1</v>
      </c>
      <c r="DY1508">
        <v>0</v>
      </c>
      <c r="DZ1508">
        <v>1</v>
      </c>
      <c r="EA1508">
        <v>0</v>
      </c>
      <c r="EB1508">
        <v>1</v>
      </c>
      <c r="EC1508">
        <v>1</v>
      </c>
      <c r="ED1508">
        <v>0</v>
      </c>
      <c r="EE1508">
        <v>1</v>
      </c>
      <c r="EF1508">
        <v>1</v>
      </c>
      <c r="EG1508">
        <v>1</v>
      </c>
      <c r="EH1508">
        <v>0</v>
      </c>
      <c r="EI1508" s="2">
        <v>0</v>
      </c>
      <c r="EK1508" t="str">
        <f t="shared" si="1942"/>
        <v>Whole sector</v>
      </c>
      <c r="EL1508" t="str">
        <f t="shared" si="1943"/>
        <v/>
      </c>
      <c r="EM1508" s="2" t="str">
        <f t="shared" si="1927"/>
        <v/>
      </c>
      <c r="EP1508" t="b">
        <f>IF(ISNUMBER(BU1508),IF(ABS(BU1508-[1]QC_indicators!$B$2)&gt;3*[1]QC_indicators!$C$2,"C ratio",IF(ISNUMBER(BY1508),IF(ABS(BY1508-[1]QC_indicators!$B$1)&gt;3*[1]QC_indicators!$C$1,"DF","no"))),IF(ISNUMBER(BY1508),IF(ABS(BY1508-[1]QC_indicators!$B$1)&gt;3*[1]QC_indicators!$C$1,"DF","no")))</f>
        <v>0</v>
      </c>
      <c r="ER1508" s="313" t="s">
        <v>349</v>
      </c>
    </row>
    <row r="1509" spans="1:151" ht="18" hidden="1" customHeight="1">
      <c r="A1509" s="1" t="s">
        <v>4870</v>
      </c>
      <c r="B1509" t="s">
        <v>4871</v>
      </c>
      <c r="C1509" t="s">
        <v>4872</v>
      </c>
      <c r="D1509" t="s">
        <v>4873</v>
      </c>
      <c r="E1509" t="s">
        <v>4874</v>
      </c>
      <c r="F1509" t="s">
        <v>4875</v>
      </c>
      <c r="G1509" t="s">
        <v>4876</v>
      </c>
      <c r="H1509" t="s">
        <v>254</v>
      </c>
      <c r="I1509">
        <v>2014</v>
      </c>
      <c r="J1509">
        <v>64</v>
      </c>
      <c r="K1509" t="s">
        <v>4877</v>
      </c>
      <c r="M1509" t="str">
        <f t="shared" si="1932"/>
        <v>Stocker_2014</v>
      </c>
      <c r="N1509" t="s">
        <v>1351</v>
      </c>
      <c r="O1509" s="145" t="s">
        <v>341</v>
      </c>
      <c r="Q1509" s="311" t="s">
        <v>256</v>
      </c>
      <c r="R1509" s="312"/>
      <c r="AX1509" s="141"/>
      <c r="AY1509" s="141"/>
      <c r="BE1509"/>
      <c r="BF1509" s="2"/>
      <c r="BU1509" s="144"/>
      <c r="BY1509" t="str">
        <f t="shared" si="1926"/>
        <v/>
      </c>
      <c r="CN1509"/>
      <c r="CO1509"/>
      <c r="CP1509"/>
      <c r="CQ1509"/>
      <c r="CR1509"/>
      <c r="CS1509"/>
      <c r="CT1509"/>
      <c r="CU1509"/>
      <c r="CV1509" s="2"/>
      <c r="CX1509"/>
      <c r="DC1509"/>
      <c r="DI1509"/>
      <c r="DJ1509"/>
      <c r="DK1509"/>
      <c r="DL1509"/>
      <c r="DM1509"/>
      <c r="DN1509"/>
      <c r="DT1509"/>
      <c r="DU1509" s="143"/>
      <c r="EK1509" t="str">
        <f t="shared" si="1942"/>
        <v/>
      </c>
      <c r="EL1509" t="str">
        <f t="shared" si="1943"/>
        <v/>
      </c>
      <c r="EM1509" s="2" t="str">
        <f t="shared" si="1927"/>
        <v/>
      </c>
      <c r="EN1509" t="s">
        <v>4878</v>
      </c>
      <c r="EO1509" t="s">
        <v>450</v>
      </c>
      <c r="EP1509" t="b">
        <f>IF(ISNUMBER(BU1509),IF(ABS(BU1509-[1]QC_indicators!$B$2)&gt;3*[1]QC_indicators!$C$2,"C ratio",IF(ISNUMBER(BY1509),IF(ABS(BY1509-[1]QC_indicators!$B$1)&gt;3*[1]QC_indicators!$C$1,"DF","no"))),IF(ISNUMBER(BY1509),IF(ABS(BY1509-[1]QC_indicators!$B$1)&gt;3*[1]QC_indicators!$C$1,"DF","no")))</f>
        <v>0</v>
      </c>
    </row>
    <row r="1510" spans="1:151" ht="18" hidden="1" customHeight="1">
      <c r="A1510" s="1" t="s">
        <v>5036</v>
      </c>
      <c r="B1510" t="s">
        <v>5037</v>
      </c>
      <c r="C1510" t="s">
        <v>544</v>
      </c>
      <c r="D1510" t="s">
        <v>5038</v>
      </c>
      <c r="E1510" t="s">
        <v>5039</v>
      </c>
      <c r="F1510" t="s">
        <v>5040</v>
      </c>
      <c r="G1510" t="s">
        <v>5041</v>
      </c>
      <c r="H1510" t="s">
        <v>254</v>
      </c>
      <c r="I1510">
        <v>2022</v>
      </c>
      <c r="J1510">
        <v>1</v>
      </c>
      <c r="K1510" t="s">
        <v>5042</v>
      </c>
      <c r="M1510" t="str">
        <f t="shared" si="1932"/>
        <v>Stockhusen_2022</v>
      </c>
      <c r="N1510" t="s">
        <v>2583</v>
      </c>
      <c r="BE1510"/>
      <c r="BF1510" s="2"/>
      <c r="BY1510" t="str">
        <f t="shared" si="1926"/>
        <v/>
      </c>
      <c r="CN1510"/>
      <c r="CO1510"/>
      <c r="CP1510"/>
      <c r="CQ1510"/>
      <c r="CR1510"/>
      <c r="CS1510"/>
      <c r="CT1510"/>
      <c r="CU1510"/>
      <c r="CV1510" s="2"/>
      <c r="CX1510"/>
      <c r="DC1510"/>
      <c r="DI1510"/>
      <c r="DJ1510"/>
      <c r="DK1510"/>
      <c r="DL1510"/>
      <c r="DM1510"/>
      <c r="DN1510"/>
      <c r="DT1510"/>
      <c r="DU1510"/>
      <c r="EK1510" t="str">
        <f t="shared" si="1942"/>
        <v/>
      </c>
      <c r="EL1510" t="str">
        <f t="shared" si="1943"/>
        <v/>
      </c>
      <c r="EM1510" s="2" t="str">
        <f t="shared" si="1927"/>
        <v/>
      </c>
      <c r="EP1510" t="b">
        <f>IF(ISNUMBER(BU1510),IF(ABS(BU1510-[1]QC_indicators!$B$2)&gt;3*[1]QC_indicators!$C$2,"C ratio",IF(ISNUMBER(BY1510),IF(ABS(BY1510-[1]QC_indicators!$B$1)&gt;3*[1]QC_indicators!$C$1,"DF","no"))),IF(ISNUMBER(BY1510),IF(ABS(BY1510-[1]QC_indicators!$B$1)&gt;3*[1]QC_indicators!$C$1,"DF","no")))</f>
        <v>0</v>
      </c>
    </row>
    <row r="1511" spans="1:151" ht="18" hidden="1" customHeight="1">
      <c r="A1511" s="1" t="s">
        <v>656</v>
      </c>
      <c r="B1511" t="s">
        <v>1140</v>
      </c>
      <c r="C1511" t="s">
        <v>1141</v>
      </c>
      <c r="D1511" t="s">
        <v>1142</v>
      </c>
      <c r="E1511" t="s">
        <v>1143</v>
      </c>
      <c r="F1511" t="s">
        <v>1144</v>
      </c>
      <c r="G1511" t="s">
        <v>662</v>
      </c>
      <c r="H1511" t="s">
        <v>254</v>
      </c>
      <c r="I1511">
        <v>2022</v>
      </c>
      <c r="J1511">
        <v>1</v>
      </c>
      <c r="K1511" t="s">
        <v>1145</v>
      </c>
      <c r="M1511" t="str">
        <f t="shared" si="1932"/>
        <v>Su_2022</v>
      </c>
      <c r="N1511" t="s">
        <v>222</v>
      </c>
      <c r="O1511" s="264" t="s">
        <v>223</v>
      </c>
      <c r="Q1511" s="264" t="s">
        <v>389</v>
      </c>
      <c r="R1511" s="269" t="s">
        <v>1153</v>
      </c>
      <c r="S1511" s="263" t="s">
        <v>257</v>
      </c>
      <c r="T1511" s="264" t="s">
        <v>810</v>
      </c>
      <c r="U1511" s="264" t="s">
        <v>259</v>
      </c>
      <c r="V1511">
        <v>0</v>
      </c>
      <c r="W1511">
        <v>0</v>
      </c>
      <c r="X1511">
        <v>0</v>
      </c>
      <c r="Y1511">
        <v>0</v>
      </c>
      <c r="Z1511">
        <v>0</v>
      </c>
      <c r="AA1511">
        <v>0</v>
      </c>
      <c r="AB1511">
        <v>0</v>
      </c>
      <c r="AC1511">
        <v>0</v>
      </c>
      <c r="AD1511">
        <v>0</v>
      </c>
      <c r="AE1511">
        <v>0</v>
      </c>
      <c r="AF1511">
        <v>0</v>
      </c>
      <c r="AG1511">
        <v>0</v>
      </c>
      <c r="AH1511">
        <v>0</v>
      </c>
      <c r="AI1511">
        <v>0</v>
      </c>
      <c r="AJ1511">
        <v>0</v>
      </c>
      <c r="AK1511">
        <v>1</v>
      </c>
      <c r="AL1511">
        <v>0</v>
      </c>
      <c r="AM1511">
        <v>0</v>
      </c>
      <c r="AN1511">
        <v>0</v>
      </c>
      <c r="AO1511">
        <v>0</v>
      </c>
      <c r="AP1511">
        <v>0</v>
      </c>
      <c r="AQ1511">
        <v>0</v>
      </c>
      <c r="AR1511">
        <v>0</v>
      </c>
      <c r="AS1511">
        <v>0</v>
      </c>
      <c r="AT1511">
        <v>0</v>
      </c>
      <c r="AU1511">
        <v>0</v>
      </c>
      <c r="AV1511">
        <v>0</v>
      </c>
      <c r="AW1511">
        <v>0</v>
      </c>
      <c r="AX1511" s="141">
        <f>COUNTIF(V1511:AW1511,"&lt;&gt;0")</f>
        <v>1</v>
      </c>
      <c r="AY1511" s="141">
        <f>COUNTIF(V1511:AL1511,"&lt;&gt;0")</f>
        <v>1</v>
      </c>
      <c r="AZ1511">
        <f>COUNTIF(V1511:AC1511,"&lt;&gt;0")</f>
        <v>0</v>
      </c>
      <c r="BA1511">
        <f>COUNTIF(AD1511:AI1511,"&lt;&gt;0")</f>
        <v>0</v>
      </c>
      <c r="BB1511">
        <f>COUNTIF(AJ1511:AL1511,"&lt;&gt;0")</f>
        <v>1</v>
      </c>
      <c r="BC1511">
        <f>COUNTIF(AS1511:AW1511,"&lt;&gt;0")</f>
        <v>0</v>
      </c>
      <c r="BD1511">
        <f>COUNTIF(AM1511:AR1511,"&lt;&gt;0")</f>
        <v>0</v>
      </c>
      <c r="BE1511" t="str" cm="1">
        <f t="array" ref="BE1511">IF(AY1511=1,INDEX($V$7:$AL$7,MATCH(TRUE,INDEX($V1511:$AW1511&lt;&gt;0,),0)),IF(AY1511=0,INDEX($AM$7:$AW$7,MATCH(1,$AM1511:$AW1511,0)),IF(BF1511="Multiple strategies","mixed drivers",IF(BF1511="Supply chain","multiple supply","multiple silviculture"))))</f>
        <v>technologies/design switch</v>
      </c>
      <c r="BF1511" s="2" t="str" cm="1">
        <f t="array" ref="BF1511">IF(COUNTIF(AZ1511:BB1511,"&lt;&gt;0")=1,INDEX($V$4:$AW$4,MATCH(TRUE,INDEX($V1511:$AW1511&lt;&gt;0,),0)),IF(COUNTIF(AZ1511:BB1511,"&lt;&gt;0")=0,INDEX($AM$4:$AW$4,MATCH(1,$AM1511:$AW1511,0)),"Multiple strategies"))</f>
        <v>Technology</v>
      </c>
      <c r="BG1511" s="1" t="s">
        <v>229</v>
      </c>
      <c r="BH1511" t="s">
        <v>1146</v>
      </c>
      <c r="BI1511" s="264" t="s">
        <v>1147</v>
      </c>
      <c r="BJ1511" s="264" t="s">
        <v>1148</v>
      </c>
      <c r="BK1511">
        <f>2332/3000</f>
        <v>0.77733333333333332</v>
      </c>
      <c r="BL1511">
        <f>(565731+64622+51138+7369)/3000</f>
        <v>229.62</v>
      </c>
      <c r="BN1511">
        <f>BL1511-BK1511</f>
        <v>228.84266666666667</v>
      </c>
      <c r="BO1511">
        <f>BN1511*kg_to_m3</f>
        <v>0.46702585034013611</v>
      </c>
      <c r="BP1511" s="264" t="s">
        <v>395</v>
      </c>
      <c r="BQ1511" s="264" t="s">
        <v>1149</v>
      </c>
      <c r="BR1511" s="264" t="s">
        <v>1150</v>
      </c>
      <c r="BS1511">
        <v>221</v>
      </c>
      <c r="BT1511">
        <v>-174</v>
      </c>
      <c r="BV1511">
        <f>BT1511-BS1511</f>
        <v>-395</v>
      </c>
      <c r="BX1511">
        <f>BV1511/1000</f>
        <v>-0.39500000000000002</v>
      </c>
      <c r="BY1511">
        <f t="shared" si="1926"/>
        <v>-0.84577759392187934</v>
      </c>
      <c r="BZ1511">
        <v>0</v>
      </c>
      <c r="CA1511">
        <v>0</v>
      </c>
      <c r="CB1511">
        <v>0</v>
      </c>
      <c r="CC1511">
        <v>0</v>
      </c>
      <c r="CD1511">
        <v>0</v>
      </c>
      <c r="CE1511">
        <v>0</v>
      </c>
      <c r="CF1511">
        <v>0</v>
      </c>
      <c r="CG1511">
        <v>0</v>
      </c>
      <c r="CH1511">
        <v>0</v>
      </c>
      <c r="CI1511">
        <v>0</v>
      </c>
      <c r="CJ1511">
        <v>0</v>
      </c>
      <c r="CK1511">
        <v>0</v>
      </c>
      <c r="CL1511">
        <v>0</v>
      </c>
      <c r="CM1511">
        <v>0</v>
      </c>
      <c r="CN1511" t="str">
        <f>IF($BL1511&lt;$BK1511,"refNeedCorrection","refOK")</f>
        <v>refOK</v>
      </c>
      <c r="CO1511">
        <f>IF($CN1511="refOK",$BK1511,$BL1511)</f>
        <v>0.77733333333333332</v>
      </c>
      <c r="CP1511">
        <f>IF($CN1511="refOK",$BL1511,$BK1511)</f>
        <v>229.62</v>
      </c>
      <c r="CQ1511">
        <f>IF($CN1511="refOK",$BO1511,-$BO1511)</f>
        <v>0.46702585034013611</v>
      </c>
      <c r="CR1511">
        <f>IF($CN1511="refOK",$BS1511,$BT1511)*IF($BP1511="Emissions positive",-1,1)</f>
        <v>-221</v>
      </c>
      <c r="CS1511">
        <f>IF($CN1511="refOK",$BT1511,$BS1511)*IF($BP1511="Emissions positive",-1,1)</f>
        <v>174</v>
      </c>
      <c r="CT1511">
        <f>IF($CN1511="refNeedCorrection",-BX1511,BX1511)*IF($BP1511="Emissions positive",-1,1)</f>
        <v>0.39500000000000002</v>
      </c>
      <c r="CU1511">
        <f>IFERROR(CT1511/CQ1511,"")</f>
        <v>0.84577759392187934</v>
      </c>
      <c r="CV1511" s="2">
        <f>IFERROR((CS1511-CR1511)/ABS(CR1511),"")</f>
        <v>1.7873303167420815</v>
      </c>
      <c r="CW1511" s="263" t="s">
        <v>263</v>
      </c>
      <c r="CX1511" s="264" t="str">
        <f>IF(OR($CW1511="prd",$CW1511="std",$CW1511="cit"),"loc",IF(OR($CW1511="eur",$CW1511="reg",$CW1511="coy"),"reg",$CW1511))</f>
        <v>loc</v>
      </c>
      <c r="CY1511" s="264" t="s">
        <v>690</v>
      </c>
      <c r="DB1511">
        <v>0</v>
      </c>
      <c r="DC1511" t="str">
        <f>IF(DB1511=0,"0",IF(AND(DB1511&gt;=1,DB1511&lt;=30),"1-30",IF(AND(DB1511&gt;30,DB1511&lt;=70),"31-70",IF(AND(DB1511&gt;70,DB1511&lt;=100),"71-100",IF(DB1511&gt;100,"+100")))))</f>
        <v>0</v>
      </c>
      <c r="DD1511">
        <v>0</v>
      </c>
      <c r="DE1511">
        <v>0</v>
      </c>
      <c r="DF1511">
        <v>0</v>
      </c>
      <c r="DG1511">
        <v>1</v>
      </c>
      <c r="DH1511">
        <v>0</v>
      </c>
      <c r="DI1511">
        <f>SUM(DD1511:DG1511)</f>
        <v>1</v>
      </c>
      <c r="DJ1511" t="str">
        <f>IF(DI1511=1,INDEX($DD$7:$DG$7,MATCH(1,$DD1511:$DG1511,0)),"mixedProduct")</f>
        <v>TimberInput</v>
      </c>
      <c r="DK1511">
        <f t="shared" ref="DK1511:DN1512" si="1991">IF(DD1511=1,DK$7,0)</f>
        <v>0</v>
      </c>
      <c r="DL1511">
        <f t="shared" si="1991"/>
        <v>0</v>
      </c>
      <c r="DM1511">
        <f t="shared" si="1991"/>
        <v>0</v>
      </c>
      <c r="DN1511" t="str">
        <f t="shared" si="1991"/>
        <v>Timber</v>
      </c>
      <c r="DO1511">
        <v>0</v>
      </c>
      <c r="DP1511">
        <v>0</v>
      </c>
      <c r="DQ1511">
        <v>0</v>
      </c>
      <c r="DR1511">
        <v>0</v>
      </c>
      <c r="DS1511">
        <v>0</v>
      </c>
      <c r="DT1511">
        <f>SUM(DO1511:DP1511)</f>
        <v>0</v>
      </c>
      <c r="DU1511" s="143" t="str">
        <f>IF(DO1511=1,"self-calculated DF",IF(DP1511=1,"external DF used","explicit C balance"))</f>
        <v>explicit C balance</v>
      </c>
      <c r="DV1511">
        <v>0</v>
      </c>
      <c r="DW1511">
        <v>0</v>
      </c>
      <c r="DX1511">
        <v>0</v>
      </c>
      <c r="DY1511">
        <v>1</v>
      </c>
      <c r="DZ1511">
        <v>0</v>
      </c>
      <c r="EA1511">
        <v>1</v>
      </c>
      <c r="EB1511">
        <v>1</v>
      </c>
      <c r="EC1511">
        <v>1</v>
      </c>
      <c r="ED1511">
        <v>1</v>
      </c>
      <c r="EE1511">
        <v>1</v>
      </c>
      <c r="EF1511">
        <v>0</v>
      </c>
      <c r="EG1511">
        <v>0</v>
      </c>
      <c r="EH1511">
        <v>0</v>
      </c>
      <c r="EI1511" s="2">
        <v>0</v>
      </c>
      <c r="EK1511" t="str">
        <f>IF(AND(AND(AND(OR($DX1511=1,$DW1511=1),OR($EC1511=1,$EA1511=1)),SUM($DV1511:$DZ1511,$EF1511)&gt;=4),SUM($EA1511:$EE1511)&gt;=2),"Whole sector","")</f>
        <v/>
      </c>
      <c r="EL1511" t="str">
        <f>IF(AND(AND(OR($DX1511=1,$DW1511=1),AND($EC1511=0,$EA1511=0)),SUM($DV1511:$DZ1511,$EF1511)&gt;=4),"Ecosystem approach","")</f>
        <v/>
      </c>
      <c r="EM1511" s="2" t="str">
        <f t="shared" si="1927"/>
        <v>Technology approach</v>
      </c>
      <c r="EP1511" t="str">
        <f>IF(ISNUMBER(BU1511),IF(ABS(BU1511-[4]QC_indicators!$B$2)&gt;3*[4]QC_indicators!$C$2,"C ratio",IF(ISNUMBER(BY1511),IF(ABS(BY1511-[4]QC_indicators!$B$1)&gt;3*[4]QC_indicators!$C$1,"DF","no"))),IF(ISNUMBER(BY1511),IF(ABS(BY1511-[4]QC_indicators!$B$1)&gt;3*[4]QC_indicators!$C$1,"DF","no")))</f>
        <v>no</v>
      </c>
      <c r="ET1511" s="264" t="s">
        <v>3406</v>
      </c>
    </row>
    <row r="1512" spans="1:151" ht="18" hidden="1" customHeight="1">
      <c r="A1512" s="1" t="s">
        <v>656</v>
      </c>
      <c r="B1512" t="s">
        <v>1140</v>
      </c>
      <c r="C1512" t="s">
        <v>1141</v>
      </c>
      <c r="D1512" t="s">
        <v>1142</v>
      </c>
      <c r="E1512" t="s">
        <v>1143</v>
      </c>
      <c r="F1512" t="s">
        <v>1144</v>
      </c>
      <c r="G1512" t="s">
        <v>662</v>
      </c>
      <c r="H1512" t="s">
        <v>254</v>
      </c>
      <c r="I1512">
        <v>2022</v>
      </c>
      <c r="J1512">
        <v>1</v>
      </c>
      <c r="K1512" t="s">
        <v>1145</v>
      </c>
      <c r="M1512" t="str">
        <f t="shared" si="1932"/>
        <v>Su_2022</v>
      </c>
      <c r="N1512" t="s">
        <v>222</v>
      </c>
      <c r="O1512" s="264" t="s">
        <v>223</v>
      </c>
      <c r="Q1512" s="264" t="s">
        <v>389</v>
      </c>
      <c r="R1512" s="269" t="s">
        <v>1153</v>
      </c>
      <c r="S1512" s="263" t="s">
        <v>257</v>
      </c>
      <c r="T1512" s="264" t="s">
        <v>1151</v>
      </c>
      <c r="U1512" s="264" t="s">
        <v>1152</v>
      </c>
      <c r="V1512">
        <v>0</v>
      </c>
      <c r="W1512">
        <v>0</v>
      </c>
      <c r="X1512">
        <v>0</v>
      </c>
      <c r="Y1512">
        <v>0</v>
      </c>
      <c r="Z1512">
        <v>0</v>
      </c>
      <c r="AA1512">
        <v>0</v>
      </c>
      <c r="AB1512">
        <v>0</v>
      </c>
      <c r="AC1512">
        <v>0</v>
      </c>
      <c r="AD1512">
        <v>0</v>
      </c>
      <c r="AE1512">
        <v>0</v>
      </c>
      <c r="AF1512">
        <v>0</v>
      </c>
      <c r="AG1512">
        <v>0</v>
      </c>
      <c r="AH1512">
        <v>0</v>
      </c>
      <c r="AI1512">
        <v>0</v>
      </c>
      <c r="AJ1512">
        <v>0</v>
      </c>
      <c r="AK1512">
        <v>1</v>
      </c>
      <c r="AL1512">
        <v>0</v>
      </c>
      <c r="AM1512">
        <v>0</v>
      </c>
      <c r="AN1512">
        <v>0</v>
      </c>
      <c r="AO1512">
        <v>0</v>
      </c>
      <c r="AP1512">
        <v>0</v>
      </c>
      <c r="AQ1512">
        <v>0</v>
      </c>
      <c r="AR1512">
        <v>0</v>
      </c>
      <c r="AS1512">
        <v>0</v>
      </c>
      <c r="AT1512">
        <v>0</v>
      </c>
      <c r="AU1512">
        <v>0</v>
      </c>
      <c r="AV1512">
        <v>0</v>
      </c>
      <c r="AW1512">
        <v>0</v>
      </c>
      <c r="AX1512" s="141">
        <f>COUNTIF(V1512:AW1512,"&lt;&gt;0")</f>
        <v>1</v>
      </c>
      <c r="AY1512" s="141">
        <f>COUNTIF(V1512:AL1512,"&lt;&gt;0")</f>
        <v>1</v>
      </c>
      <c r="AZ1512">
        <f>COUNTIF(V1512:AC1512,"&lt;&gt;0")</f>
        <v>0</v>
      </c>
      <c r="BA1512">
        <f>COUNTIF(AD1512:AI1512,"&lt;&gt;0")</f>
        <v>0</v>
      </c>
      <c r="BB1512">
        <f>COUNTIF(AJ1512:AL1512,"&lt;&gt;0")</f>
        <v>1</v>
      </c>
      <c r="BC1512">
        <f>COUNTIF(AS1512:AW1512,"&lt;&gt;0")</f>
        <v>0</v>
      </c>
      <c r="BD1512">
        <f>COUNTIF(AM1512:AR1512,"&lt;&gt;0")</f>
        <v>0</v>
      </c>
      <c r="BE1512" t="str" cm="1">
        <f t="array" ref="BE1512">IF(AY1512=1,INDEX($V$7:$AL$7,MATCH(TRUE,INDEX($V1512:$AW1512&lt;&gt;0,),0)),IF(AY1512=0,INDEX($AM$7:$AW$7,MATCH(1,$AM1512:$AW1512,0)),IF(BF1512="Multiple strategies","mixed drivers",IF(BF1512="Supply chain","multiple supply","multiple silviculture"))))</f>
        <v>technologies/design switch</v>
      </c>
      <c r="BF1512" s="2" t="str" cm="1">
        <f t="array" ref="BF1512">IF(COUNTIF(AZ1512:BB1512,"&lt;&gt;0")=1,INDEX($V$4:$AW$4,MATCH(TRUE,INDEX($V1512:$AW1512&lt;&gt;0,),0)),IF(COUNTIF(AZ1512:BB1512,"&lt;&gt;0")=0,INDEX($AM$4:$AW$4,MATCH(1,$AM1512:$AW1512,0)),"Multiple strategies"))</f>
        <v>Technology</v>
      </c>
      <c r="BG1512" s="1" t="s">
        <v>229</v>
      </c>
      <c r="BH1512" t="s">
        <v>1146</v>
      </c>
      <c r="BI1512" s="264" t="s">
        <v>1147</v>
      </c>
      <c r="BJ1512" s="264" t="s">
        <v>1148</v>
      </c>
      <c r="BK1512">
        <f>(565731+64622+51138+7369)/2/3000</f>
        <v>114.81</v>
      </c>
      <c r="BL1512">
        <f>(565731+64622+51138+7369)*1.5/3000</f>
        <v>344.43</v>
      </c>
      <c r="BN1512">
        <f>BL1512-BK1512</f>
        <v>229.62</v>
      </c>
      <c r="BO1512">
        <f>BN1512*kg_to_m3</f>
        <v>0.46861224489795922</v>
      </c>
      <c r="BP1512" s="264" t="s">
        <v>395</v>
      </c>
      <c r="BQ1512" s="264" t="s">
        <v>1149</v>
      </c>
      <c r="BR1512" s="264" t="s">
        <v>1150</v>
      </c>
      <c r="BS1512">
        <v>-212</v>
      </c>
      <c r="BT1512">
        <v>-54.6</v>
      </c>
      <c r="BV1512">
        <f>BT1512-BS1512</f>
        <v>157.4</v>
      </c>
      <c r="BX1512">
        <f>BV1512/1000</f>
        <v>0.15740000000000001</v>
      </c>
      <c r="BY1512">
        <f t="shared" si="1926"/>
        <v>0.3358853758383416</v>
      </c>
      <c r="BZ1512">
        <v>0</v>
      </c>
      <c r="CA1512">
        <v>0</v>
      </c>
      <c r="CB1512">
        <v>0</v>
      </c>
      <c r="CC1512">
        <v>0</v>
      </c>
      <c r="CD1512">
        <v>0</v>
      </c>
      <c r="CE1512">
        <v>0</v>
      </c>
      <c r="CF1512">
        <v>0</v>
      </c>
      <c r="CG1512">
        <v>0</v>
      </c>
      <c r="CH1512">
        <v>0</v>
      </c>
      <c r="CI1512">
        <v>0</v>
      </c>
      <c r="CJ1512">
        <v>0</v>
      </c>
      <c r="CK1512">
        <v>0</v>
      </c>
      <c r="CL1512">
        <v>0</v>
      </c>
      <c r="CM1512">
        <v>0</v>
      </c>
      <c r="CN1512" t="str">
        <f>IF($BL1512&lt;$BK1512,"refNeedCorrection","refOK")</f>
        <v>refOK</v>
      </c>
      <c r="CO1512">
        <f>IF($CN1512="refOK",$BL1512,$BK1512)</f>
        <v>344.43</v>
      </c>
      <c r="CP1512">
        <f>IF($CN1512="refOK",$BK1512,$BL1512)</f>
        <v>114.81</v>
      </c>
      <c r="CQ1512">
        <f>IF($CN1512="refOK",$BO1512,-$BO1512)</f>
        <v>0.46861224489795922</v>
      </c>
      <c r="CR1512">
        <f>IF($CN1512="refOK",$BT1512,$BS1512)*IF($BP1512="Emissions positive",-1,1)</f>
        <v>54.6</v>
      </c>
      <c r="CS1512">
        <f>IF($CN1512="refOK",$BS1512,$BT1512)*IF($BP1512="Emissions positive",-1,1)</f>
        <v>212</v>
      </c>
      <c r="CT1512">
        <f>IF($CN1512="refNeedCorrection",-BX1512,BX1512)*IF($BP1512="Emissions positive",-1,1)</f>
        <v>-0.15740000000000001</v>
      </c>
      <c r="CU1512">
        <f>IFERROR(CT1512/CQ1512,"")</f>
        <v>-0.3358853758383416</v>
      </c>
      <c r="CV1512" s="2">
        <f>IFERROR((CS1512-CR1512)/ABS(CR1512),"")</f>
        <v>2.8827838827838828</v>
      </c>
      <c r="CW1512" s="263" t="s">
        <v>263</v>
      </c>
      <c r="CX1512" s="264" t="str">
        <f>IF(OR($CW1512="prd",$CW1512="std",$CW1512="cit"),"loc",IF(OR($CW1512="eur",$CW1512="reg",$CW1512="coy"),"reg",$CW1512))</f>
        <v>loc</v>
      </c>
      <c r="CY1512" s="264" t="s">
        <v>690</v>
      </c>
      <c r="DB1512">
        <v>0</v>
      </c>
      <c r="DC1512" t="str">
        <f>IF(DB1512=0,"0",IF(AND(DB1512&gt;=1,DB1512&lt;=30),"1-30",IF(AND(DB1512&gt;30,DB1512&lt;=70),"31-70",IF(AND(DB1512&gt;70,DB1512&lt;=100),"71-100",IF(DB1512&gt;100,"+100")))))</f>
        <v>0</v>
      </c>
      <c r="DD1512">
        <v>0</v>
      </c>
      <c r="DE1512">
        <v>0</v>
      </c>
      <c r="DF1512">
        <v>0</v>
      </c>
      <c r="DG1512">
        <v>1</v>
      </c>
      <c r="DH1512">
        <v>0</v>
      </c>
      <c r="DI1512">
        <f>SUM(DD1512:DG1512)</f>
        <v>1</v>
      </c>
      <c r="DJ1512" t="str">
        <f>IF(DI1512=1,INDEX($DD$7:$DG$7,MATCH(1,$DD1512:$DG1512,0)),"mixedProduct")</f>
        <v>TimberInput</v>
      </c>
      <c r="DK1512">
        <f t="shared" si="1991"/>
        <v>0</v>
      </c>
      <c r="DL1512">
        <f t="shared" si="1991"/>
        <v>0</v>
      </c>
      <c r="DM1512">
        <f t="shared" si="1991"/>
        <v>0</v>
      </c>
      <c r="DN1512" t="str">
        <f t="shared" si="1991"/>
        <v>Timber</v>
      </c>
      <c r="DO1512">
        <v>0</v>
      </c>
      <c r="DP1512">
        <v>0</v>
      </c>
      <c r="DQ1512">
        <v>0</v>
      </c>
      <c r="DR1512">
        <v>0</v>
      </c>
      <c r="DS1512">
        <v>0</v>
      </c>
      <c r="DT1512">
        <f>SUM(DO1512:DP1512)</f>
        <v>0</v>
      </c>
      <c r="DU1512" s="143" t="str">
        <f>IF(DO1512=1,"self-calculated DF",IF(DP1512=1,"external DF used","explicit C balance"))</f>
        <v>explicit C balance</v>
      </c>
      <c r="DV1512">
        <v>0</v>
      </c>
      <c r="DW1512">
        <v>0</v>
      </c>
      <c r="DX1512">
        <v>0</v>
      </c>
      <c r="DY1512">
        <v>1</v>
      </c>
      <c r="DZ1512">
        <v>0</v>
      </c>
      <c r="EA1512">
        <v>1</v>
      </c>
      <c r="EB1512">
        <v>1</v>
      </c>
      <c r="EC1512">
        <v>1</v>
      </c>
      <c r="ED1512">
        <v>1</v>
      </c>
      <c r="EE1512">
        <v>1</v>
      </c>
      <c r="EF1512">
        <v>0</v>
      </c>
      <c r="EG1512">
        <v>0</v>
      </c>
      <c r="EH1512">
        <v>0</v>
      </c>
      <c r="EI1512" s="2">
        <v>0</v>
      </c>
      <c r="EK1512" t="str">
        <f>IF(AND(AND(AND(OR($DX1512=1,$DW1512=1),OR($EC1512=1,$EA1512=1)),SUM($DV1512:$DZ1512,$EF1512)&gt;=4),SUM($EA1512:$EE1512)&gt;=2),"Whole sector","")</f>
        <v/>
      </c>
      <c r="EL1512" t="str">
        <f>IF(AND(AND(OR($DX1512=1,$DW1512=1),AND($EC1512=0,$EA1512=0)),SUM($DV1512:$DZ1512,$EF1512)&gt;=4),"Ecosystem approach","")</f>
        <v/>
      </c>
      <c r="EM1512" s="2" t="str">
        <f t="shared" si="1927"/>
        <v>Technology approach</v>
      </c>
      <c r="EP1512" t="str">
        <f>IF(ISNUMBER(BU1512),IF(ABS(BU1512-[4]QC_indicators!$B$2)&gt;3*[4]QC_indicators!$C$2,"C ratio",IF(ISNUMBER(BY1512),IF(ABS(BY1512-[4]QC_indicators!$B$1)&gt;3*[4]QC_indicators!$C$1,"DF","no"))),IF(ISNUMBER(BY1512),IF(ABS(BY1512-[4]QC_indicators!$B$1)&gt;3*[4]QC_indicators!$C$1,"DF","no")))</f>
        <v>no</v>
      </c>
      <c r="ET1512" s="264" t="s">
        <v>3406</v>
      </c>
    </row>
    <row r="1513" spans="1:151" ht="18" hidden="1" customHeight="1">
      <c r="A1513" s="1" t="s">
        <v>1137</v>
      </c>
      <c r="B1513" t="s">
        <v>5184</v>
      </c>
      <c r="C1513" t="s">
        <v>5185</v>
      </c>
      <c r="D1513" t="s">
        <v>5186</v>
      </c>
      <c r="E1513" t="s">
        <v>5187</v>
      </c>
      <c r="F1513" t="s">
        <v>5188</v>
      </c>
      <c r="G1513" t="s">
        <v>1138</v>
      </c>
      <c r="H1513" t="s">
        <v>3790</v>
      </c>
      <c r="I1513">
        <v>2021</v>
      </c>
      <c r="J1513">
        <v>0</v>
      </c>
      <c r="K1513" t="s">
        <v>5189</v>
      </c>
      <c r="M1513" t="str">
        <f t="shared" si="1932"/>
        <v>Sullivan_2021</v>
      </c>
      <c r="N1513" t="s">
        <v>2585</v>
      </c>
      <c r="O1513" s="145" t="s">
        <v>1153</v>
      </c>
      <c r="Q1513" s="311" t="s">
        <v>256</v>
      </c>
      <c r="R1513" s="312"/>
      <c r="AX1513" s="141"/>
      <c r="AY1513" s="141"/>
      <c r="BE1513"/>
      <c r="BF1513" s="2"/>
      <c r="BP1513" s="143"/>
      <c r="BQ1513" s="143"/>
      <c r="BU1513" s="144"/>
      <c r="BY1513" t="str">
        <f t="shared" si="1926"/>
        <v/>
      </c>
      <c r="CN1513"/>
      <c r="CO1513"/>
      <c r="CP1513"/>
      <c r="CQ1513"/>
      <c r="CR1513"/>
      <c r="CS1513"/>
      <c r="CT1513"/>
      <c r="CU1513"/>
      <c r="CV1513" s="2"/>
      <c r="CX1513"/>
      <c r="DC1513"/>
      <c r="DI1513"/>
      <c r="DJ1513"/>
      <c r="DK1513"/>
      <c r="DL1513"/>
      <c r="DM1513"/>
      <c r="DN1513"/>
      <c r="DT1513"/>
      <c r="DU1513" s="143"/>
      <c r="EK1513" t="str">
        <f>IF(AND(AND(AND(OR($DX1513=1,$DW1513=1),OR($EC1513=1,$EA1513=1)),SUM($DV1513:$DZ1513,$EF1513)&gt;=3),SUM($EA1513:$EE1513)&gt;=2),"Whole sector","")</f>
        <v/>
      </c>
      <c r="EL1513" t="str">
        <f>IF(AND(AND(OR($DX1513=1,$DW1513=1),AND($EC1513=0,$EA1513=0)),SUM($DV1513:$DZ1513,$EF1513)&gt;=3),"Ecosystem approach","")</f>
        <v/>
      </c>
      <c r="EM1513" s="2" t="str">
        <f t="shared" si="1927"/>
        <v/>
      </c>
      <c r="EO1513" t="s">
        <v>4328</v>
      </c>
      <c r="EP1513" t="b">
        <f>IF(ISNUMBER(BU1513),IF(ABS(BU1513-[1]QC_indicators!$B$2)&gt;3*[1]QC_indicators!$C$2,"C ratio",IF(ISNUMBER(BY1513),IF(ABS(BY1513-[1]QC_indicators!$B$1)&gt;3*[1]QC_indicators!$C$1,"DF","no"))),IF(ISNUMBER(BY1513),IF(ABS(BY1513-[1]QC_indicators!$B$1)&gt;3*[1]QC_indicators!$C$1,"DF","no")))</f>
        <v>0</v>
      </c>
      <c r="EU1513" s="185"/>
    </row>
    <row r="1514" spans="1:151" ht="18" hidden="1" customHeight="1">
      <c r="A1514" s="1" t="s">
        <v>1422</v>
      </c>
      <c r="B1514" t="s">
        <v>4671</v>
      </c>
      <c r="C1514" t="s">
        <v>4672</v>
      </c>
      <c r="D1514" t="s">
        <v>4673</v>
      </c>
      <c r="E1514" t="s">
        <v>4674</v>
      </c>
      <c r="F1514" t="s">
        <v>4675</v>
      </c>
      <c r="G1514" t="s">
        <v>1428</v>
      </c>
      <c r="H1514" t="s">
        <v>254</v>
      </c>
      <c r="I1514">
        <v>2016</v>
      </c>
      <c r="J1514">
        <v>14</v>
      </c>
      <c r="K1514" t="s">
        <v>4676</v>
      </c>
      <c r="M1514" t="str">
        <f t="shared" si="1932"/>
        <v>Susaeta_2016</v>
      </c>
      <c r="N1514" t="s">
        <v>2582</v>
      </c>
      <c r="O1514" s="145" t="s">
        <v>1153</v>
      </c>
      <c r="Q1514" s="311" t="s">
        <v>256</v>
      </c>
      <c r="R1514" s="312"/>
      <c r="AX1514" s="141"/>
      <c r="AY1514" s="141"/>
      <c r="BE1514"/>
      <c r="BF1514" s="2"/>
      <c r="BP1514" s="143"/>
      <c r="BQ1514" s="143"/>
      <c r="BU1514" s="144"/>
      <c r="BY1514" t="str">
        <f t="shared" ref="BY1514:BY1577" si="1992">IFERROR(BX1514/BO1514,"")</f>
        <v/>
      </c>
      <c r="CN1514"/>
      <c r="CO1514"/>
      <c r="CP1514"/>
      <c r="CQ1514"/>
      <c r="CR1514"/>
      <c r="CS1514"/>
      <c r="CT1514"/>
      <c r="CU1514"/>
      <c r="CV1514" s="2"/>
      <c r="CX1514"/>
      <c r="DC1514"/>
      <c r="DI1514"/>
      <c r="DJ1514"/>
      <c r="DK1514"/>
      <c r="DL1514"/>
      <c r="DM1514"/>
      <c r="DN1514"/>
      <c r="DT1514"/>
      <c r="DU1514" s="143"/>
      <c r="EK1514" t="str">
        <f>IF(AND(AND(AND(OR($DX1514=1,$DW1514=1),OR($EC1514=1,$EA1514=1)),SUM($DV1514:$DZ1514,$EF1514)&gt;=3),SUM($EA1514:$EE1514)&gt;=2),"Whole sector","")</f>
        <v/>
      </c>
      <c r="EL1514" t="str">
        <f>IF(AND(AND(OR($DX1514=1,$DW1514=1),AND($EC1514=0,$EA1514=0)),SUM($DV1514:$DZ1514,$EF1514)&gt;=3),"Ecosystem approach","")</f>
        <v/>
      </c>
      <c r="EM1514" s="2" t="str">
        <f t="shared" si="1927"/>
        <v/>
      </c>
      <c r="EO1514" t="s">
        <v>4328</v>
      </c>
      <c r="EP1514" t="b">
        <f>IF(ISNUMBER(BU1514),IF(ABS(BU1514-[1]QC_indicators!$B$2)&gt;3*[1]QC_indicators!$C$2,"C ratio",IF(ISNUMBER(BY1514),IF(ABS(BY1514-[1]QC_indicators!$B$1)&gt;3*[1]QC_indicators!$C$1,"DF","no"))),IF(ISNUMBER(BY1514),IF(ABS(BY1514-[1]QC_indicators!$B$1)&gt;3*[1]QC_indicators!$C$1,"DF","no")))</f>
        <v>0</v>
      </c>
    </row>
    <row r="1515" spans="1:151" ht="18" hidden="1" customHeight="1">
      <c r="A1515" s="1" t="s">
        <v>4677</v>
      </c>
      <c r="B1515" t="s">
        <v>4678</v>
      </c>
      <c r="C1515" t="s">
        <v>4679</v>
      </c>
      <c r="D1515" t="s">
        <v>4680</v>
      </c>
      <c r="E1515" t="s">
        <v>4681</v>
      </c>
      <c r="F1515" t="s">
        <v>4682</v>
      </c>
      <c r="G1515" t="s">
        <v>4683</v>
      </c>
      <c r="H1515" t="s">
        <v>254</v>
      </c>
      <c r="I1515">
        <v>2022</v>
      </c>
      <c r="J1515">
        <v>1</v>
      </c>
      <c r="K1515" t="s">
        <v>4684</v>
      </c>
      <c r="M1515" t="str">
        <f t="shared" si="1932"/>
        <v>Syrbe_2022</v>
      </c>
      <c r="N1515" t="s">
        <v>2582</v>
      </c>
      <c r="BE1515"/>
      <c r="BF1515" s="2"/>
      <c r="BY1515" t="str">
        <f t="shared" si="1992"/>
        <v/>
      </c>
      <c r="CN1515"/>
      <c r="CO1515"/>
      <c r="CP1515"/>
      <c r="CQ1515"/>
      <c r="CR1515"/>
      <c r="CS1515"/>
      <c r="CT1515"/>
      <c r="CU1515"/>
      <c r="CV1515" s="2"/>
      <c r="CX1515"/>
      <c r="DC1515"/>
      <c r="DI1515"/>
      <c r="DJ1515"/>
      <c r="DK1515"/>
      <c r="DL1515"/>
      <c r="DM1515"/>
      <c r="DN1515"/>
      <c r="DT1515"/>
      <c r="DU1515"/>
      <c r="EK1515" t="str">
        <f>IF(AND(AND(AND(OR($DX1515=1,$DW1515=1),OR($EC1515=1,$EA1515=1)),SUM($DV1515:$DZ1515,$EF1515)&gt;=3),SUM($EA1515:$EE1515)&gt;=2),"Whole sector","")</f>
        <v/>
      </c>
      <c r="EL1515" t="str">
        <f>IF(AND(AND(OR($DX1515=1,$DW1515=1),AND($EC1515=0,$EA1515=0)),SUM($DV1515:$DZ1515,$EF1515)&gt;=3),"Ecosystem approach","")</f>
        <v/>
      </c>
      <c r="EM1515" s="2" t="str">
        <f t="shared" si="1927"/>
        <v/>
      </c>
      <c r="EP1515" t="b">
        <f>IF(ISNUMBER(BU1515),IF(ABS(BU1515-[1]QC_indicators!$B$2)&gt;3*[1]QC_indicators!$C$2,"C ratio",IF(ISNUMBER(BY1515),IF(ABS(BY1515-[1]QC_indicators!$B$1)&gt;3*[1]QC_indicators!$C$1,"DF","no"))),IF(ISNUMBER(BY1515),IF(ABS(BY1515-[1]QC_indicators!$B$1)&gt;3*[1]QC_indicators!$C$1,"DF","no")))</f>
        <v>0</v>
      </c>
    </row>
    <row r="1516" spans="1:151" ht="18" hidden="1" customHeight="1">
      <c r="A1516" s="1" t="s">
        <v>4220</v>
      </c>
      <c r="B1516" t="s">
        <v>4221</v>
      </c>
      <c r="C1516" t="s">
        <v>4222</v>
      </c>
      <c r="D1516" t="s">
        <v>4223</v>
      </c>
      <c r="E1516" t="s">
        <v>4224</v>
      </c>
      <c r="F1516" t="s">
        <v>4225</v>
      </c>
      <c r="G1516" t="s">
        <v>4226</v>
      </c>
      <c r="H1516" t="s">
        <v>254</v>
      </c>
      <c r="I1516">
        <v>2022</v>
      </c>
      <c r="J1516">
        <v>0</v>
      </c>
      <c r="K1516" t="s">
        <v>4227</v>
      </c>
      <c r="M1516" t="str">
        <f t="shared" si="1932"/>
        <v>Szalay_2022</v>
      </c>
      <c r="N1516" s="311" t="s">
        <v>4382</v>
      </c>
      <c r="O1516" s="161" t="s">
        <v>223</v>
      </c>
      <c r="Q1516" s="311" t="s">
        <v>389</v>
      </c>
      <c r="R1516" s="312"/>
      <c r="S1516" s="318" t="s">
        <v>257</v>
      </c>
      <c r="T1516" s="311" t="s">
        <v>4228</v>
      </c>
      <c r="U1516" s="311" t="s">
        <v>4229</v>
      </c>
      <c r="V1516">
        <v>0</v>
      </c>
      <c r="W1516">
        <v>0</v>
      </c>
      <c r="X1516">
        <v>0</v>
      </c>
      <c r="Y1516">
        <v>0</v>
      </c>
      <c r="Z1516">
        <v>0</v>
      </c>
      <c r="AA1516">
        <v>0</v>
      </c>
      <c r="AB1516">
        <v>0</v>
      </c>
      <c r="AC1516">
        <v>0</v>
      </c>
      <c r="AD1516">
        <v>0</v>
      </c>
      <c r="AE1516">
        <v>0</v>
      </c>
      <c r="AF1516">
        <v>0</v>
      </c>
      <c r="AG1516">
        <v>0</v>
      </c>
      <c r="AH1516">
        <v>0</v>
      </c>
      <c r="AI1516">
        <v>0</v>
      </c>
      <c r="AJ1516">
        <v>0</v>
      </c>
      <c r="AK1516">
        <v>1</v>
      </c>
      <c r="AL1516">
        <v>0</v>
      </c>
      <c r="AM1516">
        <v>0</v>
      </c>
      <c r="AN1516">
        <v>0</v>
      </c>
      <c r="AO1516">
        <v>0</v>
      </c>
      <c r="AP1516">
        <v>0</v>
      </c>
      <c r="AQ1516">
        <v>0</v>
      </c>
      <c r="AR1516">
        <v>0</v>
      </c>
      <c r="AS1516">
        <v>0</v>
      </c>
      <c r="AT1516">
        <v>0</v>
      </c>
      <c r="AU1516">
        <v>0</v>
      </c>
      <c r="AV1516">
        <v>0</v>
      </c>
      <c r="AW1516">
        <v>0</v>
      </c>
      <c r="AX1516" s="141">
        <f>COUNTIF(V1516:AW1516,"&lt;&gt;0")</f>
        <v>1</v>
      </c>
      <c r="AY1516" s="141">
        <f>COUNTIF(V1516:AL1516,"&lt;&gt;0")</f>
        <v>1</v>
      </c>
      <c r="AZ1516">
        <f>COUNTIF(V1516:AC1516,"&lt;&gt;0")</f>
        <v>0</v>
      </c>
      <c r="BA1516">
        <f>COUNTIF(AD1516:AI1516,"&lt;&gt;0")</f>
        <v>0</v>
      </c>
      <c r="BB1516">
        <f>COUNTIF(AJ1516:AL1516,"&lt;&gt;0")</f>
        <v>1</v>
      </c>
      <c r="BC1516">
        <f>COUNTIF(AS1516:AW1516,"&lt;&gt;0")</f>
        <v>0</v>
      </c>
      <c r="BD1516">
        <f>COUNTIF(AM1516:AR1516,"&lt;&gt;0")</f>
        <v>0</v>
      </c>
      <c r="BE1516" t="str" cm="1">
        <f t="array" ref="BE1516">IF(AY1516=1,INDEX($V$7:$AL$7,MATCH(TRUE,INDEX($V1516:$AW1516&lt;&gt;0,),0)),IF(AY1516=0,INDEX($AM$7:$AW$7,MATCH(1,$AM1516:$AW1516,0)),IF(BF1516="Multiple strategies","mixed drivers",IF(BF1516="Supply chain","multiple supply","multiple silviculture"))))</f>
        <v>technologies/design switch</v>
      </c>
      <c r="BF1516" s="2" t="str" cm="1">
        <f t="array" ref="BF1516">IF(COUNTIF(AZ1516:BB1516,"&lt;&gt;0")=1,INDEX($V$4:$AW$4,MATCH(TRUE,INDEX($V1516:$AW1516&lt;&gt;0,),0)),IF(COUNTIF(AZ1516:BB1516,"&lt;&gt;0")=0,INDEX($AM$4:$AW$4,MATCH(1,$AM1516:$AW1516,0)),"Multiple strategies"))</f>
        <v>Technology</v>
      </c>
      <c r="BP1516" s="311" t="s">
        <v>395</v>
      </c>
      <c r="BQ1516" s="311" t="s">
        <v>3683</v>
      </c>
      <c r="BR1516" s="311" t="s">
        <v>397</v>
      </c>
      <c r="BS1516">
        <v>11941</v>
      </c>
      <c r="BT1516">
        <v>-14882</v>
      </c>
      <c r="BY1516" t="str">
        <f t="shared" si="1992"/>
        <v/>
      </c>
      <c r="BZ1516">
        <v>0</v>
      </c>
      <c r="CA1516">
        <v>0</v>
      </c>
      <c r="CB1516">
        <v>0</v>
      </c>
      <c r="CC1516">
        <v>0</v>
      </c>
      <c r="CD1516">
        <v>0</v>
      </c>
      <c r="CE1516">
        <v>0</v>
      </c>
      <c r="CF1516">
        <v>0</v>
      </c>
      <c r="CG1516">
        <v>0</v>
      </c>
      <c r="CH1516">
        <v>0</v>
      </c>
      <c r="CI1516">
        <v>0</v>
      </c>
      <c r="CJ1516">
        <v>0</v>
      </c>
      <c r="CK1516">
        <v>0</v>
      </c>
      <c r="CL1516">
        <v>0</v>
      </c>
      <c r="CM1516">
        <v>0</v>
      </c>
      <c r="CN1516" t="str">
        <f>IF($BL1516&lt;$BK1516,"refNeedCorrection","refOK")</f>
        <v>refOK</v>
      </c>
      <c r="CO1516">
        <f>IF($CN1516="refOK",$BK1516,$BL1516)</f>
        <v>0</v>
      </c>
      <c r="CP1516">
        <f>IF($CN1516="refOK",$BL1516,$BK1516)</f>
        <v>0</v>
      </c>
      <c r="CQ1516">
        <f>IF($CN1516="refOK",$BO1516,-$BO1516)</f>
        <v>0</v>
      </c>
      <c r="CR1516">
        <f>IF($CN1516="refOK",$BS1516,$BT1516)*IF($BP1516="Emissions positive",-1,1)</f>
        <v>-11941</v>
      </c>
      <c r="CS1516">
        <f>IF($CN1516="refOK",$BT1516,$BS1516)*IF($BP1516="Emissions positive",-1,1)</f>
        <v>14882</v>
      </c>
      <c r="CT1516">
        <f>IF($CN1516="refNeedCorrection",-BX1516,BX1516)*IF($BP1516="Emissions positive",-1,1)</f>
        <v>0</v>
      </c>
      <c r="CU1516" t="str">
        <f>IFERROR(CT1516/CQ1516,"")</f>
        <v/>
      </c>
      <c r="CV1516" s="2">
        <f>IFERROR((CS1516-CR1516)/ABS(CR1516),"")</f>
        <v>2.2462942802110377</v>
      </c>
      <c r="CW1516" s="318" t="s">
        <v>263</v>
      </c>
      <c r="CX1516" s="311" t="str">
        <f>IF(OR($CW1516="prd",$CW1516="std",$CW1516="cit"),"loc",IF(OR($CW1516="eur",$CW1516="reg",$CW1516="coy"),"reg",$CW1516))</f>
        <v>loc</v>
      </c>
      <c r="CY1516" s="311" t="s">
        <v>4230</v>
      </c>
      <c r="DB1516">
        <v>0</v>
      </c>
      <c r="DC1516" t="str">
        <f>IF(DB1516=0,"0",IF(AND(DB1516&gt;=1,DB1516&lt;=30),"1-30",IF(AND(DB1516&gt;30,DB1516&lt;=70),"31-70",IF(AND(DB1516&gt;70,DB1516&lt;=100),"71-100",IF(DB1516&gt;100,"+100")))))</f>
        <v>0</v>
      </c>
      <c r="DD1516">
        <v>0</v>
      </c>
      <c r="DE1516">
        <v>0</v>
      </c>
      <c r="DF1516">
        <v>0</v>
      </c>
      <c r="DG1516">
        <v>1</v>
      </c>
      <c r="DH1516">
        <v>0</v>
      </c>
      <c r="DI1516">
        <f>SUM(DD1516:DG1516)</f>
        <v>1</v>
      </c>
      <c r="DJ1516" t="str">
        <f>IF(DI1516=1,INDEX($DD$7:$DG$7,MATCH(1,$DD1516:$DG1516,0)),"mixedProduct")</f>
        <v>TimberInput</v>
      </c>
      <c r="DK1516">
        <f>IF(DD1516=1,DK$7,0)</f>
        <v>0</v>
      </c>
      <c r="DL1516">
        <f>IF(DE1516=1,DL$7,0)</f>
        <v>0</v>
      </c>
      <c r="DM1516">
        <f>IF(DF1516=1,DM$7,0)</f>
        <v>0</v>
      </c>
      <c r="DN1516" t="str">
        <f>IF(DG1516=1,DN$7,0)</f>
        <v>Timber</v>
      </c>
      <c r="DO1516">
        <v>0</v>
      </c>
      <c r="DP1516">
        <v>0</v>
      </c>
      <c r="DQ1516">
        <v>0</v>
      </c>
      <c r="DR1516">
        <v>0</v>
      </c>
      <c r="DS1516">
        <v>0</v>
      </c>
      <c r="DT1516">
        <f>SUM(DO1516:DP1516)</f>
        <v>0</v>
      </c>
      <c r="DU1516" s="143" t="str">
        <f>IF(DO1516=1,"self-calculated DF",IF(DP1516=1,"external DF used","explicit C balance"))</f>
        <v>explicit C balance</v>
      </c>
      <c r="DV1516">
        <v>0</v>
      </c>
      <c r="DW1516">
        <v>0</v>
      </c>
      <c r="DX1516">
        <v>0</v>
      </c>
      <c r="DY1516">
        <v>0</v>
      </c>
      <c r="DZ1516">
        <v>0</v>
      </c>
      <c r="EA1516">
        <v>1</v>
      </c>
      <c r="EB1516">
        <v>1</v>
      </c>
      <c r="EC1516">
        <v>1</v>
      </c>
      <c r="ED1516">
        <v>1</v>
      </c>
      <c r="EE1516">
        <v>1</v>
      </c>
      <c r="EF1516">
        <v>0</v>
      </c>
      <c r="EG1516">
        <v>0</v>
      </c>
      <c r="EH1516">
        <v>0</v>
      </c>
      <c r="EI1516" s="2">
        <v>0</v>
      </c>
      <c r="EK1516" t="str">
        <f>IF(AND(AND(AND(OR($DX1516=1,$DW1516=1),OR($EC1516=1,$EA1516=1)),SUM($DV1516:$DZ1516,$EF1516)&gt;=3),SUM($EA1516:$EE1516)&gt;=2),"Whole sector","")</f>
        <v/>
      </c>
      <c r="EL1516" t="str">
        <f>IF(AND(AND(OR($DX1516=1,$DW1516=1),AND($EC1516=0,$EA1516=0)),SUM($DV1516:$DZ1516,$EF1516)&gt;=3),"Ecosystem approach","")</f>
        <v/>
      </c>
      <c r="EM1516" s="2" t="str">
        <f t="shared" ref="EM1516:EM1579" si="1993">IF(AND(AND(AND($DX1516=0,$DW1516=0),OR($EC1516=1,$EA1516=1)),SUM($EB1516:$EE1516)&gt;=2),"Technology approach","")</f>
        <v>Technology approach</v>
      </c>
      <c r="EP1516" t="b">
        <f>IF(ISNUMBER(BU1516),IF(ABS(BU1516-[1]QC_indicators!$B$2)&gt;3*[1]QC_indicators!$C$2,"C ratio",IF(ISNUMBER(BY1516),IF(ABS(BY1516-[1]QC_indicators!$B$1)&gt;3*[1]QC_indicators!$C$1,"DF","no"))),IF(ISNUMBER(BY1516),IF(ABS(BY1516-[1]QC_indicators!$B$1)&gt;3*[1]QC_indicators!$C$1,"DF","no")))</f>
        <v>0</v>
      </c>
    </row>
    <row r="1517" spans="1:151" hidden="1">
      <c r="A1517" s="1" t="s">
        <v>5043</v>
      </c>
      <c r="B1517" t="s">
        <v>5044</v>
      </c>
      <c r="C1517" t="s">
        <v>544</v>
      </c>
      <c r="D1517" t="s">
        <v>5045</v>
      </c>
      <c r="E1517" t="s">
        <v>5046</v>
      </c>
      <c r="F1517" t="s">
        <v>5047</v>
      </c>
      <c r="G1517" t="s">
        <v>544</v>
      </c>
      <c r="H1517" t="s">
        <v>3964</v>
      </c>
      <c r="I1517">
        <v>2015</v>
      </c>
      <c r="J1517">
        <v>2</v>
      </c>
      <c r="K1517" t="s">
        <v>544</v>
      </c>
      <c r="M1517" t="str">
        <f t="shared" si="1932"/>
        <v>Taranu_2015</v>
      </c>
      <c r="N1517" t="s">
        <v>2583</v>
      </c>
      <c r="O1517" s="145" t="s">
        <v>1153</v>
      </c>
      <c r="Q1517" s="311" t="s">
        <v>256</v>
      </c>
      <c r="R1517" s="312"/>
      <c r="AX1517" s="141"/>
      <c r="AY1517" s="141"/>
      <c r="BE1517"/>
      <c r="BF1517" s="2"/>
      <c r="BP1517" s="143"/>
      <c r="BQ1517" s="143"/>
      <c r="BU1517" s="144"/>
      <c r="BY1517" t="str">
        <f t="shared" si="1992"/>
        <v/>
      </c>
      <c r="CN1517"/>
      <c r="CO1517"/>
      <c r="CP1517"/>
      <c r="CQ1517"/>
      <c r="CR1517"/>
      <c r="CS1517"/>
      <c r="CT1517"/>
      <c r="CU1517"/>
      <c r="CV1517" s="2"/>
      <c r="CX1517"/>
      <c r="DC1517"/>
      <c r="DI1517"/>
      <c r="DJ1517"/>
      <c r="DK1517"/>
      <c r="DL1517"/>
      <c r="DM1517"/>
      <c r="DN1517"/>
      <c r="DT1517"/>
      <c r="DU1517" s="143"/>
      <c r="EK1517" t="str">
        <f>IF(AND(AND(AND(OR($DX1517=1,$DW1517=1),OR($EC1517=1,$EA1517=1)),SUM($DV1517:$DZ1517,$EF1517)&gt;=3),SUM($EA1517:$EE1517)&gt;=2),"Whole sector","")</f>
        <v/>
      </c>
      <c r="EL1517" t="str">
        <f>IF(AND(AND(OR($DX1517=1,$DW1517=1),AND($EC1517=0,$EA1517=0)),SUM($DV1517:$DZ1517,$EF1517)&gt;=3),"Ecosystem approach","")</f>
        <v/>
      </c>
      <c r="EM1517" s="2" t="str">
        <f t="shared" si="1993"/>
        <v/>
      </c>
      <c r="EO1517" t="s">
        <v>4328</v>
      </c>
      <c r="EP1517" t="b">
        <f>IF(ISNUMBER(BU1517),IF(ABS(BU1517-[1]QC_indicators!$B$2)&gt;3*[1]QC_indicators!$C$2,"C ratio",IF(ISNUMBER(BY1517),IF(ABS(BY1517-[1]QC_indicators!$B$1)&gt;3*[1]QC_indicators!$C$1,"DF","no"))),IF(ISNUMBER(BY1517),IF(ABS(BY1517-[1]QC_indicators!$B$1)&gt;3*[1]QC_indicators!$C$1,"DF","no")))</f>
        <v>0</v>
      </c>
    </row>
    <row r="1518" spans="1:151" ht="17" hidden="1">
      <c r="A1518" s="1" t="s">
        <v>587</v>
      </c>
      <c r="B1518" t="s">
        <v>2359</v>
      </c>
      <c r="C1518" t="s">
        <v>2360</v>
      </c>
      <c r="D1518" t="s">
        <v>2361</v>
      </c>
      <c r="E1518" t="s">
        <v>2362</v>
      </c>
      <c r="F1518" t="s">
        <v>2363</v>
      </c>
      <c r="G1518" t="s">
        <v>593</v>
      </c>
      <c r="H1518" t="s">
        <v>254</v>
      </c>
      <c r="I1518">
        <v>2016</v>
      </c>
      <c r="J1518">
        <v>32</v>
      </c>
      <c r="K1518" t="s">
        <v>2364</v>
      </c>
      <c r="M1518" t="str">
        <f t="shared" si="1932"/>
        <v>Taskhiri_2016</v>
      </c>
      <c r="N1518" t="s">
        <v>222</v>
      </c>
      <c r="O1518" s="145" t="s">
        <v>1153</v>
      </c>
      <c r="Q1518" t="s">
        <v>256</v>
      </c>
      <c r="R1518" s="255" t="s">
        <v>223</v>
      </c>
      <c r="S1518" s="1" t="s">
        <v>2365</v>
      </c>
      <c r="T1518" t="s">
        <v>1307</v>
      </c>
      <c r="U1518" s="264" t="s">
        <v>3097</v>
      </c>
      <c r="V1518">
        <v>0</v>
      </c>
      <c r="W1518">
        <v>0</v>
      </c>
      <c r="X1518">
        <v>0</v>
      </c>
      <c r="Y1518">
        <v>0</v>
      </c>
      <c r="Z1518">
        <v>0</v>
      </c>
      <c r="AA1518">
        <v>0</v>
      </c>
      <c r="AB1518">
        <v>0</v>
      </c>
      <c r="AC1518">
        <v>0</v>
      </c>
      <c r="AD1518">
        <v>0</v>
      </c>
      <c r="AE1518">
        <v>0</v>
      </c>
      <c r="AF1518">
        <v>0</v>
      </c>
      <c r="AG1518">
        <v>1</v>
      </c>
      <c r="AH1518">
        <v>0</v>
      </c>
      <c r="AI1518">
        <v>0</v>
      </c>
      <c r="AJ1518">
        <v>0</v>
      </c>
      <c r="AK1518">
        <v>0</v>
      </c>
      <c r="AL1518">
        <v>0</v>
      </c>
      <c r="AM1518">
        <v>0</v>
      </c>
      <c r="AN1518">
        <v>0</v>
      </c>
      <c r="AO1518">
        <v>0</v>
      </c>
      <c r="AP1518">
        <v>0</v>
      </c>
      <c r="AQ1518">
        <v>0</v>
      </c>
      <c r="AR1518">
        <v>0</v>
      </c>
      <c r="AS1518">
        <v>0</v>
      </c>
      <c r="AT1518">
        <v>0</v>
      </c>
      <c r="AU1518">
        <v>0</v>
      </c>
      <c r="AV1518">
        <v>0</v>
      </c>
      <c r="AW1518">
        <v>0</v>
      </c>
      <c r="AX1518" s="141">
        <f t="shared" ref="AX1518:AX1533" si="1994">COUNTIF(V1518:AW1518,"&lt;&gt;0")</f>
        <v>1</v>
      </c>
      <c r="AY1518" s="141">
        <f t="shared" ref="AY1518:AY1533" si="1995">COUNTIF(V1518:AL1518,"&lt;&gt;0")</f>
        <v>1</v>
      </c>
      <c r="AZ1518">
        <f t="shared" ref="AZ1518:AZ1533" si="1996">COUNTIF(V1518:AC1518,"&lt;&gt;0")</f>
        <v>0</v>
      </c>
      <c r="BA1518">
        <f t="shared" ref="BA1518:BA1533" si="1997">COUNTIF(AD1518:AI1518,"&lt;&gt;0")</f>
        <v>1</v>
      </c>
      <c r="BB1518">
        <f t="shared" ref="BB1518:BB1533" si="1998">COUNTIF(AJ1518:AL1518,"&lt;&gt;0")</f>
        <v>0</v>
      </c>
      <c r="BC1518">
        <f t="shared" ref="BC1518:BC1533" si="1999">COUNTIF(AS1518:AW1518,"&lt;&gt;0")</f>
        <v>0</v>
      </c>
      <c r="BD1518">
        <f t="shared" ref="BD1518:BD1533" si="2000">COUNTIF(AM1518:AR1518,"&lt;&gt;0")</f>
        <v>0</v>
      </c>
      <c r="BE1518" t="str">
        <f t="array" ref="BE1518">IF(AY1518=1,INDEX($V$7:$AL$7,MATCH(TRUE,INDEX($V1518:$AW1518&lt;&gt;0,),0)),IF(AY1518=0,INDEX($AM$7:$AW$7,MATCH(1,$AM1518:$AW1518,0)),IF(BF1518="Multiple strategies","mixed drivers",IF(BF1518="Supply chain","multiple supply","multiple silviculture"))))</f>
        <v>recycling</v>
      </c>
      <c r="BF1518" s="2" t="str" cm="1">
        <f t="array" ref="BF1518">IF(COUNTIF(AZ1518:BB1518,"&lt;&gt;0")=1,INDEX($V$4:$AW$4,MATCH(TRUE,INDEX($V1518:$AW1518&lt;&gt;0,),0)),IF(COUNTIF(AZ1518:BB1518,"&lt;&gt;0")=0,INDEX($AM$4:$AW$4,MATCH(1,$AM1518:$AW1518,0)),"Multiple strategies"))</f>
        <v>Supply chain</v>
      </c>
      <c r="BG1518" s="1" t="s">
        <v>229</v>
      </c>
      <c r="BH1518" t="s">
        <v>2366</v>
      </c>
      <c r="BI1518" s="264" t="s">
        <v>3098</v>
      </c>
      <c r="BJ1518" t="s">
        <v>1322</v>
      </c>
      <c r="BK1518">
        <v>0</v>
      </c>
      <c r="BL1518">
        <v>0.05</v>
      </c>
      <c r="BM1518" s="143" t="e">
        <f>BL1518/BK1518</f>
        <v>#DIV/0!</v>
      </c>
      <c r="BN1518">
        <f>BL1518-BK1518</f>
        <v>0.05</v>
      </c>
      <c r="BO1518">
        <f>BN1518*10^6</f>
        <v>50000</v>
      </c>
      <c r="BP1518" t="s">
        <v>232</v>
      </c>
      <c r="BQ1518" s="267" t="s">
        <v>783</v>
      </c>
      <c r="BR1518" t="s">
        <v>1194</v>
      </c>
      <c r="BS1518" s="198">
        <v>-27686.567164179</v>
      </c>
      <c r="BT1518" s="198">
        <v>-20298.507462686499</v>
      </c>
      <c r="BU1518" s="144">
        <f t="shared" ref="BU1518:BU1533" si="2001">IFERROR(BT1518/BS1518,"")</f>
        <v>0.73315363881401652</v>
      </c>
      <c r="BV1518" s="144">
        <f t="shared" ref="BV1518:BV1533" si="2002">BT1518-BS1518</f>
        <v>7388.0597014925006</v>
      </c>
      <c r="BW1518" s="144"/>
      <c r="BX1518" s="144">
        <f>BV1518</f>
        <v>7388.0597014925006</v>
      </c>
      <c r="BY1518">
        <f t="shared" si="1992"/>
        <v>0.14776119402985002</v>
      </c>
      <c r="BZ1518">
        <v>0</v>
      </c>
      <c r="CA1518">
        <v>0</v>
      </c>
      <c r="CB1518">
        <v>0</v>
      </c>
      <c r="CC1518">
        <v>0</v>
      </c>
      <c r="CD1518">
        <v>0</v>
      </c>
      <c r="CE1518">
        <v>0</v>
      </c>
      <c r="CF1518">
        <v>0</v>
      </c>
      <c r="CG1518">
        <v>0</v>
      </c>
      <c r="CH1518">
        <v>0</v>
      </c>
      <c r="CI1518">
        <v>0</v>
      </c>
      <c r="CJ1518">
        <v>0</v>
      </c>
      <c r="CK1518">
        <v>0</v>
      </c>
      <c r="CL1518">
        <v>0</v>
      </c>
      <c r="CM1518">
        <v>1</v>
      </c>
      <c r="CN1518" t="str">
        <f>IF($BL1518&lt;$BK1518,"refNeedCorrection","refOK")</f>
        <v>refOK</v>
      </c>
      <c r="CO1518">
        <f>IF($CN1518="refOK",$BK1518,$BL1518)</f>
        <v>0</v>
      </c>
      <c r="CP1518">
        <f>IF($CN1518="refOK",$BL1518,$BK1518)</f>
        <v>0.05</v>
      </c>
      <c r="CQ1518">
        <f>IF($CN1518="refOK",$BO1518,-$BO1518)</f>
        <v>50000</v>
      </c>
      <c r="CR1518">
        <f t="shared" ref="CR1518:CR1533" si="2003">IF($CN1518="refOK",$BS1518,$BT1518)*IF($BP1518="Emissions positive",-1,1)</f>
        <v>-27686.567164179</v>
      </c>
      <c r="CS1518">
        <f t="shared" ref="CS1518:CS1533" si="2004">IF($CN1518="refOK",$BT1518,$BS1518)*IF($BP1518="Emissions positive",-1,1)</f>
        <v>-20298.507462686499</v>
      </c>
      <c r="CT1518">
        <f t="shared" ref="CT1518:CT1533" si="2005">IF($CN1518="refNeedCorrection",-BX1518,BX1518)*IF($BP1518="Emissions positive",-1,1)</f>
        <v>7388.0597014925006</v>
      </c>
      <c r="CU1518">
        <f t="shared" ref="CU1518:CU1533" si="2006">IFERROR(CT1518/CQ1518,"")</f>
        <v>0.14776119402985002</v>
      </c>
      <c r="CV1518" s="2">
        <f t="shared" ref="CV1518:CV1533" si="2007">IFERROR((CS1518-CR1518)/ABS(CR1518),"")</f>
        <v>0.26684636118598354</v>
      </c>
      <c r="CW1518" s="1" t="s">
        <v>1198</v>
      </c>
      <c r="CX1518" t="str">
        <f t="shared" ref="CX1518:CX1533" si="2008">IF(OR($CW1518="prd",$CW1518="std",$CW1518="cit"),"loc",IF(OR($CW1518="eur",$CW1518="reg",$CW1518="coy"),"reg",$CW1518))</f>
        <v>reg</v>
      </c>
      <c r="CY1518" t="s">
        <v>1300</v>
      </c>
      <c r="DB1518">
        <v>0</v>
      </c>
      <c r="DC1518" t="str">
        <f t="shared" ref="DC1518:DC1533" si="2009">IF(DB1518=0,"0",IF(AND(DB1518&gt;=1,DB1518&lt;=30),"1-30",IF(AND(DB1518&gt;30,DB1518&lt;=70),"31-70",IF(AND(DB1518&gt;70,DB1518&lt;=100),"71-100",IF(DB1518&gt;100,"+100")))))</f>
        <v>0</v>
      </c>
      <c r="DD1518">
        <v>0</v>
      </c>
      <c r="DE1518">
        <v>0</v>
      </c>
      <c r="DF1518">
        <v>1</v>
      </c>
      <c r="DG1518">
        <v>0</v>
      </c>
      <c r="DI1518">
        <f t="shared" ref="DI1518:DI1533" si="2010">SUM(DD1518:DG1518)</f>
        <v>1</v>
      </c>
      <c r="DJ1518" t="str">
        <f t="shared" ref="DJ1518:DJ1533" si="2011">IF(DI1518=1,INDEX($DD$7:$DG$7,MATCH(1,$DD1518:$DG1518,0)),"mixedProduct")</f>
        <v>PulpPaperInput</v>
      </c>
      <c r="DK1518">
        <f t="shared" ref="DK1518:DK1533" si="2012">IF(DD1518=1,DK$7,0)</f>
        <v>0</v>
      </c>
      <c r="DL1518">
        <f t="shared" ref="DL1518:DL1533" si="2013">IF(DE1518=1,DL$7,0)</f>
        <v>0</v>
      </c>
      <c r="DM1518" t="str">
        <f t="shared" ref="DM1518:DM1533" si="2014">IF(DF1518=1,DM$7,0)</f>
        <v>Pulp/Paper</v>
      </c>
      <c r="DN1518">
        <f t="shared" ref="DN1518:DN1533" si="2015">IF(DG1518=1,DN$7,0)</f>
        <v>0</v>
      </c>
      <c r="DO1518">
        <v>0</v>
      </c>
      <c r="DP1518">
        <v>0</v>
      </c>
      <c r="DQ1518">
        <v>0</v>
      </c>
      <c r="DR1518">
        <v>0</v>
      </c>
      <c r="DS1518">
        <v>0</v>
      </c>
      <c r="DT1518">
        <f t="shared" ref="DT1518:DT1533" si="2016">SUM(DO1518:DP1518)</f>
        <v>0</v>
      </c>
      <c r="DU1518" s="143" t="str">
        <f t="shared" ref="DU1518:DU1533" si="2017">IF(DO1518=1,"self-calculated DF",IF(DP1518=1,"external DF used","explicit C balance"))</f>
        <v>explicit C balance</v>
      </c>
      <c r="DV1518">
        <v>0</v>
      </c>
      <c r="DW1518">
        <v>0</v>
      </c>
      <c r="DX1518">
        <v>0</v>
      </c>
      <c r="DY1518">
        <v>0</v>
      </c>
      <c r="DZ1518">
        <v>0</v>
      </c>
      <c r="EA1518" s="143">
        <v>0</v>
      </c>
      <c r="EB1518">
        <v>0</v>
      </c>
      <c r="EC1518">
        <v>1</v>
      </c>
      <c r="ED1518">
        <v>0</v>
      </c>
      <c r="EE1518">
        <v>0</v>
      </c>
      <c r="EF1518">
        <v>0</v>
      </c>
      <c r="EG1518">
        <v>0</v>
      </c>
      <c r="EH1518">
        <v>0</v>
      </c>
      <c r="EI1518" s="2">
        <v>0</v>
      </c>
      <c r="EK1518" t="str">
        <f>IF(AND(AND(AND(OR($DX1518=1,$DW1518=1),OR($EC1518=1,$EA1518=1)),SUM($DV1518:$DZ1518,$EF1518)&gt;=4),SUM($EA1518:$EE1518)&gt;=2),"Whole sector","")</f>
        <v/>
      </c>
      <c r="EL1518" t="str">
        <f>IF(AND(AND(OR($DX1518=1,$DW1518=1),AND($EC1518=0,$EA1518=0)),SUM($DV1518:$DZ1518,$EF1518)&gt;=4),"Ecosystem approach","")</f>
        <v/>
      </c>
      <c r="EM1518" s="2" t="str">
        <f t="shared" si="1993"/>
        <v/>
      </c>
      <c r="EP1518" t="str">
        <f>IF(ISNUMBER(BU1518),IF(ABS(BU1518-[3]QC_indicators!$B$2)&gt;3*[3]QC_indicators!$C$2,"C ratio",IF(ISNUMBER(BY1518),IF(ABS(BY1518-[3]QC_indicators!$B$1)&gt;3*[3]QC_indicators!$C$1,"DF","no"))),IF(ISNUMBER(BY1518),IF(ABS(BY1518-[3]QC_indicators!$B$1)&gt;3*[3]QC_indicators!$C$1,"DF","no")))</f>
        <v>no</v>
      </c>
      <c r="ET1518" s="264" t="s">
        <v>3099</v>
      </c>
    </row>
    <row r="1519" spans="1:151" ht="17" hidden="1">
      <c r="A1519" s="1" t="s">
        <v>587</v>
      </c>
      <c r="B1519" t="s">
        <v>2359</v>
      </c>
      <c r="C1519" t="s">
        <v>2360</v>
      </c>
      <c r="D1519" t="s">
        <v>2361</v>
      </c>
      <c r="E1519" t="s">
        <v>2362</v>
      </c>
      <c r="F1519" t="s">
        <v>2363</v>
      </c>
      <c r="G1519" t="s">
        <v>593</v>
      </c>
      <c r="H1519" t="s">
        <v>254</v>
      </c>
      <c r="I1519">
        <v>2016</v>
      </c>
      <c r="J1519">
        <v>32</v>
      </c>
      <c r="K1519" t="s">
        <v>2364</v>
      </c>
      <c r="M1519" t="str">
        <f t="shared" si="1932"/>
        <v>Taskhiri_2016</v>
      </c>
      <c r="N1519" t="s">
        <v>222</v>
      </c>
      <c r="O1519" s="145" t="s">
        <v>1153</v>
      </c>
      <c r="Q1519" t="s">
        <v>256</v>
      </c>
      <c r="R1519" s="255" t="s">
        <v>223</v>
      </c>
      <c r="S1519" s="1" t="s">
        <v>2365</v>
      </c>
      <c r="T1519" t="s">
        <v>1307</v>
      </c>
      <c r="U1519" s="264" t="s">
        <v>3100</v>
      </c>
      <c r="V1519">
        <v>0</v>
      </c>
      <c r="W1519">
        <v>0</v>
      </c>
      <c r="X1519">
        <v>0</v>
      </c>
      <c r="Y1519">
        <v>0</v>
      </c>
      <c r="Z1519">
        <v>0</v>
      </c>
      <c r="AA1519">
        <v>0</v>
      </c>
      <c r="AB1519">
        <v>0</v>
      </c>
      <c r="AC1519">
        <v>0</v>
      </c>
      <c r="AD1519">
        <v>0</v>
      </c>
      <c r="AE1519">
        <v>0</v>
      </c>
      <c r="AF1519">
        <v>0</v>
      </c>
      <c r="AG1519">
        <v>1</v>
      </c>
      <c r="AH1519">
        <v>0</v>
      </c>
      <c r="AI1519">
        <v>0</v>
      </c>
      <c r="AJ1519">
        <v>0</v>
      </c>
      <c r="AK1519">
        <v>0</v>
      </c>
      <c r="AL1519">
        <v>0</v>
      </c>
      <c r="AM1519">
        <v>0</v>
      </c>
      <c r="AN1519">
        <v>0</v>
      </c>
      <c r="AO1519">
        <v>0</v>
      </c>
      <c r="AP1519">
        <v>0</v>
      </c>
      <c r="AQ1519">
        <v>0</v>
      </c>
      <c r="AR1519">
        <v>0</v>
      </c>
      <c r="AS1519">
        <v>0</v>
      </c>
      <c r="AT1519">
        <v>0</v>
      </c>
      <c r="AU1519">
        <v>0</v>
      </c>
      <c r="AV1519">
        <v>0</v>
      </c>
      <c r="AW1519">
        <v>0</v>
      </c>
      <c r="AX1519" s="141">
        <f t="shared" si="1994"/>
        <v>1</v>
      </c>
      <c r="AY1519" s="141">
        <f t="shared" si="1995"/>
        <v>1</v>
      </c>
      <c r="AZ1519">
        <f t="shared" si="1996"/>
        <v>0</v>
      </c>
      <c r="BA1519">
        <f t="shared" si="1997"/>
        <v>1</v>
      </c>
      <c r="BB1519">
        <f t="shared" si="1998"/>
        <v>0</v>
      </c>
      <c r="BC1519">
        <f t="shared" si="1999"/>
        <v>0</v>
      </c>
      <c r="BD1519">
        <f t="shared" si="2000"/>
        <v>0</v>
      </c>
      <c r="BE1519" t="str">
        <f t="array" ref="BE1519">IF(AY1519=1,INDEX($V$7:$AL$7,MATCH(TRUE,INDEX($V1519:$AW1519&lt;&gt;0,),0)),IF(AY1519=0,INDEX($AM$7:$AW$7,MATCH(1,$AM1519:$AW1519,0)),IF(BF1519="Multiple strategies","mixed drivers",IF(BF1519="Supply chain","multiple supply","multiple silviculture"))))</f>
        <v>recycling</v>
      </c>
      <c r="BF1519" s="2" t="str" cm="1">
        <f t="array" ref="BF1519">IF(COUNTIF(AZ1519:BB1519,"&lt;&gt;0")=1,INDEX($V$4:$AW$4,MATCH(TRUE,INDEX($V1519:$AW1519&lt;&gt;0,),0)),IF(COUNTIF(AZ1519:BB1519,"&lt;&gt;0")=0,INDEX($AM$4:$AW$4,MATCH(1,$AM1519:$AW1519,0)),"Multiple strategies"))</f>
        <v>Supply chain</v>
      </c>
      <c r="BG1519" s="1" t="s">
        <v>229</v>
      </c>
      <c r="BH1519" t="s">
        <v>2366</v>
      </c>
      <c r="BI1519" s="264" t="s">
        <v>3098</v>
      </c>
      <c r="BJ1519" t="s">
        <v>1322</v>
      </c>
      <c r="BK1519">
        <v>0</v>
      </c>
      <c r="BL1519">
        <v>0.05</v>
      </c>
      <c r="BM1519" s="143" t="e">
        <f>BL1519/BK1519</f>
        <v>#DIV/0!</v>
      </c>
      <c r="BN1519">
        <f>BL1519-BK1519</f>
        <v>0.05</v>
      </c>
      <c r="BO1519">
        <f>BN1519*10^6</f>
        <v>50000</v>
      </c>
      <c r="BP1519" t="s">
        <v>232</v>
      </c>
      <c r="BQ1519" s="267" t="s">
        <v>783</v>
      </c>
      <c r="BR1519" t="s">
        <v>1194</v>
      </c>
      <c r="BS1519" s="198">
        <v>-32092.528180728899</v>
      </c>
      <c r="BT1519" s="198">
        <v>-23743.471028233002</v>
      </c>
      <c r="BU1519" s="144">
        <f t="shared" si="2001"/>
        <v>0.73984420593235201</v>
      </c>
      <c r="BV1519" s="144">
        <f t="shared" si="2002"/>
        <v>8349.0571524958978</v>
      </c>
      <c r="BW1519" s="144"/>
      <c r="BX1519" s="144">
        <f>BV1519</f>
        <v>8349.0571524958978</v>
      </c>
      <c r="BY1519">
        <f t="shared" si="1992"/>
        <v>0.16698114304991796</v>
      </c>
      <c r="BZ1519">
        <v>0</v>
      </c>
      <c r="CA1519">
        <v>0</v>
      </c>
      <c r="CB1519">
        <v>0</v>
      </c>
      <c r="CC1519">
        <v>0</v>
      </c>
      <c r="CD1519">
        <v>0</v>
      </c>
      <c r="CE1519">
        <v>0</v>
      </c>
      <c r="CF1519">
        <v>0</v>
      </c>
      <c r="CG1519">
        <v>0</v>
      </c>
      <c r="CH1519">
        <v>0</v>
      </c>
      <c r="CI1519">
        <v>0</v>
      </c>
      <c r="CJ1519">
        <v>0</v>
      </c>
      <c r="CK1519">
        <v>0</v>
      </c>
      <c r="CL1519">
        <v>0</v>
      </c>
      <c r="CM1519">
        <v>1</v>
      </c>
      <c r="CN1519" t="str">
        <f>IF($BL1519&lt;$BK1519,"refNeedCorrection","refOK")</f>
        <v>refOK</v>
      </c>
      <c r="CO1519">
        <f>IF($CN1519="refOK",$BK1519,$BL1519)</f>
        <v>0</v>
      </c>
      <c r="CP1519">
        <f>IF($CN1519="refOK",$BL1519,$BK1519)</f>
        <v>0.05</v>
      </c>
      <c r="CQ1519">
        <f>IF($CN1519="refOK",$BO1519,-$BO1519)</f>
        <v>50000</v>
      </c>
      <c r="CR1519">
        <f t="shared" si="2003"/>
        <v>-32092.528180728899</v>
      </c>
      <c r="CS1519">
        <f t="shared" si="2004"/>
        <v>-23743.471028233002</v>
      </c>
      <c r="CT1519">
        <f t="shared" si="2005"/>
        <v>8349.0571524958978</v>
      </c>
      <c r="CU1519">
        <f t="shared" si="2006"/>
        <v>0.16698114304991796</v>
      </c>
      <c r="CV1519" s="2">
        <f t="shared" si="2007"/>
        <v>0.26015579406764799</v>
      </c>
      <c r="CW1519" s="1" t="s">
        <v>1198</v>
      </c>
      <c r="CX1519" t="str">
        <f t="shared" si="2008"/>
        <v>reg</v>
      </c>
      <c r="CY1519" t="s">
        <v>1300</v>
      </c>
      <c r="DB1519">
        <v>0</v>
      </c>
      <c r="DC1519" t="str">
        <f t="shared" si="2009"/>
        <v>0</v>
      </c>
      <c r="DD1519">
        <v>0</v>
      </c>
      <c r="DE1519">
        <v>0</v>
      </c>
      <c r="DF1519">
        <v>1</v>
      </c>
      <c r="DG1519">
        <v>0</v>
      </c>
      <c r="DI1519">
        <f t="shared" si="2010"/>
        <v>1</v>
      </c>
      <c r="DJ1519" t="str">
        <f t="shared" si="2011"/>
        <v>PulpPaperInput</v>
      </c>
      <c r="DK1519">
        <f t="shared" si="2012"/>
        <v>0</v>
      </c>
      <c r="DL1519">
        <f t="shared" si="2013"/>
        <v>0</v>
      </c>
      <c r="DM1519" t="str">
        <f t="shared" si="2014"/>
        <v>Pulp/Paper</v>
      </c>
      <c r="DN1519">
        <f t="shared" si="2015"/>
        <v>0</v>
      </c>
      <c r="DO1519">
        <v>0</v>
      </c>
      <c r="DP1519">
        <v>0</v>
      </c>
      <c r="DQ1519">
        <v>0</v>
      </c>
      <c r="DR1519">
        <v>0</v>
      </c>
      <c r="DS1519">
        <v>0</v>
      </c>
      <c r="DT1519">
        <f t="shared" si="2016"/>
        <v>0</v>
      </c>
      <c r="DU1519" s="143" t="str">
        <f t="shared" si="2017"/>
        <v>explicit C balance</v>
      </c>
      <c r="DV1519">
        <v>0</v>
      </c>
      <c r="DW1519">
        <v>0</v>
      </c>
      <c r="DX1519">
        <v>0</v>
      </c>
      <c r="DY1519">
        <v>0</v>
      </c>
      <c r="DZ1519">
        <v>0</v>
      </c>
      <c r="EA1519" s="143">
        <v>0</v>
      </c>
      <c r="EB1519">
        <v>1</v>
      </c>
      <c r="EC1519">
        <v>1</v>
      </c>
      <c r="ED1519">
        <v>0</v>
      </c>
      <c r="EE1519">
        <v>0</v>
      </c>
      <c r="EF1519">
        <v>0</v>
      </c>
      <c r="EG1519">
        <v>0</v>
      </c>
      <c r="EH1519">
        <v>0</v>
      </c>
      <c r="EI1519" s="2">
        <v>0</v>
      </c>
      <c r="EK1519" t="str">
        <f>IF(AND(AND(AND(OR($DX1519=1,$DW1519=1),OR($EC1519=1,$EA1519=1)),SUM($DV1519:$DZ1519,$EF1519)&gt;=4),SUM($EA1519:$EE1519)&gt;=2),"Whole sector","")</f>
        <v/>
      </c>
      <c r="EL1519" t="str">
        <f>IF(AND(AND(OR($DX1519=1,$DW1519=1),AND($EC1519=0,$EA1519=0)),SUM($DV1519:$DZ1519,$EF1519)&gt;=4),"Ecosystem approach","")</f>
        <v/>
      </c>
      <c r="EM1519" s="2" t="str">
        <f t="shared" si="1993"/>
        <v>Technology approach</v>
      </c>
      <c r="EP1519" t="str">
        <f>IF(ISNUMBER(BU1519),IF(ABS(BU1519-[3]QC_indicators!$B$2)&gt;3*[3]QC_indicators!$C$2,"C ratio",IF(ISNUMBER(BY1519),IF(ABS(BY1519-[3]QC_indicators!$B$1)&gt;3*[3]QC_indicators!$C$1,"DF","no"))),IF(ISNUMBER(BY1519),IF(ABS(BY1519-[3]QC_indicators!$B$1)&gt;3*[3]QC_indicators!$C$1,"DF","no")))</f>
        <v>no</v>
      </c>
      <c r="ET1519" s="264" t="s">
        <v>3150</v>
      </c>
    </row>
    <row r="1520" spans="1:151" ht="17" hidden="1">
      <c r="A1520" s="1" t="s">
        <v>587</v>
      </c>
      <c r="B1520" t="s">
        <v>2359</v>
      </c>
      <c r="C1520" t="s">
        <v>2360</v>
      </c>
      <c r="D1520" t="s">
        <v>2361</v>
      </c>
      <c r="E1520" t="s">
        <v>2362</v>
      </c>
      <c r="F1520" t="s">
        <v>2363</v>
      </c>
      <c r="G1520" t="s">
        <v>593</v>
      </c>
      <c r="H1520" t="s">
        <v>254</v>
      </c>
      <c r="I1520">
        <v>2016</v>
      </c>
      <c r="J1520">
        <v>32</v>
      </c>
      <c r="K1520" t="s">
        <v>2364</v>
      </c>
      <c r="M1520" t="str">
        <f t="shared" si="1932"/>
        <v>Taskhiri_2016</v>
      </c>
      <c r="N1520" t="s">
        <v>222</v>
      </c>
      <c r="O1520" s="145" t="s">
        <v>1153</v>
      </c>
      <c r="Q1520" t="s">
        <v>256</v>
      </c>
      <c r="R1520" s="255" t="s">
        <v>223</v>
      </c>
      <c r="S1520" s="1" t="s">
        <v>2365</v>
      </c>
      <c r="T1520" t="s">
        <v>1307</v>
      </c>
      <c r="U1520" s="264" t="s">
        <v>3101</v>
      </c>
      <c r="V1520">
        <v>0</v>
      </c>
      <c r="W1520">
        <v>0</v>
      </c>
      <c r="X1520">
        <v>0</v>
      </c>
      <c r="Y1520">
        <v>0</v>
      </c>
      <c r="Z1520">
        <v>0</v>
      </c>
      <c r="AA1520">
        <v>0</v>
      </c>
      <c r="AB1520">
        <v>0</v>
      </c>
      <c r="AC1520">
        <v>0</v>
      </c>
      <c r="AD1520">
        <v>0</v>
      </c>
      <c r="AE1520">
        <v>0</v>
      </c>
      <c r="AF1520">
        <v>0</v>
      </c>
      <c r="AG1520">
        <v>1</v>
      </c>
      <c r="AH1520">
        <v>0</v>
      </c>
      <c r="AI1520">
        <v>0</v>
      </c>
      <c r="AJ1520">
        <v>0</v>
      </c>
      <c r="AK1520">
        <v>0</v>
      </c>
      <c r="AL1520">
        <v>0</v>
      </c>
      <c r="AM1520">
        <v>0</v>
      </c>
      <c r="AN1520">
        <v>0</v>
      </c>
      <c r="AO1520">
        <v>0</v>
      </c>
      <c r="AP1520">
        <v>0</v>
      </c>
      <c r="AQ1520">
        <v>0</v>
      </c>
      <c r="AR1520">
        <v>0</v>
      </c>
      <c r="AS1520">
        <v>0</v>
      </c>
      <c r="AT1520">
        <v>0</v>
      </c>
      <c r="AU1520">
        <v>0</v>
      </c>
      <c r="AV1520">
        <v>0</v>
      </c>
      <c r="AW1520">
        <v>0</v>
      </c>
      <c r="AX1520" s="141">
        <f t="shared" si="1994"/>
        <v>1</v>
      </c>
      <c r="AY1520" s="141">
        <f t="shared" si="1995"/>
        <v>1</v>
      </c>
      <c r="AZ1520">
        <f t="shared" si="1996"/>
        <v>0</v>
      </c>
      <c r="BA1520">
        <f t="shared" si="1997"/>
        <v>1</v>
      </c>
      <c r="BB1520">
        <f t="shared" si="1998"/>
        <v>0</v>
      </c>
      <c r="BC1520">
        <f t="shared" si="1999"/>
        <v>0</v>
      </c>
      <c r="BD1520">
        <f t="shared" si="2000"/>
        <v>0</v>
      </c>
      <c r="BE1520" t="str">
        <f t="array" ref="BE1520">IF(AY1520=1,INDEX($V$7:$AL$7,MATCH(TRUE,INDEX($V1520:$AW1520&lt;&gt;0,),0)),IF(AY1520=0,INDEX($AM$7:$AW$7,MATCH(1,$AM1520:$AW1520,0)),IF(BF1520="Multiple strategies","mixed drivers",IF(BF1520="Supply chain","multiple supply","multiple silviculture"))))</f>
        <v>recycling</v>
      </c>
      <c r="BF1520" s="2" t="str" cm="1">
        <f t="array" ref="BF1520">IF(COUNTIF(AZ1520:BB1520,"&lt;&gt;0")=1,INDEX($V$4:$AW$4,MATCH(TRUE,INDEX($V1520:$AW1520&lt;&gt;0,),0)),IF(COUNTIF(AZ1520:BB1520,"&lt;&gt;0")=0,INDEX($AM$4:$AW$4,MATCH(1,$AM1520:$AW1520,0)),"Multiple strategies"))</f>
        <v>Supply chain</v>
      </c>
      <c r="BG1520" s="1" t="s">
        <v>229</v>
      </c>
      <c r="BH1520" t="s">
        <v>2366</v>
      </c>
      <c r="BI1520" s="264" t="s">
        <v>3098</v>
      </c>
      <c r="BJ1520" t="s">
        <v>1322</v>
      </c>
      <c r="BK1520">
        <v>0</v>
      </c>
      <c r="BL1520">
        <v>5.0000000000000001E-3</v>
      </c>
      <c r="BM1520" s="143" t="e">
        <f>BL1520/BK1520</f>
        <v>#DIV/0!</v>
      </c>
      <c r="BN1520">
        <f>BL1520-BK1520</f>
        <v>5.0000000000000001E-3</v>
      </c>
      <c r="BO1520">
        <f>BN1520*10^6</f>
        <v>5000</v>
      </c>
      <c r="BP1520" t="s">
        <v>232</v>
      </c>
      <c r="BQ1520" s="267" t="s">
        <v>783</v>
      </c>
      <c r="BR1520" t="s">
        <v>1194</v>
      </c>
      <c r="BS1520" s="198">
        <v>-27686.567164179</v>
      </c>
      <c r="BT1520" s="198">
        <v>-25746.268656716398</v>
      </c>
      <c r="BU1520" s="144">
        <f t="shared" si="2001"/>
        <v>0.92991913746631005</v>
      </c>
      <c r="BV1520" s="144">
        <f t="shared" si="2002"/>
        <v>1940.2985074626013</v>
      </c>
      <c r="BW1520" s="144"/>
      <c r="BX1520" s="144">
        <f>BV1520</f>
        <v>1940.2985074626013</v>
      </c>
      <c r="BY1520">
        <f t="shared" si="1992"/>
        <v>0.38805970149252023</v>
      </c>
      <c r="BZ1520">
        <v>0</v>
      </c>
      <c r="CA1520">
        <v>0</v>
      </c>
      <c r="CB1520">
        <v>0</v>
      </c>
      <c r="CC1520">
        <v>0</v>
      </c>
      <c r="CD1520">
        <v>0</v>
      </c>
      <c r="CE1520">
        <v>0</v>
      </c>
      <c r="CF1520">
        <v>0</v>
      </c>
      <c r="CG1520">
        <v>0</v>
      </c>
      <c r="CH1520">
        <v>0</v>
      </c>
      <c r="CI1520">
        <v>0</v>
      </c>
      <c r="CJ1520">
        <v>0</v>
      </c>
      <c r="CK1520">
        <v>0</v>
      </c>
      <c r="CL1520">
        <v>0</v>
      </c>
      <c r="CM1520">
        <v>1</v>
      </c>
      <c r="CN1520" t="str">
        <f>IF($BL1520&lt;$BK1520,"refNeedCorrection","refOK")</f>
        <v>refOK</v>
      </c>
      <c r="CO1520">
        <f>IF($CN1520="refOK",$BK1520,$BL1520)</f>
        <v>0</v>
      </c>
      <c r="CP1520">
        <f>IF($CN1520="refOK",$BL1520,$BK1520)</f>
        <v>5.0000000000000001E-3</v>
      </c>
      <c r="CQ1520">
        <f>IF($CN1520="refOK",$BO1520,-$BO1520)</f>
        <v>5000</v>
      </c>
      <c r="CR1520">
        <f t="shared" si="2003"/>
        <v>-27686.567164179</v>
      </c>
      <c r="CS1520">
        <f t="shared" si="2004"/>
        <v>-25746.268656716398</v>
      </c>
      <c r="CT1520">
        <f t="shared" si="2005"/>
        <v>1940.2985074626013</v>
      </c>
      <c r="CU1520">
        <f t="shared" si="2006"/>
        <v>0.38805970149252023</v>
      </c>
      <c r="CV1520" s="2">
        <f t="shared" si="2007"/>
        <v>7.0080862533689905E-2</v>
      </c>
      <c r="CW1520" s="1" t="s">
        <v>1198</v>
      </c>
      <c r="CX1520" t="str">
        <f t="shared" si="2008"/>
        <v>reg</v>
      </c>
      <c r="CY1520" t="s">
        <v>1300</v>
      </c>
      <c r="DB1520">
        <v>0</v>
      </c>
      <c r="DC1520" t="str">
        <f t="shared" si="2009"/>
        <v>0</v>
      </c>
      <c r="DD1520">
        <v>0</v>
      </c>
      <c r="DE1520">
        <v>0</v>
      </c>
      <c r="DF1520">
        <v>1</v>
      </c>
      <c r="DG1520">
        <v>0</v>
      </c>
      <c r="DI1520">
        <f t="shared" si="2010"/>
        <v>1</v>
      </c>
      <c r="DJ1520" t="str">
        <f t="shared" si="2011"/>
        <v>PulpPaperInput</v>
      </c>
      <c r="DK1520">
        <f t="shared" si="2012"/>
        <v>0</v>
      </c>
      <c r="DL1520">
        <f t="shared" si="2013"/>
        <v>0</v>
      </c>
      <c r="DM1520" t="str">
        <f t="shared" si="2014"/>
        <v>Pulp/Paper</v>
      </c>
      <c r="DN1520">
        <f t="shared" si="2015"/>
        <v>0</v>
      </c>
      <c r="DO1520">
        <v>0</v>
      </c>
      <c r="DP1520">
        <v>0</v>
      </c>
      <c r="DQ1520">
        <v>0</v>
      </c>
      <c r="DR1520">
        <v>0</v>
      </c>
      <c r="DS1520">
        <v>0</v>
      </c>
      <c r="DT1520">
        <f t="shared" si="2016"/>
        <v>0</v>
      </c>
      <c r="DU1520" s="143" t="str">
        <f t="shared" si="2017"/>
        <v>explicit C balance</v>
      </c>
      <c r="DV1520">
        <v>0</v>
      </c>
      <c r="DW1520">
        <v>0</v>
      </c>
      <c r="DX1520">
        <v>0</v>
      </c>
      <c r="DY1520">
        <v>0</v>
      </c>
      <c r="DZ1520">
        <v>0</v>
      </c>
      <c r="EA1520" s="143">
        <v>0</v>
      </c>
      <c r="EB1520">
        <v>0</v>
      </c>
      <c r="EC1520">
        <v>1</v>
      </c>
      <c r="ED1520">
        <v>0</v>
      </c>
      <c r="EE1520">
        <v>0</v>
      </c>
      <c r="EF1520">
        <v>0</v>
      </c>
      <c r="EG1520">
        <v>0</v>
      </c>
      <c r="EH1520">
        <v>0</v>
      </c>
      <c r="EI1520" s="2">
        <v>0</v>
      </c>
      <c r="EK1520" t="str">
        <f>IF(AND(AND(AND(OR($DX1520=1,$DW1520=1),OR($EC1520=1,$EA1520=1)),SUM($DV1520:$DZ1520,$EF1520)&gt;=4),SUM($EA1520:$EE1520)&gt;=2),"Whole sector","")</f>
        <v/>
      </c>
      <c r="EL1520" t="str">
        <f>IF(AND(AND(OR($DX1520=1,$DW1520=1),AND($EC1520=0,$EA1520=0)),SUM($DV1520:$DZ1520,$EF1520)&gt;=4),"Ecosystem approach","")</f>
        <v/>
      </c>
      <c r="EM1520" s="2" t="str">
        <f t="shared" si="1993"/>
        <v/>
      </c>
      <c r="EP1520" t="str">
        <f>IF(ISNUMBER(BU1520),IF(ABS(BU1520-[3]QC_indicators!$B$2)&gt;3*[3]QC_indicators!$C$2,"C ratio",IF(ISNUMBER(BY1520),IF(ABS(BY1520-[3]QC_indicators!$B$1)&gt;3*[3]QC_indicators!$C$1,"DF","no"))),IF(ISNUMBER(BY1520),IF(ABS(BY1520-[3]QC_indicators!$B$1)&gt;3*[3]QC_indicators!$C$1,"DF","no")))</f>
        <v>no</v>
      </c>
      <c r="ET1520" s="264" t="s">
        <v>3102</v>
      </c>
    </row>
    <row r="1521" spans="1:150" ht="17" hidden="1">
      <c r="A1521" s="1" t="s">
        <v>587</v>
      </c>
      <c r="B1521" t="s">
        <v>2359</v>
      </c>
      <c r="C1521" t="s">
        <v>2360</v>
      </c>
      <c r="D1521" t="s">
        <v>2361</v>
      </c>
      <c r="E1521" t="s">
        <v>2362</v>
      </c>
      <c r="F1521" t="s">
        <v>2363</v>
      </c>
      <c r="G1521" t="s">
        <v>593</v>
      </c>
      <c r="H1521" t="s">
        <v>254</v>
      </c>
      <c r="I1521">
        <v>2016</v>
      </c>
      <c r="J1521">
        <v>32</v>
      </c>
      <c r="K1521" t="s">
        <v>2364</v>
      </c>
      <c r="M1521" t="str">
        <f t="shared" si="1932"/>
        <v>Taskhiri_2016</v>
      </c>
      <c r="N1521" t="s">
        <v>222</v>
      </c>
      <c r="O1521" s="145" t="s">
        <v>1153</v>
      </c>
      <c r="Q1521" t="s">
        <v>256</v>
      </c>
      <c r="R1521" s="255" t="s">
        <v>223</v>
      </c>
      <c r="S1521" s="1" t="s">
        <v>2365</v>
      </c>
      <c r="T1521" t="s">
        <v>1307</v>
      </c>
      <c r="U1521" s="264" t="s">
        <v>3101</v>
      </c>
      <c r="V1521">
        <v>0</v>
      </c>
      <c r="W1521">
        <v>0</v>
      </c>
      <c r="X1521">
        <v>0</v>
      </c>
      <c r="Y1521">
        <v>0</v>
      </c>
      <c r="Z1521">
        <v>0</v>
      </c>
      <c r="AA1521">
        <v>0</v>
      </c>
      <c r="AB1521">
        <v>0</v>
      </c>
      <c r="AC1521">
        <v>0</v>
      </c>
      <c r="AD1521">
        <v>0</v>
      </c>
      <c r="AE1521">
        <v>0</v>
      </c>
      <c r="AF1521">
        <v>0</v>
      </c>
      <c r="AG1521">
        <v>1</v>
      </c>
      <c r="AH1521">
        <v>0</v>
      </c>
      <c r="AI1521">
        <v>0</v>
      </c>
      <c r="AJ1521">
        <v>0</v>
      </c>
      <c r="AK1521">
        <v>0</v>
      </c>
      <c r="AL1521">
        <v>0</v>
      </c>
      <c r="AM1521">
        <v>0</v>
      </c>
      <c r="AN1521">
        <v>0</v>
      </c>
      <c r="AO1521">
        <v>0</v>
      </c>
      <c r="AP1521">
        <v>0</v>
      </c>
      <c r="AQ1521">
        <v>0</v>
      </c>
      <c r="AR1521">
        <v>0</v>
      </c>
      <c r="AS1521">
        <v>0</v>
      </c>
      <c r="AT1521">
        <v>0</v>
      </c>
      <c r="AU1521">
        <v>0</v>
      </c>
      <c r="AV1521">
        <v>0</v>
      </c>
      <c r="AW1521">
        <v>0</v>
      </c>
      <c r="AX1521" s="141">
        <f t="shared" si="1994"/>
        <v>1</v>
      </c>
      <c r="AY1521" s="141">
        <f t="shared" si="1995"/>
        <v>1</v>
      </c>
      <c r="AZ1521">
        <f t="shared" si="1996"/>
        <v>0</v>
      </c>
      <c r="BA1521">
        <f t="shared" si="1997"/>
        <v>1</v>
      </c>
      <c r="BB1521">
        <f t="shared" si="1998"/>
        <v>0</v>
      </c>
      <c r="BC1521">
        <f t="shared" si="1999"/>
        <v>0</v>
      </c>
      <c r="BD1521">
        <f t="shared" si="2000"/>
        <v>0</v>
      </c>
      <c r="BE1521" t="str">
        <f t="array" ref="BE1521">IF(AY1521=1,INDEX($V$7:$AL$7,MATCH(TRUE,INDEX($V1521:$AW1521&lt;&gt;0,),0)),IF(AY1521=0,INDEX($AM$7:$AW$7,MATCH(1,$AM1521:$AW1521,0)),IF(BF1521="Multiple strategies","mixed drivers",IF(BF1521="Supply chain","multiple supply","multiple silviculture"))))</f>
        <v>recycling</v>
      </c>
      <c r="BF1521" s="2" t="str" cm="1">
        <f t="array" ref="BF1521">IF(COUNTIF(AZ1521:BB1521,"&lt;&gt;0")=1,INDEX($V$4:$AW$4,MATCH(TRUE,INDEX($V1521:$AW1521&lt;&gt;0,),0)),IF(COUNTIF(AZ1521:BB1521,"&lt;&gt;0")=0,INDEX($AM$4:$AW$4,MATCH(1,$AM1521:$AW1521,0)),"Multiple strategies"))</f>
        <v>Supply chain</v>
      </c>
      <c r="BG1521" s="1" t="s">
        <v>229</v>
      </c>
      <c r="BH1521" t="s">
        <v>2366</v>
      </c>
      <c r="BI1521" s="264" t="s">
        <v>3098</v>
      </c>
      <c r="BJ1521" t="s">
        <v>1322</v>
      </c>
      <c r="BK1521">
        <v>0</v>
      </c>
      <c r="BL1521">
        <v>5.0000000000000001E-3</v>
      </c>
      <c r="BM1521" s="143" t="e">
        <f>BL1521/BK1521</f>
        <v>#DIV/0!</v>
      </c>
      <c r="BN1521">
        <f>BL1521-BK1521</f>
        <v>5.0000000000000001E-3</v>
      </c>
      <c r="BO1521">
        <f>BN1521*10^6</f>
        <v>5000</v>
      </c>
      <c r="BP1521" t="s">
        <v>232</v>
      </c>
      <c r="BQ1521" s="267" t="s">
        <v>783</v>
      </c>
      <c r="BR1521" t="s">
        <v>1194</v>
      </c>
      <c r="BS1521" s="198">
        <v>-32092.528180728899</v>
      </c>
      <c r="BT1521" s="198">
        <v>-29322.470132498798</v>
      </c>
      <c r="BU1521" s="144">
        <f t="shared" si="2001"/>
        <v>0.9136852655350014</v>
      </c>
      <c r="BV1521" s="144">
        <f t="shared" si="2002"/>
        <v>2770.0580482301011</v>
      </c>
      <c r="BW1521" s="144"/>
      <c r="BX1521" s="144">
        <f>BV1521</f>
        <v>2770.0580482301011</v>
      </c>
      <c r="BY1521">
        <f t="shared" si="1992"/>
        <v>0.55401160964602025</v>
      </c>
      <c r="BZ1521">
        <v>0</v>
      </c>
      <c r="CA1521">
        <v>0</v>
      </c>
      <c r="CB1521">
        <v>0</v>
      </c>
      <c r="CC1521">
        <v>0</v>
      </c>
      <c r="CD1521">
        <v>0</v>
      </c>
      <c r="CE1521">
        <v>0</v>
      </c>
      <c r="CF1521">
        <v>0</v>
      </c>
      <c r="CG1521">
        <v>0</v>
      </c>
      <c r="CH1521">
        <v>0</v>
      </c>
      <c r="CI1521">
        <v>0</v>
      </c>
      <c r="CJ1521">
        <v>0</v>
      </c>
      <c r="CK1521">
        <v>0</v>
      </c>
      <c r="CL1521">
        <v>0</v>
      </c>
      <c r="CM1521">
        <v>1</v>
      </c>
      <c r="CN1521" t="str">
        <f>IF($BL1521&lt;$BK1521,"refNeedCorrection","refOK")</f>
        <v>refOK</v>
      </c>
      <c r="CO1521">
        <f>IF($CN1521="refOK",$BK1521,$BL1521)</f>
        <v>0</v>
      </c>
      <c r="CP1521">
        <f>IF($CN1521="refOK",$BL1521,$BK1521)</f>
        <v>5.0000000000000001E-3</v>
      </c>
      <c r="CQ1521">
        <f>IF($CN1521="refOK",$BO1521,-$BO1521)</f>
        <v>5000</v>
      </c>
      <c r="CR1521">
        <f t="shared" si="2003"/>
        <v>-32092.528180728899</v>
      </c>
      <c r="CS1521">
        <f t="shared" si="2004"/>
        <v>-29322.470132498798</v>
      </c>
      <c r="CT1521">
        <f t="shared" si="2005"/>
        <v>2770.0580482301011</v>
      </c>
      <c r="CU1521">
        <f t="shared" si="2006"/>
        <v>0.55401160964602025</v>
      </c>
      <c r="CV1521" s="2">
        <f t="shared" si="2007"/>
        <v>8.6314734464998655E-2</v>
      </c>
      <c r="CW1521" s="1" t="s">
        <v>1198</v>
      </c>
      <c r="CX1521" t="str">
        <f t="shared" si="2008"/>
        <v>reg</v>
      </c>
      <c r="CY1521" t="s">
        <v>1300</v>
      </c>
      <c r="DB1521">
        <v>0</v>
      </c>
      <c r="DC1521" t="str">
        <f t="shared" si="2009"/>
        <v>0</v>
      </c>
      <c r="DD1521">
        <v>0</v>
      </c>
      <c r="DE1521">
        <v>0</v>
      </c>
      <c r="DF1521">
        <v>1</v>
      </c>
      <c r="DG1521">
        <v>0</v>
      </c>
      <c r="DI1521">
        <f t="shared" si="2010"/>
        <v>1</v>
      </c>
      <c r="DJ1521" t="str">
        <f t="shared" si="2011"/>
        <v>PulpPaperInput</v>
      </c>
      <c r="DK1521">
        <f t="shared" si="2012"/>
        <v>0</v>
      </c>
      <c r="DL1521">
        <f t="shared" si="2013"/>
        <v>0</v>
      </c>
      <c r="DM1521" t="str">
        <f t="shared" si="2014"/>
        <v>Pulp/Paper</v>
      </c>
      <c r="DN1521">
        <f t="shared" si="2015"/>
        <v>0</v>
      </c>
      <c r="DO1521">
        <v>0</v>
      </c>
      <c r="DP1521">
        <v>0</v>
      </c>
      <c r="DQ1521">
        <v>0</v>
      </c>
      <c r="DR1521">
        <v>0</v>
      </c>
      <c r="DS1521">
        <v>0</v>
      </c>
      <c r="DT1521">
        <f t="shared" si="2016"/>
        <v>0</v>
      </c>
      <c r="DU1521" s="143" t="str">
        <f t="shared" si="2017"/>
        <v>explicit C balance</v>
      </c>
      <c r="DV1521">
        <v>0</v>
      </c>
      <c r="DW1521">
        <v>0</v>
      </c>
      <c r="DX1521">
        <v>0</v>
      </c>
      <c r="DY1521">
        <v>0</v>
      </c>
      <c r="DZ1521">
        <v>0</v>
      </c>
      <c r="EA1521" s="143">
        <v>0</v>
      </c>
      <c r="EB1521">
        <v>1</v>
      </c>
      <c r="EC1521">
        <v>1</v>
      </c>
      <c r="ED1521">
        <v>0</v>
      </c>
      <c r="EE1521">
        <v>0</v>
      </c>
      <c r="EF1521">
        <v>0</v>
      </c>
      <c r="EG1521">
        <v>0</v>
      </c>
      <c r="EH1521">
        <v>0</v>
      </c>
      <c r="EI1521" s="2">
        <v>0</v>
      </c>
      <c r="EK1521" t="str">
        <f>IF(AND(AND(AND(OR($DX1521=1,$DW1521=1),OR($EC1521=1,$EA1521=1)),SUM($DV1521:$DZ1521,$EF1521)&gt;=4),SUM($EA1521:$EE1521)&gt;=2),"Whole sector","")</f>
        <v/>
      </c>
      <c r="EL1521" t="str">
        <f>IF(AND(AND(OR($DX1521=1,$DW1521=1),AND($EC1521=0,$EA1521=0)),SUM($DV1521:$DZ1521,$EF1521)&gt;=4),"Ecosystem approach","")</f>
        <v/>
      </c>
      <c r="EM1521" s="2" t="str">
        <f t="shared" si="1993"/>
        <v>Technology approach</v>
      </c>
      <c r="EP1521" t="str">
        <f>IF(ISNUMBER(BU1521),IF(ABS(BU1521-[3]QC_indicators!$B$2)&gt;3*[3]QC_indicators!$C$2,"C ratio",IF(ISNUMBER(BY1521),IF(ABS(BY1521-[3]QC_indicators!$B$1)&gt;3*[3]QC_indicators!$C$1,"DF","no"))),IF(ISNUMBER(BY1521),IF(ABS(BY1521-[3]QC_indicators!$B$1)&gt;3*[3]QC_indicators!$C$1,"DF","no")))</f>
        <v>no</v>
      </c>
      <c r="ET1521" s="264" t="s">
        <v>3103</v>
      </c>
    </row>
    <row r="1522" spans="1:150" hidden="1">
      <c r="A1522" s="1" t="s">
        <v>4231</v>
      </c>
      <c r="B1522" t="s">
        <v>4232</v>
      </c>
      <c r="C1522" t="s">
        <v>4233</v>
      </c>
      <c r="D1522" t="s">
        <v>4234</v>
      </c>
      <c r="E1522" t="s">
        <v>4235</v>
      </c>
      <c r="F1522" t="s">
        <v>4236</v>
      </c>
      <c r="G1522" t="s">
        <v>544</v>
      </c>
      <c r="H1522" t="s">
        <v>3964</v>
      </c>
      <c r="I1522">
        <v>2017</v>
      </c>
      <c r="J1522">
        <v>12</v>
      </c>
      <c r="K1522" t="s">
        <v>4237</v>
      </c>
      <c r="M1522" t="str">
        <f t="shared" si="1932"/>
        <v>Teh_2017</v>
      </c>
      <c r="N1522" s="311" t="s">
        <v>4382</v>
      </c>
      <c r="O1522" s="145" t="s">
        <v>1153</v>
      </c>
      <c r="Q1522" s="311" t="s">
        <v>256</v>
      </c>
      <c r="R1522" s="312"/>
      <c r="S1522" s="1" t="s">
        <v>4238</v>
      </c>
      <c r="T1522" t="s">
        <v>1110</v>
      </c>
      <c r="U1522" t="s">
        <v>4239</v>
      </c>
      <c r="V1522">
        <v>0</v>
      </c>
      <c r="W1522">
        <v>0</v>
      </c>
      <c r="X1522">
        <v>0</v>
      </c>
      <c r="Y1522">
        <v>0</v>
      </c>
      <c r="Z1522">
        <v>0</v>
      </c>
      <c r="AA1522">
        <v>0</v>
      </c>
      <c r="AB1522">
        <v>0</v>
      </c>
      <c r="AC1522">
        <v>0</v>
      </c>
      <c r="AD1522">
        <v>0</v>
      </c>
      <c r="AE1522">
        <v>0</v>
      </c>
      <c r="AF1522">
        <v>0</v>
      </c>
      <c r="AG1522">
        <v>0</v>
      </c>
      <c r="AH1522">
        <v>0</v>
      </c>
      <c r="AI1522">
        <v>0</v>
      </c>
      <c r="AJ1522">
        <v>0</v>
      </c>
      <c r="AK1522">
        <v>1</v>
      </c>
      <c r="AL1522">
        <v>0</v>
      </c>
      <c r="AM1522">
        <v>0</v>
      </c>
      <c r="AN1522">
        <v>0</v>
      </c>
      <c r="AO1522">
        <v>0</v>
      </c>
      <c r="AP1522">
        <v>0</v>
      </c>
      <c r="AQ1522">
        <v>0</v>
      </c>
      <c r="AR1522">
        <v>0</v>
      </c>
      <c r="AS1522">
        <v>0</v>
      </c>
      <c r="AT1522">
        <v>0</v>
      </c>
      <c r="AU1522">
        <v>0</v>
      </c>
      <c r="AV1522">
        <v>0</v>
      </c>
      <c r="AW1522">
        <v>0</v>
      </c>
      <c r="AX1522" s="141">
        <f t="shared" si="1994"/>
        <v>1</v>
      </c>
      <c r="AY1522" s="141">
        <f t="shared" si="1995"/>
        <v>1</v>
      </c>
      <c r="AZ1522">
        <f t="shared" si="1996"/>
        <v>0</v>
      </c>
      <c r="BA1522">
        <f t="shared" si="1997"/>
        <v>0</v>
      </c>
      <c r="BB1522">
        <f t="shared" si="1998"/>
        <v>1</v>
      </c>
      <c r="BC1522">
        <f t="shared" si="1999"/>
        <v>0</v>
      </c>
      <c r="BD1522">
        <f t="shared" si="2000"/>
        <v>0</v>
      </c>
      <c r="BE1522" t="str" cm="1">
        <f t="array" ref="BE1522">IF(AY1522=1,INDEX($V$7:$AL$7,MATCH(TRUE,INDEX($V1522:$AW1522&lt;&gt;0,),0)),IF(AY1522=0,INDEX($AM$7:$AW$7,MATCH(1,$AM1522:$AW1522,0)),IF(BF1522="Multiple strategies","mixed drivers",IF(BF1522="Supply chain","multiple supply","multiple silviculture"))))</f>
        <v>technologies/design switch</v>
      </c>
      <c r="BF1522" s="2" t="str" cm="1">
        <f t="array" ref="BF1522">IF(COUNTIF(AZ1522:BB1522,"&lt;&gt;0")=1,INDEX($V$4:$AW$4,MATCH(TRUE,INDEX($V1522:$AW1522&lt;&gt;0,),0)),IF(COUNTIF(AZ1522:BB1522,"&lt;&gt;0")=0,INDEX($AM$4:$AW$4,MATCH(1,$AM1522:$AW1522,0)),"Multiple strategies"))</f>
        <v>Technology</v>
      </c>
      <c r="BH1522" t="s">
        <v>4240</v>
      </c>
      <c r="BP1522" t="s">
        <v>232</v>
      </c>
      <c r="BR1522" t="s">
        <v>2324</v>
      </c>
      <c r="BS1522">
        <v>-65.3101736972704</v>
      </c>
      <c r="BT1522">
        <v>53.796526054590501</v>
      </c>
      <c r="BU1522" s="144">
        <f t="shared" si="2001"/>
        <v>-0.8237082066869299</v>
      </c>
      <c r="BV1522" s="144">
        <f t="shared" si="2002"/>
        <v>119.1066997518609</v>
      </c>
      <c r="BW1522" s="144"/>
      <c r="BX1522">
        <f t="shared" ref="BX1522:BX1527" si="2018">BV1522*10^6</f>
        <v>119106699.7518609</v>
      </c>
      <c r="BY1522" t="str">
        <f t="shared" si="1992"/>
        <v/>
      </c>
      <c r="BZ1522">
        <v>0</v>
      </c>
      <c r="CA1522">
        <v>0</v>
      </c>
      <c r="CB1522">
        <v>0</v>
      </c>
      <c r="CC1522">
        <v>0</v>
      </c>
      <c r="CD1522">
        <v>0</v>
      </c>
      <c r="CE1522">
        <v>0</v>
      </c>
      <c r="CF1522">
        <v>0</v>
      </c>
      <c r="CG1522">
        <v>0</v>
      </c>
      <c r="CH1522">
        <v>0</v>
      </c>
      <c r="CI1522">
        <v>0</v>
      </c>
      <c r="CJ1522">
        <v>0</v>
      </c>
      <c r="CK1522">
        <v>0</v>
      </c>
      <c r="CL1522">
        <v>0</v>
      </c>
      <c r="CM1522">
        <v>0</v>
      </c>
      <c r="CN1522" t="str">
        <f t="shared" ref="CN1522:CN1527" si="2019">IF(BL1522&lt;BK1522,"refNeedCorrection","refOK")</f>
        <v>refOK</v>
      </c>
      <c r="CO1522"/>
      <c r="CP1522"/>
      <c r="CQ1522"/>
      <c r="CR1522">
        <f t="shared" si="2003"/>
        <v>-65.3101736972704</v>
      </c>
      <c r="CS1522">
        <f t="shared" si="2004"/>
        <v>53.796526054590501</v>
      </c>
      <c r="CT1522">
        <f t="shared" si="2005"/>
        <v>119106699.7518609</v>
      </c>
      <c r="CU1522" t="str">
        <f t="shared" si="2006"/>
        <v/>
      </c>
      <c r="CV1522" s="2">
        <f t="shared" si="2007"/>
        <v>1.8237082066869299</v>
      </c>
      <c r="CW1522" s="1" t="s">
        <v>1202</v>
      </c>
      <c r="CX1522" s="311" t="str">
        <f t="shared" si="2008"/>
        <v>reg</v>
      </c>
      <c r="CY1522" t="s">
        <v>574</v>
      </c>
      <c r="CZ1522">
        <v>2050</v>
      </c>
      <c r="DA1522">
        <v>2050</v>
      </c>
      <c r="DB1522">
        <f t="shared" ref="DB1522:DB1533" si="2020">DA1522-CZ1522</f>
        <v>0</v>
      </c>
      <c r="DC1522" t="str">
        <f t="shared" si="2009"/>
        <v>0</v>
      </c>
      <c r="DD1522">
        <v>0</v>
      </c>
      <c r="DE1522">
        <v>0</v>
      </c>
      <c r="DF1522">
        <v>0</v>
      </c>
      <c r="DG1522">
        <v>1</v>
      </c>
      <c r="DI1522">
        <f t="shared" si="2010"/>
        <v>1</v>
      </c>
      <c r="DJ1522" t="str">
        <f t="shared" si="2011"/>
        <v>TimberInput</v>
      </c>
      <c r="DK1522">
        <f t="shared" si="2012"/>
        <v>0</v>
      </c>
      <c r="DL1522">
        <f t="shared" si="2013"/>
        <v>0</v>
      </c>
      <c r="DM1522">
        <f t="shared" si="2014"/>
        <v>0</v>
      </c>
      <c r="DN1522" t="str">
        <f t="shared" si="2015"/>
        <v>Timber</v>
      </c>
      <c r="DO1522">
        <v>0</v>
      </c>
      <c r="DP1522">
        <v>0</v>
      </c>
      <c r="DQ1522">
        <v>0</v>
      </c>
      <c r="DR1522">
        <v>0</v>
      </c>
      <c r="DS1522">
        <v>0</v>
      </c>
      <c r="DT1522">
        <f t="shared" si="2016"/>
        <v>0</v>
      </c>
      <c r="DU1522" s="143" t="str">
        <f t="shared" si="2017"/>
        <v>explicit C balance</v>
      </c>
      <c r="DV1522">
        <v>0</v>
      </c>
      <c r="DW1522">
        <v>0</v>
      </c>
      <c r="DX1522">
        <v>0</v>
      </c>
      <c r="DY1522">
        <v>1</v>
      </c>
      <c r="DZ1522">
        <v>0</v>
      </c>
      <c r="EA1522" s="143">
        <v>0</v>
      </c>
      <c r="EB1522">
        <v>1</v>
      </c>
      <c r="EC1522">
        <v>1</v>
      </c>
      <c r="ED1522">
        <v>0</v>
      </c>
      <c r="EE1522">
        <v>0</v>
      </c>
      <c r="EF1522">
        <v>0</v>
      </c>
      <c r="EG1522">
        <v>1</v>
      </c>
      <c r="EH1522">
        <v>0</v>
      </c>
      <c r="EI1522" s="2">
        <v>0</v>
      </c>
      <c r="EK1522" t="str">
        <f t="shared" ref="EK1522:EK1527" si="2021">IF(AND(AND(AND(OR($DX1522=1,$DW1522=1),OR($EC1522=1,$EA1522=1)),SUM($DV1522:$DZ1522,$EF1522)&gt;=3),SUM($EA1522:$EE1522)&gt;=2),"Whole sector","")</f>
        <v/>
      </c>
      <c r="EL1522" t="str">
        <f t="shared" ref="EL1522:EL1527" si="2022">IF(AND(AND(OR($DX1522=1,$DW1522=1),AND($EC1522=0,$EA1522=0)),SUM($DV1522:$DZ1522,$EF1522)&gt;=3),"Ecosystem approach","")</f>
        <v/>
      </c>
      <c r="EM1522" s="2" t="str">
        <f t="shared" si="1993"/>
        <v>Technology approach</v>
      </c>
      <c r="EN1522" t="s">
        <v>4241</v>
      </c>
      <c r="EP1522" t="b">
        <f>IF(ISNUMBER(BU1522),IF(ABS(BU1522-[1]QC_indicators!$B$2)&gt;3*[1]QC_indicators!$C$2,"C ratio",IF(ISNUMBER(BY1522),IF(ABS(BY1522-[1]QC_indicators!$B$1)&gt;3*[1]QC_indicators!$C$1,"DF","no"))),IF(ISNUMBER(BY1522),IF(ABS(BY1522-[1]QC_indicators!$B$1)&gt;3*[1]QC_indicators!$C$1,"DF","no")))</f>
        <v>0</v>
      </c>
    </row>
    <row r="1523" spans="1:150" hidden="1">
      <c r="A1523" s="1" t="s">
        <v>4231</v>
      </c>
      <c r="B1523" t="s">
        <v>4232</v>
      </c>
      <c r="C1523" t="s">
        <v>4233</v>
      </c>
      <c r="D1523" t="s">
        <v>4234</v>
      </c>
      <c r="E1523" t="s">
        <v>4235</v>
      </c>
      <c r="F1523" t="s">
        <v>4236</v>
      </c>
      <c r="G1523" t="s">
        <v>544</v>
      </c>
      <c r="H1523" t="s">
        <v>3964</v>
      </c>
      <c r="I1523">
        <v>2017</v>
      </c>
      <c r="J1523">
        <v>12</v>
      </c>
      <c r="K1523" t="s">
        <v>4237</v>
      </c>
      <c r="M1523" t="str">
        <f t="shared" si="1932"/>
        <v>Teh_2017</v>
      </c>
      <c r="N1523" s="311" t="s">
        <v>4382</v>
      </c>
      <c r="O1523" s="145" t="s">
        <v>1153</v>
      </c>
      <c r="Q1523" s="311" t="s">
        <v>256</v>
      </c>
      <c r="R1523" s="312"/>
      <c r="S1523" s="1" t="s">
        <v>4242</v>
      </c>
      <c r="T1523" t="s">
        <v>1110</v>
      </c>
      <c r="U1523" t="s">
        <v>4239</v>
      </c>
      <c r="V1523">
        <v>0</v>
      </c>
      <c r="W1523">
        <v>0</v>
      </c>
      <c r="X1523">
        <v>0</v>
      </c>
      <c r="Y1523">
        <v>0</v>
      </c>
      <c r="Z1523">
        <v>0</v>
      </c>
      <c r="AA1523">
        <v>0</v>
      </c>
      <c r="AB1523">
        <v>0</v>
      </c>
      <c r="AC1523">
        <v>0</v>
      </c>
      <c r="AD1523">
        <v>0</v>
      </c>
      <c r="AE1523">
        <v>0</v>
      </c>
      <c r="AF1523">
        <v>0</v>
      </c>
      <c r="AG1523">
        <v>0</v>
      </c>
      <c r="AH1523">
        <v>0</v>
      </c>
      <c r="AI1523">
        <v>0</v>
      </c>
      <c r="AJ1523">
        <v>0</v>
      </c>
      <c r="AK1523">
        <v>1</v>
      </c>
      <c r="AL1523">
        <v>0</v>
      </c>
      <c r="AM1523">
        <v>0</v>
      </c>
      <c r="AN1523">
        <v>0</v>
      </c>
      <c r="AO1523">
        <v>0</v>
      </c>
      <c r="AP1523">
        <v>0</v>
      </c>
      <c r="AQ1523">
        <v>0</v>
      </c>
      <c r="AR1523">
        <v>0</v>
      </c>
      <c r="AS1523">
        <v>0</v>
      </c>
      <c r="AT1523">
        <v>0</v>
      </c>
      <c r="AU1523">
        <v>0</v>
      </c>
      <c r="AV1523">
        <v>0</v>
      </c>
      <c r="AW1523">
        <v>0</v>
      </c>
      <c r="AX1523" s="141">
        <f t="shared" si="1994"/>
        <v>1</v>
      </c>
      <c r="AY1523" s="141">
        <f t="shared" si="1995"/>
        <v>1</v>
      </c>
      <c r="AZ1523">
        <f t="shared" si="1996"/>
        <v>0</v>
      </c>
      <c r="BA1523">
        <f t="shared" si="1997"/>
        <v>0</v>
      </c>
      <c r="BB1523">
        <f t="shared" si="1998"/>
        <v>1</v>
      </c>
      <c r="BC1523">
        <f t="shared" si="1999"/>
        <v>0</v>
      </c>
      <c r="BD1523">
        <f t="shared" si="2000"/>
        <v>0</v>
      </c>
      <c r="BE1523" t="str" cm="1">
        <f t="array" ref="BE1523">IF(AY1523=1,INDEX($V$7:$AL$7,MATCH(TRUE,INDEX($V1523:$AW1523&lt;&gt;0,),0)),IF(AY1523=0,INDEX($AM$7:$AW$7,MATCH(1,$AM1523:$AW1523,0)),IF(BF1523="Multiple strategies","mixed drivers",IF(BF1523="Supply chain","multiple supply","multiple silviculture"))))</f>
        <v>technologies/design switch</v>
      </c>
      <c r="BF1523" s="2" t="str" cm="1">
        <f t="array" ref="BF1523">IF(COUNTIF(AZ1523:BB1523,"&lt;&gt;0")=1,INDEX($V$4:$AW$4,MATCH(TRUE,INDEX($V1523:$AW1523&lt;&gt;0,),0)),IF(COUNTIF(AZ1523:BB1523,"&lt;&gt;0")=0,INDEX($AM$4:$AW$4,MATCH(1,$AM1523:$AW1523,0)),"Multiple strategies"))</f>
        <v>Technology</v>
      </c>
      <c r="BH1523" t="s">
        <v>4240</v>
      </c>
      <c r="BP1523" t="s">
        <v>232</v>
      </c>
      <c r="BR1523" t="s">
        <v>2324</v>
      </c>
      <c r="BS1523">
        <v>-803.28358208955206</v>
      </c>
      <c r="BT1523">
        <v>-303.58208955223802</v>
      </c>
      <c r="BU1523" s="144">
        <f t="shared" si="2001"/>
        <v>0.37792642140468136</v>
      </c>
      <c r="BV1523" s="144">
        <f t="shared" si="2002"/>
        <v>499.70149253731404</v>
      </c>
      <c r="BW1523" s="144"/>
      <c r="BX1523">
        <f t="shared" si="2018"/>
        <v>499701492.53731406</v>
      </c>
      <c r="BY1523" t="str">
        <f t="shared" si="1992"/>
        <v/>
      </c>
      <c r="BZ1523">
        <v>0</v>
      </c>
      <c r="CA1523">
        <v>0</v>
      </c>
      <c r="CB1523">
        <v>0</v>
      </c>
      <c r="CC1523">
        <v>0</v>
      </c>
      <c r="CD1523">
        <v>0</v>
      </c>
      <c r="CE1523">
        <v>0</v>
      </c>
      <c r="CF1523">
        <v>0</v>
      </c>
      <c r="CG1523">
        <v>0</v>
      </c>
      <c r="CH1523">
        <v>0</v>
      </c>
      <c r="CI1523">
        <v>0</v>
      </c>
      <c r="CJ1523">
        <v>0</v>
      </c>
      <c r="CK1523">
        <v>0</v>
      </c>
      <c r="CL1523">
        <v>0</v>
      </c>
      <c r="CM1523">
        <v>0</v>
      </c>
      <c r="CN1523" t="str">
        <f t="shared" si="2019"/>
        <v>refOK</v>
      </c>
      <c r="CO1523"/>
      <c r="CP1523"/>
      <c r="CQ1523"/>
      <c r="CR1523">
        <f t="shared" si="2003"/>
        <v>-803.28358208955206</v>
      </c>
      <c r="CS1523">
        <f t="shared" si="2004"/>
        <v>-303.58208955223802</v>
      </c>
      <c r="CT1523">
        <f t="shared" si="2005"/>
        <v>499701492.53731406</v>
      </c>
      <c r="CU1523" t="str">
        <f t="shared" si="2006"/>
        <v/>
      </c>
      <c r="CV1523" s="2">
        <f t="shared" si="2007"/>
        <v>0.62207357859531864</v>
      </c>
      <c r="CW1523" s="1" t="s">
        <v>1202</v>
      </c>
      <c r="CX1523" s="311" t="str">
        <f t="shared" si="2008"/>
        <v>reg</v>
      </c>
      <c r="CY1523" t="s">
        <v>574</v>
      </c>
      <c r="CZ1523">
        <v>2050</v>
      </c>
      <c r="DA1523">
        <v>2050</v>
      </c>
      <c r="DB1523">
        <f t="shared" si="2020"/>
        <v>0</v>
      </c>
      <c r="DC1523" t="str">
        <f t="shared" si="2009"/>
        <v>0</v>
      </c>
      <c r="DD1523">
        <v>0</v>
      </c>
      <c r="DE1523">
        <v>0</v>
      </c>
      <c r="DF1523">
        <v>0</v>
      </c>
      <c r="DG1523">
        <v>1</v>
      </c>
      <c r="DI1523">
        <f t="shared" si="2010"/>
        <v>1</v>
      </c>
      <c r="DJ1523" t="str">
        <f t="shared" si="2011"/>
        <v>TimberInput</v>
      </c>
      <c r="DK1523">
        <f t="shared" si="2012"/>
        <v>0</v>
      </c>
      <c r="DL1523">
        <f t="shared" si="2013"/>
        <v>0</v>
      </c>
      <c r="DM1523">
        <f t="shared" si="2014"/>
        <v>0</v>
      </c>
      <c r="DN1523" t="str">
        <f t="shared" si="2015"/>
        <v>Timber</v>
      </c>
      <c r="DO1523">
        <v>0</v>
      </c>
      <c r="DP1523">
        <v>0</v>
      </c>
      <c r="DQ1523">
        <v>0</v>
      </c>
      <c r="DR1523">
        <v>0</v>
      </c>
      <c r="DS1523">
        <v>0</v>
      </c>
      <c r="DT1523">
        <f t="shared" si="2016"/>
        <v>0</v>
      </c>
      <c r="DU1523" s="143" t="str">
        <f t="shared" si="2017"/>
        <v>explicit C balance</v>
      </c>
      <c r="DV1523">
        <v>0</v>
      </c>
      <c r="DW1523">
        <v>0</v>
      </c>
      <c r="DX1523">
        <v>0</v>
      </c>
      <c r="DY1523">
        <v>1</v>
      </c>
      <c r="DZ1523">
        <v>0</v>
      </c>
      <c r="EA1523" s="143">
        <v>0</v>
      </c>
      <c r="EB1523">
        <v>1</v>
      </c>
      <c r="EC1523">
        <v>1</v>
      </c>
      <c r="ED1523">
        <v>0</v>
      </c>
      <c r="EE1523">
        <v>0</v>
      </c>
      <c r="EF1523">
        <v>0</v>
      </c>
      <c r="EG1523">
        <v>1</v>
      </c>
      <c r="EH1523">
        <v>0</v>
      </c>
      <c r="EI1523" s="2">
        <v>0</v>
      </c>
      <c r="EK1523" t="str">
        <f t="shared" si="2021"/>
        <v/>
      </c>
      <c r="EL1523" t="str">
        <f t="shared" si="2022"/>
        <v/>
      </c>
      <c r="EM1523" s="2" t="str">
        <f t="shared" si="1993"/>
        <v>Technology approach</v>
      </c>
      <c r="EN1523" t="s">
        <v>4241</v>
      </c>
      <c r="EP1523" t="b">
        <f>IF(ISNUMBER(BU1523),IF(ABS(BU1523-[1]QC_indicators!$B$2)&gt;3*[1]QC_indicators!$C$2,"C ratio",IF(ISNUMBER(BY1523),IF(ABS(BY1523-[1]QC_indicators!$B$1)&gt;3*[1]QC_indicators!$C$1,"DF","no"))),IF(ISNUMBER(BY1523),IF(ABS(BY1523-[1]QC_indicators!$B$1)&gt;3*[1]QC_indicators!$C$1,"DF","no")))</f>
        <v>0</v>
      </c>
    </row>
    <row r="1524" spans="1:150" hidden="1">
      <c r="A1524" s="1" t="s">
        <v>4231</v>
      </c>
      <c r="B1524" t="s">
        <v>4232</v>
      </c>
      <c r="C1524" t="s">
        <v>4233</v>
      </c>
      <c r="D1524" t="s">
        <v>4234</v>
      </c>
      <c r="E1524" t="s">
        <v>4235</v>
      </c>
      <c r="F1524" t="s">
        <v>4236</v>
      </c>
      <c r="G1524" t="s">
        <v>544</v>
      </c>
      <c r="H1524" t="s">
        <v>3964</v>
      </c>
      <c r="I1524">
        <v>2017</v>
      </c>
      <c r="J1524">
        <v>12</v>
      </c>
      <c r="K1524" t="s">
        <v>4237</v>
      </c>
      <c r="M1524" t="str">
        <f t="shared" si="1932"/>
        <v>Teh_2017</v>
      </c>
      <c r="N1524" s="311" t="s">
        <v>4382</v>
      </c>
      <c r="O1524" s="145" t="s">
        <v>1153</v>
      </c>
      <c r="Q1524" s="311" t="s">
        <v>256</v>
      </c>
      <c r="R1524" s="312"/>
      <c r="S1524" s="1" t="s">
        <v>4243</v>
      </c>
      <c r="T1524" t="s">
        <v>1110</v>
      </c>
      <c r="U1524" t="s">
        <v>4239</v>
      </c>
      <c r="V1524">
        <v>0</v>
      </c>
      <c r="W1524">
        <v>0</v>
      </c>
      <c r="X1524">
        <v>0</v>
      </c>
      <c r="Y1524">
        <v>0</v>
      </c>
      <c r="Z1524">
        <v>0</v>
      </c>
      <c r="AA1524">
        <v>0</v>
      </c>
      <c r="AB1524">
        <v>0</v>
      </c>
      <c r="AC1524">
        <v>0</v>
      </c>
      <c r="AD1524">
        <v>0</v>
      </c>
      <c r="AE1524">
        <v>0</v>
      </c>
      <c r="AF1524">
        <v>0</v>
      </c>
      <c r="AG1524">
        <v>0</v>
      </c>
      <c r="AH1524">
        <v>0</v>
      </c>
      <c r="AI1524">
        <v>0</v>
      </c>
      <c r="AJ1524">
        <v>0</v>
      </c>
      <c r="AK1524">
        <v>1</v>
      </c>
      <c r="AL1524">
        <v>0</v>
      </c>
      <c r="AM1524">
        <v>0</v>
      </c>
      <c r="AN1524">
        <v>0</v>
      </c>
      <c r="AO1524">
        <v>0</v>
      </c>
      <c r="AP1524">
        <v>0</v>
      </c>
      <c r="AQ1524">
        <v>0</v>
      </c>
      <c r="AR1524">
        <v>0</v>
      </c>
      <c r="AS1524">
        <v>0</v>
      </c>
      <c r="AT1524">
        <v>0</v>
      </c>
      <c r="AU1524">
        <v>0</v>
      </c>
      <c r="AV1524">
        <v>0</v>
      </c>
      <c r="AW1524">
        <v>0</v>
      </c>
      <c r="AX1524" s="141">
        <f t="shared" si="1994"/>
        <v>1</v>
      </c>
      <c r="AY1524" s="141">
        <f t="shared" si="1995"/>
        <v>1</v>
      </c>
      <c r="AZ1524">
        <f t="shared" si="1996"/>
        <v>0</v>
      </c>
      <c r="BA1524">
        <f t="shared" si="1997"/>
        <v>0</v>
      </c>
      <c r="BB1524">
        <f t="shared" si="1998"/>
        <v>1</v>
      </c>
      <c r="BC1524">
        <f t="shared" si="1999"/>
        <v>0</v>
      </c>
      <c r="BD1524">
        <f t="shared" si="2000"/>
        <v>0</v>
      </c>
      <c r="BE1524" t="str" cm="1">
        <f t="array" ref="BE1524">IF(AY1524=1,INDEX($V$7:$AL$7,MATCH(TRUE,INDEX($V1524:$AW1524&lt;&gt;0,),0)),IF(AY1524=0,INDEX($AM$7:$AW$7,MATCH(1,$AM1524:$AW1524,0)),IF(BF1524="Multiple strategies","mixed drivers",IF(BF1524="Supply chain","multiple supply","multiple silviculture"))))</f>
        <v>technologies/design switch</v>
      </c>
      <c r="BF1524" s="2" t="str" cm="1">
        <f t="array" ref="BF1524">IF(COUNTIF(AZ1524:BB1524,"&lt;&gt;0")=1,INDEX($V$4:$AW$4,MATCH(TRUE,INDEX($V1524:$AW1524&lt;&gt;0,),0)),IF(COUNTIF(AZ1524:BB1524,"&lt;&gt;0")=0,INDEX($AM$4:$AW$4,MATCH(1,$AM1524:$AW1524,0)),"Multiple strategies"))</f>
        <v>Technology</v>
      </c>
      <c r="BH1524" t="s">
        <v>4240</v>
      </c>
      <c r="BP1524" t="s">
        <v>232</v>
      </c>
      <c r="BR1524" t="s">
        <v>2324</v>
      </c>
      <c r="BS1524">
        <v>-45.232815964523198</v>
      </c>
      <c r="BT1524">
        <v>-17.1840354767184</v>
      </c>
      <c r="BU1524" s="144">
        <f t="shared" si="2001"/>
        <v>0.37990196078431432</v>
      </c>
      <c r="BV1524" s="144">
        <f t="shared" si="2002"/>
        <v>28.048780487804798</v>
      </c>
      <c r="BW1524" s="144"/>
      <c r="BX1524">
        <f t="shared" si="2018"/>
        <v>28048780.487804797</v>
      </c>
      <c r="BY1524" t="str">
        <f t="shared" si="1992"/>
        <v/>
      </c>
      <c r="BZ1524">
        <v>0</v>
      </c>
      <c r="CA1524">
        <v>0</v>
      </c>
      <c r="CB1524">
        <v>0</v>
      </c>
      <c r="CC1524">
        <v>0</v>
      </c>
      <c r="CD1524">
        <v>0</v>
      </c>
      <c r="CE1524">
        <v>0</v>
      </c>
      <c r="CF1524">
        <v>0</v>
      </c>
      <c r="CG1524">
        <v>0</v>
      </c>
      <c r="CH1524">
        <v>0</v>
      </c>
      <c r="CI1524">
        <v>0</v>
      </c>
      <c r="CJ1524">
        <v>0</v>
      </c>
      <c r="CK1524">
        <v>0</v>
      </c>
      <c r="CL1524">
        <v>0</v>
      </c>
      <c r="CM1524">
        <v>0</v>
      </c>
      <c r="CN1524" t="str">
        <f t="shared" si="2019"/>
        <v>refOK</v>
      </c>
      <c r="CO1524"/>
      <c r="CP1524"/>
      <c r="CQ1524"/>
      <c r="CR1524">
        <f t="shared" si="2003"/>
        <v>-45.232815964523198</v>
      </c>
      <c r="CS1524">
        <f t="shared" si="2004"/>
        <v>-17.1840354767184</v>
      </c>
      <c r="CT1524">
        <f t="shared" si="2005"/>
        <v>28048780.487804797</v>
      </c>
      <c r="CU1524" t="str">
        <f t="shared" si="2006"/>
        <v/>
      </c>
      <c r="CV1524" s="2">
        <f t="shared" si="2007"/>
        <v>0.62009803921568563</v>
      </c>
      <c r="CW1524" s="1" t="s">
        <v>1202</v>
      </c>
      <c r="CX1524" s="311" t="str">
        <f t="shared" si="2008"/>
        <v>reg</v>
      </c>
      <c r="CY1524" t="s">
        <v>574</v>
      </c>
      <c r="CZ1524">
        <v>2050</v>
      </c>
      <c r="DA1524">
        <v>2050</v>
      </c>
      <c r="DB1524">
        <f t="shared" si="2020"/>
        <v>0</v>
      </c>
      <c r="DC1524" t="str">
        <f t="shared" si="2009"/>
        <v>0</v>
      </c>
      <c r="DD1524">
        <v>0</v>
      </c>
      <c r="DE1524">
        <v>0</v>
      </c>
      <c r="DF1524">
        <v>0</v>
      </c>
      <c r="DG1524">
        <v>1</v>
      </c>
      <c r="DI1524">
        <f t="shared" si="2010"/>
        <v>1</v>
      </c>
      <c r="DJ1524" t="str">
        <f t="shared" si="2011"/>
        <v>TimberInput</v>
      </c>
      <c r="DK1524">
        <f t="shared" si="2012"/>
        <v>0</v>
      </c>
      <c r="DL1524">
        <f t="shared" si="2013"/>
        <v>0</v>
      </c>
      <c r="DM1524">
        <f t="shared" si="2014"/>
        <v>0</v>
      </c>
      <c r="DN1524" t="str">
        <f t="shared" si="2015"/>
        <v>Timber</v>
      </c>
      <c r="DO1524">
        <v>0</v>
      </c>
      <c r="DP1524">
        <v>0</v>
      </c>
      <c r="DQ1524">
        <v>0</v>
      </c>
      <c r="DR1524">
        <v>0</v>
      </c>
      <c r="DS1524">
        <v>0</v>
      </c>
      <c r="DT1524">
        <f t="shared" si="2016"/>
        <v>0</v>
      </c>
      <c r="DU1524" s="143" t="str">
        <f t="shared" si="2017"/>
        <v>explicit C balance</v>
      </c>
      <c r="DV1524">
        <v>0</v>
      </c>
      <c r="DW1524">
        <v>0</v>
      </c>
      <c r="DX1524">
        <v>0</v>
      </c>
      <c r="DY1524">
        <v>1</v>
      </c>
      <c r="DZ1524">
        <v>0</v>
      </c>
      <c r="EA1524" s="143">
        <v>0</v>
      </c>
      <c r="EB1524">
        <v>1</v>
      </c>
      <c r="EC1524">
        <v>1</v>
      </c>
      <c r="ED1524">
        <v>0</v>
      </c>
      <c r="EE1524">
        <v>0</v>
      </c>
      <c r="EF1524">
        <v>0</v>
      </c>
      <c r="EG1524">
        <v>1</v>
      </c>
      <c r="EH1524">
        <v>0</v>
      </c>
      <c r="EI1524" s="2">
        <v>0</v>
      </c>
      <c r="EK1524" t="str">
        <f t="shared" si="2021"/>
        <v/>
      </c>
      <c r="EL1524" t="str">
        <f t="shared" si="2022"/>
        <v/>
      </c>
      <c r="EM1524" s="2" t="str">
        <f t="shared" si="1993"/>
        <v>Technology approach</v>
      </c>
      <c r="EN1524" t="s">
        <v>4241</v>
      </c>
      <c r="EP1524" t="b">
        <f>IF(ISNUMBER(BU1524),IF(ABS(BU1524-[1]QC_indicators!$B$2)&gt;3*[1]QC_indicators!$C$2,"C ratio",IF(ISNUMBER(BY1524),IF(ABS(BY1524-[1]QC_indicators!$B$1)&gt;3*[1]QC_indicators!$C$1,"DF","no"))),IF(ISNUMBER(BY1524),IF(ABS(BY1524-[1]QC_indicators!$B$1)&gt;3*[1]QC_indicators!$C$1,"DF","no")))</f>
        <v>0</v>
      </c>
    </row>
    <row r="1525" spans="1:150" hidden="1">
      <c r="A1525" s="1" t="s">
        <v>4231</v>
      </c>
      <c r="B1525" t="s">
        <v>4232</v>
      </c>
      <c r="C1525" t="s">
        <v>4233</v>
      </c>
      <c r="D1525" t="s">
        <v>4234</v>
      </c>
      <c r="E1525" t="s">
        <v>4235</v>
      </c>
      <c r="F1525" t="s">
        <v>4236</v>
      </c>
      <c r="G1525" t="s">
        <v>544</v>
      </c>
      <c r="H1525" t="s">
        <v>3964</v>
      </c>
      <c r="I1525">
        <v>2017</v>
      </c>
      <c r="J1525">
        <v>12</v>
      </c>
      <c r="K1525" t="s">
        <v>4237</v>
      </c>
      <c r="M1525" t="str">
        <f t="shared" si="1932"/>
        <v>Teh_2017</v>
      </c>
      <c r="N1525" s="311" t="s">
        <v>4382</v>
      </c>
      <c r="O1525" s="145" t="s">
        <v>1153</v>
      </c>
      <c r="Q1525" s="311" t="s">
        <v>256</v>
      </c>
      <c r="R1525" s="312"/>
      <c r="S1525" s="1" t="s">
        <v>4238</v>
      </c>
      <c r="T1525" t="s">
        <v>1110</v>
      </c>
      <c r="U1525" t="s">
        <v>4244</v>
      </c>
      <c r="V1525">
        <v>0</v>
      </c>
      <c r="W1525">
        <v>0</v>
      </c>
      <c r="X1525">
        <v>0</v>
      </c>
      <c r="Y1525">
        <v>0</v>
      </c>
      <c r="Z1525">
        <v>0</v>
      </c>
      <c r="AA1525">
        <v>0</v>
      </c>
      <c r="AB1525">
        <v>0</v>
      </c>
      <c r="AC1525">
        <v>0</v>
      </c>
      <c r="AD1525">
        <v>0</v>
      </c>
      <c r="AE1525">
        <v>0</v>
      </c>
      <c r="AF1525">
        <v>0</v>
      </c>
      <c r="AG1525">
        <v>0</v>
      </c>
      <c r="AH1525">
        <v>0</v>
      </c>
      <c r="AI1525">
        <v>0</v>
      </c>
      <c r="AJ1525">
        <v>0</v>
      </c>
      <c r="AK1525">
        <v>1</v>
      </c>
      <c r="AL1525">
        <v>0</v>
      </c>
      <c r="AM1525">
        <v>0</v>
      </c>
      <c r="AN1525">
        <v>0</v>
      </c>
      <c r="AO1525">
        <v>0</v>
      </c>
      <c r="AP1525">
        <v>0</v>
      </c>
      <c r="AQ1525">
        <v>0</v>
      </c>
      <c r="AR1525">
        <v>0</v>
      </c>
      <c r="AS1525">
        <v>0</v>
      </c>
      <c r="AT1525">
        <v>0</v>
      </c>
      <c r="AU1525">
        <v>0</v>
      </c>
      <c r="AV1525">
        <v>0</v>
      </c>
      <c r="AW1525">
        <v>0</v>
      </c>
      <c r="AX1525" s="141">
        <f t="shared" si="1994"/>
        <v>1</v>
      </c>
      <c r="AY1525" s="141">
        <f t="shared" si="1995"/>
        <v>1</v>
      </c>
      <c r="AZ1525">
        <f t="shared" si="1996"/>
        <v>0</v>
      </c>
      <c r="BA1525">
        <f t="shared" si="1997"/>
        <v>0</v>
      </c>
      <c r="BB1525">
        <f t="shared" si="1998"/>
        <v>1</v>
      </c>
      <c r="BC1525">
        <f t="shared" si="1999"/>
        <v>0</v>
      </c>
      <c r="BD1525">
        <f t="shared" si="2000"/>
        <v>0</v>
      </c>
      <c r="BE1525" t="str" cm="1">
        <f t="array" ref="BE1525">IF(AY1525=1,INDEX($V$7:$AL$7,MATCH(TRUE,INDEX($V1525:$AW1525&lt;&gt;0,),0)),IF(AY1525=0,INDEX($AM$7:$AW$7,MATCH(1,$AM1525:$AW1525,0)),IF(BF1525="Multiple strategies","mixed drivers",IF(BF1525="Supply chain","multiple supply","multiple silviculture"))))</f>
        <v>technologies/design switch</v>
      </c>
      <c r="BF1525" s="2" t="str" cm="1">
        <f t="array" ref="BF1525">IF(COUNTIF(AZ1525:BB1525,"&lt;&gt;0")=1,INDEX($V$4:$AW$4,MATCH(TRUE,INDEX($V1525:$AW1525&lt;&gt;0,),0)),IF(COUNTIF(AZ1525:BB1525,"&lt;&gt;0")=0,INDEX($AM$4:$AW$4,MATCH(1,$AM1525:$AW1525,0)),"Multiple strategies"))</f>
        <v>Technology</v>
      </c>
      <c r="BH1525" t="s">
        <v>4240</v>
      </c>
      <c r="BP1525" t="s">
        <v>232</v>
      </c>
      <c r="BR1525" t="s">
        <v>2324</v>
      </c>
      <c r="BS1525">
        <v>-65.3101736972704</v>
      </c>
      <c r="BT1525">
        <v>-40.297766749379598</v>
      </c>
      <c r="BU1525" s="144">
        <f t="shared" si="2001"/>
        <v>0.61702127659574446</v>
      </c>
      <c r="BV1525" s="144">
        <f t="shared" si="2002"/>
        <v>25.012406947890803</v>
      </c>
      <c r="BW1525" s="144"/>
      <c r="BX1525">
        <f t="shared" si="2018"/>
        <v>25012406.947890803</v>
      </c>
      <c r="BY1525" t="str">
        <f t="shared" si="1992"/>
        <v/>
      </c>
      <c r="BZ1525">
        <v>0</v>
      </c>
      <c r="CA1525">
        <v>0</v>
      </c>
      <c r="CB1525">
        <v>0</v>
      </c>
      <c r="CC1525">
        <v>0</v>
      </c>
      <c r="CD1525">
        <v>0</v>
      </c>
      <c r="CE1525">
        <v>0</v>
      </c>
      <c r="CF1525">
        <v>0</v>
      </c>
      <c r="CG1525">
        <v>0</v>
      </c>
      <c r="CH1525">
        <v>0</v>
      </c>
      <c r="CI1525">
        <v>0</v>
      </c>
      <c r="CJ1525">
        <v>0</v>
      </c>
      <c r="CK1525">
        <v>0</v>
      </c>
      <c r="CL1525">
        <v>0</v>
      </c>
      <c r="CM1525">
        <v>0</v>
      </c>
      <c r="CN1525" t="str">
        <f t="shared" si="2019"/>
        <v>refOK</v>
      </c>
      <c r="CO1525"/>
      <c r="CP1525"/>
      <c r="CQ1525"/>
      <c r="CR1525">
        <f t="shared" si="2003"/>
        <v>-65.3101736972704</v>
      </c>
      <c r="CS1525">
        <f t="shared" si="2004"/>
        <v>-40.297766749379598</v>
      </c>
      <c r="CT1525">
        <f t="shared" si="2005"/>
        <v>25012406.947890803</v>
      </c>
      <c r="CU1525" t="str">
        <f t="shared" si="2006"/>
        <v/>
      </c>
      <c r="CV1525" s="2">
        <f t="shared" si="2007"/>
        <v>0.38297872340425548</v>
      </c>
      <c r="CW1525" s="1" t="s">
        <v>1202</v>
      </c>
      <c r="CX1525" s="311" t="str">
        <f t="shared" si="2008"/>
        <v>reg</v>
      </c>
      <c r="CY1525" t="s">
        <v>574</v>
      </c>
      <c r="CZ1525">
        <v>2050</v>
      </c>
      <c r="DA1525">
        <v>2050</v>
      </c>
      <c r="DB1525">
        <f t="shared" si="2020"/>
        <v>0</v>
      </c>
      <c r="DC1525" t="str">
        <f t="shared" si="2009"/>
        <v>0</v>
      </c>
      <c r="DD1525">
        <v>0</v>
      </c>
      <c r="DE1525">
        <v>0</v>
      </c>
      <c r="DF1525">
        <v>0</v>
      </c>
      <c r="DG1525">
        <v>1</v>
      </c>
      <c r="DI1525">
        <f t="shared" si="2010"/>
        <v>1</v>
      </c>
      <c r="DJ1525" t="str">
        <f t="shared" si="2011"/>
        <v>TimberInput</v>
      </c>
      <c r="DK1525">
        <f t="shared" si="2012"/>
        <v>0</v>
      </c>
      <c r="DL1525">
        <f t="shared" si="2013"/>
        <v>0</v>
      </c>
      <c r="DM1525">
        <f t="shared" si="2014"/>
        <v>0</v>
      </c>
      <c r="DN1525" t="str">
        <f t="shared" si="2015"/>
        <v>Timber</v>
      </c>
      <c r="DO1525">
        <v>0</v>
      </c>
      <c r="DP1525">
        <v>0</v>
      </c>
      <c r="DQ1525">
        <v>0</v>
      </c>
      <c r="DR1525">
        <v>0</v>
      </c>
      <c r="DS1525">
        <v>0</v>
      </c>
      <c r="DT1525">
        <f t="shared" si="2016"/>
        <v>0</v>
      </c>
      <c r="DU1525" s="143" t="str">
        <f t="shared" si="2017"/>
        <v>explicit C balance</v>
      </c>
      <c r="DV1525">
        <v>0</v>
      </c>
      <c r="DW1525">
        <v>0</v>
      </c>
      <c r="DX1525">
        <v>0</v>
      </c>
      <c r="DY1525">
        <v>0</v>
      </c>
      <c r="DZ1525">
        <v>0</v>
      </c>
      <c r="EA1525" s="143">
        <v>0</v>
      </c>
      <c r="EB1525">
        <v>1</v>
      </c>
      <c r="EC1525">
        <v>1</v>
      </c>
      <c r="ED1525">
        <v>0</v>
      </c>
      <c r="EE1525">
        <v>0</v>
      </c>
      <c r="EF1525">
        <v>0</v>
      </c>
      <c r="EG1525">
        <v>1</v>
      </c>
      <c r="EH1525">
        <v>0</v>
      </c>
      <c r="EI1525" s="2">
        <v>0</v>
      </c>
      <c r="EK1525" t="str">
        <f t="shared" si="2021"/>
        <v/>
      </c>
      <c r="EL1525" t="str">
        <f t="shared" si="2022"/>
        <v/>
      </c>
      <c r="EM1525" s="2" t="str">
        <f t="shared" si="1993"/>
        <v>Technology approach</v>
      </c>
      <c r="EN1525" t="s">
        <v>4241</v>
      </c>
      <c r="EP1525" t="b">
        <f>IF(ISNUMBER(BU1525),IF(ABS(BU1525-[1]QC_indicators!$B$2)&gt;3*[1]QC_indicators!$C$2,"C ratio",IF(ISNUMBER(BY1525),IF(ABS(BY1525-[1]QC_indicators!$B$1)&gt;3*[1]QC_indicators!$C$1,"DF","no"))),IF(ISNUMBER(BY1525),IF(ABS(BY1525-[1]QC_indicators!$B$1)&gt;3*[1]QC_indicators!$C$1,"DF","no")))</f>
        <v>0</v>
      </c>
    </row>
    <row r="1526" spans="1:150" hidden="1">
      <c r="A1526" s="1" t="s">
        <v>4231</v>
      </c>
      <c r="B1526" t="s">
        <v>4232</v>
      </c>
      <c r="C1526" t="s">
        <v>4233</v>
      </c>
      <c r="D1526" t="s">
        <v>4234</v>
      </c>
      <c r="E1526" t="s">
        <v>4235</v>
      </c>
      <c r="F1526" t="s">
        <v>4236</v>
      </c>
      <c r="G1526" t="s">
        <v>544</v>
      </c>
      <c r="H1526" t="s">
        <v>3964</v>
      </c>
      <c r="I1526">
        <v>2017</v>
      </c>
      <c r="J1526">
        <v>12</v>
      </c>
      <c r="K1526" t="s">
        <v>4237</v>
      </c>
      <c r="M1526" t="str">
        <f t="shared" si="1932"/>
        <v>Teh_2017</v>
      </c>
      <c r="N1526" s="311" t="s">
        <v>4382</v>
      </c>
      <c r="O1526" s="145" t="s">
        <v>1153</v>
      </c>
      <c r="Q1526" s="311" t="s">
        <v>256</v>
      </c>
      <c r="R1526" s="312"/>
      <c r="S1526" s="1" t="s">
        <v>4243</v>
      </c>
      <c r="T1526" t="s">
        <v>1110</v>
      </c>
      <c r="U1526" t="s">
        <v>4244</v>
      </c>
      <c r="V1526">
        <v>0</v>
      </c>
      <c r="W1526">
        <v>0</v>
      </c>
      <c r="X1526">
        <v>0</v>
      </c>
      <c r="Y1526">
        <v>0</v>
      </c>
      <c r="Z1526">
        <v>0</v>
      </c>
      <c r="AA1526">
        <v>0</v>
      </c>
      <c r="AB1526">
        <v>0</v>
      </c>
      <c r="AC1526">
        <v>0</v>
      </c>
      <c r="AD1526">
        <v>0</v>
      </c>
      <c r="AE1526">
        <v>0</v>
      </c>
      <c r="AF1526">
        <v>0</v>
      </c>
      <c r="AG1526">
        <v>0</v>
      </c>
      <c r="AH1526">
        <v>0</v>
      </c>
      <c r="AI1526">
        <v>0</v>
      </c>
      <c r="AJ1526">
        <v>0</v>
      </c>
      <c r="AK1526">
        <v>1</v>
      </c>
      <c r="AL1526">
        <v>0</v>
      </c>
      <c r="AM1526">
        <v>0</v>
      </c>
      <c r="AN1526">
        <v>0</v>
      </c>
      <c r="AO1526">
        <v>0</v>
      </c>
      <c r="AP1526">
        <v>0</v>
      </c>
      <c r="AQ1526">
        <v>0</v>
      </c>
      <c r="AR1526">
        <v>0</v>
      </c>
      <c r="AS1526">
        <v>0</v>
      </c>
      <c r="AT1526">
        <v>0</v>
      </c>
      <c r="AU1526">
        <v>0</v>
      </c>
      <c r="AV1526">
        <v>0</v>
      </c>
      <c r="AW1526">
        <v>0</v>
      </c>
      <c r="AX1526" s="141">
        <f t="shared" si="1994"/>
        <v>1</v>
      </c>
      <c r="AY1526" s="141">
        <f t="shared" si="1995"/>
        <v>1</v>
      </c>
      <c r="AZ1526">
        <f t="shared" si="1996"/>
        <v>0</v>
      </c>
      <c r="BA1526">
        <f t="shared" si="1997"/>
        <v>0</v>
      </c>
      <c r="BB1526">
        <f t="shared" si="1998"/>
        <v>1</v>
      </c>
      <c r="BC1526">
        <f t="shared" si="1999"/>
        <v>0</v>
      </c>
      <c r="BD1526">
        <f t="shared" si="2000"/>
        <v>0</v>
      </c>
      <c r="BE1526" t="str" cm="1">
        <f t="array" ref="BE1526">IF(AY1526=1,INDEX($V$7:$AL$7,MATCH(TRUE,INDEX($V1526:$AW1526&lt;&gt;0,),0)),IF(AY1526=0,INDEX($AM$7:$AW$7,MATCH(1,$AM1526:$AW1526,0)),IF(BF1526="Multiple strategies","mixed drivers",IF(BF1526="Supply chain","multiple supply","multiple silviculture"))))</f>
        <v>technologies/design switch</v>
      </c>
      <c r="BF1526" s="2" t="str" cm="1">
        <f t="array" ref="BF1526">IF(COUNTIF(AZ1526:BB1526,"&lt;&gt;0")=1,INDEX($V$4:$AW$4,MATCH(TRUE,INDEX($V1526:$AW1526&lt;&gt;0,),0)),IF(COUNTIF(AZ1526:BB1526,"&lt;&gt;0")=0,INDEX($AM$4:$AW$4,MATCH(1,$AM1526:$AW1526,0)),"Multiple strategies"))</f>
        <v>Technology</v>
      </c>
      <c r="BH1526" t="s">
        <v>4240</v>
      </c>
      <c r="BP1526" t="s">
        <v>232</v>
      </c>
      <c r="BR1526" t="s">
        <v>2324</v>
      </c>
      <c r="BS1526">
        <v>-45.232815964523198</v>
      </c>
      <c r="BT1526">
        <v>-31.929046563192902</v>
      </c>
      <c r="BU1526" s="144">
        <f t="shared" si="2001"/>
        <v>0.70588235294117774</v>
      </c>
      <c r="BV1526" s="144">
        <f t="shared" si="2002"/>
        <v>13.303769401330296</v>
      </c>
      <c r="BW1526" s="144"/>
      <c r="BX1526">
        <f t="shared" si="2018"/>
        <v>13303769.401330296</v>
      </c>
      <c r="BY1526" t="str">
        <f t="shared" si="1992"/>
        <v/>
      </c>
      <c r="BZ1526">
        <v>0</v>
      </c>
      <c r="CA1526">
        <v>0</v>
      </c>
      <c r="CB1526">
        <v>0</v>
      </c>
      <c r="CC1526">
        <v>0</v>
      </c>
      <c r="CD1526">
        <v>0</v>
      </c>
      <c r="CE1526">
        <v>0</v>
      </c>
      <c r="CF1526">
        <v>0</v>
      </c>
      <c r="CG1526">
        <v>0</v>
      </c>
      <c r="CH1526">
        <v>0</v>
      </c>
      <c r="CI1526">
        <v>0</v>
      </c>
      <c r="CJ1526">
        <v>0</v>
      </c>
      <c r="CK1526">
        <v>0</v>
      </c>
      <c r="CL1526">
        <v>0</v>
      </c>
      <c r="CM1526">
        <v>0</v>
      </c>
      <c r="CN1526" t="str">
        <f t="shared" si="2019"/>
        <v>refOK</v>
      </c>
      <c r="CO1526"/>
      <c r="CP1526"/>
      <c r="CQ1526"/>
      <c r="CR1526">
        <f t="shared" si="2003"/>
        <v>-45.232815964523198</v>
      </c>
      <c r="CS1526">
        <f t="shared" si="2004"/>
        <v>-31.929046563192902</v>
      </c>
      <c r="CT1526">
        <f t="shared" si="2005"/>
        <v>13303769.401330296</v>
      </c>
      <c r="CU1526" t="str">
        <f t="shared" si="2006"/>
        <v/>
      </c>
      <c r="CV1526" s="2">
        <f t="shared" si="2007"/>
        <v>0.29411764705882226</v>
      </c>
      <c r="CW1526" s="1" t="s">
        <v>1202</v>
      </c>
      <c r="CX1526" s="311" t="str">
        <f t="shared" si="2008"/>
        <v>reg</v>
      </c>
      <c r="CY1526" t="s">
        <v>574</v>
      </c>
      <c r="CZ1526">
        <v>2050</v>
      </c>
      <c r="DA1526">
        <v>2050</v>
      </c>
      <c r="DB1526">
        <f t="shared" si="2020"/>
        <v>0</v>
      </c>
      <c r="DC1526" t="str">
        <f t="shared" si="2009"/>
        <v>0</v>
      </c>
      <c r="DD1526">
        <v>0</v>
      </c>
      <c r="DE1526">
        <v>0</v>
      </c>
      <c r="DF1526">
        <v>0</v>
      </c>
      <c r="DG1526">
        <v>1</v>
      </c>
      <c r="DI1526">
        <f t="shared" si="2010"/>
        <v>1</v>
      </c>
      <c r="DJ1526" t="str">
        <f t="shared" si="2011"/>
        <v>TimberInput</v>
      </c>
      <c r="DK1526">
        <f t="shared" si="2012"/>
        <v>0</v>
      </c>
      <c r="DL1526">
        <f t="shared" si="2013"/>
        <v>0</v>
      </c>
      <c r="DM1526">
        <f t="shared" si="2014"/>
        <v>0</v>
      </c>
      <c r="DN1526" t="str">
        <f t="shared" si="2015"/>
        <v>Timber</v>
      </c>
      <c r="DO1526">
        <v>0</v>
      </c>
      <c r="DP1526">
        <v>0</v>
      </c>
      <c r="DQ1526">
        <v>0</v>
      </c>
      <c r="DR1526">
        <v>0</v>
      </c>
      <c r="DS1526">
        <v>0</v>
      </c>
      <c r="DT1526">
        <f t="shared" si="2016"/>
        <v>0</v>
      </c>
      <c r="DU1526" s="143" t="str">
        <f t="shared" si="2017"/>
        <v>explicit C balance</v>
      </c>
      <c r="DV1526">
        <v>0</v>
      </c>
      <c r="DW1526">
        <v>0</v>
      </c>
      <c r="DX1526">
        <v>0</v>
      </c>
      <c r="DY1526">
        <v>0</v>
      </c>
      <c r="DZ1526">
        <v>0</v>
      </c>
      <c r="EA1526" s="143">
        <v>0</v>
      </c>
      <c r="EB1526">
        <v>1</v>
      </c>
      <c r="EC1526">
        <v>1</v>
      </c>
      <c r="ED1526">
        <v>0</v>
      </c>
      <c r="EE1526">
        <v>0</v>
      </c>
      <c r="EF1526">
        <v>0</v>
      </c>
      <c r="EG1526">
        <v>1</v>
      </c>
      <c r="EH1526">
        <v>0</v>
      </c>
      <c r="EI1526" s="2">
        <v>0</v>
      </c>
      <c r="EK1526" t="str">
        <f t="shared" si="2021"/>
        <v/>
      </c>
      <c r="EL1526" t="str">
        <f t="shared" si="2022"/>
        <v/>
      </c>
      <c r="EM1526" s="2" t="str">
        <f t="shared" si="1993"/>
        <v>Technology approach</v>
      </c>
      <c r="EN1526" t="s">
        <v>4241</v>
      </c>
      <c r="EP1526" t="b">
        <f>IF(ISNUMBER(BU1526),IF(ABS(BU1526-[1]QC_indicators!$B$2)&gt;3*[1]QC_indicators!$C$2,"C ratio",IF(ISNUMBER(BY1526),IF(ABS(BY1526-[1]QC_indicators!$B$1)&gt;3*[1]QC_indicators!$C$1,"DF","no"))),IF(ISNUMBER(BY1526),IF(ABS(BY1526-[1]QC_indicators!$B$1)&gt;3*[1]QC_indicators!$C$1,"DF","no")))</f>
        <v>0</v>
      </c>
    </row>
    <row r="1527" spans="1:150" hidden="1">
      <c r="A1527" s="1" t="s">
        <v>4231</v>
      </c>
      <c r="B1527" t="s">
        <v>4232</v>
      </c>
      <c r="C1527" t="s">
        <v>4233</v>
      </c>
      <c r="D1527" t="s">
        <v>4234</v>
      </c>
      <c r="E1527" t="s">
        <v>4235</v>
      </c>
      <c r="F1527" t="s">
        <v>4236</v>
      </c>
      <c r="G1527" t="s">
        <v>544</v>
      </c>
      <c r="H1527" t="s">
        <v>3964</v>
      </c>
      <c r="I1527">
        <v>2017</v>
      </c>
      <c r="J1527">
        <v>12</v>
      </c>
      <c r="K1527" t="s">
        <v>4237</v>
      </c>
      <c r="M1527" t="str">
        <f t="shared" si="1932"/>
        <v>Teh_2017</v>
      </c>
      <c r="N1527" s="311" t="s">
        <v>4382</v>
      </c>
      <c r="O1527" s="145" t="s">
        <v>1153</v>
      </c>
      <c r="Q1527" s="311" t="s">
        <v>256</v>
      </c>
      <c r="R1527" s="312"/>
      <c r="S1527" s="1" t="s">
        <v>4242</v>
      </c>
      <c r="T1527" t="s">
        <v>1110</v>
      </c>
      <c r="U1527" t="s">
        <v>4244</v>
      </c>
      <c r="V1527">
        <v>0</v>
      </c>
      <c r="W1527">
        <v>0</v>
      </c>
      <c r="X1527">
        <v>0</v>
      </c>
      <c r="Y1527">
        <v>0</v>
      </c>
      <c r="Z1527">
        <v>0</v>
      </c>
      <c r="AA1527">
        <v>0</v>
      </c>
      <c r="AB1527">
        <v>0</v>
      </c>
      <c r="AC1527">
        <v>0</v>
      </c>
      <c r="AD1527">
        <v>0</v>
      </c>
      <c r="AE1527">
        <v>0</v>
      </c>
      <c r="AF1527">
        <v>0</v>
      </c>
      <c r="AG1527">
        <v>0</v>
      </c>
      <c r="AH1527">
        <v>0</v>
      </c>
      <c r="AI1527">
        <v>0</v>
      </c>
      <c r="AJ1527">
        <v>0</v>
      </c>
      <c r="AK1527">
        <v>1</v>
      </c>
      <c r="AL1527">
        <v>0</v>
      </c>
      <c r="AM1527">
        <v>0</v>
      </c>
      <c r="AN1527">
        <v>0</v>
      </c>
      <c r="AO1527">
        <v>0</v>
      </c>
      <c r="AP1527">
        <v>0</v>
      </c>
      <c r="AQ1527">
        <v>0</v>
      </c>
      <c r="AR1527">
        <v>0</v>
      </c>
      <c r="AS1527">
        <v>0</v>
      </c>
      <c r="AT1527">
        <v>0</v>
      </c>
      <c r="AU1527">
        <v>0</v>
      </c>
      <c r="AV1527">
        <v>0</v>
      </c>
      <c r="AW1527">
        <v>0</v>
      </c>
      <c r="AX1527" s="141">
        <f t="shared" si="1994"/>
        <v>1</v>
      </c>
      <c r="AY1527" s="141">
        <f t="shared" si="1995"/>
        <v>1</v>
      </c>
      <c r="AZ1527">
        <f t="shared" si="1996"/>
        <v>0</v>
      </c>
      <c r="BA1527">
        <f t="shared" si="1997"/>
        <v>0</v>
      </c>
      <c r="BB1527">
        <f t="shared" si="1998"/>
        <v>1</v>
      </c>
      <c r="BC1527">
        <f t="shared" si="1999"/>
        <v>0</v>
      </c>
      <c r="BD1527">
        <f t="shared" si="2000"/>
        <v>0</v>
      </c>
      <c r="BE1527" t="str" cm="1">
        <f t="array" ref="BE1527">IF(AY1527=1,INDEX($V$7:$AL$7,MATCH(TRUE,INDEX($V1527:$AW1527&lt;&gt;0,),0)),IF(AY1527=0,INDEX($AM$7:$AW$7,MATCH(1,$AM1527:$AW1527,0)),IF(BF1527="Multiple strategies","mixed drivers",IF(BF1527="Supply chain","multiple supply","multiple silviculture"))))</f>
        <v>technologies/design switch</v>
      </c>
      <c r="BF1527" s="2" t="str" cm="1">
        <f t="array" ref="BF1527">IF(COUNTIF(AZ1527:BB1527,"&lt;&gt;0")=1,INDEX($V$4:$AW$4,MATCH(TRUE,INDEX($V1527:$AW1527&lt;&gt;0,),0)),IF(COUNTIF(AZ1527:BB1527,"&lt;&gt;0")=0,INDEX($AM$4:$AW$4,MATCH(1,$AM1527:$AW1527,0)),"Multiple strategies"))</f>
        <v>Technology</v>
      </c>
      <c r="BH1527" t="s">
        <v>4240</v>
      </c>
      <c r="BP1527" t="s">
        <v>232</v>
      </c>
      <c r="BR1527" t="s">
        <v>2324</v>
      </c>
      <c r="BS1527">
        <v>-803.28358208955206</v>
      </c>
      <c r="BT1527">
        <v>-588.35820895522397</v>
      </c>
      <c r="BU1527" s="144">
        <f t="shared" si="2001"/>
        <v>0.73244147157190664</v>
      </c>
      <c r="BV1527" s="144">
        <f t="shared" si="2002"/>
        <v>214.92537313432808</v>
      </c>
      <c r="BW1527" s="144"/>
      <c r="BX1527">
        <f t="shared" si="2018"/>
        <v>214925373.1343281</v>
      </c>
      <c r="BY1527" t="str">
        <f t="shared" si="1992"/>
        <v/>
      </c>
      <c r="BZ1527">
        <v>0</v>
      </c>
      <c r="CA1527">
        <v>0</v>
      </c>
      <c r="CB1527">
        <v>0</v>
      </c>
      <c r="CC1527">
        <v>0</v>
      </c>
      <c r="CD1527">
        <v>0</v>
      </c>
      <c r="CE1527">
        <v>0</v>
      </c>
      <c r="CF1527">
        <v>0</v>
      </c>
      <c r="CG1527">
        <v>0</v>
      </c>
      <c r="CH1527">
        <v>0</v>
      </c>
      <c r="CI1527">
        <v>0</v>
      </c>
      <c r="CJ1527">
        <v>0</v>
      </c>
      <c r="CK1527">
        <v>0</v>
      </c>
      <c r="CL1527">
        <v>0</v>
      </c>
      <c r="CM1527">
        <v>0</v>
      </c>
      <c r="CN1527" t="str">
        <f t="shared" si="2019"/>
        <v>refOK</v>
      </c>
      <c r="CO1527"/>
      <c r="CP1527"/>
      <c r="CQ1527"/>
      <c r="CR1527">
        <f t="shared" si="2003"/>
        <v>-803.28358208955206</v>
      </c>
      <c r="CS1527">
        <f t="shared" si="2004"/>
        <v>-588.35820895522397</v>
      </c>
      <c r="CT1527">
        <f t="shared" si="2005"/>
        <v>214925373.1343281</v>
      </c>
      <c r="CU1527" t="str">
        <f t="shared" si="2006"/>
        <v/>
      </c>
      <c r="CV1527" s="2">
        <f t="shared" si="2007"/>
        <v>0.26755852842809336</v>
      </c>
      <c r="CW1527" s="1" t="s">
        <v>1202</v>
      </c>
      <c r="CX1527" s="311" t="str">
        <f t="shared" si="2008"/>
        <v>reg</v>
      </c>
      <c r="CY1527" t="s">
        <v>574</v>
      </c>
      <c r="CZ1527">
        <v>2050</v>
      </c>
      <c r="DA1527">
        <v>2050</v>
      </c>
      <c r="DB1527">
        <f t="shared" si="2020"/>
        <v>0</v>
      </c>
      <c r="DC1527" t="str">
        <f t="shared" si="2009"/>
        <v>0</v>
      </c>
      <c r="DD1527">
        <v>0</v>
      </c>
      <c r="DE1527">
        <v>0</v>
      </c>
      <c r="DF1527">
        <v>0</v>
      </c>
      <c r="DG1527">
        <v>1</v>
      </c>
      <c r="DI1527">
        <f t="shared" si="2010"/>
        <v>1</v>
      </c>
      <c r="DJ1527" t="str">
        <f t="shared" si="2011"/>
        <v>TimberInput</v>
      </c>
      <c r="DK1527">
        <f t="shared" si="2012"/>
        <v>0</v>
      </c>
      <c r="DL1527">
        <f t="shared" si="2013"/>
        <v>0</v>
      </c>
      <c r="DM1527">
        <f t="shared" si="2014"/>
        <v>0</v>
      </c>
      <c r="DN1527" t="str">
        <f t="shared" si="2015"/>
        <v>Timber</v>
      </c>
      <c r="DO1527">
        <v>0</v>
      </c>
      <c r="DP1527">
        <v>0</v>
      </c>
      <c r="DQ1527">
        <v>0</v>
      </c>
      <c r="DR1527">
        <v>0</v>
      </c>
      <c r="DS1527">
        <v>0</v>
      </c>
      <c r="DT1527">
        <f t="shared" si="2016"/>
        <v>0</v>
      </c>
      <c r="DU1527" s="143" t="str">
        <f t="shared" si="2017"/>
        <v>explicit C balance</v>
      </c>
      <c r="DV1527">
        <v>0</v>
      </c>
      <c r="DW1527">
        <v>0</v>
      </c>
      <c r="DX1527">
        <v>0</v>
      </c>
      <c r="DY1527">
        <v>0</v>
      </c>
      <c r="DZ1527">
        <v>0</v>
      </c>
      <c r="EA1527" s="143">
        <v>0</v>
      </c>
      <c r="EB1527">
        <v>1</v>
      </c>
      <c r="EC1527">
        <v>1</v>
      </c>
      <c r="ED1527">
        <v>0</v>
      </c>
      <c r="EE1527">
        <v>0</v>
      </c>
      <c r="EF1527">
        <v>0</v>
      </c>
      <c r="EG1527">
        <v>1</v>
      </c>
      <c r="EH1527">
        <v>0</v>
      </c>
      <c r="EI1527" s="2">
        <v>0</v>
      </c>
      <c r="EK1527" t="str">
        <f t="shared" si="2021"/>
        <v/>
      </c>
      <c r="EL1527" t="str">
        <f t="shared" si="2022"/>
        <v/>
      </c>
      <c r="EM1527" s="2" t="str">
        <f t="shared" si="1993"/>
        <v>Technology approach</v>
      </c>
      <c r="EN1527" t="s">
        <v>4241</v>
      </c>
      <c r="EP1527" t="b">
        <f>IF(ISNUMBER(BU1527),IF(ABS(BU1527-[1]QC_indicators!$B$2)&gt;3*[1]QC_indicators!$C$2,"C ratio",IF(ISNUMBER(BY1527),IF(ABS(BY1527-[1]QC_indicators!$B$1)&gt;3*[1]QC_indicators!$C$1,"DF","no"))),IF(ISNUMBER(BY1527),IF(ABS(BY1527-[1]QC_indicators!$B$1)&gt;3*[1]QC_indicators!$C$1,"DF","no")))</f>
        <v>0</v>
      </c>
    </row>
    <row r="1528" spans="1:150" hidden="1">
      <c r="A1528" s="1" t="s">
        <v>1356</v>
      </c>
      <c r="B1528" t="s">
        <v>2367</v>
      </c>
      <c r="C1528" t="s">
        <v>2368</v>
      </c>
      <c r="D1528" t="s">
        <v>2369</v>
      </c>
      <c r="E1528" t="s">
        <v>2370</v>
      </c>
      <c r="F1528" t="s">
        <v>2371</v>
      </c>
      <c r="G1528" t="s">
        <v>1357</v>
      </c>
      <c r="H1528" t="s">
        <v>254</v>
      </c>
      <c r="I1528">
        <v>2021</v>
      </c>
      <c r="J1528">
        <v>0</v>
      </c>
      <c r="K1528" t="s">
        <v>2372</v>
      </c>
      <c r="M1528" t="str">
        <f t="shared" si="1932"/>
        <v>Ter-Mikaelian_2021</v>
      </c>
      <c r="N1528" t="s">
        <v>222</v>
      </c>
      <c r="O1528" s="145" t="s">
        <v>1153</v>
      </c>
      <c r="Q1528" t="s">
        <v>256</v>
      </c>
      <c r="R1528" s="293" t="s">
        <v>225</v>
      </c>
      <c r="S1528" s="1" t="s">
        <v>1331</v>
      </c>
      <c r="T1528" t="s">
        <v>2373</v>
      </c>
      <c r="U1528" t="s">
        <v>2374</v>
      </c>
      <c r="V1528">
        <v>1</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s="141">
        <f t="shared" si="1994"/>
        <v>1</v>
      </c>
      <c r="AY1528" s="141">
        <f t="shared" si="1995"/>
        <v>1</v>
      </c>
      <c r="AZ1528">
        <f t="shared" si="1996"/>
        <v>1</v>
      </c>
      <c r="BA1528">
        <f t="shared" si="1997"/>
        <v>0</v>
      </c>
      <c r="BB1528">
        <f t="shared" si="1998"/>
        <v>0</v>
      </c>
      <c r="BC1528">
        <f t="shared" si="1999"/>
        <v>0</v>
      </c>
      <c r="BD1528">
        <f t="shared" si="2000"/>
        <v>0</v>
      </c>
      <c r="BE1528" t="str">
        <f t="array" ref="BE1528">IF(AY1528=1,INDEX($V$7:$AL$7,MATCH(TRUE,INDEX($V1528:$AW1528&lt;&gt;0,),0)),IF(AY1528=0,INDEX($AM$7:$AW$7,MATCH(1,$AM1528:$AW1528,0)),IF(BF1528="Multiple strategies","mixed drivers",IF(BF1528="Supply chain","multiple supply","multiple silviculture"))))</f>
        <v>area subject to harvest</v>
      </c>
      <c r="BF1528" s="2" t="str" cm="1">
        <f t="array" ref="BF1528">IF(COUNTIF(AZ1528:BB1528,"&lt;&gt;0")=1,INDEX($V$4:$AW$4,MATCH(TRUE,INDEX($V1528:$AW1528&lt;&gt;0,),0)),IF(COUNTIF(AZ1528:BB1528,"&lt;&gt;0")=0,INDEX($AM$4:$AW$4,MATCH(1,$AM1528:$AW1528,0)),"Multiple strategies"))</f>
        <v>Silviculture for removals</v>
      </c>
      <c r="BG1528" s="1" t="s">
        <v>321</v>
      </c>
      <c r="BH1528" t="s">
        <v>2375</v>
      </c>
      <c r="BJ1528" t="s">
        <v>1322</v>
      </c>
      <c r="BK1528">
        <v>0</v>
      </c>
      <c r="BL1528">
        <v>433.26389999999998</v>
      </c>
      <c r="BM1528" s="143" t="e">
        <f t="shared" ref="BM1528:BM1533" si="2023">BL1528/BK1528</f>
        <v>#DIV/0!</v>
      </c>
      <c r="BN1528">
        <f t="shared" ref="BN1528:BN1533" si="2024">BL1528-BK1528</f>
        <v>433.26389999999998</v>
      </c>
      <c r="BO1528">
        <f t="shared" ref="BO1528:BO1533" si="2025">BN1528*10^6</f>
        <v>433263900</v>
      </c>
      <c r="BP1528" t="s">
        <v>232</v>
      </c>
      <c r="BQ1528" s="260" t="s">
        <v>3394</v>
      </c>
      <c r="BR1528" t="s">
        <v>1358</v>
      </c>
      <c r="BS1528">
        <v>3757</v>
      </c>
      <c r="BT1528">
        <v>3613.1563851999999</v>
      </c>
      <c r="BU1528" s="144">
        <f t="shared" si="2001"/>
        <v>0.96171317146659563</v>
      </c>
      <c r="BV1528" s="144">
        <f t="shared" si="2002"/>
        <v>-143.84361480000007</v>
      </c>
      <c r="BW1528" s="144"/>
      <c r="BX1528">
        <f t="shared" ref="BX1528:BX1533" si="2026">BV1528*10^6*C_to_CO2</f>
        <v>-527906066.31600022</v>
      </c>
      <c r="BY1528">
        <f t="shared" si="1992"/>
        <v>-1.2184400000000004</v>
      </c>
      <c r="BZ1528">
        <v>0</v>
      </c>
      <c r="CA1528">
        <v>0</v>
      </c>
      <c r="CB1528">
        <v>0</v>
      </c>
      <c r="CC1528">
        <v>0</v>
      </c>
      <c r="CD1528">
        <v>0</v>
      </c>
      <c r="CE1528">
        <v>0</v>
      </c>
      <c r="CF1528">
        <v>0</v>
      </c>
      <c r="CG1528">
        <v>0</v>
      </c>
      <c r="CH1528">
        <v>0</v>
      </c>
      <c r="CI1528">
        <v>0</v>
      </c>
      <c r="CJ1528">
        <v>0</v>
      </c>
      <c r="CK1528">
        <v>0</v>
      </c>
      <c r="CL1528">
        <v>0</v>
      </c>
      <c r="CM1528">
        <v>0</v>
      </c>
      <c r="CN1528" t="str">
        <f t="shared" ref="CN1528:CN1533" si="2027">IF($BL1528&lt;$BK1528,"refNeedCorrection","refOK")</f>
        <v>refOK</v>
      </c>
      <c r="CO1528">
        <f>IF($CN1528="refOK",$BK1528,$BL1528)</f>
        <v>0</v>
      </c>
      <c r="CP1528">
        <f>IF($CN1528="refOK",$BL1528,$BK1528)</f>
        <v>433.26389999999998</v>
      </c>
      <c r="CQ1528">
        <f t="shared" ref="CQ1528:CQ1533" si="2028">IF($CN1528="refOK",$BO1528,-$BO1528)</f>
        <v>433263900</v>
      </c>
      <c r="CR1528">
        <f t="shared" si="2003"/>
        <v>3757</v>
      </c>
      <c r="CS1528">
        <f t="shared" si="2004"/>
        <v>3613.1563851999999</v>
      </c>
      <c r="CT1528">
        <f t="shared" si="2005"/>
        <v>-527906066.31600022</v>
      </c>
      <c r="CU1528">
        <f t="shared" si="2006"/>
        <v>-1.2184400000000004</v>
      </c>
      <c r="CV1528" s="2">
        <f t="shared" si="2007"/>
        <v>-3.828682853340433E-2</v>
      </c>
      <c r="CW1528" s="1" t="s">
        <v>1198</v>
      </c>
      <c r="CX1528" t="str">
        <f t="shared" si="2008"/>
        <v>reg</v>
      </c>
      <c r="CY1528" t="s">
        <v>540</v>
      </c>
      <c r="CZ1528">
        <v>2020</v>
      </c>
      <c r="DA1528">
        <v>2050</v>
      </c>
      <c r="DB1528">
        <f t="shared" si="2020"/>
        <v>30</v>
      </c>
      <c r="DC1528" t="str">
        <f t="shared" si="2009"/>
        <v>1-30</v>
      </c>
      <c r="DD1528">
        <v>1</v>
      </c>
      <c r="DE1528">
        <v>0</v>
      </c>
      <c r="DF1528">
        <v>0</v>
      </c>
      <c r="DG1528">
        <v>0</v>
      </c>
      <c r="DI1528">
        <f t="shared" si="2010"/>
        <v>1</v>
      </c>
      <c r="DJ1528" t="str">
        <f t="shared" si="2011"/>
        <v>UpstreamInput</v>
      </c>
      <c r="DK1528" t="str">
        <f t="shared" si="2012"/>
        <v>Upstream</v>
      </c>
      <c r="DL1528">
        <f t="shared" si="2013"/>
        <v>0</v>
      </c>
      <c r="DM1528">
        <f t="shared" si="2014"/>
        <v>0</v>
      </c>
      <c r="DN1528">
        <f t="shared" si="2015"/>
        <v>0</v>
      </c>
      <c r="DO1528">
        <v>0</v>
      </c>
      <c r="DP1528">
        <v>0</v>
      </c>
      <c r="DQ1528">
        <v>0</v>
      </c>
      <c r="DR1528">
        <v>0</v>
      </c>
      <c r="DS1528">
        <v>0</v>
      </c>
      <c r="DT1528">
        <f t="shared" si="2016"/>
        <v>0</v>
      </c>
      <c r="DU1528" s="143" t="str">
        <f t="shared" si="2017"/>
        <v>explicit C balance</v>
      </c>
      <c r="DV1528">
        <v>1</v>
      </c>
      <c r="DW1528">
        <v>1</v>
      </c>
      <c r="DX1528">
        <v>1</v>
      </c>
      <c r="DY1528">
        <v>0</v>
      </c>
      <c r="DZ1528">
        <v>0</v>
      </c>
      <c r="EA1528" s="143">
        <v>0</v>
      </c>
      <c r="EB1528">
        <v>0</v>
      </c>
      <c r="EC1528">
        <v>0</v>
      </c>
      <c r="ED1528">
        <v>0</v>
      </c>
      <c r="EE1528">
        <v>0</v>
      </c>
      <c r="EF1528">
        <v>1</v>
      </c>
      <c r="EG1528">
        <v>0</v>
      </c>
      <c r="EH1528">
        <v>0</v>
      </c>
      <c r="EI1528" s="2">
        <v>0</v>
      </c>
      <c r="EK1528" t="str">
        <f t="shared" ref="EK1528:EK1533" si="2029">IF(AND(AND(AND(OR($DX1528=1,$DW1528=1),OR($EC1528=1,$EA1528=1)),SUM($DV1528:$DZ1528,$EF1528)&gt;=4),SUM($EA1528:$EE1528)&gt;=2),"Whole sector","")</f>
        <v/>
      </c>
      <c r="EL1528" t="str">
        <f t="shared" ref="EL1528:EL1533" si="2030">IF(AND(AND(OR($DX1528=1,$DW1528=1),AND($EC1528=0,$EA1528=0)),SUM($DV1528:$DZ1528,$EF1528)&gt;=4),"Ecosystem approach","")</f>
        <v>Ecosystem approach</v>
      </c>
      <c r="EM1528" s="2" t="str">
        <f t="shared" si="1993"/>
        <v/>
      </c>
      <c r="EN1528" s="264" t="s">
        <v>2376</v>
      </c>
      <c r="EP1528" t="str">
        <f>IF(ISNUMBER(BU1528),IF(ABS(BU1528-[5]QC_indicators!$B$2)&gt;3*[5]QC_indicators!$C$2,"C ratio",IF(ISNUMBER(BY1528),IF(ABS(BY1528-[5]QC_indicators!$B$1)&gt;3*[5]QC_indicators!$C$1,"DF","no"))),IF(ISNUMBER(BY1528),IF(ABS(BY1528-[5]QC_indicators!$B$1)&gt;3*[5]QC_indicators!$C$1,"DF","no")))</f>
        <v>no</v>
      </c>
      <c r="EQ1528" t="s">
        <v>2377</v>
      </c>
      <c r="ET1528" s="304" t="s">
        <v>3407</v>
      </c>
    </row>
    <row r="1529" spans="1:150" hidden="1">
      <c r="A1529" s="1" t="s">
        <v>1356</v>
      </c>
      <c r="B1529" t="s">
        <v>2367</v>
      </c>
      <c r="C1529" t="s">
        <v>2368</v>
      </c>
      <c r="D1529" t="s">
        <v>2369</v>
      </c>
      <c r="E1529" t="s">
        <v>2370</v>
      </c>
      <c r="F1529" t="s">
        <v>2371</v>
      </c>
      <c r="G1529" t="s">
        <v>1357</v>
      </c>
      <c r="H1529" t="s">
        <v>254</v>
      </c>
      <c r="I1529">
        <v>2021</v>
      </c>
      <c r="J1529">
        <v>0</v>
      </c>
      <c r="K1529" t="s">
        <v>2372</v>
      </c>
      <c r="M1529" t="str">
        <f t="shared" si="1932"/>
        <v>Ter-Mikaelian_2021</v>
      </c>
      <c r="N1529" t="s">
        <v>222</v>
      </c>
      <c r="O1529" s="145" t="s">
        <v>1153</v>
      </c>
      <c r="Q1529" t="s">
        <v>256</v>
      </c>
      <c r="R1529" s="293" t="s">
        <v>225</v>
      </c>
      <c r="S1529" s="1" t="s">
        <v>1331</v>
      </c>
      <c r="T1529" t="s">
        <v>2374</v>
      </c>
      <c r="U1529" t="s">
        <v>2378</v>
      </c>
      <c r="V1529">
        <v>0</v>
      </c>
      <c r="W1529">
        <v>0</v>
      </c>
      <c r="X1529">
        <v>0</v>
      </c>
      <c r="Y1529">
        <v>1</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s="141">
        <f t="shared" si="1994"/>
        <v>1</v>
      </c>
      <c r="AY1529" s="141">
        <f t="shared" si="1995"/>
        <v>1</v>
      </c>
      <c r="AZ1529">
        <f t="shared" si="1996"/>
        <v>1</v>
      </c>
      <c r="BA1529">
        <f t="shared" si="1997"/>
        <v>0</v>
      </c>
      <c r="BB1529">
        <f t="shared" si="1998"/>
        <v>0</v>
      </c>
      <c r="BC1529">
        <f t="shared" si="1999"/>
        <v>0</v>
      </c>
      <c r="BD1529">
        <f t="shared" si="2000"/>
        <v>0</v>
      </c>
      <c r="BE1529" t="str">
        <f t="array" ref="BE1529">IF(AY1529=1,INDEX($V$7:$AL$7,MATCH(TRUE,INDEX($V1529:$AW1529&lt;&gt;0,),0)),IF(AY1529=0,INDEX($AM$7:$AW$7,MATCH(1,$AM1529:$AW1529,0)),IF(BF1529="Multiple strategies","mixed drivers",IF(BF1529="Supply chain","multiple supply","multiple silviculture"))))</f>
        <v xml:space="preserve">cutting intensity </v>
      </c>
      <c r="BF1529" s="2" t="str" cm="1">
        <f t="array" ref="BF1529">IF(COUNTIF(AZ1529:BB1529,"&lt;&gt;0")=1,INDEX($V$4:$AW$4,MATCH(TRUE,INDEX($V1529:$AW1529&lt;&gt;0,),0)),IF(COUNTIF(AZ1529:BB1529,"&lt;&gt;0")=0,INDEX($AM$4:$AW$4,MATCH(1,$AM1529:$AW1529,0)),"Multiple strategies"))</f>
        <v>Silviculture for removals</v>
      </c>
      <c r="BG1529" s="1" t="s">
        <v>321</v>
      </c>
      <c r="BH1529" t="s">
        <v>2375</v>
      </c>
      <c r="BJ1529" t="s">
        <v>1322</v>
      </c>
      <c r="BK1529">
        <v>433.26389999999998</v>
      </c>
      <c r="BL1529">
        <v>866.52779999999996</v>
      </c>
      <c r="BM1529" s="143">
        <f t="shared" si="2023"/>
        <v>2</v>
      </c>
      <c r="BN1529">
        <f t="shared" si="2024"/>
        <v>433.26389999999998</v>
      </c>
      <c r="BO1529">
        <f t="shared" si="2025"/>
        <v>433263900</v>
      </c>
      <c r="BP1529" t="s">
        <v>232</v>
      </c>
      <c r="BQ1529" s="260" t="s">
        <v>3394</v>
      </c>
      <c r="BR1529" t="s">
        <v>1358</v>
      </c>
      <c r="BS1529">
        <v>3613.1563851999999</v>
      </c>
      <c r="BT1529">
        <v>3469.3127703999999</v>
      </c>
      <c r="BU1529" s="144">
        <f t="shared" si="2001"/>
        <v>0.96018893192965471</v>
      </c>
      <c r="BV1529" s="144">
        <f t="shared" si="2002"/>
        <v>-143.84361480000007</v>
      </c>
      <c r="BW1529" s="144"/>
      <c r="BX1529">
        <f t="shared" si="2026"/>
        <v>-527906066.31600022</v>
      </c>
      <c r="BY1529">
        <f t="shared" si="1992"/>
        <v>-1.2184400000000004</v>
      </c>
      <c r="BZ1529">
        <v>0</v>
      </c>
      <c r="CA1529">
        <v>0</v>
      </c>
      <c r="CB1529">
        <v>0</v>
      </c>
      <c r="CC1529">
        <v>0</v>
      </c>
      <c r="CD1529">
        <v>0</v>
      </c>
      <c r="CE1529">
        <v>0</v>
      </c>
      <c r="CF1529">
        <v>0</v>
      </c>
      <c r="CG1529">
        <v>0</v>
      </c>
      <c r="CH1529">
        <v>0</v>
      </c>
      <c r="CI1529">
        <v>0</v>
      </c>
      <c r="CJ1529">
        <v>0</v>
      </c>
      <c r="CK1529">
        <v>0</v>
      </c>
      <c r="CL1529">
        <v>0</v>
      </c>
      <c r="CM1529">
        <v>0</v>
      </c>
      <c r="CN1529" t="str">
        <f t="shared" si="2027"/>
        <v>refOK</v>
      </c>
      <c r="CO1529">
        <f>IF($CN1529="refNeedCorrection",BL1529,BK1529)</f>
        <v>433.26389999999998</v>
      </c>
      <c r="CP1529">
        <f>IF($CN1529="refNeedCorrection",BK1529,BL1529)</f>
        <v>866.52779999999996</v>
      </c>
      <c r="CQ1529">
        <f t="shared" si="2028"/>
        <v>433263900</v>
      </c>
      <c r="CR1529">
        <f t="shared" si="2003"/>
        <v>3613.1563851999999</v>
      </c>
      <c r="CS1529">
        <f t="shared" si="2004"/>
        <v>3469.3127703999999</v>
      </c>
      <c r="CT1529">
        <f t="shared" si="2005"/>
        <v>-527906066.31600022</v>
      </c>
      <c r="CU1529">
        <f t="shared" si="2006"/>
        <v>-1.2184400000000004</v>
      </c>
      <c r="CV1529" s="2">
        <f t="shared" si="2007"/>
        <v>-3.9811068070345332E-2</v>
      </c>
      <c r="CW1529" s="1" t="s">
        <v>1198</v>
      </c>
      <c r="CX1529" t="str">
        <f t="shared" si="2008"/>
        <v>reg</v>
      </c>
      <c r="CY1529" t="s">
        <v>540</v>
      </c>
      <c r="CZ1529">
        <v>2020</v>
      </c>
      <c r="DA1529">
        <v>2050</v>
      </c>
      <c r="DB1529">
        <f t="shared" si="2020"/>
        <v>30</v>
      </c>
      <c r="DC1529" t="str">
        <f t="shared" si="2009"/>
        <v>1-30</v>
      </c>
      <c r="DD1529">
        <v>1</v>
      </c>
      <c r="DE1529">
        <v>0</v>
      </c>
      <c r="DF1529">
        <v>0</v>
      </c>
      <c r="DG1529">
        <v>0</v>
      </c>
      <c r="DI1529">
        <f t="shared" si="2010"/>
        <v>1</v>
      </c>
      <c r="DJ1529" t="str">
        <f t="shared" si="2011"/>
        <v>UpstreamInput</v>
      </c>
      <c r="DK1529" t="str">
        <f t="shared" si="2012"/>
        <v>Upstream</v>
      </c>
      <c r="DL1529">
        <f t="shared" si="2013"/>
        <v>0</v>
      </c>
      <c r="DM1529">
        <f t="shared" si="2014"/>
        <v>0</v>
      </c>
      <c r="DN1529">
        <f t="shared" si="2015"/>
        <v>0</v>
      </c>
      <c r="DO1529">
        <v>0</v>
      </c>
      <c r="DP1529">
        <v>0</v>
      </c>
      <c r="DQ1529">
        <v>0</v>
      </c>
      <c r="DR1529">
        <v>0</v>
      </c>
      <c r="DS1529">
        <v>0</v>
      </c>
      <c r="DT1529">
        <f t="shared" si="2016"/>
        <v>0</v>
      </c>
      <c r="DU1529" s="143" t="str">
        <f t="shared" si="2017"/>
        <v>explicit C balance</v>
      </c>
      <c r="DV1529">
        <v>1</v>
      </c>
      <c r="DW1529">
        <v>1</v>
      </c>
      <c r="DX1529">
        <v>1</v>
      </c>
      <c r="DY1529">
        <v>0</v>
      </c>
      <c r="DZ1529">
        <v>0</v>
      </c>
      <c r="EA1529" s="143">
        <v>0</v>
      </c>
      <c r="EB1529">
        <v>0</v>
      </c>
      <c r="EC1529">
        <v>0</v>
      </c>
      <c r="ED1529">
        <v>0</v>
      </c>
      <c r="EE1529">
        <v>0</v>
      </c>
      <c r="EF1529">
        <v>1</v>
      </c>
      <c r="EG1529">
        <v>0</v>
      </c>
      <c r="EH1529">
        <v>0</v>
      </c>
      <c r="EI1529" s="2">
        <v>0</v>
      </c>
      <c r="EK1529" t="str">
        <f t="shared" si="2029"/>
        <v/>
      </c>
      <c r="EL1529" t="str">
        <f t="shared" si="2030"/>
        <v>Ecosystem approach</v>
      </c>
      <c r="EM1529" s="2" t="str">
        <f t="shared" si="1993"/>
        <v/>
      </c>
      <c r="EN1529" t="s">
        <v>2376</v>
      </c>
      <c r="EP1529" t="str">
        <f>IF(ISNUMBER(BU1529),IF(ABS(BU1529-[5]QC_indicators!$B$2)&gt;3*[5]QC_indicators!$C$2,"C ratio",IF(ISNUMBER(BY1529),IF(ABS(BY1529-[5]QC_indicators!$B$1)&gt;3*[5]QC_indicators!$C$1,"DF","no"))),IF(ISNUMBER(BY1529),IF(ABS(BY1529-[5]QC_indicators!$B$1)&gt;3*[5]QC_indicators!$C$1,"DF","no")))</f>
        <v>no</v>
      </c>
      <c r="EQ1529" t="s">
        <v>2377</v>
      </c>
      <c r="ET1529" s="304" t="s">
        <v>3407</v>
      </c>
    </row>
    <row r="1530" spans="1:150" ht="15" hidden="1" customHeight="1">
      <c r="A1530" s="1" t="s">
        <v>1356</v>
      </c>
      <c r="B1530" t="s">
        <v>2367</v>
      </c>
      <c r="C1530" t="s">
        <v>2368</v>
      </c>
      <c r="D1530" t="s">
        <v>2369</v>
      </c>
      <c r="E1530" t="s">
        <v>2370</v>
      </c>
      <c r="F1530" t="s">
        <v>2371</v>
      </c>
      <c r="G1530" t="s">
        <v>1357</v>
      </c>
      <c r="H1530" t="s">
        <v>254</v>
      </c>
      <c r="I1530">
        <v>2021</v>
      </c>
      <c r="J1530">
        <v>0</v>
      </c>
      <c r="K1530" t="s">
        <v>2372</v>
      </c>
      <c r="M1530" t="str">
        <f t="shared" si="1932"/>
        <v>Ter-Mikaelian_2021</v>
      </c>
      <c r="N1530" t="s">
        <v>222</v>
      </c>
      <c r="O1530" s="145" t="s">
        <v>1153</v>
      </c>
      <c r="Q1530" t="s">
        <v>256</v>
      </c>
      <c r="R1530" s="293" t="s">
        <v>225</v>
      </c>
      <c r="S1530" s="1" t="s">
        <v>1331</v>
      </c>
      <c r="T1530" t="s">
        <v>2374</v>
      </c>
      <c r="U1530" t="s">
        <v>2378</v>
      </c>
      <c r="V1530">
        <v>0</v>
      </c>
      <c r="W1530">
        <v>0</v>
      </c>
      <c r="X1530">
        <v>0</v>
      </c>
      <c r="Y1530">
        <v>1</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s="141">
        <f t="shared" si="1994"/>
        <v>1</v>
      </c>
      <c r="AY1530" s="141">
        <f t="shared" si="1995"/>
        <v>1</v>
      </c>
      <c r="AZ1530">
        <f t="shared" si="1996"/>
        <v>1</v>
      </c>
      <c r="BA1530">
        <f t="shared" si="1997"/>
        <v>0</v>
      </c>
      <c r="BB1530">
        <f t="shared" si="1998"/>
        <v>0</v>
      </c>
      <c r="BC1530">
        <f t="shared" si="1999"/>
        <v>0</v>
      </c>
      <c r="BD1530">
        <f t="shared" si="2000"/>
        <v>0</v>
      </c>
      <c r="BE1530" t="str">
        <f t="array" ref="BE1530">IF(AY1530=1,INDEX($V$7:$AL$7,MATCH(TRUE,INDEX($V1530:$AW1530&lt;&gt;0,),0)),IF(AY1530=0,INDEX($AM$7:$AW$7,MATCH(1,$AM1530:$AW1530,0)),IF(BF1530="Multiple strategies","mixed drivers",IF(BF1530="Supply chain","multiple supply","multiple silviculture"))))</f>
        <v xml:space="preserve">cutting intensity </v>
      </c>
      <c r="BF1530" s="2" t="str" cm="1">
        <f t="array" ref="BF1530">IF(COUNTIF(AZ1530:BB1530,"&lt;&gt;0")=1,INDEX($V$4:$AW$4,MATCH(TRUE,INDEX($V1530:$AW1530&lt;&gt;0,),0)),IF(COUNTIF(AZ1530:BB1530,"&lt;&gt;0")=0,INDEX($AM$4:$AW$4,MATCH(1,$AM1530:$AW1530,0)),"Multiple strategies"))</f>
        <v>Silviculture for removals</v>
      </c>
      <c r="BG1530" s="1" t="s">
        <v>321</v>
      </c>
      <c r="BH1530" t="s">
        <v>2375</v>
      </c>
      <c r="BJ1530" t="s">
        <v>1322</v>
      </c>
      <c r="BK1530">
        <v>433.26389999999998</v>
      </c>
      <c r="BL1530">
        <v>866.52779999999996</v>
      </c>
      <c r="BM1530" s="143">
        <f t="shared" si="2023"/>
        <v>2</v>
      </c>
      <c r="BN1530">
        <f t="shared" si="2024"/>
        <v>433.26389999999998</v>
      </c>
      <c r="BO1530">
        <f t="shared" si="2025"/>
        <v>433263900</v>
      </c>
      <c r="BP1530" t="s">
        <v>232</v>
      </c>
      <c r="BQ1530" s="260" t="s">
        <v>3395</v>
      </c>
      <c r="BR1530" t="s">
        <v>1358</v>
      </c>
      <c r="BS1530">
        <v>3644.6402286000002</v>
      </c>
      <c r="BT1530">
        <v>3532.2804572</v>
      </c>
      <c r="BU1530" s="144">
        <f t="shared" si="2001"/>
        <v>0.96917123108110992</v>
      </c>
      <c r="BV1530" s="144">
        <f t="shared" si="2002"/>
        <v>-112.35977140000023</v>
      </c>
      <c r="BW1530" s="144"/>
      <c r="BX1530">
        <f t="shared" si="2026"/>
        <v>-412360361.03800082</v>
      </c>
      <c r="BY1530">
        <f t="shared" si="1992"/>
        <v>-0.95175333333333523</v>
      </c>
      <c r="BZ1530">
        <v>0</v>
      </c>
      <c r="CA1530">
        <v>0</v>
      </c>
      <c r="CB1530">
        <v>0</v>
      </c>
      <c r="CC1530">
        <v>0</v>
      </c>
      <c r="CD1530">
        <v>0</v>
      </c>
      <c r="CE1530">
        <v>0</v>
      </c>
      <c r="CF1530">
        <v>0</v>
      </c>
      <c r="CG1530">
        <v>0</v>
      </c>
      <c r="CH1530">
        <v>0</v>
      </c>
      <c r="CI1530">
        <v>0</v>
      </c>
      <c r="CJ1530">
        <v>0</v>
      </c>
      <c r="CK1530">
        <v>0</v>
      </c>
      <c r="CL1530">
        <v>0</v>
      </c>
      <c r="CM1530">
        <v>0</v>
      </c>
      <c r="CN1530" t="str">
        <f t="shared" si="2027"/>
        <v>refOK</v>
      </c>
      <c r="CO1530">
        <f>IF($CN1530="refNeedCorrection",BL1530,BK1530)</f>
        <v>433.26389999999998</v>
      </c>
      <c r="CP1530">
        <f>IF($CN1530="refNeedCorrection",BK1530,BL1530)</f>
        <v>866.52779999999996</v>
      </c>
      <c r="CQ1530">
        <f t="shared" si="2028"/>
        <v>433263900</v>
      </c>
      <c r="CR1530">
        <f t="shared" si="2003"/>
        <v>3644.6402286000002</v>
      </c>
      <c r="CS1530">
        <f t="shared" si="2004"/>
        <v>3532.2804572</v>
      </c>
      <c r="CT1530">
        <f t="shared" si="2005"/>
        <v>-412360361.03800082</v>
      </c>
      <c r="CU1530">
        <f t="shared" si="2006"/>
        <v>-0.95175333333333523</v>
      </c>
      <c r="CV1530" s="2">
        <f t="shared" si="2007"/>
        <v>-3.0828768918890109E-2</v>
      </c>
      <c r="CW1530" s="1" t="s">
        <v>1198</v>
      </c>
      <c r="CX1530" t="str">
        <f t="shared" si="2008"/>
        <v>reg</v>
      </c>
      <c r="CY1530" t="s">
        <v>540</v>
      </c>
      <c r="CZ1530">
        <v>2020</v>
      </c>
      <c r="DA1530">
        <v>2050</v>
      </c>
      <c r="DB1530">
        <f t="shared" si="2020"/>
        <v>30</v>
      </c>
      <c r="DC1530" t="str">
        <f t="shared" si="2009"/>
        <v>1-30</v>
      </c>
      <c r="DD1530">
        <v>1</v>
      </c>
      <c r="DE1530">
        <v>1</v>
      </c>
      <c r="DF1530">
        <v>1</v>
      </c>
      <c r="DG1530">
        <v>1</v>
      </c>
      <c r="DI1530">
        <f t="shared" si="2010"/>
        <v>4</v>
      </c>
      <c r="DJ1530" t="str">
        <f t="shared" si="2011"/>
        <v>mixedProduct</v>
      </c>
      <c r="DK1530" t="str">
        <f t="shared" si="2012"/>
        <v>Upstream</v>
      </c>
      <c r="DL1530" t="str">
        <f t="shared" si="2013"/>
        <v>Energy</v>
      </c>
      <c r="DM1530" t="str">
        <f t="shared" si="2014"/>
        <v>Pulp/Paper</v>
      </c>
      <c r="DN1530" t="str">
        <f t="shared" si="2015"/>
        <v>Timber</v>
      </c>
      <c r="DO1530">
        <v>0</v>
      </c>
      <c r="DP1530">
        <v>0</v>
      </c>
      <c r="DQ1530">
        <v>0</v>
      </c>
      <c r="DR1530">
        <v>0</v>
      </c>
      <c r="DS1530">
        <v>0</v>
      </c>
      <c r="DT1530">
        <f t="shared" si="2016"/>
        <v>0</v>
      </c>
      <c r="DU1530" s="143" t="str">
        <f t="shared" si="2017"/>
        <v>explicit C balance</v>
      </c>
      <c r="DV1530">
        <v>1</v>
      </c>
      <c r="DW1530">
        <v>1</v>
      </c>
      <c r="DX1530">
        <v>1</v>
      </c>
      <c r="DY1530">
        <v>1</v>
      </c>
      <c r="DZ1530">
        <v>1</v>
      </c>
      <c r="EA1530" s="143">
        <v>1</v>
      </c>
      <c r="EB1530">
        <v>0</v>
      </c>
      <c r="EC1530">
        <v>0</v>
      </c>
      <c r="ED1530">
        <v>0</v>
      </c>
      <c r="EE1530">
        <v>0</v>
      </c>
      <c r="EF1530">
        <v>1</v>
      </c>
      <c r="EG1530">
        <v>0</v>
      </c>
      <c r="EH1530">
        <v>0</v>
      </c>
      <c r="EI1530" s="2">
        <v>0</v>
      </c>
      <c r="EK1530" t="str">
        <f t="shared" si="2029"/>
        <v/>
      </c>
      <c r="EL1530" t="str">
        <f t="shared" si="2030"/>
        <v/>
      </c>
      <c r="EM1530" s="2" t="str">
        <f t="shared" si="1993"/>
        <v/>
      </c>
      <c r="EN1530" t="s">
        <v>2376</v>
      </c>
      <c r="EP1530" t="str">
        <f>IF(ISNUMBER(BU1530),IF(ABS(BU1530-[5]QC_indicators!$B$2)&gt;3*[5]QC_indicators!$C$2,"C ratio",IF(ISNUMBER(BY1530),IF(ABS(BY1530-[5]QC_indicators!$B$1)&gt;3*[5]QC_indicators!$C$1,"DF","no"))),IF(ISNUMBER(BY1530),IF(ABS(BY1530-[5]QC_indicators!$B$1)&gt;3*[5]QC_indicators!$C$1,"DF","no")))</f>
        <v>no</v>
      </c>
      <c r="EQ1530" t="s">
        <v>2377</v>
      </c>
      <c r="ET1530" s="304" t="s">
        <v>3407</v>
      </c>
    </row>
    <row r="1531" spans="1:150" ht="15" hidden="1" customHeight="1">
      <c r="A1531" s="1" t="s">
        <v>1356</v>
      </c>
      <c r="B1531" t="s">
        <v>2367</v>
      </c>
      <c r="C1531" t="s">
        <v>2368</v>
      </c>
      <c r="D1531" t="s">
        <v>2369</v>
      </c>
      <c r="E1531" t="s">
        <v>2370</v>
      </c>
      <c r="F1531" t="s">
        <v>2371</v>
      </c>
      <c r="G1531" t="s">
        <v>1357</v>
      </c>
      <c r="H1531" t="s">
        <v>254</v>
      </c>
      <c r="I1531">
        <v>2021</v>
      </c>
      <c r="J1531">
        <v>0</v>
      </c>
      <c r="K1531" t="s">
        <v>2372</v>
      </c>
      <c r="M1531" t="str">
        <f t="shared" si="1932"/>
        <v>Ter-Mikaelian_2021</v>
      </c>
      <c r="N1531" t="s">
        <v>222</v>
      </c>
      <c r="O1531" s="145" t="s">
        <v>1153</v>
      </c>
      <c r="Q1531" t="s">
        <v>256</v>
      </c>
      <c r="R1531" s="293" t="s">
        <v>225</v>
      </c>
      <c r="S1531" s="1" t="s">
        <v>1331</v>
      </c>
      <c r="T1531" t="s">
        <v>2373</v>
      </c>
      <c r="U1531" t="s">
        <v>2374</v>
      </c>
      <c r="V1531">
        <v>1</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s="141">
        <f t="shared" si="1994"/>
        <v>1</v>
      </c>
      <c r="AY1531" s="141">
        <f t="shared" si="1995"/>
        <v>1</v>
      </c>
      <c r="AZ1531">
        <f t="shared" si="1996"/>
        <v>1</v>
      </c>
      <c r="BA1531">
        <f t="shared" si="1997"/>
        <v>0</v>
      </c>
      <c r="BB1531">
        <f t="shared" si="1998"/>
        <v>0</v>
      </c>
      <c r="BC1531">
        <f t="shared" si="1999"/>
        <v>0</v>
      </c>
      <c r="BD1531">
        <f t="shared" si="2000"/>
        <v>0</v>
      </c>
      <c r="BE1531" t="str">
        <f t="array" ref="BE1531">IF(AY1531=1,INDEX($V$7:$AL$7,MATCH(TRUE,INDEX($V1531:$AW1531&lt;&gt;0,),0)),IF(AY1531=0,INDEX($AM$7:$AW$7,MATCH(1,$AM1531:$AW1531,0)),IF(BF1531="Multiple strategies","mixed drivers",IF(BF1531="Supply chain","multiple supply","multiple silviculture"))))</f>
        <v>area subject to harvest</v>
      </c>
      <c r="BF1531" s="2" t="str" cm="1">
        <f t="array" ref="BF1531">IF(COUNTIF(AZ1531:BB1531,"&lt;&gt;0")=1,INDEX($V$4:$AW$4,MATCH(TRUE,INDEX($V1531:$AW1531&lt;&gt;0,),0)),IF(COUNTIF(AZ1531:BB1531,"&lt;&gt;0")=0,INDEX($AM$4:$AW$4,MATCH(1,$AM1531:$AW1531,0)),"Multiple strategies"))</f>
        <v>Silviculture for removals</v>
      </c>
      <c r="BG1531" s="1" t="s">
        <v>321</v>
      </c>
      <c r="BH1531" t="s">
        <v>2375</v>
      </c>
      <c r="BJ1531" t="s">
        <v>1322</v>
      </c>
      <c r="BK1531">
        <v>0</v>
      </c>
      <c r="BL1531">
        <v>433.26389999999998</v>
      </c>
      <c r="BM1531" s="143" t="e">
        <f t="shared" si="2023"/>
        <v>#DIV/0!</v>
      </c>
      <c r="BN1531">
        <f t="shared" si="2024"/>
        <v>433.26389999999998</v>
      </c>
      <c r="BO1531">
        <f t="shared" si="2025"/>
        <v>433263900</v>
      </c>
      <c r="BP1531" t="s">
        <v>232</v>
      </c>
      <c r="BQ1531" s="260" t="s">
        <v>3396</v>
      </c>
      <c r="BR1531" t="s">
        <v>1358</v>
      </c>
      <c r="BS1531">
        <v>3757</v>
      </c>
      <c r="BT1531">
        <v>3644.6402286000002</v>
      </c>
      <c r="BU1531" s="144">
        <f t="shared" si="2001"/>
        <v>0.97009322028214007</v>
      </c>
      <c r="BV1531" s="144">
        <f t="shared" si="2002"/>
        <v>-112.35977139999977</v>
      </c>
      <c r="BW1531" s="144"/>
      <c r="BX1531">
        <f t="shared" si="2026"/>
        <v>-412360361.03799915</v>
      </c>
      <c r="BY1531">
        <f t="shared" si="1992"/>
        <v>-0.95175333333333134</v>
      </c>
      <c r="BZ1531">
        <v>0</v>
      </c>
      <c r="CA1531">
        <v>0</v>
      </c>
      <c r="CB1531">
        <v>0</v>
      </c>
      <c r="CC1531">
        <v>0</v>
      </c>
      <c r="CD1531">
        <v>0</v>
      </c>
      <c r="CE1531">
        <v>0</v>
      </c>
      <c r="CF1531">
        <v>0</v>
      </c>
      <c r="CG1531">
        <v>0</v>
      </c>
      <c r="CH1531">
        <v>0</v>
      </c>
      <c r="CI1531">
        <v>0</v>
      </c>
      <c r="CJ1531">
        <v>0</v>
      </c>
      <c r="CK1531">
        <v>0</v>
      </c>
      <c r="CL1531">
        <v>0</v>
      </c>
      <c r="CM1531">
        <v>0</v>
      </c>
      <c r="CN1531" t="str">
        <f t="shared" si="2027"/>
        <v>refOK</v>
      </c>
      <c r="CO1531">
        <f>IF($CN1531="refOK",$BK1531,$BL1531)</f>
        <v>0</v>
      </c>
      <c r="CP1531">
        <f>IF($CN1531="refOK",$BL1531,$BK1531)</f>
        <v>433.26389999999998</v>
      </c>
      <c r="CQ1531">
        <f t="shared" si="2028"/>
        <v>433263900</v>
      </c>
      <c r="CR1531">
        <f t="shared" si="2003"/>
        <v>3757</v>
      </c>
      <c r="CS1531">
        <f t="shared" si="2004"/>
        <v>3644.6402286000002</v>
      </c>
      <c r="CT1531">
        <f t="shared" si="2005"/>
        <v>-412360361.03799915</v>
      </c>
      <c r="CU1531">
        <f t="shared" si="2006"/>
        <v>-0.95175333333333134</v>
      </c>
      <c r="CV1531" s="2">
        <f t="shared" si="2007"/>
        <v>-2.9906779717859933E-2</v>
      </c>
      <c r="CW1531" s="1" t="s">
        <v>1198</v>
      </c>
      <c r="CX1531" t="str">
        <f t="shared" si="2008"/>
        <v>reg</v>
      </c>
      <c r="CY1531" t="s">
        <v>540</v>
      </c>
      <c r="CZ1531">
        <v>2020</v>
      </c>
      <c r="DA1531">
        <v>2050</v>
      </c>
      <c r="DB1531">
        <f t="shared" si="2020"/>
        <v>30</v>
      </c>
      <c r="DC1531" t="str">
        <f t="shared" si="2009"/>
        <v>1-30</v>
      </c>
      <c r="DD1531">
        <v>1</v>
      </c>
      <c r="DE1531">
        <v>1</v>
      </c>
      <c r="DF1531">
        <v>1</v>
      </c>
      <c r="DG1531">
        <v>1</v>
      </c>
      <c r="DI1531">
        <f t="shared" si="2010"/>
        <v>4</v>
      </c>
      <c r="DJ1531" t="str">
        <f t="shared" si="2011"/>
        <v>mixedProduct</v>
      </c>
      <c r="DK1531" t="str">
        <f t="shared" si="2012"/>
        <v>Upstream</v>
      </c>
      <c r="DL1531" t="str">
        <f t="shared" si="2013"/>
        <v>Energy</v>
      </c>
      <c r="DM1531" t="str">
        <f t="shared" si="2014"/>
        <v>Pulp/Paper</v>
      </c>
      <c r="DN1531" t="str">
        <f t="shared" si="2015"/>
        <v>Timber</v>
      </c>
      <c r="DO1531">
        <v>0</v>
      </c>
      <c r="DP1531">
        <v>0</v>
      </c>
      <c r="DQ1531">
        <v>0</v>
      </c>
      <c r="DR1531">
        <v>0</v>
      </c>
      <c r="DS1531">
        <v>0</v>
      </c>
      <c r="DT1531">
        <f t="shared" si="2016"/>
        <v>0</v>
      </c>
      <c r="DU1531" s="143" t="str">
        <f t="shared" si="2017"/>
        <v>explicit C balance</v>
      </c>
      <c r="DV1531">
        <v>1</v>
      </c>
      <c r="DW1531">
        <v>1</v>
      </c>
      <c r="DX1531">
        <v>1</v>
      </c>
      <c r="DY1531">
        <v>1</v>
      </c>
      <c r="DZ1531">
        <v>1</v>
      </c>
      <c r="EA1531" s="143">
        <v>1</v>
      </c>
      <c r="EB1531">
        <v>0</v>
      </c>
      <c r="EC1531">
        <v>0</v>
      </c>
      <c r="ED1531">
        <v>0</v>
      </c>
      <c r="EE1531">
        <v>0</v>
      </c>
      <c r="EF1531">
        <v>1</v>
      </c>
      <c r="EG1531">
        <v>0</v>
      </c>
      <c r="EH1531">
        <v>0</v>
      </c>
      <c r="EI1531" s="2">
        <v>0</v>
      </c>
      <c r="EK1531" t="str">
        <f t="shared" si="2029"/>
        <v/>
      </c>
      <c r="EL1531" t="str">
        <f t="shared" si="2030"/>
        <v/>
      </c>
      <c r="EM1531" s="2" t="str">
        <f t="shared" si="1993"/>
        <v/>
      </c>
      <c r="EN1531" t="s">
        <v>2376</v>
      </c>
      <c r="EP1531" t="str">
        <f>IF(ISNUMBER(BU1531),IF(ABS(BU1531-[5]QC_indicators!$B$2)&gt;3*[5]QC_indicators!$C$2,"C ratio",IF(ISNUMBER(BY1531),IF(ABS(BY1531-[5]QC_indicators!$B$1)&gt;3*[5]QC_indicators!$C$1,"DF","no"))),IF(ISNUMBER(BY1531),IF(ABS(BY1531-[5]QC_indicators!$B$1)&gt;3*[5]QC_indicators!$C$1,"DF","no")))</f>
        <v>no</v>
      </c>
      <c r="EQ1531" t="s">
        <v>2377</v>
      </c>
      <c r="ET1531" s="304" t="s">
        <v>3407</v>
      </c>
    </row>
    <row r="1532" spans="1:150" ht="15" hidden="1" customHeight="1">
      <c r="A1532" s="1" t="s">
        <v>1356</v>
      </c>
      <c r="B1532" t="s">
        <v>2367</v>
      </c>
      <c r="C1532" t="s">
        <v>2368</v>
      </c>
      <c r="D1532" t="s">
        <v>2369</v>
      </c>
      <c r="E1532" t="s">
        <v>2370</v>
      </c>
      <c r="F1532" t="s">
        <v>2371</v>
      </c>
      <c r="G1532" t="s">
        <v>1357</v>
      </c>
      <c r="H1532" t="s">
        <v>254</v>
      </c>
      <c r="I1532">
        <v>2021</v>
      </c>
      <c r="J1532">
        <v>0</v>
      </c>
      <c r="K1532" t="s">
        <v>2372</v>
      </c>
      <c r="M1532" t="str">
        <f t="shared" si="1932"/>
        <v>Ter-Mikaelian_2021</v>
      </c>
      <c r="N1532" t="s">
        <v>222</v>
      </c>
      <c r="O1532" s="145" t="s">
        <v>1153</v>
      </c>
      <c r="Q1532" t="s">
        <v>256</v>
      </c>
      <c r="R1532" s="293" t="s">
        <v>225</v>
      </c>
      <c r="S1532" s="1" t="s">
        <v>1331</v>
      </c>
      <c r="T1532" t="s">
        <v>2373</v>
      </c>
      <c r="U1532" t="s">
        <v>2374</v>
      </c>
      <c r="V1532">
        <v>1</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s="141">
        <f t="shared" si="1994"/>
        <v>1</v>
      </c>
      <c r="AY1532" s="141">
        <f t="shared" si="1995"/>
        <v>1</v>
      </c>
      <c r="AZ1532">
        <f t="shared" si="1996"/>
        <v>1</v>
      </c>
      <c r="BA1532">
        <f t="shared" si="1997"/>
        <v>0</v>
      </c>
      <c r="BB1532">
        <f t="shared" si="1998"/>
        <v>0</v>
      </c>
      <c r="BC1532">
        <f t="shared" si="1999"/>
        <v>0</v>
      </c>
      <c r="BD1532">
        <f t="shared" si="2000"/>
        <v>0</v>
      </c>
      <c r="BE1532" t="str">
        <f t="array" ref="BE1532">IF(AY1532=1,INDEX($V$7:$AL$7,MATCH(TRUE,INDEX($V1532:$AW1532&lt;&gt;0,),0)),IF(AY1532=0,INDEX($AM$7:$AW$7,MATCH(1,$AM1532:$AW1532,0)),IF(BF1532="Multiple strategies","mixed drivers",IF(BF1532="Supply chain","multiple supply","multiple silviculture"))))</f>
        <v>area subject to harvest</v>
      </c>
      <c r="BF1532" s="2" t="str" cm="1">
        <f t="array" ref="BF1532">IF(COUNTIF(AZ1532:BB1532,"&lt;&gt;0")=1,INDEX($V$4:$AW$4,MATCH(TRUE,INDEX($V1532:$AW1532&lt;&gt;0,),0)),IF(COUNTIF(AZ1532:BB1532,"&lt;&gt;0")=0,INDEX($AM$4:$AW$4,MATCH(1,$AM1532:$AW1532,0)),"Multiple strategies"))</f>
        <v>Silviculture for removals</v>
      </c>
      <c r="BG1532" s="1" t="s">
        <v>321</v>
      </c>
      <c r="BH1532" t="s">
        <v>2375</v>
      </c>
      <c r="BJ1532" t="s">
        <v>1322</v>
      </c>
      <c r="BK1532">
        <v>0</v>
      </c>
      <c r="BL1532">
        <v>433.26389999999998</v>
      </c>
      <c r="BM1532" s="143" t="e">
        <f t="shared" si="2023"/>
        <v>#DIV/0!</v>
      </c>
      <c r="BN1532">
        <f t="shared" si="2024"/>
        <v>433.26389999999998</v>
      </c>
      <c r="BO1532">
        <f t="shared" si="2025"/>
        <v>433263900</v>
      </c>
      <c r="BP1532" t="s">
        <v>232</v>
      </c>
      <c r="BQ1532" s="260" t="s">
        <v>3397</v>
      </c>
      <c r="BR1532" t="s">
        <v>1358</v>
      </c>
      <c r="BS1532">
        <v>3757</v>
      </c>
      <c r="BT1532">
        <v>3668.4697431</v>
      </c>
      <c r="BU1532" s="144">
        <f t="shared" si="2001"/>
        <v>0.97643591778014371</v>
      </c>
      <c r="BV1532" s="144">
        <f t="shared" si="2002"/>
        <v>-88.53025690000004</v>
      </c>
      <c r="BW1532" s="144"/>
      <c r="BX1532">
        <f t="shared" si="2026"/>
        <v>-324906042.82300013</v>
      </c>
      <c r="BY1532">
        <f t="shared" si="1992"/>
        <v>-0.74990333333333359</v>
      </c>
      <c r="BZ1532">
        <v>0</v>
      </c>
      <c r="CA1532">
        <v>0</v>
      </c>
      <c r="CB1532">
        <v>0</v>
      </c>
      <c r="CC1532">
        <v>0</v>
      </c>
      <c r="CD1532">
        <v>0</v>
      </c>
      <c r="CE1532">
        <v>0</v>
      </c>
      <c r="CF1532">
        <v>0</v>
      </c>
      <c r="CG1532">
        <v>0</v>
      </c>
      <c r="CH1532">
        <v>0</v>
      </c>
      <c r="CI1532">
        <v>0</v>
      </c>
      <c r="CJ1532">
        <v>0</v>
      </c>
      <c r="CK1532">
        <v>0</v>
      </c>
      <c r="CL1532">
        <v>0</v>
      </c>
      <c r="CM1532">
        <v>0</v>
      </c>
      <c r="CN1532" t="str">
        <f t="shared" si="2027"/>
        <v>refOK</v>
      </c>
      <c r="CO1532">
        <f>IF($CN1532="refOK",$BK1532,$BL1532)</f>
        <v>0</v>
      </c>
      <c r="CP1532">
        <f>IF($CN1532="refOK",$BL1532,$BK1532)</f>
        <v>433.26389999999998</v>
      </c>
      <c r="CQ1532">
        <f t="shared" si="2028"/>
        <v>433263900</v>
      </c>
      <c r="CR1532">
        <f t="shared" si="2003"/>
        <v>3757</v>
      </c>
      <c r="CS1532">
        <f t="shared" si="2004"/>
        <v>3668.4697431</v>
      </c>
      <c r="CT1532">
        <f t="shared" si="2005"/>
        <v>-324906042.82300013</v>
      </c>
      <c r="CU1532">
        <f t="shared" si="2006"/>
        <v>-0.74990333333333359</v>
      </c>
      <c r="CV1532" s="2">
        <f t="shared" si="2007"/>
        <v>-2.3564082219856279E-2</v>
      </c>
      <c r="CW1532" s="1" t="s">
        <v>1198</v>
      </c>
      <c r="CX1532" t="str">
        <f t="shared" si="2008"/>
        <v>reg</v>
      </c>
      <c r="CY1532" t="s">
        <v>540</v>
      </c>
      <c r="CZ1532">
        <v>2020</v>
      </c>
      <c r="DA1532">
        <v>2050</v>
      </c>
      <c r="DB1532">
        <f t="shared" si="2020"/>
        <v>30</v>
      </c>
      <c r="DC1532" t="str">
        <f t="shared" si="2009"/>
        <v>1-30</v>
      </c>
      <c r="DD1532">
        <v>1</v>
      </c>
      <c r="DE1532">
        <v>1</v>
      </c>
      <c r="DF1532">
        <v>1</v>
      </c>
      <c r="DG1532">
        <v>1</v>
      </c>
      <c r="DI1532">
        <f t="shared" si="2010"/>
        <v>4</v>
      </c>
      <c r="DJ1532" t="str">
        <f t="shared" si="2011"/>
        <v>mixedProduct</v>
      </c>
      <c r="DK1532" t="str">
        <f t="shared" si="2012"/>
        <v>Upstream</v>
      </c>
      <c r="DL1532" t="str">
        <f t="shared" si="2013"/>
        <v>Energy</v>
      </c>
      <c r="DM1532" t="str">
        <f t="shared" si="2014"/>
        <v>Pulp/Paper</v>
      </c>
      <c r="DN1532" t="str">
        <f t="shared" si="2015"/>
        <v>Timber</v>
      </c>
      <c r="DO1532">
        <v>0</v>
      </c>
      <c r="DP1532">
        <v>1</v>
      </c>
      <c r="DQ1532">
        <v>0</v>
      </c>
      <c r="DR1532" t="s">
        <v>2379</v>
      </c>
      <c r="DS1532">
        <v>0</v>
      </c>
      <c r="DT1532">
        <f t="shared" si="2016"/>
        <v>1</v>
      </c>
      <c r="DU1532" s="143" t="str">
        <f t="shared" si="2017"/>
        <v>external DF used</v>
      </c>
      <c r="DV1532">
        <v>1</v>
      </c>
      <c r="DW1532">
        <v>1</v>
      </c>
      <c r="DX1532">
        <v>1</v>
      </c>
      <c r="DY1532">
        <v>1</v>
      </c>
      <c r="DZ1532">
        <v>1</v>
      </c>
      <c r="EA1532" s="143">
        <v>1</v>
      </c>
      <c r="EB1532">
        <v>1</v>
      </c>
      <c r="EC1532">
        <v>1</v>
      </c>
      <c r="ED1532">
        <v>0</v>
      </c>
      <c r="EE1532">
        <v>0</v>
      </c>
      <c r="EF1532">
        <v>1</v>
      </c>
      <c r="EG1532">
        <v>0</v>
      </c>
      <c r="EH1532">
        <v>0</v>
      </c>
      <c r="EI1532" s="2">
        <v>0</v>
      </c>
      <c r="EK1532" t="str">
        <f t="shared" si="2029"/>
        <v>Whole sector</v>
      </c>
      <c r="EL1532" t="str">
        <f t="shared" si="2030"/>
        <v/>
      </c>
      <c r="EM1532" s="2" t="str">
        <f t="shared" si="1993"/>
        <v/>
      </c>
      <c r="EN1532" s="264" t="s">
        <v>2376</v>
      </c>
      <c r="EP1532" t="str">
        <f>IF(ISNUMBER(BU1532),IF(ABS(BU1532-[5]QC_indicators!$B$2)&gt;3*[5]QC_indicators!$C$2,"C ratio",IF(ISNUMBER(BY1532),IF(ABS(BY1532-[5]QC_indicators!$B$1)&gt;3*[5]QC_indicators!$C$1,"DF","no"))),IF(ISNUMBER(BY1532),IF(ABS(BY1532-[5]QC_indicators!$B$1)&gt;3*[5]QC_indicators!$C$1,"DF","no")))</f>
        <v>no</v>
      </c>
      <c r="EQ1532" t="s">
        <v>2377</v>
      </c>
      <c r="ET1532" s="304" t="s">
        <v>3407</v>
      </c>
    </row>
    <row r="1533" spans="1:150" ht="15" hidden="1" customHeight="1">
      <c r="A1533" s="1" t="s">
        <v>1356</v>
      </c>
      <c r="B1533" t="s">
        <v>2367</v>
      </c>
      <c r="C1533" t="s">
        <v>2368</v>
      </c>
      <c r="D1533" t="s">
        <v>2369</v>
      </c>
      <c r="E1533" t="s">
        <v>2370</v>
      </c>
      <c r="F1533" t="s">
        <v>2371</v>
      </c>
      <c r="G1533" t="s">
        <v>1357</v>
      </c>
      <c r="H1533" t="s">
        <v>254</v>
      </c>
      <c r="I1533">
        <v>2021</v>
      </c>
      <c r="J1533">
        <v>0</v>
      </c>
      <c r="K1533" t="s">
        <v>2372</v>
      </c>
      <c r="M1533" t="str">
        <f t="shared" si="1932"/>
        <v>Ter-Mikaelian_2021</v>
      </c>
      <c r="N1533" t="s">
        <v>222</v>
      </c>
      <c r="O1533" s="145" t="s">
        <v>1153</v>
      </c>
      <c r="Q1533" t="s">
        <v>256</v>
      </c>
      <c r="R1533" s="293" t="s">
        <v>225</v>
      </c>
      <c r="S1533" s="1" t="s">
        <v>1331</v>
      </c>
      <c r="T1533" t="s">
        <v>2374</v>
      </c>
      <c r="U1533" t="s">
        <v>2378</v>
      </c>
      <c r="V1533">
        <v>0</v>
      </c>
      <c r="W1533">
        <v>0</v>
      </c>
      <c r="X1533">
        <v>0</v>
      </c>
      <c r="Y1533">
        <v>1</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s="141">
        <f t="shared" si="1994"/>
        <v>1</v>
      </c>
      <c r="AY1533" s="141">
        <f t="shared" si="1995"/>
        <v>1</v>
      </c>
      <c r="AZ1533">
        <f t="shared" si="1996"/>
        <v>1</v>
      </c>
      <c r="BA1533">
        <f t="shared" si="1997"/>
        <v>0</v>
      </c>
      <c r="BB1533">
        <f t="shared" si="1998"/>
        <v>0</v>
      </c>
      <c r="BC1533">
        <f t="shared" si="1999"/>
        <v>0</v>
      </c>
      <c r="BD1533">
        <f t="shared" si="2000"/>
        <v>0</v>
      </c>
      <c r="BE1533" t="str">
        <f t="array" ref="BE1533">IF(AY1533=1,INDEX($V$7:$AL$7,MATCH(TRUE,INDEX($V1533:$AW1533&lt;&gt;0,),0)),IF(AY1533=0,INDEX($AM$7:$AW$7,MATCH(1,$AM1533:$AW1533,0)),IF(BF1533="Multiple strategies","mixed drivers",IF(BF1533="Supply chain","multiple supply","multiple silviculture"))))</f>
        <v xml:space="preserve">cutting intensity </v>
      </c>
      <c r="BF1533" s="2" t="str" cm="1">
        <f t="array" ref="BF1533">IF(COUNTIF(AZ1533:BB1533,"&lt;&gt;0")=1,INDEX($V$4:$AW$4,MATCH(TRUE,INDEX($V1533:$AW1533&lt;&gt;0,),0)),IF(COUNTIF(AZ1533:BB1533,"&lt;&gt;0")=0,INDEX($AM$4:$AW$4,MATCH(1,$AM1533:$AW1533,0)),"Multiple strategies"))</f>
        <v>Silviculture for removals</v>
      </c>
      <c r="BG1533" s="1" t="s">
        <v>321</v>
      </c>
      <c r="BH1533" t="s">
        <v>2375</v>
      </c>
      <c r="BI1533" s="260"/>
      <c r="BJ1533" t="s">
        <v>1322</v>
      </c>
      <c r="BK1533">
        <v>433.26389999999998</v>
      </c>
      <c r="BL1533">
        <v>866.52779999999996</v>
      </c>
      <c r="BM1533" s="143">
        <f t="shared" si="2023"/>
        <v>2</v>
      </c>
      <c r="BN1533">
        <f t="shared" si="2024"/>
        <v>433.26389999999998</v>
      </c>
      <c r="BO1533">
        <f t="shared" si="2025"/>
        <v>433263900</v>
      </c>
      <c r="BP1533" t="s">
        <v>232</v>
      </c>
      <c r="BQ1533" s="260" t="s">
        <v>3397</v>
      </c>
      <c r="BR1533" t="s">
        <v>1358</v>
      </c>
      <c r="BS1533">
        <v>3668.4697431</v>
      </c>
      <c r="BT1533">
        <v>3579.9394861999999</v>
      </c>
      <c r="BU1533" s="144">
        <f t="shared" si="2001"/>
        <v>0.9758672517153737</v>
      </c>
      <c r="BV1533" s="144">
        <f t="shared" si="2002"/>
        <v>-88.53025690000004</v>
      </c>
      <c r="BW1533" s="144"/>
      <c r="BX1533">
        <f t="shared" si="2026"/>
        <v>-324906042.82300013</v>
      </c>
      <c r="BY1533">
        <f t="shared" si="1992"/>
        <v>-0.74990333333333359</v>
      </c>
      <c r="BZ1533">
        <v>0</v>
      </c>
      <c r="CA1533">
        <v>0</v>
      </c>
      <c r="CB1533">
        <v>0</v>
      </c>
      <c r="CC1533">
        <v>0</v>
      </c>
      <c r="CD1533">
        <v>0</v>
      </c>
      <c r="CE1533">
        <v>0</v>
      </c>
      <c r="CF1533">
        <v>0</v>
      </c>
      <c r="CG1533">
        <v>0</v>
      </c>
      <c r="CH1533">
        <v>0</v>
      </c>
      <c r="CI1533">
        <v>0</v>
      </c>
      <c r="CJ1533">
        <v>0</v>
      </c>
      <c r="CK1533">
        <v>0</v>
      </c>
      <c r="CL1533">
        <v>0</v>
      </c>
      <c r="CM1533">
        <v>0</v>
      </c>
      <c r="CN1533" t="str">
        <f t="shared" si="2027"/>
        <v>refOK</v>
      </c>
      <c r="CO1533">
        <f>IF($CN1533="refNeedCorrection",BL1533,BK1533)</f>
        <v>433.26389999999998</v>
      </c>
      <c r="CP1533">
        <f>IF($CN1533="refNeedCorrection",BK1533,BL1533)</f>
        <v>866.52779999999996</v>
      </c>
      <c r="CQ1533">
        <f t="shared" si="2028"/>
        <v>433263900</v>
      </c>
      <c r="CR1533">
        <f t="shared" si="2003"/>
        <v>3668.4697431</v>
      </c>
      <c r="CS1533">
        <f t="shared" si="2004"/>
        <v>3579.9394861999999</v>
      </c>
      <c r="CT1533">
        <f t="shared" si="2005"/>
        <v>-324906042.82300013</v>
      </c>
      <c r="CU1533">
        <f t="shared" si="2006"/>
        <v>-0.74990333333333359</v>
      </c>
      <c r="CV1533" s="2">
        <f t="shared" si="2007"/>
        <v>-2.4132748284626308E-2</v>
      </c>
      <c r="CW1533" s="1" t="s">
        <v>1198</v>
      </c>
      <c r="CX1533" t="str">
        <f t="shared" si="2008"/>
        <v>reg</v>
      </c>
      <c r="CY1533" t="s">
        <v>540</v>
      </c>
      <c r="CZ1533">
        <v>2020</v>
      </c>
      <c r="DA1533">
        <v>2050</v>
      </c>
      <c r="DB1533">
        <f t="shared" si="2020"/>
        <v>30</v>
      </c>
      <c r="DC1533" t="str">
        <f t="shared" si="2009"/>
        <v>1-30</v>
      </c>
      <c r="DD1533">
        <v>1</v>
      </c>
      <c r="DE1533">
        <v>1</v>
      </c>
      <c r="DF1533">
        <v>1</v>
      </c>
      <c r="DG1533">
        <v>1</v>
      </c>
      <c r="DI1533">
        <f t="shared" si="2010"/>
        <v>4</v>
      </c>
      <c r="DJ1533" t="str">
        <f t="shared" si="2011"/>
        <v>mixedProduct</v>
      </c>
      <c r="DK1533" t="str">
        <f t="shared" si="2012"/>
        <v>Upstream</v>
      </c>
      <c r="DL1533" t="str">
        <f t="shared" si="2013"/>
        <v>Energy</v>
      </c>
      <c r="DM1533" t="str">
        <f t="shared" si="2014"/>
        <v>Pulp/Paper</v>
      </c>
      <c r="DN1533" t="str">
        <f t="shared" si="2015"/>
        <v>Timber</v>
      </c>
      <c r="DO1533">
        <v>0</v>
      </c>
      <c r="DP1533">
        <v>1</v>
      </c>
      <c r="DQ1533">
        <v>0</v>
      </c>
      <c r="DR1533" t="s">
        <v>2379</v>
      </c>
      <c r="DS1533">
        <v>0</v>
      </c>
      <c r="DT1533">
        <f t="shared" si="2016"/>
        <v>1</v>
      </c>
      <c r="DU1533" s="143" t="str">
        <f t="shared" si="2017"/>
        <v>external DF used</v>
      </c>
      <c r="DV1533">
        <v>1</v>
      </c>
      <c r="DW1533">
        <v>1</v>
      </c>
      <c r="DX1533">
        <v>1</v>
      </c>
      <c r="DY1533">
        <v>1</v>
      </c>
      <c r="DZ1533">
        <v>1</v>
      </c>
      <c r="EA1533" s="143">
        <v>1</v>
      </c>
      <c r="EB1533">
        <v>1</v>
      </c>
      <c r="EC1533">
        <v>1</v>
      </c>
      <c r="ED1533">
        <v>0</v>
      </c>
      <c r="EE1533">
        <v>0</v>
      </c>
      <c r="EF1533">
        <v>1</v>
      </c>
      <c r="EG1533">
        <v>0</v>
      </c>
      <c r="EH1533">
        <v>0</v>
      </c>
      <c r="EI1533" s="2">
        <v>0</v>
      </c>
      <c r="EK1533" t="str">
        <f t="shared" si="2029"/>
        <v>Whole sector</v>
      </c>
      <c r="EL1533" t="str">
        <f t="shared" si="2030"/>
        <v/>
      </c>
      <c r="EM1533" s="2" t="str">
        <f t="shared" si="1993"/>
        <v/>
      </c>
      <c r="EN1533" t="s">
        <v>2376</v>
      </c>
      <c r="EP1533" t="str">
        <f>IF(ISNUMBER(BU1533),IF(ABS(BU1533-[5]QC_indicators!$B$2)&gt;3*[5]QC_indicators!$C$2,"C ratio",IF(ISNUMBER(BY1533),IF(ABS(BY1533-[5]QC_indicators!$B$1)&gt;3*[5]QC_indicators!$C$1,"DF","no"))),IF(ISNUMBER(BY1533),IF(ABS(BY1533-[5]QC_indicators!$B$1)&gt;3*[5]QC_indicators!$C$1,"DF","no")))</f>
        <v>no</v>
      </c>
      <c r="EQ1533" t="s">
        <v>2377</v>
      </c>
      <c r="ET1533" s="304" t="s">
        <v>3407</v>
      </c>
    </row>
    <row r="1534" spans="1:150" ht="15" hidden="1" customHeight="1">
      <c r="A1534" s="1" t="s">
        <v>4967</v>
      </c>
      <c r="B1534" t="s">
        <v>5048</v>
      </c>
      <c r="C1534" t="s">
        <v>5049</v>
      </c>
      <c r="D1534" t="s">
        <v>5050</v>
      </c>
      <c r="E1534" t="s">
        <v>5051</v>
      </c>
      <c r="F1534" t="s">
        <v>5052</v>
      </c>
      <c r="G1534" t="s">
        <v>544</v>
      </c>
      <c r="H1534" t="s">
        <v>3964</v>
      </c>
      <c r="I1534">
        <v>2019</v>
      </c>
      <c r="J1534">
        <v>5</v>
      </c>
      <c r="K1534" t="s">
        <v>5053</v>
      </c>
      <c r="M1534" t="str">
        <f t="shared" si="1932"/>
        <v>Tettey_2019</v>
      </c>
      <c r="N1534" t="s">
        <v>2583</v>
      </c>
      <c r="O1534" s="145" t="s">
        <v>1153</v>
      </c>
      <c r="Q1534" s="311" t="s">
        <v>256</v>
      </c>
      <c r="R1534" s="312"/>
      <c r="U1534" s="143"/>
      <c r="AX1534" s="141"/>
      <c r="AY1534" s="141"/>
      <c r="BE1534"/>
      <c r="BF1534" s="2"/>
      <c r="BM1534" s="143"/>
      <c r="BN1534" s="143"/>
      <c r="BP1534" s="143"/>
      <c r="BQ1534" s="143"/>
      <c r="BU1534" s="144"/>
      <c r="BY1534" t="str">
        <f t="shared" si="1992"/>
        <v/>
      </c>
      <c r="CN1534"/>
      <c r="CO1534"/>
      <c r="CP1534"/>
      <c r="CQ1534"/>
      <c r="CR1534"/>
      <c r="CS1534"/>
      <c r="CT1534"/>
      <c r="CU1534"/>
      <c r="CV1534" s="2"/>
      <c r="CX1534"/>
      <c r="DC1534"/>
      <c r="DI1534"/>
      <c r="DJ1534"/>
      <c r="DK1534"/>
      <c r="DL1534"/>
      <c r="DM1534"/>
      <c r="DN1534"/>
      <c r="DT1534"/>
      <c r="DU1534" s="143"/>
      <c r="EK1534" t="str">
        <f>IF(AND(AND(AND(OR($DX1534=1,$DW1534=1),OR($EC1534=1,$EA1534=1)),SUM($DV1534:$DZ1534,$EF1534)&gt;=3),SUM($EA1534:$EE1534)&gt;=2),"Whole sector","")</f>
        <v/>
      </c>
      <c r="EL1534" t="str">
        <f>IF(AND(AND(OR($DX1534=1,$DW1534=1),AND($EC1534=0,$EA1534=0)),SUM($DV1534:$DZ1534,$EF1534)&gt;=3),"Ecosystem approach","")</f>
        <v/>
      </c>
      <c r="EM1534" s="2" t="str">
        <f t="shared" si="1993"/>
        <v/>
      </c>
      <c r="EO1534" t="s">
        <v>4328</v>
      </c>
      <c r="EP1534" t="b">
        <f>IF(ISNUMBER(BU1534),IF(ABS(BU1534-[1]QC_indicators!$B$2)&gt;3*[1]QC_indicators!$C$2,"C ratio",IF(ISNUMBER(BY1534),IF(ABS(BY1534-[1]QC_indicators!$B$1)&gt;3*[1]QC_indicators!$C$1,"DF","no"))),IF(ISNUMBER(BY1534),IF(ABS(BY1534-[1]QC_indicators!$B$1)&gt;3*[1]QC_indicators!$C$1,"DF","no")))</f>
        <v>0</v>
      </c>
    </row>
    <row r="1535" spans="1:150" ht="18" hidden="1" customHeight="1">
      <c r="A1535" s="1" t="s">
        <v>599</v>
      </c>
      <c r="B1535" t="s">
        <v>4879</v>
      </c>
      <c r="C1535" t="s">
        <v>4880</v>
      </c>
      <c r="D1535" t="s">
        <v>4881</v>
      </c>
      <c r="E1535" t="s">
        <v>4882</v>
      </c>
      <c r="F1535" t="s">
        <v>4883</v>
      </c>
      <c r="G1535" t="s">
        <v>605</v>
      </c>
      <c r="H1535" t="s">
        <v>254</v>
      </c>
      <c r="I1535">
        <v>2021</v>
      </c>
      <c r="J1535">
        <v>0</v>
      </c>
      <c r="K1535" t="s">
        <v>4884</v>
      </c>
      <c r="M1535" t="str">
        <f t="shared" si="1932"/>
        <v>Thamboo_2021</v>
      </c>
      <c r="N1535" t="s">
        <v>1351</v>
      </c>
      <c r="O1535" s="145" t="s">
        <v>1153</v>
      </c>
      <c r="Q1535" s="311" t="s">
        <v>256</v>
      </c>
      <c r="R1535" s="312"/>
      <c r="AX1535" s="141"/>
      <c r="AY1535" s="141"/>
      <c r="BE1535"/>
      <c r="BF1535" s="2"/>
      <c r="BM1535" s="143"/>
      <c r="BN1535" s="143"/>
      <c r="BP1535" s="143"/>
      <c r="BQ1535" s="143"/>
      <c r="BU1535" s="144"/>
      <c r="BY1535" t="str">
        <f t="shared" si="1992"/>
        <v/>
      </c>
      <c r="CN1535"/>
      <c r="CO1535"/>
      <c r="CP1535"/>
      <c r="CQ1535"/>
      <c r="CR1535"/>
      <c r="CS1535"/>
      <c r="CT1535"/>
      <c r="CU1535"/>
      <c r="CV1535" s="2"/>
      <c r="CX1535"/>
      <c r="DC1535"/>
      <c r="DI1535"/>
      <c r="DJ1535"/>
      <c r="DK1535"/>
      <c r="DL1535"/>
      <c r="DM1535"/>
      <c r="DN1535"/>
      <c r="DT1535"/>
      <c r="DU1535" s="143"/>
      <c r="EK1535" t="str">
        <f>IF(AND(AND(AND(OR($DX1535=1,$DW1535=1),OR($EC1535=1,$EA1535=1)),SUM($DV1535:$DZ1535,$EF1535)&gt;=3),SUM($EA1535:$EE1535)&gt;=2),"Whole sector","")</f>
        <v/>
      </c>
      <c r="EL1535" t="str">
        <f>IF(AND(AND(OR($DX1535=1,$DW1535=1),AND($EC1535=0,$EA1535=0)),SUM($DV1535:$DZ1535,$EF1535)&gt;=3),"Ecosystem approach","")</f>
        <v/>
      </c>
      <c r="EM1535" s="2" t="str">
        <f t="shared" si="1993"/>
        <v/>
      </c>
      <c r="EN1535" t="s">
        <v>4885</v>
      </c>
      <c r="EO1535" t="s">
        <v>4328</v>
      </c>
      <c r="EP1535" t="b">
        <f>IF(ISNUMBER(BU1535),IF(ABS(BU1535-[1]QC_indicators!$B$2)&gt;3*[1]QC_indicators!$C$2,"C ratio",IF(ISNUMBER(BY1535),IF(ABS(BY1535-[1]QC_indicators!$B$1)&gt;3*[1]QC_indicators!$C$1,"DF","no"))),IF(ISNUMBER(BY1535),IF(ABS(BY1535-[1]QC_indicators!$B$1)&gt;3*[1]QC_indicators!$C$1,"DF","no")))</f>
        <v>0</v>
      </c>
    </row>
    <row r="1536" spans="1:150" ht="18" hidden="1" customHeight="1">
      <c r="A1536" s="1" t="s">
        <v>4685</v>
      </c>
      <c r="B1536" t="s">
        <v>4686</v>
      </c>
      <c r="C1536" t="s">
        <v>544</v>
      </c>
      <c r="D1536" t="s">
        <v>4687</v>
      </c>
      <c r="E1536" t="s">
        <v>4688</v>
      </c>
      <c r="F1536" t="s">
        <v>4689</v>
      </c>
      <c r="G1536" t="s">
        <v>4690</v>
      </c>
      <c r="H1536" t="s">
        <v>254</v>
      </c>
      <c r="I1536">
        <v>2015</v>
      </c>
      <c r="J1536">
        <v>2</v>
      </c>
      <c r="K1536" s="295" t="s">
        <v>4691</v>
      </c>
      <c r="M1536" t="str">
        <f t="shared" si="1932"/>
        <v>Thorpe_2015</v>
      </c>
      <c r="N1536" t="s">
        <v>2582</v>
      </c>
      <c r="O1536" s="145" t="s">
        <v>1153</v>
      </c>
      <c r="Q1536" s="311" t="s">
        <v>256</v>
      </c>
      <c r="R1536" s="312"/>
      <c r="AX1536" s="141"/>
      <c r="AY1536" s="141"/>
      <c r="BE1536"/>
      <c r="BF1536" s="2"/>
      <c r="BM1536" s="143"/>
      <c r="BN1536" s="143"/>
      <c r="BP1536" s="143"/>
      <c r="BQ1536" s="143"/>
      <c r="BU1536" s="144"/>
      <c r="BY1536" t="str">
        <f t="shared" si="1992"/>
        <v/>
      </c>
      <c r="CN1536"/>
      <c r="CO1536"/>
      <c r="CP1536"/>
      <c r="CQ1536"/>
      <c r="CR1536"/>
      <c r="CS1536"/>
      <c r="CT1536"/>
      <c r="CU1536"/>
      <c r="CV1536" s="2"/>
      <c r="CX1536"/>
      <c r="DC1536"/>
      <c r="DI1536"/>
      <c r="DJ1536"/>
      <c r="DK1536"/>
      <c r="DL1536"/>
      <c r="DM1536"/>
      <c r="DN1536"/>
      <c r="DT1536"/>
      <c r="DU1536" s="143"/>
      <c r="EK1536" t="str">
        <f>IF(AND(AND(AND(OR($DX1536=1,$DW1536=1),OR($EC1536=1,$EA1536=1)),SUM($DV1536:$DZ1536,$EF1536)&gt;=3),SUM($EA1536:$EE1536)&gt;=2),"Whole sector","")</f>
        <v/>
      </c>
      <c r="EL1536" t="str">
        <f>IF(AND(AND(OR($DX1536=1,$DW1536=1),AND($EC1536=0,$EA1536=0)),SUM($DV1536:$DZ1536,$EF1536)&gt;=3),"Ecosystem approach","")</f>
        <v/>
      </c>
      <c r="EM1536" s="2" t="str">
        <f t="shared" si="1993"/>
        <v/>
      </c>
      <c r="EN1536" t="s">
        <v>4692</v>
      </c>
      <c r="EO1536" t="s">
        <v>4328</v>
      </c>
      <c r="EP1536" t="b">
        <f>IF(ISNUMBER(BU1536),IF(ABS(BU1536-[1]QC_indicators!$B$2)&gt;3*[1]QC_indicators!$C$2,"C ratio",IF(ISNUMBER(BY1536),IF(ABS(BY1536-[1]QC_indicators!$B$1)&gt;3*[1]QC_indicators!$C$1,"DF","no"))),IF(ISNUMBER(BY1536),IF(ABS(BY1536-[1]QC_indicators!$B$1)&gt;3*[1]QC_indicators!$C$1,"DF","no")))</f>
        <v>0</v>
      </c>
    </row>
    <row r="1537" spans="1:150" ht="18" hidden="1" customHeight="1">
      <c r="A1537" s="1" t="s">
        <v>380</v>
      </c>
      <c r="B1537" t="s">
        <v>4886</v>
      </c>
      <c r="C1537" t="s">
        <v>4887</v>
      </c>
      <c r="D1537" t="s">
        <v>4888</v>
      </c>
      <c r="E1537" t="s">
        <v>4889</v>
      </c>
      <c r="F1537" t="s">
        <v>4890</v>
      </c>
      <c r="G1537" t="s">
        <v>386</v>
      </c>
      <c r="H1537" t="s">
        <v>254</v>
      </c>
      <c r="I1537">
        <v>2014</v>
      </c>
      <c r="J1537">
        <v>12</v>
      </c>
      <c r="K1537" t="s">
        <v>4891</v>
      </c>
      <c r="M1537" t="str">
        <f t="shared" ref="M1537:M1600" si="2031">LEFT($D1537,FIND(",",$D1537)-1)&amp;"_"&amp;I1537&amp;L1537</f>
        <v>Timmermann_2014</v>
      </c>
      <c r="N1537" t="s">
        <v>1351</v>
      </c>
      <c r="O1537" s="145" t="s">
        <v>1153</v>
      </c>
      <c r="Q1537" s="311" t="s">
        <v>256</v>
      </c>
      <c r="R1537" s="312"/>
      <c r="AX1537" s="141"/>
      <c r="AY1537" s="141"/>
      <c r="BE1537"/>
      <c r="BF1537" s="2"/>
      <c r="BM1537" s="143"/>
      <c r="BN1537" s="143"/>
      <c r="BP1537" s="143"/>
      <c r="BQ1537" s="143"/>
      <c r="BU1537" s="144"/>
      <c r="BY1537" t="str">
        <f t="shared" si="1992"/>
        <v/>
      </c>
      <c r="CN1537"/>
      <c r="CO1537"/>
      <c r="CP1537"/>
      <c r="CQ1537"/>
      <c r="CR1537"/>
      <c r="CS1537"/>
      <c r="CT1537"/>
      <c r="CU1537"/>
      <c r="CV1537" s="2"/>
      <c r="CX1537"/>
      <c r="DC1537"/>
      <c r="DI1537"/>
      <c r="DJ1537"/>
      <c r="DK1537"/>
      <c r="DL1537"/>
      <c r="DM1537"/>
      <c r="DN1537"/>
      <c r="DT1537"/>
      <c r="DU1537" s="143"/>
      <c r="EK1537" t="str">
        <f>IF(AND(AND(AND(OR($DX1537=1,$DW1537=1),OR($EC1537=1,$EA1537=1)),SUM($DV1537:$DZ1537,$EF1537)&gt;=3),SUM($EA1537:$EE1537)&gt;=2),"Whole sector","")</f>
        <v/>
      </c>
      <c r="EL1537" t="str">
        <f>IF(AND(AND(OR($DX1537=1,$DW1537=1),AND($EC1537=0,$EA1537=0)),SUM($DV1537:$DZ1537,$EF1537)&gt;=3),"Ecosystem approach","")</f>
        <v/>
      </c>
      <c r="EM1537" s="2" t="str">
        <f t="shared" si="1993"/>
        <v/>
      </c>
      <c r="EN1537" t="s">
        <v>4892</v>
      </c>
      <c r="EO1537" t="s">
        <v>4328</v>
      </c>
      <c r="EP1537" t="b">
        <f>IF(ISNUMBER(BU1537),IF(ABS(BU1537-[1]QC_indicators!$B$2)&gt;3*[1]QC_indicators!$C$2,"C ratio",IF(ISNUMBER(BY1537),IF(ABS(BY1537-[1]QC_indicators!$B$1)&gt;3*[1]QC_indicators!$C$1,"DF","no"))),IF(ISNUMBER(BY1537),IF(ABS(BY1537-[1]QC_indicators!$B$1)&gt;3*[1]QC_indicators!$C$1,"DF","no")))</f>
        <v>0</v>
      </c>
    </row>
    <row r="1538" spans="1:150" ht="18" hidden="1" customHeight="1">
      <c r="A1538" s="1" t="s">
        <v>1101</v>
      </c>
      <c r="B1538" t="s">
        <v>2380</v>
      </c>
      <c r="C1538" t="s">
        <v>2381</v>
      </c>
      <c r="D1538" t="s">
        <v>2382</v>
      </c>
      <c r="E1538" t="s">
        <v>2383</v>
      </c>
      <c r="F1538" t="s">
        <v>2384</v>
      </c>
      <c r="G1538" t="s">
        <v>1107</v>
      </c>
      <c r="H1538" t="s">
        <v>254</v>
      </c>
      <c r="I1538">
        <v>2016</v>
      </c>
      <c r="J1538">
        <v>13</v>
      </c>
      <c r="K1538" t="s">
        <v>2385</v>
      </c>
      <c r="M1538" t="str">
        <f t="shared" si="2031"/>
        <v>Torssonen_2016</v>
      </c>
      <c r="N1538" t="s">
        <v>222</v>
      </c>
      <c r="O1538" s="145" t="s">
        <v>1153</v>
      </c>
      <c r="Q1538" s="264" t="s">
        <v>256</v>
      </c>
      <c r="R1538" s="269" t="s">
        <v>341</v>
      </c>
      <c r="S1538" s="307" t="s">
        <v>3419</v>
      </c>
      <c r="T1538" t="s">
        <v>2397</v>
      </c>
      <c r="U1538" s="264" t="s">
        <v>2414</v>
      </c>
      <c r="V1538">
        <v>0</v>
      </c>
      <c r="W1538">
        <v>0</v>
      </c>
      <c r="X1538">
        <v>0</v>
      </c>
      <c r="Y1538">
        <v>0</v>
      </c>
      <c r="Z1538">
        <v>0</v>
      </c>
      <c r="AA1538">
        <v>0</v>
      </c>
      <c r="AB1538">
        <v>1</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s="141">
        <f>COUNTIF(V1538:AW1538,"&lt;&gt;0")</f>
        <v>1</v>
      </c>
      <c r="AY1538" s="141">
        <f t="shared" ref="AY1538:AY1573" si="2032">COUNTIF(V1538:AL1538,"&lt;&gt;0")</f>
        <v>1</v>
      </c>
      <c r="AZ1538">
        <f t="shared" ref="AZ1538:AZ1573" si="2033">COUNTIF(V1538:AC1538,"&lt;&gt;0")</f>
        <v>1</v>
      </c>
      <c r="BA1538">
        <f t="shared" ref="BA1538:BA1573" si="2034">COUNTIF(AD1538:AI1538,"&lt;&gt;0")</f>
        <v>0</v>
      </c>
      <c r="BB1538">
        <f t="shared" ref="BB1538:BB1573" si="2035">COUNTIF(AJ1538:AL1538,"&lt;&gt;0")</f>
        <v>0</v>
      </c>
      <c r="BC1538">
        <f t="shared" ref="BC1538:BC1573" si="2036">COUNTIF(AS1538:AW1538,"&lt;&gt;0")</f>
        <v>0</v>
      </c>
      <c r="BD1538">
        <f t="shared" ref="BD1538:BD1573" si="2037">COUNTIF(AM1538:AR1538,"&lt;&gt;0")</f>
        <v>0</v>
      </c>
      <c r="BE1538" t="str" cm="1">
        <f t="array" ref="BE1538">IF(AY1538=1,INDEX($V$7:$AL$7,MATCH(TRUE,INDEX($V1538:$AW1538&lt;&gt;0,),0)),IF(AY1538=0,INDEX($AM$7:$AW$7,MATCH(1,$AM1538:$AW1538,0)),IF(BF1538="Multiple strategies","mixed drivers",IF(BF1538="Supply chain","multiple supply","multiple silviculture"))))</f>
        <v>fertilisation</v>
      </c>
      <c r="BF1538" s="2" t="str" cm="1">
        <f t="array" ref="BF1538">IF(COUNTIF(AZ1538:BB1538,"&lt;&gt;0")=1,INDEX($V$4:$AW$4,MATCH(TRUE,INDEX($V1538:$AW1538&lt;&gt;0,),0)),IF(COUNTIF(AZ1538:BB1538,"&lt;&gt;0")=0,INDEX($AM$4:$AW$4,MATCH(1,$AM1538:$AW1538,0)),"Multiple strategies"))</f>
        <v>Silviculture for productivity</v>
      </c>
      <c r="BG1538" s="1" t="s">
        <v>229</v>
      </c>
      <c r="BH1538" s="305" t="s">
        <v>2143</v>
      </c>
      <c r="BI1538" s="264" t="s">
        <v>2390</v>
      </c>
      <c r="BJ1538" s="305" t="s">
        <v>1057</v>
      </c>
      <c r="BK1538">
        <v>6.697959172</v>
      </c>
      <c r="BL1538">
        <v>6.9183673350000001</v>
      </c>
      <c r="BM1538" s="143">
        <f t="shared" ref="BM1538:BM1566" si="2038">BL1538/BK1538</f>
        <v>1.0329067641859313</v>
      </c>
      <c r="BN1538">
        <f t="shared" ref="BN1538:BN1566" si="2039">BL1538-BK1538</f>
        <v>0.2204081630000001</v>
      </c>
      <c r="BO1538">
        <f>BN1538</f>
        <v>0.2204081630000001</v>
      </c>
      <c r="BP1538" s="305" t="s">
        <v>395</v>
      </c>
      <c r="BQ1538" s="153" t="s">
        <v>3420</v>
      </c>
      <c r="BR1538" s="264" t="s">
        <v>2392</v>
      </c>
      <c r="BS1538">
        <v>-302.54545454545399</v>
      </c>
      <c r="BT1538">
        <v>-353.45454545454498</v>
      </c>
      <c r="BU1538" s="144"/>
      <c r="BV1538" s="144">
        <f t="shared" ref="BV1538:BV1573" si="2040">BT1538-BS1538</f>
        <v>-50.909090909090992</v>
      </c>
      <c r="BW1538" s="144"/>
      <c r="BX1538" s="144">
        <f t="shared" ref="BX1538:BX1565" si="2041">BV1538*10^4/10^6</f>
        <v>-0.50909090909090993</v>
      </c>
      <c r="BY1538">
        <f t="shared" si="1992"/>
        <v>-2.3097643125445844</v>
      </c>
      <c r="BZ1538">
        <v>0</v>
      </c>
      <c r="CA1538">
        <v>0</v>
      </c>
      <c r="CB1538">
        <v>0</v>
      </c>
      <c r="CC1538">
        <v>0</v>
      </c>
      <c r="CD1538">
        <v>0</v>
      </c>
      <c r="CE1538">
        <v>0</v>
      </c>
      <c r="CF1538">
        <v>0</v>
      </c>
      <c r="CG1538">
        <v>0</v>
      </c>
      <c r="CH1538">
        <v>0</v>
      </c>
      <c r="CI1538">
        <v>0</v>
      </c>
      <c r="CJ1538">
        <v>0</v>
      </c>
      <c r="CK1538">
        <v>0</v>
      </c>
      <c r="CL1538">
        <v>0</v>
      </c>
      <c r="CM1538">
        <v>1</v>
      </c>
      <c r="CN1538" t="str">
        <f t="shared" ref="CN1538:CN1566" si="2042">IF($BL1538&lt;$BK1538,"refNeedCorrection","refOK")</f>
        <v>refOK</v>
      </c>
      <c r="CO1538">
        <f t="shared" ref="CO1538:CO1566" si="2043">IF($CN1538="refOK",$BK1538,$BL1538)</f>
        <v>6.697959172</v>
      </c>
      <c r="CP1538">
        <f t="shared" ref="CP1538:CP1566" si="2044">IF($CN1538="refOK",$BL1538,$BK1538)</f>
        <v>6.9183673350000001</v>
      </c>
      <c r="CQ1538">
        <f t="shared" ref="CQ1538:CQ1566" si="2045">IF($CN1538="refOK",$BO1538,-$BO1538)</f>
        <v>0.2204081630000001</v>
      </c>
      <c r="CR1538">
        <f t="shared" ref="CR1538:CR1573" si="2046">IF($CN1538="refOK",$BS1538,$BT1538)*IF($BP1538="Emissions positive",-1,1)</f>
        <v>302.54545454545399</v>
      </c>
      <c r="CS1538">
        <f t="shared" ref="CS1538:CS1573" si="2047">IF($CN1538="refOK",$BT1538,$BS1538)*IF($BP1538="Emissions positive",-1,1)</f>
        <v>353.45454545454498</v>
      </c>
      <c r="CT1538">
        <f t="shared" ref="CT1538:CT1573" si="2048">IF($CN1538="refNeedCorrection",-BX1538,BX1538)*IF($BP1538="Emissions positive",-1,1)</f>
        <v>0.50909090909090993</v>
      </c>
      <c r="CU1538">
        <f t="shared" ref="CU1538:CU1573" si="2049">IFERROR(CT1538/CQ1538,"")</f>
        <v>2.3097643125445844</v>
      </c>
      <c r="CV1538" s="2">
        <f t="shared" ref="CV1538:CV1573" si="2050">IFERROR((CS1538-CR1538)/ABS(CR1538),"")</f>
        <v>0.16826923076923134</v>
      </c>
      <c r="CW1538" s="1" t="s">
        <v>1198</v>
      </c>
      <c r="CX1538" s="264" t="str">
        <f t="shared" ref="CX1538:CX1573" si="2051">IF(OR($CW1538="prd",$CW1538="std",$CW1538="cit"),"loc",IF(OR($CW1538="eur",$CW1538="reg",$CW1538="coy"),"reg",$CW1538))</f>
        <v>reg</v>
      </c>
      <c r="CY1538" t="s">
        <v>235</v>
      </c>
      <c r="CZ1538">
        <v>2020</v>
      </c>
      <c r="DA1538">
        <v>2100</v>
      </c>
      <c r="DB1538">
        <f t="shared" ref="DB1538:DB1573" si="2052">DA1538-CZ1538</f>
        <v>80</v>
      </c>
      <c r="DC1538" t="str">
        <f t="shared" ref="DC1538:DC1573" si="2053">IF(DB1538=0,"0",IF(AND(DB1538&gt;=1,DB1538&lt;=30),"1-30",IF(AND(DB1538&gt;30,DB1538&lt;=70),"31-70",IF(AND(DB1538&gt;70,DB1538&lt;=100),"71-100",IF(DB1538&gt;100,"+100")))))</f>
        <v>71-100</v>
      </c>
      <c r="DD1538">
        <v>0</v>
      </c>
      <c r="DE1538">
        <v>1</v>
      </c>
      <c r="DF1538">
        <v>0</v>
      </c>
      <c r="DG1538">
        <v>1</v>
      </c>
      <c r="DI1538">
        <f t="shared" ref="DI1538:DI1573" si="2054">SUM(DD1538:DG1538)</f>
        <v>2</v>
      </c>
      <c r="DJ1538" t="str">
        <f t="shared" ref="DJ1538:DJ1573" si="2055">IF(DI1538=1,INDEX($DD$7:$DG$7,MATCH(1,$DD1538:$DG1538,0)),"mixedProduct")</f>
        <v>mixedProduct</v>
      </c>
      <c r="DK1538">
        <f t="shared" ref="DK1538:DK1573" si="2056">IF(DD1538=1,DK$7,0)</f>
        <v>0</v>
      </c>
      <c r="DL1538" t="str">
        <f t="shared" ref="DL1538:DL1573" si="2057">IF(DE1538=1,DL$7,0)</f>
        <v>Energy</v>
      </c>
      <c r="DM1538">
        <f t="shared" ref="DM1538:DM1573" si="2058">IF(DF1538=1,DM$7,0)</f>
        <v>0</v>
      </c>
      <c r="DN1538" t="str">
        <f t="shared" ref="DN1538:DN1573" si="2059">IF(DG1538=1,DN$7,0)</f>
        <v>Timber</v>
      </c>
      <c r="DO1538">
        <v>1</v>
      </c>
      <c r="DP1538">
        <v>0</v>
      </c>
      <c r="DQ1538">
        <v>0</v>
      </c>
      <c r="DR1538">
        <v>0</v>
      </c>
      <c r="DS1538">
        <v>0</v>
      </c>
      <c r="DT1538">
        <f t="shared" ref="DT1538:DT1573" si="2060">SUM(DO1538:DP1538)</f>
        <v>1</v>
      </c>
      <c r="DU1538" s="143" t="str">
        <f t="shared" ref="DU1538:DU1573" si="2061">IF(DO1538=1,"self-calculated DF",IF(DP1538=1,"external DF used","explicit C balance"))</f>
        <v>self-calculated DF</v>
      </c>
      <c r="DV1538">
        <v>1</v>
      </c>
      <c r="DW1538">
        <v>0</v>
      </c>
      <c r="DX1538">
        <v>1</v>
      </c>
      <c r="DY1538">
        <v>0</v>
      </c>
      <c r="DZ1538">
        <v>0</v>
      </c>
      <c r="EA1538" s="143">
        <v>0</v>
      </c>
      <c r="EB1538">
        <v>0</v>
      </c>
      <c r="EC1538">
        <v>0</v>
      </c>
      <c r="ED1538">
        <v>0</v>
      </c>
      <c r="EE1538">
        <v>0</v>
      </c>
      <c r="EF1538">
        <v>1</v>
      </c>
      <c r="EG1538">
        <v>0</v>
      </c>
      <c r="EH1538">
        <v>0</v>
      </c>
      <c r="EI1538" s="2">
        <v>0</v>
      </c>
      <c r="EK1538" t="str">
        <f t="shared" ref="EK1538:EK1566" si="2062">IF(AND(AND(AND(OR($DX1538=1,$DW1538=1),OR($EC1538=1,$EA1538=1)),SUM($DV1538:$DZ1538,$EF1538)&gt;=4),SUM($EA1538:$EE1538)&gt;=2),"Whole sector","")</f>
        <v/>
      </c>
      <c r="EL1538" t="str">
        <f t="shared" ref="EL1538:EL1566" si="2063">IF(AND(AND(OR($DX1538=1,$DW1538=1),AND($EC1538=0,$EA1538=0)),SUM($DV1538:$DZ1538,$EF1538)&gt;=4),"Ecosystem approach","")</f>
        <v/>
      </c>
      <c r="EM1538" s="2" t="str">
        <f t="shared" si="1993"/>
        <v/>
      </c>
      <c r="EP1538" t="str">
        <f>IF(ISNUMBER(BU1538),IF(ABS(BU1538-[4]QC_indicators!$B$2)&gt;3*[4]QC_indicators!$C$2,"C ratio",IF(ISNUMBER(BY1538),IF(ABS(BY1538-[4]QC_indicators!$B$1)&gt;3*[4]QC_indicators!$C$1,"DF","no"))),IF(ISNUMBER(BY1538),IF(ABS(BY1538-[4]QC_indicators!$B$1)&gt;3*[4]QC_indicators!$C$1,"DF","no")))</f>
        <v>no</v>
      </c>
      <c r="ER1538" s="264" t="s">
        <v>2415</v>
      </c>
      <c r="ET1538" s="305" t="s">
        <v>3421</v>
      </c>
    </row>
    <row r="1539" spans="1:150" ht="18" hidden="1" customHeight="1">
      <c r="A1539" s="1" t="s">
        <v>1101</v>
      </c>
      <c r="B1539" t="s">
        <v>2380</v>
      </c>
      <c r="C1539" t="s">
        <v>2381</v>
      </c>
      <c r="D1539" t="s">
        <v>2382</v>
      </c>
      <c r="E1539" t="s">
        <v>2383</v>
      </c>
      <c r="F1539" t="s">
        <v>2384</v>
      </c>
      <c r="G1539" t="s">
        <v>1107</v>
      </c>
      <c r="H1539" t="s">
        <v>254</v>
      </c>
      <c r="I1539">
        <v>2016</v>
      </c>
      <c r="J1539">
        <v>13</v>
      </c>
      <c r="K1539" t="s">
        <v>2385</v>
      </c>
      <c r="M1539" t="str">
        <f t="shared" si="2031"/>
        <v>Torssonen_2016</v>
      </c>
      <c r="N1539" t="s">
        <v>222</v>
      </c>
      <c r="O1539" s="145" t="s">
        <v>1153</v>
      </c>
      <c r="Q1539" s="264" t="s">
        <v>256</v>
      </c>
      <c r="R1539" s="269" t="s">
        <v>341</v>
      </c>
      <c r="S1539" s="1" t="s">
        <v>2386</v>
      </c>
      <c r="T1539" t="s">
        <v>2394</v>
      </c>
      <c r="U1539" s="264" t="s">
        <v>2416</v>
      </c>
      <c r="V1539">
        <v>0</v>
      </c>
      <c r="W1539">
        <v>0</v>
      </c>
      <c r="X1539">
        <v>0</v>
      </c>
      <c r="Y1539">
        <v>0</v>
      </c>
      <c r="Z1539">
        <v>0</v>
      </c>
      <c r="AA1539">
        <v>0</v>
      </c>
      <c r="AB1539">
        <v>1</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s="141">
        <f>COUNTIF(V1539:AW1539,"&lt;&gt;0")</f>
        <v>1</v>
      </c>
      <c r="AY1539" s="141">
        <f t="shared" si="2032"/>
        <v>1</v>
      </c>
      <c r="AZ1539">
        <f t="shared" si="2033"/>
        <v>1</v>
      </c>
      <c r="BA1539">
        <f t="shared" si="2034"/>
        <v>0</v>
      </c>
      <c r="BB1539">
        <f t="shared" si="2035"/>
        <v>0</v>
      </c>
      <c r="BC1539">
        <f t="shared" si="2036"/>
        <v>0</v>
      </c>
      <c r="BD1539">
        <f t="shared" si="2037"/>
        <v>0</v>
      </c>
      <c r="BE1539" t="str" cm="1">
        <f t="array" ref="BE1539">IF(AY1539=1,INDEX($V$7:$AL$7,MATCH(TRUE,INDEX($V1539:$AW1539&lt;&gt;0,),0)),IF(AY1539=0,INDEX($AM$7:$AW$7,MATCH(1,$AM1539:$AW1539,0)),IF(BF1539="Multiple strategies","mixed drivers",IF(BF1539="Supply chain","multiple supply","multiple silviculture"))))</f>
        <v>fertilisation</v>
      </c>
      <c r="BF1539" s="2" t="str" cm="1">
        <f t="array" ref="BF1539">IF(COUNTIF(AZ1539:BB1539,"&lt;&gt;0")=1,INDEX($V$4:$AW$4,MATCH(TRUE,INDEX($V1539:$AW1539&lt;&gt;0,),0)),IF(COUNTIF(AZ1539:BB1539,"&lt;&gt;0")=0,INDEX($AM$4:$AW$4,MATCH(1,$AM1539:$AW1539,0)),"Multiple strategies"))</f>
        <v>Silviculture for productivity</v>
      </c>
      <c r="BG1539" s="1" t="s">
        <v>229</v>
      </c>
      <c r="BH1539" s="305" t="s">
        <v>2143</v>
      </c>
      <c r="BI1539" s="264" t="s">
        <v>2390</v>
      </c>
      <c r="BJ1539" s="305" t="s">
        <v>1057</v>
      </c>
      <c r="BK1539">
        <v>7.9367346699999999</v>
      </c>
      <c r="BL1539">
        <v>8.0775509959999994</v>
      </c>
      <c r="BM1539" s="143">
        <f t="shared" si="2038"/>
        <v>1.0177423502050875</v>
      </c>
      <c r="BN1539">
        <f t="shared" si="2039"/>
        <v>0.14081632599999949</v>
      </c>
      <c r="BO1539">
        <f>BN1539</f>
        <v>0.14081632599999949</v>
      </c>
      <c r="BP1539" s="305" t="s">
        <v>395</v>
      </c>
      <c r="BQ1539" s="153" t="s">
        <v>3420</v>
      </c>
      <c r="BR1539" s="264" t="s">
        <v>2392</v>
      </c>
      <c r="BS1539">
        <v>-402.90909090909099</v>
      </c>
      <c r="BT1539">
        <v>-421.81818181818102</v>
      </c>
      <c r="BU1539" s="144"/>
      <c r="BV1539" s="144">
        <f t="shared" si="2040"/>
        <v>-18.909090909090025</v>
      </c>
      <c r="BW1539" s="144"/>
      <c r="BX1539" s="144">
        <f t="shared" si="2041"/>
        <v>-0.18909090909090023</v>
      </c>
      <c r="BY1539">
        <f t="shared" si="1992"/>
        <v>-1.34281950440108</v>
      </c>
      <c r="BZ1539">
        <v>0</v>
      </c>
      <c r="CA1539">
        <v>0</v>
      </c>
      <c r="CB1539">
        <v>0</v>
      </c>
      <c r="CC1539">
        <v>0</v>
      </c>
      <c r="CD1539">
        <v>0</v>
      </c>
      <c r="CE1539">
        <v>0</v>
      </c>
      <c r="CF1539">
        <v>0</v>
      </c>
      <c r="CG1539">
        <v>0</v>
      </c>
      <c r="CH1539">
        <v>0</v>
      </c>
      <c r="CI1539">
        <v>0</v>
      </c>
      <c r="CJ1539">
        <v>0</v>
      </c>
      <c r="CK1539">
        <v>0</v>
      </c>
      <c r="CL1539">
        <v>0</v>
      </c>
      <c r="CM1539">
        <v>1</v>
      </c>
      <c r="CN1539" t="str">
        <f t="shared" si="2042"/>
        <v>refOK</v>
      </c>
      <c r="CO1539">
        <f t="shared" si="2043"/>
        <v>7.9367346699999999</v>
      </c>
      <c r="CP1539">
        <f t="shared" si="2044"/>
        <v>8.0775509959999994</v>
      </c>
      <c r="CQ1539">
        <f t="shared" si="2045"/>
        <v>0.14081632599999949</v>
      </c>
      <c r="CR1539">
        <f t="shared" si="2046"/>
        <v>402.90909090909099</v>
      </c>
      <c r="CS1539">
        <f t="shared" si="2047"/>
        <v>421.81818181818102</v>
      </c>
      <c r="CT1539">
        <f t="shared" si="2048"/>
        <v>0.18909090909090023</v>
      </c>
      <c r="CU1539">
        <f t="shared" si="2049"/>
        <v>1.34281950440108</v>
      </c>
      <c r="CV1539" s="2">
        <f t="shared" si="2050"/>
        <v>4.6931407942236061E-2</v>
      </c>
      <c r="CW1539" s="1" t="s">
        <v>1198</v>
      </c>
      <c r="CX1539" s="264" t="str">
        <f t="shared" si="2051"/>
        <v>reg</v>
      </c>
      <c r="CY1539" t="s">
        <v>235</v>
      </c>
      <c r="CZ1539">
        <v>2020</v>
      </c>
      <c r="DA1539">
        <v>2100</v>
      </c>
      <c r="DB1539">
        <f t="shared" si="2052"/>
        <v>80</v>
      </c>
      <c r="DC1539" t="str">
        <f t="shared" si="2053"/>
        <v>71-100</v>
      </c>
      <c r="DD1539">
        <v>0</v>
      </c>
      <c r="DE1539">
        <v>1</v>
      </c>
      <c r="DF1539">
        <v>0</v>
      </c>
      <c r="DG1539">
        <v>1</v>
      </c>
      <c r="DI1539">
        <f t="shared" si="2054"/>
        <v>2</v>
      </c>
      <c r="DJ1539" t="str">
        <f t="shared" si="2055"/>
        <v>mixedProduct</v>
      </c>
      <c r="DK1539">
        <f t="shared" si="2056"/>
        <v>0</v>
      </c>
      <c r="DL1539" t="str">
        <f t="shared" si="2057"/>
        <v>Energy</v>
      </c>
      <c r="DM1539">
        <f t="shared" si="2058"/>
        <v>0</v>
      </c>
      <c r="DN1539" t="str">
        <f t="shared" si="2059"/>
        <v>Timber</v>
      </c>
      <c r="DO1539">
        <v>1</v>
      </c>
      <c r="DP1539">
        <v>0</v>
      </c>
      <c r="DQ1539">
        <v>0</v>
      </c>
      <c r="DR1539">
        <v>0</v>
      </c>
      <c r="DS1539">
        <v>0</v>
      </c>
      <c r="DT1539">
        <f t="shared" si="2060"/>
        <v>1</v>
      </c>
      <c r="DU1539" s="143" t="str">
        <f t="shared" si="2061"/>
        <v>self-calculated DF</v>
      </c>
      <c r="DV1539">
        <v>1</v>
      </c>
      <c r="DW1539">
        <v>0</v>
      </c>
      <c r="DX1539">
        <v>1</v>
      </c>
      <c r="DY1539">
        <v>0</v>
      </c>
      <c r="DZ1539">
        <v>0</v>
      </c>
      <c r="EA1539" s="143">
        <v>0</v>
      </c>
      <c r="EB1539">
        <v>0</v>
      </c>
      <c r="EC1539">
        <v>0</v>
      </c>
      <c r="ED1539">
        <v>0</v>
      </c>
      <c r="EE1539">
        <v>0</v>
      </c>
      <c r="EF1539">
        <v>1</v>
      </c>
      <c r="EG1539">
        <v>0</v>
      </c>
      <c r="EH1539">
        <v>0</v>
      </c>
      <c r="EI1539" s="2">
        <v>0</v>
      </c>
      <c r="EK1539" t="str">
        <f t="shared" si="2062"/>
        <v/>
      </c>
      <c r="EL1539" t="str">
        <f t="shared" si="2063"/>
        <v/>
      </c>
      <c r="EM1539" s="2" t="str">
        <f t="shared" si="1993"/>
        <v/>
      </c>
      <c r="EP1539" t="str">
        <f>IF(ISNUMBER(BU1539),IF(ABS(BU1539-[4]QC_indicators!$B$2)&gt;3*[4]QC_indicators!$C$2,"C ratio",IF(ISNUMBER(BY1539),IF(ABS(BY1539-[4]QC_indicators!$B$1)&gt;3*[4]QC_indicators!$C$1,"DF","no"))),IF(ISNUMBER(BY1539),IF(ABS(BY1539-[4]QC_indicators!$B$1)&gt;3*[4]QC_indicators!$C$1,"DF","no")))</f>
        <v>no</v>
      </c>
      <c r="ER1539" s="264" t="s">
        <v>2415</v>
      </c>
      <c r="ET1539" s="305" t="s">
        <v>3421</v>
      </c>
    </row>
    <row r="1540" spans="1:150" ht="18" hidden="1" customHeight="1">
      <c r="A1540" s="1" t="s">
        <v>1101</v>
      </c>
      <c r="B1540" t="s">
        <v>2380</v>
      </c>
      <c r="C1540" t="s">
        <v>2381</v>
      </c>
      <c r="D1540" t="s">
        <v>2382</v>
      </c>
      <c r="E1540" t="s">
        <v>2383</v>
      </c>
      <c r="F1540" t="s">
        <v>2384</v>
      </c>
      <c r="G1540" t="s">
        <v>1107</v>
      </c>
      <c r="H1540" t="s">
        <v>254</v>
      </c>
      <c r="I1540">
        <v>2016</v>
      </c>
      <c r="J1540">
        <v>13</v>
      </c>
      <c r="K1540" t="s">
        <v>2385</v>
      </c>
      <c r="M1540" t="str">
        <f t="shared" si="2031"/>
        <v>Torssonen_2016</v>
      </c>
      <c r="N1540" t="s">
        <v>222</v>
      </c>
      <c r="O1540" s="145" t="s">
        <v>1153</v>
      </c>
      <c r="Q1540" s="264" t="s">
        <v>256</v>
      </c>
      <c r="R1540" s="269" t="s">
        <v>341</v>
      </c>
      <c r="S1540" s="1" t="s">
        <v>2386</v>
      </c>
      <c r="T1540" t="s">
        <v>2387</v>
      </c>
      <c r="U1540" s="264" t="s">
        <v>2398</v>
      </c>
      <c r="V1540">
        <v>0</v>
      </c>
      <c r="W1540">
        <v>0</v>
      </c>
      <c r="X1540">
        <v>0</v>
      </c>
      <c r="Y1540">
        <v>1</v>
      </c>
      <c r="Z1540">
        <v>0</v>
      </c>
      <c r="AA1540">
        <v>0</v>
      </c>
      <c r="AB1540">
        <v>1</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s="141">
        <f>COUNTIF(V1540:AW1540,"&lt;&gt;0")</f>
        <v>2</v>
      </c>
      <c r="AY1540" s="141">
        <f t="shared" si="2032"/>
        <v>2</v>
      </c>
      <c r="AZ1540">
        <f t="shared" si="2033"/>
        <v>2</v>
      </c>
      <c r="BA1540">
        <f t="shared" si="2034"/>
        <v>0</v>
      </c>
      <c r="BB1540">
        <f t="shared" si="2035"/>
        <v>0</v>
      </c>
      <c r="BC1540">
        <f t="shared" si="2036"/>
        <v>0</v>
      </c>
      <c r="BD1540">
        <f t="shared" si="2037"/>
        <v>0</v>
      </c>
      <c r="BE1540" t="str" cm="1">
        <f t="array" ref="BE1540">IF(AY1540=1,INDEX($V$7:$AL$7,MATCH(TRUE,INDEX($V1540:$AW1540&lt;&gt;0,),0)),IF(AY1540=0,INDEX($AM$7:$AW$7,MATCH(1,$AM1540:$AW1540,0)),IF(BF1540="Multiple strategies","mixed drivers",IF(BF1540="Supply chain","multiple supply","multiple silviculture"))))</f>
        <v>multiple silviculture</v>
      </c>
      <c r="BF1540" s="2" t="str" cm="1">
        <f t="array" ref="BF1540">IF(COUNTIF(AZ1540:BB1540,"&lt;&gt;0")=1,INDEX($V$4:$AW$4,MATCH(TRUE,INDEX($V1540:$AW1540&lt;&gt;0,),0)),IF(COUNTIF(AZ1540:BB1540,"&lt;&gt;0")=0,INDEX($AM$4:$AW$4,MATCH(1,$AM1540:$AW1540,0)),"Multiple strategies"))</f>
        <v>Silviculture for removals</v>
      </c>
      <c r="BG1540" s="1" t="s">
        <v>229</v>
      </c>
      <c r="BH1540" t="s">
        <v>2389</v>
      </c>
      <c r="BI1540" s="264" t="s">
        <v>2390</v>
      </c>
      <c r="BJ1540" t="s">
        <v>2391</v>
      </c>
      <c r="BK1540">
        <v>0</v>
      </c>
      <c r="BL1540">
        <v>0.35</v>
      </c>
      <c r="BM1540" s="143" t="e">
        <f t="shared" si="2038"/>
        <v>#DIV/0!</v>
      </c>
      <c r="BN1540">
        <f t="shared" si="2039"/>
        <v>0.35</v>
      </c>
      <c r="BO1540">
        <f>+BL1540*t_to_m3</f>
        <v>0.7142857142857143</v>
      </c>
      <c r="BP1540" s="305" t="s">
        <v>395</v>
      </c>
      <c r="BQ1540" s="153" t="s">
        <v>3420</v>
      </c>
      <c r="BR1540" s="264" t="s">
        <v>2392</v>
      </c>
      <c r="BS1540">
        <v>-247.272727272727</v>
      </c>
      <c r="BT1540">
        <v>-324.36363636363598</v>
      </c>
      <c r="BU1540" s="144"/>
      <c r="BV1540" s="144">
        <f t="shared" si="2040"/>
        <v>-77.09090909090898</v>
      </c>
      <c r="BW1540" s="144"/>
      <c r="BX1540" s="144">
        <f t="shared" si="2041"/>
        <v>-0.77090909090908977</v>
      </c>
      <c r="BY1540">
        <f t="shared" si="1992"/>
        <v>-1.0792727272727256</v>
      </c>
      <c r="BZ1540">
        <v>0</v>
      </c>
      <c r="CA1540">
        <v>0</v>
      </c>
      <c r="CB1540">
        <v>0</v>
      </c>
      <c r="CC1540">
        <v>0</v>
      </c>
      <c r="CD1540">
        <v>0</v>
      </c>
      <c r="CE1540">
        <v>0</v>
      </c>
      <c r="CF1540">
        <v>0</v>
      </c>
      <c r="CG1540">
        <v>0</v>
      </c>
      <c r="CH1540">
        <v>0</v>
      </c>
      <c r="CI1540">
        <v>0</v>
      </c>
      <c r="CJ1540">
        <v>0</v>
      </c>
      <c r="CK1540">
        <v>0</v>
      </c>
      <c r="CL1540">
        <v>0</v>
      </c>
      <c r="CM1540">
        <v>1</v>
      </c>
      <c r="CN1540" t="str">
        <f t="shared" si="2042"/>
        <v>refOK</v>
      </c>
      <c r="CO1540">
        <f t="shared" si="2043"/>
        <v>0</v>
      </c>
      <c r="CP1540">
        <f t="shared" si="2044"/>
        <v>0.35</v>
      </c>
      <c r="CQ1540">
        <f t="shared" si="2045"/>
        <v>0.7142857142857143</v>
      </c>
      <c r="CR1540">
        <f t="shared" si="2046"/>
        <v>247.272727272727</v>
      </c>
      <c r="CS1540">
        <f t="shared" si="2047"/>
        <v>324.36363636363598</v>
      </c>
      <c r="CT1540">
        <f t="shared" si="2048"/>
        <v>0.77090909090908977</v>
      </c>
      <c r="CU1540">
        <f t="shared" si="2049"/>
        <v>1.0792727272727256</v>
      </c>
      <c r="CV1540" s="2">
        <f t="shared" si="2050"/>
        <v>0.31176470588235283</v>
      </c>
      <c r="CW1540" s="1" t="s">
        <v>1198</v>
      </c>
      <c r="CX1540" s="264" t="str">
        <f t="shared" si="2051"/>
        <v>reg</v>
      </c>
      <c r="CY1540" t="s">
        <v>235</v>
      </c>
      <c r="CZ1540">
        <v>2020</v>
      </c>
      <c r="DA1540">
        <v>2100</v>
      </c>
      <c r="DB1540">
        <f t="shared" si="2052"/>
        <v>80</v>
      </c>
      <c r="DC1540" t="str">
        <f t="shared" si="2053"/>
        <v>71-100</v>
      </c>
      <c r="DD1540">
        <v>0</v>
      </c>
      <c r="DE1540">
        <v>1</v>
      </c>
      <c r="DF1540">
        <v>0</v>
      </c>
      <c r="DG1540">
        <v>0</v>
      </c>
      <c r="DI1540">
        <f t="shared" si="2054"/>
        <v>1</v>
      </c>
      <c r="DJ1540" t="str">
        <f t="shared" si="2055"/>
        <v>EnergyInput</v>
      </c>
      <c r="DK1540">
        <f t="shared" si="2056"/>
        <v>0</v>
      </c>
      <c r="DL1540" t="str">
        <f t="shared" si="2057"/>
        <v>Energy</v>
      </c>
      <c r="DM1540">
        <f t="shared" si="2058"/>
        <v>0</v>
      </c>
      <c r="DN1540">
        <f t="shared" si="2059"/>
        <v>0</v>
      </c>
      <c r="DO1540">
        <v>1</v>
      </c>
      <c r="DP1540">
        <v>0</v>
      </c>
      <c r="DQ1540">
        <v>0</v>
      </c>
      <c r="DR1540">
        <v>0</v>
      </c>
      <c r="DS1540">
        <v>0</v>
      </c>
      <c r="DT1540">
        <f t="shared" si="2060"/>
        <v>1</v>
      </c>
      <c r="DU1540" s="143" t="str">
        <f t="shared" si="2061"/>
        <v>self-calculated DF</v>
      </c>
      <c r="DV1540">
        <v>1</v>
      </c>
      <c r="DW1540">
        <v>0</v>
      </c>
      <c r="DX1540">
        <v>1</v>
      </c>
      <c r="DY1540">
        <v>0</v>
      </c>
      <c r="DZ1540">
        <v>0</v>
      </c>
      <c r="EA1540" s="143">
        <v>0</v>
      </c>
      <c r="EB1540">
        <v>0</v>
      </c>
      <c r="EC1540">
        <v>0</v>
      </c>
      <c r="ED1540">
        <v>0</v>
      </c>
      <c r="EE1540">
        <v>0</v>
      </c>
      <c r="EF1540">
        <v>1</v>
      </c>
      <c r="EG1540">
        <v>0</v>
      </c>
      <c r="EH1540">
        <v>0</v>
      </c>
      <c r="EI1540" s="2">
        <v>0</v>
      </c>
      <c r="EK1540" t="str">
        <f t="shared" si="2062"/>
        <v/>
      </c>
      <c r="EL1540" t="str">
        <f t="shared" si="2063"/>
        <v/>
      </c>
      <c r="EM1540" s="2" t="str">
        <f t="shared" si="1993"/>
        <v/>
      </c>
      <c r="EP1540" t="str">
        <f>IF(ISNUMBER(BU1540),IF(ABS(BU1540-[4]QC_indicators!$B$2)&gt;3*[4]QC_indicators!$C$2,"C ratio",IF(ISNUMBER(BY1540),IF(ABS(BY1540-[4]QC_indicators!$B$1)&gt;3*[4]QC_indicators!$C$1,"DF","no"))),IF(ISNUMBER(BY1540),IF(ABS(BY1540-[4]QC_indicators!$B$1)&gt;3*[4]QC_indicators!$C$1,"DF","no")))</f>
        <v>no</v>
      </c>
      <c r="ER1540" s="264" t="s">
        <v>2393</v>
      </c>
      <c r="ET1540" s="305" t="s">
        <v>3421</v>
      </c>
    </row>
    <row r="1541" spans="1:150" ht="18" hidden="1" customHeight="1">
      <c r="A1541" s="1" t="s">
        <v>1101</v>
      </c>
      <c r="B1541" t="s">
        <v>2380</v>
      </c>
      <c r="C1541" t="s">
        <v>2381</v>
      </c>
      <c r="D1541" t="s">
        <v>2382</v>
      </c>
      <c r="E1541" t="s">
        <v>2383</v>
      </c>
      <c r="F1541" t="s">
        <v>2384</v>
      </c>
      <c r="G1541" t="s">
        <v>1107</v>
      </c>
      <c r="H1541" t="s">
        <v>254</v>
      </c>
      <c r="I1541">
        <v>2016</v>
      </c>
      <c r="J1541">
        <v>13</v>
      </c>
      <c r="K1541" t="s">
        <v>2385</v>
      </c>
      <c r="M1541" t="str">
        <f t="shared" si="2031"/>
        <v>Torssonen_2016</v>
      </c>
      <c r="N1541" t="s">
        <v>222</v>
      </c>
      <c r="O1541" s="145" t="s">
        <v>1153</v>
      </c>
      <c r="Q1541" s="264" t="s">
        <v>256</v>
      </c>
      <c r="R1541" s="269" t="s">
        <v>341</v>
      </c>
      <c r="S1541" s="1" t="s">
        <v>2396</v>
      </c>
      <c r="T1541" t="s">
        <v>2387</v>
      </c>
      <c r="U1541" t="s">
        <v>2397</v>
      </c>
      <c r="V1541">
        <v>0</v>
      </c>
      <c r="W1541">
        <v>0</v>
      </c>
      <c r="X1541">
        <v>0</v>
      </c>
      <c r="Y1541">
        <v>1</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s="141">
        <f>COUNTIF(V1541:AW1541,"&lt;&gt;0")</f>
        <v>1</v>
      </c>
      <c r="AY1541" s="141">
        <f t="shared" si="2032"/>
        <v>1</v>
      </c>
      <c r="AZ1541">
        <f t="shared" si="2033"/>
        <v>1</v>
      </c>
      <c r="BA1541">
        <f t="shared" si="2034"/>
        <v>0</v>
      </c>
      <c r="BB1541">
        <f t="shared" si="2035"/>
        <v>0</v>
      </c>
      <c r="BC1541">
        <f t="shared" si="2036"/>
        <v>0</v>
      </c>
      <c r="BD1541">
        <f t="shared" si="2037"/>
        <v>0</v>
      </c>
      <c r="BE1541" t="str" cm="1">
        <f t="array" ref="BE1541">IF(AY1541=1,INDEX($V$7:$AL$7,MATCH(TRUE,INDEX($V1541:$AW1541&lt;&gt;0,),0)),IF(AY1541=0,INDEX($AM$7:$AW$7,MATCH(1,$AM1541:$AW1541,0)),IF(BF1541="Multiple strategies","mixed drivers",IF(BF1541="Supply chain","multiple supply","multiple silviculture"))))</f>
        <v xml:space="preserve">cutting intensity </v>
      </c>
      <c r="BF1541" s="2" t="str" cm="1">
        <f t="array" ref="BF1541">IF(COUNTIF(AZ1541:BB1541,"&lt;&gt;0")=1,INDEX($V$4:$AW$4,MATCH(TRUE,INDEX($V1541:$AW1541&lt;&gt;0,),0)),IF(COUNTIF(AZ1541:BB1541,"&lt;&gt;0")=0,INDEX($AM$4:$AW$4,MATCH(1,$AM1541:$AW1541,0)),"Multiple strategies"))</f>
        <v>Silviculture for removals</v>
      </c>
      <c r="BG1541" s="1" t="s">
        <v>229</v>
      </c>
      <c r="BH1541" t="s">
        <v>2389</v>
      </c>
      <c r="BI1541" s="264" t="s">
        <v>2390</v>
      </c>
      <c r="BJ1541" t="s">
        <v>2391</v>
      </c>
      <c r="BK1541">
        <v>0</v>
      </c>
      <c r="BL1541">
        <v>0.44</v>
      </c>
      <c r="BM1541" s="143" t="e">
        <f t="shared" si="2038"/>
        <v>#DIV/0!</v>
      </c>
      <c r="BN1541">
        <f t="shared" si="2039"/>
        <v>0.44</v>
      </c>
      <c r="BO1541">
        <f>+BL1541*t_to_m3</f>
        <v>0.89795918367346939</v>
      </c>
      <c r="BP1541" s="305" t="s">
        <v>395</v>
      </c>
      <c r="BQ1541" s="153" t="s">
        <v>3420</v>
      </c>
      <c r="BR1541" s="264" t="s">
        <v>2392</v>
      </c>
      <c r="BS1541">
        <v>-247.272727272727</v>
      </c>
      <c r="BT1541">
        <v>-334.54545454545399</v>
      </c>
      <c r="BU1541" s="144"/>
      <c r="BV1541" s="144">
        <f t="shared" si="2040"/>
        <v>-87.272727272726996</v>
      </c>
      <c r="BW1541" s="144"/>
      <c r="BX1541" s="144">
        <f t="shared" si="2041"/>
        <v>-0.87272727272726991</v>
      </c>
      <c r="BY1541">
        <f t="shared" si="1992"/>
        <v>-0.97190082644627784</v>
      </c>
      <c r="BZ1541">
        <v>0</v>
      </c>
      <c r="CA1541">
        <v>0</v>
      </c>
      <c r="CB1541">
        <v>0</v>
      </c>
      <c r="CC1541">
        <v>0</v>
      </c>
      <c r="CD1541">
        <v>0</v>
      </c>
      <c r="CE1541">
        <v>0</v>
      </c>
      <c r="CF1541">
        <v>0</v>
      </c>
      <c r="CG1541">
        <v>0</v>
      </c>
      <c r="CH1541">
        <v>0</v>
      </c>
      <c r="CI1541">
        <v>0</v>
      </c>
      <c r="CJ1541">
        <v>0</v>
      </c>
      <c r="CK1541">
        <v>0</v>
      </c>
      <c r="CL1541">
        <v>0</v>
      </c>
      <c r="CM1541">
        <v>1</v>
      </c>
      <c r="CN1541" t="str">
        <f t="shared" si="2042"/>
        <v>refOK</v>
      </c>
      <c r="CO1541">
        <f t="shared" si="2043"/>
        <v>0</v>
      </c>
      <c r="CP1541">
        <f t="shared" si="2044"/>
        <v>0.44</v>
      </c>
      <c r="CQ1541">
        <f t="shared" si="2045"/>
        <v>0.89795918367346939</v>
      </c>
      <c r="CR1541">
        <f t="shared" si="2046"/>
        <v>247.272727272727</v>
      </c>
      <c r="CS1541">
        <f t="shared" si="2047"/>
        <v>334.54545454545399</v>
      </c>
      <c r="CT1541">
        <f t="shared" si="2048"/>
        <v>0.87272727272726991</v>
      </c>
      <c r="CU1541">
        <f t="shared" si="2049"/>
        <v>0.97190082644627784</v>
      </c>
      <c r="CV1541" s="2">
        <f t="shared" si="2050"/>
        <v>0.35294117647058754</v>
      </c>
      <c r="CW1541" s="1" t="s">
        <v>1198</v>
      </c>
      <c r="CX1541" s="264" t="str">
        <f t="shared" si="2051"/>
        <v>reg</v>
      </c>
      <c r="CY1541" t="s">
        <v>235</v>
      </c>
      <c r="CZ1541">
        <v>2020</v>
      </c>
      <c r="DA1541">
        <v>2100</v>
      </c>
      <c r="DB1541">
        <f t="shared" si="2052"/>
        <v>80</v>
      </c>
      <c r="DC1541" t="str">
        <f t="shared" si="2053"/>
        <v>71-100</v>
      </c>
      <c r="DD1541">
        <v>0</v>
      </c>
      <c r="DE1541">
        <v>1</v>
      </c>
      <c r="DF1541">
        <v>0</v>
      </c>
      <c r="DG1541">
        <v>0</v>
      </c>
      <c r="DI1541">
        <f t="shared" si="2054"/>
        <v>1</v>
      </c>
      <c r="DJ1541" t="str">
        <f t="shared" si="2055"/>
        <v>EnergyInput</v>
      </c>
      <c r="DK1541">
        <f t="shared" si="2056"/>
        <v>0</v>
      </c>
      <c r="DL1541" t="str">
        <f t="shared" si="2057"/>
        <v>Energy</v>
      </c>
      <c r="DM1541">
        <f t="shared" si="2058"/>
        <v>0</v>
      </c>
      <c r="DN1541">
        <f t="shared" si="2059"/>
        <v>0</v>
      </c>
      <c r="DO1541">
        <v>1</v>
      </c>
      <c r="DP1541">
        <v>0</v>
      </c>
      <c r="DQ1541">
        <v>0</v>
      </c>
      <c r="DR1541">
        <v>0</v>
      </c>
      <c r="DS1541">
        <v>0</v>
      </c>
      <c r="DT1541">
        <f t="shared" si="2060"/>
        <v>1</v>
      </c>
      <c r="DU1541" s="143" t="str">
        <f t="shared" si="2061"/>
        <v>self-calculated DF</v>
      </c>
      <c r="DV1541">
        <v>1</v>
      </c>
      <c r="DW1541">
        <v>0</v>
      </c>
      <c r="DX1541">
        <v>1</v>
      </c>
      <c r="DY1541">
        <v>0</v>
      </c>
      <c r="DZ1541">
        <v>0</v>
      </c>
      <c r="EA1541" s="143">
        <v>0</v>
      </c>
      <c r="EB1541">
        <v>0</v>
      </c>
      <c r="EC1541">
        <v>0</v>
      </c>
      <c r="ED1541">
        <v>0</v>
      </c>
      <c r="EE1541">
        <v>0</v>
      </c>
      <c r="EF1541">
        <v>1</v>
      </c>
      <c r="EG1541">
        <v>0</v>
      </c>
      <c r="EH1541">
        <v>0</v>
      </c>
      <c r="EI1541" s="2">
        <v>0</v>
      </c>
      <c r="EK1541" t="str">
        <f t="shared" si="2062"/>
        <v/>
      </c>
      <c r="EL1541" t="str">
        <f t="shared" si="2063"/>
        <v/>
      </c>
      <c r="EM1541" s="2" t="str">
        <f t="shared" si="1993"/>
        <v/>
      </c>
      <c r="EP1541" t="str">
        <f>IF(ISNUMBER(BU1541),IF(ABS(BU1541-[4]QC_indicators!$B$2)&gt;3*[4]QC_indicators!$C$2,"C ratio",IF(ISNUMBER(BY1541),IF(ABS(BY1541-[4]QC_indicators!$B$1)&gt;3*[4]QC_indicators!$C$1,"DF","no"))),IF(ISNUMBER(BY1541),IF(ABS(BY1541-[4]QC_indicators!$B$1)&gt;3*[4]QC_indicators!$C$1,"DF","no")))</f>
        <v>no</v>
      </c>
      <c r="ER1541" s="264" t="s">
        <v>2393</v>
      </c>
      <c r="ET1541" s="305" t="s">
        <v>3421</v>
      </c>
    </row>
    <row r="1542" spans="1:150" ht="18" hidden="1" customHeight="1">
      <c r="A1542" s="1" t="s">
        <v>1101</v>
      </c>
      <c r="B1542" t="s">
        <v>2380</v>
      </c>
      <c r="C1542" t="s">
        <v>2381</v>
      </c>
      <c r="D1542" t="s">
        <v>2382</v>
      </c>
      <c r="E1542" t="s">
        <v>2383</v>
      </c>
      <c r="F1542" t="s">
        <v>2384</v>
      </c>
      <c r="G1542" t="s">
        <v>1107</v>
      </c>
      <c r="H1542" t="s">
        <v>254</v>
      </c>
      <c r="I1542">
        <v>2016</v>
      </c>
      <c r="J1542">
        <v>13</v>
      </c>
      <c r="K1542" t="s">
        <v>2385</v>
      </c>
      <c r="M1542" t="str">
        <f t="shared" si="2031"/>
        <v>Torssonen_2016</v>
      </c>
      <c r="N1542" t="s">
        <v>222</v>
      </c>
      <c r="O1542" s="145" t="s">
        <v>1153</v>
      </c>
      <c r="Q1542" s="264" t="s">
        <v>256</v>
      </c>
      <c r="R1542" s="269" t="s">
        <v>341</v>
      </c>
      <c r="S1542" s="1" t="s">
        <v>2386</v>
      </c>
      <c r="T1542" t="s">
        <v>2387</v>
      </c>
      <c r="U1542" t="s">
        <v>2395</v>
      </c>
      <c r="V1542">
        <v>0</v>
      </c>
      <c r="W1542">
        <v>0</v>
      </c>
      <c r="X1542">
        <v>0</v>
      </c>
      <c r="Y1542">
        <v>1</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s="141">
        <v>1</v>
      </c>
      <c r="AY1542" s="141">
        <f t="shared" si="2032"/>
        <v>1</v>
      </c>
      <c r="AZ1542">
        <f t="shared" si="2033"/>
        <v>1</v>
      </c>
      <c r="BA1542">
        <f t="shared" si="2034"/>
        <v>0</v>
      </c>
      <c r="BB1542">
        <f t="shared" si="2035"/>
        <v>0</v>
      </c>
      <c r="BC1542">
        <f t="shared" si="2036"/>
        <v>0</v>
      </c>
      <c r="BD1542">
        <f t="shared" si="2037"/>
        <v>0</v>
      </c>
      <c r="BE1542" t="str" cm="1">
        <f t="array" ref="BE1542">IF(AY1542=1,INDEX($V$7:$AL$7,MATCH(TRUE,INDEX($V1542:$AW1542&lt;&gt;0,),0)),IF(AY1542=0,INDEX($AM$7:$AW$7,MATCH(1,$AM1542:$AW1542,0)),IF(BF1542="Multiple strategies","mixed drivers",IF(BF1542="Supply chain","multiple supply","multiple silviculture"))))</f>
        <v xml:space="preserve">cutting intensity </v>
      </c>
      <c r="BF1542" s="2" t="str" cm="1">
        <f t="array" ref="BF1542">IF(COUNTIF(AZ1542:BB1542,"&lt;&gt;0")=1,INDEX($V$4:$AW$4,MATCH(TRUE,INDEX($V1542:$AW1542&lt;&gt;0,),0)),IF(COUNTIF(AZ1542:BB1542,"&lt;&gt;0")=0,INDEX($AM$4:$AW$4,MATCH(1,$AM1542:$AW1542,0)),"Multiple strategies"))</f>
        <v>Silviculture for removals</v>
      </c>
      <c r="BG1542" s="1" t="s">
        <v>229</v>
      </c>
      <c r="BH1542" t="s">
        <v>2389</v>
      </c>
      <c r="BI1542" s="264" t="s">
        <v>2390</v>
      </c>
      <c r="BJ1542" t="s">
        <v>2391</v>
      </c>
      <c r="BK1542">
        <v>0</v>
      </c>
      <c r="BL1542">
        <v>1.1200000000000001</v>
      </c>
      <c r="BM1542" s="143" t="e">
        <f t="shared" si="2038"/>
        <v>#DIV/0!</v>
      </c>
      <c r="BN1542">
        <f t="shared" si="2039"/>
        <v>1.1200000000000001</v>
      </c>
      <c r="BO1542">
        <f>+BL1542*t_to_m3</f>
        <v>2.285714285714286</v>
      </c>
      <c r="BP1542" s="305" t="s">
        <v>395</v>
      </c>
      <c r="BQ1542" s="153" t="s">
        <v>3420</v>
      </c>
      <c r="BR1542" s="264" t="s">
        <v>2392</v>
      </c>
      <c r="BS1542">
        <v>-247.272727272727</v>
      </c>
      <c r="BT1542">
        <v>-456.72727272727298</v>
      </c>
      <c r="BU1542" s="144"/>
      <c r="BV1542" s="144">
        <f t="shared" si="2040"/>
        <v>-209.45454545454598</v>
      </c>
      <c r="BW1542" s="144"/>
      <c r="BX1542" s="144">
        <f t="shared" si="2041"/>
        <v>-2.0945454545454596</v>
      </c>
      <c r="BY1542">
        <f t="shared" si="1992"/>
        <v>-0.91636363636363849</v>
      </c>
      <c r="BZ1542">
        <v>0</v>
      </c>
      <c r="CA1542">
        <v>0</v>
      </c>
      <c r="CB1542">
        <v>0</v>
      </c>
      <c r="CC1542">
        <v>0</v>
      </c>
      <c r="CD1542">
        <v>0</v>
      </c>
      <c r="CE1542">
        <v>0</v>
      </c>
      <c r="CF1542">
        <v>0</v>
      </c>
      <c r="CG1542">
        <v>0</v>
      </c>
      <c r="CH1542">
        <v>0</v>
      </c>
      <c r="CI1542">
        <v>0</v>
      </c>
      <c r="CJ1542">
        <v>0</v>
      </c>
      <c r="CK1542">
        <v>0</v>
      </c>
      <c r="CL1542">
        <v>0</v>
      </c>
      <c r="CM1542">
        <v>1</v>
      </c>
      <c r="CN1542" t="str">
        <f t="shared" si="2042"/>
        <v>refOK</v>
      </c>
      <c r="CO1542">
        <f t="shared" si="2043"/>
        <v>0</v>
      </c>
      <c r="CP1542">
        <f t="shared" si="2044"/>
        <v>1.1200000000000001</v>
      </c>
      <c r="CQ1542">
        <f t="shared" si="2045"/>
        <v>2.285714285714286</v>
      </c>
      <c r="CR1542">
        <f t="shared" si="2046"/>
        <v>247.272727272727</v>
      </c>
      <c r="CS1542">
        <f t="shared" si="2047"/>
        <v>456.72727272727298</v>
      </c>
      <c r="CT1542">
        <f t="shared" si="2048"/>
        <v>2.0945454545454596</v>
      </c>
      <c r="CU1542">
        <f t="shared" si="2049"/>
        <v>0.91636363636363849</v>
      </c>
      <c r="CV1542" s="2">
        <f t="shared" si="2050"/>
        <v>0.84705882352941486</v>
      </c>
      <c r="CW1542" s="1" t="s">
        <v>1198</v>
      </c>
      <c r="CX1542" s="264" t="str">
        <f t="shared" si="2051"/>
        <v>reg</v>
      </c>
      <c r="CY1542" t="s">
        <v>235</v>
      </c>
      <c r="CZ1542">
        <v>2020</v>
      </c>
      <c r="DA1542">
        <v>2100</v>
      </c>
      <c r="DB1542">
        <f t="shared" si="2052"/>
        <v>80</v>
      </c>
      <c r="DC1542" t="str">
        <f t="shared" si="2053"/>
        <v>71-100</v>
      </c>
      <c r="DD1542">
        <v>0</v>
      </c>
      <c r="DE1542">
        <v>1</v>
      </c>
      <c r="DF1542">
        <v>0</v>
      </c>
      <c r="DG1542">
        <v>0</v>
      </c>
      <c r="DI1542">
        <f t="shared" si="2054"/>
        <v>1</v>
      </c>
      <c r="DJ1542" t="str">
        <f t="shared" si="2055"/>
        <v>EnergyInput</v>
      </c>
      <c r="DK1542">
        <f t="shared" si="2056"/>
        <v>0</v>
      </c>
      <c r="DL1542" t="str">
        <f t="shared" si="2057"/>
        <v>Energy</v>
      </c>
      <c r="DM1542">
        <f t="shared" si="2058"/>
        <v>0</v>
      </c>
      <c r="DN1542">
        <f t="shared" si="2059"/>
        <v>0</v>
      </c>
      <c r="DO1542">
        <v>1</v>
      </c>
      <c r="DP1542">
        <v>0</v>
      </c>
      <c r="DQ1542">
        <v>0</v>
      </c>
      <c r="DR1542">
        <v>0</v>
      </c>
      <c r="DS1542">
        <v>0</v>
      </c>
      <c r="DT1542">
        <f t="shared" si="2060"/>
        <v>1</v>
      </c>
      <c r="DU1542" s="143" t="str">
        <f t="shared" si="2061"/>
        <v>self-calculated DF</v>
      </c>
      <c r="DV1542">
        <v>1</v>
      </c>
      <c r="DW1542">
        <v>0</v>
      </c>
      <c r="DX1542">
        <v>1</v>
      </c>
      <c r="DY1542">
        <v>0</v>
      </c>
      <c r="DZ1542">
        <v>0</v>
      </c>
      <c r="EA1542" s="143">
        <v>0</v>
      </c>
      <c r="EB1542">
        <v>0</v>
      </c>
      <c r="EC1542">
        <v>0</v>
      </c>
      <c r="ED1542">
        <v>0</v>
      </c>
      <c r="EE1542">
        <v>0</v>
      </c>
      <c r="EF1542">
        <v>1</v>
      </c>
      <c r="EG1542">
        <v>0</v>
      </c>
      <c r="EH1542">
        <v>0</v>
      </c>
      <c r="EI1542" s="2">
        <v>0</v>
      </c>
      <c r="EK1542" t="str">
        <f t="shared" si="2062"/>
        <v/>
      </c>
      <c r="EL1542" t="str">
        <f t="shared" si="2063"/>
        <v/>
      </c>
      <c r="EM1542" s="2" t="str">
        <f t="shared" si="1993"/>
        <v/>
      </c>
      <c r="EP1542" t="str">
        <f>IF(ISNUMBER(BU1542),IF(ABS(BU1542-[4]QC_indicators!$B$2)&gt;3*[4]QC_indicators!$C$2,"C ratio",IF(ISNUMBER(BY1542),IF(ABS(BY1542-[4]QC_indicators!$B$1)&gt;3*[4]QC_indicators!$C$1,"DF","no"))),IF(ISNUMBER(BY1542),IF(ABS(BY1542-[4]QC_indicators!$B$1)&gt;3*[4]QC_indicators!$C$1,"DF","no")))</f>
        <v>no</v>
      </c>
      <c r="ER1542" s="264" t="s">
        <v>2393</v>
      </c>
      <c r="ET1542" s="305" t="s">
        <v>3421</v>
      </c>
    </row>
    <row r="1543" spans="1:150" ht="18" hidden="1" customHeight="1">
      <c r="A1543" s="1" t="s">
        <v>1101</v>
      </c>
      <c r="B1543" t="s">
        <v>2380</v>
      </c>
      <c r="C1543" t="s">
        <v>2381</v>
      </c>
      <c r="D1543" t="s">
        <v>2382</v>
      </c>
      <c r="E1543" t="s">
        <v>2383</v>
      </c>
      <c r="F1543" t="s">
        <v>2384</v>
      </c>
      <c r="G1543" t="s">
        <v>1107</v>
      </c>
      <c r="H1543" t="s">
        <v>254</v>
      </c>
      <c r="I1543">
        <v>2016</v>
      </c>
      <c r="J1543">
        <v>13</v>
      </c>
      <c r="K1543" t="s">
        <v>2385</v>
      </c>
      <c r="M1543" t="str">
        <f t="shared" si="2031"/>
        <v>Torssonen_2016</v>
      </c>
      <c r="N1543" t="s">
        <v>222</v>
      </c>
      <c r="O1543" s="145" t="s">
        <v>1153</v>
      </c>
      <c r="Q1543" s="264" t="s">
        <v>256</v>
      </c>
      <c r="R1543" s="269" t="s">
        <v>341</v>
      </c>
      <c r="S1543" s="1" t="s">
        <v>2386</v>
      </c>
      <c r="T1543" t="s">
        <v>2395</v>
      </c>
      <c r="U1543" s="264" t="s">
        <v>2417</v>
      </c>
      <c r="V1543">
        <v>0</v>
      </c>
      <c r="W1543">
        <v>0</v>
      </c>
      <c r="X1543">
        <v>0</v>
      </c>
      <c r="Y1543">
        <v>0</v>
      </c>
      <c r="Z1543">
        <v>0</v>
      </c>
      <c r="AA1543">
        <v>0</v>
      </c>
      <c r="AB1543">
        <v>1</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s="141">
        <f>COUNTIF(V1543:AW1543,"&lt;&gt;0")</f>
        <v>1</v>
      </c>
      <c r="AY1543" s="141">
        <f t="shared" si="2032"/>
        <v>1</v>
      </c>
      <c r="AZ1543">
        <f t="shared" si="2033"/>
        <v>1</v>
      </c>
      <c r="BA1543">
        <f t="shared" si="2034"/>
        <v>0</v>
      </c>
      <c r="BB1543">
        <f t="shared" si="2035"/>
        <v>0</v>
      </c>
      <c r="BC1543">
        <f t="shared" si="2036"/>
        <v>0</v>
      </c>
      <c r="BD1543">
        <f t="shared" si="2037"/>
        <v>0</v>
      </c>
      <c r="BE1543" t="str" cm="1">
        <f t="array" ref="BE1543">IF(AY1543=1,INDEX($V$7:$AL$7,MATCH(TRUE,INDEX($V1543:$AW1543&lt;&gt;0,),0)),IF(AY1543=0,INDEX($AM$7:$AW$7,MATCH(1,$AM1543:$AW1543,0)),IF(BF1543="Multiple strategies","mixed drivers",IF(BF1543="Supply chain","multiple supply","multiple silviculture"))))</f>
        <v>fertilisation</v>
      </c>
      <c r="BF1543" s="2" t="str" cm="1">
        <f t="array" ref="BF1543">IF(COUNTIF(AZ1543:BB1543,"&lt;&gt;0")=1,INDEX($V$4:$AW$4,MATCH(TRUE,INDEX($V1543:$AW1543&lt;&gt;0,),0)),IF(COUNTIF(AZ1543:BB1543,"&lt;&gt;0")=0,INDEX($AM$4:$AW$4,MATCH(1,$AM1543:$AW1543,0)),"Multiple strategies"))</f>
        <v>Silviculture for productivity</v>
      </c>
      <c r="BG1543" s="1" t="s">
        <v>229</v>
      </c>
      <c r="BH1543" s="305" t="s">
        <v>2143</v>
      </c>
      <c r="BI1543" s="264" t="s">
        <v>2390</v>
      </c>
      <c r="BJ1543" s="305" t="s">
        <v>1057</v>
      </c>
      <c r="BK1543">
        <v>8.0857142559999993</v>
      </c>
      <c r="BL1543">
        <v>8.3265305820000002</v>
      </c>
      <c r="BM1543" s="143">
        <f t="shared" si="2038"/>
        <v>1.0297829379539727</v>
      </c>
      <c r="BN1543">
        <f t="shared" si="2039"/>
        <v>0.24081632600000091</v>
      </c>
      <c r="BO1543">
        <f>BN1543</f>
        <v>0.24081632600000091</v>
      </c>
      <c r="BP1543" s="305" t="s">
        <v>395</v>
      </c>
      <c r="BQ1543" s="153" t="s">
        <v>3420</v>
      </c>
      <c r="BR1543" s="264" t="s">
        <v>2392</v>
      </c>
      <c r="BS1543">
        <v>-456.72727272727298</v>
      </c>
      <c r="BT1543">
        <v>-478.54545454545399</v>
      </c>
      <c r="BU1543" s="144"/>
      <c r="BV1543" s="144">
        <f t="shared" si="2040"/>
        <v>-21.818181818181017</v>
      </c>
      <c r="BW1543" s="144"/>
      <c r="BX1543" s="144">
        <f t="shared" si="2041"/>
        <v>-0.21818181818181018</v>
      </c>
      <c r="BY1543">
        <f t="shared" si="1992"/>
        <v>-0.90600924698855068</v>
      </c>
      <c r="BZ1543">
        <v>0</v>
      </c>
      <c r="CA1543">
        <v>0</v>
      </c>
      <c r="CB1543">
        <v>0</v>
      </c>
      <c r="CC1543">
        <v>0</v>
      </c>
      <c r="CD1543">
        <v>0</v>
      </c>
      <c r="CE1543">
        <v>0</v>
      </c>
      <c r="CF1543">
        <v>0</v>
      </c>
      <c r="CG1543">
        <v>0</v>
      </c>
      <c r="CH1543">
        <v>0</v>
      </c>
      <c r="CI1543">
        <v>0</v>
      </c>
      <c r="CJ1543">
        <v>0</v>
      </c>
      <c r="CK1543">
        <v>0</v>
      </c>
      <c r="CL1543">
        <v>0</v>
      </c>
      <c r="CM1543">
        <v>1</v>
      </c>
      <c r="CN1543" t="str">
        <f t="shared" si="2042"/>
        <v>refOK</v>
      </c>
      <c r="CO1543">
        <f t="shared" si="2043"/>
        <v>8.0857142559999993</v>
      </c>
      <c r="CP1543">
        <f t="shared" si="2044"/>
        <v>8.3265305820000002</v>
      </c>
      <c r="CQ1543">
        <f t="shared" si="2045"/>
        <v>0.24081632600000091</v>
      </c>
      <c r="CR1543">
        <f t="shared" si="2046"/>
        <v>456.72727272727298</v>
      </c>
      <c r="CS1543">
        <f t="shared" si="2047"/>
        <v>478.54545454545399</v>
      </c>
      <c r="CT1543">
        <f t="shared" si="2048"/>
        <v>0.21818181818181018</v>
      </c>
      <c r="CU1543">
        <f t="shared" si="2049"/>
        <v>0.90600924698855068</v>
      </c>
      <c r="CV1543" s="2">
        <f t="shared" si="2050"/>
        <v>4.7770700636940895E-2</v>
      </c>
      <c r="CW1543" s="1" t="s">
        <v>1198</v>
      </c>
      <c r="CX1543" s="264" t="str">
        <f t="shared" si="2051"/>
        <v>reg</v>
      </c>
      <c r="CY1543" t="s">
        <v>235</v>
      </c>
      <c r="CZ1543">
        <v>2020</v>
      </c>
      <c r="DA1543">
        <v>2100</v>
      </c>
      <c r="DB1543">
        <f t="shared" si="2052"/>
        <v>80</v>
      </c>
      <c r="DC1543" t="str">
        <f t="shared" si="2053"/>
        <v>71-100</v>
      </c>
      <c r="DD1543">
        <v>0</v>
      </c>
      <c r="DE1543">
        <v>1</v>
      </c>
      <c r="DF1543">
        <v>0</v>
      </c>
      <c r="DG1543">
        <v>1</v>
      </c>
      <c r="DI1543">
        <f t="shared" si="2054"/>
        <v>2</v>
      </c>
      <c r="DJ1543" t="str">
        <f t="shared" si="2055"/>
        <v>mixedProduct</v>
      </c>
      <c r="DK1543">
        <f t="shared" si="2056"/>
        <v>0</v>
      </c>
      <c r="DL1543" t="str">
        <f t="shared" si="2057"/>
        <v>Energy</v>
      </c>
      <c r="DM1543">
        <f t="shared" si="2058"/>
        <v>0</v>
      </c>
      <c r="DN1543" t="str">
        <f t="shared" si="2059"/>
        <v>Timber</v>
      </c>
      <c r="DO1543">
        <v>1</v>
      </c>
      <c r="DP1543">
        <v>0</v>
      </c>
      <c r="DQ1543">
        <v>0</v>
      </c>
      <c r="DR1543">
        <v>0</v>
      </c>
      <c r="DS1543">
        <v>0</v>
      </c>
      <c r="DT1543">
        <f t="shared" si="2060"/>
        <v>1</v>
      </c>
      <c r="DU1543" s="143" t="str">
        <f t="shared" si="2061"/>
        <v>self-calculated DF</v>
      </c>
      <c r="DV1543">
        <v>1</v>
      </c>
      <c r="DW1543">
        <v>0</v>
      </c>
      <c r="DX1543">
        <v>1</v>
      </c>
      <c r="DY1543">
        <v>0</v>
      </c>
      <c r="DZ1543">
        <v>0</v>
      </c>
      <c r="EA1543" s="143">
        <v>0</v>
      </c>
      <c r="EB1543">
        <v>0</v>
      </c>
      <c r="EC1543">
        <v>0</v>
      </c>
      <c r="ED1543">
        <v>0</v>
      </c>
      <c r="EE1543">
        <v>0</v>
      </c>
      <c r="EF1543">
        <v>1</v>
      </c>
      <c r="EG1543">
        <v>0</v>
      </c>
      <c r="EH1543">
        <v>0</v>
      </c>
      <c r="EI1543" s="2">
        <v>0</v>
      </c>
      <c r="EK1543" t="str">
        <f t="shared" si="2062"/>
        <v/>
      </c>
      <c r="EL1543" t="str">
        <f t="shared" si="2063"/>
        <v/>
      </c>
      <c r="EM1543" s="2" t="str">
        <f t="shared" si="1993"/>
        <v/>
      </c>
      <c r="EP1543" t="str">
        <f>IF(ISNUMBER(BU1543),IF(ABS(BU1543-[4]QC_indicators!$B$2)&gt;3*[4]QC_indicators!$C$2,"C ratio",IF(ISNUMBER(BY1543),IF(ABS(BY1543-[4]QC_indicators!$B$1)&gt;3*[4]QC_indicators!$C$1,"DF","no"))),IF(ISNUMBER(BY1543),IF(ABS(BY1543-[4]QC_indicators!$B$1)&gt;3*[4]QC_indicators!$C$1,"DF","no")))</f>
        <v>no</v>
      </c>
      <c r="ER1543" s="264" t="s">
        <v>2415</v>
      </c>
      <c r="ET1543" s="305" t="s">
        <v>3421</v>
      </c>
    </row>
    <row r="1544" spans="1:150" ht="18" hidden="1" customHeight="1">
      <c r="A1544" s="1" t="s">
        <v>1101</v>
      </c>
      <c r="B1544" t="s">
        <v>2380</v>
      </c>
      <c r="C1544" t="s">
        <v>2381</v>
      </c>
      <c r="D1544" t="s">
        <v>2382</v>
      </c>
      <c r="E1544" t="s">
        <v>2383</v>
      </c>
      <c r="F1544" t="s">
        <v>2384</v>
      </c>
      <c r="G1544" t="s">
        <v>1107</v>
      </c>
      <c r="H1544" t="s">
        <v>254</v>
      </c>
      <c r="I1544">
        <v>2016</v>
      </c>
      <c r="J1544">
        <v>13</v>
      </c>
      <c r="K1544" t="s">
        <v>2385</v>
      </c>
      <c r="M1544" t="str">
        <f t="shared" si="2031"/>
        <v>Torssonen_2016</v>
      </c>
      <c r="N1544" t="s">
        <v>222</v>
      </c>
      <c r="O1544" s="145" t="s">
        <v>1153</v>
      </c>
      <c r="Q1544" s="264" t="s">
        <v>256</v>
      </c>
      <c r="R1544" s="269" t="s">
        <v>341</v>
      </c>
      <c r="S1544" s="1" t="s">
        <v>2386</v>
      </c>
      <c r="T1544" t="s">
        <v>2397</v>
      </c>
      <c r="U1544" t="s">
        <v>2395</v>
      </c>
      <c r="V1544">
        <v>0</v>
      </c>
      <c r="W1544">
        <v>0</v>
      </c>
      <c r="X1544">
        <v>0</v>
      </c>
      <c r="Y1544">
        <v>1</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s="141">
        <v>1</v>
      </c>
      <c r="AY1544" s="141">
        <f t="shared" si="2032"/>
        <v>1</v>
      </c>
      <c r="AZ1544">
        <f t="shared" si="2033"/>
        <v>1</v>
      </c>
      <c r="BA1544">
        <f t="shared" si="2034"/>
        <v>0</v>
      </c>
      <c r="BB1544">
        <f t="shared" si="2035"/>
        <v>0</v>
      </c>
      <c r="BC1544">
        <f t="shared" si="2036"/>
        <v>0</v>
      </c>
      <c r="BD1544">
        <f t="shared" si="2037"/>
        <v>0</v>
      </c>
      <c r="BE1544" t="str" cm="1">
        <f t="array" ref="BE1544">IF(AY1544=1,INDEX($V$7:$AL$7,MATCH(TRUE,INDEX($V1544:$AW1544&lt;&gt;0,),0)),IF(AY1544=0,INDEX($AM$7:$AW$7,MATCH(1,$AM1544:$AW1544,0)),IF(BF1544="Multiple strategies","mixed drivers",IF(BF1544="Supply chain","multiple supply","multiple silviculture"))))</f>
        <v xml:space="preserve">cutting intensity </v>
      </c>
      <c r="BF1544" s="2" t="str" cm="1">
        <f t="array" ref="BF1544">IF(COUNTIF(AZ1544:BB1544,"&lt;&gt;0")=1,INDEX($V$4:$AW$4,MATCH(TRUE,INDEX($V1544:$AW1544&lt;&gt;0,),0)),IF(COUNTIF(AZ1544:BB1544,"&lt;&gt;0")=0,INDEX($AM$4:$AW$4,MATCH(1,$AM1544:$AW1544,0)),"Multiple strategies"))</f>
        <v>Silviculture for removals</v>
      </c>
      <c r="BG1544" s="1" t="s">
        <v>229</v>
      </c>
      <c r="BH1544" s="305" t="s">
        <v>2143</v>
      </c>
      <c r="BI1544" s="264" t="s">
        <v>2390</v>
      </c>
      <c r="BJ1544" s="305" t="s">
        <v>1057</v>
      </c>
      <c r="BK1544">
        <v>6.697959172</v>
      </c>
      <c r="BL1544">
        <v>8.0857142559999993</v>
      </c>
      <c r="BM1544" s="143">
        <f t="shared" si="2038"/>
        <v>1.2071907350228916</v>
      </c>
      <c r="BN1544">
        <f t="shared" si="2039"/>
        <v>1.3877550839999993</v>
      </c>
      <c r="BO1544">
        <f>BN1544</f>
        <v>1.3877550839999993</v>
      </c>
      <c r="BP1544" s="305" t="s">
        <v>395</v>
      </c>
      <c r="BQ1544" s="153" t="s">
        <v>3420</v>
      </c>
      <c r="BR1544" s="264" t="s">
        <v>2392</v>
      </c>
      <c r="BS1544" s="299">
        <v>-334.54545000000002</v>
      </c>
      <c r="BT1544">
        <v>-456.72727272727298</v>
      </c>
      <c r="BU1544" s="144"/>
      <c r="BV1544" s="144">
        <f t="shared" si="2040"/>
        <v>-122.18182272727296</v>
      </c>
      <c r="BW1544" s="144"/>
      <c r="BX1544" s="144">
        <f t="shared" si="2041"/>
        <v>-1.2218182272727296</v>
      </c>
      <c r="BY1544">
        <f t="shared" si="1992"/>
        <v>-0.88042785168620596</v>
      </c>
      <c r="BZ1544">
        <v>0</v>
      </c>
      <c r="CA1544">
        <v>0</v>
      </c>
      <c r="CB1544">
        <v>0</v>
      </c>
      <c r="CC1544">
        <v>0</v>
      </c>
      <c r="CD1544">
        <v>0</v>
      </c>
      <c r="CE1544">
        <v>0</v>
      </c>
      <c r="CF1544">
        <v>0</v>
      </c>
      <c r="CG1544">
        <v>0</v>
      </c>
      <c r="CH1544">
        <v>0</v>
      </c>
      <c r="CI1544">
        <v>0</v>
      </c>
      <c r="CJ1544">
        <v>0</v>
      </c>
      <c r="CK1544">
        <v>0</v>
      </c>
      <c r="CL1544">
        <v>0</v>
      </c>
      <c r="CM1544">
        <v>1</v>
      </c>
      <c r="CN1544" t="str">
        <f t="shared" si="2042"/>
        <v>refOK</v>
      </c>
      <c r="CO1544">
        <f t="shared" si="2043"/>
        <v>6.697959172</v>
      </c>
      <c r="CP1544">
        <f t="shared" si="2044"/>
        <v>8.0857142559999993</v>
      </c>
      <c r="CQ1544">
        <f t="shared" si="2045"/>
        <v>1.3877550839999993</v>
      </c>
      <c r="CR1544">
        <f t="shared" si="2046"/>
        <v>334.54545000000002</v>
      </c>
      <c r="CS1544">
        <f t="shared" si="2047"/>
        <v>456.72727272727298</v>
      </c>
      <c r="CT1544">
        <f t="shared" si="2048"/>
        <v>1.2218182272727296</v>
      </c>
      <c r="CU1544">
        <f t="shared" si="2049"/>
        <v>0.88042785168620596</v>
      </c>
      <c r="CV1544" s="2">
        <f t="shared" si="2050"/>
        <v>0.3652174098534981</v>
      </c>
      <c r="CW1544" s="1" t="s">
        <v>1198</v>
      </c>
      <c r="CX1544" s="264" t="str">
        <f t="shared" si="2051"/>
        <v>reg</v>
      </c>
      <c r="CY1544" t="s">
        <v>235</v>
      </c>
      <c r="CZ1544">
        <v>2020</v>
      </c>
      <c r="DA1544">
        <v>2100</v>
      </c>
      <c r="DB1544">
        <f t="shared" si="2052"/>
        <v>80</v>
      </c>
      <c r="DC1544" t="str">
        <f t="shared" si="2053"/>
        <v>71-100</v>
      </c>
      <c r="DD1544">
        <v>0</v>
      </c>
      <c r="DE1544">
        <v>1</v>
      </c>
      <c r="DF1544">
        <v>0</v>
      </c>
      <c r="DG1544">
        <v>1</v>
      </c>
      <c r="DI1544">
        <f t="shared" si="2054"/>
        <v>2</v>
      </c>
      <c r="DJ1544" t="str">
        <f t="shared" si="2055"/>
        <v>mixedProduct</v>
      </c>
      <c r="DK1544">
        <f t="shared" si="2056"/>
        <v>0</v>
      </c>
      <c r="DL1544" t="str">
        <f t="shared" si="2057"/>
        <v>Energy</v>
      </c>
      <c r="DM1544">
        <f t="shared" si="2058"/>
        <v>0</v>
      </c>
      <c r="DN1544" t="str">
        <f t="shared" si="2059"/>
        <v>Timber</v>
      </c>
      <c r="DO1544">
        <v>1</v>
      </c>
      <c r="DP1544">
        <v>0</v>
      </c>
      <c r="DQ1544">
        <v>0</v>
      </c>
      <c r="DR1544">
        <v>0</v>
      </c>
      <c r="DS1544">
        <v>0</v>
      </c>
      <c r="DT1544">
        <f t="shared" si="2060"/>
        <v>1</v>
      </c>
      <c r="DU1544" s="143" t="str">
        <f t="shared" si="2061"/>
        <v>self-calculated DF</v>
      </c>
      <c r="DV1544">
        <v>1</v>
      </c>
      <c r="DW1544">
        <v>0</v>
      </c>
      <c r="DX1544">
        <v>1</v>
      </c>
      <c r="DY1544">
        <v>0</v>
      </c>
      <c r="DZ1544">
        <v>0</v>
      </c>
      <c r="EA1544" s="143">
        <v>0</v>
      </c>
      <c r="EB1544">
        <v>0</v>
      </c>
      <c r="EC1544">
        <v>0</v>
      </c>
      <c r="ED1544">
        <v>0</v>
      </c>
      <c r="EE1544">
        <v>0</v>
      </c>
      <c r="EF1544">
        <v>1</v>
      </c>
      <c r="EG1544">
        <v>0</v>
      </c>
      <c r="EH1544">
        <v>0</v>
      </c>
      <c r="EI1544" s="2">
        <v>0</v>
      </c>
      <c r="EK1544" t="str">
        <f t="shared" si="2062"/>
        <v/>
      </c>
      <c r="EL1544" t="str">
        <f t="shared" si="2063"/>
        <v/>
      </c>
      <c r="EM1544" s="2" t="str">
        <f t="shared" si="1993"/>
        <v/>
      </c>
      <c r="EP1544" t="str">
        <f>IF(ISNUMBER(BU1544),IF(ABS(BU1544-[4]QC_indicators!$B$2)&gt;3*[4]QC_indicators!$C$2,"C ratio",IF(ISNUMBER(BY1544),IF(ABS(BY1544-[4]QC_indicators!$B$1)&gt;3*[4]QC_indicators!$C$1,"DF","no"))),IF(ISNUMBER(BY1544),IF(ABS(BY1544-[4]QC_indicators!$B$1)&gt;3*[4]QC_indicators!$C$1,"DF","no")))</f>
        <v>no</v>
      </c>
      <c r="ER1544" s="264" t="s">
        <v>2393</v>
      </c>
      <c r="ET1544" s="305" t="s">
        <v>3421</v>
      </c>
    </row>
    <row r="1545" spans="1:150" ht="18" hidden="1" customHeight="1">
      <c r="A1545" s="1" t="s">
        <v>1101</v>
      </c>
      <c r="B1545" t="s">
        <v>2380</v>
      </c>
      <c r="C1545" t="s">
        <v>2381</v>
      </c>
      <c r="D1545" t="s">
        <v>2382</v>
      </c>
      <c r="E1545" t="s">
        <v>2383</v>
      </c>
      <c r="F1545" t="s">
        <v>2384</v>
      </c>
      <c r="G1545" t="s">
        <v>1107</v>
      </c>
      <c r="H1545" t="s">
        <v>254</v>
      </c>
      <c r="I1545">
        <v>2016</v>
      </c>
      <c r="J1545">
        <v>13</v>
      </c>
      <c r="K1545" t="s">
        <v>2385</v>
      </c>
      <c r="M1545" t="str">
        <f t="shared" si="2031"/>
        <v>Torssonen_2016</v>
      </c>
      <c r="N1545" t="s">
        <v>222</v>
      </c>
      <c r="O1545" s="145" t="s">
        <v>1153</v>
      </c>
      <c r="Q1545" s="264" t="s">
        <v>256</v>
      </c>
      <c r="R1545" s="269" t="s">
        <v>341</v>
      </c>
      <c r="S1545" s="1" t="s">
        <v>2386</v>
      </c>
      <c r="T1545" t="s">
        <v>2387</v>
      </c>
      <c r="U1545" t="s">
        <v>2394</v>
      </c>
      <c r="V1545">
        <v>0</v>
      </c>
      <c r="W1545">
        <v>0</v>
      </c>
      <c r="X1545">
        <v>0</v>
      </c>
      <c r="Y1545">
        <v>1</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s="141">
        <f t="shared" ref="AX1545:AX1573" si="2064">COUNTIF(V1545:AW1545,"&lt;&gt;0")</f>
        <v>1</v>
      </c>
      <c r="AY1545" s="141">
        <f t="shared" si="2032"/>
        <v>1</v>
      </c>
      <c r="AZ1545">
        <f t="shared" si="2033"/>
        <v>1</v>
      </c>
      <c r="BA1545">
        <f t="shared" si="2034"/>
        <v>0</v>
      </c>
      <c r="BB1545">
        <f t="shared" si="2035"/>
        <v>0</v>
      </c>
      <c r="BC1545">
        <f t="shared" si="2036"/>
        <v>0</v>
      </c>
      <c r="BD1545">
        <f t="shared" si="2037"/>
        <v>0</v>
      </c>
      <c r="BE1545" t="str" cm="1">
        <f t="array" ref="BE1545">IF(AY1545=1,INDEX($V$7:$AL$7,MATCH(TRUE,INDEX($V1545:$AW1545&lt;&gt;0,),0)),IF(AY1545=0,INDEX($AM$7:$AW$7,MATCH(1,$AM1545:$AW1545,0)),IF(BF1545="Multiple strategies","mixed drivers",IF(BF1545="Supply chain","multiple supply","multiple silviculture"))))</f>
        <v xml:space="preserve">cutting intensity </v>
      </c>
      <c r="BF1545" s="2" t="str" cm="1">
        <f t="array" ref="BF1545">IF(COUNTIF(AZ1545:BB1545,"&lt;&gt;0")=1,INDEX($V$4:$AW$4,MATCH(TRUE,INDEX($V1545:$AW1545&lt;&gt;0,),0)),IF(COUNTIF(AZ1545:BB1545,"&lt;&gt;0")=0,INDEX($AM$4:$AW$4,MATCH(1,$AM1545:$AW1545,0)),"Multiple strategies"))</f>
        <v>Silviculture for removals</v>
      </c>
      <c r="BG1545" s="1" t="s">
        <v>229</v>
      </c>
      <c r="BH1545" t="s">
        <v>2389</v>
      </c>
      <c r="BI1545" s="264" t="s">
        <v>2390</v>
      </c>
      <c r="BJ1545" t="s">
        <v>2391</v>
      </c>
      <c r="BK1545">
        <v>0</v>
      </c>
      <c r="BL1545">
        <v>0.9</v>
      </c>
      <c r="BM1545" s="143" t="e">
        <f t="shared" si="2038"/>
        <v>#DIV/0!</v>
      </c>
      <c r="BN1545">
        <f t="shared" si="2039"/>
        <v>0.9</v>
      </c>
      <c r="BO1545">
        <f>+BL1545*t_to_m3</f>
        <v>1.8367346938775511</v>
      </c>
      <c r="BP1545" s="305" t="s">
        <v>395</v>
      </c>
      <c r="BQ1545" s="153" t="s">
        <v>3420</v>
      </c>
      <c r="BR1545" s="264" t="s">
        <v>2392</v>
      </c>
      <c r="BS1545">
        <v>-247.272727272727</v>
      </c>
      <c r="BT1545">
        <v>-402.90909090909099</v>
      </c>
      <c r="BU1545" s="144"/>
      <c r="BV1545" s="144">
        <f t="shared" si="2040"/>
        <v>-155.636363636364</v>
      </c>
      <c r="BW1545" s="144"/>
      <c r="BX1545" s="144">
        <f t="shared" si="2041"/>
        <v>-1.5563636363636399</v>
      </c>
      <c r="BY1545">
        <f t="shared" si="1992"/>
        <v>-0.8473535353535373</v>
      </c>
      <c r="BZ1545">
        <v>0</v>
      </c>
      <c r="CA1545">
        <v>0</v>
      </c>
      <c r="CB1545">
        <v>0</v>
      </c>
      <c r="CC1545">
        <v>0</v>
      </c>
      <c r="CD1545">
        <v>0</v>
      </c>
      <c r="CE1545">
        <v>0</v>
      </c>
      <c r="CF1545">
        <v>0</v>
      </c>
      <c r="CG1545">
        <v>0</v>
      </c>
      <c r="CH1545">
        <v>0</v>
      </c>
      <c r="CI1545">
        <v>0</v>
      </c>
      <c r="CJ1545">
        <v>0</v>
      </c>
      <c r="CK1545">
        <v>0</v>
      </c>
      <c r="CL1545">
        <v>0</v>
      </c>
      <c r="CM1545">
        <v>1</v>
      </c>
      <c r="CN1545" t="str">
        <f t="shared" si="2042"/>
        <v>refOK</v>
      </c>
      <c r="CO1545">
        <f t="shared" si="2043"/>
        <v>0</v>
      </c>
      <c r="CP1545">
        <f t="shared" si="2044"/>
        <v>0.9</v>
      </c>
      <c r="CQ1545">
        <f t="shared" si="2045"/>
        <v>1.8367346938775511</v>
      </c>
      <c r="CR1545">
        <f t="shared" si="2046"/>
        <v>247.272727272727</v>
      </c>
      <c r="CS1545">
        <f t="shared" si="2047"/>
        <v>402.90909090909099</v>
      </c>
      <c r="CT1545">
        <f t="shared" si="2048"/>
        <v>1.5563636363636399</v>
      </c>
      <c r="CU1545">
        <f t="shared" si="2049"/>
        <v>0.8473535353535373</v>
      </c>
      <c r="CV1545" s="2">
        <f t="shared" si="2050"/>
        <v>0.62941176470588456</v>
      </c>
      <c r="CW1545" s="1" t="s">
        <v>1198</v>
      </c>
      <c r="CX1545" s="264" t="str">
        <f t="shared" si="2051"/>
        <v>reg</v>
      </c>
      <c r="CY1545" t="s">
        <v>235</v>
      </c>
      <c r="CZ1545">
        <v>2020</v>
      </c>
      <c r="DA1545">
        <v>2100</v>
      </c>
      <c r="DB1545">
        <f t="shared" si="2052"/>
        <v>80</v>
      </c>
      <c r="DC1545" t="str">
        <f t="shared" si="2053"/>
        <v>71-100</v>
      </c>
      <c r="DD1545">
        <v>0</v>
      </c>
      <c r="DE1545">
        <v>1</v>
      </c>
      <c r="DF1545">
        <v>0</v>
      </c>
      <c r="DG1545">
        <v>0</v>
      </c>
      <c r="DI1545">
        <f t="shared" si="2054"/>
        <v>1</v>
      </c>
      <c r="DJ1545" t="str">
        <f t="shared" si="2055"/>
        <v>EnergyInput</v>
      </c>
      <c r="DK1545">
        <f t="shared" si="2056"/>
        <v>0</v>
      </c>
      <c r="DL1545" t="str">
        <f t="shared" si="2057"/>
        <v>Energy</v>
      </c>
      <c r="DM1545">
        <f t="shared" si="2058"/>
        <v>0</v>
      </c>
      <c r="DN1545">
        <f t="shared" si="2059"/>
        <v>0</v>
      </c>
      <c r="DO1545">
        <v>1</v>
      </c>
      <c r="DP1545">
        <v>0</v>
      </c>
      <c r="DQ1545">
        <v>0</v>
      </c>
      <c r="DR1545">
        <v>0</v>
      </c>
      <c r="DS1545">
        <v>0</v>
      </c>
      <c r="DT1545">
        <f t="shared" si="2060"/>
        <v>1</v>
      </c>
      <c r="DU1545" s="143" t="str">
        <f t="shared" si="2061"/>
        <v>self-calculated DF</v>
      </c>
      <c r="DV1545">
        <v>1</v>
      </c>
      <c r="DW1545">
        <v>0</v>
      </c>
      <c r="DX1545">
        <v>1</v>
      </c>
      <c r="DY1545">
        <v>0</v>
      </c>
      <c r="DZ1545">
        <v>0</v>
      </c>
      <c r="EA1545" s="143">
        <v>0</v>
      </c>
      <c r="EB1545">
        <v>0</v>
      </c>
      <c r="EC1545">
        <v>0</v>
      </c>
      <c r="ED1545">
        <v>0</v>
      </c>
      <c r="EE1545">
        <v>0</v>
      </c>
      <c r="EF1545">
        <v>1</v>
      </c>
      <c r="EG1545">
        <v>0</v>
      </c>
      <c r="EH1545">
        <v>0</v>
      </c>
      <c r="EI1545" s="2">
        <v>0</v>
      </c>
      <c r="EK1545" t="str">
        <f t="shared" si="2062"/>
        <v/>
      </c>
      <c r="EL1545" t="str">
        <f t="shared" si="2063"/>
        <v/>
      </c>
      <c r="EM1545" s="2" t="str">
        <f t="shared" si="1993"/>
        <v/>
      </c>
      <c r="EP1545" t="str">
        <f>IF(ISNUMBER(BU1545),IF(ABS(BU1545-[4]QC_indicators!$B$2)&gt;3*[4]QC_indicators!$C$2,"C ratio",IF(ISNUMBER(BY1545),IF(ABS(BY1545-[4]QC_indicators!$B$1)&gt;3*[4]QC_indicators!$C$1,"DF","no"))),IF(ISNUMBER(BY1545),IF(ABS(BY1545-[4]QC_indicators!$B$1)&gt;3*[4]QC_indicators!$C$1,"DF","no")))</f>
        <v>no</v>
      </c>
      <c r="ER1545" s="264" t="s">
        <v>2393</v>
      </c>
      <c r="ET1545" s="305" t="s">
        <v>3421</v>
      </c>
    </row>
    <row r="1546" spans="1:150" ht="18" hidden="1" customHeight="1">
      <c r="A1546" s="1" t="s">
        <v>1101</v>
      </c>
      <c r="B1546" t="s">
        <v>2380</v>
      </c>
      <c r="C1546" t="s">
        <v>2381</v>
      </c>
      <c r="D1546" t="s">
        <v>2382</v>
      </c>
      <c r="E1546" t="s">
        <v>2383</v>
      </c>
      <c r="F1546" t="s">
        <v>2384</v>
      </c>
      <c r="G1546" t="s">
        <v>1107</v>
      </c>
      <c r="H1546" t="s">
        <v>254</v>
      </c>
      <c r="I1546">
        <v>2016</v>
      </c>
      <c r="J1546">
        <v>13</v>
      </c>
      <c r="K1546" t="s">
        <v>2385</v>
      </c>
      <c r="M1546" t="str">
        <f t="shared" si="2031"/>
        <v>Torssonen_2016</v>
      </c>
      <c r="N1546" t="s">
        <v>222</v>
      </c>
      <c r="O1546" s="145" t="s">
        <v>1153</v>
      </c>
      <c r="Q1546" s="264" t="s">
        <v>256</v>
      </c>
      <c r="R1546" s="269" t="s">
        <v>341</v>
      </c>
      <c r="S1546" s="1" t="s">
        <v>2386</v>
      </c>
      <c r="T1546" t="s">
        <v>2387</v>
      </c>
      <c r="U1546" t="s">
        <v>2388</v>
      </c>
      <c r="V1546">
        <v>0</v>
      </c>
      <c r="W1546">
        <v>0</v>
      </c>
      <c r="X1546">
        <v>0</v>
      </c>
      <c r="Y1546">
        <v>1</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s="141">
        <f t="shared" si="2064"/>
        <v>1</v>
      </c>
      <c r="AY1546" s="141">
        <f t="shared" si="2032"/>
        <v>1</v>
      </c>
      <c r="AZ1546">
        <f t="shared" si="2033"/>
        <v>1</v>
      </c>
      <c r="BA1546">
        <f t="shared" si="2034"/>
        <v>0</v>
      </c>
      <c r="BB1546">
        <f t="shared" si="2035"/>
        <v>0</v>
      </c>
      <c r="BC1546">
        <f t="shared" si="2036"/>
        <v>0</v>
      </c>
      <c r="BD1546">
        <f t="shared" si="2037"/>
        <v>0</v>
      </c>
      <c r="BE1546" t="str" cm="1">
        <f t="array" ref="BE1546">IF(AY1546=1,INDEX($V$7:$AL$7,MATCH(TRUE,INDEX($V1546:$AW1546&lt;&gt;0,),0)),IF(AY1546=0,INDEX($AM$7:$AW$7,MATCH(1,$AM1546:$AW1546,0)),IF(BF1546="Multiple strategies","mixed drivers",IF(BF1546="Supply chain","multiple supply","multiple silviculture"))))</f>
        <v xml:space="preserve">cutting intensity </v>
      </c>
      <c r="BF1546" s="2" t="str" cm="1">
        <f t="array" ref="BF1546">IF(COUNTIF(AZ1546:BB1546,"&lt;&gt;0")=1,INDEX($V$4:$AW$4,MATCH(TRUE,INDEX($V1546:$AW1546&lt;&gt;0,),0)),IF(COUNTIF(AZ1546:BB1546,"&lt;&gt;0")=0,INDEX($AM$4:$AW$4,MATCH(1,$AM1546:$AW1546,0)),"Multiple strategies"))</f>
        <v>Silviculture for removals</v>
      </c>
      <c r="BG1546" s="1" t="s">
        <v>229</v>
      </c>
      <c r="BH1546" t="s">
        <v>2389</v>
      </c>
      <c r="BI1546" s="264" t="s">
        <v>2390</v>
      </c>
      <c r="BJ1546" t="s">
        <v>2391</v>
      </c>
      <c r="BK1546">
        <v>0</v>
      </c>
      <c r="BL1546">
        <v>0.35</v>
      </c>
      <c r="BM1546" s="143" t="e">
        <f t="shared" si="2038"/>
        <v>#DIV/0!</v>
      </c>
      <c r="BN1546">
        <f t="shared" si="2039"/>
        <v>0.35</v>
      </c>
      <c r="BO1546">
        <f>+BL1546*t_to_m3</f>
        <v>0.7142857142857143</v>
      </c>
      <c r="BP1546" s="305" t="s">
        <v>395</v>
      </c>
      <c r="BQ1546" s="153" t="s">
        <v>3420</v>
      </c>
      <c r="BR1546" s="264" t="s">
        <v>2392</v>
      </c>
      <c r="BS1546">
        <v>-247.272727272727</v>
      </c>
      <c r="BT1546">
        <v>-302.54545454545399</v>
      </c>
      <c r="BU1546" s="144"/>
      <c r="BV1546" s="144">
        <f t="shared" si="2040"/>
        <v>-55.272727272726996</v>
      </c>
      <c r="BW1546" s="144"/>
      <c r="BX1546" s="144">
        <f t="shared" si="2041"/>
        <v>-0.55272727272726996</v>
      </c>
      <c r="BY1546">
        <f t="shared" si="1992"/>
        <v>-0.77381818181817796</v>
      </c>
      <c r="BZ1546">
        <v>0</v>
      </c>
      <c r="CA1546">
        <v>0</v>
      </c>
      <c r="CB1546">
        <v>0</v>
      </c>
      <c r="CC1546">
        <v>0</v>
      </c>
      <c r="CD1546">
        <v>0</v>
      </c>
      <c r="CE1546">
        <v>0</v>
      </c>
      <c r="CF1546">
        <v>0</v>
      </c>
      <c r="CG1546">
        <v>0</v>
      </c>
      <c r="CH1546">
        <v>0</v>
      </c>
      <c r="CI1546">
        <v>0</v>
      </c>
      <c r="CJ1546">
        <v>0</v>
      </c>
      <c r="CK1546">
        <v>0</v>
      </c>
      <c r="CL1546">
        <v>0</v>
      </c>
      <c r="CM1546">
        <v>1</v>
      </c>
      <c r="CN1546" t="str">
        <f t="shared" si="2042"/>
        <v>refOK</v>
      </c>
      <c r="CO1546">
        <f t="shared" si="2043"/>
        <v>0</v>
      </c>
      <c r="CP1546">
        <f t="shared" si="2044"/>
        <v>0.35</v>
      </c>
      <c r="CQ1546">
        <f t="shared" si="2045"/>
        <v>0.7142857142857143</v>
      </c>
      <c r="CR1546">
        <f t="shared" si="2046"/>
        <v>247.272727272727</v>
      </c>
      <c r="CS1546">
        <f t="shared" si="2047"/>
        <v>302.54545454545399</v>
      </c>
      <c r="CT1546">
        <f t="shared" si="2048"/>
        <v>0.55272727272726996</v>
      </c>
      <c r="CU1546">
        <f t="shared" si="2049"/>
        <v>0.77381818181817796</v>
      </c>
      <c r="CV1546" s="2">
        <f t="shared" si="2050"/>
        <v>0.223529411764705</v>
      </c>
      <c r="CW1546" s="1" t="s">
        <v>1198</v>
      </c>
      <c r="CX1546" s="264" t="str">
        <f t="shared" si="2051"/>
        <v>reg</v>
      </c>
      <c r="CY1546" t="s">
        <v>235</v>
      </c>
      <c r="CZ1546">
        <v>2020</v>
      </c>
      <c r="DA1546">
        <v>2100</v>
      </c>
      <c r="DB1546">
        <f t="shared" si="2052"/>
        <v>80</v>
      </c>
      <c r="DC1546" t="str">
        <f t="shared" si="2053"/>
        <v>71-100</v>
      </c>
      <c r="DD1546">
        <v>0</v>
      </c>
      <c r="DE1546">
        <v>1</v>
      </c>
      <c r="DF1546">
        <v>0</v>
      </c>
      <c r="DG1546">
        <v>0</v>
      </c>
      <c r="DI1546">
        <f t="shared" si="2054"/>
        <v>1</v>
      </c>
      <c r="DJ1546" t="str">
        <f t="shared" si="2055"/>
        <v>EnergyInput</v>
      </c>
      <c r="DK1546">
        <f t="shared" si="2056"/>
        <v>0</v>
      </c>
      <c r="DL1546" t="str">
        <f t="shared" si="2057"/>
        <v>Energy</v>
      </c>
      <c r="DM1546">
        <f t="shared" si="2058"/>
        <v>0</v>
      </c>
      <c r="DN1546">
        <f t="shared" si="2059"/>
        <v>0</v>
      </c>
      <c r="DO1546">
        <v>1</v>
      </c>
      <c r="DP1546">
        <v>0</v>
      </c>
      <c r="DQ1546">
        <v>0</v>
      </c>
      <c r="DR1546">
        <v>0</v>
      </c>
      <c r="DS1546">
        <v>0</v>
      </c>
      <c r="DT1546">
        <f t="shared" si="2060"/>
        <v>1</v>
      </c>
      <c r="DU1546" s="143" t="str">
        <f t="shared" si="2061"/>
        <v>self-calculated DF</v>
      </c>
      <c r="DV1546">
        <v>1</v>
      </c>
      <c r="DW1546">
        <v>0</v>
      </c>
      <c r="DX1546">
        <v>1</v>
      </c>
      <c r="DY1546">
        <v>0</v>
      </c>
      <c r="DZ1546">
        <v>0</v>
      </c>
      <c r="EA1546" s="143">
        <v>0</v>
      </c>
      <c r="EB1546">
        <v>0</v>
      </c>
      <c r="EC1546">
        <v>0</v>
      </c>
      <c r="ED1546">
        <v>0</v>
      </c>
      <c r="EE1546">
        <v>0</v>
      </c>
      <c r="EF1546">
        <v>1</v>
      </c>
      <c r="EG1546">
        <v>0</v>
      </c>
      <c r="EH1546">
        <v>0</v>
      </c>
      <c r="EI1546" s="2">
        <v>0</v>
      </c>
      <c r="EK1546" t="str">
        <f t="shared" si="2062"/>
        <v/>
      </c>
      <c r="EL1546" t="str">
        <f t="shared" si="2063"/>
        <v/>
      </c>
      <c r="EM1546" s="2" t="str">
        <f t="shared" si="1993"/>
        <v/>
      </c>
      <c r="EP1546" t="str">
        <f>IF(ISNUMBER(BU1546),IF(ABS(BU1546-[4]QC_indicators!$B$2)&gt;3*[4]QC_indicators!$C$2,"C ratio",IF(ISNUMBER(BY1546),IF(ABS(BY1546-[4]QC_indicators!$B$1)&gt;3*[4]QC_indicators!$C$1,"DF","no"))),IF(ISNUMBER(BY1546),IF(ABS(BY1546-[4]QC_indicators!$B$1)&gt;3*[4]QC_indicators!$C$1,"DF","no")))</f>
        <v>no</v>
      </c>
      <c r="ER1546" s="264" t="s">
        <v>2393</v>
      </c>
      <c r="ET1546" s="305" t="s">
        <v>3421</v>
      </c>
    </row>
    <row r="1547" spans="1:150" ht="18" hidden="1" customHeight="1">
      <c r="A1547" s="1" t="s">
        <v>1101</v>
      </c>
      <c r="B1547" t="s">
        <v>2380</v>
      </c>
      <c r="C1547" t="s">
        <v>2381</v>
      </c>
      <c r="D1547" t="s">
        <v>2382</v>
      </c>
      <c r="E1547" t="s">
        <v>2383</v>
      </c>
      <c r="F1547" t="s">
        <v>2384</v>
      </c>
      <c r="G1547" t="s">
        <v>1107</v>
      </c>
      <c r="H1547" t="s">
        <v>254</v>
      </c>
      <c r="I1547">
        <v>2016</v>
      </c>
      <c r="J1547">
        <v>13</v>
      </c>
      <c r="K1547" t="s">
        <v>2385</v>
      </c>
      <c r="M1547" t="str">
        <f t="shared" si="2031"/>
        <v>Torssonen_2016</v>
      </c>
      <c r="N1547" t="s">
        <v>222</v>
      </c>
      <c r="O1547" s="145" t="s">
        <v>1153</v>
      </c>
      <c r="Q1547" s="264" t="s">
        <v>256</v>
      </c>
      <c r="R1547" s="269" t="s">
        <v>341</v>
      </c>
      <c r="S1547" s="1" t="s">
        <v>2386</v>
      </c>
      <c r="T1547" t="s">
        <v>2397</v>
      </c>
      <c r="U1547" t="s">
        <v>2394</v>
      </c>
      <c r="V1547">
        <v>0</v>
      </c>
      <c r="W1547">
        <v>0</v>
      </c>
      <c r="X1547">
        <v>0</v>
      </c>
      <c r="Y1547">
        <v>1</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s="141">
        <f t="shared" si="2064"/>
        <v>1</v>
      </c>
      <c r="AY1547" s="141">
        <f t="shared" si="2032"/>
        <v>1</v>
      </c>
      <c r="AZ1547">
        <f t="shared" si="2033"/>
        <v>1</v>
      </c>
      <c r="BA1547">
        <f t="shared" si="2034"/>
        <v>0</v>
      </c>
      <c r="BB1547">
        <f t="shared" si="2035"/>
        <v>0</v>
      </c>
      <c r="BC1547">
        <f t="shared" si="2036"/>
        <v>0</v>
      </c>
      <c r="BD1547">
        <f t="shared" si="2037"/>
        <v>0</v>
      </c>
      <c r="BE1547" t="str" cm="1">
        <f t="array" ref="BE1547">IF(AY1547=1,INDEX($V$7:$AL$7,MATCH(TRUE,INDEX($V1547:$AW1547&lt;&gt;0,),0)),IF(AY1547=0,INDEX($AM$7:$AW$7,MATCH(1,$AM1547:$AW1547,0)),IF(BF1547="Multiple strategies","mixed drivers",IF(BF1547="Supply chain","multiple supply","multiple silviculture"))))</f>
        <v xml:space="preserve">cutting intensity </v>
      </c>
      <c r="BF1547" s="2" t="str" cm="1">
        <f t="array" ref="BF1547">IF(COUNTIF(AZ1547:BB1547,"&lt;&gt;0")=1,INDEX($V$4:$AW$4,MATCH(TRUE,INDEX($V1547:$AW1547&lt;&gt;0,),0)),IF(COUNTIF(AZ1547:BB1547,"&lt;&gt;0")=0,INDEX($AM$4:$AW$4,MATCH(1,$AM1547:$AW1547,0)),"Multiple strategies"))</f>
        <v>Silviculture for removals</v>
      </c>
      <c r="BG1547" s="1" t="s">
        <v>229</v>
      </c>
      <c r="BH1547" s="305" t="s">
        <v>2143</v>
      </c>
      <c r="BI1547" s="264" t="s">
        <v>2390</v>
      </c>
      <c r="BJ1547" s="305" t="s">
        <v>1057</v>
      </c>
      <c r="BK1547">
        <v>6.697959172</v>
      </c>
      <c r="BL1547">
        <v>7.9367346699999999</v>
      </c>
      <c r="BM1547" s="143">
        <f t="shared" si="2038"/>
        <v>1.1849482008159364</v>
      </c>
      <c r="BN1547">
        <f t="shared" si="2039"/>
        <v>1.2387754979999999</v>
      </c>
      <c r="BO1547">
        <f>BN1547</f>
        <v>1.2387754979999999</v>
      </c>
      <c r="BP1547" s="305" t="s">
        <v>395</v>
      </c>
      <c r="BQ1547" s="153" t="s">
        <v>3420</v>
      </c>
      <c r="BR1547" s="264" t="s">
        <v>2392</v>
      </c>
      <c r="BS1547" s="299">
        <v>-334.54545000000002</v>
      </c>
      <c r="BT1547">
        <v>-402.90909090909099</v>
      </c>
      <c r="BU1547" s="144"/>
      <c r="BV1547" s="144">
        <f t="shared" si="2040"/>
        <v>-68.363640909090975</v>
      </c>
      <c r="BW1547" s="144"/>
      <c r="BX1547" s="144">
        <f t="shared" si="2041"/>
        <v>-0.68363640909090972</v>
      </c>
      <c r="BY1547">
        <f t="shared" si="1992"/>
        <v>-0.55186465198467283</v>
      </c>
      <c r="BZ1547">
        <v>0</v>
      </c>
      <c r="CA1547">
        <v>0</v>
      </c>
      <c r="CB1547">
        <v>0</v>
      </c>
      <c r="CC1547">
        <v>0</v>
      </c>
      <c r="CD1547">
        <v>0</v>
      </c>
      <c r="CE1547">
        <v>0</v>
      </c>
      <c r="CF1547">
        <v>0</v>
      </c>
      <c r="CG1547">
        <v>0</v>
      </c>
      <c r="CH1547">
        <v>0</v>
      </c>
      <c r="CI1547">
        <v>0</v>
      </c>
      <c r="CJ1547">
        <v>0</v>
      </c>
      <c r="CK1547">
        <v>0</v>
      </c>
      <c r="CL1547">
        <v>0</v>
      </c>
      <c r="CM1547">
        <v>1</v>
      </c>
      <c r="CN1547" t="str">
        <f t="shared" si="2042"/>
        <v>refOK</v>
      </c>
      <c r="CO1547">
        <f t="shared" si="2043"/>
        <v>6.697959172</v>
      </c>
      <c r="CP1547">
        <f t="shared" si="2044"/>
        <v>7.9367346699999999</v>
      </c>
      <c r="CQ1547">
        <f t="shared" si="2045"/>
        <v>1.2387754979999999</v>
      </c>
      <c r="CR1547">
        <f t="shared" si="2046"/>
        <v>334.54545000000002</v>
      </c>
      <c r="CS1547">
        <f t="shared" si="2047"/>
        <v>402.90909090909099</v>
      </c>
      <c r="CT1547">
        <f t="shared" si="2048"/>
        <v>0.68363640909090972</v>
      </c>
      <c r="CU1547">
        <f t="shared" si="2049"/>
        <v>0.55186465198467283</v>
      </c>
      <c r="CV1547" s="2">
        <f t="shared" si="2050"/>
        <v>0.20434784245037849</v>
      </c>
      <c r="CW1547" s="1" t="s">
        <v>1198</v>
      </c>
      <c r="CX1547" s="264" t="str">
        <f t="shared" si="2051"/>
        <v>reg</v>
      </c>
      <c r="CY1547" t="s">
        <v>235</v>
      </c>
      <c r="CZ1547">
        <v>2020</v>
      </c>
      <c r="DA1547">
        <v>2100</v>
      </c>
      <c r="DB1547">
        <f t="shared" si="2052"/>
        <v>80</v>
      </c>
      <c r="DC1547" t="str">
        <f t="shared" si="2053"/>
        <v>71-100</v>
      </c>
      <c r="DD1547">
        <v>0</v>
      </c>
      <c r="DE1547">
        <v>1</v>
      </c>
      <c r="DF1547">
        <v>0</v>
      </c>
      <c r="DG1547">
        <v>1</v>
      </c>
      <c r="DI1547">
        <f t="shared" si="2054"/>
        <v>2</v>
      </c>
      <c r="DJ1547" t="str">
        <f t="shared" si="2055"/>
        <v>mixedProduct</v>
      </c>
      <c r="DK1547">
        <f t="shared" si="2056"/>
        <v>0</v>
      </c>
      <c r="DL1547" t="str">
        <f t="shared" si="2057"/>
        <v>Energy</v>
      </c>
      <c r="DM1547">
        <f t="shared" si="2058"/>
        <v>0</v>
      </c>
      <c r="DN1547" t="str">
        <f t="shared" si="2059"/>
        <v>Timber</v>
      </c>
      <c r="DO1547">
        <v>1</v>
      </c>
      <c r="DP1547">
        <v>0</v>
      </c>
      <c r="DQ1547">
        <v>0</v>
      </c>
      <c r="DR1547">
        <v>0</v>
      </c>
      <c r="DS1547">
        <v>0</v>
      </c>
      <c r="DT1547">
        <f t="shared" si="2060"/>
        <v>1</v>
      </c>
      <c r="DU1547" s="143" t="str">
        <f t="shared" si="2061"/>
        <v>self-calculated DF</v>
      </c>
      <c r="DV1547">
        <v>1</v>
      </c>
      <c r="DW1547">
        <v>0</v>
      </c>
      <c r="DX1547">
        <v>1</v>
      </c>
      <c r="DY1547">
        <v>0</v>
      </c>
      <c r="DZ1547">
        <v>0</v>
      </c>
      <c r="EA1547" s="143">
        <v>0</v>
      </c>
      <c r="EB1547">
        <v>0</v>
      </c>
      <c r="EC1547">
        <v>0</v>
      </c>
      <c r="ED1547">
        <v>0</v>
      </c>
      <c r="EE1547">
        <v>0</v>
      </c>
      <c r="EF1547">
        <v>1</v>
      </c>
      <c r="EG1547">
        <v>0</v>
      </c>
      <c r="EH1547">
        <v>0</v>
      </c>
      <c r="EI1547" s="2">
        <v>0</v>
      </c>
      <c r="EK1547" t="str">
        <f t="shared" si="2062"/>
        <v/>
      </c>
      <c r="EL1547" t="str">
        <f t="shared" si="2063"/>
        <v/>
      </c>
      <c r="EM1547" s="2" t="str">
        <f t="shared" si="1993"/>
        <v/>
      </c>
      <c r="EP1547" t="str">
        <f>IF(ISNUMBER(BU1547),IF(ABS(BU1547-[4]QC_indicators!$B$2)&gt;3*[4]QC_indicators!$C$2,"C ratio",IF(ISNUMBER(BY1547),IF(ABS(BY1547-[4]QC_indicators!$B$1)&gt;3*[4]QC_indicators!$C$1,"DF","no"))),IF(ISNUMBER(BY1547),IF(ABS(BY1547-[4]QC_indicators!$B$1)&gt;3*[4]QC_indicators!$C$1,"DF","no")))</f>
        <v>no</v>
      </c>
      <c r="ER1547" s="264" t="s">
        <v>2393</v>
      </c>
      <c r="ET1547" s="305" t="s">
        <v>3421</v>
      </c>
    </row>
    <row r="1548" spans="1:150" ht="18" hidden="1" customHeight="1">
      <c r="A1548" s="1" t="s">
        <v>1101</v>
      </c>
      <c r="B1548" t="s">
        <v>2380</v>
      </c>
      <c r="C1548" t="s">
        <v>2381</v>
      </c>
      <c r="D1548" t="s">
        <v>2382</v>
      </c>
      <c r="E1548" t="s">
        <v>2383</v>
      </c>
      <c r="F1548" t="s">
        <v>2384</v>
      </c>
      <c r="G1548" t="s">
        <v>1107</v>
      </c>
      <c r="H1548" t="s">
        <v>254</v>
      </c>
      <c r="I1548">
        <v>2016</v>
      </c>
      <c r="J1548">
        <v>13</v>
      </c>
      <c r="K1548" t="s">
        <v>2385</v>
      </c>
      <c r="M1548" t="str">
        <f t="shared" si="2031"/>
        <v>Torssonen_2016</v>
      </c>
      <c r="N1548" t="s">
        <v>222</v>
      </c>
      <c r="O1548" s="145" t="s">
        <v>1153</v>
      </c>
      <c r="Q1548" s="264" t="s">
        <v>256</v>
      </c>
      <c r="R1548" s="269" t="s">
        <v>341</v>
      </c>
      <c r="S1548" s="1" t="s">
        <v>2403</v>
      </c>
      <c r="T1548" s="264" t="s">
        <v>2408</v>
      </c>
      <c r="U1548" t="s">
        <v>2410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1</v>
      </c>
      <c r="AO1548">
        <v>1</v>
      </c>
      <c r="AP1548">
        <v>0</v>
      </c>
      <c r="AQ1548">
        <v>0</v>
      </c>
      <c r="AR1548">
        <v>0</v>
      </c>
      <c r="AS1548">
        <v>0</v>
      </c>
      <c r="AT1548">
        <v>0</v>
      </c>
      <c r="AU1548">
        <v>0</v>
      </c>
      <c r="AV1548">
        <v>0</v>
      </c>
      <c r="AW1548">
        <v>0</v>
      </c>
      <c r="AX1548" s="141">
        <f t="shared" si="2064"/>
        <v>2</v>
      </c>
      <c r="AY1548" s="141">
        <f t="shared" si="2032"/>
        <v>0</v>
      </c>
      <c r="AZ1548">
        <f t="shared" si="2033"/>
        <v>0</v>
      </c>
      <c r="BA1548">
        <f t="shared" si="2034"/>
        <v>0</v>
      </c>
      <c r="BB1548">
        <f t="shared" si="2035"/>
        <v>0</v>
      </c>
      <c r="BC1548">
        <f t="shared" si="2036"/>
        <v>0</v>
      </c>
      <c r="BD1548">
        <f t="shared" si="2037"/>
        <v>2</v>
      </c>
      <c r="BE1548" t="str" cm="1">
        <f t="array" ref="BE1548">IF(AY1548=1,INDEX($V$7:$AL$7,MATCH(TRUE,INDEX($V1548:$AW1548&lt;&gt;0,),0)),IF(AY1548=0,INDEX($AM$7:$AW$7,MATCH(1,$AM1548:$AW1548,0)),IF(BF1548="Multiple strategies","mixed drivers",IF(BF1548="Supply chain","multiple supply","multiple silviculture"))))</f>
        <v>Temperature</v>
      </c>
      <c r="BF1548" s="2" t="str" cm="1">
        <f t="array" ref="BF1548">IF(COUNTIF(AZ1548:BB1548,"&lt;&gt;0")=1,INDEX($V$4:$AW$4,MATCH(TRUE,INDEX($V1548:$AW1548&lt;&gt;0,),0)),IF(COUNTIF(AZ1548:BB1548,"&lt;&gt;0")=0,INDEX($AM$4:$AW$4,MATCH(1,$AM1548:$AW1548,0)),"Multiple strategies"))</f>
        <v>Environmental change</v>
      </c>
      <c r="BG1548" s="1" t="s">
        <v>229</v>
      </c>
      <c r="BH1548" s="305" t="s">
        <v>2143</v>
      </c>
      <c r="BI1548" s="264" t="s">
        <v>2390</v>
      </c>
      <c r="BJ1548" s="305" t="s">
        <v>1057</v>
      </c>
      <c r="BK1548">
        <v>7.9367346699999999</v>
      </c>
      <c r="BL1548">
        <v>8.0979591590000002</v>
      </c>
      <c r="BM1548" s="143">
        <f t="shared" si="2038"/>
        <v>1.0203137052835358</v>
      </c>
      <c r="BN1548">
        <f t="shared" si="2039"/>
        <v>0.1612244890000003</v>
      </c>
      <c r="BO1548">
        <f>BN1548</f>
        <v>0.1612244890000003</v>
      </c>
      <c r="BP1548" s="305" t="s">
        <v>395</v>
      </c>
      <c r="BQ1548" s="153" t="s">
        <v>3420</v>
      </c>
      <c r="BR1548" s="264" t="s">
        <v>2392</v>
      </c>
      <c r="BS1548">
        <v>-402.90909090909099</v>
      </c>
      <c r="BT1548">
        <v>-411.636363636363</v>
      </c>
      <c r="BU1548" s="144"/>
      <c r="BV1548" s="144">
        <f t="shared" si="2040"/>
        <v>-8.727272727272009</v>
      </c>
      <c r="BW1548" s="144"/>
      <c r="BX1548" s="144">
        <f t="shared" si="2041"/>
        <v>-8.7272727272720091E-2</v>
      </c>
      <c r="BY1548">
        <f t="shared" si="1992"/>
        <v>-0.54131185537651128</v>
      </c>
      <c r="BZ1548">
        <v>0</v>
      </c>
      <c r="CA1548">
        <v>0</v>
      </c>
      <c r="CB1548">
        <v>0</v>
      </c>
      <c r="CC1548">
        <v>0</v>
      </c>
      <c r="CD1548">
        <v>0</v>
      </c>
      <c r="CE1548">
        <v>0</v>
      </c>
      <c r="CF1548">
        <v>0</v>
      </c>
      <c r="CG1548">
        <v>0</v>
      </c>
      <c r="CH1548">
        <v>0</v>
      </c>
      <c r="CI1548">
        <v>0</v>
      </c>
      <c r="CJ1548">
        <v>0</v>
      </c>
      <c r="CK1548">
        <v>0</v>
      </c>
      <c r="CL1548">
        <v>0</v>
      </c>
      <c r="CM1548">
        <v>1</v>
      </c>
      <c r="CN1548" t="str">
        <f t="shared" si="2042"/>
        <v>refOK</v>
      </c>
      <c r="CO1548">
        <f t="shared" si="2043"/>
        <v>7.9367346699999999</v>
      </c>
      <c r="CP1548">
        <f t="shared" si="2044"/>
        <v>8.0979591590000002</v>
      </c>
      <c r="CQ1548">
        <f t="shared" si="2045"/>
        <v>0.1612244890000003</v>
      </c>
      <c r="CR1548">
        <f t="shared" si="2046"/>
        <v>402.90909090909099</v>
      </c>
      <c r="CS1548">
        <f t="shared" si="2047"/>
        <v>411.636363636363</v>
      </c>
      <c r="CT1548">
        <f t="shared" si="2048"/>
        <v>8.7272727272720091E-2</v>
      </c>
      <c r="CU1548">
        <f t="shared" si="2049"/>
        <v>0.54131185537651128</v>
      </c>
      <c r="CV1548" s="2">
        <f t="shared" si="2050"/>
        <v>2.1660649819492797E-2</v>
      </c>
      <c r="CW1548" s="1" t="s">
        <v>1198</v>
      </c>
      <c r="CX1548" s="264" t="str">
        <f t="shared" si="2051"/>
        <v>reg</v>
      </c>
      <c r="CY1548" t="s">
        <v>235</v>
      </c>
      <c r="CZ1548">
        <v>2020</v>
      </c>
      <c r="DA1548">
        <v>2100</v>
      </c>
      <c r="DB1548">
        <f t="shared" si="2052"/>
        <v>80</v>
      </c>
      <c r="DC1548" t="str">
        <f t="shared" si="2053"/>
        <v>71-100</v>
      </c>
      <c r="DD1548">
        <v>0</v>
      </c>
      <c r="DE1548">
        <v>1</v>
      </c>
      <c r="DF1548">
        <v>0</v>
      </c>
      <c r="DG1548">
        <v>1</v>
      </c>
      <c r="DI1548">
        <f t="shared" si="2054"/>
        <v>2</v>
      </c>
      <c r="DJ1548" t="str">
        <f t="shared" si="2055"/>
        <v>mixedProduct</v>
      </c>
      <c r="DK1548">
        <f t="shared" si="2056"/>
        <v>0</v>
      </c>
      <c r="DL1548" t="str">
        <f t="shared" si="2057"/>
        <v>Energy</v>
      </c>
      <c r="DM1548">
        <f t="shared" si="2058"/>
        <v>0</v>
      </c>
      <c r="DN1548" t="str">
        <f t="shared" si="2059"/>
        <v>Timber</v>
      </c>
      <c r="DO1548">
        <v>1</v>
      </c>
      <c r="DP1548">
        <v>0</v>
      </c>
      <c r="DQ1548">
        <v>0</v>
      </c>
      <c r="DR1548">
        <v>0</v>
      </c>
      <c r="DS1548">
        <v>0</v>
      </c>
      <c r="DT1548">
        <f t="shared" si="2060"/>
        <v>1</v>
      </c>
      <c r="DU1548" s="143" t="str">
        <f t="shared" si="2061"/>
        <v>self-calculated DF</v>
      </c>
      <c r="DV1548">
        <v>1</v>
      </c>
      <c r="DW1548">
        <v>0</v>
      </c>
      <c r="DX1548">
        <v>1</v>
      </c>
      <c r="DY1548">
        <v>0</v>
      </c>
      <c r="DZ1548">
        <v>0</v>
      </c>
      <c r="EA1548" s="143">
        <v>0</v>
      </c>
      <c r="EB1548">
        <v>0</v>
      </c>
      <c r="EC1548">
        <v>0</v>
      </c>
      <c r="ED1548">
        <v>0</v>
      </c>
      <c r="EE1548">
        <v>0</v>
      </c>
      <c r="EF1548">
        <v>1</v>
      </c>
      <c r="EG1548">
        <v>0</v>
      </c>
      <c r="EH1548">
        <v>0</v>
      </c>
      <c r="EI1548" s="2">
        <v>0</v>
      </c>
      <c r="EK1548" t="str">
        <f t="shared" si="2062"/>
        <v/>
      </c>
      <c r="EL1548" t="str">
        <f t="shared" si="2063"/>
        <v/>
      </c>
      <c r="EM1548" s="2" t="str">
        <f t="shared" si="1993"/>
        <v/>
      </c>
      <c r="EN1548" t="s">
        <v>2402</v>
      </c>
      <c r="EP1548" t="str">
        <f>IF(ISNUMBER(BU1548),IF(ABS(BU1548-[4]QC_indicators!$B$2)&gt;3*[4]QC_indicators!$C$2,"C ratio",IF(ISNUMBER(BY1548),IF(ABS(BY1548-[4]QC_indicators!$B$1)&gt;3*[4]QC_indicators!$C$1,"DF","no"))),IF(ISNUMBER(BY1548),IF(ABS(BY1548-[4]QC_indicators!$B$1)&gt;3*[4]QC_indicators!$C$1,"DF","no")))</f>
        <v>no</v>
      </c>
      <c r="ER1548" s="264" t="s">
        <v>2393</v>
      </c>
      <c r="ET1548" s="305" t="s">
        <v>3421</v>
      </c>
    </row>
    <row r="1549" spans="1:150" ht="18" hidden="1" customHeight="1">
      <c r="A1549" s="1" t="s">
        <v>1101</v>
      </c>
      <c r="B1549" t="s">
        <v>2380</v>
      </c>
      <c r="C1549" t="s">
        <v>2381</v>
      </c>
      <c r="D1549" t="s">
        <v>2382</v>
      </c>
      <c r="E1549" t="s">
        <v>2383</v>
      </c>
      <c r="F1549" t="s">
        <v>2384</v>
      </c>
      <c r="G1549" t="s">
        <v>1107</v>
      </c>
      <c r="H1549" t="s">
        <v>254</v>
      </c>
      <c r="I1549">
        <v>2016</v>
      </c>
      <c r="J1549">
        <v>13</v>
      </c>
      <c r="K1549" t="s">
        <v>2385</v>
      </c>
      <c r="M1549" t="str">
        <f t="shared" si="2031"/>
        <v>Torssonen_2016</v>
      </c>
      <c r="N1549" t="s">
        <v>222</v>
      </c>
      <c r="O1549" s="145" t="s">
        <v>1153</v>
      </c>
      <c r="Q1549" s="264" t="s">
        <v>256</v>
      </c>
      <c r="R1549" s="269" t="s">
        <v>341</v>
      </c>
      <c r="S1549" s="1" t="s">
        <v>2403</v>
      </c>
      <c r="T1549" s="264" t="s">
        <v>2411</v>
      </c>
      <c r="U1549" t="s">
        <v>2413</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1</v>
      </c>
      <c r="AO1549">
        <v>1</v>
      </c>
      <c r="AP1549">
        <v>0</v>
      </c>
      <c r="AQ1549">
        <v>0</v>
      </c>
      <c r="AR1549">
        <v>0</v>
      </c>
      <c r="AS1549">
        <v>0</v>
      </c>
      <c r="AT1549">
        <v>0</v>
      </c>
      <c r="AU1549">
        <v>0</v>
      </c>
      <c r="AV1549">
        <v>0</v>
      </c>
      <c r="AW1549">
        <v>0</v>
      </c>
      <c r="AX1549" s="141">
        <f t="shared" si="2064"/>
        <v>2</v>
      </c>
      <c r="AY1549" s="141">
        <f t="shared" si="2032"/>
        <v>0</v>
      </c>
      <c r="AZ1549">
        <f t="shared" si="2033"/>
        <v>0</v>
      </c>
      <c r="BA1549">
        <f t="shared" si="2034"/>
        <v>0</v>
      </c>
      <c r="BB1549">
        <f t="shared" si="2035"/>
        <v>0</v>
      </c>
      <c r="BC1549">
        <f t="shared" si="2036"/>
        <v>0</v>
      </c>
      <c r="BD1549">
        <f t="shared" si="2037"/>
        <v>2</v>
      </c>
      <c r="BE1549" t="str" cm="1">
        <f t="array" ref="BE1549">IF(AY1549=1,INDEX($V$7:$AL$7,MATCH(TRUE,INDEX($V1549:$AW1549&lt;&gt;0,),0)),IF(AY1549=0,INDEX($AM$7:$AW$7,MATCH(1,$AM1549:$AW1549,0)),IF(BF1549="Multiple strategies","mixed drivers",IF(BF1549="Supply chain","multiple supply","multiple silviculture"))))</f>
        <v>Temperature</v>
      </c>
      <c r="BF1549" s="2" t="str" cm="1">
        <f t="array" ref="BF1549">IF(COUNTIF(AZ1549:BB1549,"&lt;&gt;0")=1,INDEX($V$4:$AW$4,MATCH(TRUE,INDEX($V1549:$AW1549&lt;&gt;0,),0)),IF(COUNTIF(AZ1549:BB1549,"&lt;&gt;0")=0,INDEX($AM$4:$AW$4,MATCH(1,$AM1549:$AW1549,0)),"Multiple strategies"))</f>
        <v>Environmental change</v>
      </c>
      <c r="BG1549" s="1" t="s">
        <v>229</v>
      </c>
      <c r="BH1549" s="305" t="s">
        <v>2143</v>
      </c>
      <c r="BI1549" s="264" t="s">
        <v>2390</v>
      </c>
      <c r="BJ1549" s="305" t="s">
        <v>1057</v>
      </c>
      <c r="BK1549">
        <v>8.0857142559999993</v>
      </c>
      <c r="BL1549">
        <v>8.3265305820000002</v>
      </c>
      <c r="BM1549" s="143">
        <f t="shared" si="2038"/>
        <v>1.0297829379539727</v>
      </c>
      <c r="BN1549">
        <f t="shared" si="2039"/>
        <v>0.24081632600000091</v>
      </c>
      <c r="BO1549">
        <f>BN1549</f>
        <v>0.24081632600000091</v>
      </c>
      <c r="BP1549" s="305" t="s">
        <v>395</v>
      </c>
      <c r="BQ1549" s="153" t="s">
        <v>3420</v>
      </c>
      <c r="BR1549" s="264" t="s">
        <v>2392</v>
      </c>
      <c r="BS1549">
        <v>-456.72727272727298</v>
      </c>
      <c r="BT1549">
        <v>-465.45454545454498</v>
      </c>
      <c r="BU1549" s="144"/>
      <c r="BV1549" s="144">
        <f t="shared" si="2040"/>
        <v>-8.727272727272009</v>
      </c>
      <c r="BW1549" s="144"/>
      <c r="BX1549" s="144">
        <f t="shared" si="2041"/>
        <v>-8.7272727272720091E-2</v>
      </c>
      <c r="BY1549">
        <f t="shared" si="1992"/>
        <v>-0.36240369879540374</v>
      </c>
      <c r="BZ1549">
        <v>0</v>
      </c>
      <c r="CA1549">
        <v>0</v>
      </c>
      <c r="CB1549">
        <v>0</v>
      </c>
      <c r="CC1549">
        <v>0</v>
      </c>
      <c r="CD1549">
        <v>0</v>
      </c>
      <c r="CE1549">
        <v>0</v>
      </c>
      <c r="CF1549">
        <v>0</v>
      </c>
      <c r="CG1549">
        <v>0</v>
      </c>
      <c r="CH1549">
        <v>0</v>
      </c>
      <c r="CI1549">
        <v>0</v>
      </c>
      <c r="CJ1549">
        <v>0</v>
      </c>
      <c r="CK1549">
        <v>0</v>
      </c>
      <c r="CL1549">
        <v>0</v>
      </c>
      <c r="CM1549">
        <v>1</v>
      </c>
      <c r="CN1549" t="str">
        <f t="shared" si="2042"/>
        <v>refOK</v>
      </c>
      <c r="CO1549">
        <f t="shared" si="2043"/>
        <v>8.0857142559999993</v>
      </c>
      <c r="CP1549">
        <f t="shared" si="2044"/>
        <v>8.3265305820000002</v>
      </c>
      <c r="CQ1549">
        <f t="shared" si="2045"/>
        <v>0.24081632600000091</v>
      </c>
      <c r="CR1549">
        <f t="shared" si="2046"/>
        <v>456.72727272727298</v>
      </c>
      <c r="CS1549">
        <f t="shared" si="2047"/>
        <v>465.45454545454498</v>
      </c>
      <c r="CT1549">
        <f t="shared" si="2048"/>
        <v>8.7272727272720091E-2</v>
      </c>
      <c r="CU1549">
        <f t="shared" si="2049"/>
        <v>0.36240369879540374</v>
      </c>
      <c r="CV1549" s="2">
        <f t="shared" si="2050"/>
        <v>1.9108280254775487E-2</v>
      </c>
      <c r="CW1549" s="1" t="s">
        <v>1198</v>
      </c>
      <c r="CX1549" s="264" t="str">
        <f t="shared" si="2051"/>
        <v>reg</v>
      </c>
      <c r="CY1549" t="s">
        <v>235</v>
      </c>
      <c r="CZ1549">
        <v>2020</v>
      </c>
      <c r="DA1549">
        <v>2100</v>
      </c>
      <c r="DB1549">
        <f t="shared" si="2052"/>
        <v>80</v>
      </c>
      <c r="DC1549" t="str">
        <f t="shared" si="2053"/>
        <v>71-100</v>
      </c>
      <c r="DD1549">
        <v>0</v>
      </c>
      <c r="DE1549">
        <v>1</v>
      </c>
      <c r="DF1549">
        <v>0</v>
      </c>
      <c r="DG1549">
        <v>1</v>
      </c>
      <c r="DI1549">
        <f t="shared" si="2054"/>
        <v>2</v>
      </c>
      <c r="DJ1549" t="str">
        <f t="shared" si="2055"/>
        <v>mixedProduct</v>
      </c>
      <c r="DK1549">
        <f t="shared" si="2056"/>
        <v>0</v>
      </c>
      <c r="DL1549" t="str">
        <f t="shared" si="2057"/>
        <v>Energy</v>
      </c>
      <c r="DM1549">
        <f t="shared" si="2058"/>
        <v>0</v>
      </c>
      <c r="DN1549" t="str">
        <f t="shared" si="2059"/>
        <v>Timber</v>
      </c>
      <c r="DO1549">
        <v>1</v>
      </c>
      <c r="DP1549">
        <v>0</v>
      </c>
      <c r="DQ1549">
        <v>0</v>
      </c>
      <c r="DR1549">
        <v>0</v>
      </c>
      <c r="DS1549">
        <v>0</v>
      </c>
      <c r="DT1549">
        <f t="shared" si="2060"/>
        <v>1</v>
      </c>
      <c r="DU1549" s="143" t="str">
        <f t="shared" si="2061"/>
        <v>self-calculated DF</v>
      </c>
      <c r="DV1549">
        <v>1</v>
      </c>
      <c r="DW1549">
        <v>0</v>
      </c>
      <c r="DX1549">
        <v>1</v>
      </c>
      <c r="DY1549">
        <v>0</v>
      </c>
      <c r="DZ1549">
        <v>0</v>
      </c>
      <c r="EA1549" s="143">
        <v>0</v>
      </c>
      <c r="EB1549">
        <v>0</v>
      </c>
      <c r="EC1549">
        <v>0</v>
      </c>
      <c r="ED1549">
        <v>0</v>
      </c>
      <c r="EE1549">
        <v>0</v>
      </c>
      <c r="EF1549">
        <v>1</v>
      </c>
      <c r="EG1549">
        <v>0</v>
      </c>
      <c r="EH1549">
        <v>0</v>
      </c>
      <c r="EI1549" s="2">
        <v>0</v>
      </c>
      <c r="EK1549" t="str">
        <f t="shared" si="2062"/>
        <v/>
      </c>
      <c r="EL1549" t="str">
        <f t="shared" si="2063"/>
        <v/>
      </c>
      <c r="EM1549" s="2" t="str">
        <f t="shared" si="1993"/>
        <v/>
      </c>
      <c r="EN1549" t="s">
        <v>2402</v>
      </c>
      <c r="EP1549" t="str">
        <f>IF(ISNUMBER(BU1549),IF(ABS(BU1549-[4]QC_indicators!$B$2)&gt;3*[4]QC_indicators!$C$2,"C ratio",IF(ISNUMBER(BY1549),IF(ABS(BY1549-[4]QC_indicators!$B$1)&gt;3*[4]QC_indicators!$C$1,"DF","no"))),IF(ISNUMBER(BY1549),IF(ABS(BY1549-[4]QC_indicators!$B$1)&gt;3*[4]QC_indicators!$C$1,"DF","no")))</f>
        <v>no</v>
      </c>
      <c r="ER1549" s="264" t="s">
        <v>2393</v>
      </c>
      <c r="ET1549" s="305" t="s">
        <v>3421</v>
      </c>
    </row>
    <row r="1550" spans="1:150" ht="18" hidden="1" customHeight="1">
      <c r="A1550" s="1" t="s">
        <v>1101</v>
      </c>
      <c r="B1550" t="s">
        <v>2380</v>
      </c>
      <c r="C1550" t="s">
        <v>2381</v>
      </c>
      <c r="D1550" t="s">
        <v>2382</v>
      </c>
      <c r="E1550" t="s">
        <v>2383</v>
      </c>
      <c r="F1550" t="s">
        <v>2384</v>
      </c>
      <c r="G1550" t="s">
        <v>1107</v>
      </c>
      <c r="H1550" t="s">
        <v>254</v>
      </c>
      <c r="I1550">
        <v>2016</v>
      </c>
      <c r="J1550">
        <v>13</v>
      </c>
      <c r="K1550" t="s">
        <v>2385</v>
      </c>
      <c r="M1550" t="str">
        <f t="shared" si="2031"/>
        <v>Torssonen_2016</v>
      </c>
      <c r="N1550" t="s">
        <v>222</v>
      </c>
      <c r="O1550" s="145" t="s">
        <v>1153</v>
      </c>
      <c r="Q1550" s="264" t="s">
        <v>256</v>
      </c>
      <c r="R1550" s="269" t="s">
        <v>341</v>
      </c>
      <c r="S1550" s="1" t="s">
        <v>2403</v>
      </c>
      <c r="T1550" s="264" t="s">
        <v>2427</v>
      </c>
      <c r="U1550" t="s">
        <v>2429</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1</v>
      </c>
      <c r="AO1550">
        <v>1</v>
      </c>
      <c r="AP1550">
        <v>0</v>
      </c>
      <c r="AQ1550">
        <v>0</v>
      </c>
      <c r="AR1550">
        <v>0</v>
      </c>
      <c r="AS1550">
        <v>0</v>
      </c>
      <c r="AT1550">
        <v>0</v>
      </c>
      <c r="AU1550">
        <v>0</v>
      </c>
      <c r="AV1550">
        <v>0</v>
      </c>
      <c r="AW1550">
        <v>0</v>
      </c>
      <c r="AX1550" s="141">
        <f t="shared" si="2064"/>
        <v>2</v>
      </c>
      <c r="AY1550" s="141">
        <f t="shared" si="2032"/>
        <v>0</v>
      </c>
      <c r="AZ1550">
        <f t="shared" si="2033"/>
        <v>0</v>
      </c>
      <c r="BA1550">
        <f t="shared" si="2034"/>
        <v>0</v>
      </c>
      <c r="BB1550">
        <f t="shared" si="2035"/>
        <v>0</v>
      </c>
      <c r="BC1550">
        <f t="shared" si="2036"/>
        <v>0</v>
      </c>
      <c r="BD1550">
        <f t="shared" si="2037"/>
        <v>2</v>
      </c>
      <c r="BE1550" t="str" cm="1">
        <f t="array" ref="BE1550">IF(AY1550=1,INDEX($V$7:$AL$7,MATCH(TRUE,INDEX($V1550:$AW1550&lt;&gt;0,),0)),IF(AY1550=0,INDEX($AM$7:$AW$7,MATCH(1,$AM1550:$AW1550,0)),IF(BF1550="Multiple strategies","mixed drivers",IF(BF1550="Supply chain","multiple supply","multiple silviculture"))))</f>
        <v>Temperature</v>
      </c>
      <c r="BF1550" s="2" t="str" cm="1">
        <f t="array" ref="BF1550">IF(COUNTIF(AZ1550:BB1550,"&lt;&gt;0")=1,INDEX($V$4:$AW$4,MATCH(TRUE,INDEX($V1550:$AW1550&lt;&gt;0,),0)),IF(COUNTIF(AZ1550:BB1550,"&lt;&gt;0")=0,INDEX($AM$4:$AW$4,MATCH(1,$AM1550:$AW1550,0)),"Multiple strategies"))</f>
        <v>Environmental change</v>
      </c>
      <c r="BG1550" s="1" t="s">
        <v>229</v>
      </c>
      <c r="BH1550" s="305" t="s">
        <v>2143</v>
      </c>
      <c r="BI1550" s="264" t="s">
        <v>2390</v>
      </c>
      <c r="BJ1550" s="305" t="s">
        <v>1057</v>
      </c>
      <c r="BK1550">
        <v>8.3265305820000002</v>
      </c>
      <c r="BL1550">
        <v>8.4877550709999987</v>
      </c>
      <c r="BM1550" s="143">
        <f t="shared" si="2038"/>
        <v>1.0193627450727831</v>
      </c>
      <c r="BN1550">
        <f t="shared" si="2039"/>
        <v>0.16122448899999853</v>
      </c>
      <c r="BO1550">
        <f>+BN1550*t_to_m3</f>
        <v>0.32902956938775213</v>
      </c>
      <c r="BP1550" s="305" t="s">
        <v>395</v>
      </c>
      <c r="BQ1550" s="153" t="s">
        <v>3420</v>
      </c>
      <c r="BR1550" s="264" t="s">
        <v>2392</v>
      </c>
      <c r="BS1550">
        <v>-478.54545454545399</v>
      </c>
      <c r="BT1550">
        <v>-490.18181818181802</v>
      </c>
      <c r="BU1550" s="144"/>
      <c r="BV1550" s="144">
        <f t="shared" si="2040"/>
        <v>-11.636363636364024</v>
      </c>
      <c r="BW1550" s="144"/>
      <c r="BX1550" s="144">
        <f t="shared" si="2041"/>
        <v>-0.11636363636364024</v>
      </c>
      <c r="BY1550">
        <f t="shared" si="1992"/>
        <v>-0.35365707884603209</v>
      </c>
      <c r="BZ1550">
        <v>0</v>
      </c>
      <c r="CA1550">
        <v>0</v>
      </c>
      <c r="CB1550">
        <v>0</v>
      </c>
      <c r="CC1550">
        <v>0</v>
      </c>
      <c r="CD1550">
        <v>0</v>
      </c>
      <c r="CE1550">
        <v>0</v>
      </c>
      <c r="CF1550">
        <v>0</v>
      </c>
      <c r="CG1550">
        <v>0</v>
      </c>
      <c r="CH1550">
        <v>0</v>
      </c>
      <c r="CI1550">
        <v>0</v>
      </c>
      <c r="CJ1550">
        <v>0</v>
      </c>
      <c r="CK1550">
        <v>0</v>
      </c>
      <c r="CL1550">
        <v>0</v>
      </c>
      <c r="CM1550">
        <v>1</v>
      </c>
      <c r="CN1550" t="str">
        <f t="shared" si="2042"/>
        <v>refOK</v>
      </c>
      <c r="CO1550">
        <f t="shared" si="2043"/>
        <v>8.3265305820000002</v>
      </c>
      <c r="CP1550">
        <f t="shared" si="2044"/>
        <v>8.4877550709999987</v>
      </c>
      <c r="CQ1550">
        <f t="shared" si="2045"/>
        <v>0.32902956938775213</v>
      </c>
      <c r="CR1550">
        <f t="shared" si="2046"/>
        <v>478.54545454545399</v>
      </c>
      <c r="CS1550">
        <f t="shared" si="2047"/>
        <v>490.18181818181802</v>
      </c>
      <c r="CT1550">
        <f t="shared" si="2048"/>
        <v>0.11636363636364024</v>
      </c>
      <c r="CU1550">
        <f t="shared" si="2049"/>
        <v>0.35365707884603209</v>
      </c>
      <c r="CV1550" s="2">
        <f t="shared" si="2050"/>
        <v>2.4316109422493241E-2</v>
      </c>
      <c r="CW1550" s="1" t="s">
        <v>1198</v>
      </c>
      <c r="CX1550" s="264" t="str">
        <f t="shared" si="2051"/>
        <v>reg</v>
      </c>
      <c r="CY1550" t="s">
        <v>235</v>
      </c>
      <c r="CZ1550">
        <v>2020</v>
      </c>
      <c r="DA1550">
        <v>2100</v>
      </c>
      <c r="DB1550">
        <f t="shared" si="2052"/>
        <v>80</v>
      </c>
      <c r="DC1550" t="str">
        <f t="shared" si="2053"/>
        <v>71-100</v>
      </c>
      <c r="DD1550">
        <v>0</v>
      </c>
      <c r="DE1550">
        <v>1</v>
      </c>
      <c r="DF1550">
        <v>0</v>
      </c>
      <c r="DG1550">
        <v>1</v>
      </c>
      <c r="DI1550">
        <f t="shared" si="2054"/>
        <v>2</v>
      </c>
      <c r="DJ1550" t="str">
        <f t="shared" si="2055"/>
        <v>mixedProduct</v>
      </c>
      <c r="DK1550">
        <f t="shared" si="2056"/>
        <v>0</v>
      </c>
      <c r="DL1550" t="str">
        <f t="shared" si="2057"/>
        <v>Energy</v>
      </c>
      <c r="DM1550">
        <f t="shared" si="2058"/>
        <v>0</v>
      </c>
      <c r="DN1550" t="str">
        <f t="shared" si="2059"/>
        <v>Timber</v>
      </c>
      <c r="DO1550">
        <v>1</v>
      </c>
      <c r="DP1550">
        <v>0</v>
      </c>
      <c r="DQ1550">
        <v>0</v>
      </c>
      <c r="DR1550">
        <v>0</v>
      </c>
      <c r="DS1550">
        <v>0</v>
      </c>
      <c r="DT1550">
        <f t="shared" si="2060"/>
        <v>1</v>
      </c>
      <c r="DU1550" s="143" t="str">
        <f t="shared" si="2061"/>
        <v>self-calculated DF</v>
      </c>
      <c r="DV1550">
        <v>1</v>
      </c>
      <c r="DW1550">
        <v>0</v>
      </c>
      <c r="DX1550">
        <v>1</v>
      </c>
      <c r="DY1550">
        <v>0</v>
      </c>
      <c r="DZ1550">
        <v>0</v>
      </c>
      <c r="EA1550" s="143">
        <v>0</v>
      </c>
      <c r="EB1550">
        <v>0</v>
      </c>
      <c r="EC1550">
        <v>0</v>
      </c>
      <c r="ED1550">
        <v>0</v>
      </c>
      <c r="EE1550">
        <v>0</v>
      </c>
      <c r="EF1550">
        <v>1</v>
      </c>
      <c r="EG1550">
        <v>0</v>
      </c>
      <c r="EH1550">
        <v>0</v>
      </c>
      <c r="EI1550" s="2">
        <v>0</v>
      </c>
      <c r="EK1550" t="str">
        <f t="shared" si="2062"/>
        <v/>
      </c>
      <c r="EL1550" t="str">
        <f t="shared" si="2063"/>
        <v/>
      </c>
      <c r="EM1550" s="2" t="str">
        <f t="shared" si="1993"/>
        <v/>
      </c>
      <c r="EN1550" t="s">
        <v>2402</v>
      </c>
      <c r="EP1550" t="str">
        <f>IF(ISNUMBER(BU1550),IF(ABS(BU1550-[4]QC_indicators!$B$2)&gt;3*[4]QC_indicators!$C$2,"C ratio",IF(ISNUMBER(BY1550),IF(ABS(BY1550-[4]QC_indicators!$B$1)&gt;3*[4]QC_indicators!$C$1,"DF","no"))),IF(ISNUMBER(BY1550),IF(ABS(BY1550-[4]QC_indicators!$B$1)&gt;3*[4]QC_indicators!$C$1,"DF","no")))</f>
        <v>no</v>
      </c>
      <c r="ER1550" s="264" t="s">
        <v>2393</v>
      </c>
      <c r="ET1550" s="305" t="s">
        <v>3421</v>
      </c>
    </row>
    <row r="1551" spans="1:150" ht="18" hidden="1" customHeight="1">
      <c r="A1551" s="1" t="s">
        <v>1101</v>
      </c>
      <c r="B1551" t="s">
        <v>2380</v>
      </c>
      <c r="C1551" t="s">
        <v>2381</v>
      </c>
      <c r="D1551" t="s">
        <v>2382</v>
      </c>
      <c r="E1551" t="s">
        <v>2383</v>
      </c>
      <c r="F1551" t="s">
        <v>2384</v>
      </c>
      <c r="G1551" t="s">
        <v>1107</v>
      </c>
      <c r="H1551" t="s">
        <v>254</v>
      </c>
      <c r="I1551">
        <v>2016</v>
      </c>
      <c r="J1551">
        <v>13</v>
      </c>
      <c r="K1551" t="s">
        <v>2385</v>
      </c>
      <c r="M1551" t="str">
        <f t="shared" si="2031"/>
        <v>Torssonen_2016</v>
      </c>
      <c r="N1551" t="s">
        <v>222</v>
      </c>
      <c r="O1551" s="145" t="s">
        <v>1153</v>
      </c>
      <c r="Q1551" s="264" t="s">
        <v>256</v>
      </c>
      <c r="R1551" s="269" t="s">
        <v>341</v>
      </c>
      <c r="S1551" s="1" t="s">
        <v>2403</v>
      </c>
      <c r="T1551" s="264" t="s">
        <v>2421</v>
      </c>
      <c r="U1551" t="s">
        <v>2423</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1</v>
      </c>
      <c r="AO1551">
        <v>1</v>
      </c>
      <c r="AP1551">
        <v>0</v>
      </c>
      <c r="AQ1551">
        <v>0</v>
      </c>
      <c r="AR1551">
        <v>0</v>
      </c>
      <c r="AS1551">
        <v>0</v>
      </c>
      <c r="AT1551">
        <v>0</v>
      </c>
      <c r="AU1551">
        <v>0</v>
      </c>
      <c r="AV1551">
        <v>0</v>
      </c>
      <c r="AW1551">
        <v>0</v>
      </c>
      <c r="AX1551" s="141">
        <f t="shared" si="2064"/>
        <v>2</v>
      </c>
      <c r="AY1551" s="141">
        <f t="shared" si="2032"/>
        <v>0</v>
      </c>
      <c r="AZ1551">
        <f t="shared" si="2033"/>
        <v>0</v>
      </c>
      <c r="BA1551">
        <f t="shared" si="2034"/>
        <v>0</v>
      </c>
      <c r="BB1551">
        <f t="shared" si="2035"/>
        <v>0</v>
      </c>
      <c r="BC1551">
        <f t="shared" si="2036"/>
        <v>0</v>
      </c>
      <c r="BD1551">
        <f t="shared" si="2037"/>
        <v>2</v>
      </c>
      <c r="BE1551" t="str" cm="1">
        <f t="array" ref="BE1551">IF(AY1551=1,INDEX($V$7:$AL$7,MATCH(TRUE,INDEX($V1551:$AW1551&lt;&gt;0,),0)),IF(AY1551=0,INDEX($AM$7:$AW$7,MATCH(1,$AM1551:$AW1551,0)),IF(BF1551="Multiple strategies","mixed drivers",IF(BF1551="Supply chain","multiple supply","multiple silviculture"))))</f>
        <v>Temperature</v>
      </c>
      <c r="BF1551" s="2" t="str" cm="1">
        <f t="array" ref="BF1551">IF(COUNTIF(AZ1551:BB1551,"&lt;&gt;0")=1,INDEX($V$4:$AW$4,MATCH(TRUE,INDEX($V1551:$AW1551&lt;&gt;0,),0)),IF(COUNTIF(AZ1551:BB1551,"&lt;&gt;0")=0,INDEX($AM$4:$AW$4,MATCH(1,$AM1551:$AW1551,0)),"Multiple strategies"))</f>
        <v>Environmental change</v>
      </c>
      <c r="BG1551" s="1" t="s">
        <v>229</v>
      </c>
      <c r="BH1551" s="305" t="s">
        <v>2143</v>
      </c>
      <c r="BI1551" s="264" t="s">
        <v>2390</v>
      </c>
      <c r="BJ1551" s="305" t="s">
        <v>1057</v>
      </c>
      <c r="BK1551">
        <v>6.9183673350000001</v>
      </c>
      <c r="BL1551">
        <v>7.0183673349999998</v>
      </c>
      <c r="BM1551" s="143">
        <f t="shared" si="2038"/>
        <v>1.014454277311079</v>
      </c>
      <c r="BN1551">
        <f t="shared" si="2039"/>
        <v>9.9999999999999645E-2</v>
      </c>
      <c r="BO1551">
        <f>+BN1551*t_to_m3</f>
        <v>0.20408163265306051</v>
      </c>
      <c r="BP1551" s="305" t="s">
        <v>395</v>
      </c>
      <c r="BQ1551" s="153" t="s">
        <v>3420</v>
      </c>
      <c r="BR1551" s="264" t="s">
        <v>2392</v>
      </c>
      <c r="BS1551">
        <v>-353.45454545454498</v>
      </c>
      <c r="BT1551">
        <v>-359.27272727272702</v>
      </c>
      <c r="BU1551" s="144"/>
      <c r="BV1551" s="144">
        <f t="shared" si="2040"/>
        <v>-5.8181818181820404</v>
      </c>
      <c r="BW1551" s="144"/>
      <c r="BX1551" s="144">
        <f t="shared" si="2041"/>
        <v>-5.8181818181820402E-2</v>
      </c>
      <c r="BY1551">
        <f t="shared" si="1992"/>
        <v>-0.285090909090921</v>
      </c>
      <c r="BZ1551">
        <v>0</v>
      </c>
      <c r="CA1551">
        <v>0</v>
      </c>
      <c r="CB1551">
        <v>0</v>
      </c>
      <c r="CC1551">
        <v>0</v>
      </c>
      <c r="CD1551">
        <v>0</v>
      </c>
      <c r="CE1551">
        <v>0</v>
      </c>
      <c r="CF1551">
        <v>0</v>
      </c>
      <c r="CG1551">
        <v>0</v>
      </c>
      <c r="CH1551">
        <v>0</v>
      </c>
      <c r="CI1551">
        <v>0</v>
      </c>
      <c r="CJ1551">
        <v>0</v>
      </c>
      <c r="CK1551">
        <v>0</v>
      </c>
      <c r="CL1551">
        <v>0</v>
      </c>
      <c r="CM1551">
        <v>1</v>
      </c>
      <c r="CN1551" t="str">
        <f t="shared" si="2042"/>
        <v>refOK</v>
      </c>
      <c r="CO1551">
        <f t="shared" si="2043"/>
        <v>6.9183673350000001</v>
      </c>
      <c r="CP1551">
        <f t="shared" si="2044"/>
        <v>7.0183673349999998</v>
      </c>
      <c r="CQ1551">
        <f t="shared" si="2045"/>
        <v>0.20408163265306051</v>
      </c>
      <c r="CR1551">
        <f t="shared" si="2046"/>
        <v>353.45454545454498</v>
      </c>
      <c r="CS1551">
        <f t="shared" si="2047"/>
        <v>359.27272727272702</v>
      </c>
      <c r="CT1551">
        <f t="shared" si="2048"/>
        <v>5.8181818181820402E-2</v>
      </c>
      <c r="CU1551">
        <f t="shared" si="2049"/>
        <v>0.285090909090921</v>
      </c>
      <c r="CV1551" s="2">
        <f t="shared" si="2050"/>
        <v>1.6460905349794889E-2</v>
      </c>
      <c r="CW1551" s="1" t="s">
        <v>1198</v>
      </c>
      <c r="CX1551" s="264" t="str">
        <f t="shared" si="2051"/>
        <v>reg</v>
      </c>
      <c r="CY1551" t="s">
        <v>235</v>
      </c>
      <c r="CZ1551">
        <v>2020</v>
      </c>
      <c r="DA1551">
        <v>2100</v>
      </c>
      <c r="DB1551">
        <f t="shared" si="2052"/>
        <v>80</v>
      </c>
      <c r="DC1551" t="str">
        <f t="shared" si="2053"/>
        <v>71-100</v>
      </c>
      <c r="DD1551">
        <v>0</v>
      </c>
      <c r="DE1551">
        <v>1</v>
      </c>
      <c r="DF1551">
        <v>0</v>
      </c>
      <c r="DG1551">
        <v>1</v>
      </c>
      <c r="DI1551">
        <f t="shared" si="2054"/>
        <v>2</v>
      </c>
      <c r="DJ1551" t="str">
        <f t="shared" si="2055"/>
        <v>mixedProduct</v>
      </c>
      <c r="DK1551">
        <f t="shared" si="2056"/>
        <v>0</v>
      </c>
      <c r="DL1551" t="str">
        <f t="shared" si="2057"/>
        <v>Energy</v>
      </c>
      <c r="DM1551">
        <f t="shared" si="2058"/>
        <v>0</v>
      </c>
      <c r="DN1551" t="str">
        <f t="shared" si="2059"/>
        <v>Timber</v>
      </c>
      <c r="DO1551">
        <v>1</v>
      </c>
      <c r="DP1551">
        <v>0</v>
      </c>
      <c r="DQ1551">
        <v>0</v>
      </c>
      <c r="DR1551">
        <v>0</v>
      </c>
      <c r="DS1551">
        <v>0</v>
      </c>
      <c r="DT1551">
        <f t="shared" si="2060"/>
        <v>1</v>
      </c>
      <c r="DU1551" s="143" t="str">
        <f t="shared" si="2061"/>
        <v>self-calculated DF</v>
      </c>
      <c r="DV1551">
        <v>1</v>
      </c>
      <c r="DW1551">
        <v>0</v>
      </c>
      <c r="DX1551">
        <v>1</v>
      </c>
      <c r="DY1551">
        <v>0</v>
      </c>
      <c r="DZ1551">
        <v>0</v>
      </c>
      <c r="EA1551" s="143">
        <v>0</v>
      </c>
      <c r="EB1551">
        <v>0</v>
      </c>
      <c r="EC1551">
        <v>0</v>
      </c>
      <c r="ED1551">
        <v>0</v>
      </c>
      <c r="EE1551">
        <v>0</v>
      </c>
      <c r="EF1551">
        <v>1</v>
      </c>
      <c r="EG1551">
        <v>0</v>
      </c>
      <c r="EH1551">
        <v>0</v>
      </c>
      <c r="EI1551" s="2">
        <v>0</v>
      </c>
      <c r="EK1551" t="str">
        <f t="shared" si="2062"/>
        <v/>
      </c>
      <c r="EL1551" t="str">
        <f t="shared" si="2063"/>
        <v/>
      </c>
      <c r="EM1551" s="2" t="str">
        <f t="shared" si="1993"/>
        <v/>
      </c>
      <c r="EN1551" t="s">
        <v>2402</v>
      </c>
      <c r="EP1551" t="str">
        <f>IF(ISNUMBER(BU1551),IF(ABS(BU1551-[4]QC_indicators!$B$2)&gt;3*[4]QC_indicators!$C$2,"C ratio",IF(ISNUMBER(BY1551),IF(ABS(BY1551-[4]QC_indicators!$B$1)&gt;3*[4]QC_indicators!$C$1,"DF","no"))),IF(ISNUMBER(BY1551),IF(ABS(BY1551-[4]QC_indicators!$B$1)&gt;3*[4]QC_indicators!$C$1,"DF","no")))</f>
        <v>no</v>
      </c>
      <c r="ER1551" s="264" t="s">
        <v>2393</v>
      </c>
      <c r="ET1551" s="305" t="s">
        <v>3421</v>
      </c>
    </row>
    <row r="1552" spans="1:150" ht="18" hidden="1" customHeight="1">
      <c r="A1552" s="1" t="s">
        <v>1101</v>
      </c>
      <c r="B1552" t="s">
        <v>2380</v>
      </c>
      <c r="C1552" t="s">
        <v>2381</v>
      </c>
      <c r="D1552" t="s">
        <v>2382</v>
      </c>
      <c r="E1552" t="s">
        <v>2383</v>
      </c>
      <c r="F1552" t="s">
        <v>2384</v>
      </c>
      <c r="G1552" t="s">
        <v>1107</v>
      </c>
      <c r="H1552" t="s">
        <v>254</v>
      </c>
      <c r="I1552">
        <v>2016</v>
      </c>
      <c r="J1552">
        <v>13</v>
      </c>
      <c r="K1552" t="s">
        <v>2385</v>
      </c>
      <c r="M1552" t="str">
        <f t="shared" si="2031"/>
        <v>Torssonen_2016</v>
      </c>
      <c r="N1552" t="s">
        <v>222</v>
      </c>
      <c r="O1552" s="145" t="s">
        <v>1153</v>
      </c>
      <c r="Q1552" s="264" t="s">
        <v>256</v>
      </c>
      <c r="R1552" s="269" t="s">
        <v>341</v>
      </c>
      <c r="S1552" s="1" t="s">
        <v>2403</v>
      </c>
      <c r="T1552" s="264" t="s">
        <v>2400</v>
      </c>
      <c r="U1552" t="s">
        <v>2404</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1</v>
      </c>
      <c r="AO1552">
        <v>1</v>
      </c>
      <c r="AP1552">
        <v>0</v>
      </c>
      <c r="AQ1552">
        <v>0</v>
      </c>
      <c r="AR1552">
        <v>0</v>
      </c>
      <c r="AS1552">
        <v>0</v>
      </c>
      <c r="AT1552">
        <v>0</v>
      </c>
      <c r="AU1552">
        <v>0</v>
      </c>
      <c r="AV1552">
        <v>0</v>
      </c>
      <c r="AW1552">
        <v>0</v>
      </c>
      <c r="AX1552" s="141">
        <f t="shared" si="2064"/>
        <v>2</v>
      </c>
      <c r="AY1552" s="141">
        <f t="shared" si="2032"/>
        <v>0</v>
      </c>
      <c r="AZ1552">
        <f t="shared" si="2033"/>
        <v>0</v>
      </c>
      <c r="BA1552">
        <f t="shared" si="2034"/>
        <v>0</v>
      </c>
      <c r="BB1552">
        <f t="shared" si="2035"/>
        <v>0</v>
      </c>
      <c r="BC1552">
        <f t="shared" si="2036"/>
        <v>0</v>
      </c>
      <c r="BD1552">
        <f t="shared" si="2037"/>
        <v>2</v>
      </c>
      <c r="BE1552" t="str" cm="1">
        <f t="array" ref="BE1552">IF(AY1552=1,INDEX($V$7:$AL$7,MATCH(TRUE,INDEX($V1552:$AW1552&lt;&gt;0,),0)),IF(AY1552=0,INDEX($AM$7:$AW$7,MATCH(1,$AM1552:$AW1552,0)),IF(BF1552="Multiple strategies","mixed drivers",IF(BF1552="Supply chain","multiple supply","multiple silviculture"))))</f>
        <v>Temperature</v>
      </c>
      <c r="BF1552" s="2" t="str" cm="1">
        <f t="array" ref="BF1552">IF(COUNTIF(AZ1552:BB1552,"&lt;&gt;0")=1,INDEX($V$4:$AW$4,MATCH(TRUE,INDEX($V1552:$AW1552&lt;&gt;0,),0)),IF(COUNTIF(AZ1552:BB1552,"&lt;&gt;0")=0,INDEX($AM$4:$AW$4,MATCH(1,$AM1552:$AW1552,0)),"Multiple strategies"))</f>
        <v>Environmental change</v>
      </c>
      <c r="BG1552" s="1" t="s">
        <v>229</v>
      </c>
      <c r="BH1552" s="305" t="s">
        <v>2143</v>
      </c>
      <c r="BI1552" s="264" t="s">
        <v>2390</v>
      </c>
      <c r="BJ1552" s="305" t="s">
        <v>1057</v>
      </c>
      <c r="BK1552">
        <v>6.8142857049999996</v>
      </c>
      <c r="BL1552">
        <v>7.0346938679999997</v>
      </c>
      <c r="BM1552" s="143">
        <f t="shared" si="2038"/>
        <v>1.0323450134822312</v>
      </c>
      <c r="BN1552">
        <f t="shared" si="2039"/>
        <v>0.2204081630000001</v>
      </c>
      <c r="BO1552">
        <f>BN1552</f>
        <v>0.2204081630000001</v>
      </c>
      <c r="BP1552" s="305" t="s">
        <v>395</v>
      </c>
      <c r="BQ1552" s="153" t="s">
        <v>3420</v>
      </c>
      <c r="BR1552" s="264" t="s">
        <v>2392</v>
      </c>
      <c r="BS1552">
        <v>-302.54545454545399</v>
      </c>
      <c r="BT1552">
        <v>-308.36363636363598</v>
      </c>
      <c r="BU1552" s="144"/>
      <c r="BV1552" s="144">
        <f t="shared" si="2040"/>
        <v>-5.8181818181819835</v>
      </c>
      <c r="BW1552" s="144"/>
      <c r="BX1552" s="144">
        <f t="shared" si="2041"/>
        <v>-5.8181818181819833E-2</v>
      </c>
      <c r="BY1552">
        <f t="shared" si="1992"/>
        <v>-0.26397306429081668</v>
      </c>
      <c r="BZ1552">
        <v>0</v>
      </c>
      <c r="CA1552">
        <v>0</v>
      </c>
      <c r="CB1552">
        <v>0</v>
      </c>
      <c r="CC1552">
        <v>0</v>
      </c>
      <c r="CD1552">
        <v>0</v>
      </c>
      <c r="CE1552">
        <v>0</v>
      </c>
      <c r="CF1552">
        <v>0</v>
      </c>
      <c r="CG1552">
        <v>0</v>
      </c>
      <c r="CH1552">
        <v>0</v>
      </c>
      <c r="CI1552">
        <v>0</v>
      </c>
      <c r="CJ1552">
        <v>0</v>
      </c>
      <c r="CK1552">
        <v>0</v>
      </c>
      <c r="CL1552">
        <v>0</v>
      </c>
      <c r="CM1552">
        <v>1</v>
      </c>
      <c r="CN1552" t="str">
        <f t="shared" si="2042"/>
        <v>refOK</v>
      </c>
      <c r="CO1552">
        <f t="shared" si="2043"/>
        <v>6.8142857049999996</v>
      </c>
      <c r="CP1552">
        <f t="shared" si="2044"/>
        <v>7.0346938679999997</v>
      </c>
      <c r="CQ1552">
        <f t="shared" si="2045"/>
        <v>0.2204081630000001</v>
      </c>
      <c r="CR1552">
        <f t="shared" si="2046"/>
        <v>302.54545454545399</v>
      </c>
      <c r="CS1552">
        <f t="shared" si="2047"/>
        <v>308.36363636363598</v>
      </c>
      <c r="CT1552">
        <f t="shared" si="2048"/>
        <v>5.8181818181819833E-2</v>
      </c>
      <c r="CU1552">
        <f t="shared" si="2049"/>
        <v>0.26397306429081668</v>
      </c>
      <c r="CV1552" s="2">
        <f t="shared" si="2050"/>
        <v>1.9230769230769811E-2</v>
      </c>
      <c r="CW1552" s="1" t="s">
        <v>1198</v>
      </c>
      <c r="CX1552" s="264" t="str">
        <f t="shared" si="2051"/>
        <v>reg</v>
      </c>
      <c r="CY1552" t="s">
        <v>235</v>
      </c>
      <c r="CZ1552">
        <v>2020</v>
      </c>
      <c r="DA1552">
        <v>2100</v>
      </c>
      <c r="DB1552">
        <f t="shared" si="2052"/>
        <v>80</v>
      </c>
      <c r="DC1552" t="str">
        <f t="shared" si="2053"/>
        <v>71-100</v>
      </c>
      <c r="DD1552">
        <v>0</v>
      </c>
      <c r="DE1552">
        <v>1</v>
      </c>
      <c r="DF1552">
        <v>0</v>
      </c>
      <c r="DG1552">
        <v>1</v>
      </c>
      <c r="DI1552">
        <f t="shared" si="2054"/>
        <v>2</v>
      </c>
      <c r="DJ1552" t="str">
        <f t="shared" si="2055"/>
        <v>mixedProduct</v>
      </c>
      <c r="DK1552">
        <f t="shared" si="2056"/>
        <v>0</v>
      </c>
      <c r="DL1552" t="str">
        <f t="shared" si="2057"/>
        <v>Energy</v>
      </c>
      <c r="DM1552">
        <f t="shared" si="2058"/>
        <v>0</v>
      </c>
      <c r="DN1552" t="str">
        <f t="shared" si="2059"/>
        <v>Timber</v>
      </c>
      <c r="DO1552">
        <v>1</v>
      </c>
      <c r="DP1552">
        <v>0</v>
      </c>
      <c r="DQ1552">
        <v>0</v>
      </c>
      <c r="DR1552">
        <v>0</v>
      </c>
      <c r="DS1552">
        <v>0</v>
      </c>
      <c r="DT1552">
        <f t="shared" si="2060"/>
        <v>1</v>
      </c>
      <c r="DU1552" s="143" t="str">
        <f t="shared" si="2061"/>
        <v>self-calculated DF</v>
      </c>
      <c r="DV1552">
        <v>1</v>
      </c>
      <c r="DW1552">
        <v>0</v>
      </c>
      <c r="DX1552">
        <v>1</v>
      </c>
      <c r="DY1552">
        <v>0</v>
      </c>
      <c r="DZ1552">
        <v>0</v>
      </c>
      <c r="EA1552" s="143">
        <v>0</v>
      </c>
      <c r="EB1552">
        <v>0</v>
      </c>
      <c r="EC1552">
        <v>0</v>
      </c>
      <c r="ED1552">
        <v>0</v>
      </c>
      <c r="EE1552">
        <v>0</v>
      </c>
      <c r="EF1552">
        <v>1</v>
      </c>
      <c r="EG1552">
        <v>0</v>
      </c>
      <c r="EH1552">
        <v>0</v>
      </c>
      <c r="EI1552" s="2">
        <v>0</v>
      </c>
      <c r="EK1552" t="str">
        <f t="shared" si="2062"/>
        <v/>
      </c>
      <c r="EL1552" t="str">
        <f t="shared" si="2063"/>
        <v/>
      </c>
      <c r="EM1552" s="2" t="str">
        <f t="shared" si="1993"/>
        <v/>
      </c>
      <c r="EN1552" t="s">
        <v>2402</v>
      </c>
      <c r="EP1552" t="str">
        <f>IF(ISNUMBER(BU1552),IF(ABS(BU1552-[4]QC_indicators!$B$2)&gt;3*[4]QC_indicators!$C$2,"C ratio",IF(ISNUMBER(BY1552),IF(ABS(BY1552-[4]QC_indicators!$B$1)&gt;3*[4]QC_indicators!$C$1,"DF","no"))),IF(ISNUMBER(BY1552),IF(ABS(BY1552-[4]QC_indicators!$B$1)&gt;3*[4]QC_indicators!$C$1,"DF","no")))</f>
        <v>no</v>
      </c>
      <c r="ER1552" s="264" t="s">
        <v>2393</v>
      </c>
      <c r="ET1552" s="305" t="s">
        <v>3421</v>
      </c>
    </row>
    <row r="1553" spans="1:150" ht="18" hidden="1" customHeight="1">
      <c r="A1553" s="1" t="s">
        <v>1101</v>
      </c>
      <c r="B1553" t="s">
        <v>2380</v>
      </c>
      <c r="C1553" t="s">
        <v>2381</v>
      </c>
      <c r="D1553" t="s">
        <v>2382</v>
      </c>
      <c r="E1553" t="s">
        <v>2383</v>
      </c>
      <c r="F1553" t="s">
        <v>2384</v>
      </c>
      <c r="G1553" t="s">
        <v>1107</v>
      </c>
      <c r="H1553" t="s">
        <v>254</v>
      </c>
      <c r="I1553">
        <v>2016</v>
      </c>
      <c r="J1553">
        <v>13</v>
      </c>
      <c r="K1553" t="s">
        <v>2385</v>
      </c>
      <c r="M1553" t="str">
        <f t="shared" si="2031"/>
        <v>Torssonen_2016</v>
      </c>
      <c r="N1553" t="s">
        <v>222</v>
      </c>
      <c r="O1553" s="145" t="s">
        <v>1153</v>
      </c>
      <c r="Q1553" s="264" t="s">
        <v>256</v>
      </c>
      <c r="R1553" s="269" t="s">
        <v>341</v>
      </c>
      <c r="S1553" s="1" t="s">
        <v>2399</v>
      </c>
      <c r="T1553" s="264" t="s">
        <v>2411</v>
      </c>
      <c r="U1553" t="s">
        <v>2412</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1</v>
      </c>
      <c r="AO1553">
        <v>1</v>
      </c>
      <c r="AP1553">
        <v>0</v>
      </c>
      <c r="AQ1553">
        <v>0</v>
      </c>
      <c r="AR1553">
        <v>0</v>
      </c>
      <c r="AS1553">
        <v>0</v>
      </c>
      <c r="AT1553">
        <v>0</v>
      </c>
      <c r="AU1553">
        <v>0</v>
      </c>
      <c r="AV1553">
        <v>0</v>
      </c>
      <c r="AW1553">
        <v>0</v>
      </c>
      <c r="AX1553" s="141">
        <f t="shared" si="2064"/>
        <v>2</v>
      </c>
      <c r="AY1553" s="141">
        <f t="shared" si="2032"/>
        <v>0</v>
      </c>
      <c r="AZ1553">
        <f t="shared" si="2033"/>
        <v>0</v>
      </c>
      <c r="BA1553">
        <f t="shared" si="2034"/>
        <v>0</v>
      </c>
      <c r="BB1553">
        <f t="shared" si="2035"/>
        <v>0</v>
      </c>
      <c r="BC1553">
        <f t="shared" si="2036"/>
        <v>0</v>
      </c>
      <c r="BD1553">
        <f t="shared" si="2037"/>
        <v>2</v>
      </c>
      <c r="BE1553" t="str" cm="1">
        <f t="array" ref="BE1553">IF(AY1553=1,INDEX($V$7:$AL$7,MATCH(TRUE,INDEX($V1553:$AW1553&lt;&gt;0,),0)),IF(AY1553=0,INDEX($AM$7:$AW$7,MATCH(1,$AM1553:$AW1553,0)),IF(BF1553="Multiple strategies","mixed drivers",IF(BF1553="Supply chain","multiple supply","multiple silviculture"))))</f>
        <v>Temperature</v>
      </c>
      <c r="BF1553" s="2" t="str" cm="1">
        <f t="array" ref="BF1553">IF(COUNTIF(AZ1553:BB1553,"&lt;&gt;0")=1,INDEX($V$4:$AW$4,MATCH(TRUE,INDEX($V1553:$AW1553&lt;&gt;0,),0)),IF(COUNTIF(AZ1553:BB1553,"&lt;&gt;0")=0,INDEX($AM$4:$AW$4,MATCH(1,$AM1553:$AW1553,0)),"Multiple strategies"))</f>
        <v>Environmental change</v>
      </c>
      <c r="BG1553" s="1" t="s">
        <v>229</v>
      </c>
      <c r="BH1553" s="305" t="s">
        <v>2143</v>
      </c>
      <c r="BI1553" s="264" t="s">
        <v>2390</v>
      </c>
      <c r="BJ1553" s="305" t="s">
        <v>1057</v>
      </c>
      <c r="BK1553">
        <v>8.0857142559999993</v>
      </c>
      <c r="BL1553">
        <v>8.4469387449999989</v>
      </c>
      <c r="BM1553" s="143">
        <f t="shared" si="2038"/>
        <v>1.0446744069309588</v>
      </c>
      <c r="BN1553">
        <f t="shared" si="2039"/>
        <v>0.36122448899999959</v>
      </c>
      <c r="BO1553">
        <f>BN1553</f>
        <v>0.36122448899999959</v>
      </c>
      <c r="BP1553" s="305" t="s">
        <v>395</v>
      </c>
      <c r="BQ1553" s="153" t="s">
        <v>3420</v>
      </c>
      <c r="BR1553" s="264" t="s">
        <v>2392</v>
      </c>
      <c r="BS1553">
        <v>-456.72727272727298</v>
      </c>
      <c r="BT1553">
        <v>-464</v>
      </c>
      <c r="BU1553" s="144"/>
      <c r="BV1553" s="144">
        <f t="shared" si="2040"/>
        <v>-7.2727272727270247</v>
      </c>
      <c r="BW1553" s="144"/>
      <c r="BX1553" s="144">
        <f t="shared" si="2041"/>
        <v>-7.2727272727270253E-2</v>
      </c>
      <c r="BY1553">
        <f t="shared" si="1992"/>
        <v>-0.20133538821967947</v>
      </c>
      <c r="BZ1553">
        <v>0</v>
      </c>
      <c r="CA1553">
        <v>0</v>
      </c>
      <c r="CB1553">
        <v>0</v>
      </c>
      <c r="CC1553">
        <v>0</v>
      </c>
      <c r="CD1553">
        <v>0</v>
      </c>
      <c r="CE1553">
        <v>0</v>
      </c>
      <c r="CF1553">
        <v>0</v>
      </c>
      <c r="CG1553">
        <v>0</v>
      </c>
      <c r="CH1553">
        <v>0</v>
      </c>
      <c r="CI1553">
        <v>0</v>
      </c>
      <c r="CJ1553">
        <v>0</v>
      </c>
      <c r="CK1553">
        <v>0</v>
      </c>
      <c r="CL1553">
        <v>0</v>
      </c>
      <c r="CM1553">
        <v>1</v>
      </c>
      <c r="CN1553" t="str">
        <f t="shared" si="2042"/>
        <v>refOK</v>
      </c>
      <c r="CO1553">
        <f t="shared" si="2043"/>
        <v>8.0857142559999993</v>
      </c>
      <c r="CP1553">
        <f t="shared" si="2044"/>
        <v>8.4469387449999989</v>
      </c>
      <c r="CQ1553">
        <f t="shared" si="2045"/>
        <v>0.36122448899999959</v>
      </c>
      <c r="CR1553">
        <f t="shared" si="2046"/>
        <v>456.72727272727298</v>
      </c>
      <c r="CS1553">
        <f t="shared" si="2047"/>
        <v>464</v>
      </c>
      <c r="CT1553">
        <f t="shared" si="2048"/>
        <v>7.2727272727270253E-2</v>
      </c>
      <c r="CU1553">
        <f t="shared" si="2049"/>
        <v>0.20133538821967947</v>
      </c>
      <c r="CV1553" s="2">
        <f t="shared" si="2050"/>
        <v>1.592356687898034E-2</v>
      </c>
      <c r="CW1553" s="1" t="s">
        <v>1198</v>
      </c>
      <c r="CX1553" s="264" t="str">
        <f t="shared" si="2051"/>
        <v>reg</v>
      </c>
      <c r="CY1553" t="s">
        <v>235</v>
      </c>
      <c r="CZ1553">
        <v>2020</v>
      </c>
      <c r="DA1553">
        <v>2100</v>
      </c>
      <c r="DB1553">
        <f t="shared" si="2052"/>
        <v>80</v>
      </c>
      <c r="DC1553" t="str">
        <f t="shared" si="2053"/>
        <v>71-100</v>
      </c>
      <c r="DD1553">
        <v>0</v>
      </c>
      <c r="DE1553">
        <v>1</v>
      </c>
      <c r="DF1553">
        <v>0</v>
      </c>
      <c r="DG1553">
        <v>1</v>
      </c>
      <c r="DI1553">
        <f t="shared" si="2054"/>
        <v>2</v>
      </c>
      <c r="DJ1553" t="str">
        <f t="shared" si="2055"/>
        <v>mixedProduct</v>
      </c>
      <c r="DK1553">
        <f t="shared" si="2056"/>
        <v>0</v>
      </c>
      <c r="DL1553" t="str">
        <f t="shared" si="2057"/>
        <v>Energy</v>
      </c>
      <c r="DM1553">
        <f t="shared" si="2058"/>
        <v>0</v>
      </c>
      <c r="DN1553" t="str">
        <f t="shared" si="2059"/>
        <v>Timber</v>
      </c>
      <c r="DO1553">
        <v>1</v>
      </c>
      <c r="DP1553">
        <v>0</v>
      </c>
      <c r="DQ1553">
        <v>0</v>
      </c>
      <c r="DR1553">
        <v>0</v>
      </c>
      <c r="DS1553">
        <v>0</v>
      </c>
      <c r="DT1553">
        <f t="shared" si="2060"/>
        <v>1</v>
      </c>
      <c r="DU1553" s="143" t="str">
        <f t="shared" si="2061"/>
        <v>self-calculated DF</v>
      </c>
      <c r="DV1553">
        <v>1</v>
      </c>
      <c r="DW1553">
        <v>0</v>
      </c>
      <c r="DX1553">
        <v>1</v>
      </c>
      <c r="DY1553">
        <v>0</v>
      </c>
      <c r="DZ1553">
        <v>0</v>
      </c>
      <c r="EA1553" s="143">
        <v>0</v>
      </c>
      <c r="EB1553">
        <v>0</v>
      </c>
      <c r="EC1553">
        <v>0</v>
      </c>
      <c r="ED1553">
        <v>0</v>
      </c>
      <c r="EE1553">
        <v>0</v>
      </c>
      <c r="EF1553">
        <v>1</v>
      </c>
      <c r="EG1553">
        <v>0</v>
      </c>
      <c r="EH1553">
        <v>0</v>
      </c>
      <c r="EI1553" s="2">
        <v>0</v>
      </c>
      <c r="EK1553" t="str">
        <f t="shared" si="2062"/>
        <v/>
      </c>
      <c r="EL1553" t="str">
        <f t="shared" si="2063"/>
        <v/>
      </c>
      <c r="EM1553" s="2" t="str">
        <f t="shared" si="1993"/>
        <v/>
      </c>
      <c r="EN1553" t="s">
        <v>2402</v>
      </c>
      <c r="EP1553" t="str">
        <f>IF(ISNUMBER(BU1553),IF(ABS(BU1553-[4]QC_indicators!$B$2)&gt;3*[4]QC_indicators!$C$2,"C ratio",IF(ISNUMBER(BY1553),IF(ABS(BY1553-[4]QC_indicators!$B$1)&gt;3*[4]QC_indicators!$C$1,"DF","no"))),IF(ISNUMBER(BY1553),IF(ABS(BY1553-[4]QC_indicators!$B$1)&gt;3*[4]QC_indicators!$C$1,"DF","no")))</f>
        <v>no</v>
      </c>
      <c r="ER1553" s="264" t="s">
        <v>2393</v>
      </c>
      <c r="ET1553" s="305" t="s">
        <v>3421</v>
      </c>
    </row>
    <row r="1554" spans="1:150" ht="18" hidden="1" customHeight="1">
      <c r="A1554" s="1" t="s">
        <v>1101</v>
      </c>
      <c r="B1554" t="s">
        <v>2380</v>
      </c>
      <c r="C1554" t="s">
        <v>2381</v>
      </c>
      <c r="D1554" t="s">
        <v>2382</v>
      </c>
      <c r="E1554" t="s">
        <v>2383</v>
      </c>
      <c r="F1554" t="s">
        <v>2384</v>
      </c>
      <c r="G1554" t="s">
        <v>1107</v>
      </c>
      <c r="H1554" t="s">
        <v>254</v>
      </c>
      <c r="I1554">
        <v>2016</v>
      </c>
      <c r="J1554">
        <v>13</v>
      </c>
      <c r="K1554" t="s">
        <v>2385</v>
      </c>
      <c r="M1554" t="str">
        <f t="shared" si="2031"/>
        <v>Torssonen_2016</v>
      </c>
      <c r="N1554" t="s">
        <v>222</v>
      </c>
      <c r="O1554" s="145" t="s">
        <v>1153</v>
      </c>
      <c r="Q1554" s="264" t="s">
        <v>256</v>
      </c>
      <c r="R1554" s="269" t="s">
        <v>341</v>
      </c>
      <c r="S1554" s="1" t="s">
        <v>2403</v>
      </c>
      <c r="T1554" s="264" t="s">
        <v>2405</v>
      </c>
      <c r="U1554" t="s">
        <v>2407</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1</v>
      </c>
      <c r="AO1554">
        <v>1</v>
      </c>
      <c r="AP1554">
        <v>0</v>
      </c>
      <c r="AQ1554">
        <v>0</v>
      </c>
      <c r="AR1554">
        <v>0</v>
      </c>
      <c r="AS1554">
        <v>0</v>
      </c>
      <c r="AT1554">
        <v>0</v>
      </c>
      <c r="AU1554">
        <v>0</v>
      </c>
      <c r="AV1554">
        <v>0</v>
      </c>
      <c r="AW1554">
        <v>0</v>
      </c>
      <c r="AX1554" s="141">
        <f t="shared" si="2064"/>
        <v>2</v>
      </c>
      <c r="AY1554" s="141">
        <f t="shared" si="2032"/>
        <v>0</v>
      </c>
      <c r="AZ1554">
        <f t="shared" si="2033"/>
        <v>0</v>
      </c>
      <c r="BA1554">
        <f t="shared" si="2034"/>
        <v>0</v>
      </c>
      <c r="BB1554">
        <f t="shared" si="2035"/>
        <v>0</v>
      </c>
      <c r="BC1554">
        <f t="shared" si="2036"/>
        <v>0</v>
      </c>
      <c r="BD1554">
        <f t="shared" si="2037"/>
        <v>2</v>
      </c>
      <c r="BE1554" t="str" cm="1">
        <f t="array" ref="BE1554">IF(AY1554=1,INDEX($V$7:$AL$7,MATCH(TRUE,INDEX($V1554:$AW1554&lt;&gt;0,),0)),IF(AY1554=0,INDEX($AM$7:$AW$7,MATCH(1,$AM1554:$AW1554,0)),IF(BF1554="Multiple strategies","mixed drivers",IF(BF1554="Supply chain","multiple supply","multiple silviculture"))))</f>
        <v>Temperature</v>
      </c>
      <c r="BF1554" s="2" t="str" cm="1">
        <f t="array" ref="BF1554">IF(COUNTIF(AZ1554:BB1554,"&lt;&gt;0")=1,INDEX($V$4:$AW$4,MATCH(TRUE,INDEX($V1554:$AW1554&lt;&gt;0,),0)),IF(COUNTIF(AZ1554:BB1554,"&lt;&gt;0")=0,INDEX($AM$4:$AW$4,MATCH(1,$AM1554:$AW1554,0)),"Multiple strategies"))</f>
        <v>Environmental change</v>
      </c>
      <c r="BG1554" s="1" t="s">
        <v>229</v>
      </c>
      <c r="BH1554" s="305" t="s">
        <v>2143</v>
      </c>
      <c r="BI1554" s="264" t="s">
        <v>2390</v>
      </c>
      <c r="BJ1554" s="305" t="s">
        <v>1057</v>
      </c>
      <c r="BK1554">
        <v>6.697959172</v>
      </c>
      <c r="BL1554">
        <v>6.9183673350000001</v>
      </c>
      <c r="BM1554" s="143">
        <f t="shared" si="2038"/>
        <v>1.0329067641859313</v>
      </c>
      <c r="BN1554">
        <f t="shared" si="2039"/>
        <v>0.2204081630000001</v>
      </c>
      <c r="BO1554">
        <f>BN1554</f>
        <v>0.2204081630000001</v>
      </c>
      <c r="BP1554" s="305" t="s">
        <v>395</v>
      </c>
      <c r="BQ1554" s="153" t="s">
        <v>3420</v>
      </c>
      <c r="BR1554" s="264" t="s">
        <v>2392</v>
      </c>
      <c r="BS1554">
        <v>-334.54545454545399</v>
      </c>
      <c r="BT1554">
        <v>-338.90909090909099</v>
      </c>
      <c r="BU1554" s="144"/>
      <c r="BV1554" s="144">
        <f t="shared" si="2040"/>
        <v>-4.3636363636369992</v>
      </c>
      <c r="BW1554" s="144"/>
      <c r="BX1554" s="144">
        <f t="shared" si="2041"/>
        <v>-4.3636363636369989E-2</v>
      </c>
      <c r="BY1554">
        <f t="shared" si="1992"/>
        <v>-0.19797979821813572</v>
      </c>
      <c r="BZ1554">
        <v>0</v>
      </c>
      <c r="CA1554">
        <v>0</v>
      </c>
      <c r="CB1554">
        <v>0</v>
      </c>
      <c r="CC1554">
        <v>0</v>
      </c>
      <c r="CD1554">
        <v>0</v>
      </c>
      <c r="CE1554">
        <v>0</v>
      </c>
      <c r="CF1554">
        <v>0</v>
      </c>
      <c r="CG1554">
        <v>0</v>
      </c>
      <c r="CH1554">
        <v>0</v>
      </c>
      <c r="CI1554">
        <v>0</v>
      </c>
      <c r="CJ1554">
        <v>0</v>
      </c>
      <c r="CK1554">
        <v>0</v>
      </c>
      <c r="CL1554">
        <v>0</v>
      </c>
      <c r="CM1554">
        <v>1</v>
      </c>
      <c r="CN1554" t="str">
        <f t="shared" si="2042"/>
        <v>refOK</v>
      </c>
      <c r="CO1554">
        <f t="shared" si="2043"/>
        <v>6.697959172</v>
      </c>
      <c r="CP1554">
        <f t="shared" si="2044"/>
        <v>6.9183673350000001</v>
      </c>
      <c r="CQ1554">
        <f t="shared" si="2045"/>
        <v>0.2204081630000001</v>
      </c>
      <c r="CR1554">
        <f t="shared" si="2046"/>
        <v>334.54545454545399</v>
      </c>
      <c r="CS1554">
        <f t="shared" si="2047"/>
        <v>338.90909090909099</v>
      </c>
      <c r="CT1554">
        <f t="shared" si="2048"/>
        <v>4.3636363636369989E-2</v>
      </c>
      <c r="CU1554">
        <f t="shared" si="2049"/>
        <v>0.19797979821813572</v>
      </c>
      <c r="CV1554" s="2">
        <f t="shared" si="2050"/>
        <v>1.3043478260871487E-2</v>
      </c>
      <c r="CW1554" s="1" t="s">
        <v>1198</v>
      </c>
      <c r="CX1554" s="264" t="str">
        <f t="shared" si="2051"/>
        <v>reg</v>
      </c>
      <c r="CY1554" t="s">
        <v>235</v>
      </c>
      <c r="CZ1554">
        <v>2020</v>
      </c>
      <c r="DA1554">
        <v>2100</v>
      </c>
      <c r="DB1554">
        <f t="shared" si="2052"/>
        <v>80</v>
      </c>
      <c r="DC1554" t="str">
        <f t="shared" si="2053"/>
        <v>71-100</v>
      </c>
      <c r="DD1554">
        <v>0</v>
      </c>
      <c r="DE1554">
        <v>1</v>
      </c>
      <c r="DF1554">
        <v>0</v>
      </c>
      <c r="DG1554">
        <v>1</v>
      </c>
      <c r="DI1554">
        <f t="shared" si="2054"/>
        <v>2</v>
      </c>
      <c r="DJ1554" t="str">
        <f t="shared" si="2055"/>
        <v>mixedProduct</v>
      </c>
      <c r="DK1554">
        <f t="shared" si="2056"/>
        <v>0</v>
      </c>
      <c r="DL1554" t="str">
        <f t="shared" si="2057"/>
        <v>Energy</v>
      </c>
      <c r="DM1554">
        <f t="shared" si="2058"/>
        <v>0</v>
      </c>
      <c r="DN1554" t="str">
        <f t="shared" si="2059"/>
        <v>Timber</v>
      </c>
      <c r="DO1554">
        <v>1</v>
      </c>
      <c r="DP1554">
        <v>0</v>
      </c>
      <c r="DQ1554">
        <v>0</v>
      </c>
      <c r="DR1554">
        <v>0</v>
      </c>
      <c r="DS1554">
        <v>0</v>
      </c>
      <c r="DT1554">
        <f t="shared" si="2060"/>
        <v>1</v>
      </c>
      <c r="DU1554" s="143" t="str">
        <f t="shared" si="2061"/>
        <v>self-calculated DF</v>
      </c>
      <c r="DV1554">
        <v>1</v>
      </c>
      <c r="DW1554">
        <v>0</v>
      </c>
      <c r="DX1554">
        <v>1</v>
      </c>
      <c r="DY1554">
        <v>0</v>
      </c>
      <c r="DZ1554">
        <v>0</v>
      </c>
      <c r="EA1554" s="143">
        <v>0</v>
      </c>
      <c r="EB1554">
        <v>0</v>
      </c>
      <c r="EC1554">
        <v>0</v>
      </c>
      <c r="ED1554">
        <v>0</v>
      </c>
      <c r="EE1554">
        <v>0</v>
      </c>
      <c r="EF1554">
        <v>1</v>
      </c>
      <c r="EG1554">
        <v>0</v>
      </c>
      <c r="EH1554">
        <v>0</v>
      </c>
      <c r="EI1554" s="2">
        <v>0</v>
      </c>
      <c r="EK1554" t="str">
        <f t="shared" si="2062"/>
        <v/>
      </c>
      <c r="EL1554" t="str">
        <f t="shared" si="2063"/>
        <v/>
      </c>
      <c r="EM1554" s="2" t="str">
        <f t="shared" si="1993"/>
        <v/>
      </c>
      <c r="EN1554" t="s">
        <v>2402</v>
      </c>
      <c r="EP1554" t="str">
        <f>IF(ISNUMBER(BU1554),IF(ABS(BU1554-[4]QC_indicators!$B$2)&gt;3*[4]QC_indicators!$C$2,"C ratio",IF(ISNUMBER(BY1554),IF(ABS(BY1554-[4]QC_indicators!$B$1)&gt;3*[4]QC_indicators!$C$1,"DF","no"))),IF(ISNUMBER(BY1554),IF(ABS(BY1554-[4]QC_indicators!$B$1)&gt;3*[4]QC_indicators!$C$1,"DF","no")))</f>
        <v>no</v>
      </c>
      <c r="ER1554" s="264" t="s">
        <v>2393</v>
      </c>
      <c r="ET1554" s="305" t="s">
        <v>3421</v>
      </c>
    </row>
    <row r="1555" spans="1:150" ht="18" hidden="1" customHeight="1">
      <c r="A1555" s="1" t="s">
        <v>1101</v>
      </c>
      <c r="B1555" t="s">
        <v>2380</v>
      </c>
      <c r="C1555" t="s">
        <v>2381</v>
      </c>
      <c r="D1555" t="s">
        <v>2382</v>
      </c>
      <c r="E1555" t="s">
        <v>2383</v>
      </c>
      <c r="F1555" t="s">
        <v>2384</v>
      </c>
      <c r="G1555" t="s">
        <v>1107</v>
      </c>
      <c r="H1555" t="s">
        <v>254</v>
      </c>
      <c r="I1555">
        <v>2016</v>
      </c>
      <c r="J1555">
        <v>13</v>
      </c>
      <c r="K1555" t="s">
        <v>2385</v>
      </c>
      <c r="M1555" t="str">
        <f t="shared" si="2031"/>
        <v>Torssonen_2016</v>
      </c>
      <c r="N1555" t="s">
        <v>222</v>
      </c>
      <c r="O1555" s="145" t="s">
        <v>1153</v>
      </c>
      <c r="Q1555" s="264" t="s">
        <v>256</v>
      </c>
      <c r="R1555" s="269" t="s">
        <v>341</v>
      </c>
      <c r="S1555" s="1" t="s">
        <v>2399</v>
      </c>
      <c r="T1555" s="264" t="s">
        <v>2408</v>
      </c>
      <c r="U1555" t="s">
        <v>2409</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1</v>
      </c>
      <c r="AO1555">
        <v>1</v>
      </c>
      <c r="AP1555">
        <v>0</v>
      </c>
      <c r="AQ1555">
        <v>0</v>
      </c>
      <c r="AR1555">
        <v>0</v>
      </c>
      <c r="AS1555">
        <v>0</v>
      </c>
      <c r="AT1555">
        <v>0</v>
      </c>
      <c r="AU1555">
        <v>0</v>
      </c>
      <c r="AV1555">
        <v>0</v>
      </c>
      <c r="AW1555">
        <v>0</v>
      </c>
      <c r="AX1555" s="141">
        <f t="shared" si="2064"/>
        <v>2</v>
      </c>
      <c r="AY1555" s="141">
        <f t="shared" si="2032"/>
        <v>0</v>
      </c>
      <c r="AZ1555">
        <f t="shared" si="2033"/>
        <v>0</v>
      </c>
      <c r="BA1555">
        <f t="shared" si="2034"/>
        <v>0</v>
      </c>
      <c r="BB1555">
        <f t="shared" si="2035"/>
        <v>0</v>
      </c>
      <c r="BC1555">
        <f t="shared" si="2036"/>
        <v>0</v>
      </c>
      <c r="BD1555">
        <f t="shared" si="2037"/>
        <v>2</v>
      </c>
      <c r="BE1555" t="str" cm="1">
        <f t="array" ref="BE1555">IF(AY1555=1,INDEX($V$7:$AL$7,MATCH(TRUE,INDEX($V1555:$AW1555&lt;&gt;0,),0)),IF(AY1555=0,INDEX($AM$7:$AW$7,MATCH(1,$AM1555:$AW1555,0)),IF(BF1555="Multiple strategies","mixed drivers",IF(BF1555="Supply chain","multiple supply","multiple silviculture"))))</f>
        <v>Temperature</v>
      </c>
      <c r="BF1555" s="2" t="str" cm="1">
        <f t="array" ref="BF1555">IF(COUNTIF(AZ1555:BB1555,"&lt;&gt;0")=1,INDEX($V$4:$AW$4,MATCH(TRUE,INDEX($V1555:$AW1555&lt;&gt;0,),0)),IF(COUNTIF(AZ1555:BB1555,"&lt;&gt;0")=0,INDEX($AM$4:$AW$4,MATCH(1,$AM1555:$AW1555,0)),"Multiple strategies"))</f>
        <v>Environmental change</v>
      </c>
      <c r="BG1555" s="1" t="s">
        <v>229</v>
      </c>
      <c r="BH1555" s="305" t="s">
        <v>2143</v>
      </c>
      <c r="BI1555" s="264" t="s">
        <v>2390</v>
      </c>
      <c r="BJ1555" s="305" t="s">
        <v>1057</v>
      </c>
      <c r="BK1555">
        <v>7.9367346699999999</v>
      </c>
      <c r="BL1555">
        <v>8.1979591589999998</v>
      </c>
      <c r="BM1555" s="143">
        <f t="shared" si="2038"/>
        <v>1.032913345331727</v>
      </c>
      <c r="BN1555">
        <f t="shared" si="2039"/>
        <v>0.26122448899999995</v>
      </c>
      <c r="BO1555">
        <f>BN1555</f>
        <v>0.26122448899999995</v>
      </c>
      <c r="BP1555" s="305" t="s">
        <v>395</v>
      </c>
      <c r="BQ1555" s="153" t="s">
        <v>3420</v>
      </c>
      <c r="BR1555" s="264" t="s">
        <v>2392</v>
      </c>
      <c r="BS1555">
        <v>-402.90909090909099</v>
      </c>
      <c r="BT1555">
        <v>-407.27272727272702</v>
      </c>
      <c r="BU1555" s="144"/>
      <c r="BV1555" s="144">
        <f t="shared" si="2040"/>
        <v>-4.3636363636360329</v>
      </c>
      <c r="BW1555" s="144"/>
      <c r="BX1555" s="144">
        <f t="shared" si="2041"/>
        <v>-4.363636363636033E-2</v>
      </c>
      <c r="BY1555">
        <f t="shared" si="1992"/>
        <v>-0.16704545505440854</v>
      </c>
      <c r="BZ1555">
        <v>0</v>
      </c>
      <c r="CA1555">
        <v>0</v>
      </c>
      <c r="CB1555">
        <v>0</v>
      </c>
      <c r="CC1555">
        <v>0</v>
      </c>
      <c r="CD1555">
        <v>0</v>
      </c>
      <c r="CE1555">
        <v>0</v>
      </c>
      <c r="CF1555">
        <v>0</v>
      </c>
      <c r="CG1555">
        <v>0</v>
      </c>
      <c r="CH1555">
        <v>0</v>
      </c>
      <c r="CI1555">
        <v>0</v>
      </c>
      <c r="CJ1555">
        <v>0</v>
      </c>
      <c r="CK1555">
        <v>0</v>
      </c>
      <c r="CL1555">
        <v>0</v>
      </c>
      <c r="CM1555">
        <v>1</v>
      </c>
      <c r="CN1555" t="str">
        <f t="shared" si="2042"/>
        <v>refOK</v>
      </c>
      <c r="CO1555">
        <f t="shared" si="2043"/>
        <v>7.9367346699999999</v>
      </c>
      <c r="CP1555">
        <f t="shared" si="2044"/>
        <v>8.1979591589999998</v>
      </c>
      <c r="CQ1555">
        <f t="shared" si="2045"/>
        <v>0.26122448899999995</v>
      </c>
      <c r="CR1555">
        <f t="shared" si="2046"/>
        <v>402.90909090909099</v>
      </c>
      <c r="CS1555">
        <f t="shared" si="2047"/>
        <v>407.27272727272702</v>
      </c>
      <c r="CT1555">
        <f t="shared" si="2048"/>
        <v>4.363636363636033E-2</v>
      </c>
      <c r="CU1555">
        <f t="shared" si="2049"/>
        <v>0.16704545505440854</v>
      </c>
      <c r="CV1555" s="2">
        <f t="shared" si="2050"/>
        <v>1.083032490974647E-2</v>
      </c>
      <c r="CW1555" s="1" t="s">
        <v>1198</v>
      </c>
      <c r="CX1555" s="264" t="str">
        <f t="shared" si="2051"/>
        <v>reg</v>
      </c>
      <c r="CY1555" t="s">
        <v>235</v>
      </c>
      <c r="CZ1555">
        <v>2020</v>
      </c>
      <c r="DA1555">
        <v>2100</v>
      </c>
      <c r="DB1555">
        <f t="shared" si="2052"/>
        <v>80</v>
      </c>
      <c r="DC1555" t="str">
        <f t="shared" si="2053"/>
        <v>71-100</v>
      </c>
      <c r="DD1555">
        <v>0</v>
      </c>
      <c r="DE1555">
        <v>1</v>
      </c>
      <c r="DF1555">
        <v>0</v>
      </c>
      <c r="DG1555">
        <v>1</v>
      </c>
      <c r="DI1555">
        <f t="shared" si="2054"/>
        <v>2</v>
      </c>
      <c r="DJ1555" t="str">
        <f t="shared" si="2055"/>
        <v>mixedProduct</v>
      </c>
      <c r="DK1555">
        <f t="shared" si="2056"/>
        <v>0</v>
      </c>
      <c r="DL1555" t="str">
        <f t="shared" si="2057"/>
        <v>Energy</v>
      </c>
      <c r="DM1555">
        <f t="shared" si="2058"/>
        <v>0</v>
      </c>
      <c r="DN1555" t="str">
        <f t="shared" si="2059"/>
        <v>Timber</v>
      </c>
      <c r="DO1555">
        <v>1</v>
      </c>
      <c r="DP1555">
        <v>0</v>
      </c>
      <c r="DQ1555">
        <v>0</v>
      </c>
      <c r="DR1555">
        <v>0</v>
      </c>
      <c r="DS1555">
        <v>0</v>
      </c>
      <c r="DT1555">
        <f t="shared" si="2060"/>
        <v>1</v>
      </c>
      <c r="DU1555" s="143" t="str">
        <f t="shared" si="2061"/>
        <v>self-calculated DF</v>
      </c>
      <c r="DV1555">
        <v>1</v>
      </c>
      <c r="DW1555">
        <v>0</v>
      </c>
      <c r="DX1555">
        <v>1</v>
      </c>
      <c r="DY1555">
        <v>0</v>
      </c>
      <c r="DZ1555">
        <v>0</v>
      </c>
      <c r="EA1555" s="143">
        <v>0</v>
      </c>
      <c r="EB1555">
        <v>0</v>
      </c>
      <c r="EC1555">
        <v>0</v>
      </c>
      <c r="ED1555">
        <v>0</v>
      </c>
      <c r="EE1555">
        <v>0</v>
      </c>
      <c r="EF1555">
        <v>1</v>
      </c>
      <c r="EG1555">
        <v>0</v>
      </c>
      <c r="EH1555">
        <v>0</v>
      </c>
      <c r="EI1555" s="2">
        <v>0</v>
      </c>
      <c r="EK1555" t="str">
        <f t="shared" si="2062"/>
        <v/>
      </c>
      <c r="EL1555" t="str">
        <f t="shared" si="2063"/>
        <v/>
      </c>
      <c r="EM1555" s="2" t="str">
        <f t="shared" si="1993"/>
        <v/>
      </c>
      <c r="EN1555" t="s">
        <v>2402</v>
      </c>
      <c r="EP1555" t="str">
        <f>IF(ISNUMBER(BU1555),IF(ABS(BU1555-[4]QC_indicators!$B$2)&gt;3*[4]QC_indicators!$C$2,"C ratio",IF(ISNUMBER(BY1555),IF(ABS(BY1555-[4]QC_indicators!$B$1)&gt;3*[4]QC_indicators!$C$1,"DF","no"))),IF(ISNUMBER(BY1555),IF(ABS(BY1555-[4]QC_indicators!$B$1)&gt;3*[4]QC_indicators!$C$1,"DF","no")))</f>
        <v>no</v>
      </c>
      <c r="ER1555" s="264" t="s">
        <v>2393</v>
      </c>
      <c r="ET1555" s="305" t="s">
        <v>3421</v>
      </c>
    </row>
    <row r="1556" spans="1:150" ht="18" hidden="1" customHeight="1">
      <c r="A1556" s="1" t="s">
        <v>1101</v>
      </c>
      <c r="B1556" t="s">
        <v>2380</v>
      </c>
      <c r="C1556" t="s">
        <v>2381</v>
      </c>
      <c r="D1556" t="s">
        <v>2382</v>
      </c>
      <c r="E1556" t="s">
        <v>2383</v>
      </c>
      <c r="F1556" t="s">
        <v>2384</v>
      </c>
      <c r="G1556" t="s">
        <v>1107</v>
      </c>
      <c r="H1556" t="s">
        <v>254</v>
      </c>
      <c r="I1556">
        <v>2016</v>
      </c>
      <c r="J1556">
        <v>13</v>
      </c>
      <c r="K1556" t="s">
        <v>2385</v>
      </c>
      <c r="M1556" t="str">
        <f t="shared" si="2031"/>
        <v>Torssonen_2016</v>
      </c>
      <c r="N1556" t="s">
        <v>222</v>
      </c>
      <c r="O1556" s="145" t="s">
        <v>1153</v>
      </c>
      <c r="Q1556" s="264" t="s">
        <v>256</v>
      </c>
      <c r="R1556" s="269" t="s">
        <v>341</v>
      </c>
      <c r="S1556" s="1" t="s">
        <v>2403</v>
      </c>
      <c r="T1556" s="264" t="s">
        <v>2424</v>
      </c>
      <c r="U1556" t="s">
        <v>2426</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1</v>
      </c>
      <c r="AO1556">
        <v>1</v>
      </c>
      <c r="AP1556">
        <v>0</v>
      </c>
      <c r="AQ1556">
        <v>0</v>
      </c>
      <c r="AR1556">
        <v>0</v>
      </c>
      <c r="AS1556">
        <v>0</v>
      </c>
      <c r="AT1556">
        <v>0</v>
      </c>
      <c r="AU1556">
        <v>0</v>
      </c>
      <c r="AV1556">
        <v>0</v>
      </c>
      <c r="AW1556">
        <v>0</v>
      </c>
      <c r="AX1556" s="141">
        <f t="shared" si="2064"/>
        <v>2</v>
      </c>
      <c r="AY1556" s="141">
        <f t="shared" si="2032"/>
        <v>0</v>
      </c>
      <c r="AZ1556">
        <f t="shared" si="2033"/>
        <v>0</v>
      </c>
      <c r="BA1556">
        <f t="shared" si="2034"/>
        <v>0</v>
      </c>
      <c r="BB1556">
        <f t="shared" si="2035"/>
        <v>0</v>
      </c>
      <c r="BC1556">
        <f t="shared" si="2036"/>
        <v>0</v>
      </c>
      <c r="BD1556">
        <f t="shared" si="2037"/>
        <v>2</v>
      </c>
      <c r="BE1556" t="str" cm="1">
        <f t="array" ref="BE1556">IF(AY1556=1,INDEX($V$7:$AL$7,MATCH(TRUE,INDEX($V1556:$AW1556&lt;&gt;0,),0)),IF(AY1556=0,INDEX($AM$7:$AW$7,MATCH(1,$AM1556:$AW1556,0)),IF(BF1556="Multiple strategies","mixed drivers",IF(BF1556="Supply chain","multiple supply","multiple silviculture"))))</f>
        <v>Temperature</v>
      </c>
      <c r="BF1556" s="2" t="str" cm="1">
        <f t="array" ref="BF1556">IF(COUNTIF(AZ1556:BB1556,"&lt;&gt;0")=1,INDEX($V$4:$AW$4,MATCH(TRUE,INDEX($V1556:$AW1556&lt;&gt;0,),0)),IF(COUNTIF(AZ1556:BB1556,"&lt;&gt;0")=0,INDEX($AM$4:$AW$4,MATCH(1,$AM1556:$AW1556,0)),"Multiple strategies"))</f>
        <v>Environmental change</v>
      </c>
      <c r="BG1556" s="1" t="s">
        <v>229</v>
      </c>
      <c r="BH1556" s="305" t="s">
        <v>2143</v>
      </c>
      <c r="BI1556" s="264" t="s">
        <v>2390</v>
      </c>
      <c r="BJ1556" s="305" t="s">
        <v>1057</v>
      </c>
      <c r="BK1556">
        <v>8.0775509959999994</v>
      </c>
      <c r="BL1556">
        <v>8.3591836480000001</v>
      </c>
      <c r="BM1556" s="143">
        <f t="shared" si="2038"/>
        <v>1.0348660939608385</v>
      </c>
      <c r="BN1556">
        <f t="shared" si="2039"/>
        <v>0.28163265200000076</v>
      </c>
      <c r="BO1556">
        <f>+BN1556*t_to_m3</f>
        <v>0.57476051428571584</v>
      </c>
      <c r="BP1556" s="305" t="s">
        <v>395</v>
      </c>
      <c r="BQ1556" s="153" t="s">
        <v>3420</v>
      </c>
      <c r="BR1556" s="264" t="s">
        <v>2392</v>
      </c>
      <c r="BS1556">
        <v>-421.81818181818102</v>
      </c>
      <c r="BT1556">
        <v>-430.54545454545399</v>
      </c>
      <c r="BU1556" s="144"/>
      <c r="BV1556" s="144">
        <f t="shared" si="2040"/>
        <v>-8.7272727272729753</v>
      </c>
      <c r="BW1556" s="144"/>
      <c r="BX1556" s="144">
        <f t="shared" si="2041"/>
        <v>-8.727272727272975E-2</v>
      </c>
      <c r="BY1556">
        <f t="shared" si="1992"/>
        <v>-0.15184189780536336</v>
      </c>
      <c r="BZ1556">
        <v>0</v>
      </c>
      <c r="CA1556">
        <v>0</v>
      </c>
      <c r="CB1556">
        <v>0</v>
      </c>
      <c r="CC1556">
        <v>0</v>
      </c>
      <c r="CD1556">
        <v>0</v>
      </c>
      <c r="CE1556">
        <v>0</v>
      </c>
      <c r="CF1556">
        <v>0</v>
      </c>
      <c r="CG1556">
        <v>0</v>
      </c>
      <c r="CH1556">
        <v>0</v>
      </c>
      <c r="CI1556">
        <v>0</v>
      </c>
      <c r="CJ1556">
        <v>0</v>
      </c>
      <c r="CK1556">
        <v>0</v>
      </c>
      <c r="CL1556">
        <v>0</v>
      </c>
      <c r="CM1556">
        <v>1</v>
      </c>
      <c r="CN1556" t="str">
        <f t="shared" si="2042"/>
        <v>refOK</v>
      </c>
      <c r="CO1556">
        <f t="shared" si="2043"/>
        <v>8.0775509959999994</v>
      </c>
      <c r="CP1556">
        <f t="shared" si="2044"/>
        <v>8.3591836480000001</v>
      </c>
      <c r="CQ1556">
        <f t="shared" si="2045"/>
        <v>0.57476051428571584</v>
      </c>
      <c r="CR1556">
        <f t="shared" si="2046"/>
        <v>421.81818181818102</v>
      </c>
      <c r="CS1556">
        <f t="shared" si="2047"/>
        <v>430.54545454545399</v>
      </c>
      <c r="CT1556">
        <f t="shared" si="2048"/>
        <v>8.727272727272975E-2</v>
      </c>
      <c r="CU1556">
        <f t="shared" si="2049"/>
        <v>0.15184189780536336</v>
      </c>
      <c r="CV1556" s="2">
        <f t="shared" si="2050"/>
        <v>2.0689655172414421E-2</v>
      </c>
      <c r="CW1556" s="1" t="s">
        <v>1198</v>
      </c>
      <c r="CX1556" s="264" t="str">
        <f t="shared" si="2051"/>
        <v>reg</v>
      </c>
      <c r="CY1556" t="s">
        <v>235</v>
      </c>
      <c r="CZ1556">
        <v>2020</v>
      </c>
      <c r="DA1556">
        <v>2100</v>
      </c>
      <c r="DB1556">
        <f t="shared" si="2052"/>
        <v>80</v>
      </c>
      <c r="DC1556" t="str">
        <f t="shared" si="2053"/>
        <v>71-100</v>
      </c>
      <c r="DD1556">
        <v>0</v>
      </c>
      <c r="DE1556">
        <v>1</v>
      </c>
      <c r="DF1556">
        <v>0</v>
      </c>
      <c r="DG1556">
        <v>1</v>
      </c>
      <c r="DI1556">
        <f t="shared" si="2054"/>
        <v>2</v>
      </c>
      <c r="DJ1556" t="str">
        <f t="shared" si="2055"/>
        <v>mixedProduct</v>
      </c>
      <c r="DK1556">
        <f t="shared" si="2056"/>
        <v>0</v>
      </c>
      <c r="DL1556" t="str">
        <f t="shared" si="2057"/>
        <v>Energy</v>
      </c>
      <c r="DM1556">
        <f t="shared" si="2058"/>
        <v>0</v>
      </c>
      <c r="DN1556" t="str">
        <f t="shared" si="2059"/>
        <v>Timber</v>
      </c>
      <c r="DO1556">
        <v>1</v>
      </c>
      <c r="DP1556">
        <v>0</v>
      </c>
      <c r="DQ1556">
        <v>0</v>
      </c>
      <c r="DR1556">
        <v>0</v>
      </c>
      <c r="DS1556">
        <v>0</v>
      </c>
      <c r="DT1556">
        <f t="shared" si="2060"/>
        <v>1</v>
      </c>
      <c r="DU1556" s="143" t="str">
        <f t="shared" si="2061"/>
        <v>self-calculated DF</v>
      </c>
      <c r="DV1556">
        <v>1</v>
      </c>
      <c r="DW1556">
        <v>0</v>
      </c>
      <c r="DX1556">
        <v>1</v>
      </c>
      <c r="DY1556">
        <v>0</v>
      </c>
      <c r="DZ1556">
        <v>0</v>
      </c>
      <c r="EA1556" s="143">
        <v>0</v>
      </c>
      <c r="EB1556">
        <v>0</v>
      </c>
      <c r="EC1556">
        <v>0</v>
      </c>
      <c r="ED1556">
        <v>0</v>
      </c>
      <c r="EE1556">
        <v>0</v>
      </c>
      <c r="EF1556">
        <v>1</v>
      </c>
      <c r="EG1556">
        <v>0</v>
      </c>
      <c r="EH1556">
        <v>0</v>
      </c>
      <c r="EI1556" s="2">
        <v>0</v>
      </c>
      <c r="EK1556" t="str">
        <f t="shared" si="2062"/>
        <v/>
      </c>
      <c r="EL1556" t="str">
        <f t="shared" si="2063"/>
        <v/>
      </c>
      <c r="EM1556" s="2" t="str">
        <f t="shared" si="1993"/>
        <v/>
      </c>
      <c r="EN1556" t="s">
        <v>2402</v>
      </c>
      <c r="EP1556" t="str">
        <f>IF(ISNUMBER(BU1556),IF(ABS(BU1556-[4]QC_indicators!$B$2)&gt;3*[4]QC_indicators!$C$2,"C ratio",IF(ISNUMBER(BY1556),IF(ABS(BY1556-[4]QC_indicators!$B$1)&gt;3*[4]QC_indicators!$C$1,"DF","no"))),IF(ISNUMBER(BY1556),IF(ABS(BY1556-[4]QC_indicators!$B$1)&gt;3*[4]QC_indicators!$C$1,"DF","no")))</f>
        <v>no</v>
      </c>
      <c r="ER1556" s="264" t="s">
        <v>2393</v>
      </c>
      <c r="ET1556" s="305" t="s">
        <v>3421</v>
      </c>
    </row>
    <row r="1557" spans="1:150" ht="18" hidden="1" customHeight="1">
      <c r="A1557" s="1" t="s">
        <v>1101</v>
      </c>
      <c r="B1557" t="s">
        <v>2380</v>
      </c>
      <c r="C1557" t="s">
        <v>2381</v>
      </c>
      <c r="D1557" t="s">
        <v>2382</v>
      </c>
      <c r="E1557" t="s">
        <v>2383</v>
      </c>
      <c r="F1557" t="s">
        <v>2384</v>
      </c>
      <c r="G1557" t="s">
        <v>1107</v>
      </c>
      <c r="H1557" t="s">
        <v>254</v>
      </c>
      <c r="I1557">
        <v>2016</v>
      </c>
      <c r="J1557">
        <v>13</v>
      </c>
      <c r="K1557" t="s">
        <v>2385</v>
      </c>
      <c r="M1557" t="str">
        <f t="shared" si="2031"/>
        <v>Torssonen_2016</v>
      </c>
      <c r="N1557" t="s">
        <v>222</v>
      </c>
      <c r="O1557" s="145" t="s">
        <v>1153</v>
      </c>
      <c r="Q1557" s="264" t="s">
        <v>256</v>
      </c>
      <c r="R1557" s="269" t="s">
        <v>341</v>
      </c>
      <c r="S1557" s="1" t="s">
        <v>2399</v>
      </c>
      <c r="T1557" s="264" t="s">
        <v>2424</v>
      </c>
      <c r="U1557" t="s">
        <v>2425</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1</v>
      </c>
      <c r="AO1557">
        <v>1</v>
      </c>
      <c r="AP1557">
        <v>0</v>
      </c>
      <c r="AQ1557">
        <v>0</v>
      </c>
      <c r="AR1557">
        <v>0</v>
      </c>
      <c r="AS1557">
        <v>0</v>
      </c>
      <c r="AT1557">
        <v>0</v>
      </c>
      <c r="AU1557">
        <v>0</v>
      </c>
      <c r="AV1557">
        <v>0</v>
      </c>
      <c r="AW1557">
        <v>0</v>
      </c>
      <c r="AX1557" s="141">
        <f t="shared" si="2064"/>
        <v>2</v>
      </c>
      <c r="AY1557" s="141">
        <f t="shared" si="2032"/>
        <v>0</v>
      </c>
      <c r="AZ1557">
        <f t="shared" si="2033"/>
        <v>0</v>
      </c>
      <c r="BA1557">
        <f t="shared" si="2034"/>
        <v>0</v>
      </c>
      <c r="BB1557">
        <f t="shared" si="2035"/>
        <v>0</v>
      </c>
      <c r="BC1557">
        <f t="shared" si="2036"/>
        <v>0</v>
      </c>
      <c r="BD1557">
        <f t="shared" si="2037"/>
        <v>2</v>
      </c>
      <c r="BE1557" t="str" cm="1">
        <f t="array" ref="BE1557">IF(AY1557=1,INDEX($V$7:$AL$7,MATCH(TRUE,INDEX($V1557:$AW1557&lt;&gt;0,),0)),IF(AY1557=0,INDEX($AM$7:$AW$7,MATCH(1,$AM1557:$AW1557,0)),IF(BF1557="Multiple strategies","mixed drivers",IF(BF1557="Supply chain","multiple supply","multiple silviculture"))))</f>
        <v>Temperature</v>
      </c>
      <c r="BF1557" s="2" t="str" cm="1">
        <f t="array" ref="BF1557">IF(COUNTIF(AZ1557:BB1557,"&lt;&gt;0")=1,INDEX($V$4:$AW$4,MATCH(TRUE,INDEX($V1557:$AW1557&lt;&gt;0,),0)),IF(COUNTIF(AZ1557:BB1557,"&lt;&gt;0")=0,INDEX($AM$4:$AW$4,MATCH(1,$AM1557:$AW1557,0)),"Multiple strategies"))</f>
        <v>Environmental change</v>
      </c>
      <c r="BG1557" s="1" t="s">
        <v>229</v>
      </c>
      <c r="BH1557" s="305" t="s">
        <v>2143</v>
      </c>
      <c r="BI1557" s="264" t="s">
        <v>2390</v>
      </c>
      <c r="BJ1557" s="305" t="s">
        <v>1057</v>
      </c>
      <c r="BK1557">
        <v>8.0775509959999994</v>
      </c>
      <c r="BL1557">
        <v>8.3591836480000001</v>
      </c>
      <c r="BM1557" s="143">
        <f t="shared" si="2038"/>
        <v>1.0348660939608385</v>
      </c>
      <c r="BN1557">
        <f t="shared" si="2039"/>
        <v>0.28163265200000076</v>
      </c>
      <c r="BO1557">
        <f>+BN1557*t_to_m3</f>
        <v>0.57476051428571584</v>
      </c>
      <c r="BP1557" s="305" t="s">
        <v>395</v>
      </c>
      <c r="BQ1557" s="153" t="s">
        <v>3420</v>
      </c>
      <c r="BR1557" s="264" t="s">
        <v>2392</v>
      </c>
      <c r="BS1557">
        <v>-421.81818181818102</v>
      </c>
      <c r="BT1557">
        <v>-429.09090909090901</v>
      </c>
      <c r="BU1557" s="144"/>
      <c r="BV1557" s="144">
        <f t="shared" si="2040"/>
        <v>-7.272727272727991</v>
      </c>
      <c r="BW1557" s="144"/>
      <c r="BX1557" s="144">
        <f t="shared" si="2041"/>
        <v>-7.2727272727279912E-2</v>
      </c>
      <c r="BY1557">
        <f t="shared" si="1992"/>
        <v>-0.12653491483781171</v>
      </c>
      <c r="BZ1557">
        <v>0</v>
      </c>
      <c r="CA1557">
        <v>0</v>
      </c>
      <c r="CB1557">
        <v>0</v>
      </c>
      <c r="CC1557">
        <v>0</v>
      </c>
      <c r="CD1557">
        <v>0</v>
      </c>
      <c r="CE1557">
        <v>0</v>
      </c>
      <c r="CF1557">
        <v>0</v>
      </c>
      <c r="CG1557">
        <v>0</v>
      </c>
      <c r="CH1557">
        <v>0</v>
      </c>
      <c r="CI1557">
        <v>0</v>
      </c>
      <c r="CJ1557">
        <v>0</v>
      </c>
      <c r="CK1557">
        <v>0</v>
      </c>
      <c r="CL1557">
        <v>0</v>
      </c>
      <c r="CM1557">
        <v>1</v>
      </c>
      <c r="CN1557" t="str">
        <f t="shared" si="2042"/>
        <v>refOK</v>
      </c>
      <c r="CO1557">
        <f t="shared" si="2043"/>
        <v>8.0775509959999994</v>
      </c>
      <c r="CP1557">
        <f t="shared" si="2044"/>
        <v>8.3591836480000001</v>
      </c>
      <c r="CQ1557">
        <f t="shared" si="2045"/>
        <v>0.57476051428571584</v>
      </c>
      <c r="CR1557">
        <f t="shared" si="2046"/>
        <v>421.81818181818102</v>
      </c>
      <c r="CS1557">
        <f t="shared" si="2047"/>
        <v>429.09090909090901</v>
      </c>
      <c r="CT1557">
        <f t="shared" si="2048"/>
        <v>7.2727272727279912E-2</v>
      </c>
      <c r="CU1557">
        <f t="shared" si="2049"/>
        <v>0.12653491483781171</v>
      </c>
      <c r="CV1557" s="2">
        <f t="shared" si="2050"/>
        <v>1.7241379310346562E-2</v>
      </c>
      <c r="CW1557" s="1" t="s">
        <v>1198</v>
      </c>
      <c r="CX1557" s="264" t="str">
        <f t="shared" si="2051"/>
        <v>reg</v>
      </c>
      <c r="CY1557" t="s">
        <v>235</v>
      </c>
      <c r="CZ1557">
        <v>2020</v>
      </c>
      <c r="DA1557">
        <v>2100</v>
      </c>
      <c r="DB1557">
        <f t="shared" si="2052"/>
        <v>80</v>
      </c>
      <c r="DC1557" t="str">
        <f t="shared" si="2053"/>
        <v>71-100</v>
      </c>
      <c r="DD1557">
        <v>0</v>
      </c>
      <c r="DE1557">
        <v>1</v>
      </c>
      <c r="DF1557">
        <v>0</v>
      </c>
      <c r="DG1557">
        <v>1</v>
      </c>
      <c r="DI1557">
        <f t="shared" si="2054"/>
        <v>2</v>
      </c>
      <c r="DJ1557" t="str">
        <f t="shared" si="2055"/>
        <v>mixedProduct</v>
      </c>
      <c r="DK1557">
        <f t="shared" si="2056"/>
        <v>0</v>
      </c>
      <c r="DL1557" t="str">
        <f t="shared" si="2057"/>
        <v>Energy</v>
      </c>
      <c r="DM1557">
        <f t="shared" si="2058"/>
        <v>0</v>
      </c>
      <c r="DN1557" t="str">
        <f t="shared" si="2059"/>
        <v>Timber</v>
      </c>
      <c r="DO1557">
        <v>1</v>
      </c>
      <c r="DP1557">
        <v>0</v>
      </c>
      <c r="DQ1557">
        <v>0</v>
      </c>
      <c r="DR1557">
        <v>0</v>
      </c>
      <c r="DS1557">
        <v>0</v>
      </c>
      <c r="DT1557">
        <f t="shared" si="2060"/>
        <v>1</v>
      </c>
      <c r="DU1557" s="143" t="str">
        <f t="shared" si="2061"/>
        <v>self-calculated DF</v>
      </c>
      <c r="DV1557">
        <v>1</v>
      </c>
      <c r="DW1557">
        <v>0</v>
      </c>
      <c r="DX1557">
        <v>1</v>
      </c>
      <c r="DY1557">
        <v>0</v>
      </c>
      <c r="DZ1557">
        <v>0</v>
      </c>
      <c r="EA1557" s="143">
        <v>0</v>
      </c>
      <c r="EB1557">
        <v>0</v>
      </c>
      <c r="EC1557">
        <v>0</v>
      </c>
      <c r="ED1557">
        <v>0</v>
      </c>
      <c r="EE1557">
        <v>0</v>
      </c>
      <c r="EF1557">
        <v>1</v>
      </c>
      <c r="EG1557">
        <v>0</v>
      </c>
      <c r="EH1557">
        <v>0</v>
      </c>
      <c r="EI1557" s="2">
        <v>0</v>
      </c>
      <c r="EK1557" t="str">
        <f t="shared" si="2062"/>
        <v/>
      </c>
      <c r="EL1557" t="str">
        <f t="shared" si="2063"/>
        <v/>
      </c>
      <c r="EM1557" s="2" t="str">
        <f t="shared" si="1993"/>
        <v/>
      </c>
      <c r="EN1557" t="s">
        <v>2402</v>
      </c>
      <c r="EP1557" t="str">
        <f>IF(ISNUMBER(BU1557),IF(ABS(BU1557-[4]QC_indicators!$B$2)&gt;3*[4]QC_indicators!$C$2,"C ratio",IF(ISNUMBER(BY1557),IF(ABS(BY1557-[4]QC_indicators!$B$1)&gt;3*[4]QC_indicators!$C$1,"DF","no"))),IF(ISNUMBER(BY1557),IF(ABS(BY1557-[4]QC_indicators!$B$1)&gt;3*[4]QC_indicators!$C$1,"DF","no")))</f>
        <v>no</v>
      </c>
      <c r="ER1557" s="264" t="s">
        <v>2393</v>
      </c>
      <c r="ET1557" s="305" t="s">
        <v>3421</v>
      </c>
    </row>
    <row r="1558" spans="1:150" ht="18" hidden="1" customHeight="1">
      <c r="A1558" s="1" t="s">
        <v>1101</v>
      </c>
      <c r="B1558" t="s">
        <v>2380</v>
      </c>
      <c r="C1558" t="s">
        <v>2381</v>
      </c>
      <c r="D1558" t="s">
        <v>2382</v>
      </c>
      <c r="E1558" t="s">
        <v>2383</v>
      </c>
      <c r="F1558" t="s">
        <v>2384</v>
      </c>
      <c r="G1558" t="s">
        <v>1107</v>
      </c>
      <c r="H1558" t="s">
        <v>254</v>
      </c>
      <c r="I1558">
        <v>2016</v>
      </c>
      <c r="J1558">
        <v>13</v>
      </c>
      <c r="K1558" t="s">
        <v>2385</v>
      </c>
      <c r="M1558" t="str">
        <f t="shared" si="2031"/>
        <v>Torssonen_2016</v>
      </c>
      <c r="N1558" t="s">
        <v>222</v>
      </c>
      <c r="O1558" s="145" t="s">
        <v>1153</v>
      </c>
      <c r="Q1558" s="264" t="s">
        <v>256</v>
      </c>
      <c r="R1558" s="269" t="s">
        <v>341</v>
      </c>
      <c r="S1558" s="1" t="s">
        <v>2399</v>
      </c>
      <c r="T1558" s="264" t="s">
        <v>2405</v>
      </c>
      <c r="U1558" t="s">
        <v>2406</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1</v>
      </c>
      <c r="AO1558">
        <v>1</v>
      </c>
      <c r="AP1558">
        <v>0</v>
      </c>
      <c r="AQ1558">
        <v>0</v>
      </c>
      <c r="AR1558">
        <v>0</v>
      </c>
      <c r="AS1558">
        <v>0</v>
      </c>
      <c r="AT1558">
        <v>0</v>
      </c>
      <c r="AU1558">
        <v>0</v>
      </c>
      <c r="AV1558">
        <v>0</v>
      </c>
      <c r="AW1558">
        <v>0</v>
      </c>
      <c r="AX1558" s="141">
        <f t="shared" si="2064"/>
        <v>2</v>
      </c>
      <c r="AY1558" s="141">
        <f t="shared" si="2032"/>
        <v>0</v>
      </c>
      <c r="AZ1558">
        <f t="shared" si="2033"/>
        <v>0</v>
      </c>
      <c r="BA1558">
        <f t="shared" si="2034"/>
        <v>0</v>
      </c>
      <c r="BB1558">
        <f t="shared" si="2035"/>
        <v>0</v>
      </c>
      <c r="BC1558">
        <f t="shared" si="2036"/>
        <v>0</v>
      </c>
      <c r="BD1558">
        <f t="shared" si="2037"/>
        <v>2</v>
      </c>
      <c r="BE1558" t="str" cm="1">
        <f t="array" ref="BE1558">IF(AY1558=1,INDEX($V$7:$AL$7,MATCH(TRUE,INDEX($V1558:$AW1558&lt;&gt;0,),0)),IF(AY1558=0,INDEX($AM$7:$AW$7,MATCH(1,$AM1558:$AW1558,0)),IF(BF1558="Multiple strategies","mixed drivers",IF(BF1558="Supply chain","multiple supply","multiple silviculture"))))</f>
        <v>Temperature</v>
      </c>
      <c r="BF1558" s="2" t="str" cm="1">
        <f t="array" ref="BF1558">IF(COUNTIF(AZ1558:BB1558,"&lt;&gt;0")=1,INDEX($V$4:$AW$4,MATCH(TRUE,INDEX($V1558:$AW1558&lt;&gt;0,),0)),IF(COUNTIF(AZ1558:BB1558,"&lt;&gt;0")=0,INDEX($AM$4:$AW$4,MATCH(1,$AM1558:$AW1558,0)),"Multiple strategies"))</f>
        <v>Environmental change</v>
      </c>
      <c r="BG1558" s="1" t="s">
        <v>229</v>
      </c>
      <c r="BH1558" s="305" t="s">
        <v>2143</v>
      </c>
      <c r="BI1558" s="264" t="s">
        <v>2390</v>
      </c>
      <c r="BJ1558" s="305" t="s">
        <v>1057</v>
      </c>
      <c r="BK1558">
        <v>6.697959172</v>
      </c>
      <c r="BL1558">
        <v>7.0183673349999998</v>
      </c>
      <c r="BM1558" s="143">
        <f t="shared" si="2038"/>
        <v>1.047836684991964</v>
      </c>
      <c r="BN1558">
        <f t="shared" si="2039"/>
        <v>0.32040816299999975</v>
      </c>
      <c r="BO1558">
        <f>BN1558</f>
        <v>0.32040816299999975</v>
      </c>
      <c r="BP1558" s="305" t="s">
        <v>395</v>
      </c>
      <c r="BQ1558" s="153" t="s">
        <v>3420</v>
      </c>
      <c r="BR1558" s="264" t="s">
        <v>2392</v>
      </c>
      <c r="BS1558">
        <v>-334.54545454545399</v>
      </c>
      <c r="BT1558">
        <v>-337.45454545454498</v>
      </c>
      <c r="BU1558" s="144"/>
      <c r="BV1558" s="144">
        <f t="shared" si="2040"/>
        <v>-2.9090909090909918</v>
      </c>
      <c r="BW1558" s="144"/>
      <c r="BX1558" s="144">
        <f t="shared" si="2041"/>
        <v>-2.9090909090909917E-2</v>
      </c>
      <c r="BY1558">
        <f t="shared" si="1992"/>
        <v>-9.0793283225152843E-2</v>
      </c>
      <c r="BZ1558">
        <v>0</v>
      </c>
      <c r="CA1558">
        <v>0</v>
      </c>
      <c r="CB1558">
        <v>0</v>
      </c>
      <c r="CC1558">
        <v>0</v>
      </c>
      <c r="CD1558">
        <v>0</v>
      </c>
      <c r="CE1558">
        <v>0</v>
      </c>
      <c r="CF1558">
        <v>0</v>
      </c>
      <c r="CG1558">
        <v>0</v>
      </c>
      <c r="CH1558">
        <v>0</v>
      </c>
      <c r="CI1558">
        <v>0</v>
      </c>
      <c r="CJ1558">
        <v>0</v>
      </c>
      <c r="CK1558">
        <v>0</v>
      </c>
      <c r="CL1558">
        <v>0</v>
      </c>
      <c r="CM1558">
        <v>1</v>
      </c>
      <c r="CN1558" t="str">
        <f t="shared" si="2042"/>
        <v>refOK</v>
      </c>
      <c r="CO1558">
        <f t="shared" si="2043"/>
        <v>6.697959172</v>
      </c>
      <c r="CP1558">
        <f t="shared" si="2044"/>
        <v>7.0183673349999998</v>
      </c>
      <c r="CQ1558">
        <f t="shared" si="2045"/>
        <v>0.32040816299999975</v>
      </c>
      <c r="CR1558">
        <f t="shared" si="2046"/>
        <v>334.54545454545399</v>
      </c>
      <c r="CS1558">
        <f t="shared" si="2047"/>
        <v>337.45454545454498</v>
      </c>
      <c r="CT1558">
        <f t="shared" si="2048"/>
        <v>2.9090909090909917E-2</v>
      </c>
      <c r="CU1558">
        <f t="shared" si="2049"/>
        <v>9.0793283225152843E-2</v>
      </c>
      <c r="CV1558" s="2">
        <f t="shared" si="2050"/>
        <v>8.6956521739133055E-3</v>
      </c>
      <c r="CW1558" s="1" t="s">
        <v>1198</v>
      </c>
      <c r="CX1558" s="264" t="str">
        <f t="shared" si="2051"/>
        <v>reg</v>
      </c>
      <c r="CY1558" t="s">
        <v>235</v>
      </c>
      <c r="CZ1558">
        <v>2020</v>
      </c>
      <c r="DA1558">
        <v>2100</v>
      </c>
      <c r="DB1558">
        <f t="shared" si="2052"/>
        <v>80</v>
      </c>
      <c r="DC1558" t="str">
        <f t="shared" si="2053"/>
        <v>71-100</v>
      </c>
      <c r="DD1558">
        <v>0</v>
      </c>
      <c r="DE1558">
        <v>1</v>
      </c>
      <c r="DF1558">
        <v>0</v>
      </c>
      <c r="DG1558">
        <v>1</v>
      </c>
      <c r="DI1558">
        <f t="shared" si="2054"/>
        <v>2</v>
      </c>
      <c r="DJ1558" t="str">
        <f t="shared" si="2055"/>
        <v>mixedProduct</v>
      </c>
      <c r="DK1558">
        <f t="shared" si="2056"/>
        <v>0</v>
      </c>
      <c r="DL1558" t="str">
        <f t="shared" si="2057"/>
        <v>Energy</v>
      </c>
      <c r="DM1558">
        <f t="shared" si="2058"/>
        <v>0</v>
      </c>
      <c r="DN1558" t="str">
        <f t="shared" si="2059"/>
        <v>Timber</v>
      </c>
      <c r="DO1558">
        <v>1</v>
      </c>
      <c r="DP1558">
        <v>0</v>
      </c>
      <c r="DQ1558">
        <v>0</v>
      </c>
      <c r="DR1558">
        <v>0</v>
      </c>
      <c r="DS1558">
        <v>0</v>
      </c>
      <c r="DT1558">
        <f t="shared" si="2060"/>
        <v>1</v>
      </c>
      <c r="DU1558" s="143" t="str">
        <f t="shared" si="2061"/>
        <v>self-calculated DF</v>
      </c>
      <c r="DV1558">
        <v>1</v>
      </c>
      <c r="DW1558">
        <v>0</v>
      </c>
      <c r="DX1558">
        <v>1</v>
      </c>
      <c r="DY1558">
        <v>0</v>
      </c>
      <c r="DZ1558">
        <v>0</v>
      </c>
      <c r="EA1558" s="143">
        <v>0</v>
      </c>
      <c r="EB1558">
        <v>0</v>
      </c>
      <c r="EC1558">
        <v>0</v>
      </c>
      <c r="ED1558">
        <v>0</v>
      </c>
      <c r="EE1558">
        <v>0</v>
      </c>
      <c r="EF1558">
        <v>1</v>
      </c>
      <c r="EG1558">
        <v>0</v>
      </c>
      <c r="EH1558">
        <v>0</v>
      </c>
      <c r="EI1558" s="2">
        <v>0</v>
      </c>
      <c r="EK1558" t="str">
        <f t="shared" si="2062"/>
        <v/>
      </c>
      <c r="EL1558" t="str">
        <f t="shared" si="2063"/>
        <v/>
      </c>
      <c r="EM1558" s="2" t="str">
        <f t="shared" si="1993"/>
        <v/>
      </c>
      <c r="EN1558" t="s">
        <v>2402</v>
      </c>
      <c r="EP1558" t="str">
        <f>IF(ISNUMBER(BU1558),IF(ABS(BU1558-[4]QC_indicators!$B$2)&gt;3*[4]QC_indicators!$C$2,"C ratio",IF(ISNUMBER(BY1558),IF(ABS(BY1558-[4]QC_indicators!$B$1)&gt;3*[4]QC_indicators!$C$1,"DF","no"))),IF(ISNUMBER(BY1558),IF(ABS(BY1558-[4]QC_indicators!$B$1)&gt;3*[4]QC_indicators!$C$1,"DF","no")))</f>
        <v>no</v>
      </c>
      <c r="ER1558" s="264" t="s">
        <v>2393</v>
      </c>
      <c r="ET1558" s="305" t="s">
        <v>3421</v>
      </c>
    </row>
    <row r="1559" spans="1:150" ht="18" hidden="1" customHeight="1">
      <c r="A1559" s="1" t="s">
        <v>1101</v>
      </c>
      <c r="B1559" t="s">
        <v>2380</v>
      </c>
      <c r="C1559" t="s">
        <v>2381</v>
      </c>
      <c r="D1559" t="s">
        <v>2382</v>
      </c>
      <c r="E1559" t="s">
        <v>2383</v>
      </c>
      <c r="F1559" t="s">
        <v>2384</v>
      </c>
      <c r="G1559" t="s">
        <v>1107</v>
      </c>
      <c r="H1559" t="s">
        <v>254</v>
      </c>
      <c r="I1559">
        <v>2016</v>
      </c>
      <c r="J1559">
        <v>13</v>
      </c>
      <c r="K1559" t="s">
        <v>2385</v>
      </c>
      <c r="M1559" t="str">
        <f t="shared" si="2031"/>
        <v>Torssonen_2016</v>
      </c>
      <c r="N1559" t="s">
        <v>222</v>
      </c>
      <c r="O1559" s="145" t="s">
        <v>1153</v>
      </c>
      <c r="Q1559" s="264" t="s">
        <v>256</v>
      </c>
      <c r="R1559" s="269" t="s">
        <v>341</v>
      </c>
      <c r="S1559" s="1" t="s">
        <v>2399</v>
      </c>
      <c r="T1559" s="264" t="s">
        <v>2427</v>
      </c>
      <c r="U1559" t="s">
        <v>2428</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1</v>
      </c>
      <c r="AO1559">
        <v>1</v>
      </c>
      <c r="AP1559">
        <v>0</v>
      </c>
      <c r="AQ1559">
        <v>0</v>
      </c>
      <c r="AR1559">
        <v>0</v>
      </c>
      <c r="AS1559">
        <v>0</v>
      </c>
      <c r="AT1559">
        <v>0</v>
      </c>
      <c r="AU1559">
        <v>0</v>
      </c>
      <c r="AV1559">
        <v>0</v>
      </c>
      <c r="AW1559">
        <v>0</v>
      </c>
      <c r="AX1559" s="141">
        <f t="shared" si="2064"/>
        <v>2</v>
      </c>
      <c r="AY1559" s="141">
        <f t="shared" si="2032"/>
        <v>0</v>
      </c>
      <c r="AZ1559">
        <f t="shared" si="2033"/>
        <v>0</v>
      </c>
      <c r="BA1559">
        <f t="shared" si="2034"/>
        <v>0</v>
      </c>
      <c r="BB1559">
        <f t="shared" si="2035"/>
        <v>0</v>
      </c>
      <c r="BC1559">
        <f t="shared" si="2036"/>
        <v>0</v>
      </c>
      <c r="BD1559">
        <f t="shared" si="2037"/>
        <v>2</v>
      </c>
      <c r="BE1559" t="str" cm="1">
        <f t="array" ref="BE1559">IF(AY1559=1,INDEX($V$7:$AL$7,MATCH(TRUE,INDEX($V1559:$AW1559&lt;&gt;0,),0)),IF(AY1559=0,INDEX($AM$7:$AW$7,MATCH(1,$AM1559:$AW1559,0)),IF(BF1559="Multiple strategies","mixed drivers",IF(BF1559="Supply chain","multiple supply","multiple silviculture"))))</f>
        <v>Temperature</v>
      </c>
      <c r="BF1559" s="2" t="str" cm="1">
        <f t="array" ref="BF1559">IF(COUNTIF(AZ1559:BB1559,"&lt;&gt;0")=1,INDEX($V$4:$AW$4,MATCH(TRUE,INDEX($V1559:$AW1559&lt;&gt;0,),0)),IF(COUNTIF(AZ1559:BB1559,"&lt;&gt;0")=0,INDEX($AM$4:$AW$4,MATCH(1,$AM1559:$AW1559,0)),"Multiple strategies"))</f>
        <v>Environmental change</v>
      </c>
      <c r="BG1559" s="1" t="s">
        <v>229</v>
      </c>
      <c r="BH1559" s="305" t="s">
        <v>2143</v>
      </c>
      <c r="BI1559" s="264" t="s">
        <v>2390</v>
      </c>
      <c r="BJ1559" s="305" t="s">
        <v>1057</v>
      </c>
      <c r="BK1559">
        <v>8.3265305820000002</v>
      </c>
      <c r="BL1559">
        <v>8.5877550710000001</v>
      </c>
      <c r="BM1559" s="143">
        <f t="shared" si="2038"/>
        <v>1.0313725490379757</v>
      </c>
      <c r="BN1559">
        <f t="shared" si="2039"/>
        <v>0.26122448899999995</v>
      </c>
      <c r="BO1559">
        <f>+BN1559*t_to_m3</f>
        <v>0.53311120204081619</v>
      </c>
      <c r="BP1559" s="305" t="s">
        <v>395</v>
      </c>
      <c r="BQ1559" s="153" t="s">
        <v>3420</v>
      </c>
      <c r="BR1559" s="264" t="s">
        <v>2392</v>
      </c>
      <c r="BS1559">
        <v>-478.54545454545399</v>
      </c>
      <c r="BT1559">
        <v>-482.90909090909099</v>
      </c>
      <c r="BU1559" s="144"/>
      <c r="BV1559" s="144">
        <f t="shared" si="2040"/>
        <v>-4.3636363636369992</v>
      </c>
      <c r="BW1559" s="144"/>
      <c r="BX1559" s="144">
        <f t="shared" si="2041"/>
        <v>-4.3636363636369989E-2</v>
      </c>
      <c r="BY1559">
        <f t="shared" si="1992"/>
        <v>-8.1852272976678311E-2</v>
      </c>
      <c r="BZ1559">
        <v>0</v>
      </c>
      <c r="CA1559">
        <v>0</v>
      </c>
      <c r="CB1559">
        <v>0</v>
      </c>
      <c r="CC1559">
        <v>0</v>
      </c>
      <c r="CD1559">
        <v>0</v>
      </c>
      <c r="CE1559">
        <v>0</v>
      </c>
      <c r="CF1559">
        <v>0</v>
      </c>
      <c r="CG1559">
        <v>0</v>
      </c>
      <c r="CH1559">
        <v>0</v>
      </c>
      <c r="CI1559">
        <v>0</v>
      </c>
      <c r="CJ1559">
        <v>0</v>
      </c>
      <c r="CK1559">
        <v>0</v>
      </c>
      <c r="CL1559">
        <v>0</v>
      </c>
      <c r="CM1559">
        <v>1</v>
      </c>
      <c r="CN1559" t="str">
        <f t="shared" si="2042"/>
        <v>refOK</v>
      </c>
      <c r="CO1559">
        <f t="shared" si="2043"/>
        <v>8.3265305820000002</v>
      </c>
      <c r="CP1559">
        <f t="shared" si="2044"/>
        <v>8.5877550710000001</v>
      </c>
      <c r="CQ1559">
        <f t="shared" si="2045"/>
        <v>0.53311120204081619</v>
      </c>
      <c r="CR1559">
        <f t="shared" si="2046"/>
        <v>478.54545454545399</v>
      </c>
      <c r="CS1559">
        <f t="shared" si="2047"/>
        <v>482.90909090909099</v>
      </c>
      <c r="CT1559">
        <f t="shared" si="2048"/>
        <v>4.3636363636369989E-2</v>
      </c>
      <c r="CU1559">
        <f t="shared" si="2049"/>
        <v>8.1852272976678311E-2</v>
      </c>
      <c r="CV1559" s="2">
        <f t="shared" si="2050"/>
        <v>9.1185410334359892E-3</v>
      </c>
      <c r="CW1559" s="1" t="s">
        <v>1198</v>
      </c>
      <c r="CX1559" s="264" t="str">
        <f t="shared" si="2051"/>
        <v>reg</v>
      </c>
      <c r="CY1559" t="s">
        <v>235</v>
      </c>
      <c r="CZ1559">
        <v>2020</v>
      </c>
      <c r="DA1559">
        <v>2100</v>
      </c>
      <c r="DB1559">
        <f t="shared" si="2052"/>
        <v>80</v>
      </c>
      <c r="DC1559" t="str">
        <f t="shared" si="2053"/>
        <v>71-100</v>
      </c>
      <c r="DD1559">
        <v>0</v>
      </c>
      <c r="DE1559">
        <v>1</v>
      </c>
      <c r="DF1559">
        <v>0</v>
      </c>
      <c r="DG1559">
        <v>1</v>
      </c>
      <c r="DI1559">
        <f t="shared" si="2054"/>
        <v>2</v>
      </c>
      <c r="DJ1559" t="str">
        <f t="shared" si="2055"/>
        <v>mixedProduct</v>
      </c>
      <c r="DK1559">
        <f t="shared" si="2056"/>
        <v>0</v>
      </c>
      <c r="DL1559" t="str">
        <f t="shared" si="2057"/>
        <v>Energy</v>
      </c>
      <c r="DM1559">
        <f t="shared" si="2058"/>
        <v>0</v>
      </c>
      <c r="DN1559" t="str">
        <f t="shared" si="2059"/>
        <v>Timber</v>
      </c>
      <c r="DO1559">
        <v>1</v>
      </c>
      <c r="DP1559">
        <v>0</v>
      </c>
      <c r="DQ1559">
        <v>0</v>
      </c>
      <c r="DR1559">
        <v>0</v>
      </c>
      <c r="DS1559">
        <v>0</v>
      </c>
      <c r="DT1559">
        <f t="shared" si="2060"/>
        <v>1</v>
      </c>
      <c r="DU1559" s="143" t="str">
        <f t="shared" si="2061"/>
        <v>self-calculated DF</v>
      </c>
      <c r="DV1559">
        <v>1</v>
      </c>
      <c r="DW1559">
        <v>0</v>
      </c>
      <c r="DX1559">
        <v>1</v>
      </c>
      <c r="DY1559">
        <v>0</v>
      </c>
      <c r="DZ1559">
        <v>0</v>
      </c>
      <c r="EA1559" s="143">
        <v>0</v>
      </c>
      <c r="EB1559">
        <v>0</v>
      </c>
      <c r="EC1559">
        <v>0</v>
      </c>
      <c r="ED1559">
        <v>0</v>
      </c>
      <c r="EE1559">
        <v>0</v>
      </c>
      <c r="EF1559">
        <v>1</v>
      </c>
      <c r="EG1559">
        <v>0</v>
      </c>
      <c r="EH1559">
        <v>0</v>
      </c>
      <c r="EI1559" s="2">
        <v>0</v>
      </c>
      <c r="EK1559" t="str">
        <f t="shared" si="2062"/>
        <v/>
      </c>
      <c r="EL1559" t="str">
        <f t="shared" si="2063"/>
        <v/>
      </c>
      <c r="EM1559" s="2" t="str">
        <f t="shared" si="1993"/>
        <v/>
      </c>
      <c r="EN1559" t="s">
        <v>2402</v>
      </c>
      <c r="EP1559" t="str">
        <f>IF(ISNUMBER(BU1559),IF(ABS(BU1559-[4]QC_indicators!$B$2)&gt;3*[4]QC_indicators!$C$2,"C ratio",IF(ISNUMBER(BY1559),IF(ABS(BY1559-[4]QC_indicators!$B$1)&gt;3*[4]QC_indicators!$C$1,"DF","no"))),IF(ISNUMBER(BY1559),IF(ABS(BY1559-[4]QC_indicators!$B$1)&gt;3*[4]QC_indicators!$C$1,"DF","no")))</f>
        <v>no</v>
      </c>
      <c r="ER1559" s="264" t="s">
        <v>2393</v>
      </c>
      <c r="ET1559" s="305" t="s">
        <v>3421</v>
      </c>
    </row>
    <row r="1560" spans="1:150" ht="187" hidden="1">
      <c r="A1560" s="1" t="s">
        <v>1101</v>
      </c>
      <c r="B1560" t="s">
        <v>2380</v>
      </c>
      <c r="C1560" t="s">
        <v>2381</v>
      </c>
      <c r="D1560" t="s">
        <v>2382</v>
      </c>
      <c r="E1560" t="s">
        <v>2383</v>
      </c>
      <c r="F1560" t="s">
        <v>2384</v>
      </c>
      <c r="G1560" t="s">
        <v>1107</v>
      </c>
      <c r="H1560" t="s">
        <v>254</v>
      </c>
      <c r="I1560">
        <v>2016</v>
      </c>
      <c r="J1560">
        <v>13</v>
      </c>
      <c r="K1560" t="s">
        <v>2385</v>
      </c>
      <c r="M1560" t="str">
        <f t="shared" si="2031"/>
        <v>Torssonen_2016</v>
      </c>
      <c r="N1560" t="s">
        <v>222</v>
      </c>
      <c r="O1560" s="145" t="s">
        <v>1153</v>
      </c>
      <c r="Q1560" s="264" t="s">
        <v>256</v>
      </c>
      <c r="R1560" s="269" t="s">
        <v>341</v>
      </c>
      <c r="S1560" s="1" t="s">
        <v>2399</v>
      </c>
      <c r="T1560" s="264" t="s">
        <v>2421</v>
      </c>
      <c r="U1560" t="s">
        <v>2422</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1</v>
      </c>
      <c r="AO1560">
        <v>1</v>
      </c>
      <c r="AP1560">
        <v>0</v>
      </c>
      <c r="AQ1560">
        <v>0</v>
      </c>
      <c r="AR1560">
        <v>0</v>
      </c>
      <c r="AS1560">
        <v>0</v>
      </c>
      <c r="AT1560">
        <v>0</v>
      </c>
      <c r="AU1560">
        <v>0</v>
      </c>
      <c r="AV1560">
        <v>0</v>
      </c>
      <c r="AW1560">
        <v>0</v>
      </c>
      <c r="AX1560" s="141">
        <f t="shared" si="2064"/>
        <v>2</v>
      </c>
      <c r="AY1560" s="141">
        <f t="shared" si="2032"/>
        <v>0</v>
      </c>
      <c r="AZ1560">
        <f t="shared" si="2033"/>
        <v>0</v>
      </c>
      <c r="BA1560">
        <f t="shared" si="2034"/>
        <v>0</v>
      </c>
      <c r="BB1560">
        <f t="shared" si="2035"/>
        <v>0</v>
      </c>
      <c r="BC1560">
        <f t="shared" si="2036"/>
        <v>0</v>
      </c>
      <c r="BD1560">
        <f t="shared" si="2037"/>
        <v>2</v>
      </c>
      <c r="BE1560" t="str" cm="1">
        <f t="array" ref="BE1560">IF(AY1560=1,INDEX($V$7:$AL$7,MATCH(TRUE,INDEX($V1560:$AW1560&lt;&gt;0,),0)),IF(AY1560=0,INDEX($AM$7:$AW$7,MATCH(1,$AM1560:$AW1560,0)),IF(BF1560="Multiple strategies","mixed drivers",IF(BF1560="Supply chain","multiple supply","multiple silviculture"))))</f>
        <v>Temperature</v>
      </c>
      <c r="BF1560" s="2" t="str" cm="1">
        <f t="array" ref="BF1560">IF(COUNTIF(AZ1560:BB1560,"&lt;&gt;0")=1,INDEX($V$4:$AW$4,MATCH(TRUE,INDEX($V1560:$AW1560&lt;&gt;0,),0)),IF(COUNTIF(AZ1560:BB1560,"&lt;&gt;0")=0,INDEX($AM$4:$AW$4,MATCH(1,$AM1560:$AW1560,0)),"Multiple strategies"))</f>
        <v>Environmental change</v>
      </c>
      <c r="BG1560" s="1" t="s">
        <v>229</v>
      </c>
      <c r="BH1560" s="305" t="s">
        <v>2143</v>
      </c>
      <c r="BI1560" s="264" t="s">
        <v>2390</v>
      </c>
      <c r="BJ1560" s="305" t="s">
        <v>1057</v>
      </c>
      <c r="BK1560">
        <v>6.9183673350000001</v>
      </c>
      <c r="BL1560">
        <v>7.0387754979999997</v>
      </c>
      <c r="BM1560" s="143">
        <f t="shared" si="2038"/>
        <v>1.0174041297851959</v>
      </c>
      <c r="BN1560">
        <f t="shared" si="2039"/>
        <v>0.12040816299999957</v>
      </c>
      <c r="BO1560">
        <f>+BN1560*t_to_m3</f>
        <v>0.2457309448979583</v>
      </c>
      <c r="BP1560" s="305" t="s">
        <v>395</v>
      </c>
      <c r="BQ1560" s="153" t="s">
        <v>3420</v>
      </c>
      <c r="BR1560" s="264" t="s">
        <v>2392</v>
      </c>
      <c r="BS1560">
        <v>-353.45454545454498</v>
      </c>
      <c r="BT1560">
        <v>-354.90909090909099</v>
      </c>
      <c r="BU1560" s="144"/>
      <c r="BV1560" s="144">
        <f t="shared" si="2040"/>
        <v>-1.4545454545460075</v>
      </c>
      <c r="BW1560" s="144"/>
      <c r="BX1560" s="144">
        <f t="shared" si="2041"/>
        <v>-1.4545454545460074E-2</v>
      </c>
      <c r="BY1560">
        <f t="shared" si="1992"/>
        <v>-5.919260413661042E-2</v>
      </c>
      <c r="BZ1560">
        <v>0</v>
      </c>
      <c r="CA1560">
        <v>0</v>
      </c>
      <c r="CB1560">
        <v>0</v>
      </c>
      <c r="CC1560">
        <v>0</v>
      </c>
      <c r="CD1560">
        <v>0</v>
      </c>
      <c r="CE1560">
        <v>0</v>
      </c>
      <c r="CF1560">
        <v>0</v>
      </c>
      <c r="CG1560">
        <v>0</v>
      </c>
      <c r="CH1560">
        <v>0</v>
      </c>
      <c r="CI1560">
        <v>0</v>
      </c>
      <c r="CJ1560">
        <v>0</v>
      </c>
      <c r="CK1560">
        <v>0</v>
      </c>
      <c r="CL1560">
        <v>0</v>
      </c>
      <c r="CM1560">
        <v>1</v>
      </c>
      <c r="CN1560" t="str">
        <f t="shared" si="2042"/>
        <v>refOK</v>
      </c>
      <c r="CO1560">
        <f t="shared" si="2043"/>
        <v>6.9183673350000001</v>
      </c>
      <c r="CP1560">
        <f t="shared" si="2044"/>
        <v>7.0387754979999997</v>
      </c>
      <c r="CQ1560">
        <f t="shared" si="2045"/>
        <v>0.2457309448979583</v>
      </c>
      <c r="CR1560">
        <f t="shared" si="2046"/>
        <v>353.45454545454498</v>
      </c>
      <c r="CS1560">
        <f t="shared" si="2047"/>
        <v>354.90909090909099</v>
      </c>
      <c r="CT1560">
        <f t="shared" si="2048"/>
        <v>1.4545454545460074E-2</v>
      </c>
      <c r="CU1560">
        <f t="shared" si="2049"/>
        <v>5.919260413661042E-2</v>
      </c>
      <c r="CV1560" s="2">
        <f t="shared" si="2050"/>
        <v>4.1152263374501291E-3</v>
      </c>
      <c r="CW1560" s="1" t="s">
        <v>1198</v>
      </c>
      <c r="CX1560" s="264" t="str">
        <f t="shared" si="2051"/>
        <v>reg</v>
      </c>
      <c r="CY1560" t="s">
        <v>235</v>
      </c>
      <c r="CZ1560">
        <v>2020</v>
      </c>
      <c r="DA1560">
        <v>2100</v>
      </c>
      <c r="DB1560">
        <f t="shared" si="2052"/>
        <v>80</v>
      </c>
      <c r="DC1560" t="str">
        <f t="shared" si="2053"/>
        <v>71-100</v>
      </c>
      <c r="DD1560">
        <v>0</v>
      </c>
      <c r="DE1560">
        <v>1</v>
      </c>
      <c r="DF1560">
        <v>0</v>
      </c>
      <c r="DG1560">
        <v>1</v>
      </c>
      <c r="DI1560">
        <f t="shared" si="2054"/>
        <v>2</v>
      </c>
      <c r="DJ1560" t="str">
        <f t="shared" si="2055"/>
        <v>mixedProduct</v>
      </c>
      <c r="DK1560">
        <f t="shared" si="2056"/>
        <v>0</v>
      </c>
      <c r="DL1560" t="str">
        <f t="shared" si="2057"/>
        <v>Energy</v>
      </c>
      <c r="DM1560">
        <f t="shared" si="2058"/>
        <v>0</v>
      </c>
      <c r="DN1560" t="str">
        <f t="shared" si="2059"/>
        <v>Timber</v>
      </c>
      <c r="DO1560">
        <v>1</v>
      </c>
      <c r="DP1560">
        <v>0</v>
      </c>
      <c r="DQ1560">
        <v>0</v>
      </c>
      <c r="DR1560">
        <v>0</v>
      </c>
      <c r="DS1560">
        <v>0</v>
      </c>
      <c r="DT1560">
        <f t="shared" si="2060"/>
        <v>1</v>
      </c>
      <c r="DU1560" s="143" t="str">
        <f t="shared" si="2061"/>
        <v>self-calculated DF</v>
      </c>
      <c r="DV1560">
        <v>1</v>
      </c>
      <c r="DW1560">
        <v>0</v>
      </c>
      <c r="DX1560">
        <v>1</v>
      </c>
      <c r="DY1560">
        <v>0</v>
      </c>
      <c r="DZ1560">
        <v>0</v>
      </c>
      <c r="EA1560" s="143">
        <v>0</v>
      </c>
      <c r="EB1560">
        <v>0</v>
      </c>
      <c r="EC1560">
        <v>0</v>
      </c>
      <c r="ED1560">
        <v>0</v>
      </c>
      <c r="EE1560">
        <v>0</v>
      </c>
      <c r="EF1560">
        <v>1</v>
      </c>
      <c r="EG1560">
        <v>0</v>
      </c>
      <c r="EH1560">
        <v>0</v>
      </c>
      <c r="EI1560" s="2">
        <v>0</v>
      </c>
      <c r="EK1560" t="str">
        <f t="shared" si="2062"/>
        <v/>
      </c>
      <c r="EL1560" t="str">
        <f t="shared" si="2063"/>
        <v/>
      </c>
      <c r="EM1560" s="2" t="str">
        <f t="shared" si="1993"/>
        <v/>
      </c>
      <c r="EN1560" t="s">
        <v>2402</v>
      </c>
      <c r="EP1560" t="str">
        <f>IF(ISNUMBER(BU1560),IF(ABS(BU1560-[4]QC_indicators!$B$2)&gt;3*[4]QC_indicators!$C$2,"C ratio",IF(ISNUMBER(BY1560),IF(ABS(BY1560-[4]QC_indicators!$B$1)&gt;3*[4]QC_indicators!$C$1,"DF","no"))),IF(ISNUMBER(BY1560),IF(ABS(BY1560-[4]QC_indicators!$B$1)&gt;3*[4]QC_indicators!$C$1,"DF","no")))</f>
        <v>no</v>
      </c>
      <c r="ER1560" s="264" t="s">
        <v>2393</v>
      </c>
      <c r="ET1560" s="305" t="s">
        <v>3421</v>
      </c>
    </row>
    <row r="1561" spans="1:150" ht="187" hidden="1">
      <c r="A1561" s="1" t="s">
        <v>1101</v>
      </c>
      <c r="B1561" t="s">
        <v>2380</v>
      </c>
      <c r="C1561" t="s">
        <v>2381</v>
      </c>
      <c r="D1561" t="s">
        <v>2382</v>
      </c>
      <c r="E1561" t="s">
        <v>2383</v>
      </c>
      <c r="F1561" t="s">
        <v>2384</v>
      </c>
      <c r="G1561" t="s">
        <v>1107</v>
      </c>
      <c r="H1561" t="s">
        <v>254</v>
      </c>
      <c r="I1561">
        <v>2016</v>
      </c>
      <c r="J1561">
        <v>13</v>
      </c>
      <c r="K1561" t="s">
        <v>2385</v>
      </c>
      <c r="M1561" t="str">
        <f t="shared" si="2031"/>
        <v>Torssonen_2016</v>
      </c>
      <c r="N1561" t="s">
        <v>222</v>
      </c>
      <c r="O1561" s="145" t="s">
        <v>1153</v>
      </c>
      <c r="Q1561" s="264" t="s">
        <v>256</v>
      </c>
      <c r="R1561" s="269" t="s">
        <v>341</v>
      </c>
      <c r="S1561" s="1" t="s">
        <v>2399</v>
      </c>
      <c r="T1561" s="264" t="s">
        <v>2400</v>
      </c>
      <c r="U1561" t="s">
        <v>2401</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1</v>
      </c>
      <c r="AO1561">
        <v>1</v>
      </c>
      <c r="AP1561">
        <v>0</v>
      </c>
      <c r="AQ1561">
        <v>0</v>
      </c>
      <c r="AR1561">
        <v>0</v>
      </c>
      <c r="AS1561">
        <v>0</v>
      </c>
      <c r="AT1561">
        <v>0</v>
      </c>
      <c r="AU1561">
        <v>0</v>
      </c>
      <c r="AV1561">
        <v>0</v>
      </c>
      <c r="AW1561">
        <v>0</v>
      </c>
      <c r="AX1561" s="141">
        <f t="shared" si="2064"/>
        <v>2</v>
      </c>
      <c r="AY1561" s="141">
        <f t="shared" si="2032"/>
        <v>0</v>
      </c>
      <c r="AZ1561">
        <f t="shared" si="2033"/>
        <v>0</v>
      </c>
      <c r="BA1561">
        <f t="shared" si="2034"/>
        <v>0</v>
      </c>
      <c r="BB1561">
        <f t="shared" si="2035"/>
        <v>0</v>
      </c>
      <c r="BC1561">
        <f t="shared" si="2036"/>
        <v>0</v>
      </c>
      <c r="BD1561">
        <f t="shared" si="2037"/>
        <v>2</v>
      </c>
      <c r="BE1561" t="str" cm="1">
        <f t="array" ref="BE1561">IF(AY1561=1,INDEX($V$7:$AL$7,MATCH(TRUE,INDEX($V1561:$AW1561&lt;&gt;0,),0)),IF(AY1561=0,INDEX($AM$7:$AW$7,MATCH(1,$AM1561:$AW1561,0)),IF(BF1561="Multiple strategies","mixed drivers",IF(BF1561="Supply chain","multiple supply","multiple silviculture"))))</f>
        <v>Temperature</v>
      </c>
      <c r="BF1561" s="2" t="str" cm="1">
        <f t="array" ref="BF1561">IF(COUNTIF(AZ1561:BB1561,"&lt;&gt;0")=1,INDEX($V$4:$AW$4,MATCH(TRUE,INDEX($V1561:$AW1561&lt;&gt;0,),0)),IF(COUNTIF(AZ1561:BB1561,"&lt;&gt;0")=0,INDEX($AM$4:$AW$4,MATCH(1,$AM1561:$AW1561,0)),"Multiple strategies"))</f>
        <v>Environmental change</v>
      </c>
      <c r="BG1561" s="1" t="s">
        <v>229</v>
      </c>
      <c r="BH1561" s="305" t="s">
        <v>2143</v>
      </c>
      <c r="BI1561" s="264" t="s">
        <v>2390</v>
      </c>
      <c r="BJ1561" s="305" t="s">
        <v>1057</v>
      </c>
      <c r="BK1561">
        <v>6.8142857049999996</v>
      </c>
      <c r="BL1561">
        <v>6.9346938680000001</v>
      </c>
      <c r="BM1561" s="143">
        <f t="shared" si="2038"/>
        <v>1.0176699610513322</v>
      </c>
      <c r="BN1561">
        <f t="shared" si="2039"/>
        <v>0.12040816300000046</v>
      </c>
      <c r="BO1561">
        <f>BN1561</f>
        <v>0.12040816300000046</v>
      </c>
      <c r="BP1561" s="305" t="s">
        <v>395</v>
      </c>
      <c r="BQ1561" s="153" t="s">
        <v>3420</v>
      </c>
      <c r="BR1561" s="264" t="s">
        <v>2392</v>
      </c>
      <c r="BS1561">
        <v>-302.54545454545399</v>
      </c>
      <c r="BT1561">
        <v>-301.09090909090901</v>
      </c>
      <c r="BU1561" s="144"/>
      <c r="BV1561" s="144">
        <f t="shared" si="2040"/>
        <v>1.4545454545449843</v>
      </c>
      <c r="BW1561" s="144"/>
      <c r="BX1561" s="144">
        <f t="shared" si="2041"/>
        <v>1.4545454545449844E-2</v>
      </c>
      <c r="BY1561">
        <f t="shared" si="1992"/>
        <v>0.12080123293177215</v>
      </c>
      <c r="BZ1561">
        <v>0</v>
      </c>
      <c r="CA1561">
        <v>0</v>
      </c>
      <c r="CB1561">
        <v>0</v>
      </c>
      <c r="CC1561">
        <v>0</v>
      </c>
      <c r="CD1561">
        <v>0</v>
      </c>
      <c r="CE1561">
        <v>0</v>
      </c>
      <c r="CF1561">
        <v>0</v>
      </c>
      <c r="CG1561">
        <v>0</v>
      </c>
      <c r="CH1561">
        <v>0</v>
      </c>
      <c r="CI1561">
        <v>0</v>
      </c>
      <c r="CJ1561">
        <v>0</v>
      </c>
      <c r="CK1561">
        <v>0</v>
      </c>
      <c r="CL1561">
        <v>0</v>
      </c>
      <c r="CM1561">
        <v>1</v>
      </c>
      <c r="CN1561" t="str">
        <f t="shared" si="2042"/>
        <v>refOK</v>
      </c>
      <c r="CO1561">
        <f t="shared" si="2043"/>
        <v>6.8142857049999996</v>
      </c>
      <c r="CP1561">
        <f t="shared" si="2044"/>
        <v>6.9346938680000001</v>
      </c>
      <c r="CQ1561">
        <f t="shared" si="2045"/>
        <v>0.12040816300000046</v>
      </c>
      <c r="CR1561">
        <f t="shared" si="2046"/>
        <v>302.54545454545399</v>
      </c>
      <c r="CS1561">
        <f t="shared" si="2047"/>
        <v>301.09090909090901</v>
      </c>
      <c r="CT1561">
        <f t="shared" si="2048"/>
        <v>-1.4545454545449844E-2</v>
      </c>
      <c r="CU1561">
        <f t="shared" si="2049"/>
        <v>-0.12080123293177215</v>
      </c>
      <c r="CV1561" s="2">
        <f t="shared" si="2050"/>
        <v>-4.8076923076907623E-3</v>
      </c>
      <c r="CW1561" s="1" t="s">
        <v>1198</v>
      </c>
      <c r="CX1561" s="264" t="str">
        <f t="shared" si="2051"/>
        <v>reg</v>
      </c>
      <c r="CY1561" t="s">
        <v>235</v>
      </c>
      <c r="CZ1561">
        <v>2020</v>
      </c>
      <c r="DA1561">
        <v>2100</v>
      </c>
      <c r="DB1561">
        <f t="shared" si="2052"/>
        <v>80</v>
      </c>
      <c r="DC1561" t="str">
        <f t="shared" si="2053"/>
        <v>71-100</v>
      </c>
      <c r="DD1561">
        <v>0</v>
      </c>
      <c r="DE1561">
        <v>1</v>
      </c>
      <c r="DF1561">
        <v>0</v>
      </c>
      <c r="DG1561">
        <v>1</v>
      </c>
      <c r="DI1561">
        <f t="shared" si="2054"/>
        <v>2</v>
      </c>
      <c r="DJ1561" t="str">
        <f t="shared" si="2055"/>
        <v>mixedProduct</v>
      </c>
      <c r="DK1561">
        <f t="shared" si="2056"/>
        <v>0</v>
      </c>
      <c r="DL1561" t="str">
        <f t="shared" si="2057"/>
        <v>Energy</v>
      </c>
      <c r="DM1561">
        <f t="shared" si="2058"/>
        <v>0</v>
      </c>
      <c r="DN1561" t="str">
        <f t="shared" si="2059"/>
        <v>Timber</v>
      </c>
      <c r="DO1561">
        <v>1</v>
      </c>
      <c r="DP1561">
        <v>0</v>
      </c>
      <c r="DQ1561">
        <v>0</v>
      </c>
      <c r="DR1561">
        <v>0</v>
      </c>
      <c r="DS1561">
        <v>0</v>
      </c>
      <c r="DT1561">
        <f t="shared" si="2060"/>
        <v>1</v>
      </c>
      <c r="DU1561" s="143" t="str">
        <f t="shared" si="2061"/>
        <v>self-calculated DF</v>
      </c>
      <c r="DV1561">
        <v>1</v>
      </c>
      <c r="DW1561">
        <v>0</v>
      </c>
      <c r="DX1561">
        <v>1</v>
      </c>
      <c r="DY1561">
        <v>0</v>
      </c>
      <c r="DZ1561">
        <v>0</v>
      </c>
      <c r="EA1561" s="143">
        <v>0</v>
      </c>
      <c r="EB1561">
        <v>0</v>
      </c>
      <c r="EC1561">
        <v>0</v>
      </c>
      <c r="ED1561">
        <v>0</v>
      </c>
      <c r="EE1561">
        <v>0</v>
      </c>
      <c r="EF1561">
        <v>1</v>
      </c>
      <c r="EG1561">
        <v>0</v>
      </c>
      <c r="EH1561">
        <v>0</v>
      </c>
      <c r="EI1561" s="2">
        <v>0</v>
      </c>
      <c r="EK1561" t="str">
        <f t="shared" si="2062"/>
        <v/>
      </c>
      <c r="EL1561" t="str">
        <f t="shared" si="2063"/>
        <v/>
      </c>
      <c r="EM1561" s="2" t="str">
        <f t="shared" si="1993"/>
        <v/>
      </c>
      <c r="EN1561" t="s">
        <v>2402</v>
      </c>
      <c r="EP1561" t="str">
        <f>IF(ISNUMBER(BU1561),IF(ABS(BU1561-[4]QC_indicators!$B$2)&gt;3*[4]QC_indicators!$C$2,"C ratio",IF(ISNUMBER(BY1561),IF(ABS(BY1561-[4]QC_indicators!$B$1)&gt;3*[4]QC_indicators!$C$1,"DF","no"))),IF(ISNUMBER(BY1561),IF(ABS(BY1561-[4]QC_indicators!$B$1)&gt;3*[4]QC_indicators!$C$1,"DF","no")))</f>
        <v>no</v>
      </c>
      <c r="ER1561" s="264" t="s">
        <v>2393</v>
      </c>
      <c r="ET1561" s="305" t="s">
        <v>3421</v>
      </c>
    </row>
    <row r="1562" spans="1:150" ht="187" hidden="1">
      <c r="A1562" s="1" t="s">
        <v>1101</v>
      </c>
      <c r="B1562" t="s">
        <v>2380</v>
      </c>
      <c r="C1562" t="s">
        <v>2381</v>
      </c>
      <c r="D1562" t="s">
        <v>2382</v>
      </c>
      <c r="E1562" t="s">
        <v>2383</v>
      </c>
      <c r="F1562" t="s">
        <v>2384</v>
      </c>
      <c r="G1562" t="s">
        <v>1107</v>
      </c>
      <c r="H1562" t="s">
        <v>254</v>
      </c>
      <c r="I1562">
        <v>2016</v>
      </c>
      <c r="J1562">
        <v>13</v>
      </c>
      <c r="K1562" t="s">
        <v>2385</v>
      </c>
      <c r="M1562" t="str">
        <f t="shared" si="2031"/>
        <v>Torssonen_2016</v>
      </c>
      <c r="N1562" t="s">
        <v>222</v>
      </c>
      <c r="O1562" s="145" t="s">
        <v>1153</v>
      </c>
      <c r="Q1562" s="264" t="s">
        <v>256</v>
      </c>
      <c r="R1562" s="269" t="s">
        <v>341</v>
      </c>
      <c r="S1562" s="1" t="s">
        <v>2403</v>
      </c>
      <c r="T1562" s="264" t="s">
        <v>2418</v>
      </c>
      <c r="U1562" t="s">
        <v>2420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1</v>
      </c>
      <c r="AO1562">
        <v>1</v>
      </c>
      <c r="AP1562">
        <v>0</v>
      </c>
      <c r="AQ1562">
        <v>0</v>
      </c>
      <c r="AR1562">
        <v>0</v>
      </c>
      <c r="AS1562">
        <v>0</v>
      </c>
      <c r="AT1562">
        <v>0</v>
      </c>
      <c r="AU1562">
        <v>0</v>
      </c>
      <c r="AV1562">
        <v>0</v>
      </c>
      <c r="AW1562">
        <v>0</v>
      </c>
      <c r="AX1562" s="141">
        <f t="shared" si="2064"/>
        <v>2</v>
      </c>
      <c r="AY1562" s="141">
        <f t="shared" si="2032"/>
        <v>0</v>
      </c>
      <c r="AZ1562">
        <f t="shared" si="2033"/>
        <v>0</v>
      </c>
      <c r="BA1562">
        <f t="shared" si="2034"/>
        <v>0</v>
      </c>
      <c r="BB1562">
        <f t="shared" si="2035"/>
        <v>0</v>
      </c>
      <c r="BC1562">
        <f t="shared" si="2036"/>
        <v>0</v>
      </c>
      <c r="BD1562">
        <f t="shared" si="2037"/>
        <v>2</v>
      </c>
      <c r="BE1562" t="str" cm="1">
        <f t="array" ref="BE1562">IF(AY1562=1,INDEX($V$7:$AL$7,MATCH(TRUE,INDEX($V1562:$AW1562&lt;&gt;0,),0)),IF(AY1562=0,INDEX($AM$7:$AW$7,MATCH(1,$AM1562:$AW1562,0)),IF(BF1562="Multiple strategies","mixed drivers",IF(BF1562="Supply chain","multiple supply","multiple silviculture"))))</f>
        <v>Temperature</v>
      </c>
      <c r="BF1562" s="2" t="str" cm="1">
        <f t="array" ref="BF1562">IF(COUNTIF(AZ1562:BB1562,"&lt;&gt;0")=1,INDEX($V$4:$AW$4,MATCH(TRUE,INDEX($V1562:$AW1562&lt;&gt;0,),0)),IF(COUNTIF(AZ1562:BB1562,"&lt;&gt;0")=0,INDEX($AM$4:$AW$4,MATCH(1,$AM1562:$AW1562,0)),"Multiple strategies"))</f>
        <v>Environmental change</v>
      </c>
      <c r="BG1562" s="1" t="s">
        <v>229</v>
      </c>
      <c r="BH1562" s="305" t="s">
        <v>2143</v>
      </c>
      <c r="BI1562" s="264" t="s">
        <v>2390</v>
      </c>
      <c r="BJ1562" s="305" t="s">
        <v>1057</v>
      </c>
      <c r="BK1562">
        <v>7.0346938679999997</v>
      </c>
      <c r="BL1562">
        <v>7.1551020310000002</v>
      </c>
      <c r="BM1562" s="143">
        <f t="shared" si="2038"/>
        <v>1.0171163330287509</v>
      </c>
      <c r="BN1562">
        <f t="shared" si="2039"/>
        <v>0.12040816300000046</v>
      </c>
      <c r="BO1562">
        <f>+BN1562*t_to_m3</f>
        <v>0.24573094489796013</v>
      </c>
      <c r="BP1562" s="305" t="s">
        <v>395</v>
      </c>
      <c r="BQ1562" s="153" t="s">
        <v>3420</v>
      </c>
      <c r="BR1562" s="264" t="s">
        <v>2392</v>
      </c>
      <c r="BS1562">
        <v>-324.36363636363598</v>
      </c>
      <c r="BT1562">
        <v>-320</v>
      </c>
      <c r="BU1562" s="144"/>
      <c r="BV1562" s="144">
        <f t="shared" si="2040"/>
        <v>4.3636363636359761</v>
      </c>
      <c r="BW1562" s="144"/>
      <c r="BX1562" s="144">
        <f t="shared" si="2041"/>
        <v>4.3636363636359761E-2</v>
      </c>
      <c r="BY1562">
        <f t="shared" si="1992"/>
        <v>0.17757781240974668</v>
      </c>
      <c r="BZ1562">
        <v>0</v>
      </c>
      <c r="CA1562">
        <v>0</v>
      </c>
      <c r="CB1562">
        <v>0</v>
      </c>
      <c r="CC1562">
        <v>0</v>
      </c>
      <c r="CD1562">
        <v>0</v>
      </c>
      <c r="CE1562">
        <v>0</v>
      </c>
      <c r="CF1562">
        <v>0</v>
      </c>
      <c r="CG1562">
        <v>0</v>
      </c>
      <c r="CH1562">
        <v>0</v>
      </c>
      <c r="CI1562">
        <v>0</v>
      </c>
      <c r="CJ1562">
        <v>0</v>
      </c>
      <c r="CK1562">
        <v>0</v>
      </c>
      <c r="CL1562">
        <v>0</v>
      </c>
      <c r="CM1562">
        <v>1</v>
      </c>
      <c r="CN1562" t="str">
        <f t="shared" si="2042"/>
        <v>refOK</v>
      </c>
      <c r="CO1562">
        <f t="shared" si="2043"/>
        <v>7.0346938679999997</v>
      </c>
      <c r="CP1562">
        <f t="shared" si="2044"/>
        <v>7.1551020310000002</v>
      </c>
      <c r="CQ1562">
        <f t="shared" si="2045"/>
        <v>0.24573094489796013</v>
      </c>
      <c r="CR1562">
        <f t="shared" si="2046"/>
        <v>324.36363636363598</v>
      </c>
      <c r="CS1562">
        <f t="shared" si="2047"/>
        <v>320</v>
      </c>
      <c r="CT1562">
        <f t="shared" si="2048"/>
        <v>-4.3636363636359761E-2</v>
      </c>
      <c r="CU1562">
        <f t="shared" si="2049"/>
        <v>-0.17757781240974668</v>
      </c>
      <c r="CV1562" s="2">
        <f t="shared" si="2050"/>
        <v>-1.3452914798205099E-2</v>
      </c>
      <c r="CW1562" s="1" t="s">
        <v>1198</v>
      </c>
      <c r="CX1562" s="264" t="str">
        <f t="shared" si="2051"/>
        <v>reg</v>
      </c>
      <c r="CY1562" t="s">
        <v>235</v>
      </c>
      <c r="CZ1562">
        <v>2020</v>
      </c>
      <c r="DA1562">
        <v>2100</v>
      </c>
      <c r="DB1562">
        <f t="shared" si="2052"/>
        <v>80</v>
      </c>
      <c r="DC1562" t="str">
        <f t="shared" si="2053"/>
        <v>71-100</v>
      </c>
      <c r="DD1562">
        <v>0</v>
      </c>
      <c r="DE1562">
        <v>1</v>
      </c>
      <c r="DF1562">
        <v>0</v>
      </c>
      <c r="DG1562">
        <v>1</v>
      </c>
      <c r="DI1562">
        <f t="shared" si="2054"/>
        <v>2</v>
      </c>
      <c r="DJ1562" t="str">
        <f t="shared" si="2055"/>
        <v>mixedProduct</v>
      </c>
      <c r="DK1562">
        <f t="shared" si="2056"/>
        <v>0</v>
      </c>
      <c r="DL1562" t="str">
        <f t="shared" si="2057"/>
        <v>Energy</v>
      </c>
      <c r="DM1562">
        <f t="shared" si="2058"/>
        <v>0</v>
      </c>
      <c r="DN1562" t="str">
        <f t="shared" si="2059"/>
        <v>Timber</v>
      </c>
      <c r="DO1562">
        <v>1</v>
      </c>
      <c r="DP1562">
        <v>0</v>
      </c>
      <c r="DQ1562">
        <v>0</v>
      </c>
      <c r="DR1562">
        <v>0</v>
      </c>
      <c r="DS1562">
        <v>0</v>
      </c>
      <c r="DT1562">
        <f t="shared" si="2060"/>
        <v>1</v>
      </c>
      <c r="DU1562" s="143" t="str">
        <f t="shared" si="2061"/>
        <v>self-calculated DF</v>
      </c>
      <c r="DV1562">
        <v>1</v>
      </c>
      <c r="DW1562">
        <v>0</v>
      </c>
      <c r="DX1562">
        <v>1</v>
      </c>
      <c r="DY1562">
        <v>0</v>
      </c>
      <c r="DZ1562">
        <v>0</v>
      </c>
      <c r="EA1562" s="143">
        <v>0</v>
      </c>
      <c r="EB1562">
        <v>0</v>
      </c>
      <c r="EC1562">
        <v>0</v>
      </c>
      <c r="ED1562">
        <v>0</v>
      </c>
      <c r="EE1562">
        <v>0</v>
      </c>
      <c r="EF1562">
        <v>1</v>
      </c>
      <c r="EG1562">
        <v>0</v>
      </c>
      <c r="EH1562">
        <v>0</v>
      </c>
      <c r="EI1562" s="2">
        <v>0</v>
      </c>
      <c r="EK1562" t="str">
        <f t="shared" si="2062"/>
        <v/>
      </c>
      <c r="EL1562" t="str">
        <f t="shared" si="2063"/>
        <v/>
      </c>
      <c r="EM1562" s="2" t="str">
        <f t="shared" si="1993"/>
        <v/>
      </c>
      <c r="EN1562" t="s">
        <v>2402</v>
      </c>
      <c r="EP1562" t="str">
        <f>IF(ISNUMBER(BU1562),IF(ABS(BU1562-[4]QC_indicators!$B$2)&gt;3*[4]QC_indicators!$C$2,"C ratio",IF(ISNUMBER(BY1562),IF(ABS(BY1562-[4]QC_indicators!$B$1)&gt;3*[4]QC_indicators!$C$1,"DF","no"))),IF(ISNUMBER(BY1562),IF(ABS(BY1562-[4]QC_indicators!$B$1)&gt;3*[4]QC_indicators!$C$1,"DF","no")))</f>
        <v>no</v>
      </c>
      <c r="ER1562" s="264" t="s">
        <v>2393</v>
      </c>
      <c r="ET1562" s="305" t="s">
        <v>3421</v>
      </c>
    </row>
    <row r="1563" spans="1:150" ht="187" hidden="1">
      <c r="A1563" s="1" t="s">
        <v>1101</v>
      </c>
      <c r="B1563" t="s">
        <v>2380</v>
      </c>
      <c r="C1563" t="s">
        <v>2381</v>
      </c>
      <c r="D1563" t="s">
        <v>2382</v>
      </c>
      <c r="E1563" t="s">
        <v>2383</v>
      </c>
      <c r="F1563" t="s">
        <v>2384</v>
      </c>
      <c r="G1563" t="s">
        <v>1107</v>
      </c>
      <c r="H1563" t="s">
        <v>254</v>
      </c>
      <c r="I1563">
        <v>2016</v>
      </c>
      <c r="J1563">
        <v>13</v>
      </c>
      <c r="K1563" t="s">
        <v>2385</v>
      </c>
      <c r="M1563" t="str">
        <f t="shared" si="2031"/>
        <v>Torssonen_2016</v>
      </c>
      <c r="N1563" t="s">
        <v>222</v>
      </c>
      <c r="O1563" s="145" t="s">
        <v>1153</v>
      </c>
      <c r="Q1563" s="264" t="s">
        <v>256</v>
      </c>
      <c r="R1563" s="269" t="s">
        <v>341</v>
      </c>
      <c r="S1563" s="1" t="s">
        <v>2386</v>
      </c>
      <c r="T1563" t="s">
        <v>2397</v>
      </c>
      <c r="U1563" s="264" t="s">
        <v>2398</v>
      </c>
      <c r="V1563">
        <v>0</v>
      </c>
      <c r="W1563">
        <v>0</v>
      </c>
      <c r="X1563">
        <v>0</v>
      </c>
      <c r="Y1563">
        <v>1</v>
      </c>
      <c r="Z1563">
        <v>0</v>
      </c>
      <c r="AA1563">
        <v>0</v>
      </c>
      <c r="AB1563">
        <v>1</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s="141">
        <f t="shared" si="2064"/>
        <v>2</v>
      </c>
      <c r="AY1563" s="141">
        <f t="shared" si="2032"/>
        <v>2</v>
      </c>
      <c r="AZ1563">
        <f t="shared" si="2033"/>
        <v>2</v>
      </c>
      <c r="BA1563">
        <f t="shared" si="2034"/>
        <v>0</v>
      </c>
      <c r="BB1563">
        <f t="shared" si="2035"/>
        <v>0</v>
      </c>
      <c r="BC1563">
        <f t="shared" si="2036"/>
        <v>0</v>
      </c>
      <c r="BD1563">
        <f t="shared" si="2037"/>
        <v>0</v>
      </c>
      <c r="BE1563" t="str" cm="1">
        <f t="array" ref="BE1563">IF(AY1563=1,INDEX($V$7:$AL$7,MATCH(TRUE,INDEX($V1563:$AW1563&lt;&gt;0,),0)),IF(AY1563=0,INDEX($AM$7:$AW$7,MATCH(1,$AM1563:$AW1563,0)),IF(BF1563="Multiple strategies","mixed drivers",IF(BF1563="Supply chain","multiple supply","multiple silviculture"))))</f>
        <v>multiple silviculture</v>
      </c>
      <c r="BF1563" s="2" t="str" cm="1">
        <f t="array" ref="BF1563">IF(COUNTIF(AZ1563:BB1563,"&lt;&gt;0")=1,INDEX($V$4:$AW$4,MATCH(TRUE,INDEX($V1563:$AW1563&lt;&gt;0,),0)),IF(COUNTIF(AZ1563:BB1563,"&lt;&gt;0")=0,INDEX($AM$4:$AW$4,MATCH(1,$AM1563:$AW1563,0)),"Multiple strategies"))</f>
        <v>Silviculture for removals</v>
      </c>
      <c r="BG1563" s="1" t="s">
        <v>229</v>
      </c>
      <c r="BH1563" s="305" t="s">
        <v>2143</v>
      </c>
      <c r="BI1563" s="264" t="s">
        <v>2390</v>
      </c>
      <c r="BJ1563" s="305" t="s">
        <v>1057</v>
      </c>
      <c r="BK1563">
        <v>6.697959172</v>
      </c>
      <c r="BL1563">
        <v>7.0346938679999997</v>
      </c>
      <c r="BM1563" s="143">
        <f t="shared" si="2038"/>
        <v>1.0502742234392348</v>
      </c>
      <c r="BN1563">
        <f t="shared" si="2039"/>
        <v>0.33673469599999972</v>
      </c>
      <c r="BO1563">
        <f>BN1563</f>
        <v>0.33673469599999972</v>
      </c>
      <c r="BP1563" s="305" t="s">
        <v>395</v>
      </c>
      <c r="BQ1563" s="153" t="s">
        <v>3420</v>
      </c>
      <c r="BR1563" s="264" t="s">
        <v>2392</v>
      </c>
      <c r="BS1563" s="299">
        <v>-334.54545000000002</v>
      </c>
      <c r="BT1563">
        <v>-324.36363636363598</v>
      </c>
      <c r="BU1563" s="144"/>
      <c r="BV1563" s="144">
        <f t="shared" si="2040"/>
        <v>10.181813636364041</v>
      </c>
      <c r="BW1563" s="144"/>
      <c r="BX1563" s="144">
        <f t="shared" si="2041"/>
        <v>0.1018181363636404</v>
      </c>
      <c r="BY1563">
        <f t="shared" si="1992"/>
        <v>0.30236900911345493</v>
      </c>
      <c r="BZ1563">
        <v>0</v>
      </c>
      <c r="CA1563">
        <v>0</v>
      </c>
      <c r="CB1563">
        <v>0</v>
      </c>
      <c r="CC1563">
        <v>0</v>
      </c>
      <c r="CD1563">
        <v>0</v>
      </c>
      <c r="CE1563">
        <v>0</v>
      </c>
      <c r="CF1563">
        <v>0</v>
      </c>
      <c r="CG1563">
        <v>0</v>
      </c>
      <c r="CH1563">
        <v>0</v>
      </c>
      <c r="CI1563">
        <v>0</v>
      </c>
      <c r="CJ1563">
        <v>0</v>
      </c>
      <c r="CK1563">
        <v>0</v>
      </c>
      <c r="CL1563">
        <v>0</v>
      </c>
      <c r="CM1563">
        <v>1</v>
      </c>
      <c r="CN1563" t="str">
        <f t="shared" si="2042"/>
        <v>refOK</v>
      </c>
      <c r="CO1563">
        <f t="shared" si="2043"/>
        <v>6.697959172</v>
      </c>
      <c r="CP1563">
        <f t="shared" si="2044"/>
        <v>7.0346938679999997</v>
      </c>
      <c r="CQ1563">
        <f t="shared" si="2045"/>
        <v>0.33673469599999972</v>
      </c>
      <c r="CR1563">
        <f t="shared" si="2046"/>
        <v>334.54545000000002</v>
      </c>
      <c r="CS1563">
        <f t="shared" si="2047"/>
        <v>324.36363636363598</v>
      </c>
      <c r="CT1563">
        <f t="shared" si="2048"/>
        <v>-0.1018181363636404</v>
      </c>
      <c r="CU1563">
        <f t="shared" si="2049"/>
        <v>-0.30236900911345493</v>
      </c>
      <c r="CV1563" s="2">
        <f t="shared" si="2050"/>
        <v>-3.0434769435256227E-2</v>
      </c>
      <c r="CW1563" s="1" t="s">
        <v>1198</v>
      </c>
      <c r="CX1563" s="264" t="str">
        <f t="shared" si="2051"/>
        <v>reg</v>
      </c>
      <c r="CY1563" t="s">
        <v>235</v>
      </c>
      <c r="CZ1563">
        <v>2020</v>
      </c>
      <c r="DA1563">
        <v>2100</v>
      </c>
      <c r="DB1563">
        <f t="shared" si="2052"/>
        <v>80</v>
      </c>
      <c r="DC1563" t="str">
        <f t="shared" si="2053"/>
        <v>71-100</v>
      </c>
      <c r="DD1563">
        <v>0</v>
      </c>
      <c r="DE1563">
        <v>1</v>
      </c>
      <c r="DF1563">
        <v>0</v>
      </c>
      <c r="DG1563">
        <v>1</v>
      </c>
      <c r="DI1563">
        <f t="shared" si="2054"/>
        <v>2</v>
      </c>
      <c r="DJ1563" t="str">
        <f t="shared" si="2055"/>
        <v>mixedProduct</v>
      </c>
      <c r="DK1563">
        <f t="shared" si="2056"/>
        <v>0</v>
      </c>
      <c r="DL1563" t="str">
        <f t="shared" si="2057"/>
        <v>Energy</v>
      </c>
      <c r="DM1563">
        <f t="shared" si="2058"/>
        <v>0</v>
      </c>
      <c r="DN1563" t="str">
        <f t="shared" si="2059"/>
        <v>Timber</v>
      </c>
      <c r="DO1563">
        <v>1</v>
      </c>
      <c r="DP1563">
        <v>0</v>
      </c>
      <c r="DQ1563">
        <v>0</v>
      </c>
      <c r="DR1563">
        <v>0</v>
      </c>
      <c r="DS1563">
        <v>0</v>
      </c>
      <c r="DT1563">
        <f t="shared" si="2060"/>
        <v>1</v>
      </c>
      <c r="DU1563" s="143" t="str">
        <f t="shared" si="2061"/>
        <v>self-calculated DF</v>
      </c>
      <c r="DV1563">
        <v>1</v>
      </c>
      <c r="DW1563">
        <v>0</v>
      </c>
      <c r="DX1563">
        <v>1</v>
      </c>
      <c r="DY1563">
        <v>0</v>
      </c>
      <c r="DZ1563">
        <v>0</v>
      </c>
      <c r="EA1563" s="143">
        <v>0</v>
      </c>
      <c r="EB1563">
        <v>0</v>
      </c>
      <c r="EC1563">
        <v>0</v>
      </c>
      <c r="ED1563">
        <v>0</v>
      </c>
      <c r="EE1563">
        <v>0</v>
      </c>
      <c r="EF1563">
        <v>1</v>
      </c>
      <c r="EG1563">
        <v>0</v>
      </c>
      <c r="EH1563">
        <v>0</v>
      </c>
      <c r="EI1563" s="2">
        <v>0</v>
      </c>
      <c r="EK1563" t="str">
        <f t="shared" si="2062"/>
        <v/>
      </c>
      <c r="EL1563" t="str">
        <f t="shared" si="2063"/>
        <v/>
      </c>
      <c r="EM1563" s="2" t="str">
        <f t="shared" si="1993"/>
        <v/>
      </c>
      <c r="EP1563" t="str">
        <f>IF(ISNUMBER(BU1563),IF(ABS(BU1563-[4]QC_indicators!$B$2)&gt;3*[4]QC_indicators!$C$2,"C ratio",IF(ISNUMBER(BY1563),IF(ABS(BY1563-[4]QC_indicators!$B$1)&gt;3*[4]QC_indicators!$C$1,"DF","no"))),IF(ISNUMBER(BY1563),IF(ABS(BY1563-[4]QC_indicators!$B$1)&gt;3*[4]QC_indicators!$C$1,"DF","no")))</f>
        <v>no</v>
      </c>
      <c r="ER1563" s="264" t="s">
        <v>2393</v>
      </c>
      <c r="ET1563" s="305" t="s">
        <v>3421</v>
      </c>
    </row>
    <row r="1564" spans="1:150" ht="187" hidden="1">
      <c r="A1564" s="1" t="s">
        <v>1101</v>
      </c>
      <c r="B1564" t="s">
        <v>2380</v>
      </c>
      <c r="C1564" t="s">
        <v>2381</v>
      </c>
      <c r="D1564" t="s">
        <v>2382</v>
      </c>
      <c r="E1564" t="s">
        <v>2383</v>
      </c>
      <c r="F1564" t="s">
        <v>2384</v>
      </c>
      <c r="G1564" t="s">
        <v>1107</v>
      </c>
      <c r="H1564" t="s">
        <v>254</v>
      </c>
      <c r="I1564">
        <v>2016</v>
      </c>
      <c r="J1564">
        <v>13</v>
      </c>
      <c r="K1564" t="s">
        <v>2385</v>
      </c>
      <c r="M1564" t="str">
        <f t="shared" si="2031"/>
        <v>Torssonen_2016</v>
      </c>
      <c r="N1564" t="s">
        <v>222</v>
      </c>
      <c r="O1564" s="145" t="s">
        <v>1153</v>
      </c>
      <c r="Q1564" s="264" t="s">
        <v>256</v>
      </c>
      <c r="R1564" s="269" t="s">
        <v>341</v>
      </c>
      <c r="S1564" s="1" t="s">
        <v>2386</v>
      </c>
      <c r="T1564" t="s">
        <v>2397</v>
      </c>
      <c r="U1564" t="s">
        <v>2388</v>
      </c>
      <c r="V1564">
        <v>0</v>
      </c>
      <c r="W1564">
        <v>0</v>
      </c>
      <c r="X1564">
        <v>0</v>
      </c>
      <c r="Y1564">
        <v>1</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s="141">
        <f t="shared" si="2064"/>
        <v>1</v>
      </c>
      <c r="AY1564" s="141">
        <f t="shared" si="2032"/>
        <v>1</v>
      </c>
      <c r="AZ1564">
        <f t="shared" si="2033"/>
        <v>1</v>
      </c>
      <c r="BA1564">
        <f t="shared" si="2034"/>
        <v>0</v>
      </c>
      <c r="BB1564">
        <f t="shared" si="2035"/>
        <v>0</v>
      </c>
      <c r="BC1564">
        <f t="shared" si="2036"/>
        <v>0</v>
      </c>
      <c r="BD1564">
        <f t="shared" si="2037"/>
        <v>0</v>
      </c>
      <c r="BE1564" t="str" cm="1">
        <f t="array" ref="BE1564">IF(AY1564=1,INDEX($V$7:$AL$7,MATCH(TRUE,INDEX($V1564:$AW1564&lt;&gt;0,),0)),IF(AY1564=0,INDEX($AM$7:$AW$7,MATCH(1,$AM1564:$AW1564,0)),IF(BF1564="Multiple strategies","mixed drivers",IF(BF1564="Supply chain","multiple supply","multiple silviculture"))))</f>
        <v xml:space="preserve">cutting intensity </v>
      </c>
      <c r="BF1564" s="2" t="str" cm="1">
        <f t="array" ref="BF1564">IF(COUNTIF(AZ1564:BB1564,"&lt;&gt;0")=1,INDEX($V$4:$AW$4,MATCH(TRUE,INDEX($V1564:$AW1564&lt;&gt;0,),0)),IF(COUNTIF(AZ1564:BB1564,"&lt;&gt;0")=0,INDEX($AM$4:$AW$4,MATCH(1,$AM1564:$AW1564,0)),"Multiple strategies"))</f>
        <v>Silviculture for removals</v>
      </c>
      <c r="BG1564" s="1" t="s">
        <v>229</v>
      </c>
      <c r="BH1564" s="305" t="s">
        <v>2143</v>
      </c>
      <c r="BI1564" s="264" t="s">
        <v>2390</v>
      </c>
      <c r="BJ1564" s="305" t="s">
        <v>1057</v>
      </c>
      <c r="BK1564">
        <v>6.697959172</v>
      </c>
      <c r="BL1564">
        <v>6.8142857049999996</v>
      </c>
      <c r="BM1564" s="143">
        <f t="shared" si="2038"/>
        <v>1.0173674592533033</v>
      </c>
      <c r="BN1564">
        <f t="shared" si="2039"/>
        <v>0.11632653299999962</v>
      </c>
      <c r="BO1564">
        <f>BN1564</f>
        <v>0.11632653299999962</v>
      </c>
      <c r="BP1564" s="305" t="s">
        <v>395</v>
      </c>
      <c r="BQ1564" s="153" t="s">
        <v>3420</v>
      </c>
      <c r="BR1564" s="264" t="s">
        <v>2392</v>
      </c>
      <c r="BS1564" s="299">
        <v>-334.54545000000002</v>
      </c>
      <c r="BT1564">
        <v>-302.54545454545399</v>
      </c>
      <c r="BU1564" s="144"/>
      <c r="BV1564" s="144">
        <f t="shared" si="2040"/>
        <v>31.999995454546024</v>
      </c>
      <c r="BW1564" s="144"/>
      <c r="BX1564" s="144">
        <f t="shared" si="2041"/>
        <v>0.31999995454546021</v>
      </c>
      <c r="BY1564">
        <f t="shared" si="1992"/>
        <v>2.7508767457675476</v>
      </c>
      <c r="BZ1564">
        <v>0</v>
      </c>
      <c r="CA1564">
        <v>0</v>
      </c>
      <c r="CB1564">
        <v>0</v>
      </c>
      <c r="CC1564">
        <v>0</v>
      </c>
      <c r="CD1564">
        <v>0</v>
      </c>
      <c r="CE1564">
        <v>0</v>
      </c>
      <c r="CF1564">
        <v>0</v>
      </c>
      <c r="CG1564">
        <v>0</v>
      </c>
      <c r="CH1564">
        <v>0</v>
      </c>
      <c r="CI1564">
        <v>0</v>
      </c>
      <c r="CJ1564">
        <v>0</v>
      </c>
      <c r="CK1564">
        <v>0</v>
      </c>
      <c r="CL1564">
        <v>0</v>
      </c>
      <c r="CM1564">
        <v>1</v>
      </c>
      <c r="CN1564" t="str">
        <f t="shared" si="2042"/>
        <v>refOK</v>
      </c>
      <c r="CO1564">
        <f t="shared" si="2043"/>
        <v>6.697959172</v>
      </c>
      <c r="CP1564">
        <f t="shared" si="2044"/>
        <v>6.8142857049999996</v>
      </c>
      <c r="CQ1564">
        <f t="shared" si="2045"/>
        <v>0.11632653299999962</v>
      </c>
      <c r="CR1564">
        <f t="shared" si="2046"/>
        <v>334.54545000000002</v>
      </c>
      <c r="CS1564">
        <f t="shared" si="2047"/>
        <v>302.54545454545399</v>
      </c>
      <c r="CT1564">
        <f t="shared" si="2048"/>
        <v>-0.31999995454546021</v>
      </c>
      <c r="CU1564">
        <f t="shared" si="2049"/>
        <v>-2.7508767457675476</v>
      </c>
      <c r="CV1564" s="2">
        <f t="shared" si="2050"/>
        <v>-9.5652161625710413E-2</v>
      </c>
      <c r="CW1564" s="1" t="s">
        <v>1198</v>
      </c>
      <c r="CX1564" s="264" t="str">
        <f t="shared" si="2051"/>
        <v>reg</v>
      </c>
      <c r="CY1564" t="s">
        <v>235</v>
      </c>
      <c r="CZ1564">
        <v>2020</v>
      </c>
      <c r="DA1564">
        <v>2100</v>
      </c>
      <c r="DB1564">
        <f t="shared" si="2052"/>
        <v>80</v>
      </c>
      <c r="DC1564" t="str">
        <f t="shared" si="2053"/>
        <v>71-100</v>
      </c>
      <c r="DD1564">
        <v>0</v>
      </c>
      <c r="DE1564">
        <v>1</v>
      </c>
      <c r="DF1564">
        <v>0</v>
      </c>
      <c r="DG1564">
        <v>1</v>
      </c>
      <c r="DI1564">
        <f t="shared" si="2054"/>
        <v>2</v>
      </c>
      <c r="DJ1564" t="str">
        <f t="shared" si="2055"/>
        <v>mixedProduct</v>
      </c>
      <c r="DK1564">
        <f t="shared" si="2056"/>
        <v>0</v>
      </c>
      <c r="DL1564" t="str">
        <f t="shared" si="2057"/>
        <v>Energy</v>
      </c>
      <c r="DM1564">
        <f t="shared" si="2058"/>
        <v>0</v>
      </c>
      <c r="DN1564" t="str">
        <f t="shared" si="2059"/>
        <v>Timber</v>
      </c>
      <c r="DO1564">
        <v>1</v>
      </c>
      <c r="DP1564">
        <v>0</v>
      </c>
      <c r="DQ1564">
        <v>0</v>
      </c>
      <c r="DR1564">
        <v>0</v>
      </c>
      <c r="DS1564">
        <v>0</v>
      </c>
      <c r="DT1564">
        <f t="shared" si="2060"/>
        <v>1</v>
      </c>
      <c r="DU1564" s="143" t="str">
        <f t="shared" si="2061"/>
        <v>self-calculated DF</v>
      </c>
      <c r="DV1564">
        <v>1</v>
      </c>
      <c r="DW1564">
        <v>0</v>
      </c>
      <c r="DX1564">
        <v>1</v>
      </c>
      <c r="DY1564">
        <v>0</v>
      </c>
      <c r="DZ1564">
        <v>0</v>
      </c>
      <c r="EA1564" s="143">
        <v>0</v>
      </c>
      <c r="EB1564">
        <v>0</v>
      </c>
      <c r="EC1564">
        <v>0</v>
      </c>
      <c r="ED1564">
        <v>0</v>
      </c>
      <c r="EE1564">
        <v>0</v>
      </c>
      <c r="EF1564">
        <v>1</v>
      </c>
      <c r="EG1564">
        <v>0</v>
      </c>
      <c r="EH1564">
        <v>0</v>
      </c>
      <c r="EI1564" s="2">
        <v>0</v>
      </c>
      <c r="EK1564" t="str">
        <f t="shared" si="2062"/>
        <v/>
      </c>
      <c r="EL1564" t="str">
        <f t="shared" si="2063"/>
        <v/>
      </c>
      <c r="EM1564" s="2" t="str">
        <f t="shared" si="1993"/>
        <v/>
      </c>
      <c r="EP1564" t="str">
        <f>IF(ISNUMBER(BU1564),IF(ABS(BU1564-[4]QC_indicators!$B$2)&gt;3*[4]QC_indicators!$C$2,"C ratio",IF(ISNUMBER(BY1564),IF(ABS(BY1564-[4]QC_indicators!$B$1)&gt;3*[4]QC_indicators!$C$1,"DF","no"))),IF(ISNUMBER(BY1564),IF(ABS(BY1564-[4]QC_indicators!$B$1)&gt;3*[4]QC_indicators!$C$1,"DF","no")))</f>
        <v>no</v>
      </c>
      <c r="ER1564" s="264" t="s">
        <v>2393</v>
      </c>
      <c r="ET1564" s="305" t="s">
        <v>3421</v>
      </c>
    </row>
    <row r="1565" spans="1:150" ht="187" hidden="1">
      <c r="A1565" s="1" t="s">
        <v>1101</v>
      </c>
      <c r="B1565" t="s">
        <v>2380</v>
      </c>
      <c r="C1565" t="s">
        <v>2381</v>
      </c>
      <c r="D1565" t="s">
        <v>2382</v>
      </c>
      <c r="E1565" t="s">
        <v>2383</v>
      </c>
      <c r="F1565" t="s">
        <v>2384</v>
      </c>
      <c r="G1565" t="s">
        <v>1107</v>
      </c>
      <c r="H1565" t="s">
        <v>254</v>
      </c>
      <c r="I1565">
        <v>2016</v>
      </c>
      <c r="J1565">
        <v>13</v>
      </c>
      <c r="K1565" t="s">
        <v>2385</v>
      </c>
      <c r="M1565" t="str">
        <f t="shared" si="2031"/>
        <v>Torssonen_2016</v>
      </c>
      <c r="N1565" t="s">
        <v>222</v>
      </c>
      <c r="O1565" s="145" t="s">
        <v>1153</v>
      </c>
      <c r="Q1565" s="264" t="s">
        <v>256</v>
      </c>
      <c r="R1565" s="269" t="s">
        <v>341</v>
      </c>
      <c r="S1565" s="1" t="s">
        <v>2399</v>
      </c>
      <c r="T1565" s="264" t="s">
        <v>2418</v>
      </c>
      <c r="U1565" s="264" t="s">
        <v>2419</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1</v>
      </c>
      <c r="AO1565">
        <v>1</v>
      </c>
      <c r="AP1565">
        <v>0</v>
      </c>
      <c r="AQ1565">
        <v>0</v>
      </c>
      <c r="AR1565">
        <v>0</v>
      </c>
      <c r="AS1565">
        <v>0</v>
      </c>
      <c r="AT1565">
        <v>0</v>
      </c>
      <c r="AU1565">
        <v>0</v>
      </c>
      <c r="AV1565">
        <v>0</v>
      </c>
      <c r="AW1565">
        <v>0</v>
      </c>
      <c r="AX1565" s="141">
        <f t="shared" si="2064"/>
        <v>2</v>
      </c>
      <c r="AY1565" s="141">
        <f t="shared" si="2032"/>
        <v>0</v>
      </c>
      <c r="AZ1565">
        <f t="shared" si="2033"/>
        <v>0</v>
      </c>
      <c r="BA1565">
        <f t="shared" si="2034"/>
        <v>0</v>
      </c>
      <c r="BB1565">
        <f t="shared" si="2035"/>
        <v>0</v>
      </c>
      <c r="BC1565">
        <f t="shared" si="2036"/>
        <v>0</v>
      </c>
      <c r="BD1565">
        <f t="shared" si="2037"/>
        <v>2</v>
      </c>
      <c r="BE1565" t="str" cm="1">
        <f t="array" ref="BE1565">IF(AY1565=1,INDEX($V$7:$AL$7,MATCH(TRUE,INDEX($V1565:$AW1565&lt;&gt;0,),0)),IF(AY1565=0,INDEX($AM$7:$AW$7,MATCH(1,$AM1565:$AW1565,0)),IF(BF1565="Multiple strategies","mixed drivers",IF(BF1565="Supply chain","multiple supply","multiple silviculture"))))</f>
        <v>Temperature</v>
      </c>
      <c r="BF1565" s="2" t="str" cm="1">
        <f t="array" ref="BF1565">IF(COUNTIF(AZ1565:BB1565,"&lt;&gt;0")=1,INDEX($V$4:$AW$4,MATCH(TRUE,INDEX($V1565:$AW1565&lt;&gt;0,),0)),IF(COUNTIF(AZ1565:BB1565,"&lt;&gt;0")=0,INDEX($AM$4:$AW$4,MATCH(1,$AM1565:$AW1565,0)),"Multiple strategies"))</f>
        <v>Environmental change</v>
      </c>
      <c r="BG1565" s="1" t="s">
        <v>229</v>
      </c>
      <c r="BH1565" s="305" t="s">
        <v>2143</v>
      </c>
      <c r="BI1565" s="264" t="s">
        <v>2390</v>
      </c>
      <c r="BJ1565" s="305" t="s">
        <v>1057</v>
      </c>
      <c r="BK1565">
        <v>7.0346938679999997</v>
      </c>
      <c r="BL1565">
        <v>7.0346938679999997</v>
      </c>
      <c r="BM1565" s="143">
        <f t="shared" si="2038"/>
        <v>1</v>
      </c>
      <c r="BN1565">
        <f t="shared" si="2039"/>
        <v>0</v>
      </c>
      <c r="BO1565">
        <f>+BN1565*t_to_m3</f>
        <v>0</v>
      </c>
      <c r="BP1565" s="305" t="s">
        <v>395</v>
      </c>
      <c r="BQ1565" s="153" t="s">
        <v>3420</v>
      </c>
      <c r="BR1565" s="264" t="s">
        <v>2392</v>
      </c>
      <c r="BS1565">
        <v>-324.36363636363598</v>
      </c>
      <c r="BT1565">
        <v>-315.636363636363</v>
      </c>
      <c r="BU1565" s="144"/>
      <c r="BV1565" s="144">
        <f t="shared" si="2040"/>
        <v>8.7272727272729753</v>
      </c>
      <c r="BW1565" s="144"/>
      <c r="BX1565" s="144">
        <f t="shared" si="2041"/>
        <v>8.727272727272975E-2</v>
      </c>
      <c r="BY1565" t="str">
        <f t="shared" si="1992"/>
        <v/>
      </c>
      <c r="BZ1565">
        <v>0</v>
      </c>
      <c r="CA1565">
        <v>0</v>
      </c>
      <c r="CB1565">
        <v>0</v>
      </c>
      <c r="CC1565">
        <v>0</v>
      </c>
      <c r="CD1565">
        <v>0</v>
      </c>
      <c r="CE1565">
        <v>0</v>
      </c>
      <c r="CF1565">
        <v>0</v>
      </c>
      <c r="CG1565">
        <v>0</v>
      </c>
      <c r="CH1565">
        <v>0</v>
      </c>
      <c r="CI1565">
        <v>0</v>
      </c>
      <c r="CJ1565">
        <v>0</v>
      </c>
      <c r="CK1565">
        <v>0</v>
      </c>
      <c r="CL1565">
        <v>0</v>
      </c>
      <c r="CM1565">
        <v>1</v>
      </c>
      <c r="CN1565" t="str">
        <f t="shared" si="2042"/>
        <v>refOK</v>
      </c>
      <c r="CO1565">
        <f t="shared" si="2043"/>
        <v>7.0346938679999997</v>
      </c>
      <c r="CP1565">
        <f t="shared" si="2044"/>
        <v>7.0346938679999997</v>
      </c>
      <c r="CQ1565">
        <f t="shared" si="2045"/>
        <v>0</v>
      </c>
      <c r="CR1565">
        <f t="shared" si="2046"/>
        <v>324.36363636363598</v>
      </c>
      <c r="CS1565">
        <f t="shared" si="2047"/>
        <v>315.636363636363</v>
      </c>
      <c r="CT1565">
        <f t="shared" si="2048"/>
        <v>-8.727272727272975E-2</v>
      </c>
      <c r="CU1565" t="str">
        <f t="shared" si="2049"/>
        <v/>
      </c>
      <c r="CV1565" s="2">
        <f t="shared" si="2050"/>
        <v>-2.6905829596413352E-2</v>
      </c>
      <c r="CW1565" s="1" t="s">
        <v>1198</v>
      </c>
      <c r="CX1565" s="264" t="str">
        <f t="shared" si="2051"/>
        <v>reg</v>
      </c>
      <c r="CY1565" t="s">
        <v>235</v>
      </c>
      <c r="CZ1565">
        <v>2020</v>
      </c>
      <c r="DA1565">
        <v>2100</v>
      </c>
      <c r="DB1565">
        <f t="shared" si="2052"/>
        <v>80</v>
      </c>
      <c r="DC1565" t="str">
        <f t="shared" si="2053"/>
        <v>71-100</v>
      </c>
      <c r="DD1565">
        <v>0</v>
      </c>
      <c r="DE1565">
        <v>1</v>
      </c>
      <c r="DF1565">
        <v>0</v>
      </c>
      <c r="DG1565">
        <v>1</v>
      </c>
      <c r="DI1565">
        <f t="shared" si="2054"/>
        <v>2</v>
      </c>
      <c r="DJ1565" t="str">
        <f t="shared" si="2055"/>
        <v>mixedProduct</v>
      </c>
      <c r="DK1565">
        <f t="shared" si="2056"/>
        <v>0</v>
      </c>
      <c r="DL1565" t="str">
        <f t="shared" si="2057"/>
        <v>Energy</v>
      </c>
      <c r="DM1565">
        <f t="shared" si="2058"/>
        <v>0</v>
      </c>
      <c r="DN1565" t="str">
        <f t="shared" si="2059"/>
        <v>Timber</v>
      </c>
      <c r="DO1565">
        <v>1</v>
      </c>
      <c r="DP1565">
        <v>0</v>
      </c>
      <c r="DQ1565">
        <v>0</v>
      </c>
      <c r="DR1565">
        <v>0</v>
      </c>
      <c r="DS1565">
        <v>0</v>
      </c>
      <c r="DT1565">
        <f t="shared" si="2060"/>
        <v>1</v>
      </c>
      <c r="DU1565" s="143" t="str">
        <f t="shared" si="2061"/>
        <v>self-calculated DF</v>
      </c>
      <c r="DV1565">
        <v>1</v>
      </c>
      <c r="DW1565">
        <v>0</v>
      </c>
      <c r="DX1565">
        <v>1</v>
      </c>
      <c r="DY1565">
        <v>0</v>
      </c>
      <c r="DZ1565">
        <v>0</v>
      </c>
      <c r="EA1565" s="143">
        <v>0</v>
      </c>
      <c r="EB1565">
        <v>0</v>
      </c>
      <c r="EC1565">
        <v>0</v>
      </c>
      <c r="ED1565">
        <v>0</v>
      </c>
      <c r="EE1565">
        <v>0</v>
      </c>
      <c r="EF1565">
        <v>1</v>
      </c>
      <c r="EG1565">
        <v>0</v>
      </c>
      <c r="EH1565">
        <v>0</v>
      </c>
      <c r="EI1565" s="2">
        <v>0</v>
      </c>
      <c r="EK1565" t="str">
        <f t="shared" si="2062"/>
        <v/>
      </c>
      <c r="EL1565" t="str">
        <f t="shared" si="2063"/>
        <v/>
      </c>
      <c r="EM1565" s="2" t="str">
        <f t="shared" si="1993"/>
        <v/>
      </c>
      <c r="EN1565" t="s">
        <v>2402</v>
      </c>
      <c r="EP1565" t="b">
        <f>IF(ISNUMBER(BU1565),IF(ABS(BU1565-[4]QC_indicators!$B$2)&gt;3*[4]QC_indicators!$C$2,"C ratio",IF(ISNUMBER(BY1565),IF(ABS(BY1565-[4]QC_indicators!$B$1)&gt;3*[4]QC_indicators!$C$1,"DF","no"))),IF(ISNUMBER(BY1565),IF(ABS(BY1565-[4]QC_indicators!$B$1)&gt;3*[4]QC_indicators!$C$1,"DF","no")))</f>
        <v>0</v>
      </c>
      <c r="ER1565" s="264" t="s">
        <v>2393</v>
      </c>
      <c r="ET1565" s="305" t="s">
        <v>3421</v>
      </c>
    </row>
    <row r="1566" spans="1:150" ht="15" hidden="1" customHeight="1">
      <c r="A1566" s="1" t="s">
        <v>2430</v>
      </c>
      <c r="B1566" t="s">
        <v>2431</v>
      </c>
      <c r="C1566" t="s">
        <v>2432</v>
      </c>
      <c r="D1566" t="s">
        <v>2433</v>
      </c>
      <c r="E1566" t="s">
        <v>2434</v>
      </c>
      <c r="F1566" t="s">
        <v>2435</v>
      </c>
      <c r="G1566" t="s">
        <v>2436</v>
      </c>
      <c r="H1566" t="s">
        <v>254</v>
      </c>
      <c r="I1566">
        <v>2010</v>
      </c>
      <c r="J1566">
        <v>21</v>
      </c>
      <c r="K1566" t="s">
        <v>2437</v>
      </c>
      <c r="M1566" t="str">
        <f t="shared" si="2031"/>
        <v>Tsunetsugu_2010</v>
      </c>
      <c r="N1566" t="s">
        <v>222</v>
      </c>
      <c r="O1566" s="145" t="s">
        <v>1153</v>
      </c>
      <c r="Q1566" t="s">
        <v>256</v>
      </c>
      <c r="R1566" s="262" t="s">
        <v>223</v>
      </c>
      <c r="S1566" s="1" t="s">
        <v>2438</v>
      </c>
      <c r="T1566" t="s">
        <v>1154</v>
      </c>
      <c r="U1566" t="s">
        <v>2439</v>
      </c>
      <c r="V1566">
        <v>0</v>
      </c>
      <c r="W1566">
        <v>0</v>
      </c>
      <c r="X1566">
        <v>0</v>
      </c>
      <c r="Y1566">
        <v>0</v>
      </c>
      <c r="Z1566">
        <v>0</v>
      </c>
      <c r="AA1566">
        <v>0</v>
      </c>
      <c r="AB1566">
        <v>0</v>
      </c>
      <c r="AC1566">
        <v>0</v>
      </c>
      <c r="AD1566">
        <v>0</v>
      </c>
      <c r="AE1566">
        <v>0</v>
      </c>
      <c r="AF1566">
        <v>0</v>
      </c>
      <c r="AG1566">
        <v>0</v>
      </c>
      <c r="AH1566">
        <v>0</v>
      </c>
      <c r="AI1566">
        <v>0</v>
      </c>
      <c r="AJ1566">
        <v>0</v>
      </c>
      <c r="AK1566">
        <v>1</v>
      </c>
      <c r="AL1566">
        <v>0</v>
      </c>
      <c r="AM1566">
        <v>0</v>
      </c>
      <c r="AN1566">
        <v>0</v>
      </c>
      <c r="AO1566">
        <v>0</v>
      </c>
      <c r="AP1566">
        <v>0</v>
      </c>
      <c r="AQ1566">
        <v>0</v>
      </c>
      <c r="AR1566">
        <v>0</v>
      </c>
      <c r="AS1566">
        <v>0</v>
      </c>
      <c r="AT1566">
        <v>0</v>
      </c>
      <c r="AU1566">
        <v>0</v>
      </c>
      <c r="AV1566">
        <v>0</v>
      </c>
      <c r="AW1566">
        <v>0</v>
      </c>
      <c r="AX1566" s="141">
        <f t="shared" si="2064"/>
        <v>1</v>
      </c>
      <c r="AY1566" s="141">
        <f t="shared" si="2032"/>
        <v>1</v>
      </c>
      <c r="AZ1566">
        <f t="shared" si="2033"/>
        <v>0</v>
      </c>
      <c r="BA1566">
        <f t="shared" si="2034"/>
        <v>0</v>
      </c>
      <c r="BB1566">
        <f t="shared" si="2035"/>
        <v>1</v>
      </c>
      <c r="BC1566">
        <f t="shared" si="2036"/>
        <v>0</v>
      </c>
      <c r="BD1566">
        <f t="shared" si="2037"/>
        <v>0</v>
      </c>
      <c r="BE1566" t="str">
        <f t="array" ref="BE1566">IF(AY1566=1,INDEX($V$7:$AL$7,MATCH(TRUE,INDEX($V1566:$AW1566&lt;&gt;0,),0)),IF(AY1566=0,INDEX($AM$7:$AW$7,MATCH(1,$AM1566:$AW1566,0)),IF(BF1566="Multiple strategies","mixed drivers",IF(BF1566="Supply chain","multiple supply","multiple silviculture"))))</f>
        <v>technologies/design switch</v>
      </c>
      <c r="BF1566" s="2" t="str" cm="1">
        <f t="array" ref="BF1566">IF(COUNTIF(AZ1566:BB1566,"&lt;&gt;0")=1,INDEX($V$4:$AW$4,MATCH(TRUE,INDEX($V1566:$AW1566&lt;&gt;0,),0)),IF(COUNTIF(AZ1566:BB1566,"&lt;&gt;0")=0,INDEX($AM$4:$AW$4,MATCH(1,$AM1566:$AW1566,0)),"Multiple strategies"))</f>
        <v>Technology</v>
      </c>
      <c r="BG1566" s="1" t="s">
        <v>321</v>
      </c>
      <c r="BH1566" t="s">
        <v>2440</v>
      </c>
      <c r="BI1566" s="264" t="s">
        <v>3247</v>
      </c>
      <c r="BJ1566" t="s">
        <v>2441</v>
      </c>
      <c r="BK1566">
        <v>25</v>
      </c>
      <c r="BL1566">
        <v>42</v>
      </c>
      <c r="BM1566" s="143">
        <f t="shared" si="2038"/>
        <v>1.68</v>
      </c>
      <c r="BN1566">
        <f t="shared" si="2039"/>
        <v>17</v>
      </c>
      <c r="BO1566">
        <f>+BN1566*10^6</f>
        <v>17000000</v>
      </c>
      <c r="BP1566" t="s">
        <v>232</v>
      </c>
      <c r="BQ1566" s="153" t="s">
        <v>3248</v>
      </c>
      <c r="BR1566" t="s">
        <v>2442</v>
      </c>
      <c r="BS1566">
        <v>1.2916666666666601</v>
      </c>
      <c r="BT1566">
        <v>4.9488372093022104</v>
      </c>
      <c r="BU1566" s="144">
        <f t="shared" ref="BU1566:BU1573" si="2065">IFERROR(BT1566/BS1566,"")</f>
        <v>3.8313578394597951</v>
      </c>
      <c r="BV1566" s="144">
        <f t="shared" si="2040"/>
        <v>3.6571705426355505</v>
      </c>
      <c r="BW1566" s="144"/>
      <c r="BX1566">
        <f>BV1566*10^6*C_to_CO2</f>
        <v>13421815.89147247</v>
      </c>
      <c r="BY1566">
        <f t="shared" si="1992"/>
        <v>0.78951858185132173</v>
      </c>
      <c r="BZ1566">
        <v>0</v>
      </c>
      <c r="CA1566">
        <v>0</v>
      </c>
      <c r="CB1566">
        <v>0</v>
      </c>
      <c r="CC1566">
        <v>0</v>
      </c>
      <c r="CD1566">
        <v>0</v>
      </c>
      <c r="CE1566">
        <v>0</v>
      </c>
      <c r="CF1566">
        <v>0</v>
      </c>
      <c r="CG1566">
        <v>0</v>
      </c>
      <c r="CH1566">
        <v>0</v>
      </c>
      <c r="CI1566">
        <v>0</v>
      </c>
      <c r="CJ1566">
        <v>0</v>
      </c>
      <c r="CK1566">
        <v>0</v>
      </c>
      <c r="CL1566">
        <v>0</v>
      </c>
      <c r="CM1566">
        <v>0</v>
      </c>
      <c r="CN1566" t="str">
        <f t="shared" si="2042"/>
        <v>refOK</v>
      </c>
      <c r="CO1566">
        <f t="shared" si="2043"/>
        <v>25</v>
      </c>
      <c r="CP1566">
        <f t="shared" si="2044"/>
        <v>42</v>
      </c>
      <c r="CQ1566">
        <f t="shared" si="2045"/>
        <v>17000000</v>
      </c>
      <c r="CR1566">
        <f t="shared" si="2046"/>
        <v>1.2916666666666601</v>
      </c>
      <c r="CS1566">
        <f t="shared" si="2047"/>
        <v>4.9488372093022104</v>
      </c>
      <c r="CT1566">
        <f t="shared" si="2048"/>
        <v>13421815.89147247</v>
      </c>
      <c r="CU1566">
        <f t="shared" si="2049"/>
        <v>0.78951858185132173</v>
      </c>
      <c r="CV1566" s="2">
        <f t="shared" si="2050"/>
        <v>2.8313578394597956</v>
      </c>
      <c r="CW1566" s="1" t="s">
        <v>1202</v>
      </c>
      <c r="CX1566" t="str">
        <f t="shared" si="2051"/>
        <v>reg</v>
      </c>
      <c r="CY1566" t="s">
        <v>960</v>
      </c>
      <c r="CZ1566">
        <v>2007</v>
      </c>
      <c r="DA1566">
        <v>2050</v>
      </c>
      <c r="DB1566">
        <f t="shared" si="2052"/>
        <v>43</v>
      </c>
      <c r="DC1566" t="str">
        <f t="shared" si="2053"/>
        <v>31-70</v>
      </c>
      <c r="DD1566">
        <v>0</v>
      </c>
      <c r="DE1566">
        <v>0</v>
      </c>
      <c r="DF1566">
        <v>1</v>
      </c>
      <c r="DG1566">
        <v>1</v>
      </c>
      <c r="DI1566">
        <f t="shared" si="2054"/>
        <v>2</v>
      </c>
      <c r="DJ1566" t="str">
        <f t="shared" si="2055"/>
        <v>mixedProduct</v>
      </c>
      <c r="DK1566">
        <f t="shared" si="2056"/>
        <v>0</v>
      </c>
      <c r="DL1566">
        <f t="shared" si="2057"/>
        <v>0</v>
      </c>
      <c r="DM1566" t="str">
        <f t="shared" si="2058"/>
        <v>Pulp/Paper</v>
      </c>
      <c r="DN1566" t="str">
        <f t="shared" si="2059"/>
        <v>Timber</v>
      </c>
      <c r="DO1566">
        <v>1</v>
      </c>
      <c r="DP1566">
        <v>0</v>
      </c>
      <c r="DQ1566">
        <v>0</v>
      </c>
      <c r="DR1566">
        <v>0</v>
      </c>
      <c r="DS1566">
        <v>0</v>
      </c>
      <c r="DT1566">
        <f t="shared" si="2060"/>
        <v>1</v>
      </c>
      <c r="DU1566" s="143" t="str">
        <f t="shared" si="2061"/>
        <v>self-calculated DF</v>
      </c>
      <c r="DV1566">
        <v>0</v>
      </c>
      <c r="DW1566">
        <v>0</v>
      </c>
      <c r="DX1566">
        <v>0</v>
      </c>
      <c r="DY1566">
        <v>1</v>
      </c>
      <c r="DZ1566">
        <v>0</v>
      </c>
      <c r="EA1566" s="143">
        <v>1</v>
      </c>
      <c r="EB1566">
        <v>1</v>
      </c>
      <c r="EC1566">
        <v>1</v>
      </c>
      <c r="ED1566">
        <v>0</v>
      </c>
      <c r="EE1566">
        <v>0</v>
      </c>
      <c r="EF1566">
        <v>0</v>
      </c>
      <c r="EG1566">
        <v>0</v>
      </c>
      <c r="EH1566">
        <v>0</v>
      </c>
      <c r="EI1566" s="2">
        <v>0</v>
      </c>
      <c r="EK1566" t="str">
        <f t="shared" si="2062"/>
        <v/>
      </c>
      <c r="EL1566" t="str">
        <f t="shared" si="2063"/>
        <v/>
      </c>
      <c r="EM1566" s="2" t="str">
        <f t="shared" si="1993"/>
        <v>Technology approach</v>
      </c>
      <c r="EP1566" t="str">
        <f>IF(ISNUMBER(BU1566),IF(ABS(BU1566-[3]QC_indicators!$B$2)&gt;3*[3]QC_indicators!$C$2,"C ratio",IF(ISNUMBER(BY1566),IF(ABS(BY1566-[3]QC_indicators!$B$1)&gt;3*[3]QC_indicators!$C$1,"DF","no"))),IF(ISNUMBER(BY1566),IF(ABS(BY1566-[3]QC_indicators!$B$1)&gt;3*[3]QC_indicators!$C$1,"DF","no")))</f>
        <v>no</v>
      </c>
      <c r="ET1566" s="264" t="s">
        <v>3249</v>
      </c>
    </row>
    <row r="1567" spans="1:150" hidden="1">
      <c r="A1567" s="1" t="s">
        <v>4245</v>
      </c>
      <c r="B1567" t="s">
        <v>4246</v>
      </c>
      <c r="C1567" t="s">
        <v>4247</v>
      </c>
      <c r="D1567" t="s">
        <v>4248</v>
      </c>
      <c r="E1567" t="s">
        <v>4249</v>
      </c>
      <c r="F1567" t="s">
        <v>4250</v>
      </c>
      <c r="G1567" t="s">
        <v>4251</v>
      </c>
      <c r="H1567" t="s">
        <v>254</v>
      </c>
      <c r="I1567">
        <v>2018</v>
      </c>
      <c r="J1567">
        <v>6</v>
      </c>
      <c r="K1567" t="s">
        <v>4252</v>
      </c>
      <c r="M1567" t="str">
        <f t="shared" si="2031"/>
        <v>Tuomasjukka_2018</v>
      </c>
      <c r="N1567" s="311" t="s">
        <v>4382</v>
      </c>
      <c r="O1567" s="145" t="s">
        <v>1153</v>
      </c>
      <c r="Q1567" s="311" t="s">
        <v>256</v>
      </c>
      <c r="R1567" s="312"/>
      <c r="S1567" s="1" t="s">
        <v>4253</v>
      </c>
      <c r="T1567" t="s">
        <v>2443</v>
      </c>
      <c r="U1567" t="s">
        <v>4254</v>
      </c>
      <c r="V1567">
        <v>0</v>
      </c>
      <c r="W1567">
        <v>0</v>
      </c>
      <c r="X1567">
        <v>0</v>
      </c>
      <c r="Y1567">
        <v>0</v>
      </c>
      <c r="Z1567">
        <v>0</v>
      </c>
      <c r="AA1567">
        <v>0</v>
      </c>
      <c r="AB1567">
        <v>0</v>
      </c>
      <c r="AC1567">
        <v>0</v>
      </c>
      <c r="AD1567">
        <v>0</v>
      </c>
      <c r="AE1567">
        <v>0</v>
      </c>
      <c r="AF1567">
        <v>0</v>
      </c>
      <c r="AG1567">
        <v>0</v>
      </c>
      <c r="AH1567">
        <v>0</v>
      </c>
      <c r="AI1567">
        <v>0</v>
      </c>
      <c r="AJ1567">
        <v>1</v>
      </c>
      <c r="AK1567">
        <v>0</v>
      </c>
      <c r="AL1567">
        <v>0</v>
      </c>
      <c r="AM1567">
        <v>0</v>
      </c>
      <c r="AN1567">
        <v>0</v>
      </c>
      <c r="AO1567">
        <v>0</v>
      </c>
      <c r="AP1567">
        <v>0</v>
      </c>
      <c r="AQ1567">
        <v>0</v>
      </c>
      <c r="AR1567">
        <v>0</v>
      </c>
      <c r="AS1567">
        <v>0</v>
      </c>
      <c r="AT1567">
        <v>0</v>
      </c>
      <c r="AU1567">
        <v>0</v>
      </c>
      <c r="AV1567">
        <v>0</v>
      </c>
      <c r="AW1567">
        <v>0</v>
      </c>
      <c r="AX1567" s="141">
        <f t="shared" si="2064"/>
        <v>1</v>
      </c>
      <c r="AY1567" s="141">
        <f t="shared" si="2032"/>
        <v>1</v>
      </c>
      <c r="AZ1567">
        <f t="shared" si="2033"/>
        <v>0</v>
      </c>
      <c r="BA1567">
        <f t="shared" si="2034"/>
        <v>0</v>
      </c>
      <c r="BB1567">
        <f t="shared" si="2035"/>
        <v>1</v>
      </c>
      <c r="BC1567">
        <f t="shared" si="2036"/>
        <v>0</v>
      </c>
      <c r="BD1567">
        <f t="shared" si="2037"/>
        <v>0</v>
      </c>
      <c r="BE1567" t="str" cm="1">
        <f t="array" ref="BE1567">IF(AY1567=1,INDEX($V$7:$AL$7,MATCH(TRUE,INDEX($V1567:$AW1567&lt;&gt;0,),0)),IF(AY1567=0,INDEX($AM$7:$AW$7,MATCH(1,$AM1567:$AW1567,0)),IF(BF1567="Multiple strategies","mixed drivers",IF(BF1567="Supply chain","multiple supply","multiple silviculture"))))</f>
        <v>efficiency improvement</v>
      </c>
      <c r="BF1567" s="2" t="str" cm="1">
        <f t="array" ref="BF1567">IF(COUNTIF(AZ1567:BB1567,"&lt;&gt;0")=1,INDEX($V$4:$AW$4,MATCH(TRUE,INDEX($V1567:$AW1567&lt;&gt;0,),0)),IF(COUNTIF(AZ1567:BB1567,"&lt;&gt;0")=0,INDEX($AM$4:$AW$4,MATCH(1,$AM1567:$AW1567,0)),"Multiple strategies"))</f>
        <v>Technology</v>
      </c>
      <c r="BM1567" s="143"/>
      <c r="BN1567" s="143"/>
      <c r="BP1567" t="s">
        <v>232</v>
      </c>
      <c r="BR1567" t="s">
        <v>4255</v>
      </c>
      <c r="BS1567">
        <v>-2.15</v>
      </c>
      <c r="BT1567">
        <v>-2.0099999999999998</v>
      </c>
      <c r="BU1567" s="144">
        <f t="shared" si="2065"/>
        <v>0.93488372093023253</v>
      </c>
      <c r="BV1567" s="144">
        <f t="shared" si="2040"/>
        <v>0.14000000000000012</v>
      </c>
      <c r="BW1567" s="144"/>
      <c r="BX1567" s="144"/>
      <c r="BY1567" t="str">
        <f t="shared" si="1992"/>
        <v/>
      </c>
      <c r="BZ1567">
        <v>0</v>
      </c>
      <c r="CA1567">
        <v>0</v>
      </c>
      <c r="CB1567">
        <v>0</v>
      </c>
      <c r="CC1567">
        <v>0</v>
      </c>
      <c r="CD1567">
        <v>0</v>
      </c>
      <c r="CE1567">
        <v>0</v>
      </c>
      <c r="CF1567">
        <v>0</v>
      </c>
      <c r="CG1567">
        <v>0</v>
      </c>
      <c r="CH1567">
        <v>0</v>
      </c>
      <c r="CI1567">
        <v>0</v>
      </c>
      <c r="CJ1567">
        <v>0</v>
      </c>
      <c r="CK1567">
        <v>0</v>
      </c>
      <c r="CL1567">
        <v>0</v>
      </c>
      <c r="CM1567">
        <v>0</v>
      </c>
      <c r="CN1567" t="str">
        <f t="shared" ref="CN1567:CN1573" si="2066">IF(BL1567&lt;BK1567,"refNeedCorrection","refOK")</f>
        <v>refOK</v>
      </c>
      <c r="CO1567"/>
      <c r="CP1567"/>
      <c r="CQ1567"/>
      <c r="CR1567">
        <f t="shared" si="2046"/>
        <v>-2.15</v>
      </c>
      <c r="CS1567">
        <f t="shared" si="2047"/>
        <v>-2.0099999999999998</v>
      </c>
      <c r="CT1567">
        <f t="shared" si="2048"/>
        <v>0</v>
      </c>
      <c r="CU1567" t="str">
        <f t="shared" si="2049"/>
        <v/>
      </c>
      <c r="CV1567" s="2">
        <f t="shared" si="2050"/>
        <v>6.5116279069767496E-2</v>
      </c>
      <c r="CW1567" s="1" t="s">
        <v>1230</v>
      </c>
      <c r="CX1567" s="311" t="str">
        <f t="shared" si="2051"/>
        <v>reg</v>
      </c>
      <c r="CY1567" s="311" t="s">
        <v>743</v>
      </c>
      <c r="DB1567">
        <f t="shared" si="2052"/>
        <v>0</v>
      </c>
      <c r="DC1567" t="str">
        <f t="shared" si="2053"/>
        <v>0</v>
      </c>
      <c r="DD1567">
        <v>0</v>
      </c>
      <c r="DE1567">
        <v>1</v>
      </c>
      <c r="DF1567">
        <v>0</v>
      </c>
      <c r="DG1567">
        <v>0</v>
      </c>
      <c r="DI1567">
        <f t="shared" si="2054"/>
        <v>1</v>
      </c>
      <c r="DJ1567" t="str">
        <f t="shared" si="2055"/>
        <v>EnergyInput</v>
      </c>
      <c r="DK1567">
        <f t="shared" si="2056"/>
        <v>0</v>
      </c>
      <c r="DL1567" t="str">
        <f t="shared" si="2057"/>
        <v>Energy</v>
      </c>
      <c r="DM1567">
        <f t="shared" si="2058"/>
        <v>0</v>
      </c>
      <c r="DN1567">
        <f t="shared" si="2059"/>
        <v>0</v>
      </c>
      <c r="DO1567">
        <v>0</v>
      </c>
      <c r="DP1567">
        <v>0</v>
      </c>
      <c r="DQ1567">
        <v>0</v>
      </c>
      <c r="DR1567">
        <v>0</v>
      </c>
      <c r="DS1567">
        <v>0</v>
      </c>
      <c r="DT1567">
        <f t="shared" si="2060"/>
        <v>0</v>
      </c>
      <c r="DU1567" s="143" t="str">
        <f t="shared" si="2061"/>
        <v>explicit C balance</v>
      </c>
      <c r="DV1567">
        <v>0</v>
      </c>
      <c r="DW1567">
        <v>0</v>
      </c>
      <c r="DX1567">
        <v>0</v>
      </c>
      <c r="DY1567">
        <v>0</v>
      </c>
      <c r="DZ1567">
        <v>0</v>
      </c>
      <c r="EA1567" s="143">
        <v>0</v>
      </c>
      <c r="EB1567">
        <v>1</v>
      </c>
      <c r="EC1567">
        <v>0</v>
      </c>
      <c r="ED1567">
        <v>0</v>
      </c>
      <c r="EE1567">
        <v>0</v>
      </c>
      <c r="EF1567">
        <v>0</v>
      </c>
      <c r="EG1567">
        <v>0</v>
      </c>
      <c r="EH1567">
        <v>0</v>
      </c>
      <c r="EI1567" s="2">
        <v>0</v>
      </c>
      <c r="EK1567" t="str">
        <f t="shared" ref="EK1567:EK1574" si="2067">IF(AND(AND(AND(OR($DX1567=1,$DW1567=1),OR($EC1567=1,$EA1567=1)),SUM($DV1567:$DZ1567,$EF1567)&gt;=3),SUM($EA1567:$EE1567)&gt;=2),"Whole sector","")</f>
        <v/>
      </c>
      <c r="EL1567" t="str">
        <f t="shared" ref="EL1567:EL1574" si="2068">IF(AND(AND(OR($DX1567=1,$DW1567=1),AND($EC1567=0,$EA1567=0)),SUM($DV1567:$DZ1567,$EF1567)&gt;=3),"Ecosystem approach","")</f>
        <v/>
      </c>
      <c r="EM1567" s="2" t="str">
        <f t="shared" si="1993"/>
        <v/>
      </c>
      <c r="EP1567" t="b">
        <f>IF(ISNUMBER(BU1567),IF(ABS(BU1567-[1]QC_indicators!$B$2)&gt;3*[1]QC_indicators!$C$2,"C ratio",IF(ISNUMBER(BY1567),IF(ABS(BY1567-[1]QC_indicators!$B$1)&gt;3*[1]QC_indicators!$C$1,"DF","no"))),IF(ISNUMBER(BY1567),IF(ABS(BY1567-[1]QC_indicators!$B$1)&gt;3*[1]QC_indicators!$C$1,"DF","no")))</f>
        <v>0</v>
      </c>
    </row>
    <row r="1568" spans="1:150" hidden="1">
      <c r="A1568" s="1" t="s">
        <v>4245</v>
      </c>
      <c r="B1568" t="s">
        <v>4246</v>
      </c>
      <c r="C1568" t="s">
        <v>4247</v>
      </c>
      <c r="D1568" t="s">
        <v>4248</v>
      </c>
      <c r="E1568" t="s">
        <v>4249</v>
      </c>
      <c r="F1568" t="s">
        <v>4250</v>
      </c>
      <c r="G1568" t="s">
        <v>4251</v>
      </c>
      <c r="H1568" t="s">
        <v>254</v>
      </c>
      <c r="I1568">
        <v>2018</v>
      </c>
      <c r="J1568">
        <v>6</v>
      </c>
      <c r="K1568" t="s">
        <v>4252</v>
      </c>
      <c r="M1568" t="str">
        <f t="shared" si="2031"/>
        <v>Tuomasjukka_2018</v>
      </c>
      <c r="N1568" s="311" t="s">
        <v>4382</v>
      </c>
      <c r="O1568" s="145" t="s">
        <v>1153</v>
      </c>
      <c r="Q1568" s="311" t="s">
        <v>256</v>
      </c>
      <c r="R1568" s="312"/>
      <c r="S1568" s="1" t="s">
        <v>4253</v>
      </c>
      <c r="T1568" t="s">
        <v>2443</v>
      </c>
      <c r="U1568" t="s">
        <v>4254</v>
      </c>
      <c r="V1568">
        <v>0</v>
      </c>
      <c r="W1568">
        <v>0</v>
      </c>
      <c r="X1568">
        <v>0</v>
      </c>
      <c r="Y1568">
        <v>0</v>
      </c>
      <c r="Z1568">
        <v>0</v>
      </c>
      <c r="AA1568">
        <v>0</v>
      </c>
      <c r="AB1568">
        <v>0</v>
      </c>
      <c r="AC1568">
        <v>0</v>
      </c>
      <c r="AD1568">
        <v>0</v>
      </c>
      <c r="AE1568">
        <v>0</v>
      </c>
      <c r="AF1568">
        <v>0</v>
      </c>
      <c r="AG1568">
        <v>0</v>
      </c>
      <c r="AH1568">
        <v>0</v>
      </c>
      <c r="AI1568">
        <v>0</v>
      </c>
      <c r="AJ1568">
        <v>1</v>
      </c>
      <c r="AK1568">
        <v>0</v>
      </c>
      <c r="AL1568">
        <v>0</v>
      </c>
      <c r="AM1568">
        <v>0</v>
      </c>
      <c r="AN1568">
        <v>0</v>
      </c>
      <c r="AO1568">
        <v>0</v>
      </c>
      <c r="AP1568">
        <v>0</v>
      </c>
      <c r="AQ1568">
        <v>0</v>
      </c>
      <c r="AR1568">
        <v>0</v>
      </c>
      <c r="AS1568">
        <v>0</v>
      </c>
      <c r="AT1568">
        <v>0</v>
      </c>
      <c r="AU1568">
        <v>0</v>
      </c>
      <c r="AV1568">
        <v>0</v>
      </c>
      <c r="AW1568">
        <v>0</v>
      </c>
      <c r="AX1568" s="141">
        <f t="shared" si="2064"/>
        <v>1</v>
      </c>
      <c r="AY1568" s="141">
        <f t="shared" si="2032"/>
        <v>1</v>
      </c>
      <c r="AZ1568">
        <f t="shared" si="2033"/>
        <v>0</v>
      </c>
      <c r="BA1568">
        <f t="shared" si="2034"/>
        <v>0</v>
      </c>
      <c r="BB1568">
        <f t="shared" si="2035"/>
        <v>1</v>
      </c>
      <c r="BC1568">
        <f t="shared" si="2036"/>
        <v>0</v>
      </c>
      <c r="BD1568">
        <f t="shared" si="2037"/>
        <v>0</v>
      </c>
      <c r="BE1568" t="str" cm="1">
        <f t="array" ref="BE1568">IF(AY1568=1,INDEX($V$7:$AL$7,MATCH(TRUE,INDEX($V1568:$AW1568&lt;&gt;0,),0)),IF(AY1568=0,INDEX($AM$7:$AW$7,MATCH(1,$AM1568:$AW1568,0)),IF(BF1568="Multiple strategies","mixed drivers",IF(BF1568="Supply chain","multiple supply","multiple silviculture"))))</f>
        <v>efficiency improvement</v>
      </c>
      <c r="BF1568" s="2" t="str" cm="1">
        <f t="array" ref="BF1568">IF(COUNTIF(AZ1568:BB1568,"&lt;&gt;0")=1,INDEX($V$4:$AW$4,MATCH(TRUE,INDEX($V1568:$AW1568&lt;&gt;0,),0)),IF(COUNTIF(AZ1568:BB1568,"&lt;&gt;0")=0,INDEX($AM$4:$AW$4,MATCH(1,$AM1568:$AW1568,0)),"Multiple strategies"))</f>
        <v>Technology</v>
      </c>
      <c r="BM1568" s="143"/>
      <c r="BN1568" s="143"/>
      <c r="BP1568" t="s">
        <v>232</v>
      </c>
      <c r="BR1568" t="s">
        <v>4255</v>
      </c>
      <c r="BS1568">
        <v>-2.15</v>
      </c>
      <c r="BT1568">
        <v>-2.08</v>
      </c>
      <c r="BU1568" s="144">
        <f t="shared" si="2065"/>
        <v>0.96744186046511638</v>
      </c>
      <c r="BV1568" s="144">
        <f t="shared" si="2040"/>
        <v>6.999999999999984E-2</v>
      </c>
      <c r="BW1568" s="144"/>
      <c r="BX1568" s="144"/>
      <c r="BY1568" t="str">
        <f t="shared" si="1992"/>
        <v/>
      </c>
      <c r="BZ1568">
        <v>0</v>
      </c>
      <c r="CA1568">
        <v>0</v>
      </c>
      <c r="CB1568">
        <v>0</v>
      </c>
      <c r="CC1568">
        <v>0</v>
      </c>
      <c r="CD1568">
        <v>0</v>
      </c>
      <c r="CE1568">
        <v>0</v>
      </c>
      <c r="CF1568">
        <v>0</v>
      </c>
      <c r="CG1568">
        <v>0</v>
      </c>
      <c r="CH1568">
        <v>0</v>
      </c>
      <c r="CI1568">
        <v>0</v>
      </c>
      <c r="CJ1568">
        <v>0</v>
      </c>
      <c r="CK1568">
        <v>0</v>
      </c>
      <c r="CL1568">
        <v>0</v>
      </c>
      <c r="CM1568">
        <v>0</v>
      </c>
      <c r="CN1568" t="str">
        <f t="shared" si="2066"/>
        <v>refOK</v>
      </c>
      <c r="CO1568"/>
      <c r="CP1568"/>
      <c r="CQ1568"/>
      <c r="CR1568">
        <f t="shared" si="2046"/>
        <v>-2.15</v>
      </c>
      <c r="CS1568">
        <f t="shared" si="2047"/>
        <v>-2.08</v>
      </c>
      <c r="CT1568">
        <f t="shared" si="2048"/>
        <v>0</v>
      </c>
      <c r="CU1568" t="str">
        <f t="shared" si="2049"/>
        <v/>
      </c>
      <c r="CV1568" s="2">
        <f t="shared" si="2050"/>
        <v>3.2558139534883651E-2</v>
      </c>
      <c r="CW1568" s="1" t="s">
        <v>1230</v>
      </c>
      <c r="CX1568" s="311" t="str">
        <f t="shared" si="2051"/>
        <v>reg</v>
      </c>
      <c r="CY1568" s="311" t="s">
        <v>743</v>
      </c>
      <c r="DB1568">
        <f t="shared" si="2052"/>
        <v>0</v>
      </c>
      <c r="DC1568" t="str">
        <f t="shared" si="2053"/>
        <v>0</v>
      </c>
      <c r="DD1568">
        <v>0</v>
      </c>
      <c r="DE1568">
        <v>1</v>
      </c>
      <c r="DF1568">
        <v>0</v>
      </c>
      <c r="DG1568">
        <v>0</v>
      </c>
      <c r="DI1568">
        <f t="shared" si="2054"/>
        <v>1</v>
      </c>
      <c r="DJ1568" t="str">
        <f t="shared" si="2055"/>
        <v>EnergyInput</v>
      </c>
      <c r="DK1568">
        <f t="shared" si="2056"/>
        <v>0</v>
      </c>
      <c r="DL1568" t="str">
        <f t="shared" si="2057"/>
        <v>Energy</v>
      </c>
      <c r="DM1568">
        <f t="shared" si="2058"/>
        <v>0</v>
      </c>
      <c r="DN1568">
        <f t="shared" si="2059"/>
        <v>0</v>
      </c>
      <c r="DO1568">
        <v>0</v>
      </c>
      <c r="DP1568">
        <v>0</v>
      </c>
      <c r="DQ1568">
        <v>0</v>
      </c>
      <c r="DR1568">
        <v>0</v>
      </c>
      <c r="DS1568">
        <v>0</v>
      </c>
      <c r="DT1568">
        <f t="shared" si="2060"/>
        <v>0</v>
      </c>
      <c r="DU1568" s="143" t="str">
        <f t="shared" si="2061"/>
        <v>explicit C balance</v>
      </c>
      <c r="DV1568">
        <v>0</v>
      </c>
      <c r="DW1568">
        <v>0</v>
      </c>
      <c r="DX1568">
        <v>0</v>
      </c>
      <c r="DY1568">
        <v>0</v>
      </c>
      <c r="DZ1568">
        <v>0</v>
      </c>
      <c r="EA1568" s="143">
        <v>0</v>
      </c>
      <c r="EB1568">
        <v>1</v>
      </c>
      <c r="EC1568">
        <v>0</v>
      </c>
      <c r="ED1568">
        <v>0</v>
      </c>
      <c r="EE1568">
        <v>0</v>
      </c>
      <c r="EF1568">
        <v>0</v>
      </c>
      <c r="EG1568">
        <v>0</v>
      </c>
      <c r="EH1568">
        <v>0</v>
      </c>
      <c r="EI1568" s="2">
        <v>0</v>
      </c>
      <c r="EK1568" t="str">
        <f t="shared" si="2067"/>
        <v/>
      </c>
      <c r="EL1568" t="str">
        <f t="shared" si="2068"/>
        <v/>
      </c>
      <c r="EM1568" s="2" t="str">
        <f t="shared" si="1993"/>
        <v/>
      </c>
      <c r="EP1568" t="b">
        <f>IF(ISNUMBER(BU1568),IF(ABS(BU1568-[1]QC_indicators!$B$2)&gt;3*[1]QC_indicators!$C$2,"C ratio",IF(ISNUMBER(BY1568),IF(ABS(BY1568-[1]QC_indicators!$B$1)&gt;3*[1]QC_indicators!$C$1,"DF","no"))),IF(ISNUMBER(BY1568),IF(ABS(BY1568-[1]QC_indicators!$B$1)&gt;3*[1]QC_indicators!$C$1,"DF","no")))</f>
        <v>0</v>
      </c>
    </row>
    <row r="1569" spans="1:150" hidden="1">
      <c r="A1569" s="1" t="s">
        <v>4245</v>
      </c>
      <c r="B1569" t="s">
        <v>4246</v>
      </c>
      <c r="C1569" t="s">
        <v>4247</v>
      </c>
      <c r="D1569" t="s">
        <v>4248</v>
      </c>
      <c r="E1569" t="s">
        <v>4249</v>
      </c>
      <c r="F1569" t="s">
        <v>4250</v>
      </c>
      <c r="G1569" t="s">
        <v>4251</v>
      </c>
      <c r="H1569" t="s">
        <v>254</v>
      </c>
      <c r="I1569">
        <v>2018</v>
      </c>
      <c r="J1569">
        <v>6</v>
      </c>
      <c r="K1569" t="s">
        <v>4252</v>
      </c>
      <c r="M1569" t="str">
        <f t="shared" si="2031"/>
        <v>Tuomasjukka_2018</v>
      </c>
      <c r="N1569" s="311" t="s">
        <v>4382</v>
      </c>
      <c r="O1569" s="145" t="s">
        <v>1153</v>
      </c>
      <c r="Q1569" s="311" t="s">
        <v>256</v>
      </c>
      <c r="R1569" s="312"/>
      <c r="S1569" s="1" t="s">
        <v>4256</v>
      </c>
      <c r="T1569" t="s">
        <v>2443</v>
      </c>
      <c r="U1569" t="s">
        <v>4257</v>
      </c>
      <c r="V1569">
        <v>0</v>
      </c>
      <c r="W1569">
        <v>0</v>
      </c>
      <c r="X1569">
        <v>0</v>
      </c>
      <c r="Y1569">
        <v>0</v>
      </c>
      <c r="Z1569">
        <v>0</v>
      </c>
      <c r="AA1569">
        <v>0</v>
      </c>
      <c r="AB1569">
        <v>0</v>
      </c>
      <c r="AC1569">
        <v>0</v>
      </c>
      <c r="AD1569">
        <v>0</v>
      </c>
      <c r="AE1569">
        <v>0</v>
      </c>
      <c r="AF1569">
        <v>0</v>
      </c>
      <c r="AG1569">
        <v>0</v>
      </c>
      <c r="AH1569">
        <v>0</v>
      </c>
      <c r="AI1569">
        <v>0</v>
      </c>
      <c r="AJ1569">
        <v>1</v>
      </c>
      <c r="AK1569">
        <v>0</v>
      </c>
      <c r="AL1569">
        <v>0</v>
      </c>
      <c r="AM1569">
        <v>0</v>
      </c>
      <c r="AN1569">
        <v>0</v>
      </c>
      <c r="AO1569">
        <v>0</v>
      </c>
      <c r="AP1569">
        <v>0</v>
      </c>
      <c r="AQ1569">
        <v>0</v>
      </c>
      <c r="AR1569">
        <v>0</v>
      </c>
      <c r="AS1569">
        <v>0</v>
      </c>
      <c r="AT1569">
        <v>0</v>
      </c>
      <c r="AU1569">
        <v>0</v>
      </c>
      <c r="AV1569">
        <v>0</v>
      </c>
      <c r="AW1569">
        <v>0</v>
      </c>
      <c r="AX1569" s="141">
        <f t="shared" si="2064"/>
        <v>1</v>
      </c>
      <c r="AY1569" s="141">
        <f t="shared" si="2032"/>
        <v>1</v>
      </c>
      <c r="AZ1569">
        <f t="shared" si="2033"/>
        <v>0</v>
      </c>
      <c r="BA1569">
        <f t="shared" si="2034"/>
        <v>0</v>
      </c>
      <c r="BB1569">
        <f t="shared" si="2035"/>
        <v>1</v>
      </c>
      <c r="BC1569">
        <f t="shared" si="2036"/>
        <v>0</v>
      </c>
      <c r="BD1569">
        <f t="shared" si="2037"/>
        <v>0</v>
      </c>
      <c r="BE1569" t="str" cm="1">
        <f t="array" ref="BE1569">IF(AY1569=1,INDEX($V$7:$AL$7,MATCH(TRUE,INDEX($V1569:$AW1569&lt;&gt;0,),0)),IF(AY1569=0,INDEX($AM$7:$AW$7,MATCH(1,$AM1569:$AW1569,0)),IF(BF1569="Multiple strategies","mixed drivers",IF(BF1569="Supply chain","multiple supply","multiple silviculture"))))</f>
        <v>efficiency improvement</v>
      </c>
      <c r="BF1569" s="2" t="str" cm="1">
        <f t="array" ref="BF1569">IF(COUNTIF(AZ1569:BB1569,"&lt;&gt;0")=1,INDEX($V$4:$AW$4,MATCH(TRUE,INDEX($V1569:$AW1569&lt;&gt;0,),0)),IF(COUNTIF(AZ1569:BB1569,"&lt;&gt;0")=0,INDEX($AM$4:$AW$4,MATCH(1,$AM1569:$AW1569,0)),"Multiple strategies"))</f>
        <v>Technology</v>
      </c>
      <c r="BM1569" s="143"/>
      <c r="BN1569" s="143"/>
      <c r="BP1569" t="s">
        <v>232</v>
      </c>
      <c r="BR1569" t="s">
        <v>4255</v>
      </c>
      <c r="BS1569">
        <v>-2.15</v>
      </c>
      <c r="BT1569">
        <v>-2.1</v>
      </c>
      <c r="BU1569" s="144">
        <f t="shared" si="2065"/>
        <v>0.9767441860465117</v>
      </c>
      <c r="BV1569" s="144">
        <f t="shared" si="2040"/>
        <v>4.9999999999999822E-2</v>
      </c>
      <c r="BW1569" s="144"/>
      <c r="BX1569" s="144"/>
      <c r="BY1569" t="str">
        <f t="shared" si="1992"/>
        <v/>
      </c>
      <c r="BZ1569">
        <v>0</v>
      </c>
      <c r="CA1569">
        <v>0</v>
      </c>
      <c r="CB1569">
        <v>0</v>
      </c>
      <c r="CC1569">
        <v>0</v>
      </c>
      <c r="CD1569">
        <v>0</v>
      </c>
      <c r="CE1569">
        <v>0</v>
      </c>
      <c r="CF1569">
        <v>0</v>
      </c>
      <c r="CG1569">
        <v>0</v>
      </c>
      <c r="CH1569">
        <v>0</v>
      </c>
      <c r="CI1569">
        <v>0</v>
      </c>
      <c r="CJ1569">
        <v>0</v>
      </c>
      <c r="CK1569">
        <v>0</v>
      </c>
      <c r="CL1569">
        <v>0</v>
      </c>
      <c r="CM1569">
        <v>0</v>
      </c>
      <c r="CN1569" t="str">
        <f t="shared" si="2066"/>
        <v>refOK</v>
      </c>
      <c r="CO1569"/>
      <c r="CP1569"/>
      <c r="CQ1569"/>
      <c r="CR1569">
        <f t="shared" si="2046"/>
        <v>-2.15</v>
      </c>
      <c r="CS1569">
        <f t="shared" si="2047"/>
        <v>-2.1</v>
      </c>
      <c r="CT1569">
        <f t="shared" si="2048"/>
        <v>0</v>
      </c>
      <c r="CU1569" t="str">
        <f t="shared" si="2049"/>
        <v/>
      </c>
      <c r="CV1569" s="2">
        <f t="shared" si="2050"/>
        <v>2.3255813953488292E-2</v>
      </c>
      <c r="CW1569" s="1" t="s">
        <v>1230</v>
      </c>
      <c r="CX1569" s="311" t="str">
        <f t="shared" si="2051"/>
        <v>reg</v>
      </c>
      <c r="CY1569" s="311" t="s">
        <v>743</v>
      </c>
      <c r="DB1569">
        <f t="shared" si="2052"/>
        <v>0</v>
      </c>
      <c r="DC1569" t="str">
        <f t="shared" si="2053"/>
        <v>0</v>
      </c>
      <c r="DD1569">
        <v>0</v>
      </c>
      <c r="DE1569">
        <v>1</v>
      </c>
      <c r="DF1569">
        <v>0</v>
      </c>
      <c r="DG1569">
        <v>0</v>
      </c>
      <c r="DI1569">
        <f t="shared" si="2054"/>
        <v>1</v>
      </c>
      <c r="DJ1569" t="str">
        <f t="shared" si="2055"/>
        <v>EnergyInput</v>
      </c>
      <c r="DK1569">
        <f t="shared" si="2056"/>
        <v>0</v>
      </c>
      <c r="DL1569" t="str">
        <f t="shared" si="2057"/>
        <v>Energy</v>
      </c>
      <c r="DM1569">
        <f t="shared" si="2058"/>
        <v>0</v>
      </c>
      <c r="DN1569">
        <f t="shared" si="2059"/>
        <v>0</v>
      </c>
      <c r="DO1569">
        <v>0</v>
      </c>
      <c r="DP1569">
        <v>0</v>
      </c>
      <c r="DQ1569">
        <v>0</v>
      </c>
      <c r="DR1569">
        <v>0</v>
      </c>
      <c r="DS1569">
        <v>0</v>
      </c>
      <c r="DT1569">
        <f t="shared" si="2060"/>
        <v>0</v>
      </c>
      <c r="DU1569" s="143" t="str">
        <f t="shared" si="2061"/>
        <v>explicit C balance</v>
      </c>
      <c r="DV1569">
        <v>0</v>
      </c>
      <c r="DW1569">
        <v>0</v>
      </c>
      <c r="DX1569">
        <v>0</v>
      </c>
      <c r="DY1569">
        <v>0</v>
      </c>
      <c r="DZ1569">
        <v>0</v>
      </c>
      <c r="EA1569" s="143">
        <v>0</v>
      </c>
      <c r="EB1569">
        <v>1</v>
      </c>
      <c r="EC1569">
        <v>0</v>
      </c>
      <c r="ED1569">
        <v>0</v>
      </c>
      <c r="EE1569">
        <v>0</v>
      </c>
      <c r="EF1569">
        <v>0</v>
      </c>
      <c r="EG1569">
        <v>0</v>
      </c>
      <c r="EH1569">
        <v>0</v>
      </c>
      <c r="EI1569" s="2">
        <v>0</v>
      </c>
      <c r="EK1569" t="str">
        <f t="shared" si="2067"/>
        <v/>
      </c>
      <c r="EL1569" t="str">
        <f t="shared" si="2068"/>
        <v/>
      </c>
      <c r="EM1569" s="2" t="str">
        <f t="shared" si="1993"/>
        <v/>
      </c>
      <c r="EP1569" t="b">
        <f>IF(ISNUMBER(BU1569),IF(ABS(BU1569-[1]QC_indicators!$B$2)&gt;3*[1]QC_indicators!$C$2,"C ratio",IF(ISNUMBER(BY1569),IF(ABS(BY1569-[1]QC_indicators!$B$1)&gt;3*[1]QC_indicators!$C$1,"DF","no"))),IF(ISNUMBER(BY1569),IF(ABS(BY1569-[1]QC_indicators!$B$1)&gt;3*[1]QC_indicators!$C$1,"DF","no")))</f>
        <v>0</v>
      </c>
    </row>
    <row r="1570" spans="1:150" hidden="1">
      <c r="A1570" s="1" t="s">
        <v>4245</v>
      </c>
      <c r="B1570" t="s">
        <v>4246</v>
      </c>
      <c r="C1570" t="s">
        <v>4247</v>
      </c>
      <c r="D1570" t="s">
        <v>4248</v>
      </c>
      <c r="E1570" t="s">
        <v>4249</v>
      </c>
      <c r="F1570" t="s">
        <v>4250</v>
      </c>
      <c r="G1570" t="s">
        <v>4251</v>
      </c>
      <c r="H1570" t="s">
        <v>254</v>
      </c>
      <c r="I1570">
        <v>2018</v>
      </c>
      <c r="J1570">
        <v>6</v>
      </c>
      <c r="K1570" t="s">
        <v>4252</v>
      </c>
      <c r="M1570" t="str">
        <f t="shared" si="2031"/>
        <v>Tuomasjukka_2018</v>
      </c>
      <c r="N1570" s="311" t="s">
        <v>4382</v>
      </c>
      <c r="O1570" s="145" t="s">
        <v>1153</v>
      </c>
      <c r="Q1570" s="311" t="s">
        <v>256</v>
      </c>
      <c r="R1570" s="312"/>
      <c r="S1570" s="1" t="s">
        <v>4256</v>
      </c>
      <c r="T1570" t="s">
        <v>2443</v>
      </c>
      <c r="U1570" t="s">
        <v>4258</v>
      </c>
      <c r="V1570">
        <v>0</v>
      </c>
      <c r="W1570">
        <v>0</v>
      </c>
      <c r="X1570">
        <v>0</v>
      </c>
      <c r="Y1570">
        <v>0</v>
      </c>
      <c r="Z1570">
        <v>0</v>
      </c>
      <c r="AA1570">
        <v>0</v>
      </c>
      <c r="AB1570">
        <v>0</v>
      </c>
      <c r="AC1570">
        <v>0</v>
      </c>
      <c r="AD1570">
        <v>0</v>
      </c>
      <c r="AE1570">
        <v>0</v>
      </c>
      <c r="AF1570">
        <v>0</v>
      </c>
      <c r="AG1570">
        <v>0</v>
      </c>
      <c r="AH1570">
        <v>0</v>
      </c>
      <c r="AI1570">
        <v>0</v>
      </c>
      <c r="AJ1570">
        <v>1</v>
      </c>
      <c r="AK1570">
        <v>0</v>
      </c>
      <c r="AL1570">
        <v>0</v>
      </c>
      <c r="AM1570">
        <v>0</v>
      </c>
      <c r="AN1570">
        <v>0</v>
      </c>
      <c r="AO1570">
        <v>0</v>
      </c>
      <c r="AP1570">
        <v>0</v>
      </c>
      <c r="AQ1570">
        <v>0</v>
      </c>
      <c r="AR1570">
        <v>0</v>
      </c>
      <c r="AS1570">
        <v>0</v>
      </c>
      <c r="AT1570">
        <v>0</v>
      </c>
      <c r="AU1570">
        <v>0</v>
      </c>
      <c r="AV1570">
        <v>0</v>
      </c>
      <c r="AW1570">
        <v>0</v>
      </c>
      <c r="AX1570" s="141">
        <f t="shared" si="2064"/>
        <v>1</v>
      </c>
      <c r="AY1570" s="141">
        <f t="shared" si="2032"/>
        <v>1</v>
      </c>
      <c r="AZ1570">
        <f t="shared" si="2033"/>
        <v>0</v>
      </c>
      <c r="BA1570">
        <f t="shared" si="2034"/>
        <v>0</v>
      </c>
      <c r="BB1570">
        <f t="shared" si="2035"/>
        <v>1</v>
      </c>
      <c r="BC1570">
        <f t="shared" si="2036"/>
        <v>0</v>
      </c>
      <c r="BD1570">
        <f t="shared" si="2037"/>
        <v>0</v>
      </c>
      <c r="BE1570" t="str" cm="1">
        <f t="array" ref="BE1570">IF(AY1570=1,INDEX($V$7:$AL$7,MATCH(TRUE,INDEX($V1570:$AW1570&lt;&gt;0,),0)),IF(AY1570=0,INDEX($AM$7:$AW$7,MATCH(1,$AM1570:$AW1570,0)),IF(BF1570="Multiple strategies","mixed drivers",IF(BF1570="Supply chain","multiple supply","multiple silviculture"))))</f>
        <v>efficiency improvement</v>
      </c>
      <c r="BF1570" s="2" t="str" cm="1">
        <f t="array" ref="BF1570">IF(COUNTIF(AZ1570:BB1570,"&lt;&gt;0")=1,INDEX($V$4:$AW$4,MATCH(TRUE,INDEX($V1570:$AW1570&lt;&gt;0,),0)),IF(COUNTIF(AZ1570:BB1570,"&lt;&gt;0")=0,INDEX($AM$4:$AW$4,MATCH(1,$AM1570:$AW1570,0)),"Multiple strategies"))</f>
        <v>Technology</v>
      </c>
      <c r="BM1570" s="143"/>
      <c r="BN1570" s="143"/>
      <c r="BP1570" t="s">
        <v>232</v>
      </c>
      <c r="BR1570" t="s">
        <v>4255</v>
      </c>
      <c r="BS1570">
        <v>-2.15</v>
      </c>
      <c r="BT1570">
        <v>-2.12</v>
      </c>
      <c r="BU1570" s="144">
        <f t="shared" si="2065"/>
        <v>0.98604651162790702</v>
      </c>
      <c r="BV1570" s="144">
        <f t="shared" si="2040"/>
        <v>2.9999999999999805E-2</v>
      </c>
      <c r="BW1570" s="144"/>
      <c r="BX1570" s="144"/>
      <c r="BY1570" t="str">
        <f t="shared" si="1992"/>
        <v/>
      </c>
      <c r="BZ1570">
        <v>0</v>
      </c>
      <c r="CA1570">
        <v>0</v>
      </c>
      <c r="CB1570">
        <v>0</v>
      </c>
      <c r="CC1570">
        <v>0</v>
      </c>
      <c r="CD1570">
        <v>0</v>
      </c>
      <c r="CE1570">
        <v>0</v>
      </c>
      <c r="CF1570">
        <v>0</v>
      </c>
      <c r="CG1570">
        <v>0</v>
      </c>
      <c r="CH1570">
        <v>0</v>
      </c>
      <c r="CI1570">
        <v>0</v>
      </c>
      <c r="CJ1570">
        <v>0</v>
      </c>
      <c r="CK1570">
        <v>0</v>
      </c>
      <c r="CL1570">
        <v>0</v>
      </c>
      <c r="CM1570">
        <v>0</v>
      </c>
      <c r="CN1570" t="str">
        <f t="shared" si="2066"/>
        <v>refOK</v>
      </c>
      <c r="CO1570"/>
      <c r="CP1570"/>
      <c r="CQ1570"/>
      <c r="CR1570">
        <f t="shared" si="2046"/>
        <v>-2.15</v>
      </c>
      <c r="CS1570">
        <f t="shared" si="2047"/>
        <v>-2.12</v>
      </c>
      <c r="CT1570">
        <f t="shared" si="2048"/>
        <v>0</v>
      </c>
      <c r="CU1570" t="str">
        <f t="shared" si="2049"/>
        <v/>
      </c>
      <c r="CV1570" s="2">
        <f t="shared" si="2050"/>
        <v>1.3953488372092933E-2</v>
      </c>
      <c r="CW1570" s="1" t="s">
        <v>1230</v>
      </c>
      <c r="CX1570" s="311" t="str">
        <f t="shared" si="2051"/>
        <v>reg</v>
      </c>
      <c r="CY1570" s="311" t="s">
        <v>743</v>
      </c>
      <c r="DB1570">
        <f t="shared" si="2052"/>
        <v>0</v>
      </c>
      <c r="DC1570" t="str">
        <f t="shared" si="2053"/>
        <v>0</v>
      </c>
      <c r="DD1570">
        <v>0</v>
      </c>
      <c r="DE1570">
        <v>1</v>
      </c>
      <c r="DF1570">
        <v>0</v>
      </c>
      <c r="DG1570">
        <v>0</v>
      </c>
      <c r="DI1570">
        <f t="shared" si="2054"/>
        <v>1</v>
      </c>
      <c r="DJ1570" t="str">
        <f t="shared" si="2055"/>
        <v>EnergyInput</v>
      </c>
      <c r="DK1570">
        <f t="shared" si="2056"/>
        <v>0</v>
      </c>
      <c r="DL1570" t="str">
        <f t="shared" si="2057"/>
        <v>Energy</v>
      </c>
      <c r="DM1570">
        <f t="shared" si="2058"/>
        <v>0</v>
      </c>
      <c r="DN1570">
        <f t="shared" si="2059"/>
        <v>0</v>
      </c>
      <c r="DO1570">
        <v>0</v>
      </c>
      <c r="DP1570">
        <v>0</v>
      </c>
      <c r="DQ1570">
        <v>0</v>
      </c>
      <c r="DR1570">
        <v>0</v>
      </c>
      <c r="DS1570">
        <v>0</v>
      </c>
      <c r="DT1570">
        <f t="shared" si="2060"/>
        <v>0</v>
      </c>
      <c r="DU1570" s="143" t="str">
        <f t="shared" si="2061"/>
        <v>explicit C balance</v>
      </c>
      <c r="DV1570">
        <v>0</v>
      </c>
      <c r="DW1570">
        <v>0</v>
      </c>
      <c r="DX1570">
        <v>0</v>
      </c>
      <c r="DY1570">
        <v>0</v>
      </c>
      <c r="DZ1570">
        <v>0</v>
      </c>
      <c r="EA1570" s="143">
        <v>0</v>
      </c>
      <c r="EB1570">
        <v>1</v>
      </c>
      <c r="EC1570">
        <v>0</v>
      </c>
      <c r="ED1570">
        <v>0</v>
      </c>
      <c r="EE1570">
        <v>0</v>
      </c>
      <c r="EF1570">
        <v>0</v>
      </c>
      <c r="EG1570">
        <v>0</v>
      </c>
      <c r="EH1570">
        <v>0</v>
      </c>
      <c r="EI1570" s="2">
        <v>0</v>
      </c>
      <c r="EK1570" t="str">
        <f t="shared" si="2067"/>
        <v/>
      </c>
      <c r="EL1570" t="str">
        <f t="shared" si="2068"/>
        <v/>
      </c>
      <c r="EM1570" s="2" t="str">
        <f t="shared" si="1993"/>
        <v/>
      </c>
      <c r="EP1570" t="b">
        <f>IF(ISNUMBER(BU1570),IF(ABS(BU1570-[1]QC_indicators!$B$2)&gt;3*[1]QC_indicators!$C$2,"C ratio",IF(ISNUMBER(BY1570),IF(ABS(BY1570-[1]QC_indicators!$B$1)&gt;3*[1]QC_indicators!$C$1,"DF","no"))),IF(ISNUMBER(BY1570),IF(ABS(BY1570-[1]QC_indicators!$B$1)&gt;3*[1]QC_indicators!$C$1,"DF","no")))</f>
        <v>0</v>
      </c>
    </row>
    <row r="1571" spans="1:150" hidden="1">
      <c r="A1571" s="1" t="s">
        <v>4245</v>
      </c>
      <c r="B1571" t="s">
        <v>4246</v>
      </c>
      <c r="C1571" t="s">
        <v>4247</v>
      </c>
      <c r="D1571" t="s">
        <v>4248</v>
      </c>
      <c r="E1571" t="s">
        <v>4249</v>
      </c>
      <c r="F1571" t="s">
        <v>4250</v>
      </c>
      <c r="G1571" t="s">
        <v>4251</v>
      </c>
      <c r="H1571" t="s">
        <v>254</v>
      </c>
      <c r="I1571">
        <v>2018</v>
      </c>
      <c r="J1571">
        <v>6</v>
      </c>
      <c r="K1571" t="s">
        <v>4252</v>
      </c>
      <c r="M1571" t="str">
        <f t="shared" si="2031"/>
        <v>Tuomasjukka_2018</v>
      </c>
      <c r="N1571" s="311" t="s">
        <v>4382</v>
      </c>
      <c r="O1571" s="145" t="s">
        <v>1153</v>
      </c>
      <c r="Q1571" s="311" t="s">
        <v>256</v>
      </c>
      <c r="R1571" s="312"/>
      <c r="S1571" s="1" t="s">
        <v>4259</v>
      </c>
      <c r="T1571" t="s">
        <v>2443</v>
      </c>
      <c r="U1571" t="s">
        <v>4260</v>
      </c>
      <c r="V1571">
        <v>0</v>
      </c>
      <c r="W1571">
        <v>0</v>
      </c>
      <c r="X1571">
        <v>0</v>
      </c>
      <c r="Y1571">
        <v>0</v>
      </c>
      <c r="Z1571">
        <v>0</v>
      </c>
      <c r="AA1571">
        <v>0</v>
      </c>
      <c r="AB1571">
        <v>0</v>
      </c>
      <c r="AC1571">
        <v>0</v>
      </c>
      <c r="AD1571">
        <v>0</v>
      </c>
      <c r="AE1571">
        <v>0</v>
      </c>
      <c r="AF1571">
        <v>0</v>
      </c>
      <c r="AG1571">
        <v>0</v>
      </c>
      <c r="AH1571">
        <v>0</v>
      </c>
      <c r="AI1571">
        <v>0</v>
      </c>
      <c r="AJ1571">
        <v>1</v>
      </c>
      <c r="AK1571">
        <v>0</v>
      </c>
      <c r="AL1571">
        <v>0</v>
      </c>
      <c r="AM1571">
        <v>0</v>
      </c>
      <c r="AN1571">
        <v>0</v>
      </c>
      <c r="AO1571">
        <v>0</v>
      </c>
      <c r="AP1571">
        <v>0</v>
      </c>
      <c r="AQ1571">
        <v>0</v>
      </c>
      <c r="AR1571">
        <v>0</v>
      </c>
      <c r="AS1571">
        <v>0</v>
      </c>
      <c r="AT1571">
        <v>0</v>
      </c>
      <c r="AU1571">
        <v>0</v>
      </c>
      <c r="AV1571">
        <v>0</v>
      </c>
      <c r="AW1571">
        <v>0</v>
      </c>
      <c r="AX1571" s="141">
        <f t="shared" si="2064"/>
        <v>1</v>
      </c>
      <c r="AY1571" s="141">
        <f t="shared" si="2032"/>
        <v>1</v>
      </c>
      <c r="AZ1571">
        <f t="shared" si="2033"/>
        <v>0</v>
      </c>
      <c r="BA1571">
        <f t="shared" si="2034"/>
        <v>0</v>
      </c>
      <c r="BB1571">
        <f t="shared" si="2035"/>
        <v>1</v>
      </c>
      <c r="BC1571">
        <f t="shared" si="2036"/>
        <v>0</v>
      </c>
      <c r="BD1571">
        <f t="shared" si="2037"/>
        <v>0</v>
      </c>
      <c r="BE1571" t="str" cm="1">
        <f t="array" ref="BE1571">IF(AY1571=1,INDEX($V$7:$AL$7,MATCH(TRUE,INDEX($V1571:$AW1571&lt;&gt;0,),0)),IF(AY1571=0,INDEX($AM$7:$AW$7,MATCH(1,$AM1571:$AW1571,0)),IF(BF1571="Multiple strategies","mixed drivers",IF(BF1571="Supply chain","multiple supply","multiple silviculture"))))</f>
        <v>efficiency improvement</v>
      </c>
      <c r="BF1571" s="2" t="str" cm="1">
        <f t="array" ref="BF1571">IF(COUNTIF(AZ1571:BB1571,"&lt;&gt;0")=1,INDEX($V$4:$AW$4,MATCH(TRUE,INDEX($V1571:$AW1571&lt;&gt;0,),0)),IF(COUNTIF(AZ1571:BB1571,"&lt;&gt;0")=0,INDEX($AM$4:$AW$4,MATCH(1,$AM1571:$AW1571,0)),"Multiple strategies"))</f>
        <v>Technology</v>
      </c>
      <c r="BM1571" s="143"/>
      <c r="BN1571" s="143"/>
      <c r="BP1571" t="s">
        <v>232</v>
      </c>
      <c r="BR1571" t="s">
        <v>4255</v>
      </c>
      <c r="BS1571">
        <v>-2.15</v>
      </c>
      <c r="BT1571">
        <v>-2.0099999999999998</v>
      </c>
      <c r="BU1571" s="144">
        <f t="shared" si="2065"/>
        <v>0.93488372093023253</v>
      </c>
      <c r="BV1571" s="144">
        <f t="shared" si="2040"/>
        <v>0.14000000000000012</v>
      </c>
      <c r="BW1571" s="144"/>
      <c r="BX1571" s="144"/>
      <c r="BY1571" t="str">
        <f t="shared" si="1992"/>
        <v/>
      </c>
      <c r="BZ1571">
        <v>0</v>
      </c>
      <c r="CA1571">
        <v>0</v>
      </c>
      <c r="CB1571">
        <v>0</v>
      </c>
      <c r="CC1571">
        <v>0</v>
      </c>
      <c r="CD1571">
        <v>0</v>
      </c>
      <c r="CE1571">
        <v>0</v>
      </c>
      <c r="CF1571">
        <v>0</v>
      </c>
      <c r="CG1571">
        <v>0</v>
      </c>
      <c r="CH1571">
        <v>0</v>
      </c>
      <c r="CI1571">
        <v>0</v>
      </c>
      <c r="CJ1571">
        <v>0</v>
      </c>
      <c r="CK1571">
        <v>0</v>
      </c>
      <c r="CL1571">
        <v>0</v>
      </c>
      <c r="CM1571">
        <v>0</v>
      </c>
      <c r="CN1571" t="str">
        <f t="shared" si="2066"/>
        <v>refOK</v>
      </c>
      <c r="CO1571"/>
      <c r="CP1571"/>
      <c r="CQ1571"/>
      <c r="CR1571">
        <f t="shared" si="2046"/>
        <v>-2.15</v>
      </c>
      <c r="CS1571">
        <f t="shared" si="2047"/>
        <v>-2.0099999999999998</v>
      </c>
      <c r="CT1571">
        <f t="shared" si="2048"/>
        <v>0</v>
      </c>
      <c r="CU1571" t="str">
        <f t="shared" si="2049"/>
        <v/>
      </c>
      <c r="CV1571" s="2">
        <f t="shared" si="2050"/>
        <v>6.5116279069767496E-2</v>
      </c>
      <c r="CW1571" s="1" t="s">
        <v>1230</v>
      </c>
      <c r="CX1571" s="311" t="str">
        <f t="shared" si="2051"/>
        <v>reg</v>
      </c>
      <c r="CY1571" s="311" t="s">
        <v>743</v>
      </c>
      <c r="DB1571">
        <f t="shared" si="2052"/>
        <v>0</v>
      </c>
      <c r="DC1571" t="str">
        <f t="shared" si="2053"/>
        <v>0</v>
      </c>
      <c r="DD1571">
        <v>0</v>
      </c>
      <c r="DE1571">
        <v>1</v>
      </c>
      <c r="DF1571">
        <v>0</v>
      </c>
      <c r="DG1571">
        <v>0</v>
      </c>
      <c r="DI1571">
        <f t="shared" si="2054"/>
        <v>1</v>
      </c>
      <c r="DJ1571" t="str">
        <f t="shared" si="2055"/>
        <v>EnergyInput</v>
      </c>
      <c r="DK1571">
        <f t="shared" si="2056"/>
        <v>0</v>
      </c>
      <c r="DL1571" t="str">
        <f t="shared" si="2057"/>
        <v>Energy</v>
      </c>
      <c r="DM1571">
        <f t="shared" si="2058"/>
        <v>0</v>
      </c>
      <c r="DN1571">
        <f t="shared" si="2059"/>
        <v>0</v>
      </c>
      <c r="DO1571">
        <v>0</v>
      </c>
      <c r="DP1571">
        <v>0</v>
      </c>
      <c r="DQ1571">
        <v>0</v>
      </c>
      <c r="DR1571">
        <v>0</v>
      </c>
      <c r="DS1571">
        <v>0</v>
      </c>
      <c r="DT1571">
        <f t="shared" si="2060"/>
        <v>0</v>
      </c>
      <c r="DU1571" s="143" t="str">
        <f t="shared" si="2061"/>
        <v>explicit C balance</v>
      </c>
      <c r="DV1571">
        <v>0</v>
      </c>
      <c r="DW1571">
        <v>0</v>
      </c>
      <c r="DX1571">
        <v>0</v>
      </c>
      <c r="DY1571">
        <v>0</v>
      </c>
      <c r="DZ1571">
        <v>0</v>
      </c>
      <c r="EA1571" s="143">
        <v>0</v>
      </c>
      <c r="EB1571">
        <v>1</v>
      </c>
      <c r="EC1571">
        <v>0</v>
      </c>
      <c r="ED1571">
        <v>0</v>
      </c>
      <c r="EE1571">
        <v>0</v>
      </c>
      <c r="EF1571">
        <v>0</v>
      </c>
      <c r="EG1571">
        <v>0</v>
      </c>
      <c r="EH1571">
        <v>0</v>
      </c>
      <c r="EI1571" s="2">
        <v>0</v>
      </c>
      <c r="EK1571" t="str">
        <f t="shared" si="2067"/>
        <v/>
      </c>
      <c r="EL1571" t="str">
        <f t="shared" si="2068"/>
        <v/>
      </c>
      <c r="EM1571" s="2" t="str">
        <f t="shared" si="1993"/>
        <v/>
      </c>
      <c r="EP1571" t="b">
        <f>IF(ISNUMBER(BU1571),IF(ABS(BU1571-[1]QC_indicators!$B$2)&gt;3*[1]QC_indicators!$C$2,"C ratio",IF(ISNUMBER(BY1571),IF(ABS(BY1571-[1]QC_indicators!$B$1)&gt;3*[1]QC_indicators!$C$1,"DF","no"))),IF(ISNUMBER(BY1571),IF(ABS(BY1571-[1]QC_indicators!$B$1)&gt;3*[1]QC_indicators!$C$1,"DF","no")))</f>
        <v>0</v>
      </c>
    </row>
    <row r="1572" spans="1:150" hidden="1">
      <c r="A1572" s="1" t="s">
        <v>3634</v>
      </c>
      <c r="B1572" t="s">
        <v>544</v>
      </c>
      <c r="C1572" t="s">
        <v>4261</v>
      </c>
      <c r="D1572" t="s">
        <v>4262</v>
      </c>
      <c r="E1572" t="s">
        <v>4263</v>
      </c>
      <c r="F1572" t="s">
        <v>4264</v>
      </c>
      <c r="G1572" t="s">
        <v>3639</v>
      </c>
      <c r="H1572" t="s">
        <v>254</v>
      </c>
      <c r="I1572">
        <v>2021</v>
      </c>
      <c r="J1572">
        <v>0</v>
      </c>
      <c r="K1572" t="s">
        <v>4265</v>
      </c>
      <c r="M1572" t="str">
        <f t="shared" si="2031"/>
        <v>Ullah_2021</v>
      </c>
      <c r="N1572" s="311" t="s">
        <v>4382</v>
      </c>
      <c r="O1572" s="145" t="s">
        <v>1153</v>
      </c>
      <c r="Q1572" s="311" t="s">
        <v>256</v>
      </c>
      <c r="R1572" s="312"/>
      <c r="S1572" s="1" t="s">
        <v>4266</v>
      </c>
      <c r="T1572" t="s">
        <v>1154</v>
      </c>
      <c r="U1572" t="s">
        <v>4267</v>
      </c>
      <c r="V1572">
        <v>0</v>
      </c>
      <c r="W1572">
        <v>0</v>
      </c>
      <c r="X1572">
        <v>0</v>
      </c>
      <c r="Y1572">
        <v>0</v>
      </c>
      <c r="Z1572">
        <v>0</v>
      </c>
      <c r="AA1572">
        <v>0</v>
      </c>
      <c r="AB1572">
        <v>0</v>
      </c>
      <c r="AC1572">
        <v>0</v>
      </c>
      <c r="AD1572">
        <v>0</v>
      </c>
      <c r="AE1572">
        <v>0</v>
      </c>
      <c r="AF1572">
        <v>1</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s="141">
        <f t="shared" si="2064"/>
        <v>1</v>
      </c>
      <c r="AY1572" s="141">
        <f t="shared" si="2032"/>
        <v>1</v>
      </c>
      <c r="AZ1572">
        <f t="shared" si="2033"/>
        <v>0</v>
      </c>
      <c r="BA1572">
        <f t="shared" si="2034"/>
        <v>1</v>
      </c>
      <c r="BB1572">
        <f t="shared" si="2035"/>
        <v>0</v>
      </c>
      <c r="BC1572">
        <f t="shared" si="2036"/>
        <v>0</v>
      </c>
      <c r="BD1572">
        <f t="shared" si="2037"/>
        <v>0</v>
      </c>
      <c r="BE1572" t="str" cm="1">
        <f t="array" ref="BE1572">IF(AY1572=1,INDEX($V$7:$AL$7,MATCH(TRUE,INDEX($V1572:$AW1572&lt;&gt;0,),0)),IF(AY1572=0,INDEX($AM$7:$AW$7,MATCH(1,$AM1572:$AW1572,0)),IF(BF1572="Multiple strategies","mixed drivers",IF(BF1572="Supply chain","multiple supply","multiple silviculture"))))</f>
        <v>supply chain organization</v>
      </c>
      <c r="BF1572" s="2" t="str" cm="1">
        <f t="array" ref="BF1572">IF(COUNTIF(AZ1572:BB1572,"&lt;&gt;0")=1,INDEX($V$4:$AW$4,MATCH(TRUE,INDEX($V1572:$AW1572&lt;&gt;0,),0)),IF(COUNTIF(AZ1572:BB1572,"&lt;&gt;0")=0,INDEX($AM$4:$AW$4,MATCH(1,$AM1572:$AW1572,0)),"Multiple strategies"))</f>
        <v>Supply chain</v>
      </c>
      <c r="BM1572" s="143"/>
      <c r="BN1572" s="143"/>
      <c r="BP1572" t="s">
        <v>232</v>
      </c>
      <c r="BR1572" t="s">
        <v>4268</v>
      </c>
      <c r="BS1572">
        <v>-43.69</v>
      </c>
      <c r="BT1572">
        <v>-36.78</v>
      </c>
      <c r="BU1572" s="144">
        <f t="shared" si="2065"/>
        <v>0.84184023804074171</v>
      </c>
      <c r="BV1572" s="144">
        <f t="shared" si="2040"/>
        <v>6.9099999999999966</v>
      </c>
      <c r="BW1572" s="144"/>
      <c r="BX1572" s="144">
        <f>BV1572/1000</f>
        <v>6.9099999999999969E-3</v>
      </c>
      <c r="BY1572" t="str">
        <f t="shared" si="1992"/>
        <v/>
      </c>
      <c r="BZ1572">
        <v>1</v>
      </c>
      <c r="CA1572">
        <v>0</v>
      </c>
      <c r="CB1572">
        <v>0</v>
      </c>
      <c r="CC1572">
        <v>0</v>
      </c>
      <c r="CD1572">
        <v>0</v>
      </c>
      <c r="CE1572">
        <v>0</v>
      </c>
      <c r="CF1572">
        <v>0</v>
      </c>
      <c r="CG1572">
        <v>0</v>
      </c>
      <c r="CH1572">
        <v>0</v>
      </c>
      <c r="CI1572">
        <v>0</v>
      </c>
      <c r="CJ1572">
        <v>0</v>
      </c>
      <c r="CK1572">
        <v>0</v>
      </c>
      <c r="CL1572">
        <v>0</v>
      </c>
      <c r="CM1572">
        <v>0</v>
      </c>
      <c r="CN1572" t="str">
        <f t="shared" si="2066"/>
        <v>refOK</v>
      </c>
      <c r="CO1572"/>
      <c r="CP1572"/>
      <c r="CQ1572"/>
      <c r="CR1572">
        <f t="shared" si="2046"/>
        <v>-43.69</v>
      </c>
      <c r="CS1572">
        <f t="shared" si="2047"/>
        <v>-36.78</v>
      </c>
      <c r="CT1572">
        <f t="shared" si="2048"/>
        <v>6.9099999999999969E-3</v>
      </c>
      <c r="CU1572" t="str">
        <f t="shared" si="2049"/>
        <v/>
      </c>
      <c r="CV1572" s="2">
        <f t="shared" si="2050"/>
        <v>0.15815976195925835</v>
      </c>
      <c r="CW1572" s="1" t="s">
        <v>263</v>
      </c>
      <c r="CX1572" s="311" t="str">
        <f t="shared" si="2051"/>
        <v>loc</v>
      </c>
      <c r="CY1572" t="s">
        <v>4269</v>
      </c>
      <c r="DB1572">
        <f t="shared" si="2052"/>
        <v>0</v>
      </c>
      <c r="DC1572" t="str">
        <f t="shared" si="2053"/>
        <v>0</v>
      </c>
      <c r="DD1572">
        <v>0</v>
      </c>
      <c r="DE1572">
        <v>0</v>
      </c>
      <c r="DF1572">
        <v>0</v>
      </c>
      <c r="DG1572">
        <v>1</v>
      </c>
      <c r="DI1572">
        <f t="shared" si="2054"/>
        <v>1</v>
      </c>
      <c r="DJ1572" t="str">
        <f t="shared" si="2055"/>
        <v>TimberInput</v>
      </c>
      <c r="DK1572">
        <f t="shared" si="2056"/>
        <v>0</v>
      </c>
      <c r="DL1572">
        <f t="shared" si="2057"/>
        <v>0</v>
      </c>
      <c r="DM1572">
        <f t="shared" si="2058"/>
        <v>0</v>
      </c>
      <c r="DN1572" t="str">
        <f t="shared" si="2059"/>
        <v>Timber</v>
      </c>
      <c r="DO1572">
        <v>0</v>
      </c>
      <c r="DP1572">
        <v>0</v>
      </c>
      <c r="DQ1572">
        <v>0</v>
      </c>
      <c r="DR1572">
        <v>0</v>
      </c>
      <c r="DS1572">
        <v>0</v>
      </c>
      <c r="DT1572">
        <f t="shared" si="2060"/>
        <v>0</v>
      </c>
      <c r="DU1572" s="143" t="str">
        <f t="shared" si="2061"/>
        <v>explicit C balance</v>
      </c>
      <c r="DV1572">
        <v>0</v>
      </c>
      <c r="DW1572">
        <v>0</v>
      </c>
      <c r="DX1572">
        <v>0</v>
      </c>
      <c r="DY1572">
        <v>1</v>
      </c>
      <c r="DZ1572">
        <v>0</v>
      </c>
      <c r="EA1572" s="143">
        <v>0</v>
      </c>
      <c r="EB1572">
        <v>1</v>
      </c>
      <c r="EC1572">
        <v>1</v>
      </c>
      <c r="ED1572">
        <v>0</v>
      </c>
      <c r="EE1572">
        <v>0</v>
      </c>
      <c r="EF1572">
        <v>0</v>
      </c>
      <c r="EG1572">
        <v>0</v>
      </c>
      <c r="EH1572">
        <v>0</v>
      </c>
      <c r="EI1572" s="2">
        <v>0</v>
      </c>
      <c r="EK1572" t="str">
        <f t="shared" si="2067"/>
        <v/>
      </c>
      <c r="EL1572" t="str">
        <f t="shared" si="2068"/>
        <v/>
      </c>
      <c r="EM1572" s="2" t="str">
        <f t="shared" si="1993"/>
        <v>Technology approach</v>
      </c>
      <c r="EP1572" t="b">
        <f>IF(ISNUMBER(BU1572),IF(ABS(BU1572-[1]QC_indicators!$B$2)&gt;3*[1]QC_indicators!$C$2,"C ratio",IF(ISNUMBER(BY1572),IF(ABS(BY1572-[1]QC_indicators!$B$1)&gt;3*[1]QC_indicators!$C$1,"DF","no"))),IF(ISNUMBER(BY1572),IF(ABS(BY1572-[1]QC_indicators!$B$1)&gt;3*[1]QC_indicators!$C$1,"DF","no")))</f>
        <v>0</v>
      </c>
    </row>
    <row r="1573" spans="1:150" hidden="1">
      <c r="A1573" s="1" t="s">
        <v>3634</v>
      </c>
      <c r="B1573" t="s">
        <v>544</v>
      </c>
      <c r="C1573" t="s">
        <v>4261</v>
      </c>
      <c r="D1573" t="s">
        <v>4262</v>
      </c>
      <c r="E1573" t="s">
        <v>4263</v>
      </c>
      <c r="F1573" t="s">
        <v>4264</v>
      </c>
      <c r="G1573" t="s">
        <v>3639</v>
      </c>
      <c r="H1573" t="s">
        <v>254</v>
      </c>
      <c r="I1573">
        <v>2021</v>
      </c>
      <c r="J1573">
        <v>0</v>
      </c>
      <c r="K1573" t="s">
        <v>4265</v>
      </c>
      <c r="M1573" t="str">
        <f t="shared" si="2031"/>
        <v>Ullah_2021</v>
      </c>
      <c r="N1573" s="311" t="s">
        <v>4382</v>
      </c>
      <c r="O1573" s="145" t="s">
        <v>1153</v>
      </c>
      <c r="Q1573" s="311" t="s">
        <v>256</v>
      </c>
      <c r="R1573" s="312"/>
      <c r="S1573" s="1" t="s">
        <v>4266</v>
      </c>
      <c r="T1573" t="s">
        <v>1154</v>
      </c>
      <c r="U1573" t="s">
        <v>4270</v>
      </c>
      <c r="V1573">
        <v>0</v>
      </c>
      <c r="W1573">
        <v>0</v>
      </c>
      <c r="X1573">
        <v>0</v>
      </c>
      <c r="Y1573">
        <v>0</v>
      </c>
      <c r="Z1573">
        <v>0</v>
      </c>
      <c r="AA1573">
        <v>0</v>
      </c>
      <c r="AB1573">
        <v>0</v>
      </c>
      <c r="AC1573">
        <v>0</v>
      </c>
      <c r="AD1573">
        <v>0</v>
      </c>
      <c r="AE1573">
        <v>0</v>
      </c>
      <c r="AF1573">
        <v>1</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s="141">
        <f t="shared" si="2064"/>
        <v>1</v>
      </c>
      <c r="AY1573" s="141">
        <f t="shared" si="2032"/>
        <v>1</v>
      </c>
      <c r="AZ1573">
        <f t="shared" si="2033"/>
        <v>0</v>
      </c>
      <c r="BA1573">
        <f t="shared" si="2034"/>
        <v>1</v>
      </c>
      <c r="BB1573">
        <f t="shared" si="2035"/>
        <v>0</v>
      </c>
      <c r="BC1573">
        <f t="shared" si="2036"/>
        <v>0</v>
      </c>
      <c r="BD1573">
        <f t="shared" si="2037"/>
        <v>0</v>
      </c>
      <c r="BE1573" t="str" cm="1">
        <f t="array" ref="BE1573">IF(AY1573=1,INDEX($V$7:$AL$7,MATCH(TRUE,INDEX($V1573:$AW1573&lt;&gt;0,),0)),IF(AY1573=0,INDEX($AM$7:$AW$7,MATCH(1,$AM1573:$AW1573,0)),IF(BF1573="Multiple strategies","mixed drivers",IF(BF1573="Supply chain","multiple supply","multiple silviculture"))))</f>
        <v>supply chain organization</v>
      </c>
      <c r="BF1573" s="2" t="str" cm="1">
        <f t="array" ref="BF1573">IF(COUNTIF(AZ1573:BB1573,"&lt;&gt;0")=1,INDEX($V$4:$AW$4,MATCH(TRUE,INDEX($V1573:$AW1573&lt;&gt;0,),0)),IF(COUNTIF(AZ1573:BB1573,"&lt;&gt;0")=0,INDEX($AM$4:$AW$4,MATCH(1,$AM1573:$AW1573,0)),"Multiple strategies"))</f>
        <v>Supply chain</v>
      </c>
      <c r="BM1573" s="143"/>
      <c r="BN1573" s="143"/>
      <c r="BP1573" t="s">
        <v>232</v>
      </c>
      <c r="BR1573" t="s">
        <v>4268</v>
      </c>
      <c r="BS1573">
        <v>-43.69</v>
      </c>
      <c r="BT1573">
        <v>-33.36</v>
      </c>
      <c r="BU1573" s="144">
        <f t="shared" si="2065"/>
        <v>0.76356145571068901</v>
      </c>
      <c r="BV1573" s="144">
        <f t="shared" si="2040"/>
        <v>10.329999999999998</v>
      </c>
      <c r="BW1573" s="144"/>
      <c r="BX1573" s="144">
        <f>BV1573*1000</f>
        <v>10329.999999999998</v>
      </c>
      <c r="BY1573" t="str">
        <f t="shared" si="1992"/>
        <v/>
      </c>
      <c r="BZ1573">
        <v>1</v>
      </c>
      <c r="CA1573">
        <v>0</v>
      </c>
      <c r="CB1573">
        <v>0</v>
      </c>
      <c r="CC1573">
        <v>0</v>
      </c>
      <c r="CD1573">
        <v>0</v>
      </c>
      <c r="CE1573">
        <v>0</v>
      </c>
      <c r="CF1573">
        <v>0</v>
      </c>
      <c r="CG1573">
        <v>0</v>
      </c>
      <c r="CH1573">
        <v>0</v>
      </c>
      <c r="CI1573">
        <v>0</v>
      </c>
      <c r="CJ1573">
        <v>0</v>
      </c>
      <c r="CK1573">
        <v>0</v>
      </c>
      <c r="CL1573">
        <v>0</v>
      </c>
      <c r="CM1573">
        <v>0</v>
      </c>
      <c r="CN1573" t="str">
        <f t="shared" si="2066"/>
        <v>refOK</v>
      </c>
      <c r="CO1573"/>
      <c r="CP1573"/>
      <c r="CQ1573"/>
      <c r="CR1573">
        <f t="shared" si="2046"/>
        <v>-43.69</v>
      </c>
      <c r="CS1573">
        <f t="shared" si="2047"/>
        <v>-33.36</v>
      </c>
      <c r="CT1573">
        <f t="shared" si="2048"/>
        <v>10329.999999999998</v>
      </c>
      <c r="CU1573" t="str">
        <f t="shared" si="2049"/>
        <v/>
      </c>
      <c r="CV1573" s="2">
        <f t="shared" si="2050"/>
        <v>0.23643854428931102</v>
      </c>
      <c r="CW1573" s="1" t="s">
        <v>263</v>
      </c>
      <c r="CX1573" s="311" t="str">
        <f t="shared" si="2051"/>
        <v>loc</v>
      </c>
      <c r="CY1573" t="s">
        <v>4269</v>
      </c>
      <c r="DB1573">
        <f t="shared" si="2052"/>
        <v>0</v>
      </c>
      <c r="DC1573" t="str">
        <f t="shared" si="2053"/>
        <v>0</v>
      </c>
      <c r="DD1573">
        <v>0</v>
      </c>
      <c r="DE1573">
        <v>0</v>
      </c>
      <c r="DF1573">
        <v>0</v>
      </c>
      <c r="DG1573">
        <v>1</v>
      </c>
      <c r="DI1573">
        <f t="shared" si="2054"/>
        <v>1</v>
      </c>
      <c r="DJ1573" t="str">
        <f t="shared" si="2055"/>
        <v>TimberInput</v>
      </c>
      <c r="DK1573">
        <f t="shared" si="2056"/>
        <v>0</v>
      </c>
      <c r="DL1573">
        <f t="shared" si="2057"/>
        <v>0</v>
      </c>
      <c r="DM1573">
        <f t="shared" si="2058"/>
        <v>0</v>
      </c>
      <c r="DN1573" t="str">
        <f t="shared" si="2059"/>
        <v>Timber</v>
      </c>
      <c r="DO1573">
        <v>0</v>
      </c>
      <c r="DP1573">
        <v>0</v>
      </c>
      <c r="DQ1573">
        <v>0</v>
      </c>
      <c r="DR1573">
        <v>0</v>
      </c>
      <c r="DS1573">
        <v>0</v>
      </c>
      <c r="DT1573">
        <f t="shared" si="2060"/>
        <v>0</v>
      </c>
      <c r="DU1573" s="143" t="str">
        <f t="shared" si="2061"/>
        <v>explicit C balance</v>
      </c>
      <c r="DV1573">
        <v>0</v>
      </c>
      <c r="DW1573">
        <v>0</v>
      </c>
      <c r="DX1573">
        <v>0</v>
      </c>
      <c r="DY1573">
        <v>1</v>
      </c>
      <c r="DZ1573">
        <v>0</v>
      </c>
      <c r="EA1573" s="143">
        <v>0</v>
      </c>
      <c r="EB1573">
        <v>1</v>
      </c>
      <c r="EC1573">
        <v>1</v>
      </c>
      <c r="ED1573">
        <v>0</v>
      </c>
      <c r="EE1573">
        <v>0</v>
      </c>
      <c r="EF1573">
        <v>0</v>
      </c>
      <c r="EG1573">
        <v>0</v>
      </c>
      <c r="EH1573">
        <v>0</v>
      </c>
      <c r="EI1573" s="2">
        <v>0</v>
      </c>
      <c r="EK1573" t="str">
        <f t="shared" si="2067"/>
        <v/>
      </c>
      <c r="EL1573" t="str">
        <f t="shared" si="2068"/>
        <v/>
      </c>
      <c r="EM1573" s="2" t="str">
        <f t="shared" si="1993"/>
        <v>Technology approach</v>
      </c>
      <c r="EP1573" t="b">
        <f>IF(ISNUMBER(BU1573),IF(ABS(BU1573-[1]QC_indicators!$B$2)&gt;3*[1]QC_indicators!$C$2,"C ratio",IF(ISNUMBER(BY1573),IF(ABS(BY1573-[1]QC_indicators!$B$1)&gt;3*[1]QC_indicators!$C$1,"DF","no"))),IF(ISNUMBER(BY1573),IF(ABS(BY1573-[1]QC_indicators!$B$1)&gt;3*[1]QC_indicators!$C$1,"DF","no")))</f>
        <v>0</v>
      </c>
    </row>
    <row r="1574" spans="1:150" hidden="1">
      <c r="A1574" s="1" t="s">
        <v>5054</v>
      </c>
      <c r="B1574" t="s">
        <v>5055</v>
      </c>
      <c r="C1574" t="s">
        <v>5056</v>
      </c>
      <c r="D1574" t="s">
        <v>5057</v>
      </c>
      <c r="E1574" t="s">
        <v>5058</v>
      </c>
      <c r="F1574" t="s">
        <v>5059</v>
      </c>
      <c r="G1574" t="s">
        <v>544</v>
      </c>
      <c r="H1574" t="s">
        <v>3964</v>
      </c>
      <c r="I1574">
        <v>2018</v>
      </c>
      <c r="J1574">
        <v>21</v>
      </c>
      <c r="K1574" t="s">
        <v>5060</v>
      </c>
      <c r="M1574" t="str">
        <f t="shared" si="2031"/>
        <v>Ungureanu_2018</v>
      </c>
      <c r="N1574" s="311" t="s">
        <v>2583</v>
      </c>
      <c r="BE1574"/>
      <c r="BF1574" s="2"/>
      <c r="BY1574" t="str">
        <f t="shared" si="1992"/>
        <v/>
      </c>
      <c r="CN1574"/>
      <c r="CO1574"/>
      <c r="CP1574"/>
      <c r="CQ1574"/>
      <c r="CR1574"/>
      <c r="CS1574"/>
      <c r="CT1574"/>
      <c r="CU1574"/>
      <c r="CV1574" s="2"/>
      <c r="CX1574"/>
      <c r="DC1574"/>
      <c r="DI1574"/>
      <c r="DJ1574"/>
      <c r="DK1574"/>
      <c r="DL1574"/>
      <c r="DM1574"/>
      <c r="DN1574"/>
      <c r="DT1574"/>
      <c r="DU1574"/>
      <c r="EK1574" t="str">
        <f t="shared" si="2067"/>
        <v/>
      </c>
      <c r="EL1574" t="str">
        <f t="shared" si="2068"/>
        <v/>
      </c>
      <c r="EM1574" s="2" t="str">
        <f t="shared" si="1993"/>
        <v/>
      </c>
      <c r="EP1574" t="b">
        <f>IF(ISNUMBER(BU1574),IF(ABS(BU1574-[1]QC_indicators!$B$2)&gt;3*[1]QC_indicators!$C$2,"C ratio",IF(ISNUMBER(BY1574),IF(ABS(BY1574-[1]QC_indicators!$B$1)&gt;3*[1]QC_indicators!$C$1,"DF","no"))),IF(ISNUMBER(BY1574),IF(ABS(BY1574-[1]QC_indicators!$B$1)&gt;3*[1]QC_indicators!$C$1,"DF","no")))</f>
        <v>0</v>
      </c>
    </row>
    <row r="1575" spans="1:150" hidden="1">
      <c r="A1575" s="1" t="s">
        <v>781</v>
      </c>
      <c r="D1575" t="s">
        <v>1155</v>
      </c>
      <c r="E1575" t="s">
        <v>1156</v>
      </c>
      <c r="G1575" t="s">
        <v>782</v>
      </c>
      <c r="I1575">
        <v>2008</v>
      </c>
      <c r="K1575" t="s">
        <v>1157</v>
      </c>
      <c r="M1575" t="str">
        <f t="shared" si="2031"/>
        <v>Upton_2008</v>
      </c>
      <c r="N1575" t="s">
        <v>222</v>
      </c>
      <c r="O1575" s="145" t="s">
        <v>225</v>
      </c>
      <c r="Q1575" t="s">
        <v>256</v>
      </c>
      <c r="R1575" s="262" t="s">
        <v>223</v>
      </c>
      <c r="S1575" s="1" t="s">
        <v>1158</v>
      </c>
      <c r="T1575" t="s">
        <v>1159</v>
      </c>
      <c r="U1575" t="s">
        <v>1160</v>
      </c>
      <c r="V1575">
        <v>0</v>
      </c>
      <c r="W1575">
        <v>0</v>
      </c>
      <c r="X1575">
        <v>0</v>
      </c>
      <c r="Y1575">
        <v>0</v>
      </c>
      <c r="Z1575">
        <v>0</v>
      </c>
      <c r="AA1575">
        <v>0</v>
      </c>
      <c r="AB1575">
        <v>0</v>
      </c>
      <c r="AC1575">
        <v>0</v>
      </c>
      <c r="AD1575">
        <v>0</v>
      </c>
      <c r="AE1575">
        <v>0</v>
      </c>
      <c r="AF1575">
        <v>0</v>
      </c>
      <c r="AG1575">
        <v>0</v>
      </c>
      <c r="AH1575">
        <v>0</v>
      </c>
      <c r="AI1575">
        <v>0</v>
      </c>
      <c r="AJ1575">
        <v>0</v>
      </c>
      <c r="AK1575">
        <v>1</v>
      </c>
      <c r="AL1575">
        <v>0</v>
      </c>
      <c r="AM1575">
        <v>0</v>
      </c>
      <c r="AN1575">
        <v>0</v>
      </c>
      <c r="AO1575">
        <v>0</v>
      </c>
      <c r="AP1575">
        <v>0</v>
      </c>
      <c r="AQ1575">
        <v>0</v>
      </c>
      <c r="AR1575">
        <v>0</v>
      </c>
      <c r="AS1575">
        <v>0</v>
      </c>
      <c r="AT1575">
        <v>0</v>
      </c>
      <c r="AU1575">
        <v>0</v>
      </c>
      <c r="AV1575">
        <v>0</v>
      </c>
      <c r="AW1575">
        <v>0</v>
      </c>
      <c r="AX1575" s="141">
        <f>COUNTIF(V1575:AW1575,"&lt;&gt;0")</f>
        <v>1</v>
      </c>
      <c r="AY1575" s="141">
        <f>COUNTIF(V1575:AL1575,"&lt;&gt;0")</f>
        <v>1</v>
      </c>
      <c r="AZ1575">
        <f>COUNTIF(V1575:AC1575,"&lt;&gt;0")</f>
        <v>0</v>
      </c>
      <c r="BA1575">
        <f>COUNTIF(AD1575:AI1575,"&lt;&gt;0")</f>
        <v>0</v>
      </c>
      <c r="BB1575">
        <f>COUNTIF(AJ1575:AL1575,"&lt;&gt;0")</f>
        <v>1</v>
      </c>
      <c r="BC1575">
        <f>COUNTIF(AS1575:AW1575,"&lt;&gt;0")</f>
        <v>0</v>
      </c>
      <c r="BD1575">
        <f>COUNTIF(AM1575:AR1575,"&lt;&gt;0")</f>
        <v>0</v>
      </c>
      <c r="BE1575" t="str">
        <f t="array" ref="BE1575">IF(AY1575=1,INDEX($V$7:$AL$7,MATCH(TRUE,INDEX($V1575:$AW1575&lt;&gt;0,),0)),IF(AY1575=0,INDEX($AM$7:$AW$7,MATCH(1,$AM1575:$AW1575,0)),IF(BF1575="Multiple strategies","mixed drivers",IF(BF1575="Supply chain","multiple supply","multiple silviculture"))))</f>
        <v>technologies/design switch</v>
      </c>
      <c r="BF1575" s="2" t="str" cm="1">
        <f t="array" ref="BF1575">IF(COUNTIF(AZ1575:BB1575,"&lt;&gt;0")=1,INDEX($V$4:$AW$4,MATCH(TRUE,INDEX($V1575:$AW1575&lt;&gt;0,),0)),IF(COUNTIF(AZ1575:BB1575,"&lt;&gt;0")=0,INDEX($AM$4:$AW$4,MATCH(1,$AM1575:$AW1575,0)),"Multiple strategies"))</f>
        <v>Technology</v>
      </c>
      <c r="BG1575" s="1" t="s">
        <v>229</v>
      </c>
      <c r="BH1575" t="s">
        <v>1161</v>
      </c>
      <c r="BJ1575" t="s">
        <v>598</v>
      </c>
      <c r="BK1575">
        <v>1106</v>
      </c>
      <c r="BL1575">
        <v>2051</v>
      </c>
      <c r="BN1575">
        <f>BL1575-BK1575</f>
        <v>945</v>
      </c>
      <c r="BO1575">
        <f>BN1575/C_to_CO2*tC_to_m3*10^6</f>
        <v>1118077238.4320416</v>
      </c>
      <c r="BP1575" t="s">
        <v>232</v>
      </c>
      <c r="BR1575" t="s">
        <v>1162</v>
      </c>
      <c r="BU1575" s="144"/>
      <c r="BV1575">
        <v>540.6</v>
      </c>
      <c r="BX1575">
        <f>BV1575*10^6</f>
        <v>540600000</v>
      </c>
      <c r="BY1575">
        <f t="shared" si="1992"/>
        <v>0.48350863555555557</v>
      </c>
      <c r="BZ1575">
        <v>0</v>
      </c>
      <c r="CA1575">
        <v>1</v>
      </c>
      <c r="CB1575">
        <v>0</v>
      </c>
      <c r="CC1575">
        <v>0</v>
      </c>
      <c r="CD1575">
        <v>0</v>
      </c>
      <c r="CE1575">
        <v>0</v>
      </c>
      <c r="CF1575">
        <v>0</v>
      </c>
      <c r="CG1575">
        <v>0</v>
      </c>
      <c r="CH1575">
        <v>0</v>
      </c>
      <c r="CI1575">
        <v>0</v>
      </c>
      <c r="CJ1575">
        <v>0</v>
      </c>
      <c r="CK1575">
        <v>0</v>
      </c>
      <c r="CL1575">
        <v>0</v>
      </c>
      <c r="CM1575">
        <v>0</v>
      </c>
      <c r="CN1575" t="str">
        <f>IF($BL1575&lt;$BK1575,"refNeedCorrection","refOK")</f>
        <v>refOK</v>
      </c>
      <c r="CO1575">
        <f>IF($CN1575="refNeedCorrection",BL1575,BK1575)</f>
        <v>1106</v>
      </c>
      <c r="CP1575">
        <f>IF($CN1575="refNeedCorrection",BK1575,BL1575)</f>
        <v>2051</v>
      </c>
      <c r="CQ1575">
        <f>IF($CN1575="refOK",$BO1575,-$BO1575)</f>
        <v>1118077238.4320416</v>
      </c>
      <c r="CR1575">
        <f>IF($CN1575="refOK",$BS1575,$BT1575)*IF($BP1575="Emissions positive",-1,1)</f>
        <v>0</v>
      </c>
      <c r="CS1575">
        <f>IF($CN1575="refOK",$BT1575,$BS1575)*IF($BP1575="Emissions positive",-1,1)</f>
        <v>0</v>
      </c>
      <c r="CT1575">
        <f>IF($CN1575="refNeedCorrection",-BX1575,BX1575)*IF($BP1575="Emissions positive",-1,1)</f>
        <v>540600000</v>
      </c>
      <c r="CU1575">
        <f>IFERROR(CT1575/CQ1575,"")</f>
        <v>0.48350863555555557</v>
      </c>
      <c r="CV1575" s="2" t="str">
        <f>IFERROR((CS1575-CR1575)/ABS(CR1575),"")</f>
        <v/>
      </c>
      <c r="CW1575" s="1" t="s">
        <v>263</v>
      </c>
      <c r="CX1575" t="str">
        <f>IF(OR($CW1575="prd",$CW1575="std",$CW1575="cit"),"loc",IF(OR($CW1575="eur",$CW1575="reg",$CW1575="coy"),"reg",$CW1575))</f>
        <v>loc</v>
      </c>
      <c r="CY1575" t="s">
        <v>428</v>
      </c>
      <c r="CZ1575">
        <v>2008</v>
      </c>
      <c r="DA1575">
        <f>CZ1575+DB1575</f>
        <v>2108</v>
      </c>
      <c r="DB1575">
        <v>100</v>
      </c>
      <c r="DC1575" t="str">
        <f>IF(DB1575=0,"0",IF(AND(DB1575&gt;=1,DB1575&lt;=30),"1-30",IF(AND(DB1575&gt;30,DB1575&lt;=70),"31-70",IF(AND(DB1575&gt;70,DB1575&lt;=100),"71-100",IF(DB1575&gt;100,"+100")))))</f>
        <v>71-100</v>
      </c>
      <c r="DD1575">
        <v>0</v>
      </c>
      <c r="DE1575">
        <v>0</v>
      </c>
      <c r="DF1575">
        <v>0</v>
      </c>
      <c r="DG1575">
        <v>1</v>
      </c>
      <c r="DI1575">
        <f>SUM(DD1575:DG1575)</f>
        <v>1</v>
      </c>
      <c r="DJ1575" t="str">
        <f>IF(DI1575=1,INDEX($DD$7:$DG$7,MATCH(1,$DD1575:$DG1575,0)),"mixedProduct")</f>
        <v>TimberInput</v>
      </c>
      <c r="DK1575">
        <f t="shared" ref="DK1575:DN1578" si="2069">IF(DD1575=1,DK$7,0)</f>
        <v>0</v>
      </c>
      <c r="DL1575">
        <f t="shared" si="2069"/>
        <v>0</v>
      </c>
      <c r="DM1575">
        <f t="shared" si="2069"/>
        <v>0</v>
      </c>
      <c r="DN1575" t="str">
        <f t="shared" si="2069"/>
        <v>Timber</v>
      </c>
      <c r="DO1575">
        <v>0</v>
      </c>
      <c r="DP1575" s="143">
        <v>0</v>
      </c>
      <c r="DQ1575">
        <v>0</v>
      </c>
      <c r="DR1575">
        <v>0</v>
      </c>
      <c r="DS1575">
        <v>0</v>
      </c>
      <c r="DT1575">
        <f>SUM(DO1575:DP1575)</f>
        <v>0</v>
      </c>
      <c r="DU1575" s="143" t="str">
        <f>IF(DO1575=1,"self-calculated DF",IF(DP1575=1,"external DF used","explicit C balance"))</f>
        <v>explicit C balance</v>
      </c>
      <c r="DV1575">
        <v>1</v>
      </c>
      <c r="DW1575">
        <v>0</v>
      </c>
      <c r="DX1575">
        <v>1</v>
      </c>
      <c r="DY1575">
        <v>1</v>
      </c>
      <c r="DZ1575">
        <v>1</v>
      </c>
      <c r="EA1575">
        <v>1</v>
      </c>
      <c r="EB1575">
        <v>1</v>
      </c>
      <c r="EC1575">
        <v>1</v>
      </c>
      <c r="ED1575">
        <v>0</v>
      </c>
      <c r="EE1575">
        <v>1</v>
      </c>
      <c r="EF1575">
        <v>0</v>
      </c>
      <c r="EG1575">
        <v>0</v>
      </c>
      <c r="EH1575">
        <v>0</v>
      </c>
      <c r="EI1575" s="2">
        <v>0</v>
      </c>
      <c r="EK1575" t="str">
        <f>IF(AND(AND(AND(OR($DX1575=1,$DW1575=1),OR($EC1575=1,$EA1575=1)),SUM($DV1575:$DZ1575,$EF1575)&gt;=4),SUM($EA1575:$EE1575)&gt;=2),"Whole sector","")</f>
        <v>Whole sector</v>
      </c>
      <c r="EL1575" t="str">
        <f>IF(AND(AND(OR($DX1575=1,$DW1575=1),AND($EC1575=0,$EA1575=0)),SUM($DV1575:$DZ1575,$EF1575)&gt;=4),"Ecosystem approach","")</f>
        <v/>
      </c>
      <c r="EM1575" s="2" t="str">
        <f t="shared" si="1993"/>
        <v/>
      </c>
      <c r="EP1575" t="str">
        <f>IF(ISNUMBER(BU1575),IF(ABS(BU1575-[3]QC_indicators!$B$2)&gt;3*[3]QC_indicators!$C$2,"C ratio",IF(ISNUMBER(BY1575),IF(ABS(BY1575-[3]QC_indicators!$B$1)&gt;3*[3]QC_indicators!$C$1,"DF","no"))),IF(ISNUMBER(BY1575),IF(ABS(BY1575-[3]QC_indicators!$B$1)&gt;3*[3]QC_indicators!$C$1,"DF","no")))</f>
        <v>no</v>
      </c>
      <c r="EQ1575" t="s">
        <v>1163</v>
      </c>
      <c r="ER1575" t="s">
        <v>1164</v>
      </c>
      <c r="ET1575" s="264" t="s">
        <v>3250</v>
      </c>
    </row>
    <row r="1576" spans="1:150" hidden="1">
      <c r="A1576" s="1" t="s">
        <v>781</v>
      </c>
      <c r="D1576" t="s">
        <v>1155</v>
      </c>
      <c r="E1576" t="s">
        <v>1156</v>
      </c>
      <c r="G1576" t="s">
        <v>782</v>
      </c>
      <c r="I1576">
        <v>2008</v>
      </c>
      <c r="K1576" t="s">
        <v>1157</v>
      </c>
      <c r="M1576" t="str">
        <f t="shared" si="2031"/>
        <v>Upton_2008</v>
      </c>
      <c r="N1576" t="s">
        <v>222</v>
      </c>
      <c r="O1576" s="145" t="s">
        <v>225</v>
      </c>
      <c r="Q1576" t="s">
        <v>256</v>
      </c>
      <c r="R1576" s="262" t="s">
        <v>223</v>
      </c>
      <c r="S1576" s="1" t="s">
        <v>1158</v>
      </c>
      <c r="T1576" t="s">
        <v>1159</v>
      </c>
      <c r="U1576" t="s">
        <v>1160</v>
      </c>
      <c r="V1576">
        <v>0</v>
      </c>
      <c r="W1576">
        <v>0</v>
      </c>
      <c r="X1576">
        <v>0</v>
      </c>
      <c r="Y1576">
        <v>0</v>
      </c>
      <c r="Z1576">
        <v>0</v>
      </c>
      <c r="AA1576">
        <v>0</v>
      </c>
      <c r="AB1576">
        <v>0</v>
      </c>
      <c r="AC1576">
        <v>0</v>
      </c>
      <c r="AD1576">
        <v>0</v>
      </c>
      <c r="AE1576">
        <v>0</v>
      </c>
      <c r="AF1576">
        <v>0</v>
      </c>
      <c r="AG1576">
        <v>0</v>
      </c>
      <c r="AH1576">
        <v>0</v>
      </c>
      <c r="AI1576">
        <v>0</v>
      </c>
      <c r="AJ1576">
        <v>0</v>
      </c>
      <c r="AK1576">
        <v>1</v>
      </c>
      <c r="AL1576">
        <v>0</v>
      </c>
      <c r="AM1576">
        <v>0</v>
      </c>
      <c r="AN1576">
        <v>0</v>
      </c>
      <c r="AO1576">
        <v>0</v>
      </c>
      <c r="AP1576">
        <v>0</v>
      </c>
      <c r="AQ1576">
        <v>0</v>
      </c>
      <c r="AR1576">
        <v>0</v>
      </c>
      <c r="AS1576">
        <v>0</v>
      </c>
      <c r="AT1576">
        <v>0</v>
      </c>
      <c r="AU1576">
        <v>0</v>
      </c>
      <c r="AV1576">
        <v>0</v>
      </c>
      <c r="AW1576">
        <v>0</v>
      </c>
      <c r="AX1576" s="141">
        <f>COUNTIF(V1576:AW1576,"&lt;&gt;0")</f>
        <v>1</v>
      </c>
      <c r="AY1576" s="141">
        <f>COUNTIF(V1576:AL1576,"&lt;&gt;0")</f>
        <v>1</v>
      </c>
      <c r="AZ1576">
        <f>COUNTIF(V1576:AC1576,"&lt;&gt;0")</f>
        <v>0</v>
      </c>
      <c r="BA1576">
        <f>COUNTIF(AD1576:AI1576,"&lt;&gt;0")</f>
        <v>0</v>
      </c>
      <c r="BB1576">
        <f>COUNTIF(AJ1576:AL1576,"&lt;&gt;0")</f>
        <v>1</v>
      </c>
      <c r="BC1576">
        <f>COUNTIF(AS1576:AW1576,"&lt;&gt;0")</f>
        <v>0</v>
      </c>
      <c r="BD1576">
        <f>COUNTIF(AM1576:AR1576,"&lt;&gt;0")</f>
        <v>0</v>
      </c>
      <c r="BE1576" t="str">
        <f t="array" ref="BE1576">IF(AY1576=1,INDEX($V$7:$AL$7,MATCH(TRUE,INDEX($V1576:$AW1576&lt;&gt;0,),0)),IF(AY1576=0,INDEX($AM$7:$AW$7,MATCH(1,$AM1576:$AW1576,0)),IF(BF1576="Multiple strategies","mixed drivers",IF(BF1576="Supply chain","multiple supply","multiple silviculture"))))</f>
        <v>technologies/design switch</v>
      </c>
      <c r="BF1576" s="2" t="str" cm="1">
        <f t="array" ref="BF1576">IF(COUNTIF(AZ1576:BB1576,"&lt;&gt;0")=1,INDEX($V$4:$AW$4,MATCH(TRUE,INDEX($V1576:$AW1576&lt;&gt;0,),0)),IF(COUNTIF(AZ1576:BB1576,"&lt;&gt;0")=0,INDEX($AM$4:$AW$4,MATCH(1,$AM1576:$AW1576,0)),"Multiple strategies"))</f>
        <v>Technology</v>
      </c>
      <c r="BG1576" s="1" t="s">
        <v>229</v>
      </c>
      <c r="BH1576" t="s">
        <v>1161</v>
      </c>
      <c r="BJ1576" t="s">
        <v>598</v>
      </c>
      <c r="BK1576">
        <v>1106</v>
      </c>
      <c r="BL1576">
        <v>2051</v>
      </c>
      <c r="BN1576">
        <f>BL1576-BK1576</f>
        <v>945</v>
      </c>
      <c r="BO1576">
        <f>BN1576/C_to_CO2*tC_to_m3*10^6</f>
        <v>1118077238.4320416</v>
      </c>
      <c r="BP1576" t="s">
        <v>232</v>
      </c>
      <c r="BR1576" t="s">
        <v>1162</v>
      </c>
      <c r="BS1576">
        <v>-3731</v>
      </c>
      <c r="BT1576">
        <v>-3095</v>
      </c>
      <c r="BU1576" s="144">
        <v>0.82953631734119537</v>
      </c>
      <c r="BV1576">
        <v>636</v>
      </c>
      <c r="BX1576">
        <f>BV1576*10^6</f>
        <v>636000000</v>
      </c>
      <c r="BY1576">
        <f t="shared" si="1992"/>
        <v>0.56883368888888886</v>
      </c>
      <c r="BZ1576">
        <v>0</v>
      </c>
      <c r="CA1576">
        <v>1</v>
      </c>
      <c r="CB1576">
        <v>0</v>
      </c>
      <c r="CC1576">
        <v>0</v>
      </c>
      <c r="CD1576">
        <v>0</v>
      </c>
      <c r="CE1576">
        <v>0</v>
      </c>
      <c r="CF1576">
        <v>0</v>
      </c>
      <c r="CG1576">
        <v>0</v>
      </c>
      <c r="CH1576">
        <v>0</v>
      </c>
      <c r="CI1576">
        <v>0</v>
      </c>
      <c r="CJ1576">
        <v>0</v>
      </c>
      <c r="CK1576">
        <v>0</v>
      </c>
      <c r="CL1576">
        <v>0</v>
      </c>
      <c r="CM1576">
        <v>0</v>
      </c>
      <c r="CN1576" t="str">
        <f>IF($BL1576&lt;$BK1576,"refNeedCorrection","refOK")</f>
        <v>refOK</v>
      </c>
      <c r="CO1576">
        <f>IF($CN1576="refNeedCorrection",BL1576,BK1576)</f>
        <v>1106</v>
      </c>
      <c r="CP1576">
        <f>IF($CN1576="refNeedCorrection",BK1576,BL1576)</f>
        <v>2051</v>
      </c>
      <c r="CQ1576">
        <f>IF($CN1576="refOK",$BO1576,-$BO1576)</f>
        <v>1118077238.4320416</v>
      </c>
      <c r="CR1576">
        <f>IF($CN1576="refOK",$BS1576,$BT1576)*IF($BP1576="Emissions positive",-1,1)</f>
        <v>-3731</v>
      </c>
      <c r="CS1576">
        <f>IF($CN1576="refOK",$BT1576,$BS1576)*IF($BP1576="Emissions positive",-1,1)</f>
        <v>-3095</v>
      </c>
      <c r="CT1576">
        <f>IF($CN1576="refNeedCorrection",-BX1576,BX1576)*IF($BP1576="Emissions positive",-1,1)</f>
        <v>636000000</v>
      </c>
      <c r="CU1576">
        <f>IFERROR(CT1576/CQ1576,"")</f>
        <v>0.56883368888888886</v>
      </c>
      <c r="CV1576" s="2">
        <f>IFERROR((CS1576-CR1576)/ABS(CR1576),"")</f>
        <v>0.1704636826588046</v>
      </c>
      <c r="CW1576" s="1" t="s">
        <v>263</v>
      </c>
      <c r="CX1576" t="str">
        <f>IF(OR($CW1576="prd",$CW1576="std",$CW1576="cit"),"loc",IF(OR($CW1576="eur",$CW1576="reg",$CW1576="coy"),"reg",$CW1576))</f>
        <v>loc</v>
      </c>
      <c r="CY1576" t="s">
        <v>428</v>
      </c>
      <c r="CZ1576">
        <v>2008</v>
      </c>
      <c r="DA1576">
        <f>CZ1576+DB1576</f>
        <v>2108</v>
      </c>
      <c r="DB1576">
        <v>100</v>
      </c>
      <c r="DC1576" t="str">
        <f>IF(DB1576=0,"0",IF(AND(DB1576&gt;=1,DB1576&lt;=30),"1-30",IF(AND(DB1576&gt;30,DB1576&lt;=70),"31-70",IF(AND(DB1576&gt;70,DB1576&lt;=100),"71-100",IF(DB1576&gt;100,"+100")))))</f>
        <v>71-100</v>
      </c>
      <c r="DD1576">
        <v>0</v>
      </c>
      <c r="DE1576">
        <v>0</v>
      </c>
      <c r="DF1576">
        <v>0</v>
      </c>
      <c r="DG1576">
        <v>1</v>
      </c>
      <c r="DI1576">
        <f>SUM(DD1576:DG1576)</f>
        <v>1</v>
      </c>
      <c r="DJ1576" t="str">
        <f>IF(DI1576=1,INDEX($DD$7:$DG$7,MATCH(1,$DD1576:$DG1576,0)),"mixedProduct")</f>
        <v>TimberInput</v>
      </c>
      <c r="DK1576">
        <f t="shared" si="2069"/>
        <v>0</v>
      </c>
      <c r="DL1576">
        <f t="shared" si="2069"/>
        <v>0</v>
      </c>
      <c r="DM1576">
        <f t="shared" si="2069"/>
        <v>0</v>
      </c>
      <c r="DN1576" t="str">
        <f t="shared" si="2069"/>
        <v>Timber</v>
      </c>
      <c r="DO1576">
        <v>0</v>
      </c>
      <c r="DP1576" s="143">
        <v>0</v>
      </c>
      <c r="DQ1576">
        <v>0</v>
      </c>
      <c r="DR1576">
        <v>0</v>
      </c>
      <c r="DS1576">
        <v>0</v>
      </c>
      <c r="DT1576">
        <f>SUM(DO1576:DP1576)</f>
        <v>0</v>
      </c>
      <c r="DU1576" s="143" t="str">
        <f>IF(DO1576=1,"self-calculated DF",IF(DP1576=1,"external DF used","explicit C balance"))</f>
        <v>explicit C balance</v>
      </c>
      <c r="DV1576">
        <v>1</v>
      </c>
      <c r="DW1576">
        <v>0</v>
      </c>
      <c r="DX1576">
        <v>1</v>
      </c>
      <c r="DY1576">
        <v>1</v>
      </c>
      <c r="DZ1576">
        <v>1</v>
      </c>
      <c r="EA1576">
        <v>0</v>
      </c>
      <c r="EB1576">
        <v>1</v>
      </c>
      <c r="EC1576">
        <v>1</v>
      </c>
      <c r="ED1576">
        <v>0</v>
      </c>
      <c r="EE1576">
        <v>1</v>
      </c>
      <c r="EF1576">
        <v>0</v>
      </c>
      <c r="EG1576">
        <v>0</v>
      </c>
      <c r="EH1576">
        <v>0</v>
      </c>
      <c r="EI1576" s="2">
        <v>0</v>
      </c>
      <c r="EK1576" t="str">
        <f>IF(AND(AND(AND(OR($DX1576=1,$DW1576=1),OR($EC1576=1,$EA1576=1)),SUM($DV1576:$DZ1576,$EF1576)&gt;=4),SUM($EA1576:$EE1576)&gt;=2),"Whole sector","")</f>
        <v>Whole sector</v>
      </c>
      <c r="EL1576" t="str">
        <f>IF(AND(AND(OR($DX1576=1,$DW1576=1),AND($EC1576=0,$EA1576=0)),SUM($DV1576:$DZ1576,$EF1576)&gt;=4),"Ecosystem approach","")</f>
        <v/>
      </c>
      <c r="EM1576" s="2" t="str">
        <f t="shared" si="1993"/>
        <v/>
      </c>
      <c r="EP1576" t="str">
        <f>IF(ISNUMBER(BU1576),IF(ABS(BU1576-[3]QC_indicators!$B$2)&gt;3*[3]QC_indicators!$C$2,"C ratio",IF(ISNUMBER(BY1576),IF(ABS(BY1576-[3]QC_indicators!$B$1)&gt;3*[3]QC_indicators!$C$1,"DF","no"))),IF(ISNUMBER(BY1576),IF(ABS(BY1576-[3]QC_indicators!$B$1)&gt;3*[3]QC_indicators!$C$1,"DF","no")))</f>
        <v>no</v>
      </c>
      <c r="EQ1576" t="s">
        <v>1163</v>
      </c>
      <c r="ER1576" t="s">
        <v>1164</v>
      </c>
      <c r="ET1576" s="264" t="s">
        <v>3250</v>
      </c>
    </row>
    <row r="1577" spans="1:150" hidden="1">
      <c r="A1577" s="1" t="s">
        <v>781</v>
      </c>
      <c r="D1577" t="s">
        <v>1155</v>
      </c>
      <c r="E1577" t="s">
        <v>1156</v>
      </c>
      <c r="G1577" t="s">
        <v>782</v>
      </c>
      <c r="I1577">
        <v>2008</v>
      </c>
      <c r="K1577" t="s">
        <v>1157</v>
      </c>
      <c r="M1577" t="str">
        <f t="shared" si="2031"/>
        <v>Upton_2008</v>
      </c>
      <c r="N1577" t="s">
        <v>222</v>
      </c>
      <c r="O1577" s="145" t="s">
        <v>225</v>
      </c>
      <c r="Q1577" t="s">
        <v>256</v>
      </c>
      <c r="R1577" s="262" t="s">
        <v>223</v>
      </c>
      <c r="S1577" s="1" t="s">
        <v>1165</v>
      </c>
      <c r="T1577" t="s">
        <v>1166</v>
      </c>
      <c r="U1577" t="s">
        <v>1160</v>
      </c>
      <c r="V1577">
        <v>0</v>
      </c>
      <c r="W1577">
        <v>0</v>
      </c>
      <c r="X1577">
        <v>0</v>
      </c>
      <c r="Y1577">
        <v>0</v>
      </c>
      <c r="Z1577">
        <v>0</v>
      </c>
      <c r="AA1577">
        <v>0</v>
      </c>
      <c r="AB1577">
        <v>0</v>
      </c>
      <c r="AC1577">
        <v>0</v>
      </c>
      <c r="AD1577">
        <v>0</v>
      </c>
      <c r="AE1577">
        <v>0</v>
      </c>
      <c r="AF1577">
        <v>0</v>
      </c>
      <c r="AG1577">
        <v>0</v>
      </c>
      <c r="AH1577">
        <v>0</v>
      </c>
      <c r="AI1577">
        <v>0</v>
      </c>
      <c r="AJ1577">
        <v>0</v>
      </c>
      <c r="AK1577">
        <v>1</v>
      </c>
      <c r="AL1577">
        <v>0</v>
      </c>
      <c r="AM1577">
        <v>0</v>
      </c>
      <c r="AN1577">
        <v>0</v>
      </c>
      <c r="AO1577">
        <v>0</v>
      </c>
      <c r="AP1577">
        <v>0</v>
      </c>
      <c r="AQ1577">
        <v>0</v>
      </c>
      <c r="AR1577">
        <v>0</v>
      </c>
      <c r="AS1577">
        <v>0</v>
      </c>
      <c r="AT1577">
        <v>0</v>
      </c>
      <c r="AU1577">
        <v>0</v>
      </c>
      <c r="AV1577">
        <v>0</v>
      </c>
      <c r="AW1577">
        <v>0</v>
      </c>
      <c r="AX1577" s="141">
        <f>COUNTIF(V1577:AW1577,"&lt;&gt;0")</f>
        <v>1</v>
      </c>
      <c r="AY1577" s="141">
        <f>COUNTIF(V1577:AL1577,"&lt;&gt;0")</f>
        <v>1</v>
      </c>
      <c r="AZ1577">
        <f>COUNTIF(V1577:AC1577,"&lt;&gt;0")</f>
        <v>0</v>
      </c>
      <c r="BA1577">
        <f>COUNTIF(AD1577:AI1577,"&lt;&gt;0")</f>
        <v>0</v>
      </c>
      <c r="BB1577">
        <f>COUNTIF(AJ1577:AL1577,"&lt;&gt;0")</f>
        <v>1</v>
      </c>
      <c r="BC1577">
        <f>COUNTIF(AS1577:AW1577,"&lt;&gt;0")</f>
        <v>0</v>
      </c>
      <c r="BD1577">
        <f>COUNTIF(AM1577:AR1577,"&lt;&gt;0")</f>
        <v>0</v>
      </c>
      <c r="BE1577" t="str">
        <f t="array" ref="BE1577">IF(AY1577=1,INDEX($V$7:$AL$7,MATCH(TRUE,INDEX($V1577:$AW1577&lt;&gt;0,),0)),IF(AY1577=0,INDEX($AM$7:$AW$7,MATCH(1,$AM1577:$AW1577,0)),IF(BF1577="Multiple strategies","mixed drivers",IF(BF1577="Supply chain","multiple supply","multiple silviculture"))))</f>
        <v>technologies/design switch</v>
      </c>
      <c r="BF1577" s="2" t="str" cm="1">
        <f t="array" ref="BF1577">IF(COUNTIF(AZ1577:BB1577,"&lt;&gt;0")=1,INDEX($V$4:$AW$4,MATCH(TRUE,INDEX($V1577:$AW1577&lt;&gt;0,),0)),IF(COUNTIF(AZ1577:BB1577,"&lt;&gt;0")=0,INDEX($AM$4:$AW$4,MATCH(1,$AM1577:$AW1577,0)),"Multiple strategies"))</f>
        <v>Technology</v>
      </c>
      <c r="BG1577" s="1" t="s">
        <v>229</v>
      </c>
      <c r="BH1577" t="s">
        <v>1161</v>
      </c>
      <c r="BJ1577" t="s">
        <v>598</v>
      </c>
      <c r="BK1577">
        <v>1338</v>
      </c>
      <c r="BL1577">
        <v>1623</v>
      </c>
      <c r="BN1577">
        <f>BL1577-BK1577</f>
        <v>285</v>
      </c>
      <c r="BO1577">
        <f>BN1577/C_to_CO2*tC_to_m3*10^6</f>
        <v>337197897.30490154</v>
      </c>
      <c r="BP1577" t="s">
        <v>232</v>
      </c>
      <c r="BR1577" t="s">
        <v>1162</v>
      </c>
      <c r="BU1577" s="144"/>
      <c r="BV1577">
        <v>1253.8</v>
      </c>
      <c r="BX1577">
        <f>BV1577*10^6</f>
        <v>1253800000</v>
      </c>
      <c r="BY1577">
        <f t="shared" si="1992"/>
        <v>3.718291276491227</v>
      </c>
      <c r="BZ1577">
        <v>0</v>
      </c>
      <c r="CA1577">
        <v>1</v>
      </c>
      <c r="CB1577">
        <v>0</v>
      </c>
      <c r="CC1577">
        <v>0</v>
      </c>
      <c r="CD1577">
        <v>0</v>
      </c>
      <c r="CE1577">
        <v>0</v>
      </c>
      <c r="CF1577">
        <v>0</v>
      </c>
      <c r="CG1577">
        <v>0</v>
      </c>
      <c r="CH1577">
        <v>0</v>
      </c>
      <c r="CI1577">
        <v>0</v>
      </c>
      <c r="CJ1577">
        <v>0</v>
      </c>
      <c r="CK1577">
        <v>0</v>
      </c>
      <c r="CL1577">
        <v>0</v>
      </c>
      <c r="CM1577">
        <v>0</v>
      </c>
      <c r="CN1577" t="str">
        <f>IF($BL1577&lt;$BK1577,"refNeedCorrection","refOK")</f>
        <v>refOK</v>
      </c>
      <c r="CO1577">
        <f>IF($CN1577="refNeedCorrection",BL1577,BK1577)</f>
        <v>1338</v>
      </c>
      <c r="CP1577">
        <f>IF($CN1577="refNeedCorrection",BK1577,BL1577)</f>
        <v>1623</v>
      </c>
      <c r="CQ1577">
        <f>IF($CN1577="refOK",$BO1577,-$BO1577)</f>
        <v>337197897.30490154</v>
      </c>
      <c r="CR1577">
        <f>IF($CN1577="refOK",$BS1577,$BT1577)*IF($BP1577="Emissions positive",-1,1)</f>
        <v>0</v>
      </c>
      <c r="CS1577">
        <f>IF($CN1577="refOK",$BT1577,$BS1577)*IF($BP1577="Emissions positive",-1,1)</f>
        <v>0</v>
      </c>
      <c r="CT1577">
        <f>IF($CN1577="refNeedCorrection",-BX1577,BX1577)*IF($BP1577="Emissions positive",-1,1)</f>
        <v>1253800000</v>
      </c>
      <c r="CU1577">
        <f>IFERROR(CT1577/CQ1577,"")</f>
        <v>3.718291276491227</v>
      </c>
      <c r="CV1577" s="2" t="str">
        <f>IFERROR((CS1577-CR1577)/ABS(CR1577),"")</f>
        <v/>
      </c>
      <c r="CW1577" s="1" t="s">
        <v>263</v>
      </c>
      <c r="CX1577" t="str">
        <f>IF(OR($CW1577="prd",$CW1577="std",$CW1577="cit"),"loc",IF(OR($CW1577="eur",$CW1577="reg",$CW1577="coy"),"reg",$CW1577))</f>
        <v>loc</v>
      </c>
      <c r="CY1577" t="s">
        <v>428</v>
      </c>
      <c r="CZ1577">
        <v>2008</v>
      </c>
      <c r="DA1577">
        <f>CZ1577+DB1577</f>
        <v>2108</v>
      </c>
      <c r="DB1577">
        <v>100</v>
      </c>
      <c r="DC1577" t="str">
        <f>IF(DB1577=0,"0",IF(AND(DB1577&gt;=1,DB1577&lt;=30),"1-30",IF(AND(DB1577&gt;30,DB1577&lt;=70),"31-70",IF(AND(DB1577&gt;70,DB1577&lt;=100),"71-100",IF(DB1577&gt;100,"+100")))))</f>
        <v>71-100</v>
      </c>
      <c r="DD1577">
        <v>0</v>
      </c>
      <c r="DE1577">
        <v>0</v>
      </c>
      <c r="DF1577">
        <v>0</v>
      </c>
      <c r="DG1577">
        <v>1</v>
      </c>
      <c r="DI1577">
        <f>SUM(DD1577:DG1577)</f>
        <v>1</v>
      </c>
      <c r="DJ1577" t="str">
        <f>IF(DI1577=1,INDEX($DD$7:$DG$7,MATCH(1,$DD1577:$DG1577,0)),"mixedProduct")</f>
        <v>TimberInput</v>
      </c>
      <c r="DK1577">
        <f t="shared" si="2069"/>
        <v>0</v>
      </c>
      <c r="DL1577">
        <f t="shared" si="2069"/>
        <v>0</v>
      </c>
      <c r="DM1577">
        <f t="shared" si="2069"/>
        <v>0</v>
      </c>
      <c r="DN1577" t="str">
        <f t="shared" si="2069"/>
        <v>Timber</v>
      </c>
      <c r="DO1577">
        <v>0</v>
      </c>
      <c r="DP1577" s="143">
        <v>0</v>
      </c>
      <c r="DQ1577">
        <v>0</v>
      </c>
      <c r="DR1577">
        <v>0</v>
      </c>
      <c r="DS1577">
        <v>0</v>
      </c>
      <c r="DT1577">
        <f>SUM(DO1577:DP1577)</f>
        <v>0</v>
      </c>
      <c r="DU1577" s="143" t="str">
        <f>IF(DO1577=1,"self-calculated DF",IF(DP1577=1,"external DF used","explicit C balance"))</f>
        <v>explicit C balance</v>
      </c>
      <c r="DV1577">
        <v>1</v>
      </c>
      <c r="DW1577">
        <v>0</v>
      </c>
      <c r="DX1577">
        <v>1</v>
      </c>
      <c r="DY1577">
        <v>1</v>
      </c>
      <c r="DZ1577">
        <v>1</v>
      </c>
      <c r="EA1577">
        <v>1</v>
      </c>
      <c r="EB1577">
        <v>1</v>
      </c>
      <c r="EC1577">
        <v>1</v>
      </c>
      <c r="ED1577">
        <v>0</v>
      </c>
      <c r="EE1577">
        <v>1</v>
      </c>
      <c r="EF1577">
        <v>0</v>
      </c>
      <c r="EG1577">
        <v>0</v>
      </c>
      <c r="EH1577">
        <v>0</v>
      </c>
      <c r="EI1577" s="2">
        <v>0</v>
      </c>
      <c r="EK1577" t="str">
        <f>IF(AND(AND(AND(OR($DX1577=1,$DW1577=1),OR($EC1577=1,$EA1577=1)),SUM($DV1577:$DZ1577,$EF1577)&gt;=4),SUM($EA1577:$EE1577)&gt;=2),"Whole sector","")</f>
        <v>Whole sector</v>
      </c>
      <c r="EL1577" t="str">
        <f>IF(AND(AND(OR($DX1577=1,$DW1577=1),AND($EC1577=0,$EA1577=0)),SUM($DV1577:$DZ1577,$EF1577)&gt;=4),"Ecosystem approach","")</f>
        <v/>
      </c>
      <c r="EM1577" s="2" t="str">
        <f t="shared" si="1993"/>
        <v/>
      </c>
      <c r="EP1577" t="str">
        <f>IF(ISNUMBER(BU1577),IF(ABS(BU1577-[3]QC_indicators!$B$2)&gt;3*[3]QC_indicators!$C$2,"C ratio",IF(ISNUMBER(BY1577),IF(ABS(BY1577-[3]QC_indicators!$B$1)&gt;3*[3]QC_indicators!$C$1,"DF","no"))),IF(ISNUMBER(BY1577),IF(ABS(BY1577-[3]QC_indicators!$B$1)&gt;3*[3]QC_indicators!$C$1,"DF","no")))</f>
        <v>no</v>
      </c>
      <c r="EQ1577" t="s">
        <v>1163</v>
      </c>
      <c r="ER1577" t="s">
        <v>1164</v>
      </c>
      <c r="ET1577" s="264" t="s">
        <v>3250</v>
      </c>
    </row>
    <row r="1578" spans="1:150" hidden="1">
      <c r="A1578" s="1" t="s">
        <v>781</v>
      </c>
      <c r="D1578" t="s">
        <v>1155</v>
      </c>
      <c r="E1578" t="s">
        <v>1156</v>
      </c>
      <c r="G1578" t="s">
        <v>782</v>
      </c>
      <c r="I1578">
        <v>2008</v>
      </c>
      <c r="K1578" t="s">
        <v>1157</v>
      </c>
      <c r="M1578" t="str">
        <f t="shared" si="2031"/>
        <v>Upton_2008</v>
      </c>
      <c r="N1578" t="s">
        <v>222</v>
      </c>
      <c r="O1578" s="145" t="s">
        <v>225</v>
      </c>
      <c r="Q1578" t="s">
        <v>256</v>
      </c>
      <c r="R1578" s="262" t="s">
        <v>223</v>
      </c>
      <c r="S1578" s="1" t="s">
        <v>1165</v>
      </c>
      <c r="T1578" t="s">
        <v>1166</v>
      </c>
      <c r="U1578" t="s">
        <v>1160</v>
      </c>
      <c r="V1578">
        <v>0</v>
      </c>
      <c r="W1578">
        <v>0</v>
      </c>
      <c r="X1578">
        <v>0</v>
      </c>
      <c r="Y1578">
        <v>0</v>
      </c>
      <c r="Z1578">
        <v>0</v>
      </c>
      <c r="AA1578">
        <v>0</v>
      </c>
      <c r="AB1578">
        <v>0</v>
      </c>
      <c r="AC1578">
        <v>0</v>
      </c>
      <c r="AD1578">
        <v>0</v>
      </c>
      <c r="AE1578">
        <v>0</v>
      </c>
      <c r="AF1578">
        <v>0</v>
      </c>
      <c r="AG1578">
        <v>0</v>
      </c>
      <c r="AH1578">
        <v>0</v>
      </c>
      <c r="AI1578">
        <v>0</v>
      </c>
      <c r="AJ1578">
        <v>0</v>
      </c>
      <c r="AK1578">
        <v>1</v>
      </c>
      <c r="AL1578">
        <v>0</v>
      </c>
      <c r="AM1578">
        <v>0</v>
      </c>
      <c r="AN1578">
        <v>0</v>
      </c>
      <c r="AO1578">
        <v>0</v>
      </c>
      <c r="AP1578">
        <v>0</v>
      </c>
      <c r="AQ1578">
        <v>0</v>
      </c>
      <c r="AR1578">
        <v>0</v>
      </c>
      <c r="AS1578">
        <v>0</v>
      </c>
      <c r="AT1578">
        <v>0</v>
      </c>
      <c r="AU1578">
        <v>0</v>
      </c>
      <c r="AV1578">
        <v>0</v>
      </c>
      <c r="AW1578">
        <v>0</v>
      </c>
      <c r="AX1578" s="141">
        <f>COUNTIF(V1578:AW1578,"&lt;&gt;0")</f>
        <v>1</v>
      </c>
      <c r="AY1578" s="141">
        <f>COUNTIF(V1578:AL1578,"&lt;&gt;0")</f>
        <v>1</v>
      </c>
      <c r="AZ1578">
        <f>COUNTIF(V1578:AC1578,"&lt;&gt;0")</f>
        <v>0</v>
      </c>
      <c r="BA1578">
        <f>COUNTIF(AD1578:AI1578,"&lt;&gt;0")</f>
        <v>0</v>
      </c>
      <c r="BB1578">
        <f>COUNTIF(AJ1578:AL1578,"&lt;&gt;0")</f>
        <v>1</v>
      </c>
      <c r="BC1578">
        <f>COUNTIF(AS1578:AW1578,"&lt;&gt;0")</f>
        <v>0</v>
      </c>
      <c r="BD1578">
        <f>COUNTIF(AM1578:AR1578,"&lt;&gt;0")</f>
        <v>0</v>
      </c>
      <c r="BE1578" t="str">
        <f t="array" ref="BE1578">IF(AY1578=1,INDEX($V$7:$AL$7,MATCH(TRUE,INDEX($V1578:$AW1578&lt;&gt;0,),0)),IF(AY1578=0,INDEX($AM$7:$AW$7,MATCH(1,$AM1578:$AW1578,0)),IF(BF1578="Multiple strategies","mixed drivers",IF(BF1578="Supply chain","multiple supply","multiple silviculture"))))</f>
        <v>technologies/design switch</v>
      </c>
      <c r="BF1578" s="2" t="str" cm="1">
        <f t="array" ref="BF1578">IF(COUNTIF(AZ1578:BB1578,"&lt;&gt;0")=1,INDEX($V$4:$AW$4,MATCH(TRUE,INDEX($V1578:$AW1578&lt;&gt;0,),0)),IF(COUNTIF(AZ1578:BB1578,"&lt;&gt;0")=0,INDEX($AM$4:$AW$4,MATCH(1,$AM1578:$AW1578,0)),"Multiple strategies"))</f>
        <v>Technology</v>
      </c>
      <c r="BG1578" s="1" t="s">
        <v>229</v>
      </c>
      <c r="BH1578" t="s">
        <v>1161</v>
      </c>
      <c r="BJ1578" t="s">
        <v>598</v>
      </c>
      <c r="BK1578">
        <v>1338</v>
      </c>
      <c r="BL1578">
        <v>1623</v>
      </c>
      <c r="BN1578">
        <f>BL1578-BK1578</f>
        <v>285</v>
      </c>
      <c r="BO1578">
        <f>BN1578/C_to_CO2*tC_to_m3*10^6</f>
        <v>337197897.30490154</v>
      </c>
      <c r="BP1578" t="s">
        <v>232</v>
      </c>
      <c r="BR1578" t="s">
        <v>1162</v>
      </c>
      <c r="BS1578">
        <v>-2538</v>
      </c>
      <c r="BT1578">
        <v>-1256</v>
      </c>
      <c r="BU1578" s="144">
        <v>0.49487785657998423</v>
      </c>
      <c r="BV1578">
        <v>1282</v>
      </c>
      <c r="BX1578">
        <f>BV1578*10^6</f>
        <v>1282000000</v>
      </c>
      <c r="BY1578">
        <f t="shared" ref="BY1578:BY1641" si="2070">IFERROR(BX1578/BO1578,"")</f>
        <v>3.8019216912280691</v>
      </c>
      <c r="BZ1578">
        <v>0</v>
      </c>
      <c r="CA1578">
        <v>1</v>
      </c>
      <c r="CB1578">
        <v>0</v>
      </c>
      <c r="CC1578">
        <v>0</v>
      </c>
      <c r="CD1578">
        <v>0</v>
      </c>
      <c r="CE1578">
        <v>0</v>
      </c>
      <c r="CF1578">
        <v>0</v>
      </c>
      <c r="CG1578">
        <v>0</v>
      </c>
      <c r="CH1578">
        <v>0</v>
      </c>
      <c r="CI1578">
        <v>0</v>
      </c>
      <c r="CJ1578">
        <v>0</v>
      </c>
      <c r="CK1578">
        <v>0</v>
      </c>
      <c r="CL1578">
        <v>0</v>
      </c>
      <c r="CM1578">
        <v>0</v>
      </c>
      <c r="CN1578" t="str">
        <f>IF($BL1578&lt;$BK1578,"refNeedCorrection","refOK")</f>
        <v>refOK</v>
      </c>
      <c r="CO1578">
        <f>IF($CN1578="refNeedCorrection",BL1578,BK1578)</f>
        <v>1338</v>
      </c>
      <c r="CP1578">
        <f>IF($CN1578="refNeedCorrection",BK1578,BL1578)</f>
        <v>1623</v>
      </c>
      <c r="CQ1578">
        <f>IF($CN1578="refOK",$BO1578,-$BO1578)</f>
        <v>337197897.30490154</v>
      </c>
      <c r="CR1578">
        <f>IF($CN1578="refOK",$BS1578,$BT1578)*IF($BP1578="Emissions positive",-1,1)</f>
        <v>-2538</v>
      </c>
      <c r="CS1578">
        <f>IF($CN1578="refOK",$BT1578,$BS1578)*IF($BP1578="Emissions positive",-1,1)</f>
        <v>-1256</v>
      </c>
      <c r="CT1578">
        <f>IF($CN1578="refNeedCorrection",-BX1578,BX1578)*IF($BP1578="Emissions positive",-1,1)</f>
        <v>1282000000</v>
      </c>
      <c r="CU1578">
        <f>IFERROR(CT1578/CQ1578,"")</f>
        <v>3.8019216912280691</v>
      </c>
      <c r="CV1578" s="2">
        <f>IFERROR((CS1578-CR1578)/ABS(CR1578),"")</f>
        <v>0.50512214342001571</v>
      </c>
      <c r="CW1578" s="1" t="s">
        <v>263</v>
      </c>
      <c r="CX1578" t="str">
        <f>IF(OR($CW1578="prd",$CW1578="std",$CW1578="cit"),"loc",IF(OR($CW1578="eur",$CW1578="reg",$CW1578="coy"),"reg",$CW1578))</f>
        <v>loc</v>
      </c>
      <c r="CY1578" t="s">
        <v>428</v>
      </c>
      <c r="CZ1578">
        <v>2008</v>
      </c>
      <c r="DA1578">
        <f>CZ1578+DB1578</f>
        <v>2108</v>
      </c>
      <c r="DB1578">
        <v>100</v>
      </c>
      <c r="DC1578" t="str">
        <f>IF(DB1578=0,"0",IF(AND(DB1578&gt;=1,DB1578&lt;=30),"1-30",IF(AND(DB1578&gt;30,DB1578&lt;=70),"31-70",IF(AND(DB1578&gt;70,DB1578&lt;=100),"71-100",IF(DB1578&gt;100,"+100")))))</f>
        <v>71-100</v>
      </c>
      <c r="DD1578">
        <v>0</v>
      </c>
      <c r="DE1578">
        <v>0</v>
      </c>
      <c r="DF1578">
        <v>0</v>
      </c>
      <c r="DG1578">
        <v>1</v>
      </c>
      <c r="DI1578">
        <f>SUM(DD1578:DG1578)</f>
        <v>1</v>
      </c>
      <c r="DJ1578" t="str">
        <f>IF(DI1578=1,INDEX($DD$7:$DG$7,MATCH(1,$DD1578:$DG1578,0)),"mixedProduct")</f>
        <v>TimberInput</v>
      </c>
      <c r="DK1578">
        <f t="shared" si="2069"/>
        <v>0</v>
      </c>
      <c r="DL1578">
        <f t="shared" si="2069"/>
        <v>0</v>
      </c>
      <c r="DM1578">
        <f t="shared" si="2069"/>
        <v>0</v>
      </c>
      <c r="DN1578" t="str">
        <f t="shared" si="2069"/>
        <v>Timber</v>
      </c>
      <c r="DO1578">
        <v>0</v>
      </c>
      <c r="DP1578" s="143">
        <v>0</v>
      </c>
      <c r="DQ1578">
        <v>0</v>
      </c>
      <c r="DR1578">
        <v>0</v>
      </c>
      <c r="DS1578">
        <v>0</v>
      </c>
      <c r="DT1578">
        <f>SUM(DO1578:DP1578)</f>
        <v>0</v>
      </c>
      <c r="DU1578" s="143" t="str">
        <f>IF(DO1578=1,"self-calculated DF",IF(DP1578=1,"external DF used","explicit C balance"))</f>
        <v>explicit C balance</v>
      </c>
      <c r="DV1578">
        <v>1</v>
      </c>
      <c r="DW1578">
        <v>0</v>
      </c>
      <c r="DX1578">
        <v>1</v>
      </c>
      <c r="DY1578">
        <v>1</v>
      </c>
      <c r="DZ1578">
        <v>1</v>
      </c>
      <c r="EA1578">
        <v>0</v>
      </c>
      <c r="EB1578">
        <v>1</v>
      </c>
      <c r="EC1578">
        <v>1</v>
      </c>
      <c r="ED1578">
        <v>0</v>
      </c>
      <c r="EE1578">
        <v>1</v>
      </c>
      <c r="EF1578">
        <v>0</v>
      </c>
      <c r="EG1578">
        <v>0</v>
      </c>
      <c r="EH1578">
        <v>0</v>
      </c>
      <c r="EI1578" s="2">
        <v>0</v>
      </c>
      <c r="EK1578" t="str">
        <f>IF(AND(AND(AND(OR($DX1578=1,$DW1578=1),OR($EC1578=1,$EA1578=1)),SUM($DV1578:$DZ1578,$EF1578)&gt;=4),SUM($EA1578:$EE1578)&gt;=2),"Whole sector","")</f>
        <v>Whole sector</v>
      </c>
      <c r="EL1578" t="str">
        <f>IF(AND(AND(OR($DX1578=1,$DW1578=1),AND($EC1578=0,$EA1578=0)),SUM($DV1578:$DZ1578,$EF1578)&gt;=4),"Ecosystem approach","")</f>
        <v/>
      </c>
      <c r="EM1578" s="2" t="str">
        <f t="shared" si="1993"/>
        <v/>
      </c>
      <c r="EP1578" t="str">
        <f>IF(ISNUMBER(BU1578),IF(ABS(BU1578-[3]QC_indicators!$B$2)&gt;3*[3]QC_indicators!$C$2,"C ratio",IF(ISNUMBER(BY1578),IF(ABS(BY1578-[3]QC_indicators!$B$1)&gt;3*[3]QC_indicators!$C$1,"DF","no"))),IF(ISNUMBER(BY1578),IF(ABS(BY1578-[3]QC_indicators!$B$1)&gt;3*[3]QC_indicators!$C$1,"DF","no")))</f>
        <v>no</v>
      </c>
      <c r="EQ1578" t="s">
        <v>1163</v>
      </c>
      <c r="ER1578" t="s">
        <v>1164</v>
      </c>
      <c r="ET1578" s="264" t="s">
        <v>3250</v>
      </c>
    </row>
    <row r="1579" spans="1:150" hidden="1">
      <c r="A1579" s="1" t="s">
        <v>4693</v>
      </c>
      <c r="B1579" t="s">
        <v>4694</v>
      </c>
      <c r="C1579" t="s">
        <v>4695</v>
      </c>
      <c r="D1579" t="s">
        <v>4696</v>
      </c>
      <c r="E1579" t="s">
        <v>4697</v>
      </c>
      <c r="F1579" t="s">
        <v>4698</v>
      </c>
      <c r="G1579" t="s">
        <v>4699</v>
      </c>
      <c r="H1579" t="s">
        <v>254</v>
      </c>
      <c r="I1579">
        <v>2022</v>
      </c>
      <c r="J1579">
        <v>0</v>
      </c>
      <c r="K1579" t="s">
        <v>4700</v>
      </c>
      <c r="M1579" t="str">
        <f t="shared" si="2031"/>
        <v>Urruth_2022</v>
      </c>
      <c r="N1579" t="s">
        <v>2582</v>
      </c>
      <c r="O1579" s="145" t="s">
        <v>1153</v>
      </c>
      <c r="Q1579" s="311" t="s">
        <v>256</v>
      </c>
      <c r="R1579" s="312"/>
      <c r="AX1579" s="141"/>
      <c r="AY1579" s="141"/>
      <c r="BE1579"/>
      <c r="BF1579" s="2"/>
      <c r="BM1579" s="143"/>
      <c r="BN1579" s="143"/>
      <c r="BP1579" s="143"/>
      <c r="BQ1579" s="143"/>
      <c r="BU1579" s="144"/>
      <c r="BV1579" s="144"/>
      <c r="BW1579" s="144"/>
      <c r="BX1579" s="144"/>
      <c r="BY1579" t="str">
        <f t="shared" si="2070"/>
        <v/>
      </c>
      <c r="CN1579"/>
      <c r="CO1579"/>
      <c r="CP1579"/>
      <c r="CQ1579"/>
      <c r="CR1579"/>
      <c r="CS1579"/>
      <c r="CT1579"/>
      <c r="CU1579"/>
      <c r="CV1579" s="2"/>
      <c r="CX1579"/>
      <c r="DC1579"/>
      <c r="DI1579"/>
      <c r="DJ1579"/>
      <c r="DK1579"/>
      <c r="DL1579"/>
      <c r="DM1579"/>
      <c r="DN1579"/>
      <c r="DT1579"/>
      <c r="DU1579" s="143"/>
      <c r="EK1579" t="str">
        <f>IF(AND(AND(AND(OR($DX1579=1,$DW1579=1),OR($EC1579=1,$EA1579=1)),SUM($DV1579:$DZ1579,$EF1579)&gt;=3),SUM($EA1579:$EE1579)&gt;=2),"Whole sector","")</f>
        <v/>
      </c>
      <c r="EL1579" t="str">
        <f>IF(AND(AND(OR($DX1579=1,$DW1579=1),AND($EC1579=0,$EA1579=0)),SUM($DV1579:$DZ1579,$EF1579)&gt;=3),"Ecosystem approach","")</f>
        <v/>
      </c>
      <c r="EM1579" s="2" t="str">
        <f t="shared" si="1993"/>
        <v/>
      </c>
      <c r="EN1579" t="s">
        <v>4701</v>
      </c>
      <c r="EO1579" t="s">
        <v>4328</v>
      </c>
      <c r="EP1579" t="b">
        <f>IF(ISNUMBER(BU1579),IF(ABS(BU1579-[1]QC_indicators!$B$2)&gt;3*[1]QC_indicators!$C$2,"C ratio",IF(ISNUMBER(BY1579),IF(ABS(BY1579-[1]QC_indicators!$B$1)&gt;3*[1]QC_indicators!$C$1,"DF","no"))),IF(ISNUMBER(BY1579),IF(ABS(BY1579-[1]QC_indicators!$B$1)&gt;3*[1]QC_indicators!$C$1,"DF","no")))</f>
        <v>0</v>
      </c>
    </row>
    <row r="1580" spans="1:150" hidden="1">
      <c r="A1580" s="1" t="s">
        <v>1971</v>
      </c>
      <c r="B1580" t="s">
        <v>2444</v>
      </c>
      <c r="C1580" t="s">
        <v>2445</v>
      </c>
      <c r="D1580" t="s">
        <v>2446</v>
      </c>
      <c r="E1580" t="s">
        <v>2447</v>
      </c>
      <c r="F1580" t="s">
        <v>2448</v>
      </c>
      <c r="G1580" t="s">
        <v>1977</v>
      </c>
      <c r="H1580" t="s">
        <v>254</v>
      </c>
      <c r="I1580">
        <v>2018</v>
      </c>
      <c r="J1580">
        <v>8</v>
      </c>
      <c r="K1580" t="s">
        <v>2449</v>
      </c>
      <c r="M1580" t="str">
        <f t="shared" si="2031"/>
        <v>Valade_2018</v>
      </c>
      <c r="N1580" t="s">
        <v>222</v>
      </c>
      <c r="O1580" s="145" t="s">
        <v>1153</v>
      </c>
      <c r="Q1580" t="s">
        <v>256</v>
      </c>
      <c r="R1580" s="255" t="s">
        <v>225</v>
      </c>
      <c r="S1580" s="1" t="s">
        <v>2453</v>
      </c>
      <c r="T1580" t="s">
        <v>2443</v>
      </c>
      <c r="U1580" t="s">
        <v>2454</v>
      </c>
      <c r="V1580">
        <v>0</v>
      </c>
      <c r="W1580">
        <v>0</v>
      </c>
      <c r="X1580">
        <v>0</v>
      </c>
      <c r="Y1580">
        <v>1</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s="141">
        <f t="shared" ref="AX1580:AX1604" si="2071">COUNTIF(V1580:AW1580,"&lt;&gt;0")</f>
        <v>1</v>
      </c>
      <c r="AY1580" s="141">
        <f t="shared" ref="AY1580:AY1604" si="2072">COUNTIF(V1580:AL1580,"&lt;&gt;0")</f>
        <v>1</v>
      </c>
      <c r="AZ1580">
        <f t="shared" ref="AZ1580:AZ1604" si="2073">COUNTIF(V1580:AC1580,"&lt;&gt;0")</f>
        <v>1</v>
      </c>
      <c r="BA1580">
        <f t="shared" ref="BA1580:BA1604" si="2074">COUNTIF(AD1580:AI1580,"&lt;&gt;0")</f>
        <v>0</v>
      </c>
      <c r="BB1580">
        <f t="shared" ref="BB1580:BB1604" si="2075">COUNTIF(AJ1580:AL1580,"&lt;&gt;0")</f>
        <v>0</v>
      </c>
      <c r="BC1580">
        <f t="shared" ref="BC1580:BC1604" si="2076">COUNTIF(AS1580:AW1580,"&lt;&gt;0")</f>
        <v>0</v>
      </c>
      <c r="BD1580">
        <f t="shared" ref="BD1580:BD1604" si="2077">COUNTIF(AM1580:AR1580,"&lt;&gt;0")</f>
        <v>0</v>
      </c>
      <c r="BE1580" t="str">
        <f t="array" ref="BE1580">IF(AY1580=1,INDEX($V$7:$AL$7,MATCH(TRUE,INDEX($V1580:$AW1580&lt;&gt;0,),0)),IF(AY1580=0,INDEX($AM$7:$AW$7,MATCH(1,$AM1580:$AW1580,0)),IF(BF1580="Multiple strategies","mixed drivers",IF(BF1580="Supply chain","multiple supply","multiple silviculture"))))</f>
        <v xml:space="preserve">cutting intensity </v>
      </c>
      <c r="BF1580" s="2" t="str" cm="1">
        <f t="array" ref="BF1580">IF(COUNTIF(AZ1580:BB1580,"&lt;&gt;0")=1,INDEX($V$4:$AW$4,MATCH(TRUE,INDEX($V1580:$AW1580&lt;&gt;0,),0)),IF(COUNTIF(AZ1580:BB1580,"&lt;&gt;0")=0,INDEX($AM$4:$AW$4,MATCH(1,$AM1580:$AW1580,0)),"Multiple strategies"))</f>
        <v>Silviculture for removals</v>
      </c>
      <c r="BG1580" s="1" t="s">
        <v>321</v>
      </c>
      <c r="BH1580" t="s">
        <v>2452</v>
      </c>
      <c r="BI1580" s="260" t="s">
        <v>3398</v>
      </c>
      <c r="BJ1580" t="s">
        <v>1322</v>
      </c>
      <c r="BK1580">
        <v>1168.5023099755704</v>
      </c>
      <c r="BL1580">
        <v>1304.0435025027948</v>
      </c>
      <c r="BM1580" s="143">
        <f t="shared" ref="BM1580:BM1592" si="2078">BL1580/BK1580</f>
        <v>1.1159956564656326</v>
      </c>
      <c r="BN1580">
        <f t="shared" ref="BN1580:BN1592" si="2079">BL1580-BK1580</f>
        <v>135.54119252722444</v>
      </c>
      <c r="BO1580">
        <f t="shared" ref="BO1580:BO1588" si="2080">BN1580*10^6</f>
        <v>135541192.52722445</v>
      </c>
      <c r="BP1580" t="s">
        <v>232</v>
      </c>
      <c r="BQ1580" s="260" t="s">
        <v>3399</v>
      </c>
      <c r="BR1580" t="s">
        <v>1358</v>
      </c>
      <c r="BS1580">
        <v>268.62539996228497</v>
      </c>
      <c r="BT1580">
        <v>195.10850099999999</v>
      </c>
      <c r="BU1580" s="144">
        <f t="shared" ref="BU1580:BU1604" si="2081">IFERROR(BT1580/BS1580,"")</f>
        <v>0.7263218631871492</v>
      </c>
      <c r="BV1580" s="144">
        <f t="shared" ref="BV1580:BV1604" si="2082">BT1580-BS1580</f>
        <v>-73.516898962284984</v>
      </c>
      <c r="BW1580" s="144"/>
      <c r="BX1580">
        <f t="shared" ref="BX1580:BX1592" si="2083">BV1580*10^6*C_to_CO2</f>
        <v>-269807019.1915859</v>
      </c>
      <c r="BY1580">
        <f t="shared" si="2070"/>
        <v>-1.9905905663135814</v>
      </c>
      <c r="BZ1580">
        <v>0</v>
      </c>
      <c r="CA1580">
        <v>0</v>
      </c>
      <c r="CB1580">
        <v>0</v>
      </c>
      <c r="CC1580">
        <v>0</v>
      </c>
      <c r="CD1580">
        <v>0</v>
      </c>
      <c r="CE1580">
        <v>0</v>
      </c>
      <c r="CF1580">
        <v>0</v>
      </c>
      <c r="CG1580">
        <v>0</v>
      </c>
      <c r="CH1580">
        <v>0</v>
      </c>
      <c r="CI1580">
        <v>0</v>
      </c>
      <c r="CJ1580">
        <v>0</v>
      </c>
      <c r="CK1580">
        <v>0</v>
      </c>
      <c r="CL1580">
        <v>0</v>
      </c>
      <c r="CM1580">
        <v>0</v>
      </c>
      <c r="CN1580" t="str">
        <f t="shared" ref="CN1580:CN1592" si="2084">IF($BL1580&lt;$BK1580,"refNeedCorrection","refOK")</f>
        <v>refOK</v>
      </c>
      <c r="CO1580">
        <f t="shared" ref="CO1580:CO1592" si="2085">IF($CN1580="refNeedCorrection",BL1580,BK1580)</f>
        <v>1168.5023099755704</v>
      </c>
      <c r="CP1580">
        <f t="shared" ref="CP1580:CP1592" si="2086">IF($CN1580="refNeedCorrection",BK1580,BL1580)</f>
        <v>1304.0435025027948</v>
      </c>
      <c r="CQ1580">
        <f t="shared" ref="CQ1580:CQ1592" si="2087">IF($CN1580="refOK",$BO1580,-$BO1580)</f>
        <v>135541192.52722445</v>
      </c>
      <c r="CR1580">
        <f t="shared" ref="CR1580:CR1604" si="2088">IF($CN1580="refOK",$BS1580,$BT1580)*IF($BP1580="Emissions positive",-1,1)</f>
        <v>268.62539996228497</v>
      </c>
      <c r="CS1580">
        <f t="shared" ref="CS1580:CS1604" si="2089">IF($CN1580="refOK",$BT1580,$BS1580)*IF($BP1580="Emissions positive",-1,1)</f>
        <v>195.10850099999999</v>
      </c>
      <c r="CT1580">
        <f t="shared" ref="CT1580:CT1604" si="2090">IF($CN1580="refNeedCorrection",-BX1580,BX1580)*IF($BP1580="Emissions positive",-1,1)</f>
        <v>-269807019.1915859</v>
      </c>
      <c r="CU1580">
        <f t="shared" ref="CU1580:CU1604" si="2091">IFERROR(CT1580/CQ1580,"")</f>
        <v>-1.9905905663135814</v>
      </c>
      <c r="CV1580" s="2">
        <f t="shared" ref="CV1580:CV1604" si="2092">IFERROR((CS1580-CR1580)/ABS(CR1580),"")</f>
        <v>-0.27367813681285075</v>
      </c>
      <c r="CW1580" s="1" t="s">
        <v>1202</v>
      </c>
      <c r="CX1580" t="str">
        <f t="shared" ref="CX1580:CX1604" si="2093">IF(OR($CW1580="prd",$CW1580="std",$CW1580="cit"),"loc",IF(OR($CW1580="eur",$CW1580="reg",$CW1580="coy"),"reg",$CW1580))</f>
        <v>reg</v>
      </c>
      <c r="CY1580" t="s">
        <v>729</v>
      </c>
      <c r="CZ1580">
        <v>2015</v>
      </c>
      <c r="DA1580">
        <v>2040</v>
      </c>
      <c r="DB1580">
        <f t="shared" ref="DB1580:DB1598" si="2094">DA1580-CZ1580</f>
        <v>25</v>
      </c>
      <c r="DC1580" t="str">
        <f t="shared" ref="DC1580:DC1604" si="2095">IF(DB1580=0,"0",IF(AND(DB1580&gt;=1,DB1580&lt;=30),"1-30",IF(AND(DB1580&gt;30,DB1580&lt;=70),"31-70",IF(AND(DB1580&gt;70,DB1580&lt;=100),"71-100",IF(DB1580&gt;100,"+100")))))</f>
        <v>1-30</v>
      </c>
      <c r="DD1580">
        <v>1</v>
      </c>
      <c r="DE1580">
        <v>0</v>
      </c>
      <c r="DF1580">
        <v>0</v>
      </c>
      <c r="DG1580">
        <v>0</v>
      </c>
      <c r="DI1580">
        <f t="shared" ref="DI1580:DI1604" si="2096">SUM(DD1580:DG1580)</f>
        <v>1</v>
      </c>
      <c r="DJ1580" t="str">
        <f t="shared" ref="DJ1580:DJ1604" si="2097">IF(DI1580=1,INDEX($DD$7:$DG$7,MATCH(1,$DD1580:$DG1580,0)),"mixedProduct")</f>
        <v>UpstreamInput</v>
      </c>
      <c r="DK1580" t="str">
        <f t="shared" ref="DK1580:DK1604" si="2098">IF(DD1580=1,DK$7,0)</f>
        <v>Upstream</v>
      </c>
      <c r="DL1580">
        <f t="shared" ref="DL1580:DL1604" si="2099">IF(DE1580=1,DL$7,0)</f>
        <v>0</v>
      </c>
      <c r="DM1580">
        <f t="shared" ref="DM1580:DM1604" si="2100">IF(DF1580=1,DM$7,0)</f>
        <v>0</v>
      </c>
      <c r="DN1580">
        <f t="shared" ref="DN1580:DN1604" si="2101">IF(DG1580=1,DN$7,0)</f>
        <v>0</v>
      </c>
      <c r="DO1580">
        <v>0</v>
      </c>
      <c r="DP1580">
        <v>0</v>
      </c>
      <c r="DQ1580">
        <v>0</v>
      </c>
      <c r="DR1580">
        <v>0</v>
      </c>
      <c r="DS1580">
        <v>0</v>
      </c>
      <c r="DT1580">
        <f t="shared" ref="DT1580:DT1604" si="2102">SUM(DO1580:DP1580)</f>
        <v>0</v>
      </c>
      <c r="DU1580" s="143" t="str">
        <f t="shared" ref="DU1580:DU1604" si="2103">IF(DO1580=1,"self-calculated DF",IF(DP1580=1,"external DF used","explicit C balance"))</f>
        <v>explicit C balance</v>
      </c>
      <c r="DV1580">
        <v>0</v>
      </c>
      <c r="DW1580">
        <v>1</v>
      </c>
      <c r="DX1580">
        <v>1</v>
      </c>
      <c r="DY1580">
        <v>0</v>
      </c>
      <c r="DZ1580">
        <v>0</v>
      </c>
      <c r="EA1580" s="143">
        <v>0</v>
      </c>
      <c r="EB1580">
        <v>0</v>
      </c>
      <c r="EC1580">
        <v>0</v>
      </c>
      <c r="ED1580">
        <v>0</v>
      </c>
      <c r="EE1580">
        <v>0</v>
      </c>
      <c r="EF1580">
        <v>1</v>
      </c>
      <c r="EG1580">
        <v>0</v>
      </c>
      <c r="EH1580">
        <v>0</v>
      </c>
      <c r="EI1580" s="2">
        <v>0</v>
      </c>
      <c r="EK1580" t="str">
        <f t="shared" ref="EK1580:EK1592" si="2104">IF(AND(AND(AND(OR($DX1580=1,$DW1580=1),OR($EC1580=1,$EA1580=1)),SUM($DV1580:$DZ1580,$EF1580)&gt;=4),SUM($EA1580:$EE1580)&gt;=2),"Whole sector","")</f>
        <v/>
      </c>
      <c r="EL1580" t="str">
        <f t="shared" ref="EL1580:EL1592" si="2105">IF(AND(AND(OR($DX1580=1,$DW1580=1),AND($EC1580=0,$EA1580=0)),SUM($DV1580:$DZ1580,$EF1580)&gt;=4),"Ecosystem approach","")</f>
        <v/>
      </c>
      <c r="EM1580" s="2" t="str">
        <f t="shared" ref="EM1580:EM1643" si="2106">IF(AND(AND(AND($DX1580=0,$DW1580=0),OR($EC1580=1,$EA1580=1)),SUM($EB1580:$EE1580)&gt;=2),"Technology approach","")</f>
        <v/>
      </c>
      <c r="EP1580" t="str">
        <f>IF(ISNUMBER(BU1580),IF(ABS(BU1580-[5]QC_indicators!$B$2)&gt;3*[5]QC_indicators!$C$2,"C ratio",IF(ISNUMBER(BY1580),IF(ABS(BY1580-[5]QC_indicators!$B$1)&gt;3*[5]QC_indicators!$C$1,"DF","no"))),IF(ISNUMBER(BY1580),IF(ABS(BY1580-[5]QC_indicators!$B$1)&gt;3*[5]QC_indicators!$C$1,"DF","no")))</f>
        <v>no</v>
      </c>
      <c r="EQ1580" t="s">
        <v>2377</v>
      </c>
      <c r="ET1580" s="264" t="s">
        <v>3272</v>
      </c>
    </row>
    <row r="1581" spans="1:150" hidden="1">
      <c r="A1581" s="1" t="s">
        <v>1971</v>
      </c>
      <c r="B1581" t="s">
        <v>2444</v>
      </c>
      <c r="C1581" t="s">
        <v>2445</v>
      </c>
      <c r="D1581" t="s">
        <v>2446</v>
      </c>
      <c r="E1581" t="s">
        <v>2447</v>
      </c>
      <c r="F1581" t="s">
        <v>2448</v>
      </c>
      <c r="G1581" t="s">
        <v>1977</v>
      </c>
      <c r="H1581" t="s">
        <v>254</v>
      </c>
      <c r="I1581">
        <v>2018</v>
      </c>
      <c r="J1581">
        <v>8</v>
      </c>
      <c r="K1581" t="s">
        <v>2449</v>
      </c>
      <c r="M1581" t="str">
        <f t="shared" si="2031"/>
        <v>Valade_2018</v>
      </c>
      <c r="N1581" t="s">
        <v>222</v>
      </c>
      <c r="O1581" s="145" t="s">
        <v>1153</v>
      </c>
      <c r="Q1581" t="s">
        <v>256</v>
      </c>
      <c r="R1581" s="255" t="s">
        <v>225</v>
      </c>
      <c r="S1581" s="1" t="s">
        <v>2450</v>
      </c>
      <c r="T1581" t="s">
        <v>2443</v>
      </c>
      <c r="U1581" t="s">
        <v>2451</v>
      </c>
      <c r="V1581">
        <v>1</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s="141">
        <f t="shared" si="2071"/>
        <v>1</v>
      </c>
      <c r="AY1581" s="141">
        <f t="shared" si="2072"/>
        <v>1</v>
      </c>
      <c r="AZ1581">
        <f t="shared" si="2073"/>
        <v>1</v>
      </c>
      <c r="BA1581">
        <f t="shared" si="2074"/>
        <v>0</v>
      </c>
      <c r="BB1581">
        <f t="shared" si="2075"/>
        <v>0</v>
      </c>
      <c r="BC1581">
        <f t="shared" si="2076"/>
        <v>0</v>
      </c>
      <c r="BD1581">
        <f t="shared" si="2077"/>
        <v>0</v>
      </c>
      <c r="BE1581" t="str">
        <f t="array" ref="BE1581">IF(AY1581=1,INDEX($V$7:$AL$7,MATCH(TRUE,INDEX($V1581:$AW1581&lt;&gt;0,),0)),IF(AY1581=0,INDEX($AM$7:$AW$7,MATCH(1,$AM1581:$AW1581,0)),IF(BF1581="Multiple strategies","mixed drivers",IF(BF1581="Supply chain","multiple supply","multiple silviculture"))))</f>
        <v>area subject to harvest</v>
      </c>
      <c r="BF1581" s="2" t="str" cm="1">
        <f t="array" ref="BF1581">IF(COUNTIF(AZ1581:BB1581,"&lt;&gt;0")=1,INDEX($V$4:$AW$4,MATCH(TRUE,INDEX($V1581:$AW1581&lt;&gt;0,),0)),IF(COUNTIF(AZ1581:BB1581,"&lt;&gt;0")=0,INDEX($AM$4:$AW$4,MATCH(1,$AM1581:$AW1581,0)),"Multiple strategies"))</f>
        <v>Silviculture for removals</v>
      </c>
      <c r="BG1581" s="1" t="s">
        <v>321</v>
      </c>
      <c r="BH1581" t="s">
        <v>2452</v>
      </c>
      <c r="BI1581" s="260" t="s">
        <v>3398</v>
      </c>
      <c r="BJ1581" t="s">
        <v>1322</v>
      </c>
      <c r="BK1581">
        <v>1168.5023099755704</v>
      </c>
      <c r="BL1581">
        <v>1547.3378240138293</v>
      </c>
      <c r="BM1581" s="143">
        <f t="shared" si="2078"/>
        <v>1.3242060463245291</v>
      </c>
      <c r="BN1581">
        <f t="shared" si="2079"/>
        <v>378.83551403825891</v>
      </c>
      <c r="BO1581">
        <f t="shared" si="2080"/>
        <v>378835514.03825891</v>
      </c>
      <c r="BP1581" t="s">
        <v>232</v>
      </c>
      <c r="BQ1581" s="260" t="s">
        <v>3399</v>
      </c>
      <c r="BR1581" t="s">
        <v>1358</v>
      </c>
      <c r="BS1581">
        <v>268.62539996228497</v>
      </c>
      <c r="BT1581">
        <v>65.981368000000003</v>
      </c>
      <c r="BU1581" s="144">
        <f t="shared" si="2081"/>
        <v>0.24562594605448254</v>
      </c>
      <c r="BV1581" s="144">
        <f t="shared" si="2082"/>
        <v>-202.64403196228497</v>
      </c>
      <c r="BW1581" s="144"/>
      <c r="BX1581">
        <f t="shared" si="2083"/>
        <v>-743703597.30158591</v>
      </c>
      <c r="BY1581">
        <f t="shared" si="2070"/>
        <v>-1.9631306193391327</v>
      </c>
      <c r="BZ1581">
        <v>0</v>
      </c>
      <c r="CA1581">
        <v>0</v>
      </c>
      <c r="CB1581">
        <v>0</v>
      </c>
      <c r="CC1581">
        <v>0</v>
      </c>
      <c r="CD1581">
        <v>0</v>
      </c>
      <c r="CE1581">
        <v>0</v>
      </c>
      <c r="CF1581">
        <v>0</v>
      </c>
      <c r="CG1581">
        <v>0</v>
      </c>
      <c r="CH1581">
        <v>0</v>
      </c>
      <c r="CI1581">
        <v>0</v>
      </c>
      <c r="CJ1581">
        <v>0</v>
      </c>
      <c r="CK1581">
        <v>0</v>
      </c>
      <c r="CL1581">
        <v>0</v>
      </c>
      <c r="CM1581">
        <v>0</v>
      </c>
      <c r="CN1581" t="str">
        <f t="shared" si="2084"/>
        <v>refOK</v>
      </c>
      <c r="CO1581">
        <f t="shared" si="2085"/>
        <v>1168.5023099755704</v>
      </c>
      <c r="CP1581">
        <f t="shared" si="2086"/>
        <v>1547.3378240138293</v>
      </c>
      <c r="CQ1581">
        <f t="shared" si="2087"/>
        <v>378835514.03825891</v>
      </c>
      <c r="CR1581">
        <f t="shared" si="2088"/>
        <v>268.62539996228497</v>
      </c>
      <c r="CS1581">
        <f t="shared" si="2089"/>
        <v>65.981368000000003</v>
      </c>
      <c r="CT1581">
        <f t="shared" si="2090"/>
        <v>-743703597.30158591</v>
      </c>
      <c r="CU1581">
        <f t="shared" si="2091"/>
        <v>-1.9631306193391327</v>
      </c>
      <c r="CV1581" s="2">
        <f t="shared" si="2092"/>
        <v>-0.75437405394551749</v>
      </c>
      <c r="CW1581" s="1" t="s">
        <v>1202</v>
      </c>
      <c r="CX1581" t="str">
        <f t="shared" si="2093"/>
        <v>reg</v>
      </c>
      <c r="CY1581" t="s">
        <v>729</v>
      </c>
      <c r="CZ1581">
        <v>2015</v>
      </c>
      <c r="DA1581">
        <v>2040</v>
      </c>
      <c r="DB1581">
        <f t="shared" si="2094"/>
        <v>25</v>
      </c>
      <c r="DC1581" t="str">
        <f t="shared" si="2095"/>
        <v>1-30</v>
      </c>
      <c r="DD1581">
        <v>1</v>
      </c>
      <c r="DE1581">
        <v>0</v>
      </c>
      <c r="DF1581">
        <v>0</v>
      </c>
      <c r="DG1581">
        <v>0</v>
      </c>
      <c r="DI1581">
        <f t="shared" si="2096"/>
        <v>1</v>
      </c>
      <c r="DJ1581" t="str">
        <f t="shared" si="2097"/>
        <v>UpstreamInput</v>
      </c>
      <c r="DK1581" t="str">
        <f t="shared" si="2098"/>
        <v>Upstream</v>
      </c>
      <c r="DL1581">
        <f t="shared" si="2099"/>
        <v>0</v>
      </c>
      <c r="DM1581">
        <f t="shared" si="2100"/>
        <v>0</v>
      </c>
      <c r="DN1581">
        <f t="shared" si="2101"/>
        <v>0</v>
      </c>
      <c r="DO1581">
        <v>0</v>
      </c>
      <c r="DP1581">
        <v>0</v>
      </c>
      <c r="DQ1581">
        <v>0</v>
      </c>
      <c r="DR1581">
        <v>0</v>
      </c>
      <c r="DS1581">
        <v>0</v>
      </c>
      <c r="DT1581">
        <f t="shared" si="2102"/>
        <v>0</v>
      </c>
      <c r="DU1581" s="143" t="str">
        <f t="shared" si="2103"/>
        <v>explicit C balance</v>
      </c>
      <c r="DV1581">
        <v>0</v>
      </c>
      <c r="DW1581">
        <v>1</v>
      </c>
      <c r="DX1581">
        <v>1</v>
      </c>
      <c r="DY1581">
        <v>0</v>
      </c>
      <c r="DZ1581">
        <v>0</v>
      </c>
      <c r="EA1581" s="143">
        <v>0</v>
      </c>
      <c r="EB1581">
        <v>0</v>
      </c>
      <c r="EC1581">
        <v>0</v>
      </c>
      <c r="ED1581">
        <v>0</v>
      </c>
      <c r="EE1581">
        <v>0</v>
      </c>
      <c r="EF1581">
        <v>1</v>
      </c>
      <c r="EG1581">
        <v>0</v>
      </c>
      <c r="EH1581">
        <v>0</v>
      </c>
      <c r="EI1581" s="2">
        <v>0</v>
      </c>
      <c r="EK1581" t="str">
        <f t="shared" si="2104"/>
        <v/>
      </c>
      <c r="EL1581" t="str">
        <f t="shared" si="2105"/>
        <v/>
      </c>
      <c r="EM1581" s="2" t="str">
        <f t="shared" si="2106"/>
        <v/>
      </c>
      <c r="EP1581" t="str">
        <f>IF(ISNUMBER(BU1581),IF(ABS(BU1581-[5]QC_indicators!$B$2)&gt;3*[5]QC_indicators!$C$2,"C ratio",IF(ISNUMBER(BY1581),IF(ABS(BY1581-[5]QC_indicators!$B$1)&gt;3*[5]QC_indicators!$C$1,"DF","no"))),IF(ISNUMBER(BY1581),IF(ABS(BY1581-[5]QC_indicators!$B$1)&gt;3*[5]QC_indicators!$C$1,"DF","no")))</f>
        <v>no</v>
      </c>
      <c r="EQ1581" t="s">
        <v>2377</v>
      </c>
      <c r="ET1581" s="264" t="s">
        <v>3272</v>
      </c>
    </row>
    <row r="1582" spans="1:150" hidden="1">
      <c r="A1582" s="1" t="s">
        <v>1971</v>
      </c>
      <c r="B1582" t="s">
        <v>2444</v>
      </c>
      <c r="C1582" t="s">
        <v>2445</v>
      </c>
      <c r="D1582" t="s">
        <v>2446</v>
      </c>
      <c r="E1582" t="s">
        <v>2447</v>
      </c>
      <c r="F1582" t="s">
        <v>2448</v>
      </c>
      <c r="G1582" t="s">
        <v>1977</v>
      </c>
      <c r="H1582" t="s">
        <v>254</v>
      </c>
      <c r="I1582">
        <v>2018</v>
      </c>
      <c r="J1582">
        <v>8</v>
      </c>
      <c r="K1582" t="s">
        <v>2449</v>
      </c>
      <c r="M1582" t="str">
        <f t="shared" si="2031"/>
        <v>Valade_2018</v>
      </c>
      <c r="N1582" t="s">
        <v>222</v>
      </c>
      <c r="O1582" s="145" t="s">
        <v>1153</v>
      </c>
      <c r="Q1582" t="s">
        <v>256</v>
      </c>
      <c r="R1582" s="255" t="s">
        <v>225</v>
      </c>
      <c r="S1582" s="1" t="s">
        <v>2455</v>
      </c>
      <c r="T1582" t="s">
        <v>2443</v>
      </c>
      <c r="U1582" t="s">
        <v>2456</v>
      </c>
      <c r="V1582">
        <v>0</v>
      </c>
      <c r="W1582">
        <v>0</v>
      </c>
      <c r="X1582">
        <v>1</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s="141">
        <f t="shared" si="2071"/>
        <v>1</v>
      </c>
      <c r="AY1582" s="141">
        <f t="shared" si="2072"/>
        <v>1</v>
      </c>
      <c r="AZ1582">
        <f t="shared" si="2073"/>
        <v>1</v>
      </c>
      <c r="BA1582">
        <f t="shared" si="2074"/>
        <v>0</v>
      </c>
      <c r="BB1582">
        <f t="shared" si="2075"/>
        <v>0</v>
      </c>
      <c r="BC1582">
        <f t="shared" si="2076"/>
        <v>0</v>
      </c>
      <c r="BD1582">
        <f t="shared" si="2077"/>
        <v>0</v>
      </c>
      <c r="BE1582" t="str">
        <f t="array" ref="BE1582">IF(AY1582=1,INDEX($V$7:$AL$7,MATCH(TRUE,INDEX($V1582:$AW1582&lt;&gt;0,),0)),IF(AY1582=0,INDEX($AM$7:$AW$7,MATCH(1,$AM1582:$AW1582,0)),IF(BF1582="Multiple strategies","mixed drivers",IF(BF1582="Supply chain","multiple supply","multiple silviculture"))))</f>
        <v>rotation length</v>
      </c>
      <c r="BF1582" s="2" t="str" cm="1">
        <f t="array" ref="BF1582">IF(COUNTIF(AZ1582:BB1582,"&lt;&gt;0")=1,INDEX($V$4:$AW$4,MATCH(TRUE,INDEX($V1582:$AW1582&lt;&gt;0,),0)),IF(COUNTIF(AZ1582:BB1582,"&lt;&gt;0")=0,INDEX($AM$4:$AW$4,MATCH(1,$AM1582:$AW1582,0)),"Multiple strategies"))</f>
        <v>Silviculture for removals</v>
      </c>
      <c r="BG1582" s="1" t="s">
        <v>321</v>
      </c>
      <c r="BH1582" t="s">
        <v>2452</v>
      </c>
      <c r="BI1582" s="260" t="s">
        <v>3398</v>
      </c>
      <c r="BJ1582" t="s">
        <v>1322</v>
      </c>
      <c r="BK1582">
        <v>1168.5023099755704</v>
      </c>
      <c r="BL1582">
        <v>2095.3144563242754</v>
      </c>
      <c r="BM1582" s="143">
        <f t="shared" si="2078"/>
        <v>1.7931624425869399</v>
      </c>
      <c r="BN1582">
        <f t="shared" si="2079"/>
        <v>926.81214634870503</v>
      </c>
      <c r="BO1582">
        <f t="shared" si="2080"/>
        <v>926812146.34870505</v>
      </c>
      <c r="BP1582" t="s">
        <v>232</v>
      </c>
      <c r="BQ1582" s="260" t="s">
        <v>3399</v>
      </c>
      <c r="BR1582" t="s">
        <v>1358</v>
      </c>
      <c r="BS1582">
        <v>268.62539996228497</v>
      </c>
      <c r="BT1582">
        <v>-158.820853</v>
      </c>
      <c r="BU1582" s="144">
        <f t="shared" si="2081"/>
        <v>-0.59123542681480779</v>
      </c>
      <c r="BV1582" s="144">
        <f t="shared" si="2082"/>
        <v>-427.44625296228497</v>
      </c>
      <c r="BW1582" s="144"/>
      <c r="BX1582">
        <f t="shared" si="2083"/>
        <v>-1568727748.3715858</v>
      </c>
      <c r="BY1582">
        <f t="shared" si="2070"/>
        <v>-1.6926059445290929</v>
      </c>
      <c r="BZ1582">
        <v>0</v>
      </c>
      <c r="CA1582">
        <v>0</v>
      </c>
      <c r="CB1582">
        <v>0</v>
      </c>
      <c r="CC1582">
        <v>0</v>
      </c>
      <c r="CD1582">
        <v>0</v>
      </c>
      <c r="CE1582">
        <v>0</v>
      </c>
      <c r="CF1582">
        <v>0</v>
      </c>
      <c r="CG1582">
        <v>0</v>
      </c>
      <c r="CH1582">
        <v>0</v>
      </c>
      <c r="CI1582">
        <v>0</v>
      </c>
      <c r="CJ1582">
        <v>0</v>
      </c>
      <c r="CK1582">
        <v>0</v>
      </c>
      <c r="CL1582">
        <v>0</v>
      </c>
      <c r="CM1582">
        <v>0</v>
      </c>
      <c r="CN1582" t="str">
        <f t="shared" si="2084"/>
        <v>refOK</v>
      </c>
      <c r="CO1582">
        <f t="shared" si="2085"/>
        <v>1168.5023099755704</v>
      </c>
      <c r="CP1582">
        <f t="shared" si="2086"/>
        <v>2095.3144563242754</v>
      </c>
      <c r="CQ1582">
        <f t="shared" si="2087"/>
        <v>926812146.34870505</v>
      </c>
      <c r="CR1582">
        <f t="shared" si="2088"/>
        <v>268.62539996228497</v>
      </c>
      <c r="CS1582">
        <f t="shared" si="2089"/>
        <v>-158.820853</v>
      </c>
      <c r="CT1582">
        <f t="shared" si="2090"/>
        <v>-1568727748.3715858</v>
      </c>
      <c r="CU1582">
        <f t="shared" si="2091"/>
        <v>-1.6926059445290929</v>
      </c>
      <c r="CV1582" s="2">
        <f t="shared" si="2092"/>
        <v>-1.5912354268148077</v>
      </c>
      <c r="CW1582" s="1" t="s">
        <v>1202</v>
      </c>
      <c r="CX1582" t="str">
        <f t="shared" si="2093"/>
        <v>reg</v>
      </c>
      <c r="CY1582" t="s">
        <v>729</v>
      </c>
      <c r="CZ1582">
        <v>2015</v>
      </c>
      <c r="DA1582">
        <v>2040</v>
      </c>
      <c r="DB1582">
        <f t="shared" si="2094"/>
        <v>25</v>
      </c>
      <c r="DC1582" t="str">
        <f t="shared" si="2095"/>
        <v>1-30</v>
      </c>
      <c r="DD1582">
        <v>1</v>
      </c>
      <c r="DE1582">
        <v>0</v>
      </c>
      <c r="DF1582">
        <v>0</v>
      </c>
      <c r="DG1582">
        <v>0</v>
      </c>
      <c r="DI1582">
        <f t="shared" si="2096"/>
        <v>1</v>
      </c>
      <c r="DJ1582" t="str">
        <f t="shared" si="2097"/>
        <v>UpstreamInput</v>
      </c>
      <c r="DK1582" t="str">
        <f t="shared" si="2098"/>
        <v>Upstream</v>
      </c>
      <c r="DL1582">
        <f t="shared" si="2099"/>
        <v>0</v>
      </c>
      <c r="DM1582">
        <f t="shared" si="2100"/>
        <v>0</v>
      </c>
      <c r="DN1582">
        <f t="shared" si="2101"/>
        <v>0</v>
      </c>
      <c r="DO1582">
        <v>0</v>
      </c>
      <c r="DP1582">
        <v>0</v>
      </c>
      <c r="DQ1582">
        <v>0</v>
      </c>
      <c r="DR1582">
        <v>0</v>
      </c>
      <c r="DS1582">
        <v>0</v>
      </c>
      <c r="DT1582">
        <f t="shared" si="2102"/>
        <v>0</v>
      </c>
      <c r="DU1582" s="143" t="str">
        <f t="shared" si="2103"/>
        <v>explicit C balance</v>
      </c>
      <c r="DV1582">
        <v>0</v>
      </c>
      <c r="DW1582">
        <v>1</v>
      </c>
      <c r="DX1582">
        <v>1</v>
      </c>
      <c r="DY1582">
        <v>0</v>
      </c>
      <c r="DZ1582">
        <v>0</v>
      </c>
      <c r="EA1582" s="143">
        <v>0</v>
      </c>
      <c r="EB1582">
        <v>0</v>
      </c>
      <c r="EC1582">
        <v>0</v>
      </c>
      <c r="ED1582">
        <v>0</v>
      </c>
      <c r="EE1582">
        <v>0</v>
      </c>
      <c r="EF1582">
        <v>1</v>
      </c>
      <c r="EG1582">
        <v>0</v>
      </c>
      <c r="EH1582">
        <v>0</v>
      </c>
      <c r="EI1582" s="2">
        <v>0</v>
      </c>
      <c r="EK1582" t="str">
        <f t="shared" si="2104"/>
        <v/>
      </c>
      <c r="EL1582" t="str">
        <f t="shared" si="2105"/>
        <v/>
      </c>
      <c r="EM1582" s="2" t="str">
        <f t="shared" si="2106"/>
        <v/>
      </c>
      <c r="EP1582" t="str">
        <f>IF(ISNUMBER(BU1582),IF(ABS(BU1582-[5]QC_indicators!$B$2)&gt;3*[5]QC_indicators!$C$2,"C ratio",IF(ISNUMBER(BY1582),IF(ABS(BY1582-[5]QC_indicators!$B$1)&gt;3*[5]QC_indicators!$C$1,"DF","no"))),IF(ISNUMBER(BY1582),IF(ABS(BY1582-[5]QC_indicators!$B$1)&gt;3*[5]QC_indicators!$C$1,"DF","no")))</f>
        <v>no</v>
      </c>
      <c r="EQ1582" t="s">
        <v>2377</v>
      </c>
      <c r="ET1582" s="264" t="s">
        <v>3272</v>
      </c>
    </row>
    <row r="1583" spans="1:150" hidden="1">
      <c r="A1583" s="1" t="s">
        <v>1971</v>
      </c>
      <c r="B1583" t="s">
        <v>2444</v>
      </c>
      <c r="C1583" t="s">
        <v>2445</v>
      </c>
      <c r="D1583" t="s">
        <v>2446</v>
      </c>
      <c r="E1583" t="s">
        <v>2447</v>
      </c>
      <c r="F1583" t="s">
        <v>2448</v>
      </c>
      <c r="G1583" t="s">
        <v>1977</v>
      </c>
      <c r="H1583" t="s">
        <v>254</v>
      </c>
      <c r="I1583">
        <v>2018</v>
      </c>
      <c r="J1583">
        <v>8</v>
      </c>
      <c r="K1583" t="s">
        <v>2449</v>
      </c>
      <c r="M1583" t="str">
        <f t="shared" si="2031"/>
        <v>Valade_2018</v>
      </c>
      <c r="N1583" t="s">
        <v>222</v>
      </c>
      <c r="O1583" s="145" t="s">
        <v>1153</v>
      </c>
      <c r="Q1583" t="s">
        <v>256</v>
      </c>
      <c r="R1583" s="255" t="s">
        <v>225</v>
      </c>
      <c r="S1583" s="1" t="s">
        <v>2453</v>
      </c>
      <c r="T1583" t="s">
        <v>2443</v>
      </c>
      <c r="U1583" t="s">
        <v>2454</v>
      </c>
      <c r="V1583">
        <v>0</v>
      </c>
      <c r="W1583">
        <v>0</v>
      </c>
      <c r="X1583">
        <v>0</v>
      </c>
      <c r="Y1583">
        <v>1</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s="141">
        <f t="shared" si="2071"/>
        <v>1</v>
      </c>
      <c r="AY1583" s="141">
        <f t="shared" si="2072"/>
        <v>1</v>
      </c>
      <c r="AZ1583">
        <f t="shared" si="2073"/>
        <v>1</v>
      </c>
      <c r="BA1583">
        <f t="shared" si="2074"/>
        <v>0</v>
      </c>
      <c r="BB1583">
        <f t="shared" si="2075"/>
        <v>0</v>
      </c>
      <c r="BC1583">
        <f t="shared" si="2076"/>
        <v>0</v>
      </c>
      <c r="BD1583">
        <f t="shared" si="2077"/>
        <v>0</v>
      </c>
      <c r="BE1583" t="str">
        <f t="array" ref="BE1583">IF(AY1583=1,INDEX($V$7:$AL$7,MATCH(TRUE,INDEX($V1583:$AW1583&lt;&gt;0,),0)),IF(AY1583=0,INDEX($AM$7:$AW$7,MATCH(1,$AM1583:$AW1583,0)),IF(BF1583="Multiple strategies","mixed drivers",IF(BF1583="Supply chain","multiple supply","multiple silviculture"))))</f>
        <v xml:space="preserve">cutting intensity </v>
      </c>
      <c r="BF1583" s="2" t="str" cm="1">
        <f t="array" ref="BF1583">IF(COUNTIF(AZ1583:BB1583,"&lt;&gt;0")=1,INDEX($V$4:$AW$4,MATCH(TRUE,INDEX($V1583:$AW1583&lt;&gt;0,),0)),IF(COUNTIF(AZ1583:BB1583,"&lt;&gt;0")=0,INDEX($AM$4:$AW$4,MATCH(1,$AM1583:$AW1583,0)),"Multiple strategies"))</f>
        <v>Silviculture for removals</v>
      </c>
      <c r="BG1583" s="1" t="s">
        <v>321</v>
      </c>
      <c r="BH1583" t="s">
        <v>2452</v>
      </c>
      <c r="BI1583" s="260" t="s">
        <v>3398</v>
      </c>
      <c r="BJ1583" t="s">
        <v>1322</v>
      </c>
      <c r="BK1583">
        <v>1168.5023099755704</v>
      </c>
      <c r="BL1583">
        <v>1304.0435025027948</v>
      </c>
      <c r="BM1583" s="143">
        <f t="shared" si="2078"/>
        <v>1.1159956564656326</v>
      </c>
      <c r="BN1583">
        <f t="shared" si="2079"/>
        <v>135.54119252722444</v>
      </c>
      <c r="BO1583">
        <f t="shared" si="2080"/>
        <v>135541192.52722445</v>
      </c>
      <c r="BP1583" t="s">
        <v>232</v>
      </c>
      <c r="BQ1583" s="260" t="s">
        <v>3401</v>
      </c>
      <c r="BR1583" t="s">
        <v>1358</v>
      </c>
      <c r="BS1583">
        <v>391.99006315946394</v>
      </c>
      <c r="BT1583">
        <v>335.062296</v>
      </c>
      <c r="BU1583" s="144">
        <f t="shared" si="2081"/>
        <v>0.85477242279913257</v>
      </c>
      <c r="BV1583" s="144">
        <f t="shared" si="2082"/>
        <v>-56.92776715946394</v>
      </c>
      <c r="BW1583" s="144"/>
      <c r="BX1583">
        <f t="shared" si="2083"/>
        <v>-208924905.47523266</v>
      </c>
      <c r="BY1583">
        <f t="shared" si="2070"/>
        <v>-1.5414126257836234</v>
      </c>
      <c r="BZ1583">
        <v>0</v>
      </c>
      <c r="CA1583">
        <v>0</v>
      </c>
      <c r="CB1583">
        <v>0</v>
      </c>
      <c r="CC1583">
        <v>0</v>
      </c>
      <c r="CD1583">
        <v>0</v>
      </c>
      <c r="CE1583">
        <v>0</v>
      </c>
      <c r="CF1583">
        <v>0</v>
      </c>
      <c r="CG1583">
        <v>0</v>
      </c>
      <c r="CH1583">
        <v>0</v>
      </c>
      <c r="CI1583">
        <v>0</v>
      </c>
      <c r="CJ1583">
        <v>0</v>
      </c>
      <c r="CK1583">
        <v>0</v>
      </c>
      <c r="CL1583">
        <v>0</v>
      </c>
      <c r="CM1583">
        <v>0</v>
      </c>
      <c r="CN1583" t="str">
        <f t="shared" si="2084"/>
        <v>refOK</v>
      </c>
      <c r="CO1583">
        <f t="shared" si="2085"/>
        <v>1168.5023099755704</v>
      </c>
      <c r="CP1583">
        <f t="shared" si="2086"/>
        <v>1304.0435025027948</v>
      </c>
      <c r="CQ1583">
        <f t="shared" si="2087"/>
        <v>135541192.52722445</v>
      </c>
      <c r="CR1583">
        <f t="shared" si="2088"/>
        <v>391.99006315946394</v>
      </c>
      <c r="CS1583">
        <f t="shared" si="2089"/>
        <v>335.062296</v>
      </c>
      <c r="CT1583">
        <f t="shared" si="2090"/>
        <v>-208924905.47523266</v>
      </c>
      <c r="CU1583">
        <f t="shared" si="2091"/>
        <v>-1.5414126257836234</v>
      </c>
      <c r="CV1583" s="2">
        <f t="shared" si="2092"/>
        <v>-0.1452275772008674</v>
      </c>
      <c r="CW1583" s="1" t="s">
        <v>1202</v>
      </c>
      <c r="CX1583" t="str">
        <f t="shared" si="2093"/>
        <v>reg</v>
      </c>
      <c r="CY1583" t="s">
        <v>729</v>
      </c>
      <c r="CZ1583">
        <v>2015</v>
      </c>
      <c r="DA1583">
        <v>2040</v>
      </c>
      <c r="DB1583">
        <f t="shared" si="2094"/>
        <v>25</v>
      </c>
      <c r="DC1583" t="str">
        <f t="shared" si="2095"/>
        <v>1-30</v>
      </c>
      <c r="DD1583">
        <v>1</v>
      </c>
      <c r="DE1583">
        <v>1</v>
      </c>
      <c r="DF1583">
        <v>1</v>
      </c>
      <c r="DG1583">
        <v>1</v>
      </c>
      <c r="DI1583">
        <f t="shared" si="2096"/>
        <v>4</v>
      </c>
      <c r="DJ1583" t="str">
        <f t="shared" si="2097"/>
        <v>mixedProduct</v>
      </c>
      <c r="DK1583" t="str">
        <f t="shared" si="2098"/>
        <v>Upstream</v>
      </c>
      <c r="DL1583" t="str">
        <f t="shared" si="2099"/>
        <v>Energy</v>
      </c>
      <c r="DM1583" t="str">
        <f t="shared" si="2100"/>
        <v>Pulp/Paper</v>
      </c>
      <c r="DN1583" t="str">
        <f t="shared" si="2101"/>
        <v>Timber</v>
      </c>
      <c r="DO1583">
        <v>0</v>
      </c>
      <c r="DP1583">
        <v>0</v>
      </c>
      <c r="DQ1583">
        <v>0</v>
      </c>
      <c r="DR1583">
        <v>0</v>
      </c>
      <c r="DS1583">
        <v>0</v>
      </c>
      <c r="DT1583">
        <f t="shared" si="2102"/>
        <v>0</v>
      </c>
      <c r="DU1583" s="143" t="str">
        <f t="shared" si="2103"/>
        <v>explicit C balance</v>
      </c>
      <c r="DV1583">
        <v>0</v>
      </c>
      <c r="DW1583">
        <v>1</v>
      </c>
      <c r="DX1583">
        <v>1</v>
      </c>
      <c r="DY1583">
        <v>1</v>
      </c>
      <c r="DZ1583">
        <v>1</v>
      </c>
      <c r="EA1583" s="143">
        <v>0</v>
      </c>
      <c r="EB1583">
        <v>0</v>
      </c>
      <c r="EC1583">
        <v>0</v>
      </c>
      <c r="ED1583">
        <v>0</v>
      </c>
      <c r="EE1583">
        <v>0</v>
      </c>
      <c r="EF1583">
        <v>1</v>
      </c>
      <c r="EG1583">
        <v>0</v>
      </c>
      <c r="EH1583">
        <v>0</v>
      </c>
      <c r="EI1583" s="2">
        <v>0</v>
      </c>
      <c r="EK1583" t="str">
        <f t="shared" si="2104"/>
        <v/>
      </c>
      <c r="EL1583" t="str">
        <f t="shared" si="2105"/>
        <v>Ecosystem approach</v>
      </c>
      <c r="EM1583" s="2" t="str">
        <f t="shared" si="2106"/>
        <v/>
      </c>
      <c r="EP1583" t="str">
        <f>IF(ISNUMBER(BU1583),IF(ABS(BU1583-[5]QC_indicators!$B$2)&gt;3*[5]QC_indicators!$C$2,"C ratio",IF(ISNUMBER(BY1583),IF(ABS(BY1583-[5]QC_indicators!$B$1)&gt;3*[5]QC_indicators!$C$1,"DF","no"))),IF(ISNUMBER(BY1583),IF(ABS(BY1583-[5]QC_indicators!$B$1)&gt;3*[5]QC_indicators!$C$1,"DF","no")))</f>
        <v>no</v>
      </c>
      <c r="EQ1583" t="s">
        <v>2377</v>
      </c>
      <c r="ET1583" s="264" t="s">
        <v>3272</v>
      </c>
    </row>
    <row r="1584" spans="1:150" hidden="1">
      <c r="A1584" s="1" t="s">
        <v>1971</v>
      </c>
      <c r="B1584" t="s">
        <v>2444</v>
      </c>
      <c r="C1584" t="s">
        <v>2445</v>
      </c>
      <c r="D1584" t="s">
        <v>2446</v>
      </c>
      <c r="E1584" t="s">
        <v>2447</v>
      </c>
      <c r="F1584" t="s">
        <v>2448</v>
      </c>
      <c r="G1584" t="s">
        <v>1977</v>
      </c>
      <c r="H1584" t="s">
        <v>254</v>
      </c>
      <c r="I1584">
        <v>2018</v>
      </c>
      <c r="J1584">
        <v>8</v>
      </c>
      <c r="K1584" t="s">
        <v>2449</v>
      </c>
      <c r="M1584" t="str">
        <f t="shared" si="2031"/>
        <v>Valade_2018</v>
      </c>
      <c r="N1584" t="s">
        <v>222</v>
      </c>
      <c r="O1584" s="145" t="s">
        <v>1153</v>
      </c>
      <c r="Q1584" t="s">
        <v>256</v>
      </c>
      <c r="R1584" s="255" t="s">
        <v>225</v>
      </c>
      <c r="S1584" s="1" t="s">
        <v>2450</v>
      </c>
      <c r="T1584" t="s">
        <v>2443</v>
      </c>
      <c r="U1584" t="s">
        <v>2451</v>
      </c>
      <c r="V1584">
        <v>1</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s="141">
        <f t="shared" si="2071"/>
        <v>1</v>
      </c>
      <c r="AY1584" s="141">
        <f t="shared" si="2072"/>
        <v>1</v>
      </c>
      <c r="AZ1584">
        <f t="shared" si="2073"/>
        <v>1</v>
      </c>
      <c r="BA1584">
        <f t="shared" si="2074"/>
        <v>0</v>
      </c>
      <c r="BB1584">
        <f t="shared" si="2075"/>
        <v>0</v>
      </c>
      <c r="BC1584">
        <f t="shared" si="2076"/>
        <v>0</v>
      </c>
      <c r="BD1584">
        <f t="shared" si="2077"/>
        <v>0</v>
      </c>
      <c r="BE1584" t="str">
        <f t="array" ref="BE1584">IF(AY1584=1,INDEX($V$7:$AL$7,MATCH(TRUE,INDEX($V1584:$AW1584&lt;&gt;0,),0)),IF(AY1584=0,INDEX($AM$7:$AW$7,MATCH(1,$AM1584:$AW1584,0)),IF(BF1584="Multiple strategies","mixed drivers",IF(BF1584="Supply chain","multiple supply","multiple silviculture"))))</f>
        <v>area subject to harvest</v>
      </c>
      <c r="BF1584" s="2" t="str" cm="1">
        <f t="array" ref="BF1584">IF(COUNTIF(AZ1584:BB1584,"&lt;&gt;0")=1,INDEX($V$4:$AW$4,MATCH(TRUE,INDEX($V1584:$AW1584&lt;&gt;0,),0)),IF(COUNTIF(AZ1584:BB1584,"&lt;&gt;0")=0,INDEX($AM$4:$AW$4,MATCH(1,$AM1584:$AW1584,0)),"Multiple strategies"))</f>
        <v>Silviculture for removals</v>
      </c>
      <c r="BG1584" s="1" t="s">
        <v>321</v>
      </c>
      <c r="BH1584" t="s">
        <v>2452</v>
      </c>
      <c r="BI1584" s="260" t="s">
        <v>3398</v>
      </c>
      <c r="BJ1584" t="s">
        <v>1322</v>
      </c>
      <c r="BK1584">
        <v>1168.5023099755704</v>
      </c>
      <c r="BL1584">
        <v>1547.3378240138293</v>
      </c>
      <c r="BM1584" s="143">
        <f t="shared" si="2078"/>
        <v>1.3242060463245291</v>
      </c>
      <c r="BN1584">
        <f t="shared" si="2079"/>
        <v>378.83551403825891</v>
      </c>
      <c r="BO1584">
        <f t="shared" si="2080"/>
        <v>378835514.03825891</v>
      </c>
      <c r="BP1584" t="s">
        <v>232</v>
      </c>
      <c r="BQ1584" s="260" t="s">
        <v>3401</v>
      </c>
      <c r="BR1584" t="s">
        <v>1358</v>
      </c>
      <c r="BS1584">
        <v>391.99006315946394</v>
      </c>
      <c r="BT1584">
        <v>233.39452399999999</v>
      </c>
      <c r="BU1584" s="144">
        <f t="shared" si="2081"/>
        <v>0.59540928695698514</v>
      </c>
      <c r="BV1584" s="144">
        <f t="shared" si="2082"/>
        <v>-158.59553915946395</v>
      </c>
      <c r="BW1584" s="144"/>
      <c r="BX1584">
        <f t="shared" si="2083"/>
        <v>-582045628.71523261</v>
      </c>
      <c r="BY1584">
        <f t="shared" si="2070"/>
        <v>-1.5364072457484843</v>
      </c>
      <c r="BZ1584">
        <v>0</v>
      </c>
      <c r="CA1584">
        <v>0</v>
      </c>
      <c r="CB1584">
        <v>0</v>
      </c>
      <c r="CC1584">
        <v>0</v>
      </c>
      <c r="CD1584">
        <v>0</v>
      </c>
      <c r="CE1584">
        <v>0</v>
      </c>
      <c r="CF1584">
        <v>0</v>
      </c>
      <c r="CG1584">
        <v>0</v>
      </c>
      <c r="CH1584">
        <v>0</v>
      </c>
      <c r="CI1584">
        <v>0</v>
      </c>
      <c r="CJ1584">
        <v>0</v>
      </c>
      <c r="CK1584">
        <v>0</v>
      </c>
      <c r="CL1584">
        <v>0</v>
      </c>
      <c r="CM1584">
        <v>0</v>
      </c>
      <c r="CN1584" t="str">
        <f t="shared" si="2084"/>
        <v>refOK</v>
      </c>
      <c r="CO1584">
        <f t="shared" si="2085"/>
        <v>1168.5023099755704</v>
      </c>
      <c r="CP1584">
        <f t="shared" si="2086"/>
        <v>1547.3378240138293</v>
      </c>
      <c r="CQ1584">
        <f t="shared" si="2087"/>
        <v>378835514.03825891</v>
      </c>
      <c r="CR1584">
        <f t="shared" si="2088"/>
        <v>391.99006315946394</v>
      </c>
      <c r="CS1584">
        <f t="shared" si="2089"/>
        <v>233.39452399999999</v>
      </c>
      <c r="CT1584">
        <f t="shared" si="2090"/>
        <v>-582045628.71523261</v>
      </c>
      <c r="CU1584">
        <f t="shared" si="2091"/>
        <v>-1.5364072457484843</v>
      </c>
      <c r="CV1584" s="2">
        <f t="shared" si="2092"/>
        <v>-0.40459071304301486</v>
      </c>
      <c r="CW1584" s="1" t="s">
        <v>1202</v>
      </c>
      <c r="CX1584" t="str">
        <f t="shared" si="2093"/>
        <v>reg</v>
      </c>
      <c r="CY1584" t="s">
        <v>729</v>
      </c>
      <c r="CZ1584">
        <v>2015</v>
      </c>
      <c r="DA1584">
        <v>2040</v>
      </c>
      <c r="DB1584">
        <f t="shared" si="2094"/>
        <v>25</v>
      </c>
      <c r="DC1584" t="str">
        <f t="shared" si="2095"/>
        <v>1-30</v>
      </c>
      <c r="DD1584">
        <v>1</v>
      </c>
      <c r="DE1584">
        <v>1</v>
      </c>
      <c r="DF1584">
        <v>1</v>
      </c>
      <c r="DG1584">
        <v>1</v>
      </c>
      <c r="DI1584">
        <f t="shared" si="2096"/>
        <v>4</v>
      </c>
      <c r="DJ1584" t="str">
        <f t="shared" si="2097"/>
        <v>mixedProduct</v>
      </c>
      <c r="DK1584" t="str">
        <f t="shared" si="2098"/>
        <v>Upstream</v>
      </c>
      <c r="DL1584" t="str">
        <f t="shared" si="2099"/>
        <v>Energy</v>
      </c>
      <c r="DM1584" t="str">
        <f t="shared" si="2100"/>
        <v>Pulp/Paper</v>
      </c>
      <c r="DN1584" t="str">
        <f t="shared" si="2101"/>
        <v>Timber</v>
      </c>
      <c r="DO1584">
        <v>0</v>
      </c>
      <c r="DP1584">
        <v>0</v>
      </c>
      <c r="DQ1584">
        <v>0</v>
      </c>
      <c r="DR1584">
        <v>0</v>
      </c>
      <c r="DS1584">
        <v>0</v>
      </c>
      <c r="DT1584">
        <f t="shared" si="2102"/>
        <v>0</v>
      </c>
      <c r="DU1584" s="143" t="str">
        <f t="shared" si="2103"/>
        <v>explicit C balance</v>
      </c>
      <c r="DV1584">
        <v>0</v>
      </c>
      <c r="DW1584">
        <v>1</v>
      </c>
      <c r="DX1584">
        <v>1</v>
      </c>
      <c r="DY1584">
        <v>1</v>
      </c>
      <c r="DZ1584">
        <v>1</v>
      </c>
      <c r="EA1584" s="143">
        <v>0</v>
      </c>
      <c r="EB1584">
        <v>0</v>
      </c>
      <c r="EC1584">
        <v>0</v>
      </c>
      <c r="ED1584">
        <v>0</v>
      </c>
      <c r="EE1584">
        <v>0</v>
      </c>
      <c r="EF1584">
        <v>1</v>
      </c>
      <c r="EG1584">
        <v>0</v>
      </c>
      <c r="EH1584">
        <v>0</v>
      </c>
      <c r="EI1584" s="2">
        <v>0</v>
      </c>
      <c r="EK1584" t="str">
        <f t="shared" si="2104"/>
        <v/>
      </c>
      <c r="EL1584" t="str">
        <f t="shared" si="2105"/>
        <v>Ecosystem approach</v>
      </c>
      <c r="EM1584" s="2" t="str">
        <f t="shared" si="2106"/>
        <v/>
      </c>
      <c r="EP1584" t="str">
        <f>IF(ISNUMBER(BU1584),IF(ABS(BU1584-[5]QC_indicators!$B$2)&gt;3*[5]QC_indicators!$C$2,"C ratio",IF(ISNUMBER(BY1584),IF(ABS(BY1584-[5]QC_indicators!$B$1)&gt;3*[5]QC_indicators!$C$1,"DF","no"))),IF(ISNUMBER(BY1584),IF(ABS(BY1584-[5]QC_indicators!$B$1)&gt;3*[5]QC_indicators!$C$1,"DF","no")))</f>
        <v>no</v>
      </c>
      <c r="EQ1584" t="s">
        <v>2377</v>
      </c>
      <c r="ET1584" s="264" t="s">
        <v>3272</v>
      </c>
    </row>
    <row r="1585" spans="1:150" hidden="1">
      <c r="A1585" s="1" t="s">
        <v>1971</v>
      </c>
      <c r="B1585" t="s">
        <v>2444</v>
      </c>
      <c r="C1585" t="s">
        <v>2445</v>
      </c>
      <c r="D1585" t="s">
        <v>2446</v>
      </c>
      <c r="E1585" t="s">
        <v>2447</v>
      </c>
      <c r="F1585" t="s">
        <v>2448</v>
      </c>
      <c r="G1585" t="s">
        <v>1977</v>
      </c>
      <c r="H1585" t="s">
        <v>254</v>
      </c>
      <c r="I1585">
        <v>2018</v>
      </c>
      <c r="J1585">
        <v>8</v>
      </c>
      <c r="K1585" t="s">
        <v>2449</v>
      </c>
      <c r="M1585" t="str">
        <f t="shared" si="2031"/>
        <v>Valade_2018</v>
      </c>
      <c r="N1585" t="s">
        <v>222</v>
      </c>
      <c r="O1585" s="145" t="s">
        <v>1153</v>
      </c>
      <c r="Q1585" t="s">
        <v>256</v>
      </c>
      <c r="R1585" s="255" t="s">
        <v>225</v>
      </c>
      <c r="S1585" s="1" t="s">
        <v>2457</v>
      </c>
      <c r="T1585" t="s">
        <v>2443</v>
      </c>
      <c r="U1585" t="s">
        <v>2458</v>
      </c>
      <c r="V1585">
        <v>0</v>
      </c>
      <c r="W1585">
        <v>0</v>
      </c>
      <c r="X1585">
        <v>1</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s="141">
        <f t="shared" si="2071"/>
        <v>1</v>
      </c>
      <c r="AY1585" s="141">
        <f t="shared" si="2072"/>
        <v>1</v>
      </c>
      <c r="AZ1585">
        <f t="shared" si="2073"/>
        <v>1</v>
      </c>
      <c r="BA1585">
        <f t="shared" si="2074"/>
        <v>0</v>
      </c>
      <c r="BB1585">
        <f t="shared" si="2075"/>
        <v>0</v>
      </c>
      <c r="BC1585">
        <f t="shared" si="2076"/>
        <v>0</v>
      </c>
      <c r="BD1585">
        <f t="shared" si="2077"/>
        <v>0</v>
      </c>
      <c r="BE1585" t="str">
        <f t="array" ref="BE1585">IF(AY1585=1,INDEX($V$7:$AL$7,MATCH(TRUE,INDEX($V1585:$AW1585&lt;&gt;0,),0)),IF(AY1585=0,INDEX($AM$7:$AW$7,MATCH(1,$AM1585:$AW1585,0)),IF(BF1585="Multiple strategies","mixed drivers",IF(BF1585="Supply chain","multiple supply","multiple silviculture"))))</f>
        <v>rotation length</v>
      </c>
      <c r="BF1585" s="2" t="str" cm="1">
        <f t="array" ref="BF1585">IF(COUNTIF(AZ1585:BB1585,"&lt;&gt;0")=1,INDEX($V$4:$AW$4,MATCH(TRUE,INDEX($V1585:$AW1585&lt;&gt;0,),0)),IF(COUNTIF(AZ1585:BB1585,"&lt;&gt;0")=0,INDEX($AM$4:$AW$4,MATCH(1,$AM1585:$AW1585,0)),"Multiple strategies"))</f>
        <v>Silviculture for removals</v>
      </c>
      <c r="BG1585" s="1" t="s">
        <v>321</v>
      </c>
      <c r="BH1585" t="s">
        <v>2452</v>
      </c>
      <c r="BI1585" s="260" t="s">
        <v>3398</v>
      </c>
      <c r="BJ1585" t="s">
        <v>1322</v>
      </c>
      <c r="BK1585">
        <v>1168.5023099755704</v>
      </c>
      <c r="BL1585">
        <v>1580.9377497587932</v>
      </c>
      <c r="BM1585" s="143">
        <f t="shared" si="2078"/>
        <v>1.3529607397967793</v>
      </c>
      <c r="BN1585">
        <f t="shared" si="2079"/>
        <v>412.43543978322282</v>
      </c>
      <c r="BO1585">
        <f t="shared" si="2080"/>
        <v>412435439.78322279</v>
      </c>
      <c r="BP1585" t="s">
        <v>232</v>
      </c>
      <c r="BQ1585" s="260" t="s">
        <v>3399</v>
      </c>
      <c r="BR1585" t="s">
        <v>1358</v>
      </c>
      <c r="BS1585">
        <v>268.62539996228497</v>
      </c>
      <c r="BT1585">
        <v>117.34007747271798</v>
      </c>
      <c r="BU1585" s="144">
        <f t="shared" si="2081"/>
        <v>0.43681676226147093</v>
      </c>
      <c r="BV1585" s="144">
        <f t="shared" si="2082"/>
        <v>-151.28532248956699</v>
      </c>
      <c r="BW1585" s="144"/>
      <c r="BX1585">
        <f t="shared" si="2083"/>
        <v>-555217133.53671086</v>
      </c>
      <c r="BY1585">
        <f t="shared" si="2070"/>
        <v>-1.3461916217203218</v>
      </c>
      <c r="BZ1585">
        <v>0</v>
      </c>
      <c r="CA1585">
        <v>0</v>
      </c>
      <c r="CB1585">
        <v>0</v>
      </c>
      <c r="CC1585">
        <v>0</v>
      </c>
      <c r="CD1585">
        <v>0</v>
      </c>
      <c r="CE1585">
        <v>0</v>
      </c>
      <c r="CF1585">
        <v>0</v>
      </c>
      <c r="CG1585">
        <v>0</v>
      </c>
      <c r="CH1585">
        <v>0</v>
      </c>
      <c r="CI1585">
        <v>0</v>
      </c>
      <c r="CJ1585">
        <v>0</v>
      </c>
      <c r="CK1585">
        <v>0</v>
      </c>
      <c r="CL1585">
        <v>0</v>
      </c>
      <c r="CM1585">
        <v>0</v>
      </c>
      <c r="CN1585" t="str">
        <f t="shared" si="2084"/>
        <v>refOK</v>
      </c>
      <c r="CO1585">
        <f t="shared" si="2085"/>
        <v>1168.5023099755704</v>
      </c>
      <c r="CP1585">
        <f t="shared" si="2086"/>
        <v>1580.9377497587932</v>
      </c>
      <c r="CQ1585">
        <f t="shared" si="2087"/>
        <v>412435439.78322279</v>
      </c>
      <c r="CR1585">
        <f t="shared" si="2088"/>
        <v>268.62539996228497</v>
      </c>
      <c r="CS1585">
        <f t="shared" si="2089"/>
        <v>117.34007747271798</v>
      </c>
      <c r="CT1585">
        <f t="shared" si="2090"/>
        <v>-555217133.53671086</v>
      </c>
      <c r="CU1585">
        <f t="shared" si="2091"/>
        <v>-1.3461916217203218</v>
      </c>
      <c r="CV1585" s="2">
        <f t="shared" si="2092"/>
        <v>-0.56318323773852907</v>
      </c>
      <c r="CW1585" s="1" t="s">
        <v>1202</v>
      </c>
      <c r="CX1585" t="str">
        <f t="shared" si="2093"/>
        <v>reg</v>
      </c>
      <c r="CY1585" t="s">
        <v>729</v>
      </c>
      <c r="CZ1585">
        <v>2015</v>
      </c>
      <c r="DA1585">
        <v>2040</v>
      </c>
      <c r="DB1585">
        <f t="shared" si="2094"/>
        <v>25</v>
      </c>
      <c r="DC1585" t="str">
        <f t="shared" si="2095"/>
        <v>1-30</v>
      </c>
      <c r="DD1585">
        <v>1</v>
      </c>
      <c r="DE1585">
        <v>0</v>
      </c>
      <c r="DF1585">
        <v>0</v>
      </c>
      <c r="DG1585">
        <v>0</v>
      </c>
      <c r="DI1585">
        <f t="shared" si="2096"/>
        <v>1</v>
      </c>
      <c r="DJ1585" t="str">
        <f t="shared" si="2097"/>
        <v>UpstreamInput</v>
      </c>
      <c r="DK1585" t="str">
        <f t="shared" si="2098"/>
        <v>Upstream</v>
      </c>
      <c r="DL1585">
        <f t="shared" si="2099"/>
        <v>0</v>
      </c>
      <c r="DM1585">
        <f t="shared" si="2100"/>
        <v>0</v>
      </c>
      <c r="DN1585">
        <f t="shared" si="2101"/>
        <v>0</v>
      </c>
      <c r="DO1585">
        <v>0</v>
      </c>
      <c r="DP1585">
        <v>0</v>
      </c>
      <c r="DQ1585">
        <v>0</v>
      </c>
      <c r="DR1585">
        <v>0</v>
      </c>
      <c r="DS1585">
        <v>0</v>
      </c>
      <c r="DT1585">
        <f t="shared" si="2102"/>
        <v>0</v>
      </c>
      <c r="DU1585" s="143" t="str">
        <f t="shared" si="2103"/>
        <v>explicit C balance</v>
      </c>
      <c r="DV1585">
        <v>0</v>
      </c>
      <c r="DW1585">
        <v>1</v>
      </c>
      <c r="DX1585">
        <v>1</v>
      </c>
      <c r="DY1585">
        <v>0</v>
      </c>
      <c r="DZ1585">
        <v>0</v>
      </c>
      <c r="EA1585" s="143">
        <v>0</v>
      </c>
      <c r="EB1585">
        <v>0</v>
      </c>
      <c r="EC1585">
        <v>0</v>
      </c>
      <c r="ED1585">
        <v>0</v>
      </c>
      <c r="EE1585">
        <v>0</v>
      </c>
      <c r="EF1585">
        <v>1</v>
      </c>
      <c r="EG1585">
        <v>0</v>
      </c>
      <c r="EH1585">
        <v>0</v>
      </c>
      <c r="EI1585" s="2">
        <v>0</v>
      </c>
      <c r="EK1585" t="str">
        <f t="shared" si="2104"/>
        <v/>
      </c>
      <c r="EL1585" t="str">
        <f t="shared" si="2105"/>
        <v/>
      </c>
      <c r="EM1585" s="2" t="str">
        <f t="shared" si="2106"/>
        <v/>
      </c>
      <c r="EP1585" t="str">
        <f>IF(ISNUMBER(BU1585),IF(ABS(BU1585-[5]QC_indicators!$B$2)&gt;3*[5]QC_indicators!$C$2,"C ratio",IF(ISNUMBER(BY1585),IF(ABS(BY1585-[5]QC_indicators!$B$1)&gt;3*[5]QC_indicators!$C$1,"DF","no"))),IF(ISNUMBER(BY1585),IF(ABS(BY1585-[5]QC_indicators!$B$1)&gt;3*[5]QC_indicators!$C$1,"DF","no")))</f>
        <v>no</v>
      </c>
      <c r="EQ1585" t="s">
        <v>2377</v>
      </c>
      <c r="ET1585" s="264" t="s">
        <v>3272</v>
      </c>
    </row>
    <row r="1586" spans="1:150" hidden="1">
      <c r="A1586" s="1" t="s">
        <v>1971</v>
      </c>
      <c r="B1586" t="s">
        <v>2444</v>
      </c>
      <c r="C1586" t="s">
        <v>2445</v>
      </c>
      <c r="D1586" t="s">
        <v>2446</v>
      </c>
      <c r="E1586" t="s">
        <v>2447</v>
      </c>
      <c r="F1586" t="s">
        <v>2448</v>
      </c>
      <c r="G1586" t="s">
        <v>1977</v>
      </c>
      <c r="H1586" t="s">
        <v>254</v>
      </c>
      <c r="I1586">
        <v>2018</v>
      </c>
      <c r="J1586">
        <v>8</v>
      </c>
      <c r="K1586" t="s">
        <v>2449</v>
      </c>
      <c r="M1586" t="str">
        <f t="shared" si="2031"/>
        <v>Valade_2018</v>
      </c>
      <c r="N1586" t="s">
        <v>222</v>
      </c>
      <c r="O1586" s="145" t="s">
        <v>1153</v>
      </c>
      <c r="Q1586" t="s">
        <v>256</v>
      </c>
      <c r="R1586" s="255" t="s">
        <v>225</v>
      </c>
      <c r="S1586" s="1" t="s">
        <v>2455</v>
      </c>
      <c r="T1586" t="s">
        <v>2443</v>
      </c>
      <c r="U1586" t="s">
        <v>2456</v>
      </c>
      <c r="V1586">
        <v>0</v>
      </c>
      <c r="W1586">
        <v>0</v>
      </c>
      <c r="X1586">
        <v>1</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s="141">
        <f t="shared" si="2071"/>
        <v>1</v>
      </c>
      <c r="AY1586" s="141">
        <f t="shared" si="2072"/>
        <v>1</v>
      </c>
      <c r="AZ1586">
        <f t="shared" si="2073"/>
        <v>1</v>
      </c>
      <c r="BA1586">
        <f t="shared" si="2074"/>
        <v>0</v>
      </c>
      <c r="BB1586">
        <f t="shared" si="2075"/>
        <v>0</v>
      </c>
      <c r="BC1586">
        <f t="shared" si="2076"/>
        <v>0</v>
      </c>
      <c r="BD1586">
        <f t="shared" si="2077"/>
        <v>0</v>
      </c>
      <c r="BE1586" t="str">
        <f t="array" ref="BE1586">IF(AY1586=1,INDEX($V$7:$AL$7,MATCH(TRUE,INDEX($V1586:$AW1586&lt;&gt;0,),0)),IF(AY1586=0,INDEX($AM$7:$AW$7,MATCH(1,$AM1586:$AW1586,0)),IF(BF1586="Multiple strategies","mixed drivers",IF(BF1586="Supply chain","multiple supply","multiple silviculture"))))</f>
        <v>rotation length</v>
      </c>
      <c r="BF1586" s="2" t="str" cm="1">
        <f t="array" ref="BF1586">IF(COUNTIF(AZ1586:BB1586,"&lt;&gt;0")=1,INDEX($V$4:$AW$4,MATCH(TRUE,INDEX($V1586:$AW1586&lt;&gt;0,),0)),IF(COUNTIF(AZ1586:BB1586,"&lt;&gt;0")=0,INDEX($AM$4:$AW$4,MATCH(1,$AM1586:$AW1586,0)),"Multiple strategies"))</f>
        <v>Silviculture for removals</v>
      </c>
      <c r="BG1586" s="1" t="s">
        <v>321</v>
      </c>
      <c r="BH1586" t="s">
        <v>2452</v>
      </c>
      <c r="BI1586" s="260" t="s">
        <v>3398</v>
      </c>
      <c r="BJ1586" t="s">
        <v>1322</v>
      </c>
      <c r="BK1586">
        <v>1168.5023099755704</v>
      </c>
      <c r="BL1586">
        <v>2095.3144563242754</v>
      </c>
      <c r="BM1586" s="143">
        <f t="shared" si="2078"/>
        <v>1.7931624425869399</v>
      </c>
      <c r="BN1586">
        <f t="shared" si="2079"/>
        <v>926.81214634870503</v>
      </c>
      <c r="BO1586">
        <f t="shared" si="2080"/>
        <v>926812146.34870505</v>
      </c>
      <c r="BP1586" t="s">
        <v>232</v>
      </c>
      <c r="BQ1586" s="260" t="s">
        <v>3401</v>
      </c>
      <c r="BR1586" t="s">
        <v>1358</v>
      </c>
      <c r="BS1586">
        <v>391.99006315946394</v>
      </c>
      <c r="BT1586">
        <v>74.541239000000004</v>
      </c>
      <c r="BU1586" s="144">
        <f t="shared" si="2081"/>
        <v>0.19016104234682135</v>
      </c>
      <c r="BV1586" s="144">
        <f t="shared" si="2082"/>
        <v>-317.44882415946392</v>
      </c>
      <c r="BW1586" s="144"/>
      <c r="BX1586">
        <f t="shared" si="2083"/>
        <v>-1165037184.6652327</v>
      </c>
      <c r="BY1586">
        <f t="shared" si="2070"/>
        <v>-1.2570370266024735</v>
      </c>
      <c r="BZ1586">
        <v>0</v>
      </c>
      <c r="CA1586">
        <v>0</v>
      </c>
      <c r="CB1586">
        <v>0</v>
      </c>
      <c r="CC1586">
        <v>0</v>
      </c>
      <c r="CD1586">
        <v>0</v>
      </c>
      <c r="CE1586">
        <v>0</v>
      </c>
      <c r="CF1586">
        <v>0</v>
      </c>
      <c r="CG1586">
        <v>0</v>
      </c>
      <c r="CH1586">
        <v>0</v>
      </c>
      <c r="CI1586">
        <v>0</v>
      </c>
      <c r="CJ1586">
        <v>0</v>
      </c>
      <c r="CK1586">
        <v>0</v>
      </c>
      <c r="CL1586">
        <v>0</v>
      </c>
      <c r="CM1586">
        <v>0</v>
      </c>
      <c r="CN1586" t="str">
        <f t="shared" si="2084"/>
        <v>refOK</v>
      </c>
      <c r="CO1586">
        <f t="shared" si="2085"/>
        <v>1168.5023099755704</v>
      </c>
      <c r="CP1586">
        <f t="shared" si="2086"/>
        <v>2095.3144563242754</v>
      </c>
      <c r="CQ1586">
        <f t="shared" si="2087"/>
        <v>926812146.34870505</v>
      </c>
      <c r="CR1586">
        <f t="shared" si="2088"/>
        <v>391.99006315946394</v>
      </c>
      <c r="CS1586">
        <f t="shared" si="2089"/>
        <v>74.541239000000004</v>
      </c>
      <c r="CT1586">
        <f t="shared" si="2090"/>
        <v>-1165037184.6652327</v>
      </c>
      <c r="CU1586">
        <f t="shared" si="2091"/>
        <v>-1.2570370266024735</v>
      </c>
      <c r="CV1586" s="2">
        <f t="shared" si="2092"/>
        <v>-0.80983895765317859</v>
      </c>
      <c r="CW1586" s="1" t="s">
        <v>1202</v>
      </c>
      <c r="CX1586" t="str">
        <f t="shared" si="2093"/>
        <v>reg</v>
      </c>
      <c r="CY1586" t="s">
        <v>729</v>
      </c>
      <c r="CZ1586">
        <v>2015</v>
      </c>
      <c r="DA1586">
        <v>2040</v>
      </c>
      <c r="DB1586">
        <f t="shared" si="2094"/>
        <v>25</v>
      </c>
      <c r="DC1586" t="str">
        <f t="shared" si="2095"/>
        <v>1-30</v>
      </c>
      <c r="DD1586">
        <v>1</v>
      </c>
      <c r="DE1586">
        <v>1</v>
      </c>
      <c r="DF1586">
        <v>1</v>
      </c>
      <c r="DG1586">
        <v>1</v>
      </c>
      <c r="DI1586">
        <f t="shared" si="2096"/>
        <v>4</v>
      </c>
      <c r="DJ1586" t="str">
        <f t="shared" si="2097"/>
        <v>mixedProduct</v>
      </c>
      <c r="DK1586" t="str">
        <f t="shared" si="2098"/>
        <v>Upstream</v>
      </c>
      <c r="DL1586" t="str">
        <f t="shared" si="2099"/>
        <v>Energy</v>
      </c>
      <c r="DM1586" t="str">
        <f t="shared" si="2100"/>
        <v>Pulp/Paper</v>
      </c>
      <c r="DN1586" t="str">
        <f t="shared" si="2101"/>
        <v>Timber</v>
      </c>
      <c r="DO1586">
        <v>0</v>
      </c>
      <c r="DP1586">
        <v>0</v>
      </c>
      <c r="DQ1586">
        <v>0</v>
      </c>
      <c r="DR1586">
        <v>0</v>
      </c>
      <c r="DS1586">
        <v>0</v>
      </c>
      <c r="DT1586">
        <f t="shared" si="2102"/>
        <v>0</v>
      </c>
      <c r="DU1586" s="143" t="str">
        <f t="shared" si="2103"/>
        <v>explicit C balance</v>
      </c>
      <c r="DV1586">
        <v>0</v>
      </c>
      <c r="DW1586">
        <v>1</v>
      </c>
      <c r="DX1586">
        <v>1</v>
      </c>
      <c r="DY1586">
        <v>1</v>
      </c>
      <c r="DZ1586">
        <v>1</v>
      </c>
      <c r="EA1586" s="143">
        <v>0</v>
      </c>
      <c r="EB1586">
        <v>0</v>
      </c>
      <c r="EC1586">
        <v>0</v>
      </c>
      <c r="ED1586">
        <v>0</v>
      </c>
      <c r="EE1586">
        <v>0</v>
      </c>
      <c r="EF1586">
        <v>1</v>
      </c>
      <c r="EG1586">
        <v>0</v>
      </c>
      <c r="EH1586">
        <v>0</v>
      </c>
      <c r="EI1586" s="2">
        <v>0</v>
      </c>
      <c r="EK1586" t="str">
        <f t="shared" si="2104"/>
        <v/>
      </c>
      <c r="EL1586" t="str">
        <f t="shared" si="2105"/>
        <v>Ecosystem approach</v>
      </c>
      <c r="EM1586" s="2" t="str">
        <f t="shared" si="2106"/>
        <v/>
      </c>
      <c r="EP1586" t="str">
        <f>IF(ISNUMBER(BU1586),IF(ABS(BU1586-[5]QC_indicators!$B$2)&gt;3*[5]QC_indicators!$C$2,"C ratio",IF(ISNUMBER(BY1586),IF(ABS(BY1586-[5]QC_indicators!$B$1)&gt;3*[5]QC_indicators!$C$1,"DF","no"))),IF(ISNUMBER(BY1586),IF(ABS(BY1586-[5]QC_indicators!$B$1)&gt;3*[5]QC_indicators!$C$1,"DF","no")))</f>
        <v>no</v>
      </c>
      <c r="EQ1586" t="s">
        <v>2377</v>
      </c>
      <c r="ET1586" s="264" t="s">
        <v>3272</v>
      </c>
    </row>
    <row r="1587" spans="1:150" hidden="1">
      <c r="A1587" s="1" t="s">
        <v>1971</v>
      </c>
      <c r="B1587" t="s">
        <v>2444</v>
      </c>
      <c r="C1587" t="s">
        <v>2445</v>
      </c>
      <c r="D1587" t="s">
        <v>2446</v>
      </c>
      <c r="E1587" t="s">
        <v>2447</v>
      </c>
      <c r="F1587" t="s">
        <v>2448</v>
      </c>
      <c r="G1587" t="s">
        <v>1977</v>
      </c>
      <c r="H1587" t="s">
        <v>254</v>
      </c>
      <c r="I1587">
        <v>2018</v>
      </c>
      <c r="J1587">
        <v>8</v>
      </c>
      <c r="K1587" t="s">
        <v>2449</v>
      </c>
      <c r="M1587" t="str">
        <f t="shared" si="2031"/>
        <v>Valade_2018</v>
      </c>
      <c r="N1587" t="s">
        <v>222</v>
      </c>
      <c r="O1587" s="145" t="s">
        <v>1153</v>
      </c>
      <c r="Q1587" t="s">
        <v>256</v>
      </c>
      <c r="R1587" s="255" t="s">
        <v>225</v>
      </c>
      <c r="S1587" s="1" t="s">
        <v>2457</v>
      </c>
      <c r="T1587" t="s">
        <v>2443</v>
      </c>
      <c r="U1587" t="s">
        <v>2458</v>
      </c>
      <c r="V1587">
        <v>0</v>
      </c>
      <c r="W1587">
        <v>0</v>
      </c>
      <c r="X1587">
        <v>1</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s="141">
        <f t="shared" si="2071"/>
        <v>1</v>
      </c>
      <c r="AY1587" s="141">
        <f t="shared" si="2072"/>
        <v>1</v>
      </c>
      <c r="AZ1587">
        <f t="shared" si="2073"/>
        <v>1</v>
      </c>
      <c r="BA1587">
        <f t="shared" si="2074"/>
        <v>0</v>
      </c>
      <c r="BB1587">
        <f t="shared" si="2075"/>
        <v>0</v>
      </c>
      <c r="BC1587">
        <f t="shared" si="2076"/>
        <v>0</v>
      </c>
      <c r="BD1587">
        <f t="shared" si="2077"/>
        <v>0</v>
      </c>
      <c r="BE1587" t="str">
        <f t="array" ref="BE1587">IF(AY1587=1,INDEX($V$7:$AL$7,MATCH(TRUE,INDEX($V1587:$AW1587&lt;&gt;0,),0)),IF(AY1587=0,INDEX($AM$7:$AW$7,MATCH(1,$AM1587:$AW1587,0)),IF(BF1587="Multiple strategies","mixed drivers",IF(BF1587="Supply chain","multiple supply","multiple silviculture"))))</f>
        <v>rotation length</v>
      </c>
      <c r="BF1587" s="2" t="str" cm="1">
        <f t="array" ref="BF1587">IF(COUNTIF(AZ1587:BB1587,"&lt;&gt;0")=1,INDEX($V$4:$AW$4,MATCH(TRUE,INDEX($V1587:$AW1587&lt;&gt;0,),0)),IF(COUNTIF(AZ1587:BB1587,"&lt;&gt;0")=0,INDEX($AM$4:$AW$4,MATCH(1,$AM1587:$AW1587,0)),"Multiple strategies"))</f>
        <v>Silviculture for removals</v>
      </c>
      <c r="BG1587" s="1" t="s">
        <v>321</v>
      </c>
      <c r="BH1587" t="s">
        <v>2452</v>
      </c>
      <c r="BI1587" s="260" t="s">
        <v>3398</v>
      </c>
      <c r="BJ1587" t="s">
        <v>1322</v>
      </c>
      <c r="BK1587">
        <v>1168.5023099755704</v>
      </c>
      <c r="BL1587">
        <v>1580.9377497587932</v>
      </c>
      <c r="BM1587" s="143">
        <f t="shared" si="2078"/>
        <v>1.3529607397967793</v>
      </c>
      <c r="BN1587">
        <f t="shared" si="2079"/>
        <v>412.43543978322282</v>
      </c>
      <c r="BO1587">
        <f t="shared" si="2080"/>
        <v>412435439.78322279</v>
      </c>
      <c r="BP1587" t="s">
        <v>232</v>
      </c>
      <c r="BQ1587" s="260" t="s">
        <v>3401</v>
      </c>
      <c r="BR1587" t="s">
        <v>1358</v>
      </c>
      <c r="BS1587">
        <v>391.99006315946394</v>
      </c>
      <c r="BT1587">
        <v>290.06454500000001</v>
      </c>
      <c r="BU1587" s="144">
        <f t="shared" si="2081"/>
        <v>0.73997933177709152</v>
      </c>
      <c r="BV1587" s="144">
        <f t="shared" si="2082"/>
        <v>-101.92551815946393</v>
      </c>
      <c r="BW1587" s="144"/>
      <c r="BX1587">
        <f t="shared" si="2083"/>
        <v>-374066651.64523262</v>
      </c>
      <c r="BY1587">
        <f t="shared" si="2070"/>
        <v>-0.90697019597016948</v>
      </c>
      <c r="BZ1587">
        <v>0</v>
      </c>
      <c r="CA1587">
        <v>0</v>
      </c>
      <c r="CB1587">
        <v>0</v>
      </c>
      <c r="CC1587">
        <v>0</v>
      </c>
      <c r="CD1587">
        <v>0</v>
      </c>
      <c r="CE1587">
        <v>0</v>
      </c>
      <c r="CF1587">
        <v>0</v>
      </c>
      <c r="CG1587">
        <v>0</v>
      </c>
      <c r="CH1587">
        <v>0</v>
      </c>
      <c r="CI1587">
        <v>0</v>
      </c>
      <c r="CJ1587">
        <v>0</v>
      </c>
      <c r="CK1587">
        <v>0</v>
      </c>
      <c r="CL1587">
        <v>0</v>
      </c>
      <c r="CM1587">
        <v>0</v>
      </c>
      <c r="CN1587" t="str">
        <f t="shared" si="2084"/>
        <v>refOK</v>
      </c>
      <c r="CO1587">
        <f t="shared" si="2085"/>
        <v>1168.5023099755704</v>
      </c>
      <c r="CP1587">
        <f t="shared" si="2086"/>
        <v>1580.9377497587932</v>
      </c>
      <c r="CQ1587">
        <f t="shared" si="2087"/>
        <v>412435439.78322279</v>
      </c>
      <c r="CR1587">
        <f t="shared" si="2088"/>
        <v>391.99006315946394</v>
      </c>
      <c r="CS1587">
        <f t="shared" si="2089"/>
        <v>290.06454500000001</v>
      </c>
      <c r="CT1587">
        <f t="shared" si="2090"/>
        <v>-374066651.64523262</v>
      </c>
      <c r="CU1587">
        <f t="shared" si="2091"/>
        <v>-0.90697019597016948</v>
      </c>
      <c r="CV1587" s="2">
        <f t="shared" si="2092"/>
        <v>-0.26002066822290854</v>
      </c>
      <c r="CW1587" s="1" t="s">
        <v>1202</v>
      </c>
      <c r="CX1587" t="str">
        <f t="shared" si="2093"/>
        <v>reg</v>
      </c>
      <c r="CY1587" t="s">
        <v>729</v>
      </c>
      <c r="CZ1587">
        <v>2015</v>
      </c>
      <c r="DA1587">
        <v>2040</v>
      </c>
      <c r="DB1587">
        <f t="shared" si="2094"/>
        <v>25</v>
      </c>
      <c r="DC1587" t="str">
        <f t="shared" si="2095"/>
        <v>1-30</v>
      </c>
      <c r="DD1587">
        <v>1</v>
      </c>
      <c r="DE1587">
        <v>1</v>
      </c>
      <c r="DF1587">
        <v>1</v>
      </c>
      <c r="DG1587">
        <v>1</v>
      </c>
      <c r="DI1587">
        <f t="shared" si="2096"/>
        <v>4</v>
      </c>
      <c r="DJ1587" t="str">
        <f t="shared" si="2097"/>
        <v>mixedProduct</v>
      </c>
      <c r="DK1587" t="str">
        <f t="shared" si="2098"/>
        <v>Upstream</v>
      </c>
      <c r="DL1587" t="str">
        <f t="shared" si="2099"/>
        <v>Energy</v>
      </c>
      <c r="DM1587" t="str">
        <f t="shared" si="2100"/>
        <v>Pulp/Paper</v>
      </c>
      <c r="DN1587" t="str">
        <f t="shared" si="2101"/>
        <v>Timber</v>
      </c>
      <c r="DO1587">
        <v>0</v>
      </c>
      <c r="DP1587">
        <v>0</v>
      </c>
      <c r="DQ1587">
        <v>0</v>
      </c>
      <c r="DR1587">
        <v>0</v>
      </c>
      <c r="DS1587">
        <v>0</v>
      </c>
      <c r="DT1587">
        <f t="shared" si="2102"/>
        <v>0</v>
      </c>
      <c r="DU1587" s="143" t="str">
        <f t="shared" si="2103"/>
        <v>explicit C balance</v>
      </c>
      <c r="DV1587">
        <v>0</v>
      </c>
      <c r="DW1587">
        <v>1</v>
      </c>
      <c r="DX1587">
        <v>1</v>
      </c>
      <c r="DY1587">
        <v>1</v>
      </c>
      <c r="DZ1587">
        <v>1</v>
      </c>
      <c r="EA1587" s="143">
        <v>0</v>
      </c>
      <c r="EB1587">
        <v>0</v>
      </c>
      <c r="EC1587">
        <v>0</v>
      </c>
      <c r="ED1587">
        <v>0</v>
      </c>
      <c r="EE1587">
        <v>0</v>
      </c>
      <c r="EF1587">
        <v>1</v>
      </c>
      <c r="EG1587">
        <v>0</v>
      </c>
      <c r="EH1587">
        <v>0</v>
      </c>
      <c r="EI1587" s="2">
        <v>0</v>
      </c>
      <c r="EK1587" t="str">
        <f t="shared" si="2104"/>
        <v/>
      </c>
      <c r="EL1587" t="str">
        <f t="shared" si="2105"/>
        <v>Ecosystem approach</v>
      </c>
      <c r="EM1587" s="2" t="str">
        <f t="shared" si="2106"/>
        <v/>
      </c>
      <c r="EP1587" t="str">
        <f>IF(ISNUMBER(BU1587),IF(ABS(BU1587-[5]QC_indicators!$B$2)&gt;3*[5]QC_indicators!$C$2,"C ratio",IF(ISNUMBER(BY1587),IF(ABS(BY1587-[5]QC_indicators!$B$1)&gt;3*[5]QC_indicators!$C$1,"DF","no"))),IF(ISNUMBER(BY1587),IF(ABS(BY1587-[5]QC_indicators!$B$1)&gt;3*[5]QC_indicators!$C$1,"DF","no")))</f>
        <v>no</v>
      </c>
      <c r="EQ1587" t="s">
        <v>2377</v>
      </c>
      <c r="ET1587" s="264" t="s">
        <v>3272</v>
      </c>
    </row>
    <row r="1588" spans="1:150" hidden="1">
      <c r="A1588" s="1" t="s">
        <v>1971</v>
      </c>
      <c r="B1588" t="s">
        <v>2444</v>
      </c>
      <c r="C1588" t="s">
        <v>2445</v>
      </c>
      <c r="D1588" t="s">
        <v>2446</v>
      </c>
      <c r="E1588" t="s">
        <v>2447</v>
      </c>
      <c r="F1588" t="s">
        <v>2448</v>
      </c>
      <c r="G1588" t="s">
        <v>1977</v>
      </c>
      <c r="H1588" t="s">
        <v>254</v>
      </c>
      <c r="I1588">
        <v>2018</v>
      </c>
      <c r="J1588">
        <v>8</v>
      </c>
      <c r="K1588" t="s">
        <v>2449</v>
      </c>
      <c r="M1588" t="str">
        <f t="shared" si="2031"/>
        <v>Valade_2018</v>
      </c>
      <c r="N1588" t="s">
        <v>222</v>
      </c>
      <c r="O1588" s="145" t="s">
        <v>1153</v>
      </c>
      <c r="Q1588" t="s">
        <v>256</v>
      </c>
      <c r="R1588" s="255" t="s">
        <v>225</v>
      </c>
      <c r="S1588" s="1" t="s">
        <v>2453</v>
      </c>
      <c r="T1588" t="s">
        <v>2443</v>
      </c>
      <c r="U1588" t="s">
        <v>2454</v>
      </c>
      <c r="V1588">
        <v>0</v>
      </c>
      <c r="W1588">
        <v>0</v>
      </c>
      <c r="X1588">
        <v>0</v>
      </c>
      <c r="Y1588">
        <v>1</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s="141">
        <f t="shared" si="2071"/>
        <v>1</v>
      </c>
      <c r="AY1588" s="141">
        <f t="shared" si="2072"/>
        <v>1</v>
      </c>
      <c r="AZ1588">
        <f t="shared" si="2073"/>
        <v>1</v>
      </c>
      <c r="BA1588">
        <f t="shared" si="2074"/>
        <v>0</v>
      </c>
      <c r="BB1588">
        <f t="shared" si="2075"/>
        <v>0</v>
      </c>
      <c r="BC1588">
        <f t="shared" si="2076"/>
        <v>0</v>
      </c>
      <c r="BD1588">
        <f t="shared" si="2077"/>
        <v>0</v>
      </c>
      <c r="BE1588" t="str">
        <f t="array" ref="BE1588">IF(AY1588=1,INDEX($V$7:$AL$7,MATCH(TRUE,INDEX($V1588:$AW1588&lt;&gt;0,),0)),IF(AY1588=0,INDEX($AM$7:$AW$7,MATCH(1,$AM1588:$AW1588,0)),IF(BF1588="Multiple strategies","mixed drivers",IF(BF1588="Supply chain","multiple supply","multiple silviculture"))))</f>
        <v xml:space="preserve">cutting intensity </v>
      </c>
      <c r="BF1588" s="2" t="str" cm="1">
        <f t="array" ref="BF1588">IF(COUNTIF(AZ1588:BB1588,"&lt;&gt;0")=1,INDEX($V$4:$AW$4,MATCH(TRUE,INDEX($V1588:$AW1588&lt;&gt;0,),0)),IF(COUNTIF(AZ1588:BB1588,"&lt;&gt;0")=0,INDEX($AM$4:$AW$4,MATCH(1,$AM1588:$AW1588,0)),"Multiple strategies"))</f>
        <v>Silviculture for removals</v>
      </c>
      <c r="BG1588" s="1" t="s">
        <v>321</v>
      </c>
      <c r="BH1588" t="s">
        <v>2452</v>
      </c>
      <c r="BI1588" s="260" t="s">
        <v>3398</v>
      </c>
      <c r="BJ1588" t="s">
        <v>1322</v>
      </c>
      <c r="BK1588">
        <v>1168.5023099755704</v>
      </c>
      <c r="BL1588">
        <v>1304.0435025027948</v>
      </c>
      <c r="BM1588" s="143">
        <f t="shared" si="2078"/>
        <v>1.1159956564656326</v>
      </c>
      <c r="BN1588">
        <f t="shared" si="2079"/>
        <v>135.54119252722444</v>
      </c>
      <c r="BO1588">
        <f t="shared" si="2080"/>
        <v>135541192.52722445</v>
      </c>
      <c r="BP1588" t="s">
        <v>232</v>
      </c>
      <c r="BQ1588" s="260" t="s">
        <v>3400</v>
      </c>
      <c r="BR1588" t="s">
        <v>1358</v>
      </c>
      <c r="BS1588">
        <v>391.99006315946394</v>
      </c>
      <c r="BT1588">
        <v>358.87863800000002</v>
      </c>
      <c r="BU1588" s="144">
        <f t="shared" si="2081"/>
        <v>0.91552993743621003</v>
      </c>
      <c r="BV1588" s="144">
        <f t="shared" si="2082"/>
        <v>-33.11142515946392</v>
      </c>
      <c r="BW1588" s="144"/>
      <c r="BX1588">
        <f t="shared" si="2083"/>
        <v>-121518930.33523259</v>
      </c>
      <c r="BY1588">
        <f t="shared" si="2070"/>
        <v>-0.89654612055168847</v>
      </c>
      <c r="BZ1588">
        <v>0</v>
      </c>
      <c r="CA1588">
        <v>0</v>
      </c>
      <c r="CB1588">
        <v>0</v>
      </c>
      <c r="CC1588">
        <v>0</v>
      </c>
      <c r="CD1588">
        <v>0</v>
      </c>
      <c r="CE1588">
        <v>0</v>
      </c>
      <c r="CF1588">
        <v>0</v>
      </c>
      <c r="CG1588">
        <v>0</v>
      </c>
      <c r="CH1588">
        <v>0</v>
      </c>
      <c r="CI1588">
        <v>0</v>
      </c>
      <c r="CJ1588">
        <v>0</v>
      </c>
      <c r="CK1588">
        <v>0</v>
      </c>
      <c r="CL1588">
        <v>0</v>
      </c>
      <c r="CM1588">
        <v>0</v>
      </c>
      <c r="CN1588" t="str">
        <f t="shared" si="2084"/>
        <v>refOK</v>
      </c>
      <c r="CO1588">
        <f t="shared" si="2085"/>
        <v>1168.5023099755704</v>
      </c>
      <c r="CP1588">
        <f t="shared" si="2086"/>
        <v>1304.0435025027948</v>
      </c>
      <c r="CQ1588">
        <f t="shared" si="2087"/>
        <v>135541192.52722445</v>
      </c>
      <c r="CR1588">
        <f t="shared" si="2088"/>
        <v>391.99006315946394</v>
      </c>
      <c r="CS1588">
        <f t="shared" si="2089"/>
        <v>358.87863800000002</v>
      </c>
      <c r="CT1588">
        <f t="shared" si="2090"/>
        <v>-121518930.33523259</v>
      </c>
      <c r="CU1588">
        <f t="shared" si="2091"/>
        <v>-0.89654612055168847</v>
      </c>
      <c r="CV1588" s="2">
        <f t="shared" si="2092"/>
        <v>-8.4470062563790013E-2</v>
      </c>
      <c r="CW1588" s="1" t="s">
        <v>1202</v>
      </c>
      <c r="CX1588" t="str">
        <f t="shared" si="2093"/>
        <v>reg</v>
      </c>
      <c r="CY1588" t="s">
        <v>729</v>
      </c>
      <c r="CZ1588">
        <v>2015</v>
      </c>
      <c r="DA1588">
        <v>2040</v>
      </c>
      <c r="DB1588">
        <f t="shared" si="2094"/>
        <v>25</v>
      </c>
      <c r="DC1588" t="str">
        <f t="shared" si="2095"/>
        <v>1-30</v>
      </c>
      <c r="DD1588">
        <v>1</v>
      </c>
      <c r="DE1588">
        <v>1</v>
      </c>
      <c r="DF1588">
        <v>1</v>
      </c>
      <c r="DG1588">
        <v>1</v>
      </c>
      <c r="DI1588">
        <f t="shared" si="2096"/>
        <v>4</v>
      </c>
      <c r="DJ1588" t="str">
        <f t="shared" si="2097"/>
        <v>mixedProduct</v>
      </c>
      <c r="DK1588" t="str">
        <f t="shared" si="2098"/>
        <v>Upstream</v>
      </c>
      <c r="DL1588" t="str">
        <f t="shared" si="2099"/>
        <v>Energy</v>
      </c>
      <c r="DM1588" t="str">
        <f t="shared" si="2100"/>
        <v>Pulp/Paper</v>
      </c>
      <c r="DN1588" t="str">
        <f t="shared" si="2101"/>
        <v>Timber</v>
      </c>
      <c r="DO1588">
        <v>0</v>
      </c>
      <c r="DP1588">
        <v>1</v>
      </c>
      <c r="DQ1588" t="s">
        <v>2459</v>
      </c>
      <c r="DR1588" t="s">
        <v>2460</v>
      </c>
      <c r="DS1588" t="s">
        <v>2460</v>
      </c>
      <c r="DT1588">
        <f t="shared" si="2102"/>
        <v>1</v>
      </c>
      <c r="DU1588" s="143" t="str">
        <f t="shared" si="2103"/>
        <v>external DF used</v>
      </c>
      <c r="DV1588">
        <v>0</v>
      </c>
      <c r="DW1588">
        <v>1</v>
      </c>
      <c r="DX1588">
        <v>1</v>
      </c>
      <c r="DY1588">
        <v>1</v>
      </c>
      <c r="DZ1588">
        <v>1</v>
      </c>
      <c r="EA1588" s="143">
        <v>1</v>
      </c>
      <c r="EB1588">
        <v>1</v>
      </c>
      <c r="EC1588">
        <v>1</v>
      </c>
      <c r="ED1588">
        <v>0</v>
      </c>
      <c r="EE1588">
        <v>0</v>
      </c>
      <c r="EF1588">
        <v>1</v>
      </c>
      <c r="EG1588">
        <v>0</v>
      </c>
      <c r="EH1588">
        <v>0</v>
      </c>
      <c r="EI1588" s="2">
        <v>0</v>
      </c>
      <c r="EK1588" t="str">
        <f t="shared" si="2104"/>
        <v>Whole sector</v>
      </c>
      <c r="EL1588" t="str">
        <f t="shared" si="2105"/>
        <v/>
      </c>
      <c r="EM1588" s="2" t="str">
        <f t="shared" si="2106"/>
        <v/>
      </c>
      <c r="EP1588" t="str">
        <f>IF(ISNUMBER(BU1588),IF(ABS(BU1588-[5]QC_indicators!$B$2)&gt;3*[5]QC_indicators!$C$2,"C ratio",IF(ISNUMBER(BY1588),IF(ABS(BY1588-[5]QC_indicators!$B$1)&gt;3*[5]QC_indicators!$C$1,"DF","no"))),IF(ISNUMBER(BY1588),IF(ABS(BY1588-[5]QC_indicators!$B$1)&gt;3*[5]QC_indicators!$C$1,"DF","no")))</f>
        <v>no</v>
      </c>
      <c r="EQ1588" t="s">
        <v>2377</v>
      </c>
      <c r="ET1588" s="264" t="s">
        <v>3272</v>
      </c>
    </row>
    <row r="1589" spans="1:150" hidden="1">
      <c r="A1589" s="1" t="s">
        <v>1971</v>
      </c>
      <c r="B1589" t="s">
        <v>2444</v>
      </c>
      <c r="C1589" t="s">
        <v>2445</v>
      </c>
      <c r="D1589" t="s">
        <v>2446</v>
      </c>
      <c r="E1589" t="s">
        <v>2447</v>
      </c>
      <c r="F1589" t="s">
        <v>2448</v>
      </c>
      <c r="G1589" t="s">
        <v>1977</v>
      </c>
      <c r="H1589" t="s">
        <v>254</v>
      </c>
      <c r="I1589">
        <v>2018</v>
      </c>
      <c r="J1589">
        <v>8</v>
      </c>
      <c r="K1589" t="s">
        <v>2449</v>
      </c>
      <c r="M1589" t="str">
        <f t="shared" si="2031"/>
        <v>Valade_2018</v>
      </c>
      <c r="N1589" t="s">
        <v>222</v>
      </c>
      <c r="O1589" s="145" t="s">
        <v>1153</v>
      </c>
      <c r="Q1589" t="s">
        <v>256</v>
      </c>
      <c r="R1589" s="255" t="s">
        <v>225</v>
      </c>
      <c r="S1589" s="1" t="s">
        <v>2461</v>
      </c>
      <c r="T1589" t="s">
        <v>2443</v>
      </c>
      <c r="U1589" t="s">
        <v>2454</v>
      </c>
      <c r="V1589">
        <v>0</v>
      </c>
      <c r="W1589">
        <v>0</v>
      </c>
      <c r="X1589">
        <v>0</v>
      </c>
      <c r="Y1589">
        <v>1</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s="141">
        <f t="shared" si="2071"/>
        <v>1</v>
      </c>
      <c r="AY1589" s="141">
        <f t="shared" si="2072"/>
        <v>1</v>
      </c>
      <c r="AZ1589">
        <f t="shared" si="2073"/>
        <v>1</v>
      </c>
      <c r="BA1589">
        <f t="shared" si="2074"/>
        <v>0</v>
      </c>
      <c r="BB1589">
        <f t="shared" si="2075"/>
        <v>0</v>
      </c>
      <c r="BC1589">
        <f t="shared" si="2076"/>
        <v>0</v>
      </c>
      <c r="BD1589">
        <f t="shared" si="2077"/>
        <v>0</v>
      </c>
      <c r="BE1589" t="str">
        <f t="array" ref="BE1589">IF(AY1589=1,INDEX($V$7:$AL$7,MATCH(TRUE,INDEX($V1589:$AW1589&lt;&gt;0,),0)),IF(AY1589=0,INDEX($AM$7:$AW$7,MATCH(1,$AM1589:$AW1589,0)),IF(BF1589="Multiple strategies","mixed drivers",IF(BF1589="Supply chain","multiple supply","multiple silviculture"))))</f>
        <v xml:space="preserve">cutting intensity </v>
      </c>
      <c r="BF1589" s="2" t="str" cm="1">
        <f t="array" ref="BF1589">IF(COUNTIF(AZ1589:BB1589,"&lt;&gt;0")=1,INDEX($V$4:$AW$4,MATCH(TRUE,INDEX($V1589:$AW1589&lt;&gt;0,),0)),IF(COUNTIF(AZ1589:BB1589,"&lt;&gt;0")=0,INDEX($AM$4:$AW$4,MATCH(1,$AM1589:$AW1589,0)),"Multiple strategies"))</f>
        <v>Silviculture for removals</v>
      </c>
      <c r="BG1589" s="1" t="s">
        <v>321</v>
      </c>
      <c r="BH1589" t="s">
        <v>2452</v>
      </c>
      <c r="BI1589" s="260" t="s">
        <v>3398</v>
      </c>
      <c r="BJ1589" t="s">
        <v>1322</v>
      </c>
      <c r="BK1589">
        <v>1168.5023099755704</v>
      </c>
      <c r="BL1589">
        <v>1304.0435025027948</v>
      </c>
      <c r="BM1589" s="143">
        <f t="shared" si="2078"/>
        <v>1.1159956564656326</v>
      </c>
      <c r="BN1589">
        <f t="shared" si="2079"/>
        <v>135.54119252722444</v>
      </c>
      <c r="BO1589">
        <f>+BN1589*1000000</f>
        <v>135541192.52722445</v>
      </c>
      <c r="BP1589" t="s">
        <v>232</v>
      </c>
      <c r="BQ1589" s="260" t="s">
        <v>3400</v>
      </c>
      <c r="BR1589" t="s">
        <v>1358</v>
      </c>
      <c r="BS1589">
        <v>391.990063159464</v>
      </c>
      <c r="BT1589">
        <v>362.41157196968697</v>
      </c>
      <c r="BU1589" s="144">
        <f t="shared" si="2081"/>
        <v>0.92454275256017315</v>
      </c>
      <c r="BV1589" s="144">
        <f t="shared" si="2082"/>
        <v>-29.578491189777026</v>
      </c>
      <c r="BW1589" s="144"/>
      <c r="BX1589">
        <f t="shared" si="2083"/>
        <v>-108553062.66648167</v>
      </c>
      <c r="BY1589">
        <f t="shared" si="2070"/>
        <v>-0.80088614127161373</v>
      </c>
      <c r="BZ1589">
        <v>0</v>
      </c>
      <c r="CA1589">
        <v>0</v>
      </c>
      <c r="CB1589">
        <v>0</v>
      </c>
      <c r="CC1589">
        <v>0</v>
      </c>
      <c r="CD1589">
        <v>0</v>
      </c>
      <c r="CE1589">
        <v>0</v>
      </c>
      <c r="CF1589">
        <v>0</v>
      </c>
      <c r="CG1589">
        <v>0</v>
      </c>
      <c r="CH1589">
        <v>0</v>
      </c>
      <c r="CI1589">
        <v>0</v>
      </c>
      <c r="CJ1589">
        <v>0</v>
      </c>
      <c r="CK1589">
        <v>0</v>
      </c>
      <c r="CL1589">
        <v>0</v>
      </c>
      <c r="CM1589">
        <v>0</v>
      </c>
      <c r="CN1589" t="str">
        <f t="shared" si="2084"/>
        <v>refOK</v>
      </c>
      <c r="CO1589">
        <f t="shared" si="2085"/>
        <v>1168.5023099755704</v>
      </c>
      <c r="CP1589">
        <f t="shared" si="2086"/>
        <v>1304.0435025027948</v>
      </c>
      <c r="CQ1589">
        <f t="shared" si="2087"/>
        <v>135541192.52722445</v>
      </c>
      <c r="CR1589">
        <f t="shared" si="2088"/>
        <v>391.990063159464</v>
      </c>
      <c r="CS1589">
        <f t="shared" si="2089"/>
        <v>362.41157196968697</v>
      </c>
      <c r="CT1589">
        <f t="shared" si="2090"/>
        <v>-108553062.66648167</v>
      </c>
      <c r="CU1589">
        <f t="shared" si="2091"/>
        <v>-0.80088614127161373</v>
      </c>
      <c r="CV1589" s="2">
        <f t="shared" si="2092"/>
        <v>-7.5457247439826833E-2</v>
      </c>
      <c r="CW1589" s="1" t="s">
        <v>1202</v>
      </c>
      <c r="CX1589" t="str">
        <f t="shared" si="2093"/>
        <v>reg</v>
      </c>
      <c r="CY1589" t="s">
        <v>729</v>
      </c>
      <c r="CZ1589">
        <v>2015</v>
      </c>
      <c r="DA1589">
        <v>2040</v>
      </c>
      <c r="DB1589">
        <f t="shared" si="2094"/>
        <v>25</v>
      </c>
      <c r="DC1589" t="str">
        <f t="shared" si="2095"/>
        <v>1-30</v>
      </c>
      <c r="DD1589">
        <v>1</v>
      </c>
      <c r="DE1589">
        <v>1</v>
      </c>
      <c r="DF1589">
        <v>1</v>
      </c>
      <c r="DG1589">
        <v>1</v>
      </c>
      <c r="DI1589">
        <f t="shared" si="2096"/>
        <v>4</v>
      </c>
      <c r="DJ1589" t="str">
        <f t="shared" si="2097"/>
        <v>mixedProduct</v>
      </c>
      <c r="DK1589" t="str">
        <f t="shared" si="2098"/>
        <v>Upstream</v>
      </c>
      <c r="DL1589" t="str">
        <f t="shared" si="2099"/>
        <v>Energy</v>
      </c>
      <c r="DM1589" t="str">
        <f t="shared" si="2100"/>
        <v>Pulp/Paper</v>
      </c>
      <c r="DN1589" t="str">
        <f t="shared" si="2101"/>
        <v>Timber</v>
      </c>
      <c r="DO1589">
        <v>0</v>
      </c>
      <c r="DP1589">
        <v>1</v>
      </c>
      <c r="DQ1589" t="s">
        <v>2459</v>
      </c>
      <c r="DR1589" t="s">
        <v>2460</v>
      </c>
      <c r="DS1589" t="s">
        <v>2460</v>
      </c>
      <c r="DT1589">
        <f t="shared" si="2102"/>
        <v>1</v>
      </c>
      <c r="DU1589" s="143" t="str">
        <f t="shared" si="2103"/>
        <v>external DF used</v>
      </c>
      <c r="DV1589">
        <v>0</v>
      </c>
      <c r="DW1589">
        <v>1</v>
      </c>
      <c r="DX1589">
        <v>1</v>
      </c>
      <c r="DY1589">
        <v>1</v>
      </c>
      <c r="DZ1589">
        <v>1</v>
      </c>
      <c r="EA1589" s="143">
        <v>1</v>
      </c>
      <c r="EB1589">
        <v>1</v>
      </c>
      <c r="EC1589">
        <v>1</v>
      </c>
      <c r="ED1589">
        <v>0</v>
      </c>
      <c r="EE1589">
        <v>0</v>
      </c>
      <c r="EF1589">
        <v>1</v>
      </c>
      <c r="EG1589">
        <v>0</v>
      </c>
      <c r="EH1589">
        <v>0</v>
      </c>
      <c r="EI1589" s="2">
        <v>0</v>
      </c>
      <c r="EK1589" t="str">
        <f t="shared" si="2104"/>
        <v>Whole sector</v>
      </c>
      <c r="EL1589" t="str">
        <f t="shared" si="2105"/>
        <v/>
      </c>
      <c r="EM1589" s="2" t="str">
        <f t="shared" si="2106"/>
        <v/>
      </c>
      <c r="EP1589" t="str">
        <f>IF(ISNUMBER(BU1589),IF(ABS(BU1589-[5]QC_indicators!$B$2)&gt;3*[5]QC_indicators!$C$2,"C ratio",IF(ISNUMBER(BY1589),IF(ABS(BY1589-[5]QC_indicators!$B$1)&gt;3*[5]QC_indicators!$C$1,"DF","no"))),IF(ISNUMBER(BY1589),IF(ABS(BY1589-[5]QC_indicators!$B$1)&gt;3*[5]QC_indicators!$C$1,"DF","no")))</f>
        <v>no</v>
      </c>
      <c r="ET1589" s="264" t="s">
        <v>3272</v>
      </c>
    </row>
    <row r="1590" spans="1:150" hidden="1">
      <c r="A1590" s="1" t="s">
        <v>1971</v>
      </c>
      <c r="B1590" t="s">
        <v>2444</v>
      </c>
      <c r="C1590" t="s">
        <v>2445</v>
      </c>
      <c r="D1590" t="s">
        <v>2446</v>
      </c>
      <c r="E1590" t="s">
        <v>2447</v>
      </c>
      <c r="F1590" t="s">
        <v>2448</v>
      </c>
      <c r="G1590" t="s">
        <v>1977</v>
      </c>
      <c r="H1590" t="s">
        <v>254</v>
      </c>
      <c r="I1590">
        <v>2018</v>
      </c>
      <c r="J1590">
        <v>8</v>
      </c>
      <c r="K1590" t="s">
        <v>2449</v>
      </c>
      <c r="M1590" t="str">
        <f t="shared" si="2031"/>
        <v>Valade_2018</v>
      </c>
      <c r="N1590" t="s">
        <v>222</v>
      </c>
      <c r="O1590" s="145" t="s">
        <v>1153</v>
      </c>
      <c r="Q1590" t="s">
        <v>256</v>
      </c>
      <c r="R1590" s="255" t="s">
        <v>225</v>
      </c>
      <c r="S1590" s="1" t="s">
        <v>2450</v>
      </c>
      <c r="T1590" t="s">
        <v>2443</v>
      </c>
      <c r="U1590" t="s">
        <v>2451</v>
      </c>
      <c r="V1590">
        <v>1</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s="141">
        <f t="shared" si="2071"/>
        <v>1</v>
      </c>
      <c r="AY1590" s="141">
        <f t="shared" si="2072"/>
        <v>1</v>
      </c>
      <c r="AZ1590">
        <f t="shared" si="2073"/>
        <v>1</v>
      </c>
      <c r="BA1590">
        <f t="shared" si="2074"/>
        <v>0</v>
      </c>
      <c r="BB1590">
        <f t="shared" si="2075"/>
        <v>0</v>
      </c>
      <c r="BC1590">
        <f t="shared" si="2076"/>
        <v>0</v>
      </c>
      <c r="BD1590">
        <f t="shared" si="2077"/>
        <v>0</v>
      </c>
      <c r="BE1590" t="str">
        <f t="array" ref="BE1590">IF(AY1590=1,INDEX($V$7:$AL$7,MATCH(TRUE,INDEX($V1590:$AW1590&lt;&gt;0,),0)),IF(AY1590=0,INDEX($AM$7:$AW$7,MATCH(1,$AM1590:$AW1590,0)),IF(BF1590="Multiple strategies","mixed drivers",IF(BF1590="Supply chain","multiple supply","multiple silviculture"))))</f>
        <v>area subject to harvest</v>
      </c>
      <c r="BF1590" s="2" t="str" cm="1">
        <f t="array" ref="BF1590">IF(COUNTIF(AZ1590:BB1590,"&lt;&gt;0")=1,INDEX($V$4:$AW$4,MATCH(TRUE,INDEX($V1590:$AW1590&lt;&gt;0,),0)),IF(COUNTIF(AZ1590:BB1590,"&lt;&gt;0")=0,INDEX($AM$4:$AW$4,MATCH(1,$AM1590:$AW1590,0)),"Multiple strategies"))</f>
        <v>Silviculture for removals</v>
      </c>
      <c r="BG1590" s="1" t="s">
        <v>321</v>
      </c>
      <c r="BH1590" t="s">
        <v>2452</v>
      </c>
      <c r="BI1590" s="260" t="s">
        <v>3398</v>
      </c>
      <c r="BJ1590" t="s">
        <v>1322</v>
      </c>
      <c r="BK1590">
        <v>1168.5023099755704</v>
      </c>
      <c r="BL1590">
        <v>1547.3378240138293</v>
      </c>
      <c r="BM1590" s="143">
        <f t="shared" si="2078"/>
        <v>1.3242060463245291</v>
      </c>
      <c r="BN1590">
        <f t="shared" si="2079"/>
        <v>378.83551403825891</v>
      </c>
      <c r="BO1590">
        <f>+BN1590*1000000</f>
        <v>378835514.03825891</v>
      </c>
      <c r="BP1590" t="s">
        <v>232</v>
      </c>
      <c r="BQ1590" s="260" t="s">
        <v>3400</v>
      </c>
      <c r="BR1590" t="s">
        <v>1358</v>
      </c>
      <c r="BS1590">
        <v>391.990063159464</v>
      </c>
      <c r="BT1590">
        <v>340.20373499999999</v>
      </c>
      <c r="BU1590" s="144">
        <f t="shared" si="2081"/>
        <v>0.86788867110032586</v>
      </c>
      <c r="BV1590" s="144">
        <f t="shared" si="2082"/>
        <v>-51.786328159464006</v>
      </c>
      <c r="BW1590" s="144"/>
      <c r="BX1590">
        <f t="shared" si="2083"/>
        <v>-190055824.3452329</v>
      </c>
      <c r="BY1590">
        <f t="shared" si="2070"/>
        <v>-0.50168428593006464</v>
      </c>
      <c r="BZ1590">
        <v>0</v>
      </c>
      <c r="CA1590">
        <v>0</v>
      </c>
      <c r="CB1590">
        <v>0</v>
      </c>
      <c r="CC1590">
        <v>0</v>
      </c>
      <c r="CD1590">
        <v>0</v>
      </c>
      <c r="CE1590">
        <v>0</v>
      </c>
      <c r="CF1590">
        <v>0</v>
      </c>
      <c r="CG1590">
        <v>0</v>
      </c>
      <c r="CH1590">
        <v>0</v>
      </c>
      <c r="CI1590">
        <v>0</v>
      </c>
      <c r="CJ1590">
        <v>0</v>
      </c>
      <c r="CK1590">
        <v>0</v>
      </c>
      <c r="CL1590">
        <v>0</v>
      </c>
      <c r="CM1590">
        <v>0</v>
      </c>
      <c r="CN1590" t="str">
        <f t="shared" si="2084"/>
        <v>refOK</v>
      </c>
      <c r="CO1590">
        <f t="shared" si="2085"/>
        <v>1168.5023099755704</v>
      </c>
      <c r="CP1590">
        <f t="shared" si="2086"/>
        <v>1547.3378240138293</v>
      </c>
      <c r="CQ1590">
        <f t="shared" si="2087"/>
        <v>378835514.03825891</v>
      </c>
      <c r="CR1590">
        <f t="shared" si="2088"/>
        <v>391.990063159464</v>
      </c>
      <c r="CS1590">
        <f t="shared" si="2089"/>
        <v>340.20373499999999</v>
      </c>
      <c r="CT1590">
        <f t="shared" si="2090"/>
        <v>-190055824.3452329</v>
      </c>
      <c r="CU1590">
        <f t="shared" si="2091"/>
        <v>-0.50168428593006464</v>
      </c>
      <c r="CV1590" s="2">
        <f t="shared" si="2092"/>
        <v>-0.1321113288996742</v>
      </c>
      <c r="CW1590" s="1" t="s">
        <v>1202</v>
      </c>
      <c r="CX1590" t="str">
        <f t="shared" si="2093"/>
        <v>reg</v>
      </c>
      <c r="CY1590" t="s">
        <v>729</v>
      </c>
      <c r="CZ1590">
        <v>2015</v>
      </c>
      <c r="DA1590">
        <v>2040</v>
      </c>
      <c r="DB1590">
        <f t="shared" si="2094"/>
        <v>25</v>
      </c>
      <c r="DC1590" t="str">
        <f t="shared" si="2095"/>
        <v>1-30</v>
      </c>
      <c r="DD1590">
        <v>1</v>
      </c>
      <c r="DE1590">
        <v>1</v>
      </c>
      <c r="DF1590">
        <v>1</v>
      </c>
      <c r="DG1590">
        <v>1</v>
      </c>
      <c r="DI1590">
        <f t="shared" si="2096"/>
        <v>4</v>
      </c>
      <c r="DJ1590" t="str">
        <f t="shared" si="2097"/>
        <v>mixedProduct</v>
      </c>
      <c r="DK1590" t="str">
        <f t="shared" si="2098"/>
        <v>Upstream</v>
      </c>
      <c r="DL1590" t="str">
        <f t="shared" si="2099"/>
        <v>Energy</v>
      </c>
      <c r="DM1590" t="str">
        <f t="shared" si="2100"/>
        <v>Pulp/Paper</v>
      </c>
      <c r="DN1590" t="str">
        <f t="shared" si="2101"/>
        <v>Timber</v>
      </c>
      <c r="DO1590">
        <v>0</v>
      </c>
      <c r="DP1590">
        <v>1</v>
      </c>
      <c r="DQ1590" t="s">
        <v>2459</v>
      </c>
      <c r="DR1590" t="s">
        <v>2460</v>
      </c>
      <c r="DS1590" t="s">
        <v>2460</v>
      </c>
      <c r="DT1590">
        <f t="shared" si="2102"/>
        <v>1</v>
      </c>
      <c r="DU1590" s="143" t="str">
        <f t="shared" si="2103"/>
        <v>external DF used</v>
      </c>
      <c r="DV1590">
        <v>0</v>
      </c>
      <c r="DW1590">
        <v>1</v>
      </c>
      <c r="DX1590">
        <v>1</v>
      </c>
      <c r="DY1590">
        <v>1</v>
      </c>
      <c r="DZ1590">
        <v>1</v>
      </c>
      <c r="EA1590" s="143">
        <v>1</v>
      </c>
      <c r="EB1590">
        <v>1</v>
      </c>
      <c r="EC1590">
        <v>1</v>
      </c>
      <c r="ED1590">
        <v>0</v>
      </c>
      <c r="EE1590">
        <v>0</v>
      </c>
      <c r="EF1590">
        <v>1</v>
      </c>
      <c r="EG1590">
        <v>0</v>
      </c>
      <c r="EH1590">
        <v>0</v>
      </c>
      <c r="EI1590" s="2">
        <v>0</v>
      </c>
      <c r="EK1590" t="str">
        <f t="shared" si="2104"/>
        <v>Whole sector</v>
      </c>
      <c r="EL1590" t="str">
        <f t="shared" si="2105"/>
        <v/>
      </c>
      <c r="EM1590" s="2" t="str">
        <f t="shared" si="2106"/>
        <v/>
      </c>
      <c r="EP1590" t="str">
        <f>IF(ISNUMBER(BU1590),IF(ABS(BU1590-[5]QC_indicators!$B$2)&gt;3*[5]QC_indicators!$C$2,"C ratio",IF(ISNUMBER(BY1590),IF(ABS(BY1590-[5]QC_indicators!$B$1)&gt;3*[5]QC_indicators!$C$1,"DF","no"))),IF(ISNUMBER(BY1590),IF(ABS(BY1590-[5]QC_indicators!$B$1)&gt;3*[5]QC_indicators!$C$1,"DF","no")))</f>
        <v>no</v>
      </c>
      <c r="EQ1590" t="s">
        <v>2377</v>
      </c>
      <c r="ET1590" s="264" t="s">
        <v>3272</v>
      </c>
    </row>
    <row r="1591" spans="1:150" hidden="1">
      <c r="A1591" s="1" t="s">
        <v>1971</v>
      </c>
      <c r="B1591" t="s">
        <v>2444</v>
      </c>
      <c r="C1591" t="s">
        <v>2445</v>
      </c>
      <c r="D1591" t="s">
        <v>2446</v>
      </c>
      <c r="E1591" t="s">
        <v>2447</v>
      </c>
      <c r="F1591" t="s">
        <v>2448</v>
      </c>
      <c r="G1591" t="s">
        <v>1977</v>
      </c>
      <c r="H1591" t="s">
        <v>254</v>
      </c>
      <c r="I1591">
        <v>2018</v>
      </c>
      <c r="J1591">
        <v>8</v>
      </c>
      <c r="K1591" t="s">
        <v>2449</v>
      </c>
      <c r="M1591" t="str">
        <f t="shared" si="2031"/>
        <v>Valade_2018</v>
      </c>
      <c r="N1591" t="s">
        <v>222</v>
      </c>
      <c r="O1591" s="145" t="s">
        <v>1153</v>
      </c>
      <c r="Q1591" t="s">
        <v>256</v>
      </c>
      <c r="R1591" s="255" t="s">
        <v>225</v>
      </c>
      <c r="S1591" s="1" t="s">
        <v>2455</v>
      </c>
      <c r="T1591" t="s">
        <v>2443</v>
      </c>
      <c r="U1591" t="s">
        <v>2456</v>
      </c>
      <c r="V1591">
        <v>0</v>
      </c>
      <c r="W1591">
        <v>0</v>
      </c>
      <c r="X1591">
        <v>1</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s="141">
        <f t="shared" si="2071"/>
        <v>1</v>
      </c>
      <c r="AY1591" s="141">
        <f t="shared" si="2072"/>
        <v>1</v>
      </c>
      <c r="AZ1591">
        <f t="shared" si="2073"/>
        <v>1</v>
      </c>
      <c r="BA1591">
        <f t="shared" si="2074"/>
        <v>0</v>
      </c>
      <c r="BB1591">
        <f t="shared" si="2075"/>
        <v>0</v>
      </c>
      <c r="BC1591">
        <f t="shared" si="2076"/>
        <v>0</v>
      </c>
      <c r="BD1591">
        <f t="shared" si="2077"/>
        <v>0</v>
      </c>
      <c r="BE1591" t="str">
        <f t="array" ref="BE1591">IF(AY1591=1,INDEX($V$7:$AL$7,MATCH(TRUE,INDEX($V1591:$AW1591&lt;&gt;0,),0)),IF(AY1591=0,INDEX($AM$7:$AW$7,MATCH(1,$AM1591:$AW1591,0)),IF(BF1591="Multiple strategies","mixed drivers",IF(BF1591="Supply chain","multiple supply","multiple silviculture"))))</f>
        <v>rotation length</v>
      </c>
      <c r="BF1591" s="2" t="str" cm="1">
        <f t="array" ref="BF1591">IF(COUNTIF(AZ1591:BB1591,"&lt;&gt;0")=1,INDEX($V$4:$AW$4,MATCH(TRUE,INDEX($V1591:$AW1591&lt;&gt;0,),0)),IF(COUNTIF(AZ1591:BB1591,"&lt;&gt;0")=0,INDEX($AM$4:$AW$4,MATCH(1,$AM1591:$AW1591,0)),"Multiple strategies"))</f>
        <v>Silviculture for removals</v>
      </c>
      <c r="BG1591" s="1" t="s">
        <v>321</v>
      </c>
      <c r="BH1591" t="s">
        <v>2452</v>
      </c>
      <c r="BI1591" s="260" t="s">
        <v>3398</v>
      </c>
      <c r="BJ1591" t="s">
        <v>1322</v>
      </c>
      <c r="BK1591">
        <v>1168.5023099755704</v>
      </c>
      <c r="BL1591">
        <v>2095.3144563242754</v>
      </c>
      <c r="BM1591" s="143">
        <f t="shared" si="2078"/>
        <v>1.7931624425869399</v>
      </c>
      <c r="BN1591">
        <f t="shared" si="2079"/>
        <v>926.81214634870503</v>
      </c>
      <c r="BO1591">
        <f>+BN1591*1000000</f>
        <v>926812146.34870505</v>
      </c>
      <c r="BP1591" t="s">
        <v>232</v>
      </c>
      <c r="BQ1591" s="260" t="s">
        <v>3400</v>
      </c>
      <c r="BR1591" t="s">
        <v>1358</v>
      </c>
      <c r="BS1591">
        <v>391.990063159464</v>
      </c>
      <c r="BT1591">
        <v>310.62524300000001</v>
      </c>
      <c r="BU1591" s="144">
        <f t="shared" si="2081"/>
        <v>0.79243142159355129</v>
      </c>
      <c r="BV1591" s="144">
        <f t="shared" si="2082"/>
        <v>-81.364820159463989</v>
      </c>
      <c r="BW1591" s="144"/>
      <c r="BX1591">
        <f t="shared" si="2083"/>
        <v>-298608889.98523283</v>
      </c>
      <c r="BY1591">
        <f t="shared" si="2070"/>
        <v>-0.32218922805623634</v>
      </c>
      <c r="BZ1591">
        <v>0</v>
      </c>
      <c r="CA1591">
        <v>0</v>
      </c>
      <c r="CB1591">
        <v>0</v>
      </c>
      <c r="CC1591">
        <v>0</v>
      </c>
      <c r="CD1591">
        <v>0</v>
      </c>
      <c r="CE1591">
        <v>0</v>
      </c>
      <c r="CF1591">
        <v>0</v>
      </c>
      <c r="CG1591">
        <v>0</v>
      </c>
      <c r="CH1591">
        <v>0</v>
      </c>
      <c r="CI1591">
        <v>0</v>
      </c>
      <c r="CJ1591">
        <v>0</v>
      </c>
      <c r="CK1591">
        <v>0</v>
      </c>
      <c r="CL1591">
        <v>0</v>
      </c>
      <c r="CM1591">
        <v>0</v>
      </c>
      <c r="CN1591" t="str">
        <f t="shared" si="2084"/>
        <v>refOK</v>
      </c>
      <c r="CO1591">
        <f t="shared" si="2085"/>
        <v>1168.5023099755704</v>
      </c>
      <c r="CP1591">
        <f t="shared" si="2086"/>
        <v>2095.3144563242754</v>
      </c>
      <c r="CQ1591">
        <f t="shared" si="2087"/>
        <v>926812146.34870505</v>
      </c>
      <c r="CR1591">
        <f t="shared" si="2088"/>
        <v>391.990063159464</v>
      </c>
      <c r="CS1591">
        <f t="shared" si="2089"/>
        <v>310.62524300000001</v>
      </c>
      <c r="CT1591">
        <f t="shared" si="2090"/>
        <v>-298608889.98523283</v>
      </c>
      <c r="CU1591">
        <f t="shared" si="2091"/>
        <v>-0.32218922805623634</v>
      </c>
      <c r="CV1591" s="2">
        <f t="shared" si="2092"/>
        <v>-0.20756857840644871</v>
      </c>
      <c r="CW1591" s="1" t="s">
        <v>1202</v>
      </c>
      <c r="CX1591" t="str">
        <f t="shared" si="2093"/>
        <v>reg</v>
      </c>
      <c r="CY1591" t="s">
        <v>729</v>
      </c>
      <c r="CZ1591">
        <v>2015</v>
      </c>
      <c r="DA1591">
        <v>2040</v>
      </c>
      <c r="DB1591">
        <f t="shared" si="2094"/>
        <v>25</v>
      </c>
      <c r="DC1591" t="str">
        <f t="shared" si="2095"/>
        <v>1-30</v>
      </c>
      <c r="DD1591">
        <v>1</v>
      </c>
      <c r="DE1591">
        <v>1</v>
      </c>
      <c r="DF1591">
        <v>1</v>
      </c>
      <c r="DG1591">
        <v>1</v>
      </c>
      <c r="DI1591">
        <f t="shared" si="2096"/>
        <v>4</v>
      </c>
      <c r="DJ1591" t="str">
        <f t="shared" si="2097"/>
        <v>mixedProduct</v>
      </c>
      <c r="DK1591" t="str">
        <f t="shared" si="2098"/>
        <v>Upstream</v>
      </c>
      <c r="DL1591" t="str">
        <f t="shared" si="2099"/>
        <v>Energy</v>
      </c>
      <c r="DM1591" t="str">
        <f t="shared" si="2100"/>
        <v>Pulp/Paper</v>
      </c>
      <c r="DN1591" t="str">
        <f t="shared" si="2101"/>
        <v>Timber</v>
      </c>
      <c r="DO1591">
        <v>0</v>
      </c>
      <c r="DP1591">
        <v>1</v>
      </c>
      <c r="DQ1591" t="s">
        <v>2459</v>
      </c>
      <c r="DR1591" t="s">
        <v>2460</v>
      </c>
      <c r="DS1591" t="s">
        <v>2460</v>
      </c>
      <c r="DT1591">
        <f t="shared" si="2102"/>
        <v>1</v>
      </c>
      <c r="DU1591" s="143" t="str">
        <f t="shared" si="2103"/>
        <v>external DF used</v>
      </c>
      <c r="DV1591">
        <v>0</v>
      </c>
      <c r="DW1591">
        <v>1</v>
      </c>
      <c r="DX1591">
        <v>1</v>
      </c>
      <c r="DY1591">
        <v>1</v>
      </c>
      <c r="DZ1591">
        <v>1</v>
      </c>
      <c r="EA1591" s="143">
        <v>1</v>
      </c>
      <c r="EB1591">
        <v>1</v>
      </c>
      <c r="EC1591">
        <v>1</v>
      </c>
      <c r="ED1591">
        <v>0</v>
      </c>
      <c r="EE1591">
        <v>0</v>
      </c>
      <c r="EF1591">
        <v>1</v>
      </c>
      <c r="EG1591">
        <v>0</v>
      </c>
      <c r="EH1591">
        <v>0</v>
      </c>
      <c r="EI1591" s="2">
        <v>0</v>
      </c>
      <c r="EK1591" t="str">
        <f t="shared" si="2104"/>
        <v>Whole sector</v>
      </c>
      <c r="EL1591" t="str">
        <f t="shared" si="2105"/>
        <v/>
      </c>
      <c r="EM1591" s="2" t="str">
        <f t="shared" si="2106"/>
        <v/>
      </c>
      <c r="EP1591" t="str">
        <f>IF(ISNUMBER(BU1591),IF(ABS(BU1591-[5]QC_indicators!$B$2)&gt;3*[5]QC_indicators!$C$2,"C ratio",IF(ISNUMBER(BY1591),IF(ABS(BY1591-[5]QC_indicators!$B$1)&gt;3*[5]QC_indicators!$C$1,"DF","no"))),IF(ISNUMBER(BY1591),IF(ABS(BY1591-[5]QC_indicators!$B$1)&gt;3*[5]QC_indicators!$C$1,"DF","no")))</f>
        <v>no</v>
      </c>
      <c r="EQ1591" t="s">
        <v>2377</v>
      </c>
      <c r="ET1591" s="264" t="s">
        <v>3272</v>
      </c>
    </row>
    <row r="1592" spans="1:150" hidden="1">
      <c r="A1592" s="1" t="s">
        <v>1971</v>
      </c>
      <c r="B1592" t="s">
        <v>2444</v>
      </c>
      <c r="C1592" t="s">
        <v>2445</v>
      </c>
      <c r="D1592" t="s">
        <v>2446</v>
      </c>
      <c r="E1592" t="s">
        <v>2447</v>
      </c>
      <c r="F1592" t="s">
        <v>2448</v>
      </c>
      <c r="G1592" t="s">
        <v>1977</v>
      </c>
      <c r="H1592" t="s">
        <v>254</v>
      </c>
      <c r="I1592">
        <v>2018</v>
      </c>
      <c r="J1592">
        <v>8</v>
      </c>
      <c r="K1592" t="s">
        <v>2449</v>
      </c>
      <c r="M1592" t="str">
        <f t="shared" si="2031"/>
        <v>Valade_2018</v>
      </c>
      <c r="N1592" t="s">
        <v>222</v>
      </c>
      <c r="O1592" s="145" t="s">
        <v>1153</v>
      </c>
      <c r="Q1592" t="s">
        <v>256</v>
      </c>
      <c r="R1592" s="255" t="s">
        <v>225</v>
      </c>
      <c r="S1592" s="1" t="s">
        <v>2457</v>
      </c>
      <c r="T1592" t="s">
        <v>2443</v>
      </c>
      <c r="U1592" t="s">
        <v>2458</v>
      </c>
      <c r="V1592">
        <v>0</v>
      </c>
      <c r="W1592">
        <v>0</v>
      </c>
      <c r="X1592">
        <v>1</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s="141">
        <f t="shared" si="2071"/>
        <v>1</v>
      </c>
      <c r="AY1592" s="141">
        <f t="shared" si="2072"/>
        <v>1</v>
      </c>
      <c r="AZ1592">
        <f t="shared" si="2073"/>
        <v>1</v>
      </c>
      <c r="BA1592">
        <f t="shared" si="2074"/>
        <v>0</v>
      </c>
      <c r="BB1592">
        <f t="shared" si="2075"/>
        <v>0</v>
      </c>
      <c r="BC1592">
        <f t="shared" si="2076"/>
        <v>0</v>
      </c>
      <c r="BD1592">
        <f t="shared" si="2077"/>
        <v>0</v>
      </c>
      <c r="BE1592" t="str">
        <f t="array" ref="BE1592">IF(AY1592=1,INDEX($V$7:$AL$7,MATCH(TRUE,INDEX($V1592:$AW1592&lt;&gt;0,),0)),IF(AY1592=0,INDEX($AM$7:$AW$7,MATCH(1,$AM1592:$AW1592,0)),IF(BF1592="Multiple strategies","mixed drivers",IF(BF1592="Supply chain","multiple supply","multiple silviculture"))))</f>
        <v>rotation length</v>
      </c>
      <c r="BF1592" s="2" t="str" cm="1">
        <f t="array" ref="BF1592">IF(COUNTIF(AZ1592:BB1592,"&lt;&gt;0")=1,INDEX($V$4:$AW$4,MATCH(TRUE,INDEX($V1592:$AW1592&lt;&gt;0,),0)),IF(COUNTIF(AZ1592:BB1592,"&lt;&gt;0")=0,INDEX($AM$4:$AW$4,MATCH(1,$AM1592:$AW1592,0)),"Multiple strategies"))</f>
        <v>Silviculture for removals</v>
      </c>
      <c r="BG1592" s="1" t="s">
        <v>321</v>
      </c>
      <c r="BH1592" t="s">
        <v>2452</v>
      </c>
      <c r="BI1592" s="260" t="s">
        <v>3398</v>
      </c>
      <c r="BJ1592" t="s">
        <v>1322</v>
      </c>
      <c r="BK1592">
        <v>1168.5023099755704</v>
      </c>
      <c r="BL1592">
        <v>1580.9377497587932</v>
      </c>
      <c r="BM1592" s="143">
        <f t="shared" si="2078"/>
        <v>1.3529607397967793</v>
      </c>
      <c r="BN1592">
        <f t="shared" si="2079"/>
        <v>412.43543978322282</v>
      </c>
      <c r="BO1592">
        <f>BN1592*10^6</f>
        <v>412435439.78322279</v>
      </c>
      <c r="BP1592" t="s">
        <v>232</v>
      </c>
      <c r="BQ1592" s="260" t="s">
        <v>3400</v>
      </c>
      <c r="BR1592" t="s">
        <v>1358</v>
      </c>
      <c r="BS1592">
        <v>391.990063159464</v>
      </c>
      <c r="BT1592">
        <v>395.522996733436</v>
      </c>
      <c r="BU1592" s="144">
        <f t="shared" si="2081"/>
        <v>1.0090128141144608</v>
      </c>
      <c r="BV1592" s="144">
        <f t="shared" si="2082"/>
        <v>3.5329335739720023</v>
      </c>
      <c r="BW1592" s="144"/>
      <c r="BX1592">
        <f t="shared" si="2083"/>
        <v>12965866.216477247</v>
      </c>
      <c r="BY1592">
        <f t="shared" si="2070"/>
        <v>3.1437323192430172E-2</v>
      </c>
      <c r="BZ1592">
        <v>0</v>
      </c>
      <c r="CA1592">
        <v>0</v>
      </c>
      <c r="CB1592">
        <v>0</v>
      </c>
      <c r="CC1592">
        <v>0</v>
      </c>
      <c r="CD1592">
        <v>0</v>
      </c>
      <c r="CE1592">
        <v>0</v>
      </c>
      <c r="CF1592">
        <v>0</v>
      </c>
      <c r="CG1592">
        <v>0</v>
      </c>
      <c r="CH1592">
        <v>0</v>
      </c>
      <c r="CI1592">
        <v>0</v>
      </c>
      <c r="CJ1592">
        <v>0</v>
      </c>
      <c r="CK1592">
        <v>0</v>
      </c>
      <c r="CL1592">
        <v>0</v>
      </c>
      <c r="CM1592">
        <v>0</v>
      </c>
      <c r="CN1592" t="str">
        <f t="shared" si="2084"/>
        <v>refOK</v>
      </c>
      <c r="CO1592">
        <f t="shared" si="2085"/>
        <v>1168.5023099755704</v>
      </c>
      <c r="CP1592">
        <f t="shared" si="2086"/>
        <v>1580.9377497587932</v>
      </c>
      <c r="CQ1592">
        <f t="shared" si="2087"/>
        <v>412435439.78322279</v>
      </c>
      <c r="CR1592">
        <f t="shared" si="2088"/>
        <v>391.990063159464</v>
      </c>
      <c r="CS1592">
        <f t="shared" si="2089"/>
        <v>395.522996733436</v>
      </c>
      <c r="CT1592">
        <f t="shared" si="2090"/>
        <v>12965866.216477247</v>
      </c>
      <c r="CU1592">
        <f t="shared" si="2091"/>
        <v>3.1437323192430172E-2</v>
      </c>
      <c r="CV1592" s="2">
        <f t="shared" si="2092"/>
        <v>9.0128141144608116E-3</v>
      </c>
      <c r="CW1592" s="1" t="s">
        <v>1202</v>
      </c>
      <c r="CX1592" t="str">
        <f t="shared" si="2093"/>
        <v>reg</v>
      </c>
      <c r="CY1592" t="s">
        <v>729</v>
      </c>
      <c r="CZ1592">
        <v>2015</v>
      </c>
      <c r="DA1592">
        <v>2040</v>
      </c>
      <c r="DB1592">
        <f t="shared" si="2094"/>
        <v>25</v>
      </c>
      <c r="DC1592" t="str">
        <f t="shared" si="2095"/>
        <v>1-30</v>
      </c>
      <c r="DD1592">
        <v>1</v>
      </c>
      <c r="DE1592">
        <v>1</v>
      </c>
      <c r="DF1592">
        <v>1</v>
      </c>
      <c r="DG1592">
        <v>1</v>
      </c>
      <c r="DI1592">
        <f t="shared" si="2096"/>
        <v>4</v>
      </c>
      <c r="DJ1592" t="str">
        <f t="shared" si="2097"/>
        <v>mixedProduct</v>
      </c>
      <c r="DK1592" t="str">
        <f t="shared" si="2098"/>
        <v>Upstream</v>
      </c>
      <c r="DL1592" t="str">
        <f t="shared" si="2099"/>
        <v>Energy</v>
      </c>
      <c r="DM1592" t="str">
        <f t="shared" si="2100"/>
        <v>Pulp/Paper</v>
      </c>
      <c r="DN1592" t="str">
        <f t="shared" si="2101"/>
        <v>Timber</v>
      </c>
      <c r="DO1592">
        <v>0</v>
      </c>
      <c r="DP1592">
        <v>1</v>
      </c>
      <c r="DQ1592" t="s">
        <v>2459</v>
      </c>
      <c r="DR1592" t="s">
        <v>2460</v>
      </c>
      <c r="DS1592" t="s">
        <v>2460</v>
      </c>
      <c r="DT1592">
        <f t="shared" si="2102"/>
        <v>1</v>
      </c>
      <c r="DU1592" s="143" t="str">
        <f t="shared" si="2103"/>
        <v>external DF used</v>
      </c>
      <c r="DV1592">
        <v>0</v>
      </c>
      <c r="DW1592">
        <v>1</v>
      </c>
      <c r="DX1592">
        <v>1</v>
      </c>
      <c r="DY1592">
        <v>1</v>
      </c>
      <c r="DZ1592">
        <v>1</v>
      </c>
      <c r="EA1592" s="143">
        <v>1</v>
      </c>
      <c r="EB1592">
        <v>1</v>
      </c>
      <c r="EC1592">
        <v>1</v>
      </c>
      <c r="ED1592">
        <v>0</v>
      </c>
      <c r="EE1592">
        <v>0</v>
      </c>
      <c r="EF1592">
        <v>1</v>
      </c>
      <c r="EG1592">
        <v>0</v>
      </c>
      <c r="EH1592">
        <v>0</v>
      </c>
      <c r="EI1592" s="2">
        <v>0</v>
      </c>
      <c r="EK1592" t="str">
        <f t="shared" si="2104"/>
        <v>Whole sector</v>
      </c>
      <c r="EL1592" t="str">
        <f t="shared" si="2105"/>
        <v/>
      </c>
      <c r="EM1592" s="2" t="str">
        <f t="shared" si="2106"/>
        <v/>
      </c>
      <c r="EP1592" t="str">
        <f>IF(ISNUMBER(BU1592),IF(ABS(BU1592-[5]QC_indicators!$B$2)&gt;3*[5]QC_indicators!$C$2,"C ratio",IF(ISNUMBER(BY1592),IF(ABS(BY1592-[5]QC_indicators!$B$1)&gt;3*[5]QC_indicators!$C$1,"DF","no"))),IF(ISNUMBER(BY1592),IF(ABS(BY1592-[5]QC_indicators!$B$1)&gt;3*[5]QC_indicators!$C$1,"DF","no")))</f>
        <v>no</v>
      </c>
      <c r="EQ1592" t="s">
        <v>2377</v>
      </c>
      <c r="ET1592" s="264" t="s">
        <v>3272</v>
      </c>
    </row>
    <row r="1593" spans="1:150" hidden="1">
      <c r="A1593" s="1" t="s">
        <v>4271</v>
      </c>
      <c r="B1593" t="s">
        <v>4272</v>
      </c>
      <c r="C1593" t="s">
        <v>4273</v>
      </c>
      <c r="D1593" t="s">
        <v>4274</v>
      </c>
      <c r="E1593" t="s">
        <v>4275</v>
      </c>
      <c r="F1593" t="s">
        <v>4276</v>
      </c>
      <c r="G1593" t="s">
        <v>4277</v>
      </c>
      <c r="H1593" t="s">
        <v>254</v>
      </c>
      <c r="I1593">
        <v>2021</v>
      </c>
      <c r="J1593">
        <v>0</v>
      </c>
      <c r="K1593" t="s">
        <v>4278</v>
      </c>
      <c r="M1593" t="str">
        <f t="shared" si="2031"/>
        <v>Vanova_2021</v>
      </c>
      <c r="N1593" s="311" t="s">
        <v>4382</v>
      </c>
      <c r="O1593" s="145" t="s">
        <v>1153</v>
      </c>
      <c r="Q1593" s="311" t="s">
        <v>256</v>
      </c>
      <c r="R1593" s="312"/>
      <c r="S1593" s="1" t="s">
        <v>4279</v>
      </c>
      <c r="T1593" t="s">
        <v>4280</v>
      </c>
      <c r="U1593" t="s">
        <v>4281</v>
      </c>
      <c r="V1593">
        <v>0</v>
      </c>
      <c r="W1593">
        <v>0</v>
      </c>
      <c r="X1593">
        <v>0</v>
      </c>
      <c r="Y1593">
        <v>0</v>
      </c>
      <c r="Z1593">
        <v>0</v>
      </c>
      <c r="AA1593">
        <v>0</v>
      </c>
      <c r="AB1593">
        <v>0</v>
      </c>
      <c r="AC1593">
        <v>0</v>
      </c>
      <c r="AD1593">
        <v>0</v>
      </c>
      <c r="AE1593">
        <v>0</v>
      </c>
      <c r="AF1593">
        <v>0</v>
      </c>
      <c r="AG1593">
        <v>0</v>
      </c>
      <c r="AH1593">
        <v>0</v>
      </c>
      <c r="AI1593">
        <v>0</v>
      </c>
      <c r="AJ1593">
        <v>1</v>
      </c>
      <c r="AK1593">
        <v>0</v>
      </c>
      <c r="AL1593">
        <v>0</v>
      </c>
      <c r="AM1593">
        <v>0</v>
      </c>
      <c r="AN1593">
        <v>0</v>
      </c>
      <c r="AO1593">
        <v>0</v>
      </c>
      <c r="AP1593">
        <v>0</v>
      </c>
      <c r="AQ1593">
        <v>0</v>
      </c>
      <c r="AR1593">
        <v>0</v>
      </c>
      <c r="AS1593">
        <v>0</v>
      </c>
      <c r="AT1593">
        <v>0</v>
      </c>
      <c r="AU1593">
        <v>0</v>
      </c>
      <c r="AV1593">
        <v>0</v>
      </c>
      <c r="AW1593">
        <v>0</v>
      </c>
      <c r="AX1593" s="141">
        <f t="shared" si="2071"/>
        <v>1</v>
      </c>
      <c r="AY1593" s="141">
        <f t="shared" si="2072"/>
        <v>1</v>
      </c>
      <c r="AZ1593">
        <f t="shared" si="2073"/>
        <v>0</v>
      </c>
      <c r="BA1593">
        <f t="shared" si="2074"/>
        <v>0</v>
      </c>
      <c r="BB1593">
        <f t="shared" si="2075"/>
        <v>1</v>
      </c>
      <c r="BC1593">
        <f t="shared" si="2076"/>
        <v>0</v>
      </c>
      <c r="BD1593">
        <f t="shared" si="2077"/>
        <v>0</v>
      </c>
      <c r="BE1593" t="str" cm="1">
        <f t="array" ref="BE1593">IF(AY1593=1,INDEX($V$7:$AL$7,MATCH(TRUE,INDEX($V1593:$AW1593&lt;&gt;0,),0)),IF(AY1593=0,INDEX($AM$7:$AW$7,MATCH(1,$AM1593:$AW1593,0)),IF(BF1593="Multiple strategies","mixed drivers",IF(BF1593="Supply chain","multiple supply","multiple silviculture"))))</f>
        <v>efficiency improvement</v>
      </c>
      <c r="BF1593" s="2" t="str" cm="1">
        <f t="array" ref="BF1593">IF(COUNTIF(AZ1593:BB1593,"&lt;&gt;0")=1,INDEX($V$4:$AW$4,MATCH(TRUE,INDEX($V1593:$AW1593&lt;&gt;0,),0)),IF(COUNTIF(AZ1593:BB1593,"&lt;&gt;0")=0,INDEX($AM$4:$AW$4,MATCH(1,$AM1593:$AW1593,0)),"Multiple strategies"))</f>
        <v>Technology</v>
      </c>
      <c r="BM1593" s="143"/>
      <c r="BN1593" s="143"/>
      <c r="BP1593" t="s">
        <v>232</v>
      </c>
      <c r="BR1593" t="s">
        <v>4282</v>
      </c>
      <c r="BS1593">
        <v>101.45</v>
      </c>
      <c r="BT1593">
        <v>68.06</v>
      </c>
      <c r="BU1593" s="144">
        <f t="shared" si="2081"/>
        <v>0.67087235091177921</v>
      </c>
      <c r="BV1593" s="144">
        <f t="shared" si="2082"/>
        <v>-33.39</v>
      </c>
      <c r="BW1593" s="144"/>
      <c r="BX1593" s="144"/>
      <c r="BY1593" t="str">
        <f t="shared" si="2070"/>
        <v/>
      </c>
      <c r="BZ1593">
        <v>1</v>
      </c>
      <c r="CA1593">
        <v>0</v>
      </c>
      <c r="CB1593">
        <v>0</v>
      </c>
      <c r="CC1593">
        <v>0</v>
      </c>
      <c r="CD1593">
        <v>0</v>
      </c>
      <c r="CE1593">
        <v>0</v>
      </c>
      <c r="CF1593">
        <v>0</v>
      </c>
      <c r="CG1593">
        <v>0</v>
      </c>
      <c r="CH1593">
        <v>0</v>
      </c>
      <c r="CI1593">
        <v>0</v>
      </c>
      <c r="CJ1593">
        <v>0</v>
      </c>
      <c r="CK1593">
        <v>0</v>
      </c>
      <c r="CL1593">
        <v>0</v>
      </c>
      <c r="CM1593">
        <v>0</v>
      </c>
      <c r="CN1593" t="str">
        <f t="shared" ref="CN1593:CN1598" si="2107">IF(BL1593&lt;BK1593,"refNeedCorrection","refOK")</f>
        <v>refOK</v>
      </c>
      <c r="CO1593"/>
      <c r="CP1593"/>
      <c r="CQ1593"/>
      <c r="CR1593">
        <f t="shared" si="2088"/>
        <v>101.45</v>
      </c>
      <c r="CS1593">
        <f t="shared" si="2089"/>
        <v>68.06</v>
      </c>
      <c r="CT1593">
        <f t="shared" si="2090"/>
        <v>0</v>
      </c>
      <c r="CU1593" t="str">
        <f t="shared" si="2091"/>
        <v/>
      </c>
      <c r="CV1593" s="2">
        <f t="shared" si="2092"/>
        <v>-0.32912764908822079</v>
      </c>
      <c r="CW1593" s="1" t="s">
        <v>263</v>
      </c>
      <c r="CX1593" s="311" t="str">
        <f t="shared" si="2093"/>
        <v>loc</v>
      </c>
      <c r="CY1593" s="311" t="s">
        <v>743</v>
      </c>
      <c r="DB1593">
        <f t="shared" si="2094"/>
        <v>0</v>
      </c>
      <c r="DC1593" t="str">
        <f t="shared" si="2095"/>
        <v>0</v>
      </c>
      <c r="DD1593">
        <v>0</v>
      </c>
      <c r="DE1593">
        <v>0</v>
      </c>
      <c r="DF1593">
        <v>0</v>
      </c>
      <c r="DG1593">
        <v>1</v>
      </c>
      <c r="DI1593">
        <f t="shared" si="2096"/>
        <v>1</v>
      </c>
      <c r="DJ1593" t="str">
        <f t="shared" si="2097"/>
        <v>TimberInput</v>
      </c>
      <c r="DK1593">
        <f t="shared" si="2098"/>
        <v>0</v>
      </c>
      <c r="DL1593">
        <f t="shared" si="2099"/>
        <v>0</v>
      </c>
      <c r="DM1593">
        <f t="shared" si="2100"/>
        <v>0</v>
      </c>
      <c r="DN1593" t="str">
        <f t="shared" si="2101"/>
        <v>Timber</v>
      </c>
      <c r="DO1593">
        <v>0</v>
      </c>
      <c r="DP1593">
        <v>0</v>
      </c>
      <c r="DQ1593">
        <v>0</v>
      </c>
      <c r="DR1593">
        <v>0</v>
      </c>
      <c r="DS1593">
        <v>0</v>
      </c>
      <c r="DT1593">
        <f t="shared" si="2102"/>
        <v>0</v>
      </c>
      <c r="DU1593" s="143" t="str">
        <f t="shared" si="2103"/>
        <v>explicit C balance</v>
      </c>
      <c r="DV1593">
        <v>0</v>
      </c>
      <c r="DW1593">
        <v>0</v>
      </c>
      <c r="DX1593">
        <v>0</v>
      </c>
      <c r="DY1593">
        <v>0</v>
      </c>
      <c r="DZ1593">
        <v>0</v>
      </c>
      <c r="EA1593" s="143">
        <v>0</v>
      </c>
      <c r="EB1593">
        <v>0</v>
      </c>
      <c r="EC1593">
        <v>1</v>
      </c>
      <c r="ED1593">
        <v>0</v>
      </c>
      <c r="EE1593">
        <v>0</v>
      </c>
      <c r="EF1593">
        <v>0</v>
      </c>
      <c r="EG1593">
        <v>0</v>
      </c>
      <c r="EH1593">
        <v>0</v>
      </c>
      <c r="EI1593" s="2">
        <v>0</v>
      </c>
      <c r="EK1593" t="str">
        <f t="shared" ref="EK1593:EK1598" si="2108">IF(AND(AND(AND(OR($DX1593=1,$DW1593=1),OR($EC1593=1,$EA1593=1)),SUM($DV1593:$DZ1593,$EF1593)&gt;=3),SUM($EA1593:$EE1593)&gt;=2),"Whole sector","")</f>
        <v/>
      </c>
      <c r="EL1593" t="str">
        <f t="shared" ref="EL1593:EL1598" si="2109">IF(AND(AND(OR($DX1593=1,$DW1593=1),AND($EC1593=0,$EA1593=0)),SUM($DV1593:$DZ1593,$EF1593)&gt;=3),"Ecosystem approach","")</f>
        <v/>
      </c>
      <c r="EM1593" s="2" t="str">
        <f t="shared" si="2106"/>
        <v/>
      </c>
      <c r="EP1593" t="b">
        <f>IF(ISNUMBER(BU1593),IF(ABS(BU1593-[1]QC_indicators!$B$2)&gt;3*[1]QC_indicators!$C$2,"C ratio",IF(ISNUMBER(BY1593),IF(ABS(BY1593-[1]QC_indicators!$B$1)&gt;3*[1]QC_indicators!$C$1,"DF","no"))),IF(ISNUMBER(BY1593),IF(ABS(BY1593-[1]QC_indicators!$B$1)&gt;3*[1]QC_indicators!$C$1,"DF","no")))</f>
        <v>0</v>
      </c>
    </row>
    <row r="1594" spans="1:150" ht="15" hidden="1" customHeight="1">
      <c r="A1594" s="1" t="s">
        <v>4271</v>
      </c>
      <c r="B1594" t="s">
        <v>4272</v>
      </c>
      <c r="C1594" t="s">
        <v>4273</v>
      </c>
      <c r="D1594" t="s">
        <v>4274</v>
      </c>
      <c r="E1594" t="s">
        <v>4275</v>
      </c>
      <c r="F1594" t="s">
        <v>4276</v>
      </c>
      <c r="G1594" t="s">
        <v>4277</v>
      </c>
      <c r="H1594" t="s">
        <v>254</v>
      </c>
      <c r="I1594">
        <v>2021</v>
      </c>
      <c r="J1594">
        <v>0</v>
      </c>
      <c r="K1594" t="s">
        <v>4278</v>
      </c>
      <c r="M1594" t="str">
        <f t="shared" si="2031"/>
        <v>Vanova_2021</v>
      </c>
      <c r="N1594" s="311" t="s">
        <v>4382</v>
      </c>
      <c r="O1594" s="145" t="s">
        <v>1153</v>
      </c>
      <c r="Q1594" s="311" t="s">
        <v>256</v>
      </c>
      <c r="R1594" s="312"/>
      <c r="S1594" s="1" t="s">
        <v>4283</v>
      </c>
      <c r="T1594" t="s">
        <v>4284</v>
      </c>
      <c r="U1594" t="s">
        <v>4285</v>
      </c>
      <c r="V1594">
        <v>0</v>
      </c>
      <c r="W1594">
        <v>0</v>
      </c>
      <c r="X1594">
        <v>0</v>
      </c>
      <c r="Y1594">
        <v>0</v>
      </c>
      <c r="Z1594">
        <v>0</v>
      </c>
      <c r="AA1594">
        <v>0</v>
      </c>
      <c r="AB1594">
        <v>0</v>
      </c>
      <c r="AC1594">
        <v>0</v>
      </c>
      <c r="AD1594">
        <v>0</v>
      </c>
      <c r="AE1594">
        <v>0</v>
      </c>
      <c r="AF1594">
        <v>0</v>
      </c>
      <c r="AG1594">
        <v>0</v>
      </c>
      <c r="AH1594">
        <v>0</v>
      </c>
      <c r="AI1594">
        <v>0</v>
      </c>
      <c r="AJ1594">
        <v>1</v>
      </c>
      <c r="AK1594">
        <v>0</v>
      </c>
      <c r="AL1594">
        <v>0</v>
      </c>
      <c r="AM1594">
        <v>0</v>
      </c>
      <c r="AN1594">
        <v>0</v>
      </c>
      <c r="AO1594">
        <v>0</v>
      </c>
      <c r="AP1594">
        <v>0</v>
      </c>
      <c r="AQ1594">
        <v>0</v>
      </c>
      <c r="AR1594">
        <v>0</v>
      </c>
      <c r="AS1594">
        <v>0</v>
      </c>
      <c r="AT1594">
        <v>0</v>
      </c>
      <c r="AU1594">
        <v>0</v>
      </c>
      <c r="AV1594">
        <v>0</v>
      </c>
      <c r="AW1594">
        <v>0</v>
      </c>
      <c r="AX1594" s="141">
        <f t="shared" si="2071"/>
        <v>1</v>
      </c>
      <c r="AY1594" s="141">
        <f t="shared" si="2072"/>
        <v>1</v>
      </c>
      <c r="AZ1594">
        <f t="shared" si="2073"/>
        <v>0</v>
      </c>
      <c r="BA1594">
        <f t="shared" si="2074"/>
        <v>0</v>
      </c>
      <c r="BB1594">
        <f t="shared" si="2075"/>
        <v>1</v>
      </c>
      <c r="BC1594">
        <f t="shared" si="2076"/>
        <v>0</v>
      </c>
      <c r="BD1594">
        <f t="shared" si="2077"/>
        <v>0</v>
      </c>
      <c r="BE1594" t="str" cm="1">
        <f t="array" ref="BE1594">IF(AY1594=1,INDEX($V$7:$AL$7,MATCH(TRUE,INDEX($V1594:$AW1594&lt;&gt;0,),0)),IF(AY1594=0,INDEX($AM$7:$AW$7,MATCH(1,$AM1594:$AW1594,0)),IF(BF1594="Multiple strategies","mixed drivers",IF(BF1594="Supply chain","multiple supply","multiple silviculture"))))</f>
        <v>efficiency improvement</v>
      </c>
      <c r="BF1594" s="2" t="str" cm="1">
        <f t="array" ref="BF1594">IF(COUNTIF(AZ1594:BB1594,"&lt;&gt;0")=1,INDEX($V$4:$AW$4,MATCH(TRUE,INDEX($V1594:$AW1594&lt;&gt;0,),0)),IF(COUNTIF(AZ1594:BB1594,"&lt;&gt;0")=0,INDEX($AM$4:$AW$4,MATCH(1,$AM1594:$AW1594,0)),"Multiple strategies"))</f>
        <v>Technology</v>
      </c>
      <c r="BM1594" s="143"/>
      <c r="BN1594" s="143"/>
      <c r="BP1594" t="s">
        <v>232</v>
      </c>
      <c r="BR1594" t="s">
        <v>4282</v>
      </c>
      <c r="BS1594">
        <v>235.89</v>
      </c>
      <c r="BT1594">
        <v>335.43</v>
      </c>
      <c r="BU1594" s="144">
        <f t="shared" si="2081"/>
        <v>1.4219763449065244</v>
      </c>
      <c r="BV1594" s="144">
        <f t="shared" si="2082"/>
        <v>99.54000000000002</v>
      </c>
      <c r="BW1594" s="144"/>
      <c r="BX1594" s="144"/>
      <c r="BY1594" t="str">
        <f t="shared" si="2070"/>
        <v/>
      </c>
      <c r="BZ1594">
        <v>1</v>
      </c>
      <c r="CA1594">
        <v>0</v>
      </c>
      <c r="CB1594">
        <v>0</v>
      </c>
      <c r="CC1594">
        <v>0</v>
      </c>
      <c r="CD1594">
        <v>0</v>
      </c>
      <c r="CE1594">
        <v>0</v>
      </c>
      <c r="CF1594">
        <v>0</v>
      </c>
      <c r="CG1594">
        <v>0</v>
      </c>
      <c r="CH1594">
        <v>0</v>
      </c>
      <c r="CI1594">
        <v>0</v>
      </c>
      <c r="CJ1594">
        <v>0</v>
      </c>
      <c r="CK1594">
        <v>0</v>
      </c>
      <c r="CL1594">
        <v>0</v>
      </c>
      <c r="CM1594">
        <v>0</v>
      </c>
      <c r="CN1594" t="str">
        <f t="shared" si="2107"/>
        <v>refOK</v>
      </c>
      <c r="CO1594"/>
      <c r="CP1594"/>
      <c r="CQ1594"/>
      <c r="CR1594">
        <f t="shared" si="2088"/>
        <v>235.89</v>
      </c>
      <c r="CS1594">
        <f t="shared" si="2089"/>
        <v>335.43</v>
      </c>
      <c r="CT1594">
        <f t="shared" si="2090"/>
        <v>0</v>
      </c>
      <c r="CU1594" t="str">
        <f t="shared" si="2091"/>
        <v/>
      </c>
      <c r="CV1594" s="2">
        <f t="shared" si="2092"/>
        <v>0.42197634490652436</v>
      </c>
      <c r="CW1594" s="1" t="s">
        <v>263</v>
      </c>
      <c r="CX1594" s="311" t="str">
        <f t="shared" si="2093"/>
        <v>loc</v>
      </c>
      <c r="CY1594" s="311" t="s">
        <v>743</v>
      </c>
      <c r="DB1594">
        <f t="shared" si="2094"/>
        <v>0</v>
      </c>
      <c r="DC1594" t="str">
        <f t="shared" si="2095"/>
        <v>0</v>
      </c>
      <c r="DD1594">
        <v>0</v>
      </c>
      <c r="DE1594">
        <v>0</v>
      </c>
      <c r="DF1594">
        <v>0</v>
      </c>
      <c r="DG1594">
        <v>1</v>
      </c>
      <c r="DI1594">
        <f t="shared" si="2096"/>
        <v>1</v>
      </c>
      <c r="DJ1594" t="str">
        <f t="shared" si="2097"/>
        <v>TimberInput</v>
      </c>
      <c r="DK1594">
        <f t="shared" si="2098"/>
        <v>0</v>
      </c>
      <c r="DL1594">
        <f t="shared" si="2099"/>
        <v>0</v>
      </c>
      <c r="DM1594">
        <f t="shared" si="2100"/>
        <v>0</v>
      </c>
      <c r="DN1594" t="str">
        <f t="shared" si="2101"/>
        <v>Timber</v>
      </c>
      <c r="DO1594">
        <v>0</v>
      </c>
      <c r="DP1594">
        <v>0</v>
      </c>
      <c r="DQ1594">
        <v>0</v>
      </c>
      <c r="DR1594">
        <v>0</v>
      </c>
      <c r="DS1594">
        <v>0</v>
      </c>
      <c r="DT1594">
        <f t="shared" si="2102"/>
        <v>0</v>
      </c>
      <c r="DU1594" s="143" t="str">
        <f t="shared" si="2103"/>
        <v>explicit C balance</v>
      </c>
      <c r="DV1594">
        <v>0</v>
      </c>
      <c r="DW1594">
        <v>0</v>
      </c>
      <c r="DX1594">
        <v>0</v>
      </c>
      <c r="DY1594">
        <v>0</v>
      </c>
      <c r="DZ1594">
        <v>0</v>
      </c>
      <c r="EA1594" s="143">
        <v>0</v>
      </c>
      <c r="EB1594">
        <v>0</v>
      </c>
      <c r="EC1594">
        <v>1</v>
      </c>
      <c r="ED1594">
        <v>0</v>
      </c>
      <c r="EE1594">
        <v>0</v>
      </c>
      <c r="EF1594">
        <v>0</v>
      </c>
      <c r="EG1594">
        <v>0</v>
      </c>
      <c r="EH1594">
        <v>0</v>
      </c>
      <c r="EI1594" s="2">
        <v>0</v>
      </c>
      <c r="EK1594" t="str">
        <f t="shared" si="2108"/>
        <v/>
      </c>
      <c r="EL1594" t="str">
        <f t="shared" si="2109"/>
        <v/>
      </c>
      <c r="EM1594" s="2" t="str">
        <f t="shared" si="2106"/>
        <v/>
      </c>
      <c r="EP1594" t="b">
        <f>IF(ISNUMBER(BU1594),IF(ABS(BU1594-[1]QC_indicators!$B$2)&gt;3*[1]QC_indicators!$C$2,"C ratio",IF(ISNUMBER(BY1594),IF(ABS(BY1594-[1]QC_indicators!$B$1)&gt;3*[1]QC_indicators!$C$1,"DF","no"))),IF(ISNUMBER(BY1594),IF(ABS(BY1594-[1]QC_indicators!$B$1)&gt;3*[1]QC_indicators!$C$1,"DF","no")))</f>
        <v>0</v>
      </c>
    </row>
    <row r="1595" spans="1:150" ht="15" hidden="1" customHeight="1">
      <c r="A1595" s="1" t="s">
        <v>4271</v>
      </c>
      <c r="B1595" t="s">
        <v>4272</v>
      </c>
      <c r="C1595" t="s">
        <v>4273</v>
      </c>
      <c r="D1595" t="s">
        <v>4274</v>
      </c>
      <c r="E1595" t="s">
        <v>4275</v>
      </c>
      <c r="F1595" t="s">
        <v>4276</v>
      </c>
      <c r="G1595" t="s">
        <v>4277</v>
      </c>
      <c r="H1595" t="s">
        <v>254</v>
      </c>
      <c r="I1595">
        <v>2021</v>
      </c>
      <c r="J1595">
        <v>0</v>
      </c>
      <c r="K1595" t="s">
        <v>4278</v>
      </c>
      <c r="M1595" t="str">
        <f t="shared" si="2031"/>
        <v>Vanova_2021</v>
      </c>
      <c r="N1595" s="311" t="s">
        <v>4382</v>
      </c>
      <c r="O1595" s="145" t="s">
        <v>1153</v>
      </c>
      <c r="Q1595" s="311" t="s">
        <v>256</v>
      </c>
      <c r="R1595" s="312"/>
      <c r="S1595" s="1" t="s">
        <v>4283</v>
      </c>
      <c r="T1595" t="s">
        <v>4286</v>
      </c>
      <c r="U1595" t="s">
        <v>4285</v>
      </c>
      <c r="V1595">
        <v>0</v>
      </c>
      <c r="W1595">
        <v>0</v>
      </c>
      <c r="X1595">
        <v>0</v>
      </c>
      <c r="Y1595">
        <v>0</v>
      </c>
      <c r="Z1595">
        <v>0</v>
      </c>
      <c r="AA1595">
        <v>0</v>
      </c>
      <c r="AB1595">
        <v>0</v>
      </c>
      <c r="AC1595">
        <v>0</v>
      </c>
      <c r="AD1595">
        <v>0</v>
      </c>
      <c r="AE1595">
        <v>0</v>
      </c>
      <c r="AF1595">
        <v>0</v>
      </c>
      <c r="AG1595">
        <v>0</v>
      </c>
      <c r="AH1595">
        <v>0</v>
      </c>
      <c r="AI1595">
        <v>0</v>
      </c>
      <c r="AJ1595">
        <v>1</v>
      </c>
      <c r="AK1595">
        <v>0</v>
      </c>
      <c r="AL1595">
        <v>0</v>
      </c>
      <c r="AM1595">
        <v>0</v>
      </c>
      <c r="AN1595">
        <v>0</v>
      </c>
      <c r="AO1595">
        <v>0</v>
      </c>
      <c r="AP1595">
        <v>0</v>
      </c>
      <c r="AQ1595">
        <v>0</v>
      </c>
      <c r="AR1595">
        <v>0</v>
      </c>
      <c r="AS1595">
        <v>0</v>
      </c>
      <c r="AT1595">
        <v>0</v>
      </c>
      <c r="AU1595">
        <v>0</v>
      </c>
      <c r="AV1595">
        <v>0</v>
      </c>
      <c r="AW1595">
        <v>0</v>
      </c>
      <c r="AX1595" s="141">
        <f t="shared" si="2071"/>
        <v>1</v>
      </c>
      <c r="AY1595" s="141">
        <f t="shared" si="2072"/>
        <v>1</v>
      </c>
      <c r="AZ1595">
        <f t="shared" si="2073"/>
        <v>0</v>
      </c>
      <c r="BA1595">
        <f t="shared" si="2074"/>
        <v>0</v>
      </c>
      <c r="BB1595">
        <f t="shared" si="2075"/>
        <v>1</v>
      </c>
      <c r="BC1595">
        <f t="shared" si="2076"/>
        <v>0</v>
      </c>
      <c r="BD1595">
        <f t="shared" si="2077"/>
        <v>0</v>
      </c>
      <c r="BE1595" t="str" cm="1">
        <f t="array" ref="BE1595">IF(AY1595=1,INDEX($V$7:$AL$7,MATCH(TRUE,INDEX($V1595:$AW1595&lt;&gt;0,),0)),IF(AY1595=0,INDEX($AM$7:$AW$7,MATCH(1,$AM1595:$AW1595,0)),IF(BF1595="Multiple strategies","mixed drivers",IF(BF1595="Supply chain","multiple supply","multiple silviculture"))))</f>
        <v>efficiency improvement</v>
      </c>
      <c r="BF1595" s="2" t="str" cm="1">
        <f t="array" ref="BF1595">IF(COUNTIF(AZ1595:BB1595,"&lt;&gt;0")=1,INDEX($V$4:$AW$4,MATCH(TRUE,INDEX($V1595:$AW1595&lt;&gt;0,),0)),IF(COUNTIF(AZ1595:BB1595,"&lt;&gt;0")=0,INDEX($AM$4:$AW$4,MATCH(1,$AM1595:$AW1595,0)),"Multiple strategies"))</f>
        <v>Technology</v>
      </c>
      <c r="BM1595" s="143"/>
      <c r="BN1595" s="143"/>
      <c r="BP1595" t="s">
        <v>232</v>
      </c>
      <c r="BR1595" t="s">
        <v>4282</v>
      </c>
      <c r="BS1595">
        <v>256.02999999999997</v>
      </c>
      <c r="BT1595">
        <v>335.43</v>
      </c>
      <c r="BU1595" s="144">
        <f t="shared" si="2081"/>
        <v>1.3101199078233021</v>
      </c>
      <c r="BV1595" s="144">
        <f t="shared" si="2082"/>
        <v>79.400000000000034</v>
      </c>
      <c r="BW1595" s="144"/>
      <c r="BX1595" s="144"/>
      <c r="BY1595" t="str">
        <f t="shared" si="2070"/>
        <v/>
      </c>
      <c r="BZ1595">
        <v>1</v>
      </c>
      <c r="CA1595">
        <v>0</v>
      </c>
      <c r="CB1595">
        <v>0</v>
      </c>
      <c r="CC1595">
        <v>0</v>
      </c>
      <c r="CD1595">
        <v>0</v>
      </c>
      <c r="CE1595">
        <v>0</v>
      </c>
      <c r="CF1595">
        <v>0</v>
      </c>
      <c r="CG1595">
        <v>0</v>
      </c>
      <c r="CH1595">
        <v>0</v>
      </c>
      <c r="CI1595">
        <v>0</v>
      </c>
      <c r="CJ1595">
        <v>0</v>
      </c>
      <c r="CK1595">
        <v>0</v>
      </c>
      <c r="CL1595">
        <v>0</v>
      </c>
      <c r="CM1595">
        <v>0</v>
      </c>
      <c r="CN1595" t="str">
        <f t="shared" si="2107"/>
        <v>refOK</v>
      </c>
      <c r="CO1595"/>
      <c r="CP1595"/>
      <c r="CQ1595"/>
      <c r="CR1595">
        <f t="shared" si="2088"/>
        <v>256.02999999999997</v>
      </c>
      <c r="CS1595">
        <f t="shared" si="2089"/>
        <v>335.43</v>
      </c>
      <c r="CT1595">
        <f t="shared" si="2090"/>
        <v>0</v>
      </c>
      <c r="CU1595" t="str">
        <f t="shared" si="2091"/>
        <v/>
      </c>
      <c r="CV1595" s="2">
        <f t="shared" si="2092"/>
        <v>0.31011990782330212</v>
      </c>
      <c r="CW1595" s="1" t="s">
        <v>263</v>
      </c>
      <c r="CX1595" s="311" t="str">
        <f t="shared" si="2093"/>
        <v>loc</v>
      </c>
      <c r="CY1595" s="311" t="s">
        <v>743</v>
      </c>
      <c r="DB1595">
        <f t="shared" si="2094"/>
        <v>0</v>
      </c>
      <c r="DC1595" t="str">
        <f t="shared" si="2095"/>
        <v>0</v>
      </c>
      <c r="DD1595">
        <v>0</v>
      </c>
      <c r="DE1595">
        <v>0</v>
      </c>
      <c r="DF1595">
        <v>0</v>
      </c>
      <c r="DG1595">
        <v>1</v>
      </c>
      <c r="DI1595">
        <f t="shared" si="2096"/>
        <v>1</v>
      </c>
      <c r="DJ1595" t="str">
        <f t="shared" si="2097"/>
        <v>TimberInput</v>
      </c>
      <c r="DK1595">
        <f t="shared" si="2098"/>
        <v>0</v>
      </c>
      <c r="DL1595">
        <f t="shared" si="2099"/>
        <v>0</v>
      </c>
      <c r="DM1595">
        <f t="shared" si="2100"/>
        <v>0</v>
      </c>
      <c r="DN1595" t="str">
        <f t="shared" si="2101"/>
        <v>Timber</v>
      </c>
      <c r="DO1595">
        <v>0</v>
      </c>
      <c r="DP1595">
        <v>0</v>
      </c>
      <c r="DQ1595">
        <v>0</v>
      </c>
      <c r="DR1595">
        <v>0</v>
      </c>
      <c r="DS1595">
        <v>0</v>
      </c>
      <c r="DT1595">
        <f t="shared" si="2102"/>
        <v>0</v>
      </c>
      <c r="DU1595" s="143" t="str">
        <f t="shared" si="2103"/>
        <v>explicit C balance</v>
      </c>
      <c r="DV1595">
        <v>0</v>
      </c>
      <c r="DW1595">
        <v>0</v>
      </c>
      <c r="DX1595">
        <v>0</v>
      </c>
      <c r="DY1595">
        <v>0</v>
      </c>
      <c r="DZ1595">
        <v>0</v>
      </c>
      <c r="EA1595" s="143">
        <v>0</v>
      </c>
      <c r="EB1595">
        <v>0</v>
      </c>
      <c r="EC1595">
        <v>1</v>
      </c>
      <c r="ED1595">
        <v>0</v>
      </c>
      <c r="EE1595">
        <v>0</v>
      </c>
      <c r="EF1595">
        <v>0</v>
      </c>
      <c r="EG1595">
        <v>0</v>
      </c>
      <c r="EH1595">
        <v>0</v>
      </c>
      <c r="EI1595" s="2">
        <v>0</v>
      </c>
      <c r="EK1595" t="str">
        <f t="shared" si="2108"/>
        <v/>
      </c>
      <c r="EL1595" t="str">
        <f t="shared" si="2109"/>
        <v/>
      </c>
      <c r="EM1595" s="2" t="str">
        <f t="shared" si="2106"/>
        <v/>
      </c>
      <c r="EP1595" t="b">
        <f>IF(ISNUMBER(BU1595),IF(ABS(BU1595-[1]QC_indicators!$B$2)&gt;3*[1]QC_indicators!$C$2,"C ratio",IF(ISNUMBER(BY1595),IF(ABS(BY1595-[1]QC_indicators!$B$1)&gt;3*[1]QC_indicators!$C$1,"DF","no"))),IF(ISNUMBER(BY1595),IF(ABS(BY1595-[1]QC_indicators!$B$1)&gt;3*[1]QC_indicators!$C$1,"DF","no")))</f>
        <v>0</v>
      </c>
    </row>
    <row r="1596" spans="1:150" ht="15" hidden="1" customHeight="1">
      <c r="A1596" s="1" t="s">
        <v>4271</v>
      </c>
      <c r="B1596" t="s">
        <v>4272</v>
      </c>
      <c r="C1596" t="s">
        <v>4273</v>
      </c>
      <c r="D1596" t="s">
        <v>4274</v>
      </c>
      <c r="E1596" t="s">
        <v>4275</v>
      </c>
      <c r="F1596" t="s">
        <v>4276</v>
      </c>
      <c r="G1596" t="s">
        <v>4277</v>
      </c>
      <c r="H1596" t="s">
        <v>254</v>
      </c>
      <c r="I1596">
        <v>2021</v>
      </c>
      <c r="J1596">
        <v>0</v>
      </c>
      <c r="K1596" t="s">
        <v>4278</v>
      </c>
      <c r="M1596" t="str">
        <f t="shared" si="2031"/>
        <v>Vanova_2021</v>
      </c>
      <c r="N1596" s="311" t="s">
        <v>4382</v>
      </c>
      <c r="O1596" s="145" t="s">
        <v>1153</v>
      </c>
      <c r="Q1596" s="311" t="s">
        <v>256</v>
      </c>
      <c r="R1596" s="312"/>
      <c r="S1596" s="1" t="s">
        <v>4287</v>
      </c>
      <c r="T1596" t="s">
        <v>4288</v>
      </c>
      <c r="U1596" t="s">
        <v>4289</v>
      </c>
      <c r="V1596">
        <v>0</v>
      </c>
      <c r="W1596">
        <v>0</v>
      </c>
      <c r="X1596">
        <v>0</v>
      </c>
      <c r="Y1596">
        <v>0</v>
      </c>
      <c r="Z1596">
        <v>1</v>
      </c>
      <c r="AA1596">
        <v>0</v>
      </c>
      <c r="AB1596">
        <v>0</v>
      </c>
      <c r="AC1596">
        <v>0</v>
      </c>
      <c r="AD1596">
        <v>0</v>
      </c>
      <c r="AE1596">
        <v>0</v>
      </c>
      <c r="AF1596">
        <v>0</v>
      </c>
      <c r="AG1596">
        <v>0</v>
      </c>
      <c r="AH1596">
        <v>0</v>
      </c>
      <c r="AI1596">
        <v>0</v>
      </c>
      <c r="AJ1596">
        <v>0</v>
      </c>
      <c r="AK1596">
        <v>0</v>
      </c>
      <c r="AL1596">
        <v>0</v>
      </c>
      <c r="AM1596">
        <v>0</v>
      </c>
      <c r="AN1596">
        <v>0</v>
      </c>
      <c r="AO1596">
        <v>0</v>
      </c>
      <c r="AP1596">
        <v>0</v>
      </c>
      <c r="AQ1596">
        <v>0</v>
      </c>
      <c r="AR1596">
        <v>0</v>
      </c>
      <c r="AS1596">
        <v>0</v>
      </c>
      <c r="AT1596">
        <v>0</v>
      </c>
      <c r="AU1596">
        <v>0</v>
      </c>
      <c r="AV1596">
        <v>0</v>
      </c>
      <c r="AW1596">
        <v>0</v>
      </c>
      <c r="AX1596" s="141">
        <f t="shared" si="2071"/>
        <v>1</v>
      </c>
      <c r="AY1596" s="141">
        <f t="shared" si="2072"/>
        <v>1</v>
      </c>
      <c r="AZ1596">
        <f t="shared" si="2073"/>
        <v>1</v>
      </c>
      <c r="BA1596">
        <f t="shared" si="2074"/>
        <v>0</v>
      </c>
      <c r="BB1596">
        <f t="shared" si="2075"/>
        <v>0</v>
      </c>
      <c r="BC1596">
        <f t="shared" si="2076"/>
        <v>0</v>
      </c>
      <c r="BD1596">
        <f t="shared" si="2077"/>
        <v>0</v>
      </c>
      <c r="BE1596" t="str" cm="1">
        <f t="array" ref="BE1596">IF(AY1596=1,INDEX($V$7:$AL$7,MATCH(TRUE,INDEX($V1596:$AW1596&lt;&gt;0,),0)),IF(AY1596=0,INDEX($AM$7:$AW$7,MATCH(1,$AM1596:$AW1596,0)),IF(BF1596="Multiple strategies","mixed drivers",IF(BF1596="Supply chain","multiple supply","multiple silviculture"))))</f>
        <v>species</v>
      </c>
      <c r="BF1596" s="2" t="str" cm="1">
        <f t="array" ref="BF1596">IF(COUNTIF(AZ1596:BB1596,"&lt;&gt;0")=1,INDEX($V$4:$AW$4,MATCH(TRUE,INDEX($V1596:$AW1596&lt;&gt;0,),0)),IF(COUNTIF(AZ1596:BB1596,"&lt;&gt;0")=0,INDEX($AM$4:$AW$4,MATCH(1,$AM1596:$AW1596,0)),"Multiple strategies"))</f>
        <v>Silviculture for productivity</v>
      </c>
      <c r="BM1596" s="143"/>
      <c r="BN1596" s="143"/>
      <c r="BP1596" t="s">
        <v>232</v>
      </c>
      <c r="BR1596" t="s">
        <v>4282</v>
      </c>
      <c r="BS1596">
        <v>25.31</v>
      </c>
      <c r="BT1596">
        <v>18.829999999999998</v>
      </c>
      <c r="BU1596" s="144">
        <f t="shared" si="2081"/>
        <v>0.74397471355195577</v>
      </c>
      <c r="BV1596" s="144">
        <f t="shared" si="2082"/>
        <v>-6.48</v>
      </c>
      <c r="BW1596" s="144"/>
      <c r="BX1596" s="144"/>
      <c r="BY1596" t="str">
        <f t="shared" si="2070"/>
        <v/>
      </c>
      <c r="BZ1596">
        <v>1</v>
      </c>
      <c r="CA1596">
        <v>0</v>
      </c>
      <c r="CB1596">
        <v>0</v>
      </c>
      <c r="CC1596">
        <v>0</v>
      </c>
      <c r="CD1596">
        <v>0</v>
      </c>
      <c r="CE1596">
        <v>0</v>
      </c>
      <c r="CF1596">
        <v>0</v>
      </c>
      <c r="CG1596">
        <v>0</v>
      </c>
      <c r="CH1596">
        <v>0</v>
      </c>
      <c r="CI1596">
        <v>0</v>
      </c>
      <c r="CJ1596">
        <v>0</v>
      </c>
      <c r="CK1596">
        <v>0</v>
      </c>
      <c r="CL1596">
        <v>0</v>
      </c>
      <c r="CM1596">
        <v>0</v>
      </c>
      <c r="CN1596" t="str">
        <f t="shared" si="2107"/>
        <v>refOK</v>
      </c>
      <c r="CO1596"/>
      <c r="CP1596"/>
      <c r="CQ1596"/>
      <c r="CR1596">
        <f t="shared" si="2088"/>
        <v>25.31</v>
      </c>
      <c r="CS1596">
        <f t="shared" si="2089"/>
        <v>18.829999999999998</v>
      </c>
      <c r="CT1596">
        <f t="shared" si="2090"/>
        <v>0</v>
      </c>
      <c r="CU1596" t="str">
        <f t="shared" si="2091"/>
        <v/>
      </c>
      <c r="CV1596" s="2">
        <f t="shared" si="2092"/>
        <v>-0.25602528644804429</v>
      </c>
      <c r="CW1596" s="1" t="s">
        <v>263</v>
      </c>
      <c r="CX1596" s="311" t="str">
        <f t="shared" si="2093"/>
        <v>loc</v>
      </c>
      <c r="CY1596" s="311" t="s">
        <v>743</v>
      </c>
      <c r="DB1596">
        <f t="shared" si="2094"/>
        <v>0</v>
      </c>
      <c r="DC1596" t="str">
        <f t="shared" si="2095"/>
        <v>0</v>
      </c>
      <c r="DD1596">
        <v>0</v>
      </c>
      <c r="DE1596">
        <v>0</v>
      </c>
      <c r="DF1596">
        <v>0</v>
      </c>
      <c r="DG1596">
        <v>1</v>
      </c>
      <c r="DI1596">
        <f t="shared" si="2096"/>
        <v>1</v>
      </c>
      <c r="DJ1596" t="str">
        <f t="shared" si="2097"/>
        <v>TimberInput</v>
      </c>
      <c r="DK1596">
        <f t="shared" si="2098"/>
        <v>0</v>
      </c>
      <c r="DL1596">
        <f t="shared" si="2099"/>
        <v>0</v>
      </c>
      <c r="DM1596">
        <f t="shared" si="2100"/>
        <v>0</v>
      </c>
      <c r="DN1596" t="str">
        <f t="shared" si="2101"/>
        <v>Timber</v>
      </c>
      <c r="DO1596">
        <v>0</v>
      </c>
      <c r="DP1596">
        <v>0</v>
      </c>
      <c r="DQ1596">
        <v>0</v>
      </c>
      <c r="DR1596">
        <v>0</v>
      </c>
      <c r="DS1596">
        <v>0</v>
      </c>
      <c r="DT1596">
        <f t="shared" si="2102"/>
        <v>0</v>
      </c>
      <c r="DU1596" s="143" t="str">
        <f t="shared" si="2103"/>
        <v>explicit C balance</v>
      </c>
      <c r="DV1596">
        <v>0</v>
      </c>
      <c r="DW1596">
        <v>0</v>
      </c>
      <c r="DX1596">
        <v>0</v>
      </c>
      <c r="DY1596">
        <v>0</v>
      </c>
      <c r="DZ1596">
        <v>0</v>
      </c>
      <c r="EA1596" s="143">
        <v>0</v>
      </c>
      <c r="EB1596">
        <v>0</v>
      </c>
      <c r="EC1596">
        <v>1</v>
      </c>
      <c r="ED1596">
        <v>0</v>
      </c>
      <c r="EE1596">
        <v>0</v>
      </c>
      <c r="EF1596">
        <v>0</v>
      </c>
      <c r="EG1596">
        <v>0</v>
      </c>
      <c r="EH1596">
        <v>0</v>
      </c>
      <c r="EI1596" s="2">
        <v>0</v>
      </c>
      <c r="EK1596" t="str">
        <f t="shared" si="2108"/>
        <v/>
      </c>
      <c r="EL1596" t="str">
        <f t="shared" si="2109"/>
        <v/>
      </c>
      <c r="EM1596" s="2" t="str">
        <f t="shared" si="2106"/>
        <v/>
      </c>
      <c r="EP1596" t="b">
        <f>IF(ISNUMBER(BU1596),IF(ABS(BU1596-[1]QC_indicators!$B$2)&gt;3*[1]QC_indicators!$C$2,"C ratio",IF(ISNUMBER(BY1596),IF(ABS(BY1596-[1]QC_indicators!$B$1)&gt;3*[1]QC_indicators!$C$1,"DF","no"))),IF(ISNUMBER(BY1596),IF(ABS(BY1596-[1]QC_indicators!$B$1)&gt;3*[1]QC_indicators!$C$1,"DF","no")))</f>
        <v>0</v>
      </c>
    </row>
    <row r="1597" spans="1:150" ht="15" hidden="1" customHeight="1">
      <c r="A1597" s="1" t="s">
        <v>4271</v>
      </c>
      <c r="B1597" t="s">
        <v>4272</v>
      </c>
      <c r="C1597" t="s">
        <v>4273</v>
      </c>
      <c r="D1597" t="s">
        <v>4274</v>
      </c>
      <c r="E1597" t="s">
        <v>4275</v>
      </c>
      <c r="F1597" t="s">
        <v>4276</v>
      </c>
      <c r="G1597" t="s">
        <v>4277</v>
      </c>
      <c r="H1597" t="s">
        <v>254</v>
      </c>
      <c r="I1597">
        <v>2021</v>
      </c>
      <c r="J1597">
        <v>0</v>
      </c>
      <c r="K1597" t="s">
        <v>4278</v>
      </c>
      <c r="M1597" t="str">
        <f t="shared" si="2031"/>
        <v>Vanova_2021</v>
      </c>
      <c r="N1597" s="311" t="s">
        <v>4382</v>
      </c>
      <c r="O1597" s="145" t="s">
        <v>1153</v>
      </c>
      <c r="Q1597" s="311" t="s">
        <v>256</v>
      </c>
      <c r="R1597" s="312"/>
      <c r="S1597" s="1" t="s">
        <v>4283</v>
      </c>
      <c r="T1597" t="s">
        <v>4284</v>
      </c>
      <c r="U1597" t="s">
        <v>4290</v>
      </c>
      <c r="V1597">
        <v>0</v>
      </c>
      <c r="W1597">
        <v>0</v>
      </c>
      <c r="X1597">
        <v>0</v>
      </c>
      <c r="Y1597">
        <v>0</v>
      </c>
      <c r="Z1597">
        <v>0</v>
      </c>
      <c r="AA1597">
        <v>0</v>
      </c>
      <c r="AB1597">
        <v>0</v>
      </c>
      <c r="AC1597">
        <v>0</v>
      </c>
      <c r="AD1597">
        <v>0</v>
      </c>
      <c r="AE1597">
        <v>0</v>
      </c>
      <c r="AF1597">
        <v>0</v>
      </c>
      <c r="AG1597">
        <v>0</v>
      </c>
      <c r="AH1597">
        <v>0</v>
      </c>
      <c r="AI1597">
        <v>0</v>
      </c>
      <c r="AJ1597">
        <v>0</v>
      </c>
      <c r="AK1597">
        <v>1</v>
      </c>
      <c r="AL1597">
        <v>0</v>
      </c>
      <c r="AM1597">
        <v>0</v>
      </c>
      <c r="AN1597">
        <v>0</v>
      </c>
      <c r="AO1597">
        <v>0</v>
      </c>
      <c r="AP1597">
        <v>0</v>
      </c>
      <c r="AQ1597">
        <v>0</v>
      </c>
      <c r="AR1597">
        <v>0</v>
      </c>
      <c r="AS1597">
        <v>0</v>
      </c>
      <c r="AT1597">
        <v>0</v>
      </c>
      <c r="AU1597">
        <v>0</v>
      </c>
      <c r="AV1597">
        <v>0</v>
      </c>
      <c r="AW1597">
        <v>0</v>
      </c>
      <c r="AX1597" s="141">
        <f t="shared" si="2071"/>
        <v>1</v>
      </c>
      <c r="AY1597" s="141">
        <f t="shared" si="2072"/>
        <v>1</v>
      </c>
      <c r="AZ1597">
        <f t="shared" si="2073"/>
        <v>0</v>
      </c>
      <c r="BA1597">
        <f t="shared" si="2074"/>
        <v>0</v>
      </c>
      <c r="BB1597">
        <f t="shared" si="2075"/>
        <v>1</v>
      </c>
      <c r="BC1597">
        <f t="shared" si="2076"/>
        <v>0</v>
      </c>
      <c r="BD1597">
        <f t="shared" si="2077"/>
        <v>0</v>
      </c>
      <c r="BE1597" t="str" cm="1">
        <f t="array" ref="BE1597">IF(AY1597=1,INDEX($V$7:$AL$7,MATCH(TRUE,INDEX($V1597:$AW1597&lt;&gt;0,),0)),IF(AY1597=0,INDEX($AM$7:$AW$7,MATCH(1,$AM1597:$AW1597,0)),IF(BF1597="Multiple strategies","mixed drivers",IF(BF1597="Supply chain","multiple supply","multiple silviculture"))))</f>
        <v>technologies/design switch</v>
      </c>
      <c r="BF1597" s="2" t="str" cm="1">
        <f t="array" ref="BF1597">IF(COUNTIF(AZ1597:BB1597,"&lt;&gt;0")=1,INDEX($V$4:$AW$4,MATCH(TRUE,INDEX($V1597:$AW1597&lt;&gt;0,),0)),IF(COUNTIF(AZ1597:BB1597,"&lt;&gt;0")=0,INDEX($AM$4:$AW$4,MATCH(1,$AM1597:$AW1597,0)),"Multiple strategies"))</f>
        <v>Technology</v>
      </c>
      <c r="BM1597" s="143"/>
      <c r="BN1597" s="143"/>
      <c r="BP1597" t="s">
        <v>232</v>
      </c>
      <c r="BR1597" t="s">
        <v>4282</v>
      </c>
      <c r="BS1597">
        <v>235.89</v>
      </c>
      <c r="BT1597">
        <v>391.81</v>
      </c>
      <c r="BU1597" s="144">
        <f t="shared" si="2081"/>
        <v>1.6609860528212304</v>
      </c>
      <c r="BV1597" s="144">
        <f t="shared" si="2082"/>
        <v>155.92000000000002</v>
      </c>
      <c r="BW1597" s="144"/>
      <c r="BX1597" s="144"/>
      <c r="BY1597" t="str">
        <f t="shared" si="2070"/>
        <v/>
      </c>
      <c r="BZ1597">
        <v>1</v>
      </c>
      <c r="CA1597">
        <v>0</v>
      </c>
      <c r="CB1597">
        <v>0</v>
      </c>
      <c r="CC1597">
        <v>0</v>
      </c>
      <c r="CD1597">
        <v>0</v>
      </c>
      <c r="CE1597">
        <v>0</v>
      </c>
      <c r="CF1597">
        <v>0</v>
      </c>
      <c r="CG1597">
        <v>0</v>
      </c>
      <c r="CH1597">
        <v>0</v>
      </c>
      <c r="CI1597">
        <v>0</v>
      </c>
      <c r="CJ1597">
        <v>0</v>
      </c>
      <c r="CK1597">
        <v>0</v>
      </c>
      <c r="CL1597">
        <v>0</v>
      </c>
      <c r="CM1597">
        <v>0</v>
      </c>
      <c r="CN1597" t="str">
        <f t="shared" si="2107"/>
        <v>refOK</v>
      </c>
      <c r="CO1597"/>
      <c r="CP1597"/>
      <c r="CQ1597"/>
      <c r="CR1597">
        <f t="shared" si="2088"/>
        <v>235.89</v>
      </c>
      <c r="CS1597">
        <f t="shared" si="2089"/>
        <v>391.81</v>
      </c>
      <c r="CT1597">
        <f t="shared" si="2090"/>
        <v>0</v>
      </c>
      <c r="CU1597" t="str">
        <f t="shared" si="2091"/>
        <v/>
      </c>
      <c r="CV1597" s="2">
        <f t="shared" si="2092"/>
        <v>0.66098605282123035</v>
      </c>
      <c r="CW1597" s="1" t="s">
        <v>263</v>
      </c>
      <c r="CX1597" s="311" t="str">
        <f t="shared" si="2093"/>
        <v>loc</v>
      </c>
      <c r="CY1597" s="311" t="s">
        <v>743</v>
      </c>
      <c r="DB1597">
        <f t="shared" si="2094"/>
        <v>0</v>
      </c>
      <c r="DC1597" t="str">
        <f t="shared" si="2095"/>
        <v>0</v>
      </c>
      <c r="DD1597">
        <v>0</v>
      </c>
      <c r="DE1597">
        <v>0</v>
      </c>
      <c r="DF1597">
        <v>0</v>
      </c>
      <c r="DG1597">
        <v>1</v>
      </c>
      <c r="DI1597">
        <f t="shared" si="2096"/>
        <v>1</v>
      </c>
      <c r="DJ1597" t="str">
        <f t="shared" si="2097"/>
        <v>TimberInput</v>
      </c>
      <c r="DK1597">
        <f t="shared" si="2098"/>
        <v>0</v>
      </c>
      <c r="DL1597">
        <f t="shared" si="2099"/>
        <v>0</v>
      </c>
      <c r="DM1597">
        <f t="shared" si="2100"/>
        <v>0</v>
      </c>
      <c r="DN1597" t="str">
        <f t="shared" si="2101"/>
        <v>Timber</v>
      </c>
      <c r="DO1597">
        <v>0</v>
      </c>
      <c r="DP1597">
        <v>0</v>
      </c>
      <c r="DQ1597">
        <v>0</v>
      </c>
      <c r="DR1597">
        <v>0</v>
      </c>
      <c r="DS1597">
        <v>0</v>
      </c>
      <c r="DT1597">
        <f t="shared" si="2102"/>
        <v>0</v>
      </c>
      <c r="DU1597" s="143" t="str">
        <f t="shared" si="2103"/>
        <v>explicit C balance</v>
      </c>
      <c r="DV1597">
        <v>0</v>
      </c>
      <c r="DW1597">
        <v>0</v>
      </c>
      <c r="DX1597">
        <v>0</v>
      </c>
      <c r="DY1597">
        <v>0</v>
      </c>
      <c r="DZ1597">
        <v>0</v>
      </c>
      <c r="EA1597" s="143">
        <v>0</v>
      </c>
      <c r="EB1597">
        <v>0</v>
      </c>
      <c r="EC1597">
        <v>1</v>
      </c>
      <c r="ED1597">
        <v>0</v>
      </c>
      <c r="EE1597">
        <v>0</v>
      </c>
      <c r="EF1597">
        <v>0</v>
      </c>
      <c r="EG1597">
        <v>0</v>
      </c>
      <c r="EH1597">
        <v>0</v>
      </c>
      <c r="EI1597" s="2">
        <v>0</v>
      </c>
      <c r="EK1597" t="str">
        <f t="shared" si="2108"/>
        <v/>
      </c>
      <c r="EL1597" t="str">
        <f t="shared" si="2109"/>
        <v/>
      </c>
      <c r="EM1597" s="2" t="str">
        <f t="shared" si="2106"/>
        <v/>
      </c>
      <c r="EP1597" t="b">
        <f>IF(ISNUMBER(BU1597),IF(ABS(BU1597-[1]QC_indicators!$B$2)&gt;3*[1]QC_indicators!$C$2,"C ratio",IF(ISNUMBER(BY1597),IF(ABS(BY1597-[1]QC_indicators!$B$1)&gt;3*[1]QC_indicators!$C$1,"DF","no"))),IF(ISNUMBER(BY1597),IF(ABS(BY1597-[1]QC_indicators!$B$1)&gt;3*[1]QC_indicators!$C$1,"DF","no")))</f>
        <v>0</v>
      </c>
    </row>
    <row r="1598" spans="1:150" ht="15" hidden="1" customHeight="1">
      <c r="A1598" s="1" t="s">
        <v>4271</v>
      </c>
      <c r="B1598" t="s">
        <v>4272</v>
      </c>
      <c r="C1598" t="s">
        <v>4273</v>
      </c>
      <c r="D1598" t="s">
        <v>4274</v>
      </c>
      <c r="E1598" t="s">
        <v>4275</v>
      </c>
      <c r="F1598" t="s">
        <v>4276</v>
      </c>
      <c r="G1598" t="s">
        <v>4277</v>
      </c>
      <c r="H1598" t="s">
        <v>254</v>
      </c>
      <c r="I1598">
        <v>2021</v>
      </c>
      <c r="J1598">
        <v>0</v>
      </c>
      <c r="K1598" t="s">
        <v>4278</v>
      </c>
      <c r="M1598" t="str">
        <f t="shared" si="2031"/>
        <v>Vanova_2021</v>
      </c>
      <c r="N1598" s="311" t="s">
        <v>4382</v>
      </c>
      <c r="O1598" s="145" t="s">
        <v>1153</v>
      </c>
      <c r="Q1598" s="311" t="s">
        <v>256</v>
      </c>
      <c r="R1598" s="312"/>
      <c r="S1598" s="1" t="s">
        <v>4283</v>
      </c>
      <c r="T1598" t="s">
        <v>4286</v>
      </c>
      <c r="U1598" t="s">
        <v>4291</v>
      </c>
      <c r="V1598">
        <v>0</v>
      </c>
      <c r="W1598">
        <v>0</v>
      </c>
      <c r="X1598">
        <v>0</v>
      </c>
      <c r="Y1598">
        <v>0</v>
      </c>
      <c r="Z1598">
        <v>0</v>
      </c>
      <c r="AA1598">
        <v>0</v>
      </c>
      <c r="AB1598">
        <v>0</v>
      </c>
      <c r="AC1598">
        <v>0</v>
      </c>
      <c r="AD1598">
        <v>0</v>
      </c>
      <c r="AE1598">
        <v>0</v>
      </c>
      <c r="AF1598">
        <v>0</v>
      </c>
      <c r="AG1598">
        <v>0</v>
      </c>
      <c r="AH1598">
        <v>0</v>
      </c>
      <c r="AI1598">
        <v>0</v>
      </c>
      <c r="AJ1598">
        <v>0</v>
      </c>
      <c r="AK1598">
        <v>1</v>
      </c>
      <c r="AL1598">
        <v>0</v>
      </c>
      <c r="AM1598">
        <v>0</v>
      </c>
      <c r="AN1598">
        <v>0</v>
      </c>
      <c r="AO1598">
        <v>0</v>
      </c>
      <c r="AP1598">
        <v>0</v>
      </c>
      <c r="AQ1598">
        <v>0</v>
      </c>
      <c r="AR1598">
        <v>0</v>
      </c>
      <c r="AS1598">
        <v>0</v>
      </c>
      <c r="AT1598">
        <v>0</v>
      </c>
      <c r="AU1598">
        <v>0</v>
      </c>
      <c r="AV1598">
        <v>0</v>
      </c>
      <c r="AW1598">
        <v>0</v>
      </c>
      <c r="AX1598" s="141">
        <f t="shared" si="2071"/>
        <v>1</v>
      </c>
      <c r="AY1598" s="141">
        <f t="shared" si="2072"/>
        <v>1</v>
      </c>
      <c r="AZ1598">
        <f t="shared" si="2073"/>
        <v>0</v>
      </c>
      <c r="BA1598">
        <f t="shared" si="2074"/>
        <v>0</v>
      </c>
      <c r="BB1598">
        <f t="shared" si="2075"/>
        <v>1</v>
      </c>
      <c r="BC1598">
        <f t="shared" si="2076"/>
        <v>0</v>
      </c>
      <c r="BD1598">
        <f t="shared" si="2077"/>
        <v>0</v>
      </c>
      <c r="BE1598" t="str" cm="1">
        <f t="array" ref="BE1598">IF(AY1598=1,INDEX($V$7:$AL$7,MATCH(TRUE,INDEX($V1598:$AW1598&lt;&gt;0,),0)),IF(AY1598=0,INDEX($AM$7:$AW$7,MATCH(1,$AM1598:$AW1598,0)),IF(BF1598="Multiple strategies","mixed drivers",IF(BF1598="Supply chain","multiple supply","multiple silviculture"))))</f>
        <v>technologies/design switch</v>
      </c>
      <c r="BF1598" s="2" t="str" cm="1">
        <f t="array" ref="BF1598">IF(COUNTIF(AZ1598:BB1598,"&lt;&gt;0")=1,INDEX($V$4:$AW$4,MATCH(TRUE,INDEX($V1598:$AW1598&lt;&gt;0,),0)),IF(COUNTIF(AZ1598:BB1598,"&lt;&gt;0")=0,INDEX($AM$4:$AW$4,MATCH(1,$AM1598:$AW1598,0)),"Multiple strategies"))</f>
        <v>Technology</v>
      </c>
      <c r="BM1598" s="143"/>
      <c r="BN1598" s="143"/>
      <c r="BP1598" t="s">
        <v>232</v>
      </c>
      <c r="BR1598" t="s">
        <v>4282</v>
      </c>
      <c r="BS1598">
        <v>256.02999999999997</v>
      </c>
      <c r="BT1598">
        <v>515.05999999999995</v>
      </c>
      <c r="BU1598" s="144">
        <f t="shared" si="2081"/>
        <v>2.0117173768698979</v>
      </c>
      <c r="BV1598" s="144">
        <f t="shared" si="2082"/>
        <v>259.02999999999997</v>
      </c>
      <c r="BW1598" s="144"/>
      <c r="BX1598" s="144"/>
      <c r="BY1598" t="str">
        <f t="shared" si="2070"/>
        <v/>
      </c>
      <c r="BZ1598">
        <v>1</v>
      </c>
      <c r="CA1598">
        <v>0</v>
      </c>
      <c r="CB1598">
        <v>0</v>
      </c>
      <c r="CC1598">
        <v>0</v>
      </c>
      <c r="CD1598">
        <v>0</v>
      </c>
      <c r="CE1598">
        <v>0</v>
      </c>
      <c r="CF1598">
        <v>0</v>
      </c>
      <c r="CG1598">
        <v>0</v>
      </c>
      <c r="CH1598">
        <v>0</v>
      </c>
      <c r="CI1598">
        <v>0</v>
      </c>
      <c r="CJ1598">
        <v>0</v>
      </c>
      <c r="CK1598">
        <v>0</v>
      </c>
      <c r="CL1598">
        <v>0</v>
      </c>
      <c r="CM1598">
        <v>0</v>
      </c>
      <c r="CN1598" t="str">
        <f t="shared" si="2107"/>
        <v>refOK</v>
      </c>
      <c r="CO1598"/>
      <c r="CP1598"/>
      <c r="CQ1598"/>
      <c r="CR1598">
        <f t="shared" si="2088"/>
        <v>256.02999999999997</v>
      </c>
      <c r="CS1598">
        <f t="shared" si="2089"/>
        <v>515.05999999999995</v>
      </c>
      <c r="CT1598">
        <f t="shared" si="2090"/>
        <v>0</v>
      </c>
      <c r="CU1598" t="str">
        <f t="shared" si="2091"/>
        <v/>
      </c>
      <c r="CV1598" s="2">
        <f t="shared" si="2092"/>
        <v>1.0117173768698982</v>
      </c>
      <c r="CW1598" s="1" t="s">
        <v>263</v>
      </c>
      <c r="CX1598" s="311" t="str">
        <f t="shared" si="2093"/>
        <v>loc</v>
      </c>
      <c r="CY1598" s="311" t="s">
        <v>743</v>
      </c>
      <c r="DB1598">
        <f t="shared" si="2094"/>
        <v>0</v>
      </c>
      <c r="DC1598" t="str">
        <f t="shared" si="2095"/>
        <v>0</v>
      </c>
      <c r="DD1598">
        <v>0</v>
      </c>
      <c r="DE1598">
        <v>0</v>
      </c>
      <c r="DF1598">
        <v>0</v>
      </c>
      <c r="DG1598">
        <v>1</v>
      </c>
      <c r="DI1598">
        <f t="shared" si="2096"/>
        <v>1</v>
      </c>
      <c r="DJ1598" t="str">
        <f t="shared" si="2097"/>
        <v>TimberInput</v>
      </c>
      <c r="DK1598">
        <f t="shared" si="2098"/>
        <v>0</v>
      </c>
      <c r="DL1598">
        <f t="shared" si="2099"/>
        <v>0</v>
      </c>
      <c r="DM1598">
        <f t="shared" si="2100"/>
        <v>0</v>
      </c>
      <c r="DN1598" t="str">
        <f t="shared" si="2101"/>
        <v>Timber</v>
      </c>
      <c r="DO1598">
        <v>0</v>
      </c>
      <c r="DP1598">
        <v>0</v>
      </c>
      <c r="DQ1598">
        <v>0</v>
      </c>
      <c r="DR1598">
        <v>0</v>
      </c>
      <c r="DS1598">
        <v>0</v>
      </c>
      <c r="DT1598">
        <f t="shared" si="2102"/>
        <v>0</v>
      </c>
      <c r="DU1598" s="143" t="str">
        <f t="shared" si="2103"/>
        <v>explicit C balance</v>
      </c>
      <c r="DV1598">
        <v>0</v>
      </c>
      <c r="DW1598">
        <v>0</v>
      </c>
      <c r="DX1598">
        <v>0</v>
      </c>
      <c r="DY1598">
        <v>0</v>
      </c>
      <c r="DZ1598">
        <v>0</v>
      </c>
      <c r="EA1598" s="143">
        <v>0</v>
      </c>
      <c r="EB1598">
        <v>0</v>
      </c>
      <c r="EC1598">
        <v>1</v>
      </c>
      <c r="ED1598">
        <v>0</v>
      </c>
      <c r="EE1598">
        <v>0</v>
      </c>
      <c r="EF1598">
        <v>0</v>
      </c>
      <c r="EG1598">
        <v>0</v>
      </c>
      <c r="EH1598">
        <v>0</v>
      </c>
      <c r="EI1598" s="2">
        <v>0</v>
      </c>
      <c r="EK1598" t="str">
        <f t="shared" si="2108"/>
        <v/>
      </c>
      <c r="EL1598" t="str">
        <f t="shared" si="2109"/>
        <v/>
      </c>
      <c r="EM1598" s="2" t="str">
        <f t="shared" si="2106"/>
        <v/>
      </c>
      <c r="EP1598" t="b">
        <f>IF(ISNUMBER(BU1598),IF(ABS(BU1598-[1]QC_indicators!$B$2)&gt;3*[1]QC_indicators!$C$2,"C ratio",IF(ISNUMBER(BY1598),IF(ABS(BY1598-[1]QC_indicators!$B$1)&gt;3*[1]QC_indicators!$C$1,"DF","no"))),IF(ISNUMBER(BY1598),IF(ABS(BY1598-[1]QC_indicators!$B$1)&gt;3*[1]QC_indicators!$C$1,"DF","no")))</f>
        <v>0</v>
      </c>
    </row>
    <row r="1599" spans="1:150" ht="15" hidden="1" customHeight="1">
      <c r="A1599" s="1" t="s">
        <v>1167</v>
      </c>
      <c r="B1599" t="s">
        <v>1168</v>
      </c>
      <c r="C1599" t="s">
        <v>1169</v>
      </c>
      <c r="D1599" t="s">
        <v>1170</v>
      </c>
      <c r="E1599" t="s">
        <v>1171</v>
      </c>
      <c r="F1599" t="s">
        <v>1172</v>
      </c>
      <c r="G1599" t="s">
        <v>1173</v>
      </c>
      <c r="H1599" t="s">
        <v>254</v>
      </c>
      <c r="I1599">
        <v>2010</v>
      </c>
      <c r="J1599">
        <v>51</v>
      </c>
      <c r="K1599" t="s">
        <v>1174</v>
      </c>
      <c r="M1599" t="str">
        <f t="shared" si="2031"/>
        <v>Vukotic_2010</v>
      </c>
      <c r="N1599" t="s">
        <v>222</v>
      </c>
      <c r="O1599" s="145" t="s">
        <v>1153</v>
      </c>
      <c r="Q1599" t="s">
        <v>256</v>
      </c>
      <c r="R1599" s="269" t="s">
        <v>274</v>
      </c>
      <c r="S1599" s="1" t="s">
        <v>1175</v>
      </c>
      <c r="T1599" t="s">
        <v>1176</v>
      </c>
      <c r="U1599" t="s">
        <v>1177</v>
      </c>
      <c r="V1599">
        <v>0</v>
      </c>
      <c r="W1599">
        <v>0</v>
      </c>
      <c r="X1599">
        <v>0</v>
      </c>
      <c r="Y1599">
        <v>0</v>
      </c>
      <c r="Z1599">
        <v>0</v>
      </c>
      <c r="AA1599">
        <v>0</v>
      </c>
      <c r="AB1599">
        <v>0</v>
      </c>
      <c r="AC1599">
        <v>0</v>
      </c>
      <c r="AD1599">
        <v>0</v>
      </c>
      <c r="AE1599">
        <v>2</v>
      </c>
      <c r="AF1599">
        <v>0</v>
      </c>
      <c r="AG1599">
        <v>0</v>
      </c>
      <c r="AH1599">
        <v>0</v>
      </c>
      <c r="AI1599">
        <v>0</v>
      </c>
      <c r="AJ1599">
        <v>0</v>
      </c>
      <c r="AK1599">
        <v>1</v>
      </c>
      <c r="AL1599">
        <v>0</v>
      </c>
      <c r="AM1599">
        <v>0</v>
      </c>
      <c r="AN1599">
        <v>0</v>
      </c>
      <c r="AO1599">
        <v>0</v>
      </c>
      <c r="AP1599">
        <v>0</v>
      </c>
      <c r="AQ1599">
        <v>0</v>
      </c>
      <c r="AR1599">
        <v>0</v>
      </c>
      <c r="AS1599">
        <v>0</v>
      </c>
      <c r="AT1599">
        <v>0</v>
      </c>
      <c r="AU1599">
        <v>0</v>
      </c>
      <c r="AV1599">
        <v>0</v>
      </c>
      <c r="AW1599">
        <v>0</v>
      </c>
      <c r="AX1599" s="141">
        <f t="shared" si="2071"/>
        <v>2</v>
      </c>
      <c r="AY1599" s="141">
        <f t="shared" si="2072"/>
        <v>2</v>
      </c>
      <c r="AZ1599">
        <f t="shared" si="2073"/>
        <v>0</v>
      </c>
      <c r="BA1599">
        <f t="shared" si="2074"/>
        <v>1</v>
      </c>
      <c r="BB1599">
        <f t="shared" si="2075"/>
        <v>1</v>
      </c>
      <c r="BC1599">
        <f t="shared" si="2076"/>
        <v>0</v>
      </c>
      <c r="BD1599">
        <f t="shared" si="2077"/>
        <v>0</v>
      </c>
      <c r="BE1599" t="str">
        <f t="array" ref="BE1599">IF(AY1599=1,INDEX($V$7:$AL$7,MATCH(TRUE,INDEX($V1599:$AW1599&lt;&gt;0,),0)),IF(AY1599=0,INDEX($AM$7:$AW$7,MATCH(1,$AM1599:$AW1599,0)),IF(BF1599="Multiple strategies","mixed drivers",IF(BF1599="Supply chain","multiple supply","multiple silviculture"))))</f>
        <v>mixed drivers</v>
      </c>
      <c r="BF1599" s="2" t="str" cm="1">
        <f t="array" ref="BF1599">IF(COUNTIF(AZ1599:BB1599,"&lt;&gt;0")=1,INDEX($V$4:$AW$4,MATCH(TRUE,INDEX($V1599:$AW1599&lt;&gt;0,),0)),IF(COUNTIF(AZ1599:BB1599,"&lt;&gt;0")=0,INDEX($AM$4:$AW$4,MATCH(1,$AM1599:$AW1599,0)),"Multiple strategies"))</f>
        <v>Multiple strategies</v>
      </c>
      <c r="BG1599" s="1" t="s">
        <v>229</v>
      </c>
      <c r="BH1599" t="s">
        <v>1178</v>
      </c>
      <c r="BJ1599" t="s">
        <v>1179</v>
      </c>
      <c r="BK1599">
        <v>0</v>
      </c>
      <c r="BL1599">
        <v>0.27407407407407408</v>
      </c>
      <c r="BM1599" s="143" t="e">
        <f t="shared" ref="BM1599:BM1604" si="2110">BL1599/BK1599</f>
        <v>#DIV/0!</v>
      </c>
      <c r="BN1599">
        <f t="shared" ref="BN1599:BN1604" si="2111">BL1599-BK1599</f>
        <v>0.27407407407407408</v>
      </c>
      <c r="BO1599">
        <f t="shared" ref="BO1599:BO1604" si="2112">BN1599*t_to_m3</f>
        <v>0.55933484504913078</v>
      </c>
      <c r="BP1599" t="s">
        <v>232</v>
      </c>
      <c r="BR1599" t="s">
        <v>1180</v>
      </c>
      <c r="BS1599">
        <v>53.97</v>
      </c>
      <c r="BT1599">
        <v>93.36</v>
      </c>
      <c r="BU1599" s="144">
        <f t="shared" si="2081"/>
        <v>1.7298499166203447</v>
      </c>
      <c r="BV1599" s="144">
        <f t="shared" si="2082"/>
        <v>39.39</v>
      </c>
      <c r="BW1599" s="144"/>
      <c r="BX1599" s="144">
        <f t="shared" ref="BX1599:BX1604" si="2113">BV1599*0.001</f>
        <v>3.9390000000000001E-2</v>
      </c>
      <c r="BY1599">
        <f t="shared" si="2070"/>
        <v>7.0422932432432431E-2</v>
      </c>
      <c r="BZ1599">
        <v>0</v>
      </c>
      <c r="CA1599">
        <v>0</v>
      </c>
      <c r="CB1599">
        <v>0</v>
      </c>
      <c r="CC1599">
        <v>0</v>
      </c>
      <c r="CD1599">
        <v>0</v>
      </c>
      <c r="CE1599">
        <v>0</v>
      </c>
      <c r="CF1599">
        <v>0</v>
      </c>
      <c r="CG1599">
        <v>0</v>
      </c>
      <c r="CH1599">
        <v>0</v>
      </c>
      <c r="CI1599">
        <v>0</v>
      </c>
      <c r="CJ1599">
        <v>0</v>
      </c>
      <c r="CK1599">
        <v>0</v>
      </c>
      <c r="CL1599">
        <v>0</v>
      </c>
      <c r="CM1599">
        <v>0</v>
      </c>
      <c r="CN1599" t="str">
        <f t="shared" ref="CN1599:CN1604" si="2114">IF($BL1599&lt;$BK1599,"refNeedCorrection","refOK")</f>
        <v>refOK</v>
      </c>
      <c r="CO1599">
        <f t="shared" ref="CO1599:CO1604" si="2115">IF($CN1599="refOK",$BK1599,$BL1599)</f>
        <v>0</v>
      </c>
      <c r="CP1599">
        <f t="shared" ref="CP1599:CP1604" si="2116">IF($CN1599="refOK",$BL1599,$BK1599)</f>
        <v>0.27407407407407408</v>
      </c>
      <c r="CQ1599">
        <f t="shared" ref="CQ1599:CQ1604" si="2117">IF($CN1599="refOK",$BO1599,-$BO1599)</f>
        <v>0.55933484504913078</v>
      </c>
      <c r="CR1599">
        <f t="shared" si="2088"/>
        <v>53.97</v>
      </c>
      <c r="CS1599">
        <f t="shared" si="2089"/>
        <v>93.36</v>
      </c>
      <c r="CT1599">
        <f t="shared" si="2090"/>
        <v>3.9390000000000001E-2</v>
      </c>
      <c r="CU1599">
        <f t="shared" si="2091"/>
        <v>7.0422932432432431E-2</v>
      </c>
      <c r="CV1599" s="2">
        <f t="shared" si="2092"/>
        <v>0.72984991662034471</v>
      </c>
      <c r="CW1599" s="1" t="s">
        <v>263</v>
      </c>
      <c r="CX1599" t="str">
        <f t="shared" si="2093"/>
        <v>loc</v>
      </c>
      <c r="CY1599" s="308" t="s">
        <v>3422</v>
      </c>
      <c r="DB1599">
        <v>60</v>
      </c>
      <c r="DC1599" t="str">
        <f t="shared" si="2095"/>
        <v>31-70</v>
      </c>
      <c r="DD1599">
        <v>0</v>
      </c>
      <c r="DE1599">
        <v>0</v>
      </c>
      <c r="DF1599">
        <v>0</v>
      </c>
      <c r="DG1599">
        <v>1</v>
      </c>
      <c r="DI1599">
        <f t="shared" si="2096"/>
        <v>1</v>
      </c>
      <c r="DJ1599" t="str">
        <f t="shared" si="2097"/>
        <v>TimberInput</v>
      </c>
      <c r="DK1599">
        <f t="shared" si="2098"/>
        <v>0</v>
      </c>
      <c r="DL1599">
        <f t="shared" si="2099"/>
        <v>0</v>
      </c>
      <c r="DM1599">
        <f t="shared" si="2100"/>
        <v>0</v>
      </c>
      <c r="DN1599" t="str">
        <f t="shared" si="2101"/>
        <v>Timber</v>
      </c>
      <c r="DO1599">
        <v>1</v>
      </c>
      <c r="DP1599">
        <v>0</v>
      </c>
      <c r="DQ1599">
        <v>0</v>
      </c>
      <c r="DR1599">
        <v>0</v>
      </c>
      <c r="DS1599">
        <v>0</v>
      </c>
      <c r="DT1599">
        <f t="shared" si="2102"/>
        <v>1</v>
      </c>
      <c r="DU1599" s="143" t="str">
        <f t="shared" si="2103"/>
        <v>self-calculated DF</v>
      </c>
      <c r="DV1599">
        <v>0</v>
      </c>
      <c r="DW1599">
        <v>0</v>
      </c>
      <c r="DX1599">
        <v>0</v>
      </c>
      <c r="DY1599">
        <v>0</v>
      </c>
      <c r="DZ1599">
        <v>0</v>
      </c>
      <c r="EA1599" s="143">
        <v>1</v>
      </c>
      <c r="EB1599">
        <v>0</v>
      </c>
      <c r="EC1599">
        <v>0</v>
      </c>
      <c r="ED1599">
        <v>0</v>
      </c>
      <c r="EE1599">
        <v>1</v>
      </c>
      <c r="EF1599">
        <v>0</v>
      </c>
      <c r="EG1599">
        <v>0</v>
      </c>
      <c r="EH1599">
        <v>0</v>
      </c>
      <c r="EI1599" s="2">
        <v>0</v>
      </c>
      <c r="EK1599" t="str">
        <f t="shared" ref="EK1599:EK1604" si="2118">IF(AND(AND(AND(OR($DX1599=1,$DW1599=1),OR($EC1599=1,$EA1599=1)),SUM($DV1599:$DZ1599,$EF1599)&gt;=4),SUM($EA1599:$EE1599)&gt;=2),"Whole sector","")</f>
        <v/>
      </c>
      <c r="EL1599" t="str">
        <f t="shared" ref="EL1599:EL1604" si="2119">IF(AND(AND(OR($DX1599=1,$DW1599=1),AND($EC1599=0,$EA1599=0)),SUM($DV1599:$DZ1599,$EF1599)&gt;=4),"Ecosystem approach","")</f>
        <v/>
      </c>
      <c r="EM1599" s="2" t="str">
        <f t="shared" si="2106"/>
        <v/>
      </c>
      <c r="EP1599" t="str">
        <f>IF(ISNUMBER(BU1599),IF(ABS(BU1599-[2]QC_indicators!$B$2)&gt;3*[2]QC_indicators!$C$2,"C ratio",IF(ISNUMBER(BY1599),IF(ABS(BY1599-[2]QC_indicators!$B$1)&gt;3*[2]QC_indicators!$C$1,"DF","no"))),IF(ISNUMBER(BY1599),IF(ABS(BY1599-[2]QC_indicators!$B$1)&gt;3*[2]QC_indicators!$C$1,"DF","no")))</f>
        <v>no</v>
      </c>
      <c r="ET1599" s="264" t="s">
        <v>3262</v>
      </c>
    </row>
    <row r="1600" spans="1:150" ht="15" hidden="1" customHeight="1">
      <c r="A1600" s="1" t="s">
        <v>1167</v>
      </c>
      <c r="B1600" t="s">
        <v>1168</v>
      </c>
      <c r="C1600" t="s">
        <v>1169</v>
      </c>
      <c r="D1600" t="s">
        <v>1170</v>
      </c>
      <c r="E1600" t="s">
        <v>1171</v>
      </c>
      <c r="F1600" t="s">
        <v>1172</v>
      </c>
      <c r="G1600" t="s">
        <v>1173</v>
      </c>
      <c r="H1600" t="s">
        <v>254</v>
      </c>
      <c r="I1600">
        <v>2010</v>
      </c>
      <c r="J1600">
        <v>51</v>
      </c>
      <c r="K1600" t="s">
        <v>1174</v>
      </c>
      <c r="M1600" t="str">
        <f t="shared" si="2031"/>
        <v>Vukotic_2010</v>
      </c>
      <c r="N1600" t="s">
        <v>222</v>
      </c>
      <c r="O1600" s="145" t="s">
        <v>1153</v>
      </c>
      <c r="Q1600" t="s">
        <v>256</v>
      </c>
      <c r="R1600" s="269" t="s">
        <v>274</v>
      </c>
      <c r="S1600" s="1" t="s">
        <v>1175</v>
      </c>
      <c r="T1600" t="s">
        <v>1176</v>
      </c>
      <c r="U1600" t="s">
        <v>1181</v>
      </c>
      <c r="V1600">
        <v>0</v>
      </c>
      <c r="W1600">
        <v>0</v>
      </c>
      <c r="X1600">
        <v>0</v>
      </c>
      <c r="Y1600">
        <v>0</v>
      </c>
      <c r="Z1600">
        <v>0</v>
      </c>
      <c r="AA1600">
        <v>0</v>
      </c>
      <c r="AB1600">
        <v>0</v>
      </c>
      <c r="AC1600">
        <v>0</v>
      </c>
      <c r="AD1600">
        <v>0</v>
      </c>
      <c r="AE1600">
        <v>0</v>
      </c>
      <c r="AF1600">
        <v>0</v>
      </c>
      <c r="AG1600">
        <v>0</v>
      </c>
      <c r="AH1600">
        <v>0</v>
      </c>
      <c r="AI1600">
        <v>0</v>
      </c>
      <c r="AJ1600">
        <v>0</v>
      </c>
      <c r="AK1600">
        <v>1</v>
      </c>
      <c r="AL1600">
        <v>0</v>
      </c>
      <c r="AM1600">
        <v>0</v>
      </c>
      <c r="AN1600">
        <v>0</v>
      </c>
      <c r="AO1600">
        <v>0</v>
      </c>
      <c r="AP1600">
        <v>0</v>
      </c>
      <c r="AQ1600">
        <v>0</v>
      </c>
      <c r="AR1600">
        <v>0</v>
      </c>
      <c r="AS1600">
        <v>0</v>
      </c>
      <c r="AT1600">
        <v>0</v>
      </c>
      <c r="AU1600">
        <v>0</v>
      </c>
      <c r="AV1600">
        <v>0</v>
      </c>
      <c r="AW1600">
        <v>0</v>
      </c>
      <c r="AX1600" s="141">
        <f t="shared" si="2071"/>
        <v>1</v>
      </c>
      <c r="AY1600" s="141">
        <f t="shared" si="2072"/>
        <v>1</v>
      </c>
      <c r="AZ1600">
        <f t="shared" si="2073"/>
        <v>0</v>
      </c>
      <c r="BA1600">
        <f t="shared" si="2074"/>
        <v>0</v>
      </c>
      <c r="BB1600">
        <f t="shared" si="2075"/>
        <v>1</v>
      </c>
      <c r="BC1600">
        <f t="shared" si="2076"/>
        <v>0</v>
      </c>
      <c r="BD1600">
        <f t="shared" si="2077"/>
        <v>0</v>
      </c>
      <c r="BE1600" t="str">
        <f t="array" ref="BE1600">IF(AY1600=1,INDEX($V$7:$AL$7,MATCH(TRUE,INDEX($V1600:$AW1600&lt;&gt;0,),0)),IF(AY1600=0,INDEX($AM$7:$AW$7,MATCH(1,$AM1600:$AW1600,0)),IF(BF1600="Multiple strategies","mixed drivers",IF(BF1600="Supply chain","multiple supply","multiple silviculture"))))</f>
        <v>technologies/design switch</v>
      </c>
      <c r="BF1600" s="2" t="str" cm="1">
        <f t="array" ref="BF1600">IF(COUNTIF(AZ1600:BB1600,"&lt;&gt;0")=1,INDEX($V$4:$AW$4,MATCH(TRUE,INDEX($V1600:$AW1600&lt;&gt;0,),0)),IF(COUNTIF(AZ1600:BB1600,"&lt;&gt;0")=0,INDEX($AM$4:$AW$4,MATCH(1,$AM1600:$AW1600,0)),"Multiple strategies"))</f>
        <v>Technology</v>
      </c>
      <c r="BG1600" s="1" t="s">
        <v>229</v>
      </c>
      <c r="BH1600" t="s">
        <v>1178</v>
      </c>
      <c r="BJ1600" t="s">
        <v>1179</v>
      </c>
      <c r="BK1600">
        <v>0</v>
      </c>
      <c r="BL1600">
        <v>0.27407407407407408</v>
      </c>
      <c r="BM1600" s="143" t="e">
        <f t="shared" si="2110"/>
        <v>#DIV/0!</v>
      </c>
      <c r="BN1600">
        <f t="shared" si="2111"/>
        <v>0.27407407407407408</v>
      </c>
      <c r="BO1600">
        <f t="shared" si="2112"/>
        <v>0.55933484504913078</v>
      </c>
      <c r="BP1600" t="s">
        <v>232</v>
      </c>
      <c r="BR1600" t="s">
        <v>1180</v>
      </c>
      <c r="BS1600">
        <v>53.97</v>
      </c>
      <c r="BT1600">
        <v>93.36</v>
      </c>
      <c r="BU1600" s="144">
        <f t="shared" si="2081"/>
        <v>1.7298499166203447</v>
      </c>
      <c r="BV1600" s="144">
        <f t="shared" si="2082"/>
        <v>39.39</v>
      </c>
      <c r="BW1600" s="144"/>
      <c r="BX1600" s="144">
        <f t="shared" si="2113"/>
        <v>3.9390000000000001E-2</v>
      </c>
      <c r="BY1600">
        <f t="shared" si="2070"/>
        <v>7.0422932432432431E-2</v>
      </c>
      <c r="BZ1600">
        <v>0</v>
      </c>
      <c r="CA1600">
        <v>0</v>
      </c>
      <c r="CB1600">
        <v>0</v>
      </c>
      <c r="CC1600">
        <v>0</v>
      </c>
      <c r="CD1600">
        <v>0</v>
      </c>
      <c r="CE1600">
        <v>0</v>
      </c>
      <c r="CF1600">
        <v>0</v>
      </c>
      <c r="CG1600">
        <v>0</v>
      </c>
      <c r="CH1600">
        <v>0</v>
      </c>
      <c r="CI1600">
        <v>0</v>
      </c>
      <c r="CJ1600">
        <v>0</v>
      </c>
      <c r="CK1600">
        <v>0</v>
      </c>
      <c r="CL1600">
        <v>0</v>
      </c>
      <c r="CM1600">
        <v>0</v>
      </c>
      <c r="CN1600" t="str">
        <f t="shared" si="2114"/>
        <v>refOK</v>
      </c>
      <c r="CO1600">
        <f t="shared" si="2115"/>
        <v>0</v>
      </c>
      <c r="CP1600">
        <f t="shared" si="2116"/>
        <v>0.27407407407407408</v>
      </c>
      <c r="CQ1600">
        <f t="shared" si="2117"/>
        <v>0.55933484504913078</v>
      </c>
      <c r="CR1600">
        <f t="shared" si="2088"/>
        <v>53.97</v>
      </c>
      <c r="CS1600">
        <f t="shared" si="2089"/>
        <v>93.36</v>
      </c>
      <c r="CT1600">
        <f t="shared" si="2090"/>
        <v>3.9390000000000001E-2</v>
      </c>
      <c r="CU1600">
        <f t="shared" si="2091"/>
        <v>7.0422932432432431E-2</v>
      </c>
      <c r="CV1600" s="2">
        <f t="shared" si="2092"/>
        <v>0.72984991662034471</v>
      </c>
      <c r="CW1600" s="1" t="s">
        <v>263</v>
      </c>
      <c r="CX1600" t="str">
        <f t="shared" si="2093"/>
        <v>loc</v>
      </c>
      <c r="CY1600" s="308" t="s">
        <v>3422</v>
      </c>
      <c r="DB1600">
        <v>60</v>
      </c>
      <c r="DC1600" t="str">
        <f t="shared" si="2095"/>
        <v>31-70</v>
      </c>
      <c r="DD1600">
        <v>0</v>
      </c>
      <c r="DE1600">
        <v>0</v>
      </c>
      <c r="DF1600">
        <v>0</v>
      </c>
      <c r="DG1600">
        <v>1</v>
      </c>
      <c r="DI1600">
        <f t="shared" si="2096"/>
        <v>1</v>
      </c>
      <c r="DJ1600" t="str">
        <f t="shared" si="2097"/>
        <v>TimberInput</v>
      </c>
      <c r="DK1600">
        <f t="shared" si="2098"/>
        <v>0</v>
      </c>
      <c r="DL1600">
        <f t="shared" si="2099"/>
        <v>0</v>
      </c>
      <c r="DM1600">
        <f t="shared" si="2100"/>
        <v>0</v>
      </c>
      <c r="DN1600" t="str">
        <f t="shared" si="2101"/>
        <v>Timber</v>
      </c>
      <c r="DO1600">
        <v>1</v>
      </c>
      <c r="DP1600">
        <v>0</v>
      </c>
      <c r="DQ1600">
        <v>0</v>
      </c>
      <c r="DR1600">
        <v>0</v>
      </c>
      <c r="DS1600">
        <v>0</v>
      </c>
      <c r="DT1600">
        <f t="shared" si="2102"/>
        <v>1</v>
      </c>
      <c r="DU1600" s="143" t="str">
        <f t="shared" si="2103"/>
        <v>self-calculated DF</v>
      </c>
      <c r="DV1600">
        <v>0</v>
      </c>
      <c r="DW1600">
        <v>0</v>
      </c>
      <c r="DX1600">
        <v>0</v>
      </c>
      <c r="DY1600">
        <v>0</v>
      </c>
      <c r="DZ1600">
        <v>0</v>
      </c>
      <c r="EA1600" s="143">
        <v>1</v>
      </c>
      <c r="EB1600">
        <v>0</v>
      </c>
      <c r="EC1600">
        <v>0</v>
      </c>
      <c r="ED1600">
        <v>0</v>
      </c>
      <c r="EE1600">
        <v>1</v>
      </c>
      <c r="EF1600">
        <v>0</v>
      </c>
      <c r="EG1600">
        <v>0</v>
      </c>
      <c r="EH1600">
        <v>0</v>
      </c>
      <c r="EI1600" s="2">
        <v>0</v>
      </c>
      <c r="EK1600" t="str">
        <f t="shared" si="2118"/>
        <v/>
      </c>
      <c r="EL1600" t="str">
        <f t="shared" si="2119"/>
        <v/>
      </c>
      <c r="EM1600" s="2" t="str">
        <f t="shared" si="2106"/>
        <v/>
      </c>
      <c r="EP1600" t="str">
        <f>IF(ISNUMBER(BU1600),IF(ABS(BU1600-[2]QC_indicators!$B$2)&gt;3*[2]QC_indicators!$C$2,"C ratio",IF(ISNUMBER(BY1600),IF(ABS(BY1600-[2]QC_indicators!$B$1)&gt;3*[2]QC_indicators!$C$1,"DF","no"))),IF(ISNUMBER(BY1600),IF(ABS(BY1600-[2]QC_indicators!$B$1)&gt;3*[2]QC_indicators!$C$1,"DF","no")))</f>
        <v>no</v>
      </c>
      <c r="ET1600" s="264" t="s">
        <v>3262</v>
      </c>
    </row>
    <row r="1601" spans="1:151" hidden="1">
      <c r="A1601" s="1" t="s">
        <v>1167</v>
      </c>
      <c r="B1601" t="s">
        <v>1168</v>
      </c>
      <c r="C1601" t="s">
        <v>1169</v>
      </c>
      <c r="D1601" t="s">
        <v>1170</v>
      </c>
      <c r="E1601" t="s">
        <v>1171</v>
      </c>
      <c r="F1601" t="s">
        <v>1172</v>
      </c>
      <c r="G1601" t="s">
        <v>1173</v>
      </c>
      <c r="H1601" t="s">
        <v>254</v>
      </c>
      <c r="I1601">
        <v>2010</v>
      </c>
      <c r="J1601">
        <v>51</v>
      </c>
      <c r="K1601" t="s">
        <v>1174</v>
      </c>
      <c r="M1601" t="str">
        <f t="shared" ref="M1601:M1664" si="2120">LEFT($D1601,FIND(",",$D1601)-1)&amp;"_"&amp;I1601&amp;L1601</f>
        <v>Vukotic_2010</v>
      </c>
      <c r="N1601" t="s">
        <v>222</v>
      </c>
      <c r="O1601" s="145" t="s">
        <v>1153</v>
      </c>
      <c r="Q1601" t="s">
        <v>256</v>
      </c>
      <c r="R1601" s="269" t="s">
        <v>274</v>
      </c>
      <c r="S1601" s="1" t="s">
        <v>1175</v>
      </c>
      <c r="T1601" t="s">
        <v>1176</v>
      </c>
      <c r="U1601" t="s">
        <v>1181</v>
      </c>
      <c r="V1601">
        <v>0</v>
      </c>
      <c r="W1601">
        <v>0</v>
      </c>
      <c r="X1601">
        <v>0</v>
      </c>
      <c r="Y1601">
        <v>0</v>
      </c>
      <c r="Z1601">
        <v>0</v>
      </c>
      <c r="AA1601">
        <v>0</v>
      </c>
      <c r="AB1601">
        <v>0</v>
      </c>
      <c r="AC1601">
        <v>0</v>
      </c>
      <c r="AD1601">
        <v>0</v>
      </c>
      <c r="AE1601">
        <v>0</v>
      </c>
      <c r="AF1601">
        <v>0</v>
      </c>
      <c r="AG1601">
        <v>0</v>
      </c>
      <c r="AH1601">
        <v>0</v>
      </c>
      <c r="AI1601">
        <v>0</v>
      </c>
      <c r="AJ1601">
        <v>0</v>
      </c>
      <c r="AK1601">
        <v>1</v>
      </c>
      <c r="AL1601">
        <v>0</v>
      </c>
      <c r="AM1601">
        <v>0</v>
      </c>
      <c r="AN1601">
        <v>0</v>
      </c>
      <c r="AO1601">
        <v>0</v>
      </c>
      <c r="AP1601">
        <v>0</v>
      </c>
      <c r="AQ1601">
        <v>0</v>
      </c>
      <c r="AR1601">
        <v>0</v>
      </c>
      <c r="AS1601">
        <v>0</v>
      </c>
      <c r="AT1601">
        <v>0</v>
      </c>
      <c r="AU1601">
        <v>0</v>
      </c>
      <c r="AV1601">
        <v>0</v>
      </c>
      <c r="AW1601">
        <v>0</v>
      </c>
      <c r="AX1601" s="141">
        <f t="shared" si="2071"/>
        <v>1</v>
      </c>
      <c r="AY1601" s="141">
        <f t="shared" si="2072"/>
        <v>1</v>
      </c>
      <c r="AZ1601">
        <f t="shared" si="2073"/>
        <v>0</v>
      </c>
      <c r="BA1601">
        <f t="shared" si="2074"/>
        <v>0</v>
      </c>
      <c r="BB1601">
        <f t="shared" si="2075"/>
        <v>1</v>
      </c>
      <c r="BC1601">
        <f t="shared" si="2076"/>
        <v>0</v>
      </c>
      <c r="BD1601">
        <f t="shared" si="2077"/>
        <v>0</v>
      </c>
      <c r="BE1601" t="str">
        <f t="array" ref="BE1601">IF(AY1601=1,INDEX($V$7:$AL$7,MATCH(TRUE,INDEX($V1601:$AW1601&lt;&gt;0,),0)),IF(AY1601=0,INDEX($AM$7:$AW$7,MATCH(1,$AM1601:$AW1601,0)),IF(BF1601="Multiple strategies","mixed drivers",IF(BF1601="Supply chain","multiple supply","multiple silviculture"))))</f>
        <v>technologies/design switch</v>
      </c>
      <c r="BF1601" s="2" t="str" cm="1">
        <f t="array" ref="BF1601">IF(COUNTIF(AZ1601:BB1601,"&lt;&gt;0")=1,INDEX($V$4:$AW$4,MATCH(TRUE,INDEX($V1601:$AW1601&lt;&gt;0,),0)),IF(COUNTIF(AZ1601:BB1601,"&lt;&gt;0")=0,INDEX($AM$4:$AW$4,MATCH(1,$AM1601:$AW1601,0)),"Multiple strategies"))</f>
        <v>Technology</v>
      </c>
      <c r="BG1601" s="1" t="s">
        <v>229</v>
      </c>
      <c r="BH1601" t="s">
        <v>1178</v>
      </c>
      <c r="BJ1601" t="s">
        <v>1179</v>
      </c>
      <c r="BK1601">
        <v>0</v>
      </c>
      <c r="BL1601">
        <v>0.27407407407407408</v>
      </c>
      <c r="BM1601" s="143" t="e">
        <f t="shared" si="2110"/>
        <v>#DIV/0!</v>
      </c>
      <c r="BN1601">
        <f t="shared" si="2111"/>
        <v>0.27407407407407408</v>
      </c>
      <c r="BO1601">
        <f t="shared" si="2112"/>
        <v>0.55933484504913078</v>
      </c>
      <c r="BP1601" t="s">
        <v>232</v>
      </c>
      <c r="BR1601" t="s">
        <v>1180</v>
      </c>
      <c r="BS1601">
        <v>-272.77999999999997</v>
      </c>
      <c r="BT1601">
        <v>-221.89</v>
      </c>
      <c r="BU1601" s="144">
        <f t="shared" si="2081"/>
        <v>0.81343940171566831</v>
      </c>
      <c r="BV1601" s="144">
        <f t="shared" si="2082"/>
        <v>50.889999999999986</v>
      </c>
      <c r="BW1601" s="144"/>
      <c r="BX1601" s="144">
        <f t="shared" si="2113"/>
        <v>5.0889999999999991E-2</v>
      </c>
      <c r="BY1601">
        <f t="shared" si="2070"/>
        <v>9.0983067567567549E-2</v>
      </c>
      <c r="BZ1601">
        <v>0</v>
      </c>
      <c r="CA1601">
        <v>0</v>
      </c>
      <c r="CB1601">
        <v>0</v>
      </c>
      <c r="CC1601">
        <v>0</v>
      </c>
      <c r="CD1601">
        <v>0</v>
      </c>
      <c r="CE1601">
        <v>0</v>
      </c>
      <c r="CF1601">
        <v>0</v>
      </c>
      <c r="CG1601">
        <v>0</v>
      </c>
      <c r="CH1601">
        <v>0</v>
      </c>
      <c r="CI1601">
        <v>0</v>
      </c>
      <c r="CJ1601">
        <v>0</v>
      </c>
      <c r="CK1601">
        <v>0</v>
      </c>
      <c r="CL1601">
        <v>0</v>
      </c>
      <c r="CM1601">
        <v>0</v>
      </c>
      <c r="CN1601" t="str">
        <f t="shared" si="2114"/>
        <v>refOK</v>
      </c>
      <c r="CO1601">
        <f t="shared" si="2115"/>
        <v>0</v>
      </c>
      <c r="CP1601">
        <f t="shared" si="2116"/>
        <v>0.27407407407407408</v>
      </c>
      <c r="CQ1601">
        <f t="shared" si="2117"/>
        <v>0.55933484504913078</v>
      </c>
      <c r="CR1601">
        <f t="shared" si="2088"/>
        <v>-272.77999999999997</v>
      </c>
      <c r="CS1601">
        <f t="shared" si="2089"/>
        <v>-221.89</v>
      </c>
      <c r="CT1601">
        <f t="shared" si="2090"/>
        <v>5.0889999999999991E-2</v>
      </c>
      <c r="CU1601">
        <f t="shared" si="2091"/>
        <v>9.0983067567567549E-2</v>
      </c>
      <c r="CV1601" s="2">
        <f t="shared" si="2092"/>
        <v>0.18656059828433166</v>
      </c>
      <c r="CW1601" s="1" t="s">
        <v>263</v>
      </c>
      <c r="CX1601" t="str">
        <f t="shared" si="2093"/>
        <v>loc</v>
      </c>
      <c r="CY1601" s="308" t="s">
        <v>3422</v>
      </c>
      <c r="DB1601">
        <v>60</v>
      </c>
      <c r="DC1601" t="str">
        <f t="shared" si="2095"/>
        <v>31-70</v>
      </c>
      <c r="DD1601">
        <v>0</v>
      </c>
      <c r="DE1601">
        <v>0</v>
      </c>
      <c r="DF1601">
        <v>0</v>
      </c>
      <c r="DG1601">
        <v>1</v>
      </c>
      <c r="DI1601">
        <f t="shared" si="2096"/>
        <v>1</v>
      </c>
      <c r="DJ1601" t="str">
        <f t="shared" si="2097"/>
        <v>TimberInput</v>
      </c>
      <c r="DK1601">
        <f t="shared" si="2098"/>
        <v>0</v>
      </c>
      <c r="DL1601">
        <f t="shared" si="2099"/>
        <v>0</v>
      </c>
      <c r="DM1601">
        <f t="shared" si="2100"/>
        <v>0</v>
      </c>
      <c r="DN1601" t="str">
        <f t="shared" si="2101"/>
        <v>Timber</v>
      </c>
      <c r="DO1601">
        <v>1</v>
      </c>
      <c r="DP1601">
        <v>0</v>
      </c>
      <c r="DQ1601">
        <v>0</v>
      </c>
      <c r="DR1601">
        <v>0</v>
      </c>
      <c r="DS1601">
        <v>0</v>
      </c>
      <c r="DT1601">
        <f t="shared" si="2102"/>
        <v>1</v>
      </c>
      <c r="DU1601" s="143" t="str">
        <f t="shared" si="2103"/>
        <v>self-calculated DF</v>
      </c>
      <c r="DV1601">
        <v>0</v>
      </c>
      <c r="DW1601">
        <v>0</v>
      </c>
      <c r="DX1601">
        <v>0</v>
      </c>
      <c r="DY1601">
        <v>0</v>
      </c>
      <c r="DZ1601">
        <v>0</v>
      </c>
      <c r="EA1601" s="143">
        <v>0</v>
      </c>
      <c r="EB1601">
        <v>0</v>
      </c>
      <c r="EC1601">
        <v>1</v>
      </c>
      <c r="ED1601">
        <v>1</v>
      </c>
      <c r="EE1601">
        <v>0</v>
      </c>
      <c r="EF1601">
        <v>0</v>
      </c>
      <c r="EG1601">
        <v>0</v>
      </c>
      <c r="EH1601">
        <v>0</v>
      </c>
      <c r="EI1601" s="2">
        <v>0</v>
      </c>
      <c r="EK1601" t="str">
        <f t="shared" si="2118"/>
        <v/>
      </c>
      <c r="EL1601" t="str">
        <f t="shared" si="2119"/>
        <v/>
      </c>
      <c r="EM1601" s="2" t="str">
        <f t="shared" si="2106"/>
        <v>Technology approach</v>
      </c>
      <c r="EP1601" t="str">
        <f>IF(ISNUMBER(BU1601),IF(ABS(BU1601-[2]QC_indicators!$B$2)&gt;3*[2]QC_indicators!$C$2,"C ratio",IF(ISNUMBER(BY1601),IF(ABS(BY1601-[2]QC_indicators!$B$1)&gt;3*[2]QC_indicators!$C$1,"DF","no"))),IF(ISNUMBER(BY1601),IF(ABS(BY1601-[2]QC_indicators!$B$1)&gt;3*[2]QC_indicators!$C$1,"DF","no")))</f>
        <v>no</v>
      </c>
      <c r="ET1601" s="264" t="s">
        <v>3262</v>
      </c>
    </row>
    <row r="1602" spans="1:151" ht="15" hidden="1" customHeight="1">
      <c r="A1602" s="1" t="s">
        <v>1167</v>
      </c>
      <c r="B1602" t="s">
        <v>1168</v>
      </c>
      <c r="C1602" t="s">
        <v>1169</v>
      </c>
      <c r="D1602" t="s">
        <v>1170</v>
      </c>
      <c r="E1602" t="s">
        <v>1171</v>
      </c>
      <c r="F1602" t="s">
        <v>1172</v>
      </c>
      <c r="G1602" t="s">
        <v>1173</v>
      </c>
      <c r="H1602" t="s">
        <v>254</v>
      </c>
      <c r="I1602">
        <v>2010</v>
      </c>
      <c r="J1602">
        <v>51</v>
      </c>
      <c r="K1602" t="s">
        <v>1174</v>
      </c>
      <c r="M1602" t="str">
        <f t="shared" si="2120"/>
        <v>Vukotic_2010</v>
      </c>
      <c r="N1602" t="s">
        <v>222</v>
      </c>
      <c r="O1602" s="145" t="s">
        <v>1153</v>
      </c>
      <c r="Q1602" t="s">
        <v>256</v>
      </c>
      <c r="R1602" s="269" t="s">
        <v>274</v>
      </c>
      <c r="S1602" s="1" t="s">
        <v>1175</v>
      </c>
      <c r="T1602" t="s">
        <v>1176</v>
      </c>
      <c r="U1602" t="s">
        <v>1177</v>
      </c>
      <c r="V1602">
        <v>0</v>
      </c>
      <c r="W1602">
        <v>0</v>
      </c>
      <c r="X1602">
        <v>0</v>
      </c>
      <c r="Y1602">
        <v>0</v>
      </c>
      <c r="Z1602">
        <v>0</v>
      </c>
      <c r="AA1602">
        <v>0</v>
      </c>
      <c r="AB1602">
        <v>0</v>
      </c>
      <c r="AC1602">
        <v>0</v>
      </c>
      <c r="AD1602">
        <v>0</v>
      </c>
      <c r="AE1602">
        <v>2</v>
      </c>
      <c r="AF1602">
        <v>0</v>
      </c>
      <c r="AG1602">
        <v>0</v>
      </c>
      <c r="AH1602">
        <v>0</v>
      </c>
      <c r="AI1602">
        <v>0</v>
      </c>
      <c r="AJ1602">
        <v>0</v>
      </c>
      <c r="AK1602">
        <v>1</v>
      </c>
      <c r="AL1602">
        <v>0</v>
      </c>
      <c r="AM1602">
        <v>0</v>
      </c>
      <c r="AN1602">
        <v>0</v>
      </c>
      <c r="AO1602">
        <v>0</v>
      </c>
      <c r="AP1602">
        <v>0</v>
      </c>
      <c r="AQ1602">
        <v>0</v>
      </c>
      <c r="AR1602">
        <v>0</v>
      </c>
      <c r="AS1602">
        <v>0</v>
      </c>
      <c r="AT1602">
        <v>0</v>
      </c>
      <c r="AU1602">
        <v>0</v>
      </c>
      <c r="AV1602">
        <v>0</v>
      </c>
      <c r="AW1602">
        <v>0</v>
      </c>
      <c r="AX1602" s="141">
        <f t="shared" si="2071"/>
        <v>2</v>
      </c>
      <c r="AY1602" s="141">
        <f t="shared" si="2072"/>
        <v>2</v>
      </c>
      <c r="AZ1602">
        <f t="shared" si="2073"/>
        <v>0</v>
      </c>
      <c r="BA1602">
        <f t="shared" si="2074"/>
        <v>1</v>
      </c>
      <c r="BB1602">
        <f t="shared" si="2075"/>
        <v>1</v>
      </c>
      <c r="BC1602">
        <f t="shared" si="2076"/>
        <v>0</v>
      </c>
      <c r="BD1602">
        <f t="shared" si="2077"/>
        <v>0</v>
      </c>
      <c r="BE1602" t="str">
        <f t="array" ref="BE1602">IF(AY1602=1,INDEX($V$7:$AL$7,MATCH(TRUE,INDEX($V1602:$AW1602&lt;&gt;0,),0)),IF(AY1602=0,INDEX($AM$7:$AW$7,MATCH(1,$AM1602:$AW1602,0)),IF(BF1602="Multiple strategies","mixed drivers",IF(BF1602="Supply chain","multiple supply","multiple silviculture"))))</f>
        <v>mixed drivers</v>
      </c>
      <c r="BF1602" s="2" t="str" cm="1">
        <f t="array" ref="BF1602">IF(COUNTIF(AZ1602:BB1602,"&lt;&gt;0")=1,INDEX($V$4:$AW$4,MATCH(TRUE,INDEX($V1602:$AW1602&lt;&gt;0,),0)),IF(COUNTIF(AZ1602:BB1602,"&lt;&gt;0")=0,INDEX($AM$4:$AW$4,MATCH(1,$AM1602:$AW1602,0)),"Multiple strategies"))</f>
        <v>Multiple strategies</v>
      </c>
      <c r="BG1602" s="1" t="s">
        <v>229</v>
      </c>
      <c r="BH1602" t="s">
        <v>1178</v>
      </c>
      <c r="BJ1602" t="s">
        <v>1179</v>
      </c>
      <c r="BK1602">
        <v>0</v>
      </c>
      <c r="BL1602">
        <v>0.27407407407407408</v>
      </c>
      <c r="BM1602" s="143" t="e">
        <f t="shared" si="2110"/>
        <v>#DIV/0!</v>
      </c>
      <c r="BN1602">
        <f t="shared" si="2111"/>
        <v>0.27407407407407408</v>
      </c>
      <c r="BO1602">
        <f t="shared" si="2112"/>
        <v>0.55933484504913078</v>
      </c>
      <c r="BP1602" t="s">
        <v>232</v>
      </c>
      <c r="BR1602" t="s">
        <v>1180</v>
      </c>
      <c r="BS1602">
        <v>-272.77999999999997</v>
      </c>
      <c r="BT1602">
        <v>-200.19</v>
      </c>
      <c r="BU1602" s="144">
        <f t="shared" si="2081"/>
        <v>0.73388811496444029</v>
      </c>
      <c r="BV1602" s="144">
        <f t="shared" si="2082"/>
        <v>72.589999999999975</v>
      </c>
      <c r="BW1602" s="144"/>
      <c r="BX1602" s="144">
        <f t="shared" si="2113"/>
        <v>7.2589999999999974E-2</v>
      </c>
      <c r="BY1602">
        <f t="shared" si="2070"/>
        <v>0.12977914864864859</v>
      </c>
      <c r="BZ1602">
        <v>0</v>
      </c>
      <c r="CA1602">
        <v>0</v>
      </c>
      <c r="CB1602">
        <v>0</v>
      </c>
      <c r="CC1602">
        <v>0</v>
      </c>
      <c r="CD1602">
        <v>0</v>
      </c>
      <c r="CE1602">
        <v>0</v>
      </c>
      <c r="CF1602">
        <v>0</v>
      </c>
      <c r="CG1602">
        <v>0</v>
      </c>
      <c r="CH1602">
        <v>0</v>
      </c>
      <c r="CI1602">
        <v>0</v>
      </c>
      <c r="CJ1602">
        <v>0</v>
      </c>
      <c r="CK1602">
        <v>0</v>
      </c>
      <c r="CL1602">
        <v>0</v>
      </c>
      <c r="CM1602">
        <v>0</v>
      </c>
      <c r="CN1602" t="str">
        <f t="shared" si="2114"/>
        <v>refOK</v>
      </c>
      <c r="CO1602">
        <f t="shared" si="2115"/>
        <v>0</v>
      </c>
      <c r="CP1602">
        <f t="shared" si="2116"/>
        <v>0.27407407407407408</v>
      </c>
      <c r="CQ1602">
        <f t="shared" si="2117"/>
        <v>0.55933484504913078</v>
      </c>
      <c r="CR1602">
        <f t="shared" si="2088"/>
        <v>-272.77999999999997</v>
      </c>
      <c r="CS1602">
        <f t="shared" si="2089"/>
        <v>-200.19</v>
      </c>
      <c r="CT1602">
        <f t="shared" si="2090"/>
        <v>7.2589999999999974E-2</v>
      </c>
      <c r="CU1602">
        <f t="shared" si="2091"/>
        <v>0.12977914864864859</v>
      </c>
      <c r="CV1602" s="2">
        <f t="shared" si="2092"/>
        <v>0.26611188503555971</v>
      </c>
      <c r="CW1602" s="1" t="s">
        <v>263</v>
      </c>
      <c r="CX1602" t="str">
        <f t="shared" si="2093"/>
        <v>loc</v>
      </c>
      <c r="CY1602" s="308" t="s">
        <v>3422</v>
      </c>
      <c r="DB1602">
        <v>60</v>
      </c>
      <c r="DC1602" t="str">
        <f t="shared" si="2095"/>
        <v>31-70</v>
      </c>
      <c r="DD1602">
        <v>0</v>
      </c>
      <c r="DE1602">
        <v>0</v>
      </c>
      <c r="DF1602">
        <v>0</v>
      </c>
      <c r="DG1602">
        <v>1</v>
      </c>
      <c r="DI1602">
        <f t="shared" si="2096"/>
        <v>1</v>
      </c>
      <c r="DJ1602" t="str">
        <f t="shared" si="2097"/>
        <v>TimberInput</v>
      </c>
      <c r="DK1602">
        <f t="shared" si="2098"/>
        <v>0</v>
      </c>
      <c r="DL1602">
        <f t="shared" si="2099"/>
        <v>0</v>
      </c>
      <c r="DM1602">
        <f t="shared" si="2100"/>
        <v>0</v>
      </c>
      <c r="DN1602" t="str">
        <f t="shared" si="2101"/>
        <v>Timber</v>
      </c>
      <c r="DO1602">
        <v>1</v>
      </c>
      <c r="DP1602">
        <v>0</v>
      </c>
      <c r="DQ1602">
        <v>0</v>
      </c>
      <c r="DR1602">
        <v>0</v>
      </c>
      <c r="DS1602">
        <v>0</v>
      </c>
      <c r="DT1602">
        <f t="shared" si="2102"/>
        <v>1</v>
      </c>
      <c r="DU1602" s="143" t="str">
        <f t="shared" si="2103"/>
        <v>self-calculated DF</v>
      </c>
      <c r="DV1602">
        <v>0</v>
      </c>
      <c r="DW1602">
        <v>0</v>
      </c>
      <c r="DX1602">
        <v>0</v>
      </c>
      <c r="DY1602">
        <v>0</v>
      </c>
      <c r="DZ1602">
        <v>0</v>
      </c>
      <c r="EA1602" s="143">
        <v>0</v>
      </c>
      <c r="EB1602">
        <v>0</v>
      </c>
      <c r="EC1602">
        <v>1</v>
      </c>
      <c r="ED1602">
        <v>1</v>
      </c>
      <c r="EE1602">
        <v>0</v>
      </c>
      <c r="EF1602">
        <v>0</v>
      </c>
      <c r="EG1602">
        <v>0</v>
      </c>
      <c r="EH1602">
        <v>0</v>
      </c>
      <c r="EI1602" s="2">
        <v>0</v>
      </c>
      <c r="EK1602" t="str">
        <f t="shared" si="2118"/>
        <v/>
      </c>
      <c r="EL1602" t="str">
        <f t="shared" si="2119"/>
        <v/>
      </c>
      <c r="EM1602" s="2" t="str">
        <f t="shared" si="2106"/>
        <v>Technology approach</v>
      </c>
      <c r="EP1602" t="str">
        <f>IF(ISNUMBER(BU1602),IF(ABS(BU1602-[2]QC_indicators!$B$2)&gt;3*[2]QC_indicators!$C$2,"C ratio",IF(ISNUMBER(BY1602),IF(ABS(BY1602-[2]QC_indicators!$B$1)&gt;3*[2]QC_indicators!$C$1,"DF","no"))),IF(ISNUMBER(BY1602),IF(ABS(BY1602-[2]QC_indicators!$B$1)&gt;3*[2]QC_indicators!$C$1,"DF","no")))</f>
        <v>no</v>
      </c>
      <c r="ET1602" s="264" t="s">
        <v>3262</v>
      </c>
    </row>
    <row r="1603" spans="1:151" ht="15" hidden="1" customHeight="1">
      <c r="A1603" s="1" t="s">
        <v>1167</v>
      </c>
      <c r="B1603" t="s">
        <v>1168</v>
      </c>
      <c r="C1603" t="s">
        <v>1169</v>
      </c>
      <c r="D1603" t="s">
        <v>1170</v>
      </c>
      <c r="E1603" t="s">
        <v>1171</v>
      </c>
      <c r="F1603" t="s">
        <v>1172</v>
      </c>
      <c r="G1603" t="s">
        <v>1173</v>
      </c>
      <c r="H1603" t="s">
        <v>254</v>
      </c>
      <c r="I1603">
        <v>2010</v>
      </c>
      <c r="J1603">
        <v>51</v>
      </c>
      <c r="K1603" t="s">
        <v>1174</v>
      </c>
      <c r="M1603" t="str">
        <f t="shared" si="2120"/>
        <v>Vukotic_2010</v>
      </c>
      <c r="N1603" t="s">
        <v>222</v>
      </c>
      <c r="O1603" s="145" t="s">
        <v>1153</v>
      </c>
      <c r="Q1603" t="s">
        <v>256</v>
      </c>
      <c r="R1603" s="269" t="s">
        <v>274</v>
      </c>
      <c r="S1603" s="1" t="s">
        <v>1175</v>
      </c>
      <c r="T1603" t="s">
        <v>1176</v>
      </c>
      <c r="U1603" t="s">
        <v>1181</v>
      </c>
      <c r="V1603">
        <v>0</v>
      </c>
      <c r="W1603">
        <v>0</v>
      </c>
      <c r="X1603">
        <v>0</v>
      </c>
      <c r="Y1603">
        <v>0</v>
      </c>
      <c r="Z1603">
        <v>0</v>
      </c>
      <c r="AA1603">
        <v>0</v>
      </c>
      <c r="AB1603">
        <v>0</v>
      </c>
      <c r="AC1603">
        <v>0</v>
      </c>
      <c r="AD1603">
        <v>0</v>
      </c>
      <c r="AE1603">
        <v>0</v>
      </c>
      <c r="AF1603">
        <v>0</v>
      </c>
      <c r="AG1603">
        <v>0</v>
      </c>
      <c r="AH1603">
        <v>0</v>
      </c>
      <c r="AI1603">
        <v>0</v>
      </c>
      <c r="AJ1603">
        <v>0</v>
      </c>
      <c r="AK1603">
        <v>1</v>
      </c>
      <c r="AL1603">
        <v>0</v>
      </c>
      <c r="AM1603">
        <v>0</v>
      </c>
      <c r="AN1603">
        <v>0</v>
      </c>
      <c r="AO1603">
        <v>0</v>
      </c>
      <c r="AP1603">
        <v>0</v>
      </c>
      <c r="AQ1603">
        <v>0</v>
      </c>
      <c r="AR1603">
        <v>0</v>
      </c>
      <c r="AS1603">
        <v>0</v>
      </c>
      <c r="AT1603">
        <v>0</v>
      </c>
      <c r="AU1603">
        <v>0</v>
      </c>
      <c r="AV1603">
        <v>0</v>
      </c>
      <c r="AW1603">
        <v>0</v>
      </c>
      <c r="AX1603" s="141">
        <f t="shared" si="2071"/>
        <v>1</v>
      </c>
      <c r="AY1603" s="141">
        <f t="shared" si="2072"/>
        <v>1</v>
      </c>
      <c r="AZ1603">
        <f t="shared" si="2073"/>
        <v>0</v>
      </c>
      <c r="BA1603">
        <f t="shared" si="2074"/>
        <v>0</v>
      </c>
      <c r="BB1603">
        <f t="shared" si="2075"/>
        <v>1</v>
      </c>
      <c r="BC1603">
        <f t="shared" si="2076"/>
        <v>0</v>
      </c>
      <c r="BD1603">
        <f t="shared" si="2077"/>
        <v>0</v>
      </c>
      <c r="BE1603" t="str">
        <f t="array" ref="BE1603">IF(AY1603=1,INDEX($V$7:$AL$7,MATCH(TRUE,INDEX($V1603:$AW1603&lt;&gt;0,),0)),IF(AY1603=0,INDEX($AM$7:$AW$7,MATCH(1,$AM1603:$AW1603,0)),IF(BF1603="Multiple strategies","mixed drivers",IF(BF1603="Supply chain","multiple supply","multiple silviculture"))))</f>
        <v>technologies/design switch</v>
      </c>
      <c r="BF1603" s="2" t="str" cm="1">
        <f t="array" ref="BF1603">IF(COUNTIF(AZ1603:BB1603,"&lt;&gt;0")=1,INDEX($V$4:$AW$4,MATCH(TRUE,INDEX($V1603:$AW1603&lt;&gt;0,),0)),IF(COUNTIF(AZ1603:BB1603,"&lt;&gt;0")=0,INDEX($AM$4:$AW$4,MATCH(1,$AM1603:$AW1603,0)),"Multiple strategies"))</f>
        <v>Technology</v>
      </c>
      <c r="BG1603" s="1" t="s">
        <v>229</v>
      </c>
      <c r="BH1603" t="s">
        <v>1178</v>
      </c>
      <c r="BJ1603" t="s">
        <v>1179</v>
      </c>
      <c r="BK1603">
        <v>0</v>
      </c>
      <c r="BL1603">
        <v>0.27407407407407408</v>
      </c>
      <c r="BM1603" s="143" t="e">
        <f t="shared" si="2110"/>
        <v>#DIV/0!</v>
      </c>
      <c r="BN1603">
        <f t="shared" si="2111"/>
        <v>0.27407407407407408</v>
      </c>
      <c r="BO1603">
        <f t="shared" si="2112"/>
        <v>0.55933484504913078</v>
      </c>
      <c r="BP1603" t="s">
        <v>232</v>
      </c>
      <c r="BR1603" t="s">
        <v>1180</v>
      </c>
      <c r="BS1603">
        <v>-218.80999999999995</v>
      </c>
      <c r="BT1603">
        <v>-128.52999999999997</v>
      </c>
      <c r="BU1603" s="144">
        <f t="shared" si="2081"/>
        <v>0.58740459759608799</v>
      </c>
      <c r="BV1603" s="144">
        <f t="shared" si="2082"/>
        <v>90.279999999999973</v>
      </c>
      <c r="BW1603" s="144"/>
      <c r="BX1603" s="144">
        <f t="shared" si="2113"/>
        <v>9.0279999999999971E-2</v>
      </c>
      <c r="BY1603">
        <f t="shared" si="2070"/>
        <v>0.16140599999999994</v>
      </c>
      <c r="BZ1603">
        <v>0</v>
      </c>
      <c r="CA1603">
        <v>0</v>
      </c>
      <c r="CB1603">
        <v>0</v>
      </c>
      <c r="CC1603">
        <v>0</v>
      </c>
      <c r="CD1603">
        <v>0</v>
      </c>
      <c r="CE1603">
        <v>0</v>
      </c>
      <c r="CF1603">
        <v>0</v>
      </c>
      <c r="CG1603">
        <v>0</v>
      </c>
      <c r="CH1603">
        <v>0</v>
      </c>
      <c r="CI1603">
        <v>0</v>
      </c>
      <c r="CJ1603">
        <v>0</v>
      </c>
      <c r="CK1603">
        <v>0</v>
      </c>
      <c r="CL1603">
        <v>0</v>
      </c>
      <c r="CM1603">
        <v>0</v>
      </c>
      <c r="CN1603" t="str">
        <f t="shared" si="2114"/>
        <v>refOK</v>
      </c>
      <c r="CO1603">
        <f t="shared" si="2115"/>
        <v>0</v>
      </c>
      <c r="CP1603">
        <f t="shared" si="2116"/>
        <v>0.27407407407407408</v>
      </c>
      <c r="CQ1603">
        <f t="shared" si="2117"/>
        <v>0.55933484504913078</v>
      </c>
      <c r="CR1603">
        <f t="shared" si="2088"/>
        <v>-218.80999999999995</v>
      </c>
      <c r="CS1603">
        <f t="shared" si="2089"/>
        <v>-128.52999999999997</v>
      </c>
      <c r="CT1603">
        <f t="shared" si="2090"/>
        <v>9.0279999999999971E-2</v>
      </c>
      <c r="CU1603">
        <f t="shared" si="2091"/>
        <v>0.16140599999999994</v>
      </c>
      <c r="CV1603" s="2">
        <f t="shared" si="2092"/>
        <v>0.41259540240391207</v>
      </c>
      <c r="CW1603" s="1" t="s">
        <v>263</v>
      </c>
      <c r="CX1603" t="str">
        <f t="shared" si="2093"/>
        <v>loc</v>
      </c>
      <c r="CY1603" s="308" t="s">
        <v>3422</v>
      </c>
      <c r="DB1603">
        <v>60</v>
      </c>
      <c r="DC1603" t="str">
        <f t="shared" si="2095"/>
        <v>31-70</v>
      </c>
      <c r="DD1603">
        <v>0</v>
      </c>
      <c r="DE1603">
        <v>0</v>
      </c>
      <c r="DF1603">
        <v>0</v>
      </c>
      <c r="DG1603">
        <v>1</v>
      </c>
      <c r="DI1603">
        <f t="shared" si="2096"/>
        <v>1</v>
      </c>
      <c r="DJ1603" t="str">
        <f t="shared" si="2097"/>
        <v>TimberInput</v>
      </c>
      <c r="DK1603">
        <f t="shared" si="2098"/>
        <v>0</v>
      </c>
      <c r="DL1603">
        <f t="shared" si="2099"/>
        <v>0</v>
      </c>
      <c r="DM1603">
        <f t="shared" si="2100"/>
        <v>0</v>
      </c>
      <c r="DN1603" t="str">
        <f t="shared" si="2101"/>
        <v>Timber</v>
      </c>
      <c r="DO1603">
        <v>1</v>
      </c>
      <c r="DP1603">
        <v>0</v>
      </c>
      <c r="DQ1603">
        <v>0</v>
      </c>
      <c r="DR1603">
        <v>0</v>
      </c>
      <c r="DS1603">
        <v>0</v>
      </c>
      <c r="DT1603">
        <f t="shared" si="2102"/>
        <v>1</v>
      </c>
      <c r="DU1603" s="143" t="str">
        <f t="shared" si="2103"/>
        <v>self-calculated DF</v>
      </c>
      <c r="DV1603">
        <v>0</v>
      </c>
      <c r="DW1603">
        <v>0</v>
      </c>
      <c r="DX1603">
        <v>0</v>
      </c>
      <c r="DY1603">
        <v>0</v>
      </c>
      <c r="DZ1603">
        <v>0</v>
      </c>
      <c r="EA1603" s="143">
        <v>1</v>
      </c>
      <c r="EB1603">
        <v>0</v>
      </c>
      <c r="EC1603">
        <v>1</v>
      </c>
      <c r="ED1603">
        <v>1</v>
      </c>
      <c r="EE1603">
        <v>1</v>
      </c>
      <c r="EF1603">
        <v>0</v>
      </c>
      <c r="EG1603">
        <v>0</v>
      </c>
      <c r="EH1603">
        <v>0</v>
      </c>
      <c r="EI1603" s="2">
        <v>0</v>
      </c>
      <c r="EK1603" t="str">
        <f t="shared" si="2118"/>
        <v/>
      </c>
      <c r="EL1603" t="str">
        <f t="shared" si="2119"/>
        <v/>
      </c>
      <c r="EM1603" s="2" t="str">
        <f t="shared" si="2106"/>
        <v>Technology approach</v>
      </c>
      <c r="EP1603" t="str">
        <f>IF(ISNUMBER(BU1603),IF(ABS(BU1603-[2]QC_indicators!$B$2)&gt;3*[2]QC_indicators!$C$2,"C ratio",IF(ISNUMBER(BY1603),IF(ABS(BY1603-[2]QC_indicators!$B$1)&gt;3*[2]QC_indicators!$C$1,"DF","no"))),IF(ISNUMBER(BY1603),IF(ABS(BY1603-[2]QC_indicators!$B$1)&gt;3*[2]QC_indicators!$C$1,"DF","no")))</f>
        <v>no</v>
      </c>
      <c r="ET1603" s="264" t="s">
        <v>3262</v>
      </c>
    </row>
    <row r="1604" spans="1:151" ht="15" hidden="1" customHeight="1">
      <c r="A1604" s="1" t="s">
        <v>1167</v>
      </c>
      <c r="B1604" t="s">
        <v>1168</v>
      </c>
      <c r="C1604" t="s">
        <v>1169</v>
      </c>
      <c r="D1604" t="s">
        <v>1170</v>
      </c>
      <c r="E1604" t="s">
        <v>1171</v>
      </c>
      <c r="F1604" t="s">
        <v>1172</v>
      </c>
      <c r="G1604" t="s">
        <v>1173</v>
      </c>
      <c r="H1604" t="s">
        <v>254</v>
      </c>
      <c r="I1604">
        <v>2010</v>
      </c>
      <c r="J1604">
        <v>51</v>
      </c>
      <c r="K1604" t="s">
        <v>1174</v>
      </c>
      <c r="M1604" t="str">
        <f t="shared" si="2120"/>
        <v>Vukotic_2010</v>
      </c>
      <c r="N1604" t="s">
        <v>222</v>
      </c>
      <c r="O1604" s="145" t="s">
        <v>1153</v>
      </c>
      <c r="Q1604" t="s">
        <v>256</v>
      </c>
      <c r="R1604" s="269" t="s">
        <v>274</v>
      </c>
      <c r="S1604" s="1" t="s">
        <v>1175</v>
      </c>
      <c r="T1604" t="s">
        <v>1176</v>
      </c>
      <c r="U1604" t="s">
        <v>1177</v>
      </c>
      <c r="V1604">
        <v>0</v>
      </c>
      <c r="W1604">
        <v>0</v>
      </c>
      <c r="X1604">
        <v>0</v>
      </c>
      <c r="Y1604">
        <v>0</v>
      </c>
      <c r="Z1604">
        <v>0</v>
      </c>
      <c r="AA1604">
        <v>0</v>
      </c>
      <c r="AB1604">
        <v>0</v>
      </c>
      <c r="AC1604">
        <v>0</v>
      </c>
      <c r="AD1604">
        <v>0</v>
      </c>
      <c r="AE1604">
        <v>2</v>
      </c>
      <c r="AF1604">
        <v>0</v>
      </c>
      <c r="AG1604">
        <v>0</v>
      </c>
      <c r="AH1604">
        <v>0</v>
      </c>
      <c r="AI1604">
        <v>0</v>
      </c>
      <c r="AJ1604">
        <v>0</v>
      </c>
      <c r="AK1604">
        <v>1</v>
      </c>
      <c r="AL1604">
        <v>0</v>
      </c>
      <c r="AM1604">
        <v>0</v>
      </c>
      <c r="AN1604">
        <v>0</v>
      </c>
      <c r="AO1604">
        <v>0</v>
      </c>
      <c r="AP1604">
        <v>0</v>
      </c>
      <c r="AQ1604">
        <v>0</v>
      </c>
      <c r="AR1604">
        <v>0</v>
      </c>
      <c r="AS1604">
        <v>0</v>
      </c>
      <c r="AT1604">
        <v>0</v>
      </c>
      <c r="AU1604">
        <v>0</v>
      </c>
      <c r="AV1604">
        <v>0</v>
      </c>
      <c r="AW1604">
        <v>0</v>
      </c>
      <c r="AX1604" s="141">
        <f t="shared" si="2071"/>
        <v>2</v>
      </c>
      <c r="AY1604" s="141">
        <f t="shared" si="2072"/>
        <v>2</v>
      </c>
      <c r="AZ1604">
        <f t="shared" si="2073"/>
        <v>0</v>
      </c>
      <c r="BA1604">
        <f t="shared" si="2074"/>
        <v>1</v>
      </c>
      <c r="BB1604">
        <f t="shared" si="2075"/>
        <v>1</v>
      </c>
      <c r="BC1604">
        <f t="shared" si="2076"/>
        <v>0</v>
      </c>
      <c r="BD1604">
        <f t="shared" si="2077"/>
        <v>0</v>
      </c>
      <c r="BE1604" t="str">
        <f t="array" ref="BE1604">IF(AY1604=1,INDEX($V$7:$AL$7,MATCH(TRUE,INDEX($V1604:$AW1604&lt;&gt;0,),0)),IF(AY1604=0,INDEX($AM$7:$AW$7,MATCH(1,$AM1604:$AW1604,0)),IF(BF1604="Multiple strategies","mixed drivers",IF(BF1604="Supply chain","multiple supply","multiple silviculture"))))</f>
        <v>mixed drivers</v>
      </c>
      <c r="BF1604" s="2" t="str" cm="1">
        <f t="array" ref="BF1604">IF(COUNTIF(AZ1604:BB1604,"&lt;&gt;0")=1,INDEX($V$4:$AW$4,MATCH(TRUE,INDEX($V1604:$AW1604&lt;&gt;0,),0)),IF(COUNTIF(AZ1604:BB1604,"&lt;&gt;0")=0,INDEX($AM$4:$AW$4,MATCH(1,$AM1604:$AW1604,0)),"Multiple strategies"))</f>
        <v>Multiple strategies</v>
      </c>
      <c r="BG1604" s="1" t="s">
        <v>229</v>
      </c>
      <c r="BH1604" t="s">
        <v>1178</v>
      </c>
      <c r="BJ1604" t="s">
        <v>1179</v>
      </c>
      <c r="BK1604">
        <v>0</v>
      </c>
      <c r="BL1604">
        <v>0.27407407407407408</v>
      </c>
      <c r="BM1604" s="143" t="e">
        <f t="shared" si="2110"/>
        <v>#DIV/0!</v>
      </c>
      <c r="BN1604">
        <f t="shared" si="2111"/>
        <v>0.27407407407407408</v>
      </c>
      <c r="BO1604">
        <f t="shared" si="2112"/>
        <v>0.55933484504913078</v>
      </c>
      <c r="BP1604" t="s">
        <v>232</v>
      </c>
      <c r="BR1604" t="s">
        <v>1180</v>
      </c>
      <c r="BS1604">
        <v>-218.80999999999995</v>
      </c>
      <c r="BT1604">
        <v>-106.82999999999998</v>
      </c>
      <c r="BU1604" s="144">
        <f t="shared" si="2081"/>
        <v>0.48823179927791238</v>
      </c>
      <c r="BV1604" s="144">
        <f t="shared" si="2082"/>
        <v>111.97999999999996</v>
      </c>
      <c r="BW1604" s="144"/>
      <c r="BX1604" s="144">
        <f t="shared" si="2113"/>
        <v>0.11197999999999997</v>
      </c>
      <c r="BY1604">
        <f t="shared" si="2070"/>
        <v>0.20020208108108101</v>
      </c>
      <c r="BZ1604">
        <v>0</v>
      </c>
      <c r="CA1604">
        <v>0</v>
      </c>
      <c r="CB1604">
        <v>0</v>
      </c>
      <c r="CC1604">
        <v>0</v>
      </c>
      <c r="CD1604">
        <v>0</v>
      </c>
      <c r="CE1604">
        <v>0</v>
      </c>
      <c r="CF1604">
        <v>0</v>
      </c>
      <c r="CG1604">
        <v>0</v>
      </c>
      <c r="CH1604">
        <v>0</v>
      </c>
      <c r="CI1604">
        <v>0</v>
      </c>
      <c r="CJ1604">
        <v>0</v>
      </c>
      <c r="CK1604">
        <v>0</v>
      </c>
      <c r="CL1604">
        <v>0</v>
      </c>
      <c r="CM1604">
        <v>0</v>
      </c>
      <c r="CN1604" t="str">
        <f t="shared" si="2114"/>
        <v>refOK</v>
      </c>
      <c r="CO1604">
        <f t="shared" si="2115"/>
        <v>0</v>
      </c>
      <c r="CP1604">
        <f t="shared" si="2116"/>
        <v>0.27407407407407408</v>
      </c>
      <c r="CQ1604">
        <f t="shared" si="2117"/>
        <v>0.55933484504913078</v>
      </c>
      <c r="CR1604">
        <f t="shared" si="2088"/>
        <v>-218.80999999999995</v>
      </c>
      <c r="CS1604">
        <f t="shared" si="2089"/>
        <v>-106.82999999999998</v>
      </c>
      <c r="CT1604">
        <f t="shared" si="2090"/>
        <v>0.11197999999999997</v>
      </c>
      <c r="CU1604">
        <f t="shared" si="2091"/>
        <v>0.20020208108108101</v>
      </c>
      <c r="CV1604" s="2">
        <f t="shared" si="2092"/>
        <v>0.51176820072208762</v>
      </c>
      <c r="CW1604" s="1" t="s">
        <v>263</v>
      </c>
      <c r="CX1604" t="str">
        <f t="shared" si="2093"/>
        <v>loc</v>
      </c>
      <c r="CY1604" s="308" t="s">
        <v>3422</v>
      </c>
      <c r="DB1604">
        <v>60</v>
      </c>
      <c r="DC1604" t="str">
        <f t="shared" si="2095"/>
        <v>31-70</v>
      </c>
      <c r="DD1604">
        <v>0</v>
      </c>
      <c r="DE1604">
        <v>0</v>
      </c>
      <c r="DF1604">
        <v>0</v>
      </c>
      <c r="DG1604">
        <v>1</v>
      </c>
      <c r="DI1604">
        <f t="shared" si="2096"/>
        <v>1</v>
      </c>
      <c r="DJ1604" t="str">
        <f t="shared" si="2097"/>
        <v>TimberInput</v>
      </c>
      <c r="DK1604">
        <f t="shared" si="2098"/>
        <v>0</v>
      </c>
      <c r="DL1604">
        <f t="shared" si="2099"/>
        <v>0</v>
      </c>
      <c r="DM1604">
        <f t="shared" si="2100"/>
        <v>0</v>
      </c>
      <c r="DN1604" t="str">
        <f t="shared" si="2101"/>
        <v>Timber</v>
      </c>
      <c r="DO1604">
        <v>1</v>
      </c>
      <c r="DP1604">
        <v>0</v>
      </c>
      <c r="DQ1604">
        <v>0</v>
      </c>
      <c r="DR1604">
        <v>0</v>
      </c>
      <c r="DS1604">
        <v>0</v>
      </c>
      <c r="DT1604">
        <f t="shared" si="2102"/>
        <v>1</v>
      </c>
      <c r="DU1604" s="143" t="str">
        <f t="shared" si="2103"/>
        <v>self-calculated DF</v>
      </c>
      <c r="DV1604">
        <v>0</v>
      </c>
      <c r="DW1604">
        <v>0</v>
      </c>
      <c r="DX1604">
        <v>0</v>
      </c>
      <c r="DY1604">
        <v>0</v>
      </c>
      <c r="DZ1604">
        <v>0</v>
      </c>
      <c r="EA1604" s="143">
        <v>1</v>
      </c>
      <c r="EB1604">
        <v>0</v>
      </c>
      <c r="EC1604">
        <v>1</v>
      </c>
      <c r="ED1604">
        <v>1</v>
      </c>
      <c r="EE1604">
        <v>1</v>
      </c>
      <c r="EF1604">
        <v>0</v>
      </c>
      <c r="EG1604">
        <v>0</v>
      </c>
      <c r="EH1604">
        <v>0</v>
      </c>
      <c r="EI1604" s="2">
        <v>0</v>
      </c>
      <c r="EK1604" t="str">
        <f t="shared" si="2118"/>
        <v/>
      </c>
      <c r="EL1604" t="str">
        <f t="shared" si="2119"/>
        <v/>
      </c>
      <c r="EM1604" s="2" t="str">
        <f t="shared" si="2106"/>
        <v>Technology approach</v>
      </c>
      <c r="EP1604" t="str">
        <f>IF(ISNUMBER(BU1604),IF(ABS(BU1604-[2]QC_indicators!$B$2)&gt;3*[2]QC_indicators!$C$2,"C ratio",IF(ISNUMBER(BY1604),IF(ABS(BY1604-[2]QC_indicators!$B$1)&gt;3*[2]QC_indicators!$C$1,"DF","no"))),IF(ISNUMBER(BY1604),IF(ABS(BY1604-[2]QC_indicators!$B$1)&gt;3*[2]QC_indicators!$C$1,"DF","no")))</f>
        <v>no</v>
      </c>
      <c r="ET1604" s="264" t="s">
        <v>3262</v>
      </c>
    </row>
    <row r="1605" spans="1:151" ht="15" hidden="1" customHeight="1">
      <c r="A1605" s="1" t="s">
        <v>1971</v>
      </c>
      <c r="B1605" t="s">
        <v>4893</v>
      </c>
      <c r="C1605" t="s">
        <v>4894</v>
      </c>
      <c r="D1605" t="s">
        <v>4895</v>
      </c>
      <c r="E1605" t="s">
        <v>4896</v>
      </c>
      <c r="F1605" s="311" t="s">
        <v>4897</v>
      </c>
      <c r="G1605" t="s">
        <v>1977</v>
      </c>
      <c r="H1605" t="s">
        <v>254</v>
      </c>
      <c r="I1605">
        <v>2020</v>
      </c>
      <c r="J1605">
        <v>1</v>
      </c>
      <c r="K1605" t="s">
        <v>4898</v>
      </c>
      <c r="M1605" t="str">
        <f t="shared" si="2120"/>
        <v>Wakelin_2020</v>
      </c>
      <c r="N1605" t="s">
        <v>1351</v>
      </c>
      <c r="O1605" s="145" t="s">
        <v>1153</v>
      </c>
      <c r="Q1605" s="311" t="s">
        <v>256</v>
      </c>
      <c r="R1605" s="312"/>
      <c r="AX1605" s="141"/>
      <c r="AY1605" s="141"/>
      <c r="BE1605"/>
      <c r="BF1605" s="2"/>
      <c r="BM1605" s="143"/>
      <c r="BN1605" s="143"/>
      <c r="BP1605" s="143"/>
      <c r="BQ1605" s="143"/>
      <c r="BU1605" s="144"/>
      <c r="BV1605" s="144"/>
      <c r="BW1605" s="144"/>
      <c r="BX1605" s="144"/>
      <c r="BY1605" t="str">
        <f t="shared" si="2070"/>
        <v/>
      </c>
      <c r="CN1605"/>
      <c r="CO1605"/>
      <c r="CP1605"/>
      <c r="CQ1605"/>
      <c r="CR1605"/>
      <c r="CS1605"/>
      <c r="CT1605"/>
      <c r="CU1605"/>
      <c r="CV1605" s="2"/>
      <c r="CX1605"/>
      <c r="DC1605"/>
      <c r="DI1605"/>
      <c r="DJ1605"/>
      <c r="DK1605"/>
      <c r="DL1605"/>
      <c r="DM1605"/>
      <c r="DN1605"/>
      <c r="DT1605"/>
      <c r="DU1605" s="143"/>
      <c r="EK1605" t="str">
        <f t="shared" ref="EK1605:EK1627" si="2121">IF(AND(AND(AND(OR($DX1605=1,$DW1605=1),OR($EC1605=1,$EA1605=1)),SUM($DV1605:$DZ1605,$EF1605)&gt;=3),SUM($EA1605:$EE1605)&gt;=2),"Whole sector","")</f>
        <v/>
      </c>
      <c r="EL1605" t="str">
        <f t="shared" ref="EL1605:EL1627" si="2122">IF(AND(AND(OR($DX1605=1,$DW1605=1),AND($EC1605=0,$EA1605=0)),SUM($DV1605:$DZ1605,$EF1605)&gt;=3),"Ecosystem approach","")</f>
        <v/>
      </c>
      <c r="EM1605" s="2" t="str">
        <f t="shared" si="2106"/>
        <v/>
      </c>
      <c r="EN1605" t="s">
        <v>4899</v>
      </c>
      <c r="EO1605" t="s">
        <v>4328</v>
      </c>
      <c r="EP1605" t="b">
        <f>IF(ISNUMBER(BU1605),IF(ABS(BU1605-[1]QC_indicators!$B$2)&gt;3*[1]QC_indicators!$C$2,"C ratio",IF(ISNUMBER(BY1605),IF(ABS(BY1605-[1]QC_indicators!$B$1)&gt;3*[1]QC_indicators!$C$1,"DF","no"))),IF(ISNUMBER(BY1605),IF(ABS(BY1605-[1]QC_indicators!$B$1)&gt;3*[1]QC_indicators!$C$1,"DF","no")))</f>
        <v>0</v>
      </c>
      <c r="ER1605" t="s">
        <v>4711</v>
      </c>
    </row>
    <row r="1606" spans="1:151" ht="15" hidden="1" customHeight="1">
      <c r="A1606" s="1" t="s">
        <v>4702</v>
      </c>
      <c r="B1606" t="s">
        <v>4703</v>
      </c>
      <c r="C1606" t="s">
        <v>4704</v>
      </c>
      <c r="D1606" t="s">
        <v>4705</v>
      </c>
      <c r="E1606" t="s">
        <v>4706</v>
      </c>
      <c r="F1606" t="s">
        <v>4707</v>
      </c>
      <c r="G1606" t="s">
        <v>4708</v>
      </c>
      <c r="H1606" t="s">
        <v>254</v>
      </c>
      <c r="I1606">
        <v>2012</v>
      </c>
      <c r="J1606">
        <v>8</v>
      </c>
      <c r="K1606" t="s">
        <v>4709</v>
      </c>
      <c r="M1606" t="str">
        <f t="shared" si="2120"/>
        <v>Wang_2012</v>
      </c>
      <c r="N1606" t="s">
        <v>2582</v>
      </c>
      <c r="O1606" s="145" t="s">
        <v>1153</v>
      </c>
      <c r="Q1606" s="311" t="s">
        <v>256</v>
      </c>
      <c r="R1606" s="312"/>
      <c r="AX1606" s="141"/>
      <c r="AY1606" s="141"/>
      <c r="BE1606"/>
      <c r="BF1606" s="2"/>
      <c r="BM1606" s="143"/>
      <c r="BN1606" s="143"/>
      <c r="BU1606" s="144"/>
      <c r="BV1606" s="144"/>
      <c r="BW1606" s="144"/>
      <c r="BX1606" s="144"/>
      <c r="BY1606" t="str">
        <f t="shared" si="2070"/>
        <v/>
      </c>
      <c r="CN1606"/>
      <c r="CO1606"/>
      <c r="CP1606"/>
      <c r="CQ1606"/>
      <c r="CR1606"/>
      <c r="CS1606"/>
      <c r="CT1606"/>
      <c r="CU1606"/>
      <c r="CV1606" s="2"/>
      <c r="CX1606"/>
      <c r="DC1606"/>
      <c r="DI1606"/>
      <c r="DJ1606"/>
      <c r="DK1606"/>
      <c r="DL1606"/>
      <c r="DM1606"/>
      <c r="DN1606"/>
      <c r="DT1606"/>
      <c r="DU1606" s="143"/>
      <c r="EK1606" t="str">
        <f t="shared" si="2121"/>
        <v/>
      </c>
      <c r="EL1606" t="str">
        <f t="shared" si="2122"/>
        <v/>
      </c>
      <c r="EM1606" s="2" t="str">
        <f t="shared" si="2106"/>
        <v/>
      </c>
      <c r="EN1606" t="s">
        <v>4710</v>
      </c>
      <c r="EO1606" t="s">
        <v>4328</v>
      </c>
      <c r="EP1606" t="b">
        <f>IF(ISNUMBER(BU1606),IF(ABS(BU1606-[1]QC_indicators!$B$2)&gt;3*[1]QC_indicators!$C$2,"C ratio",IF(ISNUMBER(BY1606),IF(ABS(BY1606-[1]QC_indicators!$B$1)&gt;3*[1]QC_indicators!$C$1,"DF","no"))),IF(ISNUMBER(BY1606),IF(ABS(BY1606-[1]QC_indicators!$B$1)&gt;3*[1]QC_indicators!$C$1,"DF","no")))</f>
        <v>0</v>
      </c>
      <c r="ER1606" t="s">
        <v>4711</v>
      </c>
      <c r="ET1606" s="185"/>
    </row>
    <row r="1607" spans="1:151" ht="15" hidden="1" customHeight="1">
      <c r="A1607" s="1" t="s">
        <v>4292</v>
      </c>
      <c r="B1607" t="s">
        <v>4293</v>
      </c>
      <c r="C1607" t="s">
        <v>4294</v>
      </c>
      <c r="D1607" t="s">
        <v>4295</v>
      </c>
      <c r="E1607" t="s">
        <v>4296</v>
      </c>
      <c r="F1607" t="s">
        <v>4297</v>
      </c>
      <c r="G1607" t="s">
        <v>4298</v>
      </c>
      <c r="H1607" t="s">
        <v>254</v>
      </c>
      <c r="I1607">
        <v>2021</v>
      </c>
      <c r="J1607">
        <v>1</v>
      </c>
      <c r="K1607" t="s">
        <v>4299</v>
      </c>
      <c r="M1607" t="str">
        <f t="shared" si="2120"/>
        <v>Wang_2021</v>
      </c>
      <c r="N1607" s="311" t="s">
        <v>4382</v>
      </c>
      <c r="O1607" s="311" t="s">
        <v>223</v>
      </c>
      <c r="Q1607" s="311" t="s">
        <v>389</v>
      </c>
      <c r="R1607" s="312"/>
      <c r="S1607" s="318" t="s">
        <v>4300</v>
      </c>
      <c r="T1607" s="311" t="s">
        <v>4301</v>
      </c>
      <c r="U1607" s="311" t="s">
        <v>4302</v>
      </c>
      <c r="V1607">
        <v>0</v>
      </c>
      <c r="W1607">
        <v>0</v>
      </c>
      <c r="X1607">
        <v>0</v>
      </c>
      <c r="Y1607">
        <v>0</v>
      </c>
      <c r="Z1607">
        <v>0</v>
      </c>
      <c r="AA1607">
        <v>0</v>
      </c>
      <c r="AB1607">
        <v>0</v>
      </c>
      <c r="AC1607">
        <v>0</v>
      </c>
      <c r="AD1607">
        <v>0</v>
      </c>
      <c r="AE1607">
        <v>0</v>
      </c>
      <c r="AF1607">
        <v>0</v>
      </c>
      <c r="AG1607">
        <v>0</v>
      </c>
      <c r="AH1607">
        <v>1</v>
      </c>
      <c r="AI1607">
        <v>0</v>
      </c>
      <c r="AJ1607">
        <v>0</v>
      </c>
      <c r="AK1607">
        <v>0</v>
      </c>
      <c r="AL1607">
        <v>0</v>
      </c>
      <c r="AM1607">
        <v>0</v>
      </c>
      <c r="AN1607">
        <v>0</v>
      </c>
      <c r="AO1607">
        <v>0</v>
      </c>
      <c r="AP1607">
        <v>0</v>
      </c>
      <c r="AQ1607">
        <v>0</v>
      </c>
      <c r="AR1607">
        <v>0</v>
      </c>
      <c r="AS1607">
        <v>0</v>
      </c>
      <c r="AT1607">
        <v>0</v>
      </c>
      <c r="AU1607">
        <v>0</v>
      </c>
      <c r="AV1607">
        <v>0</v>
      </c>
      <c r="AW1607">
        <v>0</v>
      </c>
      <c r="AX1607" s="141">
        <f t="shared" ref="AX1607:AX1638" si="2123">COUNTIF(V1607:AW1607,"&lt;&gt;0")</f>
        <v>1</v>
      </c>
      <c r="AY1607" s="141">
        <f t="shared" ref="AY1607:AY1638" si="2124">COUNTIF(V1607:AL1607,"&lt;&gt;0")</f>
        <v>1</v>
      </c>
      <c r="AZ1607">
        <f t="shared" ref="AZ1607:AZ1638" si="2125">COUNTIF(V1607:AC1607,"&lt;&gt;0")</f>
        <v>0</v>
      </c>
      <c r="BA1607">
        <f t="shared" ref="BA1607:BA1638" si="2126">COUNTIF(AD1607:AI1607,"&lt;&gt;0")</f>
        <v>1</v>
      </c>
      <c r="BB1607">
        <f t="shared" ref="BB1607:BB1638" si="2127">COUNTIF(AJ1607:AL1607,"&lt;&gt;0")</f>
        <v>0</v>
      </c>
      <c r="BC1607">
        <f t="shared" ref="BC1607:BC1638" si="2128">COUNTIF(AS1607:AW1607,"&lt;&gt;0")</f>
        <v>0</v>
      </c>
      <c r="BD1607">
        <f t="shared" ref="BD1607:BD1638" si="2129">COUNTIF(AM1607:AR1607,"&lt;&gt;0")</f>
        <v>0</v>
      </c>
      <c r="BE1607" t="str" cm="1">
        <f t="array" ref="BE1607">IF(AY1607=1,INDEX($V$7:$AL$7,MATCH(TRUE,INDEX($V1607:$AW1607&lt;&gt;0,),0)),IF(AY1607=0,INDEX($AM$7:$AW$7,MATCH(1,$AM1607:$AW1607,0)),IF(BF1607="Multiple strategies","mixed drivers",IF(BF1607="Supply chain","multiple supply","multiple silviculture"))))</f>
        <v xml:space="preserve">end of life disposal </v>
      </c>
      <c r="BF1607" s="2" t="str" cm="1">
        <f t="array" ref="BF1607">IF(COUNTIF(AZ1607:BB1607,"&lt;&gt;0")=1,INDEX($V$4:$AW$4,MATCH(TRUE,INDEX($V1607:$AW1607&lt;&gt;0,),0)),IF(COUNTIF(AZ1607:BB1607,"&lt;&gt;0")=0,INDEX($AM$4:$AW$4,MATCH(1,$AM1607:$AW1607,0)),"Multiple strategies"))</f>
        <v>Supply chain</v>
      </c>
      <c r="BG1607" s="1" t="s">
        <v>321</v>
      </c>
      <c r="BH1607" s="311" t="s">
        <v>4303</v>
      </c>
      <c r="BI1607" s="311" t="s">
        <v>4304</v>
      </c>
      <c r="BJ1607" s="311" t="s">
        <v>498</v>
      </c>
      <c r="BK1607">
        <v>0.97</v>
      </c>
      <c r="BL1607">
        <v>0.97</v>
      </c>
      <c r="BN1607">
        <f t="shared" ref="BN1607:BN1625" si="2130">BL1607-BK1607</f>
        <v>0</v>
      </c>
      <c r="BO1607">
        <f t="shared" ref="BO1607:BO1625" si="2131">BN1607</f>
        <v>0</v>
      </c>
      <c r="BP1607" s="311" t="s">
        <v>395</v>
      </c>
      <c r="BQ1607" s="311" t="s">
        <v>4305</v>
      </c>
      <c r="BR1607" s="311" t="s">
        <v>397</v>
      </c>
      <c r="BS1607">
        <v>471</v>
      </c>
      <c r="BT1607">
        <v>464</v>
      </c>
      <c r="BU1607" s="144">
        <f>BT1607/BS1607</f>
        <v>0.9851380042462845</v>
      </c>
      <c r="BV1607">
        <f t="shared" ref="BV1607:BV1638" si="2132">BT1607-BS1607</f>
        <v>-7</v>
      </c>
      <c r="BX1607">
        <f t="shared" ref="BX1607:BX1627" si="2133">BV1607/1000</f>
        <v>-7.0000000000000001E-3</v>
      </c>
      <c r="BY1607" t="str">
        <f t="shared" si="2070"/>
        <v/>
      </c>
      <c r="BZ1607">
        <v>0</v>
      </c>
      <c r="CA1607">
        <v>0</v>
      </c>
      <c r="CB1607">
        <v>0</v>
      </c>
      <c r="CC1607">
        <v>0</v>
      </c>
      <c r="CD1607">
        <v>0</v>
      </c>
      <c r="CE1607">
        <v>0</v>
      </c>
      <c r="CF1607">
        <v>0</v>
      </c>
      <c r="CG1607">
        <v>0</v>
      </c>
      <c r="CH1607">
        <v>0</v>
      </c>
      <c r="CI1607">
        <v>0</v>
      </c>
      <c r="CJ1607">
        <v>0</v>
      </c>
      <c r="CK1607">
        <v>0</v>
      </c>
      <c r="CL1607">
        <v>0</v>
      </c>
      <c r="CM1607">
        <v>0</v>
      </c>
      <c r="CN1607" t="str">
        <f>IF($BL1607&lt;$BK1607,"refNeedCorrection","refOK")</f>
        <v>refOK</v>
      </c>
      <c r="CO1607">
        <f>IF($CN1607="refOK",$BK1607,$BL1607)</f>
        <v>0.97</v>
      </c>
      <c r="CP1607">
        <f>IF($CN1607="refOK",$BL1607,$BK1607)</f>
        <v>0.97</v>
      </c>
      <c r="CQ1607">
        <f>IF($CN1607="refOK",$BO1607,-$BO1607)</f>
        <v>0</v>
      </c>
      <c r="CR1607">
        <f t="shared" ref="CR1607:CR1638" si="2134">IF($CN1607="refOK",$BS1607,$BT1607)*IF($BP1607="Emissions positive",-1,1)</f>
        <v>-471</v>
      </c>
      <c r="CS1607">
        <f t="shared" ref="CS1607:CS1638" si="2135">IF($CN1607="refOK",$BT1607,$BS1607)*IF($BP1607="Emissions positive",-1,1)</f>
        <v>-464</v>
      </c>
      <c r="CT1607">
        <f t="shared" ref="CT1607:CT1638" si="2136">IF($CN1607="refNeedCorrection",-BX1607,BX1607)*IF($BP1607="Emissions positive",-1,1)</f>
        <v>7.0000000000000001E-3</v>
      </c>
      <c r="CU1607" t="str">
        <f t="shared" ref="CU1607:CU1638" si="2137">IFERROR(CT1607/CQ1607,"")</f>
        <v/>
      </c>
      <c r="CV1607" s="2">
        <f t="shared" ref="CV1607:CV1638" si="2138">IFERROR((CS1607-CR1607)/ABS(CR1607),"")</f>
        <v>1.4861995753715499E-2</v>
      </c>
      <c r="CW1607" s="318" t="s">
        <v>263</v>
      </c>
      <c r="CX1607" s="311" t="str">
        <f t="shared" ref="CX1607:CX1638" si="2139">IF(OR($CW1607="prd",$CW1607="std",$CW1607="cit"),"loc",IF(OR($CW1607="eur",$CW1607="reg",$CW1607="coy"),"reg",$CW1607))</f>
        <v>loc</v>
      </c>
      <c r="CY1607" s="311" t="s">
        <v>690</v>
      </c>
      <c r="DB1607">
        <v>0</v>
      </c>
      <c r="DC1607" t="str">
        <f t="shared" ref="DC1607:DC1638" si="2140">IF(DB1607=0,"0",IF(AND(DB1607&gt;=1,DB1607&lt;=30),"1-30",IF(AND(DB1607&gt;30,DB1607&lt;=70),"31-70",IF(AND(DB1607&gt;70,DB1607&lt;=100),"71-100",IF(DB1607&gt;100,"+100")))))</f>
        <v>0</v>
      </c>
      <c r="DD1607">
        <v>0</v>
      </c>
      <c r="DE1607">
        <v>0</v>
      </c>
      <c r="DF1607">
        <v>0</v>
      </c>
      <c r="DG1607">
        <v>1</v>
      </c>
      <c r="DH1607">
        <v>0</v>
      </c>
      <c r="DI1607">
        <f t="shared" ref="DI1607:DI1638" si="2141">SUM(DD1607:DG1607)</f>
        <v>1</v>
      </c>
      <c r="DJ1607" t="str">
        <f t="shared" ref="DJ1607:DJ1638" si="2142">IF(DI1607=1,INDEX($DD$7:$DG$7,MATCH(1,$DD1607:$DG1607,0)),"mixedProduct")</f>
        <v>TimberInput</v>
      </c>
      <c r="DK1607">
        <f t="shared" ref="DK1607:DK1638" si="2143">IF(DD1607=1,DK$7,0)</f>
        <v>0</v>
      </c>
      <c r="DL1607">
        <f t="shared" ref="DL1607:DL1638" si="2144">IF(DE1607=1,DL$7,0)</f>
        <v>0</v>
      </c>
      <c r="DM1607">
        <f t="shared" ref="DM1607:DM1638" si="2145">IF(DF1607=1,DM$7,0)</f>
        <v>0</v>
      </c>
      <c r="DN1607" t="str">
        <f t="shared" ref="DN1607:DN1638" si="2146">IF(DG1607=1,DN$7,0)</f>
        <v>Timber</v>
      </c>
      <c r="DO1607">
        <v>0</v>
      </c>
      <c r="DP1607">
        <v>0</v>
      </c>
      <c r="DQ1607">
        <v>0</v>
      </c>
      <c r="DR1607">
        <v>0</v>
      </c>
      <c r="DS1607">
        <v>0</v>
      </c>
      <c r="DT1607">
        <f t="shared" ref="DT1607:DT1638" si="2147">SUM(DO1607:DP1607)</f>
        <v>0</v>
      </c>
      <c r="DU1607" s="143" t="str">
        <f t="shared" ref="DU1607:DU1638" si="2148">IF(DO1607=1,"self-calculated DF",IF(DP1607=1,"external DF used","explicit C balance"))</f>
        <v>explicit C balance</v>
      </c>
      <c r="DV1607">
        <v>0</v>
      </c>
      <c r="DW1607">
        <v>0</v>
      </c>
      <c r="DX1607">
        <v>0</v>
      </c>
      <c r="DY1607">
        <v>0</v>
      </c>
      <c r="DZ1607">
        <v>1</v>
      </c>
      <c r="EA1607">
        <v>0</v>
      </c>
      <c r="EB1607">
        <v>1</v>
      </c>
      <c r="EC1607">
        <v>1</v>
      </c>
      <c r="ED1607">
        <v>0</v>
      </c>
      <c r="EE1607">
        <v>1</v>
      </c>
      <c r="EF1607">
        <v>0</v>
      </c>
      <c r="EG1607">
        <v>0</v>
      </c>
      <c r="EH1607">
        <v>0</v>
      </c>
      <c r="EI1607" s="2">
        <v>0</v>
      </c>
      <c r="EK1607" t="str">
        <f t="shared" si="2121"/>
        <v/>
      </c>
      <c r="EL1607" t="str">
        <f t="shared" si="2122"/>
        <v/>
      </c>
      <c r="EM1607" s="2" t="str">
        <f t="shared" si="2106"/>
        <v>Technology approach</v>
      </c>
      <c r="EP1607" t="b">
        <f>IF(ISNUMBER(BU1607),IF(ABS(BU1607-[1]QC_indicators!$B$2)&gt;3*[1]QC_indicators!$C$2,"C ratio",IF(ISNUMBER(BY1607),IF(ABS(BY1607-[1]QC_indicators!$B$1)&gt;3*[1]QC_indicators!$C$1,"DF","no"))),IF(ISNUMBER(BY1607),IF(ABS(BY1607-[1]QC_indicators!$B$1)&gt;3*[1]QC_indicators!$C$1,"DF","no")))</f>
        <v>0</v>
      </c>
    </row>
    <row r="1608" spans="1:151" ht="15" hidden="1" customHeight="1">
      <c r="A1608" s="1" t="s">
        <v>4292</v>
      </c>
      <c r="B1608" t="s">
        <v>4293</v>
      </c>
      <c r="C1608" t="s">
        <v>4294</v>
      </c>
      <c r="D1608" t="s">
        <v>4295</v>
      </c>
      <c r="E1608" t="s">
        <v>4296</v>
      </c>
      <c r="F1608" t="s">
        <v>4297</v>
      </c>
      <c r="G1608" t="s">
        <v>4298</v>
      </c>
      <c r="H1608" t="s">
        <v>254</v>
      </c>
      <c r="I1608">
        <v>2021</v>
      </c>
      <c r="J1608">
        <v>1</v>
      </c>
      <c r="K1608" t="s">
        <v>4299</v>
      </c>
      <c r="M1608" t="str">
        <f t="shared" si="2120"/>
        <v>Wang_2021</v>
      </c>
      <c r="N1608" s="311" t="s">
        <v>4382</v>
      </c>
      <c r="O1608" s="311" t="s">
        <v>223</v>
      </c>
      <c r="Q1608" s="311" t="s">
        <v>389</v>
      </c>
      <c r="R1608" s="312"/>
      <c r="S1608" s="318" t="s">
        <v>96</v>
      </c>
      <c r="T1608" s="311" t="s">
        <v>1182</v>
      </c>
      <c r="U1608" s="311" t="s">
        <v>4306</v>
      </c>
      <c r="V1608">
        <v>0</v>
      </c>
      <c r="W1608">
        <v>0</v>
      </c>
      <c r="X1608">
        <v>0</v>
      </c>
      <c r="Y1608">
        <v>0</v>
      </c>
      <c r="Z1608">
        <v>0</v>
      </c>
      <c r="AA1608">
        <v>0</v>
      </c>
      <c r="AB1608">
        <v>0</v>
      </c>
      <c r="AC1608">
        <v>0</v>
      </c>
      <c r="AD1608">
        <v>1</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s="141">
        <f t="shared" si="2123"/>
        <v>1</v>
      </c>
      <c r="AY1608" s="141">
        <f t="shared" si="2124"/>
        <v>1</v>
      </c>
      <c r="AZ1608">
        <f t="shared" si="2125"/>
        <v>0</v>
      </c>
      <c r="BA1608">
        <f t="shared" si="2126"/>
        <v>1</v>
      </c>
      <c r="BB1608">
        <f t="shared" si="2127"/>
        <v>0</v>
      </c>
      <c r="BC1608">
        <f t="shared" si="2128"/>
        <v>0</v>
      </c>
      <c r="BD1608">
        <f t="shared" si="2129"/>
        <v>0</v>
      </c>
      <c r="BE1608" t="str" cm="1">
        <f t="array" ref="BE1608">IF(AY1608=1,INDEX($V$7:$AL$7,MATCH(TRUE,INDEX($V1608:$AW1608&lt;&gt;0,),0)),IF(AY1608=0,INDEX($AM$7:$AW$7,MATCH(1,$AM1608:$AW1608,0)),IF(BF1608="Multiple strategies","mixed drivers",IF(BF1608="Supply chain","multiple supply","multiple silviculture"))))</f>
        <v>harvesting system</v>
      </c>
      <c r="BF1608" s="2" t="str" cm="1">
        <f t="array" ref="BF1608">IF(COUNTIF(AZ1608:BB1608,"&lt;&gt;0")=1,INDEX($V$4:$AW$4,MATCH(TRUE,INDEX($V1608:$AW1608&lt;&gt;0,),0)),IF(COUNTIF(AZ1608:BB1608,"&lt;&gt;0")=0,INDEX($AM$4:$AW$4,MATCH(1,$AM1608:$AW1608,0)),"Multiple strategies"))</f>
        <v>Supply chain</v>
      </c>
      <c r="BG1608" s="1" t="s">
        <v>321</v>
      </c>
      <c r="BH1608" s="311" t="s">
        <v>4303</v>
      </c>
      <c r="BI1608" s="311" t="s">
        <v>4304</v>
      </c>
      <c r="BJ1608" s="311" t="s">
        <v>498</v>
      </c>
      <c r="BK1608">
        <v>0.97</v>
      </c>
      <c r="BL1608">
        <v>0.97</v>
      </c>
      <c r="BN1608">
        <f t="shared" si="2130"/>
        <v>0</v>
      </c>
      <c r="BO1608">
        <f t="shared" si="2131"/>
        <v>0</v>
      </c>
      <c r="BP1608" s="311" t="s">
        <v>395</v>
      </c>
      <c r="BQ1608" s="311" t="s">
        <v>4307</v>
      </c>
      <c r="BR1608" s="311" t="s">
        <v>397</v>
      </c>
      <c r="BS1608">
        <v>465</v>
      </c>
      <c r="BT1608">
        <v>463</v>
      </c>
      <c r="BU1608" s="144">
        <f>BT1608/BS1608</f>
        <v>0.99569892473118282</v>
      </c>
      <c r="BV1608">
        <f t="shared" si="2132"/>
        <v>-2</v>
      </c>
      <c r="BX1608">
        <f t="shared" si="2133"/>
        <v>-2E-3</v>
      </c>
      <c r="BY1608" t="str">
        <f t="shared" si="2070"/>
        <v/>
      </c>
      <c r="BZ1608">
        <v>0</v>
      </c>
      <c r="CA1608">
        <v>0</v>
      </c>
      <c r="CB1608">
        <v>0</v>
      </c>
      <c r="CC1608">
        <v>0</v>
      </c>
      <c r="CD1608">
        <v>0</v>
      </c>
      <c r="CE1608">
        <v>0</v>
      </c>
      <c r="CF1608">
        <v>0</v>
      </c>
      <c r="CG1608">
        <v>0</v>
      </c>
      <c r="CH1608">
        <v>0</v>
      </c>
      <c r="CI1608">
        <v>0</v>
      </c>
      <c r="CJ1608">
        <v>0</v>
      </c>
      <c r="CK1608">
        <v>0</v>
      </c>
      <c r="CL1608">
        <v>0</v>
      </c>
      <c r="CM1608">
        <v>0</v>
      </c>
      <c r="CN1608" t="str">
        <f>IF($BL1608&lt;$BK1608,"refNeedCorrection","refOK")</f>
        <v>refOK</v>
      </c>
      <c r="CO1608">
        <f>IF($CN1608="refOK",$BK1608,$BL1608)</f>
        <v>0.97</v>
      </c>
      <c r="CP1608">
        <f>IF($CN1608="refOK",$BL1608,$BK1608)</f>
        <v>0.97</v>
      </c>
      <c r="CQ1608">
        <f>IF($CN1608="refOK",$BO1608,-$BO1608)</f>
        <v>0</v>
      </c>
      <c r="CR1608">
        <f t="shared" si="2134"/>
        <v>-465</v>
      </c>
      <c r="CS1608">
        <f t="shared" si="2135"/>
        <v>-463</v>
      </c>
      <c r="CT1608">
        <f t="shared" si="2136"/>
        <v>2E-3</v>
      </c>
      <c r="CU1608" t="str">
        <f t="shared" si="2137"/>
        <v/>
      </c>
      <c r="CV1608" s="2">
        <f t="shared" si="2138"/>
        <v>4.3010752688172043E-3</v>
      </c>
      <c r="CW1608" s="318" t="s">
        <v>263</v>
      </c>
      <c r="CX1608" s="311" t="str">
        <f t="shared" si="2139"/>
        <v>loc</v>
      </c>
      <c r="CY1608" s="311" t="s">
        <v>690</v>
      </c>
      <c r="DB1608">
        <v>0</v>
      </c>
      <c r="DC1608" t="str">
        <f t="shared" si="2140"/>
        <v>0</v>
      </c>
      <c r="DD1608">
        <v>0</v>
      </c>
      <c r="DE1608">
        <v>0</v>
      </c>
      <c r="DF1608">
        <v>0</v>
      </c>
      <c r="DG1608">
        <v>1</v>
      </c>
      <c r="DH1608">
        <v>0</v>
      </c>
      <c r="DI1608">
        <f t="shared" si="2141"/>
        <v>1</v>
      </c>
      <c r="DJ1608" t="str">
        <f t="shared" si="2142"/>
        <v>TimberInput</v>
      </c>
      <c r="DK1608">
        <f t="shared" si="2143"/>
        <v>0</v>
      </c>
      <c r="DL1608">
        <f t="shared" si="2144"/>
        <v>0</v>
      </c>
      <c r="DM1608">
        <f t="shared" si="2145"/>
        <v>0</v>
      </c>
      <c r="DN1608" t="str">
        <f t="shared" si="2146"/>
        <v>Timber</v>
      </c>
      <c r="DO1608">
        <v>0</v>
      </c>
      <c r="DP1608">
        <v>0</v>
      </c>
      <c r="DQ1608">
        <v>0</v>
      </c>
      <c r="DR1608">
        <v>0</v>
      </c>
      <c r="DS1608">
        <v>0</v>
      </c>
      <c r="DT1608">
        <f t="shared" si="2147"/>
        <v>0</v>
      </c>
      <c r="DU1608" s="143" t="str">
        <f t="shared" si="2148"/>
        <v>explicit C balance</v>
      </c>
      <c r="DV1608">
        <v>0</v>
      </c>
      <c r="DW1608">
        <v>0</v>
      </c>
      <c r="DX1608">
        <v>0</v>
      </c>
      <c r="DY1608">
        <v>0</v>
      </c>
      <c r="DZ1608">
        <v>1</v>
      </c>
      <c r="EA1608">
        <v>0</v>
      </c>
      <c r="EB1608">
        <v>1</v>
      </c>
      <c r="EC1608">
        <v>1</v>
      </c>
      <c r="ED1608">
        <v>0</v>
      </c>
      <c r="EE1608">
        <v>1</v>
      </c>
      <c r="EF1608">
        <v>0</v>
      </c>
      <c r="EG1608">
        <v>0</v>
      </c>
      <c r="EH1608">
        <v>0</v>
      </c>
      <c r="EI1608" s="2">
        <v>0</v>
      </c>
      <c r="EK1608" t="str">
        <f t="shared" si="2121"/>
        <v/>
      </c>
      <c r="EL1608" t="str">
        <f t="shared" si="2122"/>
        <v/>
      </c>
      <c r="EM1608" s="2" t="str">
        <f t="shared" si="2106"/>
        <v>Technology approach</v>
      </c>
      <c r="EP1608" t="b">
        <f>IF(ISNUMBER(BU1608),IF(ABS(BU1608-[1]QC_indicators!$B$2)&gt;3*[1]QC_indicators!$C$2,"C ratio",IF(ISNUMBER(BY1608),IF(ABS(BY1608-[1]QC_indicators!$B$1)&gt;3*[1]QC_indicators!$C$1,"DF","no"))),IF(ISNUMBER(BY1608),IF(ABS(BY1608-[1]QC_indicators!$B$1)&gt;3*[1]QC_indicators!$C$1,"DF","no")))</f>
        <v>0</v>
      </c>
    </row>
    <row r="1609" spans="1:151" ht="15" hidden="1" customHeight="1">
      <c r="A1609" s="1" t="s">
        <v>4292</v>
      </c>
      <c r="B1609" t="s">
        <v>4293</v>
      </c>
      <c r="C1609" t="s">
        <v>4294</v>
      </c>
      <c r="D1609" t="s">
        <v>4295</v>
      </c>
      <c r="E1609" t="s">
        <v>4296</v>
      </c>
      <c r="F1609" t="s">
        <v>4297</v>
      </c>
      <c r="G1609" t="s">
        <v>4298</v>
      </c>
      <c r="H1609" t="s">
        <v>254</v>
      </c>
      <c r="I1609">
        <v>2021</v>
      </c>
      <c r="J1609">
        <v>1</v>
      </c>
      <c r="K1609" t="s">
        <v>4299</v>
      </c>
      <c r="M1609" t="str">
        <f t="shared" si="2120"/>
        <v>Wang_2021</v>
      </c>
      <c r="N1609" s="311" t="s">
        <v>4382</v>
      </c>
      <c r="O1609" s="311" t="s">
        <v>223</v>
      </c>
      <c r="Q1609" s="311" t="s">
        <v>389</v>
      </c>
      <c r="R1609" s="312"/>
      <c r="S1609" s="318" t="s">
        <v>4308</v>
      </c>
      <c r="T1609" s="311" t="s">
        <v>4309</v>
      </c>
      <c r="U1609" s="311" t="s">
        <v>4310</v>
      </c>
      <c r="V1609">
        <v>0</v>
      </c>
      <c r="W1609">
        <v>0</v>
      </c>
      <c r="X1609">
        <v>0</v>
      </c>
      <c r="Y1609">
        <v>0</v>
      </c>
      <c r="Z1609">
        <v>0</v>
      </c>
      <c r="AA1609">
        <v>0</v>
      </c>
      <c r="AB1609">
        <v>0</v>
      </c>
      <c r="AC1609">
        <v>0</v>
      </c>
      <c r="AD1609">
        <v>0</v>
      </c>
      <c r="AE1609">
        <v>1</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s="141">
        <f t="shared" si="2123"/>
        <v>1</v>
      </c>
      <c r="AY1609" s="141">
        <f t="shared" si="2124"/>
        <v>1</v>
      </c>
      <c r="AZ1609">
        <f t="shared" si="2125"/>
        <v>0</v>
      </c>
      <c r="BA1609">
        <f t="shared" si="2126"/>
        <v>1</v>
      </c>
      <c r="BB1609">
        <f t="shared" si="2127"/>
        <v>0</v>
      </c>
      <c r="BC1609">
        <f t="shared" si="2128"/>
        <v>0</v>
      </c>
      <c r="BD1609">
        <f t="shared" si="2129"/>
        <v>0</v>
      </c>
      <c r="BE1609" t="str" cm="1">
        <f t="array" ref="BE1609">IF(AY1609=1,INDEX($V$7:$AL$7,MATCH(TRUE,INDEX($V1609:$AW1609&lt;&gt;0,),0)),IF(AY1609=0,INDEX($AM$7:$AW$7,MATCH(1,$AM1609:$AW1609,0)),IF(BF1609="Multiple strategies","mixed drivers",IF(BF1609="Supply chain","multiple supply","multiple silviculture"))))</f>
        <v>location of industry</v>
      </c>
      <c r="BF1609" s="2" t="str" cm="1">
        <f t="array" ref="BF1609">IF(COUNTIF(AZ1609:BB1609,"&lt;&gt;0")=1,INDEX($V$4:$AW$4,MATCH(TRUE,INDEX($V1609:$AW1609&lt;&gt;0,),0)),IF(COUNTIF(AZ1609:BB1609,"&lt;&gt;0")=0,INDEX($AM$4:$AW$4,MATCH(1,$AM1609:$AW1609,0)),"Multiple strategies"))</f>
        <v>Supply chain</v>
      </c>
      <c r="BG1609" s="1" t="s">
        <v>321</v>
      </c>
      <c r="BH1609" s="311" t="s">
        <v>4303</v>
      </c>
      <c r="BI1609" s="311" t="s">
        <v>4304</v>
      </c>
      <c r="BJ1609" s="311" t="s">
        <v>498</v>
      </c>
      <c r="BK1609">
        <v>0.97</v>
      </c>
      <c r="BL1609">
        <v>0.97</v>
      </c>
      <c r="BN1609">
        <f t="shared" si="2130"/>
        <v>0</v>
      </c>
      <c r="BO1609">
        <f t="shared" si="2131"/>
        <v>0</v>
      </c>
      <c r="BP1609" s="311" t="s">
        <v>395</v>
      </c>
      <c r="BQ1609" s="311" t="s">
        <v>4307</v>
      </c>
      <c r="BR1609" s="311" t="s">
        <v>397</v>
      </c>
      <c r="BS1609">
        <v>489</v>
      </c>
      <c r="BT1609">
        <v>456</v>
      </c>
      <c r="BU1609" s="144">
        <f>BT1609/BS1609</f>
        <v>0.93251533742331283</v>
      </c>
      <c r="BV1609">
        <f t="shared" si="2132"/>
        <v>-33</v>
      </c>
      <c r="BX1609">
        <f t="shared" si="2133"/>
        <v>-3.3000000000000002E-2</v>
      </c>
      <c r="BY1609" t="str">
        <f t="shared" si="2070"/>
        <v/>
      </c>
      <c r="BZ1609">
        <v>0</v>
      </c>
      <c r="CA1609">
        <v>0</v>
      </c>
      <c r="CB1609">
        <v>0</v>
      </c>
      <c r="CC1609">
        <v>0</v>
      </c>
      <c r="CD1609">
        <v>0</v>
      </c>
      <c r="CE1609">
        <v>0</v>
      </c>
      <c r="CF1609">
        <v>0</v>
      </c>
      <c r="CG1609">
        <v>0</v>
      </c>
      <c r="CH1609">
        <v>0</v>
      </c>
      <c r="CI1609">
        <v>0</v>
      </c>
      <c r="CJ1609">
        <v>0</v>
      </c>
      <c r="CK1609">
        <v>0</v>
      </c>
      <c r="CL1609">
        <v>0</v>
      </c>
      <c r="CM1609">
        <v>0</v>
      </c>
      <c r="CN1609" t="str">
        <f>IF($BL1609&lt;$BK1609,"refNeedCorrection","refOK")</f>
        <v>refOK</v>
      </c>
      <c r="CO1609">
        <f>IF($CN1609="refOK",$BK1609,$BL1609)</f>
        <v>0.97</v>
      </c>
      <c r="CP1609">
        <f>IF($CN1609="refOK",$BL1609,$BK1609)</f>
        <v>0.97</v>
      </c>
      <c r="CQ1609">
        <f>IF($CN1609="refOK",$BO1609,-$BO1609)</f>
        <v>0</v>
      </c>
      <c r="CR1609">
        <f t="shared" si="2134"/>
        <v>-489</v>
      </c>
      <c r="CS1609">
        <f t="shared" si="2135"/>
        <v>-456</v>
      </c>
      <c r="CT1609">
        <f t="shared" si="2136"/>
        <v>3.3000000000000002E-2</v>
      </c>
      <c r="CU1609" t="str">
        <f t="shared" si="2137"/>
        <v/>
      </c>
      <c r="CV1609" s="2">
        <f t="shared" si="2138"/>
        <v>6.7484662576687116E-2</v>
      </c>
      <c r="CW1609" s="318" t="s">
        <v>263</v>
      </c>
      <c r="CX1609" s="311" t="str">
        <f t="shared" si="2139"/>
        <v>loc</v>
      </c>
      <c r="CY1609" s="311" t="s">
        <v>690</v>
      </c>
      <c r="DB1609">
        <v>0</v>
      </c>
      <c r="DC1609" t="str">
        <f t="shared" si="2140"/>
        <v>0</v>
      </c>
      <c r="DD1609">
        <v>0</v>
      </c>
      <c r="DE1609">
        <v>0</v>
      </c>
      <c r="DF1609">
        <v>0</v>
      </c>
      <c r="DG1609">
        <v>1</v>
      </c>
      <c r="DH1609">
        <v>0</v>
      </c>
      <c r="DI1609">
        <f t="shared" si="2141"/>
        <v>1</v>
      </c>
      <c r="DJ1609" t="str">
        <f t="shared" si="2142"/>
        <v>TimberInput</v>
      </c>
      <c r="DK1609">
        <f t="shared" si="2143"/>
        <v>0</v>
      </c>
      <c r="DL1609">
        <f t="shared" si="2144"/>
        <v>0</v>
      </c>
      <c r="DM1609">
        <f t="shared" si="2145"/>
        <v>0</v>
      </c>
      <c r="DN1609" t="str">
        <f t="shared" si="2146"/>
        <v>Timber</v>
      </c>
      <c r="DO1609">
        <v>0</v>
      </c>
      <c r="DP1609">
        <v>0</v>
      </c>
      <c r="DQ1609">
        <v>0</v>
      </c>
      <c r="DR1609">
        <v>0</v>
      </c>
      <c r="DS1609">
        <v>0</v>
      </c>
      <c r="DT1609">
        <f t="shared" si="2147"/>
        <v>0</v>
      </c>
      <c r="DU1609" s="143" t="str">
        <f t="shared" si="2148"/>
        <v>explicit C balance</v>
      </c>
      <c r="DV1609">
        <v>0</v>
      </c>
      <c r="DW1609">
        <v>0</v>
      </c>
      <c r="DX1609">
        <v>0</v>
      </c>
      <c r="DY1609">
        <v>0</v>
      </c>
      <c r="DZ1609">
        <v>1</v>
      </c>
      <c r="EA1609">
        <v>0</v>
      </c>
      <c r="EB1609">
        <v>1</v>
      </c>
      <c r="EC1609">
        <v>1</v>
      </c>
      <c r="ED1609">
        <v>0</v>
      </c>
      <c r="EE1609">
        <v>1</v>
      </c>
      <c r="EF1609">
        <v>0</v>
      </c>
      <c r="EG1609">
        <v>0</v>
      </c>
      <c r="EH1609">
        <v>0</v>
      </c>
      <c r="EI1609" s="2">
        <v>0</v>
      </c>
      <c r="EK1609" t="str">
        <f t="shared" si="2121"/>
        <v/>
      </c>
      <c r="EL1609" t="str">
        <f t="shared" si="2122"/>
        <v/>
      </c>
      <c r="EM1609" s="2" t="str">
        <f t="shared" si="2106"/>
        <v>Technology approach</v>
      </c>
      <c r="EP1609" t="b">
        <f>IF(ISNUMBER(BU1609),IF(ABS(BU1609-[1]QC_indicators!$B$2)&gt;3*[1]QC_indicators!$C$2,"C ratio",IF(ISNUMBER(BY1609),IF(ABS(BY1609-[1]QC_indicators!$B$1)&gt;3*[1]QC_indicators!$C$1,"DF","no"))),IF(ISNUMBER(BY1609),IF(ABS(BY1609-[1]QC_indicators!$B$1)&gt;3*[1]QC_indicators!$C$1,"DF","no")))</f>
        <v>0</v>
      </c>
    </row>
    <row r="1610" spans="1:151" s="139" customFormat="1" hidden="1">
      <c r="A1610" s="1" t="s">
        <v>4292</v>
      </c>
      <c r="B1610" t="s">
        <v>4293</v>
      </c>
      <c r="C1610" t="s">
        <v>4294</v>
      </c>
      <c r="D1610" t="s">
        <v>4295</v>
      </c>
      <c r="E1610" t="s">
        <v>4296</v>
      </c>
      <c r="F1610" t="s">
        <v>4297</v>
      </c>
      <c r="G1610" t="s">
        <v>4298</v>
      </c>
      <c r="H1610" t="s">
        <v>254</v>
      </c>
      <c r="I1610">
        <v>2021</v>
      </c>
      <c r="J1610">
        <v>1</v>
      </c>
      <c r="K1610" t="s">
        <v>4299</v>
      </c>
      <c r="L1610"/>
      <c r="M1610" t="str">
        <f t="shared" si="2120"/>
        <v>Wang_2021</v>
      </c>
      <c r="N1610" s="311" t="s">
        <v>4382</v>
      </c>
      <c r="O1610" s="311" t="s">
        <v>223</v>
      </c>
      <c r="P1610"/>
      <c r="Q1610" s="311" t="s">
        <v>389</v>
      </c>
      <c r="R1610" s="312"/>
      <c r="S1610" s="318" t="s">
        <v>4311</v>
      </c>
      <c r="T1610" s="311" t="s">
        <v>718</v>
      </c>
      <c r="U1610" s="311" t="s">
        <v>613</v>
      </c>
      <c r="V1610">
        <v>0</v>
      </c>
      <c r="W1610">
        <v>0</v>
      </c>
      <c r="X1610">
        <v>0</v>
      </c>
      <c r="Y1610">
        <v>0</v>
      </c>
      <c r="Z1610">
        <v>0</v>
      </c>
      <c r="AA1610">
        <v>0</v>
      </c>
      <c r="AB1610">
        <v>0</v>
      </c>
      <c r="AC1610">
        <v>0</v>
      </c>
      <c r="AD1610">
        <v>0</v>
      </c>
      <c r="AE1610">
        <v>1</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s="141">
        <f t="shared" si="2123"/>
        <v>1</v>
      </c>
      <c r="AY1610" s="141">
        <f t="shared" si="2124"/>
        <v>1</v>
      </c>
      <c r="AZ1610">
        <f t="shared" si="2125"/>
        <v>0</v>
      </c>
      <c r="BA1610">
        <f t="shared" si="2126"/>
        <v>1</v>
      </c>
      <c r="BB1610">
        <f t="shared" si="2127"/>
        <v>0</v>
      </c>
      <c r="BC1610">
        <f t="shared" si="2128"/>
        <v>0</v>
      </c>
      <c r="BD1610">
        <f t="shared" si="2129"/>
        <v>0</v>
      </c>
      <c r="BE1610" t="str" cm="1">
        <f t="array" ref="BE1610">IF(AY1610=1,INDEX($V$7:$AL$7,MATCH(TRUE,INDEX($V1610:$AW1610&lt;&gt;0,),0)),IF(AY1610=0,INDEX($AM$7:$AW$7,MATCH(1,$AM1610:$AW1610,0)),IF(BF1610="Multiple strategies","mixed drivers",IF(BF1610="Supply chain","multiple supply","multiple silviculture"))))</f>
        <v>location of industry</v>
      </c>
      <c r="BF1610" s="2" t="str" cm="1">
        <f t="array" ref="BF1610">IF(COUNTIF(AZ1610:BB1610,"&lt;&gt;0")=1,INDEX($V$4:$AW$4,MATCH(TRUE,INDEX($V1610:$AW1610&lt;&gt;0,),0)),IF(COUNTIF(AZ1610:BB1610,"&lt;&gt;0")=0,INDEX($AM$4:$AW$4,MATCH(1,$AM1610:$AW1610,0)),"Multiple strategies"))</f>
        <v>Supply chain</v>
      </c>
      <c r="BG1610" s="1" t="s">
        <v>321</v>
      </c>
      <c r="BH1610" s="311" t="s">
        <v>4303</v>
      </c>
      <c r="BI1610" s="311" t="s">
        <v>4304</v>
      </c>
      <c r="BJ1610" s="311" t="s">
        <v>498</v>
      </c>
      <c r="BK1610">
        <v>0.97</v>
      </c>
      <c r="BL1610">
        <v>0.97</v>
      </c>
      <c r="BM1610"/>
      <c r="BN1610">
        <f t="shared" si="2130"/>
        <v>0</v>
      </c>
      <c r="BO1610">
        <f t="shared" si="2131"/>
        <v>0</v>
      </c>
      <c r="BP1610" s="311" t="s">
        <v>395</v>
      </c>
      <c r="BQ1610" s="311" t="s">
        <v>4307</v>
      </c>
      <c r="BR1610" s="311" t="s">
        <v>397</v>
      </c>
      <c r="BS1610">
        <v>517</v>
      </c>
      <c r="BT1610">
        <v>464</v>
      </c>
      <c r="BU1610" s="144">
        <f>BT1610/BS1610</f>
        <v>0.89748549323017413</v>
      </c>
      <c r="BV1610">
        <f t="shared" si="2132"/>
        <v>-53</v>
      </c>
      <c r="BW1610"/>
      <c r="BX1610">
        <f t="shared" si="2133"/>
        <v>-5.2999999999999999E-2</v>
      </c>
      <c r="BY1610" t="str">
        <f t="shared" si="2070"/>
        <v/>
      </c>
      <c r="BZ1610">
        <v>0</v>
      </c>
      <c r="CA1610">
        <v>0</v>
      </c>
      <c r="CB1610">
        <v>0</v>
      </c>
      <c r="CC1610">
        <v>0</v>
      </c>
      <c r="CD1610">
        <v>0</v>
      </c>
      <c r="CE1610">
        <v>0</v>
      </c>
      <c r="CF1610">
        <v>0</v>
      </c>
      <c r="CG1610">
        <v>0</v>
      </c>
      <c r="CH1610">
        <v>0</v>
      </c>
      <c r="CI1610">
        <v>0</v>
      </c>
      <c r="CJ1610">
        <v>0</v>
      </c>
      <c r="CK1610">
        <v>0</v>
      </c>
      <c r="CL1610">
        <v>0</v>
      </c>
      <c r="CM1610">
        <v>0</v>
      </c>
      <c r="CN1610" t="str">
        <f>IF($BL1610&lt;$BK1610,"refNeedCorrection","refOK")</f>
        <v>refOK</v>
      </c>
      <c r="CO1610">
        <f>IF($CN1610="refOK",$BK1610,$BL1610)</f>
        <v>0.97</v>
      </c>
      <c r="CP1610">
        <f>IF($CN1610="refOK",$BL1610,$BK1610)</f>
        <v>0.97</v>
      </c>
      <c r="CQ1610">
        <f>IF($CN1610="refOK",$BO1610,-$BO1610)</f>
        <v>0</v>
      </c>
      <c r="CR1610">
        <f t="shared" si="2134"/>
        <v>-517</v>
      </c>
      <c r="CS1610">
        <f t="shared" si="2135"/>
        <v>-464</v>
      </c>
      <c r="CT1610">
        <f t="shared" si="2136"/>
        <v>5.2999999999999999E-2</v>
      </c>
      <c r="CU1610" t="str">
        <f t="shared" si="2137"/>
        <v/>
      </c>
      <c r="CV1610" s="2">
        <f t="shared" si="2138"/>
        <v>0.10251450676982592</v>
      </c>
      <c r="CW1610" s="318" t="s">
        <v>263</v>
      </c>
      <c r="CX1610" s="311" t="str">
        <f t="shared" si="2139"/>
        <v>loc</v>
      </c>
      <c r="CY1610" s="311" t="s">
        <v>690</v>
      </c>
      <c r="CZ1610"/>
      <c r="DA1610"/>
      <c r="DB1610">
        <v>0</v>
      </c>
      <c r="DC1610" t="str">
        <f t="shared" si="2140"/>
        <v>0</v>
      </c>
      <c r="DD1610">
        <v>0</v>
      </c>
      <c r="DE1610">
        <v>0</v>
      </c>
      <c r="DF1610">
        <v>0</v>
      </c>
      <c r="DG1610">
        <v>1</v>
      </c>
      <c r="DH1610">
        <v>0</v>
      </c>
      <c r="DI1610">
        <f t="shared" si="2141"/>
        <v>1</v>
      </c>
      <c r="DJ1610" t="str">
        <f t="shared" si="2142"/>
        <v>TimberInput</v>
      </c>
      <c r="DK1610">
        <f t="shared" si="2143"/>
        <v>0</v>
      </c>
      <c r="DL1610">
        <f t="shared" si="2144"/>
        <v>0</v>
      </c>
      <c r="DM1610">
        <f t="shared" si="2145"/>
        <v>0</v>
      </c>
      <c r="DN1610" t="str">
        <f t="shared" si="2146"/>
        <v>Timber</v>
      </c>
      <c r="DO1610">
        <v>0</v>
      </c>
      <c r="DP1610">
        <v>0</v>
      </c>
      <c r="DQ1610">
        <v>0</v>
      </c>
      <c r="DR1610">
        <v>0</v>
      </c>
      <c r="DS1610">
        <v>0</v>
      </c>
      <c r="DT1610">
        <f t="shared" si="2147"/>
        <v>0</v>
      </c>
      <c r="DU1610" s="143" t="str">
        <f t="shared" si="2148"/>
        <v>explicit C balance</v>
      </c>
      <c r="DV1610">
        <v>0</v>
      </c>
      <c r="DW1610">
        <v>0</v>
      </c>
      <c r="DX1610">
        <v>0</v>
      </c>
      <c r="DY1610">
        <v>0</v>
      </c>
      <c r="DZ1610">
        <v>1</v>
      </c>
      <c r="EA1610">
        <v>0</v>
      </c>
      <c r="EB1610">
        <v>1</v>
      </c>
      <c r="EC1610">
        <v>1</v>
      </c>
      <c r="ED1610">
        <v>0</v>
      </c>
      <c r="EE1610">
        <v>1</v>
      </c>
      <c r="EF1610">
        <v>0</v>
      </c>
      <c r="EG1610">
        <v>0</v>
      </c>
      <c r="EH1610">
        <v>0</v>
      </c>
      <c r="EI1610" s="2">
        <v>0</v>
      </c>
      <c r="EJ1610" s="1"/>
      <c r="EK1610" t="str">
        <f t="shared" si="2121"/>
        <v/>
      </c>
      <c r="EL1610" t="str">
        <f t="shared" si="2122"/>
        <v/>
      </c>
      <c r="EM1610" s="2" t="str">
        <f t="shared" si="2106"/>
        <v>Technology approach</v>
      </c>
      <c r="EN1610"/>
      <c r="EO1610"/>
      <c r="EP1610" t="b">
        <f>IF(ISNUMBER(BU1610),IF(ABS(BU1610-[1]QC_indicators!$B$2)&gt;3*[1]QC_indicators!$C$2,"C ratio",IF(ISNUMBER(BY1610),IF(ABS(BY1610-[1]QC_indicators!$B$1)&gt;3*[1]QC_indicators!$C$1,"DF","no"))),IF(ISNUMBER(BY1610),IF(ABS(BY1610-[1]QC_indicators!$B$1)&gt;3*[1]QC_indicators!$C$1,"DF","no")))</f>
        <v>0</v>
      </c>
      <c r="EQ1610"/>
      <c r="ER1610"/>
      <c r="ES1610"/>
      <c r="ET1610"/>
      <c r="EU1610"/>
    </row>
    <row r="1611" spans="1:151" ht="15" hidden="1" customHeight="1">
      <c r="A1611" s="1" t="s">
        <v>4312</v>
      </c>
      <c r="B1611" t="s">
        <v>4313</v>
      </c>
      <c r="C1611" t="s">
        <v>4314</v>
      </c>
      <c r="D1611" t="s">
        <v>4315</v>
      </c>
      <c r="E1611" t="s">
        <v>4316</v>
      </c>
      <c r="F1611" t="s">
        <v>4317</v>
      </c>
      <c r="G1611" t="s">
        <v>4318</v>
      </c>
      <c r="H1611" t="s">
        <v>254</v>
      </c>
      <c r="I1611">
        <v>2011</v>
      </c>
      <c r="J1611">
        <v>7</v>
      </c>
      <c r="K1611" t="s">
        <v>4319</v>
      </c>
      <c r="M1611" t="str">
        <f t="shared" si="2120"/>
        <v>Weight_2011</v>
      </c>
      <c r="N1611" s="311" t="s">
        <v>4382</v>
      </c>
      <c r="O1611" s="145" t="s">
        <v>1153</v>
      </c>
      <c r="Q1611" s="311" t="s">
        <v>256</v>
      </c>
      <c r="R1611" s="312"/>
      <c r="S1611" s="1" t="s">
        <v>4320</v>
      </c>
      <c r="T1611" t="s">
        <v>4321</v>
      </c>
      <c r="U1611" t="s">
        <v>4322</v>
      </c>
      <c r="V1611">
        <v>0</v>
      </c>
      <c r="W1611">
        <v>0</v>
      </c>
      <c r="X1611">
        <v>0</v>
      </c>
      <c r="Y1611">
        <v>0</v>
      </c>
      <c r="Z1611">
        <v>0</v>
      </c>
      <c r="AA1611">
        <v>0</v>
      </c>
      <c r="AB1611">
        <v>0</v>
      </c>
      <c r="AC1611">
        <v>0</v>
      </c>
      <c r="AD1611">
        <v>0</v>
      </c>
      <c r="AE1611">
        <v>0</v>
      </c>
      <c r="AF1611">
        <v>0</v>
      </c>
      <c r="AG1611">
        <v>0</v>
      </c>
      <c r="AH1611">
        <v>0</v>
      </c>
      <c r="AI1611">
        <v>0</v>
      </c>
      <c r="AJ1611">
        <v>1</v>
      </c>
      <c r="AK1611">
        <v>0</v>
      </c>
      <c r="AL1611">
        <v>0</v>
      </c>
      <c r="AM1611">
        <v>0</v>
      </c>
      <c r="AN1611">
        <v>0</v>
      </c>
      <c r="AO1611">
        <v>0</v>
      </c>
      <c r="AP1611">
        <v>0</v>
      </c>
      <c r="AQ1611">
        <v>0</v>
      </c>
      <c r="AR1611">
        <v>0</v>
      </c>
      <c r="AS1611">
        <v>0</v>
      </c>
      <c r="AT1611">
        <v>0</v>
      </c>
      <c r="AU1611">
        <v>0</v>
      </c>
      <c r="AV1611">
        <v>0</v>
      </c>
      <c r="AW1611">
        <v>0</v>
      </c>
      <c r="AX1611" s="141">
        <f t="shared" si="2123"/>
        <v>1</v>
      </c>
      <c r="AY1611" s="141">
        <f t="shared" si="2124"/>
        <v>1</v>
      </c>
      <c r="AZ1611">
        <f t="shared" si="2125"/>
        <v>0</v>
      </c>
      <c r="BA1611">
        <f t="shared" si="2126"/>
        <v>0</v>
      </c>
      <c r="BB1611">
        <f t="shared" si="2127"/>
        <v>1</v>
      </c>
      <c r="BC1611">
        <f t="shared" si="2128"/>
        <v>0</v>
      </c>
      <c r="BD1611">
        <f t="shared" si="2129"/>
        <v>0</v>
      </c>
      <c r="BE1611" t="str" cm="1">
        <f t="array" ref="BE1611">IF(AY1611=1,INDEX($V$7:$AL$7,MATCH(TRUE,INDEX($V1611:$AW1611&lt;&gt;0,),0)),IF(AY1611=0,INDEX($AM$7:$AW$7,MATCH(1,$AM1611:$AW1611,0)),IF(BF1611="Multiple strategies","mixed drivers",IF(BF1611="Supply chain","multiple supply","multiple silviculture"))))</f>
        <v>efficiency improvement</v>
      </c>
      <c r="BF1611" s="2" t="str" cm="1">
        <f t="array" ref="BF1611">IF(COUNTIF(AZ1611:BB1611,"&lt;&gt;0")=1,INDEX($V$4:$AW$4,MATCH(TRUE,INDEX($V1611:$AW1611&lt;&gt;0,),0)),IF(COUNTIF(AZ1611:BB1611,"&lt;&gt;0")=0,INDEX($AM$4:$AW$4,MATCH(1,$AM1611:$AW1611,0)),"Multiple strategies"))</f>
        <v>Technology</v>
      </c>
      <c r="BM1611" s="143"/>
      <c r="BN1611" s="143">
        <f t="shared" si="2130"/>
        <v>0</v>
      </c>
      <c r="BO1611">
        <f t="shared" si="2131"/>
        <v>0</v>
      </c>
      <c r="BP1611" t="s">
        <v>232</v>
      </c>
      <c r="BR1611" t="s">
        <v>4323</v>
      </c>
      <c r="BS1611">
        <v>-505</v>
      </c>
      <c r="BT1611">
        <v>-624</v>
      </c>
      <c r="BU1611" s="144">
        <f t="shared" ref="BU1611:BU1642" si="2149">IFERROR(BT1611/BS1611,"")</f>
        <v>1.2356435643564356</v>
      </c>
      <c r="BV1611" s="144">
        <f t="shared" si="2132"/>
        <v>-119</v>
      </c>
      <c r="BW1611" s="144"/>
      <c r="BX1611">
        <f t="shared" si="2133"/>
        <v>-0.11899999999999999</v>
      </c>
      <c r="BY1611" t="str">
        <f t="shared" si="2070"/>
        <v/>
      </c>
      <c r="BZ1611">
        <v>0</v>
      </c>
      <c r="CA1611">
        <v>0</v>
      </c>
      <c r="CB1611">
        <v>0</v>
      </c>
      <c r="CC1611">
        <v>0</v>
      </c>
      <c r="CD1611">
        <v>0</v>
      </c>
      <c r="CE1611">
        <v>0</v>
      </c>
      <c r="CF1611">
        <v>0</v>
      </c>
      <c r="CG1611">
        <v>0</v>
      </c>
      <c r="CH1611">
        <v>0</v>
      </c>
      <c r="CI1611">
        <v>0</v>
      </c>
      <c r="CJ1611">
        <v>0</v>
      </c>
      <c r="CK1611">
        <v>0</v>
      </c>
      <c r="CL1611">
        <v>0</v>
      </c>
      <c r="CM1611">
        <v>0</v>
      </c>
      <c r="CN1611" t="str">
        <f t="shared" ref="CN1611:CN1628" si="2150">IF(BL1611&lt;BK1611,"refNeedCorrection","refOK")</f>
        <v>refOK</v>
      </c>
      <c r="CO1611"/>
      <c r="CP1611"/>
      <c r="CQ1611"/>
      <c r="CR1611">
        <f t="shared" si="2134"/>
        <v>-505</v>
      </c>
      <c r="CS1611">
        <f t="shared" si="2135"/>
        <v>-624</v>
      </c>
      <c r="CT1611">
        <f t="shared" si="2136"/>
        <v>-0.11899999999999999</v>
      </c>
      <c r="CU1611" t="str">
        <f t="shared" si="2137"/>
        <v/>
      </c>
      <c r="CV1611" s="2">
        <f t="shared" si="2138"/>
        <v>-0.23564356435643563</v>
      </c>
      <c r="CW1611" s="1" t="s">
        <v>263</v>
      </c>
      <c r="CX1611" s="311" t="str">
        <f t="shared" si="2139"/>
        <v>loc</v>
      </c>
      <c r="CY1611" t="s">
        <v>3493</v>
      </c>
      <c r="DB1611">
        <f t="shared" ref="DB1611:DB1642" si="2151">DA1611-CZ1611</f>
        <v>0</v>
      </c>
      <c r="DC1611" t="str">
        <f t="shared" si="2140"/>
        <v>0</v>
      </c>
      <c r="DD1611">
        <v>0</v>
      </c>
      <c r="DE1611">
        <v>0</v>
      </c>
      <c r="DF1611">
        <v>0</v>
      </c>
      <c r="DG1611">
        <v>1</v>
      </c>
      <c r="DH1611">
        <v>0</v>
      </c>
      <c r="DI1611">
        <f t="shared" si="2141"/>
        <v>1</v>
      </c>
      <c r="DJ1611" t="str">
        <f t="shared" si="2142"/>
        <v>TimberInput</v>
      </c>
      <c r="DK1611">
        <f t="shared" si="2143"/>
        <v>0</v>
      </c>
      <c r="DL1611">
        <f t="shared" si="2144"/>
        <v>0</v>
      </c>
      <c r="DM1611">
        <f t="shared" si="2145"/>
        <v>0</v>
      </c>
      <c r="DN1611" t="str">
        <f t="shared" si="2146"/>
        <v>Timber</v>
      </c>
      <c r="DO1611">
        <v>1</v>
      </c>
      <c r="DP1611">
        <v>0</v>
      </c>
      <c r="DQ1611">
        <v>0</v>
      </c>
      <c r="DR1611">
        <v>0</v>
      </c>
      <c r="DS1611">
        <v>0</v>
      </c>
      <c r="DT1611">
        <f t="shared" si="2147"/>
        <v>1</v>
      </c>
      <c r="DU1611" s="143" t="str">
        <f t="shared" si="2148"/>
        <v>self-calculated DF</v>
      </c>
      <c r="DV1611">
        <v>0</v>
      </c>
      <c r="DW1611">
        <v>0</v>
      </c>
      <c r="DX1611">
        <v>0</v>
      </c>
      <c r="DY1611">
        <v>0</v>
      </c>
      <c r="DZ1611">
        <v>1</v>
      </c>
      <c r="EA1611">
        <v>1</v>
      </c>
      <c r="EB1611">
        <v>0</v>
      </c>
      <c r="EC1611">
        <v>1</v>
      </c>
      <c r="ED1611">
        <v>0</v>
      </c>
      <c r="EE1611">
        <v>0</v>
      </c>
      <c r="EF1611">
        <v>0</v>
      </c>
      <c r="EG1611">
        <v>0</v>
      </c>
      <c r="EH1611">
        <v>0</v>
      </c>
      <c r="EI1611" s="2">
        <v>0</v>
      </c>
      <c r="EK1611" t="str">
        <f t="shared" si="2121"/>
        <v/>
      </c>
      <c r="EL1611" t="str">
        <f t="shared" si="2122"/>
        <v/>
      </c>
      <c r="EM1611" s="2" t="str">
        <f t="shared" si="2106"/>
        <v/>
      </c>
      <c r="EN1611" t="s">
        <v>4324</v>
      </c>
      <c r="EP1611" t="b">
        <f>IF(ISNUMBER(BU1611),IF(ABS(BU1611-[1]QC_indicators!$B$2)&gt;3*[1]QC_indicators!$C$2,"C ratio",IF(ISNUMBER(BY1611),IF(ABS(BY1611-[1]QC_indicators!$B$1)&gt;3*[1]QC_indicators!$C$1,"DF","no"))),IF(ISNUMBER(BY1611),IF(ABS(BY1611-[1]QC_indicators!$B$1)&gt;3*[1]QC_indicators!$C$1,"DF","no")))</f>
        <v>0</v>
      </c>
    </row>
    <row r="1612" spans="1:151" ht="15" hidden="1" customHeight="1">
      <c r="A1612" s="1" t="s">
        <v>4312</v>
      </c>
      <c r="B1612" t="s">
        <v>4313</v>
      </c>
      <c r="C1612" t="s">
        <v>4314</v>
      </c>
      <c r="D1612" t="s">
        <v>4315</v>
      </c>
      <c r="E1612" t="s">
        <v>4316</v>
      </c>
      <c r="F1612" t="s">
        <v>4317</v>
      </c>
      <c r="G1612" t="s">
        <v>4318</v>
      </c>
      <c r="H1612" t="s">
        <v>254</v>
      </c>
      <c r="I1612">
        <v>2011</v>
      </c>
      <c r="J1612">
        <v>7</v>
      </c>
      <c r="K1612" t="s">
        <v>4319</v>
      </c>
      <c r="M1612" t="str">
        <f t="shared" si="2120"/>
        <v>Weight_2011</v>
      </c>
      <c r="N1612" s="311" t="s">
        <v>4382</v>
      </c>
      <c r="O1612" s="145" t="s">
        <v>1153</v>
      </c>
      <c r="Q1612" s="311" t="s">
        <v>256</v>
      </c>
      <c r="R1612" s="312"/>
      <c r="S1612" s="1" t="s">
        <v>4320</v>
      </c>
      <c r="T1612" t="s">
        <v>4321</v>
      </c>
      <c r="U1612" t="s">
        <v>4322</v>
      </c>
      <c r="V1612">
        <v>0</v>
      </c>
      <c r="W1612">
        <v>0</v>
      </c>
      <c r="X1612">
        <v>0</v>
      </c>
      <c r="Y1612">
        <v>0</v>
      </c>
      <c r="Z1612">
        <v>0</v>
      </c>
      <c r="AA1612">
        <v>0</v>
      </c>
      <c r="AB1612">
        <v>0</v>
      </c>
      <c r="AC1612">
        <v>0</v>
      </c>
      <c r="AD1612">
        <v>0</v>
      </c>
      <c r="AE1612">
        <v>0</v>
      </c>
      <c r="AF1612">
        <v>0</v>
      </c>
      <c r="AG1612">
        <v>0</v>
      </c>
      <c r="AH1612">
        <v>0</v>
      </c>
      <c r="AI1612">
        <v>0</v>
      </c>
      <c r="AJ1612">
        <v>1</v>
      </c>
      <c r="AK1612">
        <v>0</v>
      </c>
      <c r="AL1612">
        <v>0</v>
      </c>
      <c r="AM1612">
        <v>0</v>
      </c>
      <c r="AN1612">
        <v>0</v>
      </c>
      <c r="AO1612">
        <v>0</v>
      </c>
      <c r="AP1612">
        <v>0</v>
      </c>
      <c r="AQ1612">
        <v>0</v>
      </c>
      <c r="AR1612">
        <v>0</v>
      </c>
      <c r="AS1612">
        <v>0</v>
      </c>
      <c r="AT1612">
        <v>0</v>
      </c>
      <c r="AU1612">
        <v>0</v>
      </c>
      <c r="AV1612">
        <v>0</v>
      </c>
      <c r="AW1612">
        <v>0</v>
      </c>
      <c r="AX1612" s="141">
        <f t="shared" si="2123"/>
        <v>1</v>
      </c>
      <c r="AY1612" s="141">
        <f t="shared" si="2124"/>
        <v>1</v>
      </c>
      <c r="AZ1612">
        <f t="shared" si="2125"/>
        <v>0</v>
      </c>
      <c r="BA1612">
        <f t="shared" si="2126"/>
        <v>0</v>
      </c>
      <c r="BB1612">
        <f t="shared" si="2127"/>
        <v>1</v>
      </c>
      <c r="BC1612">
        <f t="shared" si="2128"/>
        <v>0</v>
      </c>
      <c r="BD1612">
        <f t="shared" si="2129"/>
        <v>0</v>
      </c>
      <c r="BE1612" t="str" cm="1">
        <f t="array" ref="BE1612">IF(AY1612=1,INDEX($V$7:$AL$7,MATCH(TRUE,INDEX($V1612:$AW1612&lt;&gt;0,),0)),IF(AY1612=0,INDEX($AM$7:$AW$7,MATCH(1,$AM1612:$AW1612,0)),IF(BF1612="Multiple strategies","mixed drivers",IF(BF1612="Supply chain","multiple supply","multiple silviculture"))))</f>
        <v>efficiency improvement</v>
      </c>
      <c r="BF1612" s="2" t="str" cm="1">
        <f t="array" ref="BF1612">IF(COUNTIF(AZ1612:BB1612,"&lt;&gt;0")=1,INDEX($V$4:$AW$4,MATCH(TRUE,INDEX($V1612:$AW1612&lt;&gt;0,),0)),IF(COUNTIF(AZ1612:BB1612,"&lt;&gt;0")=0,INDEX($AM$4:$AW$4,MATCH(1,$AM1612:$AW1612,0)),"Multiple strategies"))</f>
        <v>Technology</v>
      </c>
      <c r="BM1612" s="143"/>
      <c r="BN1612" s="143">
        <f t="shared" si="2130"/>
        <v>0</v>
      </c>
      <c r="BO1612">
        <f t="shared" si="2131"/>
        <v>0</v>
      </c>
      <c r="BP1612" t="s">
        <v>232</v>
      </c>
      <c r="BR1612" t="s">
        <v>4323</v>
      </c>
      <c r="BS1612">
        <v>-195</v>
      </c>
      <c r="BT1612">
        <v>-314</v>
      </c>
      <c r="BU1612" s="144">
        <f t="shared" si="2149"/>
        <v>1.6102564102564103</v>
      </c>
      <c r="BV1612" s="144">
        <f t="shared" si="2132"/>
        <v>-119</v>
      </c>
      <c r="BW1612" s="144"/>
      <c r="BX1612">
        <f t="shared" si="2133"/>
        <v>-0.11899999999999999</v>
      </c>
      <c r="BY1612" t="str">
        <f t="shared" si="2070"/>
        <v/>
      </c>
      <c r="BZ1612">
        <v>0</v>
      </c>
      <c r="CA1612">
        <v>0</v>
      </c>
      <c r="CB1612">
        <v>0</v>
      </c>
      <c r="CC1612">
        <v>0</v>
      </c>
      <c r="CD1612">
        <v>0</v>
      </c>
      <c r="CE1612">
        <v>0</v>
      </c>
      <c r="CF1612">
        <v>0</v>
      </c>
      <c r="CG1612">
        <v>0</v>
      </c>
      <c r="CH1612">
        <v>0</v>
      </c>
      <c r="CI1612">
        <v>0</v>
      </c>
      <c r="CJ1612">
        <v>0</v>
      </c>
      <c r="CK1612">
        <v>0</v>
      </c>
      <c r="CL1612">
        <v>0</v>
      </c>
      <c r="CM1612">
        <v>0</v>
      </c>
      <c r="CN1612" t="str">
        <f t="shared" si="2150"/>
        <v>refOK</v>
      </c>
      <c r="CO1612"/>
      <c r="CP1612"/>
      <c r="CQ1612"/>
      <c r="CR1612">
        <f t="shared" si="2134"/>
        <v>-195</v>
      </c>
      <c r="CS1612">
        <f t="shared" si="2135"/>
        <v>-314</v>
      </c>
      <c r="CT1612">
        <f t="shared" si="2136"/>
        <v>-0.11899999999999999</v>
      </c>
      <c r="CU1612" t="str">
        <f t="shared" si="2137"/>
        <v/>
      </c>
      <c r="CV1612" s="2">
        <f t="shared" si="2138"/>
        <v>-0.61025641025641031</v>
      </c>
      <c r="CW1612" s="1" t="s">
        <v>263</v>
      </c>
      <c r="CX1612" s="311" t="str">
        <f t="shared" si="2139"/>
        <v>loc</v>
      </c>
      <c r="CY1612" t="s">
        <v>3493</v>
      </c>
      <c r="DB1612">
        <f t="shared" si="2151"/>
        <v>0</v>
      </c>
      <c r="DC1612" t="str">
        <f t="shared" si="2140"/>
        <v>0</v>
      </c>
      <c r="DD1612">
        <v>0</v>
      </c>
      <c r="DE1612">
        <v>0</v>
      </c>
      <c r="DF1612">
        <v>0</v>
      </c>
      <c r="DG1612">
        <v>1</v>
      </c>
      <c r="DH1612">
        <v>0</v>
      </c>
      <c r="DI1612">
        <f t="shared" si="2141"/>
        <v>1</v>
      </c>
      <c r="DJ1612" t="str">
        <f t="shared" si="2142"/>
        <v>TimberInput</v>
      </c>
      <c r="DK1612">
        <f t="shared" si="2143"/>
        <v>0</v>
      </c>
      <c r="DL1612">
        <f t="shared" si="2144"/>
        <v>0</v>
      </c>
      <c r="DM1612">
        <f t="shared" si="2145"/>
        <v>0</v>
      </c>
      <c r="DN1612" t="str">
        <f t="shared" si="2146"/>
        <v>Timber</v>
      </c>
      <c r="DO1612">
        <v>1</v>
      </c>
      <c r="DP1612">
        <v>0</v>
      </c>
      <c r="DQ1612">
        <v>0</v>
      </c>
      <c r="DR1612">
        <v>0</v>
      </c>
      <c r="DS1612">
        <v>0</v>
      </c>
      <c r="DT1612">
        <f t="shared" si="2147"/>
        <v>1</v>
      </c>
      <c r="DU1612" s="143" t="str">
        <f t="shared" si="2148"/>
        <v>self-calculated DF</v>
      </c>
      <c r="DV1612">
        <v>0</v>
      </c>
      <c r="DW1612">
        <v>0</v>
      </c>
      <c r="DX1612">
        <v>0</v>
      </c>
      <c r="DY1612">
        <v>0</v>
      </c>
      <c r="DZ1612">
        <v>1</v>
      </c>
      <c r="EA1612">
        <v>1</v>
      </c>
      <c r="EB1612">
        <v>0</v>
      </c>
      <c r="EC1612">
        <v>1</v>
      </c>
      <c r="ED1612">
        <v>0</v>
      </c>
      <c r="EE1612">
        <v>0</v>
      </c>
      <c r="EF1612">
        <v>0</v>
      </c>
      <c r="EG1612">
        <v>0</v>
      </c>
      <c r="EH1612">
        <v>0</v>
      </c>
      <c r="EI1612" s="2">
        <v>0</v>
      </c>
      <c r="EK1612" t="str">
        <f t="shared" si="2121"/>
        <v/>
      </c>
      <c r="EL1612" t="str">
        <f t="shared" si="2122"/>
        <v/>
      </c>
      <c r="EM1612" s="2" t="str">
        <f t="shared" si="2106"/>
        <v/>
      </c>
      <c r="EN1612" t="s">
        <v>4324</v>
      </c>
      <c r="EP1612" t="b">
        <f>IF(ISNUMBER(BU1612),IF(ABS(BU1612-[1]QC_indicators!$B$2)&gt;3*[1]QC_indicators!$C$2,"C ratio",IF(ISNUMBER(BY1612),IF(ABS(BY1612-[1]QC_indicators!$B$1)&gt;3*[1]QC_indicators!$C$1,"DF","no"))),IF(ISNUMBER(BY1612),IF(ABS(BY1612-[1]QC_indicators!$B$1)&gt;3*[1]QC_indicators!$C$1,"DF","no")))</f>
        <v>0</v>
      </c>
    </row>
    <row r="1613" spans="1:151" ht="15" hidden="1" customHeight="1">
      <c r="A1613" s="1" t="s">
        <v>4312</v>
      </c>
      <c r="B1613" t="s">
        <v>4313</v>
      </c>
      <c r="C1613" t="s">
        <v>4314</v>
      </c>
      <c r="D1613" t="s">
        <v>4315</v>
      </c>
      <c r="E1613" t="s">
        <v>4316</v>
      </c>
      <c r="F1613" t="s">
        <v>4317</v>
      </c>
      <c r="G1613" t="s">
        <v>4318</v>
      </c>
      <c r="H1613" t="s">
        <v>254</v>
      </c>
      <c r="I1613">
        <v>2011</v>
      </c>
      <c r="J1613">
        <v>7</v>
      </c>
      <c r="K1613" t="s">
        <v>4319</v>
      </c>
      <c r="M1613" t="str">
        <f t="shared" si="2120"/>
        <v>Weight_2011</v>
      </c>
      <c r="N1613" s="311" t="s">
        <v>4382</v>
      </c>
      <c r="O1613" s="145" t="s">
        <v>1153</v>
      </c>
      <c r="Q1613" s="311" t="s">
        <v>256</v>
      </c>
      <c r="R1613" s="312"/>
      <c r="S1613" s="1" t="s">
        <v>4320</v>
      </c>
      <c r="T1613" t="s">
        <v>4321</v>
      </c>
      <c r="U1613" t="s">
        <v>4322</v>
      </c>
      <c r="V1613">
        <v>0</v>
      </c>
      <c r="W1613">
        <v>0</v>
      </c>
      <c r="X1613">
        <v>0</v>
      </c>
      <c r="Y1613">
        <v>0</v>
      </c>
      <c r="Z1613">
        <v>0</v>
      </c>
      <c r="AA1613">
        <v>0</v>
      </c>
      <c r="AB1613">
        <v>0</v>
      </c>
      <c r="AC1613">
        <v>0</v>
      </c>
      <c r="AD1613">
        <v>0</v>
      </c>
      <c r="AE1613">
        <v>0</v>
      </c>
      <c r="AF1613">
        <v>0</v>
      </c>
      <c r="AG1613">
        <v>0</v>
      </c>
      <c r="AH1613">
        <v>0</v>
      </c>
      <c r="AI1613">
        <v>0</v>
      </c>
      <c r="AJ1613">
        <v>1</v>
      </c>
      <c r="AK1613">
        <v>0</v>
      </c>
      <c r="AL1613">
        <v>0</v>
      </c>
      <c r="AM1613">
        <v>0</v>
      </c>
      <c r="AN1613">
        <v>0</v>
      </c>
      <c r="AO1613">
        <v>0</v>
      </c>
      <c r="AP1613">
        <v>0</v>
      </c>
      <c r="AQ1613">
        <v>0</v>
      </c>
      <c r="AR1613">
        <v>0</v>
      </c>
      <c r="AS1613">
        <v>0</v>
      </c>
      <c r="AT1613">
        <v>0</v>
      </c>
      <c r="AU1613">
        <v>0</v>
      </c>
      <c r="AV1613">
        <v>0</v>
      </c>
      <c r="AW1613">
        <v>0</v>
      </c>
      <c r="AX1613" s="141">
        <f t="shared" si="2123"/>
        <v>1</v>
      </c>
      <c r="AY1613" s="141">
        <f t="shared" si="2124"/>
        <v>1</v>
      </c>
      <c r="AZ1613">
        <f t="shared" si="2125"/>
        <v>0</v>
      </c>
      <c r="BA1613">
        <f t="shared" si="2126"/>
        <v>0</v>
      </c>
      <c r="BB1613">
        <f t="shared" si="2127"/>
        <v>1</v>
      </c>
      <c r="BC1613">
        <f t="shared" si="2128"/>
        <v>0</v>
      </c>
      <c r="BD1613">
        <f t="shared" si="2129"/>
        <v>0</v>
      </c>
      <c r="BE1613" t="str" cm="1">
        <f t="array" ref="BE1613">IF(AY1613=1,INDEX($V$7:$AL$7,MATCH(TRUE,INDEX($V1613:$AW1613&lt;&gt;0,),0)),IF(AY1613=0,INDEX($AM$7:$AW$7,MATCH(1,$AM1613:$AW1613,0)),IF(BF1613="Multiple strategies","mixed drivers",IF(BF1613="Supply chain","multiple supply","multiple silviculture"))))</f>
        <v>efficiency improvement</v>
      </c>
      <c r="BF1613" s="2" t="str" cm="1">
        <f t="array" ref="BF1613">IF(COUNTIF(AZ1613:BB1613,"&lt;&gt;0")=1,INDEX($V$4:$AW$4,MATCH(TRUE,INDEX($V1613:$AW1613&lt;&gt;0,),0)),IF(COUNTIF(AZ1613:BB1613,"&lt;&gt;0")=0,INDEX($AM$4:$AW$4,MATCH(1,$AM1613:$AW1613,0)),"Multiple strategies"))</f>
        <v>Technology</v>
      </c>
      <c r="BM1613" s="143"/>
      <c r="BN1613" s="143">
        <f t="shared" si="2130"/>
        <v>0</v>
      </c>
      <c r="BO1613">
        <f t="shared" si="2131"/>
        <v>0</v>
      </c>
      <c r="BP1613" t="s">
        <v>232</v>
      </c>
      <c r="BR1613" t="s">
        <v>4323</v>
      </c>
      <c r="BS1613">
        <v>-738</v>
      </c>
      <c r="BT1613">
        <v>-620</v>
      </c>
      <c r="BU1613" s="144">
        <f t="shared" si="2149"/>
        <v>0.84010840108401086</v>
      </c>
      <c r="BV1613" s="144">
        <f t="shared" si="2132"/>
        <v>118</v>
      </c>
      <c r="BW1613" s="144"/>
      <c r="BX1613">
        <f t="shared" si="2133"/>
        <v>0.11799999999999999</v>
      </c>
      <c r="BY1613" t="str">
        <f t="shared" si="2070"/>
        <v/>
      </c>
      <c r="BZ1613">
        <v>0</v>
      </c>
      <c r="CA1613">
        <v>0</v>
      </c>
      <c r="CB1613">
        <v>0</v>
      </c>
      <c r="CC1613">
        <v>0</v>
      </c>
      <c r="CD1613">
        <v>0</v>
      </c>
      <c r="CE1613">
        <v>0</v>
      </c>
      <c r="CF1613">
        <v>0</v>
      </c>
      <c r="CG1613">
        <v>0</v>
      </c>
      <c r="CH1613">
        <v>0</v>
      </c>
      <c r="CI1613">
        <v>0</v>
      </c>
      <c r="CJ1613">
        <v>0</v>
      </c>
      <c r="CK1613">
        <v>0</v>
      </c>
      <c r="CL1613">
        <v>0</v>
      </c>
      <c r="CM1613">
        <v>0</v>
      </c>
      <c r="CN1613" t="str">
        <f t="shared" si="2150"/>
        <v>refOK</v>
      </c>
      <c r="CO1613"/>
      <c r="CP1613"/>
      <c r="CQ1613"/>
      <c r="CR1613">
        <f t="shared" si="2134"/>
        <v>-738</v>
      </c>
      <c r="CS1613">
        <f t="shared" si="2135"/>
        <v>-620</v>
      </c>
      <c r="CT1613">
        <f t="shared" si="2136"/>
        <v>0.11799999999999999</v>
      </c>
      <c r="CU1613" t="str">
        <f t="shared" si="2137"/>
        <v/>
      </c>
      <c r="CV1613" s="2">
        <f t="shared" si="2138"/>
        <v>0.15989159891598917</v>
      </c>
      <c r="CW1613" s="1" t="s">
        <v>263</v>
      </c>
      <c r="CX1613" s="311" t="str">
        <f t="shared" si="2139"/>
        <v>loc</v>
      </c>
      <c r="CY1613" t="s">
        <v>3493</v>
      </c>
      <c r="DB1613">
        <f t="shared" si="2151"/>
        <v>0</v>
      </c>
      <c r="DC1613" t="str">
        <f t="shared" si="2140"/>
        <v>0</v>
      </c>
      <c r="DD1613">
        <v>0</v>
      </c>
      <c r="DE1613">
        <v>0</v>
      </c>
      <c r="DF1613">
        <v>0</v>
      </c>
      <c r="DG1613">
        <v>1</v>
      </c>
      <c r="DH1613">
        <v>0</v>
      </c>
      <c r="DI1613">
        <f t="shared" si="2141"/>
        <v>1</v>
      </c>
      <c r="DJ1613" t="str">
        <f t="shared" si="2142"/>
        <v>TimberInput</v>
      </c>
      <c r="DK1613">
        <f t="shared" si="2143"/>
        <v>0</v>
      </c>
      <c r="DL1613">
        <f t="shared" si="2144"/>
        <v>0</v>
      </c>
      <c r="DM1613">
        <f t="shared" si="2145"/>
        <v>0</v>
      </c>
      <c r="DN1613" t="str">
        <f t="shared" si="2146"/>
        <v>Timber</v>
      </c>
      <c r="DO1613">
        <v>1</v>
      </c>
      <c r="DP1613">
        <v>0</v>
      </c>
      <c r="DQ1613">
        <v>0</v>
      </c>
      <c r="DR1613">
        <v>0</v>
      </c>
      <c r="DS1613">
        <v>0</v>
      </c>
      <c r="DT1613">
        <f t="shared" si="2147"/>
        <v>1</v>
      </c>
      <c r="DU1613" s="143" t="str">
        <f t="shared" si="2148"/>
        <v>self-calculated DF</v>
      </c>
      <c r="DV1613">
        <v>0</v>
      </c>
      <c r="DW1613">
        <v>0</v>
      </c>
      <c r="DX1613">
        <v>1</v>
      </c>
      <c r="DY1613">
        <v>0</v>
      </c>
      <c r="DZ1613">
        <v>1</v>
      </c>
      <c r="EA1613">
        <v>1</v>
      </c>
      <c r="EB1613">
        <v>1</v>
      </c>
      <c r="EC1613">
        <v>1</v>
      </c>
      <c r="ED1613">
        <v>0</v>
      </c>
      <c r="EE1613">
        <v>0</v>
      </c>
      <c r="EF1613">
        <v>0</v>
      </c>
      <c r="EG1613">
        <v>0</v>
      </c>
      <c r="EH1613">
        <v>0</v>
      </c>
      <c r="EI1613" s="2">
        <v>0</v>
      </c>
      <c r="EK1613" t="str">
        <f t="shared" si="2121"/>
        <v/>
      </c>
      <c r="EL1613" t="str">
        <f t="shared" si="2122"/>
        <v/>
      </c>
      <c r="EM1613" s="2" t="str">
        <f t="shared" si="2106"/>
        <v/>
      </c>
      <c r="EN1613" t="s">
        <v>4324</v>
      </c>
      <c r="EP1613" t="b">
        <f>IF(ISNUMBER(BU1613),IF(ABS(BU1613-[1]QC_indicators!$B$2)&gt;3*[1]QC_indicators!$C$2,"C ratio",IF(ISNUMBER(BY1613),IF(ABS(BY1613-[1]QC_indicators!$B$1)&gt;3*[1]QC_indicators!$C$1,"DF","no"))),IF(ISNUMBER(BY1613),IF(ABS(BY1613-[1]QC_indicators!$B$1)&gt;3*[1]QC_indicators!$C$1,"DF","no")))</f>
        <v>0</v>
      </c>
    </row>
    <row r="1614" spans="1:151" ht="15" hidden="1" customHeight="1">
      <c r="A1614" s="1" t="s">
        <v>4312</v>
      </c>
      <c r="B1614" t="s">
        <v>4313</v>
      </c>
      <c r="C1614" t="s">
        <v>4314</v>
      </c>
      <c r="D1614" t="s">
        <v>4315</v>
      </c>
      <c r="E1614" t="s">
        <v>4316</v>
      </c>
      <c r="F1614" t="s">
        <v>4317</v>
      </c>
      <c r="G1614" t="s">
        <v>4318</v>
      </c>
      <c r="H1614" t="s">
        <v>254</v>
      </c>
      <c r="I1614">
        <v>2011</v>
      </c>
      <c r="J1614">
        <v>7</v>
      </c>
      <c r="K1614" t="s">
        <v>4319</v>
      </c>
      <c r="M1614" t="str">
        <f t="shared" si="2120"/>
        <v>Weight_2011</v>
      </c>
      <c r="N1614" s="311" t="s">
        <v>4382</v>
      </c>
      <c r="O1614" s="145" t="s">
        <v>1153</v>
      </c>
      <c r="Q1614" s="311" t="s">
        <v>256</v>
      </c>
      <c r="R1614" s="312"/>
      <c r="S1614" s="1" t="s">
        <v>4325</v>
      </c>
      <c r="T1614" t="s">
        <v>4326</v>
      </c>
      <c r="U1614" t="s">
        <v>4327</v>
      </c>
      <c r="V1614">
        <v>0</v>
      </c>
      <c r="W1614">
        <v>0</v>
      </c>
      <c r="X1614">
        <v>0</v>
      </c>
      <c r="Y1614">
        <v>0</v>
      </c>
      <c r="Z1614">
        <v>0</v>
      </c>
      <c r="AA1614">
        <v>0</v>
      </c>
      <c r="AB1614">
        <v>0</v>
      </c>
      <c r="AC1614">
        <v>0</v>
      </c>
      <c r="AD1614">
        <v>0</v>
      </c>
      <c r="AE1614">
        <v>0</v>
      </c>
      <c r="AF1614">
        <v>0</v>
      </c>
      <c r="AG1614">
        <v>0</v>
      </c>
      <c r="AH1614">
        <v>1</v>
      </c>
      <c r="AI1614">
        <v>0</v>
      </c>
      <c r="AJ1614">
        <v>0</v>
      </c>
      <c r="AK1614">
        <v>0</v>
      </c>
      <c r="AL1614">
        <v>0</v>
      </c>
      <c r="AM1614">
        <v>0</v>
      </c>
      <c r="AN1614">
        <v>0</v>
      </c>
      <c r="AO1614">
        <v>0</v>
      </c>
      <c r="AP1614">
        <v>0</v>
      </c>
      <c r="AQ1614">
        <v>0</v>
      </c>
      <c r="AR1614">
        <v>0</v>
      </c>
      <c r="AS1614">
        <v>0</v>
      </c>
      <c r="AT1614">
        <v>0</v>
      </c>
      <c r="AU1614">
        <v>0</v>
      </c>
      <c r="AV1614">
        <v>0</v>
      </c>
      <c r="AW1614">
        <v>0</v>
      </c>
      <c r="AX1614" s="141">
        <f t="shared" si="2123"/>
        <v>1</v>
      </c>
      <c r="AY1614" s="141">
        <f t="shared" si="2124"/>
        <v>1</v>
      </c>
      <c r="AZ1614">
        <f t="shared" si="2125"/>
        <v>0</v>
      </c>
      <c r="BA1614">
        <f t="shared" si="2126"/>
        <v>1</v>
      </c>
      <c r="BB1614">
        <f t="shared" si="2127"/>
        <v>0</v>
      </c>
      <c r="BC1614">
        <f t="shared" si="2128"/>
        <v>0</v>
      </c>
      <c r="BD1614">
        <f t="shared" si="2129"/>
        <v>0</v>
      </c>
      <c r="BE1614" t="str" cm="1">
        <f t="array" ref="BE1614">IF(AY1614=1,INDEX($V$7:$AL$7,MATCH(TRUE,INDEX($V1614:$AW1614&lt;&gt;0,),0)),IF(AY1614=0,INDEX($AM$7:$AW$7,MATCH(1,$AM1614:$AW1614,0)),IF(BF1614="Multiple strategies","mixed drivers",IF(BF1614="Supply chain","multiple supply","multiple silviculture"))))</f>
        <v xml:space="preserve">end of life disposal </v>
      </c>
      <c r="BF1614" s="2" t="str" cm="1">
        <f t="array" ref="BF1614">IF(COUNTIF(AZ1614:BB1614,"&lt;&gt;0")=1,INDEX($V$4:$AW$4,MATCH(TRUE,INDEX($V1614:$AW1614&lt;&gt;0,),0)),IF(COUNTIF(AZ1614:BB1614,"&lt;&gt;0")=0,INDEX($AM$4:$AW$4,MATCH(1,$AM1614:$AW1614,0)),"Multiple strategies"))</f>
        <v>Supply chain</v>
      </c>
      <c r="BM1614" s="143"/>
      <c r="BN1614" s="143">
        <f t="shared" si="2130"/>
        <v>0</v>
      </c>
      <c r="BO1614">
        <f t="shared" si="2131"/>
        <v>0</v>
      </c>
      <c r="BP1614" t="s">
        <v>232</v>
      </c>
      <c r="BR1614" t="s">
        <v>4323</v>
      </c>
      <c r="BS1614">
        <v>-26</v>
      </c>
      <c r="BT1614">
        <v>711</v>
      </c>
      <c r="BU1614" s="144">
        <f t="shared" si="2149"/>
        <v>-27.346153846153847</v>
      </c>
      <c r="BV1614" s="144">
        <f t="shared" si="2132"/>
        <v>737</v>
      </c>
      <c r="BW1614" s="144"/>
      <c r="BX1614">
        <f t="shared" si="2133"/>
        <v>0.73699999999999999</v>
      </c>
      <c r="BY1614" t="str">
        <f t="shared" si="2070"/>
        <v/>
      </c>
      <c r="BZ1614">
        <v>0</v>
      </c>
      <c r="CA1614">
        <v>0</v>
      </c>
      <c r="CB1614">
        <v>0</v>
      </c>
      <c r="CC1614">
        <v>0</v>
      </c>
      <c r="CD1614">
        <v>0</v>
      </c>
      <c r="CE1614">
        <v>0</v>
      </c>
      <c r="CF1614">
        <v>0</v>
      </c>
      <c r="CG1614">
        <v>0</v>
      </c>
      <c r="CH1614">
        <v>0</v>
      </c>
      <c r="CI1614">
        <v>0</v>
      </c>
      <c r="CJ1614">
        <v>0</v>
      </c>
      <c r="CK1614">
        <v>0</v>
      </c>
      <c r="CL1614">
        <v>0</v>
      </c>
      <c r="CM1614">
        <v>0</v>
      </c>
      <c r="CN1614" t="str">
        <f t="shared" si="2150"/>
        <v>refOK</v>
      </c>
      <c r="CO1614"/>
      <c r="CP1614"/>
      <c r="CQ1614">
        <f>IF($CN1614="refOK",$BO1614,-$BO1614)</f>
        <v>0</v>
      </c>
      <c r="CR1614">
        <f t="shared" si="2134"/>
        <v>-26</v>
      </c>
      <c r="CS1614">
        <f t="shared" si="2135"/>
        <v>711</v>
      </c>
      <c r="CT1614">
        <f t="shared" si="2136"/>
        <v>0.73699999999999999</v>
      </c>
      <c r="CU1614" t="str">
        <f t="shared" si="2137"/>
        <v/>
      </c>
      <c r="CV1614" s="2">
        <f t="shared" si="2138"/>
        <v>28.346153846153847</v>
      </c>
      <c r="CW1614" s="1" t="s">
        <v>263</v>
      </c>
      <c r="CX1614" s="311" t="str">
        <f t="shared" si="2139"/>
        <v>loc</v>
      </c>
      <c r="CY1614" t="s">
        <v>3493</v>
      </c>
      <c r="DB1614">
        <f t="shared" si="2151"/>
        <v>0</v>
      </c>
      <c r="DC1614" t="str">
        <f t="shared" si="2140"/>
        <v>0</v>
      </c>
      <c r="DD1614">
        <v>0</v>
      </c>
      <c r="DE1614">
        <v>0</v>
      </c>
      <c r="DF1614">
        <v>0</v>
      </c>
      <c r="DG1614">
        <v>1</v>
      </c>
      <c r="DH1614">
        <v>0</v>
      </c>
      <c r="DI1614">
        <f t="shared" si="2141"/>
        <v>1</v>
      </c>
      <c r="DJ1614" t="str">
        <f t="shared" si="2142"/>
        <v>TimberInput</v>
      </c>
      <c r="DK1614">
        <f t="shared" si="2143"/>
        <v>0</v>
      </c>
      <c r="DL1614">
        <f t="shared" si="2144"/>
        <v>0</v>
      </c>
      <c r="DM1614">
        <f t="shared" si="2145"/>
        <v>0</v>
      </c>
      <c r="DN1614" t="str">
        <f t="shared" si="2146"/>
        <v>Timber</v>
      </c>
      <c r="DO1614">
        <v>1</v>
      </c>
      <c r="DP1614">
        <v>0</v>
      </c>
      <c r="DQ1614">
        <v>0</v>
      </c>
      <c r="DR1614">
        <v>0</v>
      </c>
      <c r="DS1614">
        <v>0</v>
      </c>
      <c r="DT1614">
        <f t="shared" si="2147"/>
        <v>1</v>
      </c>
      <c r="DU1614" s="143" t="str">
        <f t="shared" si="2148"/>
        <v>self-calculated DF</v>
      </c>
      <c r="DV1614">
        <v>0</v>
      </c>
      <c r="DW1614">
        <v>0</v>
      </c>
      <c r="DX1614">
        <v>1</v>
      </c>
      <c r="DY1614">
        <v>0</v>
      </c>
      <c r="DZ1614">
        <v>1</v>
      </c>
      <c r="EA1614">
        <v>1</v>
      </c>
      <c r="EB1614">
        <v>1</v>
      </c>
      <c r="EC1614">
        <v>1</v>
      </c>
      <c r="ED1614">
        <v>0</v>
      </c>
      <c r="EE1614">
        <v>0</v>
      </c>
      <c r="EF1614">
        <v>0</v>
      </c>
      <c r="EG1614">
        <v>0</v>
      </c>
      <c r="EH1614">
        <v>0</v>
      </c>
      <c r="EI1614" s="2">
        <v>0</v>
      </c>
      <c r="EK1614" t="str">
        <f t="shared" si="2121"/>
        <v/>
      </c>
      <c r="EL1614" t="str">
        <f t="shared" si="2122"/>
        <v/>
      </c>
      <c r="EM1614" s="2" t="str">
        <f t="shared" si="2106"/>
        <v/>
      </c>
      <c r="EN1614" t="s">
        <v>4324</v>
      </c>
      <c r="EP1614" t="b">
        <f>IF(ISNUMBER(BU1614),IF(ABS(BU1614-[1]QC_indicators!$B$2)&gt;3*[1]QC_indicators!$C$2,"C ratio",IF(ISNUMBER(BY1614),IF(ABS(BY1614-[1]QC_indicators!$B$1)&gt;3*[1]QC_indicators!$C$1,"DF","no"))),IF(ISNUMBER(BY1614),IF(ABS(BY1614-[1]QC_indicators!$B$1)&gt;3*[1]QC_indicators!$C$1,"DF","no")))</f>
        <v>0</v>
      </c>
      <c r="EQ1614" s="149" t="s">
        <v>4328</v>
      </c>
    </row>
    <row r="1615" spans="1:151" ht="15" hidden="1" customHeight="1">
      <c r="A1615" s="1" t="s">
        <v>4312</v>
      </c>
      <c r="B1615" t="s">
        <v>4313</v>
      </c>
      <c r="C1615" t="s">
        <v>4314</v>
      </c>
      <c r="D1615" t="s">
        <v>4315</v>
      </c>
      <c r="E1615" t="s">
        <v>4316</v>
      </c>
      <c r="F1615" t="s">
        <v>4317</v>
      </c>
      <c r="G1615" t="s">
        <v>4318</v>
      </c>
      <c r="H1615" t="s">
        <v>254</v>
      </c>
      <c r="I1615">
        <v>2011</v>
      </c>
      <c r="J1615">
        <v>7</v>
      </c>
      <c r="K1615" t="s">
        <v>4319</v>
      </c>
      <c r="M1615" t="str">
        <f t="shared" si="2120"/>
        <v>Weight_2011</v>
      </c>
      <c r="N1615" s="311" t="s">
        <v>4382</v>
      </c>
      <c r="O1615" s="145" t="s">
        <v>1153</v>
      </c>
      <c r="Q1615" s="311" t="s">
        <v>256</v>
      </c>
      <c r="R1615" s="312"/>
      <c r="S1615" s="1" t="s">
        <v>4325</v>
      </c>
      <c r="T1615" t="s">
        <v>4326</v>
      </c>
      <c r="U1615" t="s">
        <v>4327</v>
      </c>
      <c r="V1615">
        <v>0</v>
      </c>
      <c r="W1615">
        <v>0</v>
      </c>
      <c r="X1615">
        <v>0</v>
      </c>
      <c r="Y1615">
        <v>0</v>
      </c>
      <c r="Z1615">
        <v>0</v>
      </c>
      <c r="AA1615">
        <v>0</v>
      </c>
      <c r="AB1615">
        <v>0</v>
      </c>
      <c r="AC1615">
        <v>0</v>
      </c>
      <c r="AD1615">
        <v>0</v>
      </c>
      <c r="AE1615">
        <v>0</v>
      </c>
      <c r="AF1615">
        <v>0</v>
      </c>
      <c r="AG1615">
        <v>0</v>
      </c>
      <c r="AH1615">
        <v>1</v>
      </c>
      <c r="AI1615">
        <v>0</v>
      </c>
      <c r="AJ1615">
        <v>0</v>
      </c>
      <c r="AK1615">
        <v>0</v>
      </c>
      <c r="AL1615">
        <v>0</v>
      </c>
      <c r="AM1615">
        <v>0</v>
      </c>
      <c r="AN1615">
        <v>0</v>
      </c>
      <c r="AO1615">
        <v>0</v>
      </c>
      <c r="AP1615">
        <v>0</v>
      </c>
      <c r="AQ1615">
        <v>0</v>
      </c>
      <c r="AR1615">
        <v>0</v>
      </c>
      <c r="AS1615">
        <v>0</v>
      </c>
      <c r="AT1615">
        <v>0</v>
      </c>
      <c r="AU1615">
        <v>0</v>
      </c>
      <c r="AV1615">
        <v>0</v>
      </c>
      <c r="AW1615">
        <v>0</v>
      </c>
      <c r="AX1615" s="141">
        <f t="shared" si="2123"/>
        <v>1</v>
      </c>
      <c r="AY1615" s="141">
        <f t="shared" si="2124"/>
        <v>1</v>
      </c>
      <c r="AZ1615">
        <f t="shared" si="2125"/>
        <v>0</v>
      </c>
      <c r="BA1615">
        <f t="shared" si="2126"/>
        <v>1</v>
      </c>
      <c r="BB1615">
        <f t="shared" si="2127"/>
        <v>0</v>
      </c>
      <c r="BC1615">
        <f t="shared" si="2128"/>
        <v>0</v>
      </c>
      <c r="BD1615">
        <f t="shared" si="2129"/>
        <v>0</v>
      </c>
      <c r="BE1615" t="str" cm="1">
        <f t="array" ref="BE1615">IF(AY1615=1,INDEX($V$7:$AL$7,MATCH(TRUE,INDEX($V1615:$AW1615&lt;&gt;0,),0)),IF(AY1615=0,INDEX($AM$7:$AW$7,MATCH(1,$AM1615:$AW1615,0)),IF(BF1615="Multiple strategies","mixed drivers",IF(BF1615="Supply chain","multiple supply","multiple silviculture"))))</f>
        <v xml:space="preserve">end of life disposal </v>
      </c>
      <c r="BF1615" s="2" t="str" cm="1">
        <f t="array" ref="BF1615">IF(COUNTIF(AZ1615:BB1615,"&lt;&gt;0")=1,INDEX($V$4:$AW$4,MATCH(TRUE,INDEX($V1615:$AW1615&lt;&gt;0,),0)),IF(COUNTIF(AZ1615:BB1615,"&lt;&gt;0")=0,INDEX($AM$4:$AW$4,MATCH(1,$AM1615:$AW1615,0)),"Multiple strategies"))</f>
        <v>Supply chain</v>
      </c>
      <c r="BM1615" s="143"/>
      <c r="BN1615" s="143">
        <f t="shared" si="2130"/>
        <v>0</v>
      </c>
      <c r="BO1615">
        <f t="shared" si="2131"/>
        <v>0</v>
      </c>
      <c r="BP1615" t="s">
        <v>232</v>
      </c>
      <c r="BR1615" t="s">
        <v>4323</v>
      </c>
      <c r="BS1615">
        <v>-1076</v>
      </c>
      <c r="BT1615">
        <v>-339</v>
      </c>
      <c r="BU1615" s="144">
        <f t="shared" si="2149"/>
        <v>0.31505576208178437</v>
      </c>
      <c r="BV1615" s="144">
        <f t="shared" si="2132"/>
        <v>737</v>
      </c>
      <c r="BW1615" s="144"/>
      <c r="BX1615">
        <f t="shared" si="2133"/>
        <v>0.73699999999999999</v>
      </c>
      <c r="BY1615" t="str">
        <f t="shared" si="2070"/>
        <v/>
      </c>
      <c r="BZ1615">
        <v>0</v>
      </c>
      <c r="CA1615">
        <v>0</v>
      </c>
      <c r="CB1615">
        <v>0</v>
      </c>
      <c r="CC1615">
        <v>0</v>
      </c>
      <c r="CD1615">
        <v>0</v>
      </c>
      <c r="CE1615">
        <v>0</v>
      </c>
      <c r="CF1615">
        <v>0</v>
      </c>
      <c r="CG1615">
        <v>0</v>
      </c>
      <c r="CH1615">
        <v>0</v>
      </c>
      <c r="CI1615">
        <v>0</v>
      </c>
      <c r="CJ1615">
        <v>0</v>
      </c>
      <c r="CK1615">
        <v>0</v>
      </c>
      <c r="CL1615">
        <v>0</v>
      </c>
      <c r="CM1615">
        <v>0</v>
      </c>
      <c r="CN1615" t="str">
        <f t="shared" si="2150"/>
        <v>refOK</v>
      </c>
      <c r="CO1615"/>
      <c r="CP1615"/>
      <c r="CQ1615"/>
      <c r="CR1615">
        <f t="shared" si="2134"/>
        <v>-1076</v>
      </c>
      <c r="CS1615">
        <f t="shared" si="2135"/>
        <v>-339</v>
      </c>
      <c r="CT1615">
        <f t="shared" si="2136"/>
        <v>0.73699999999999999</v>
      </c>
      <c r="CU1615" t="str">
        <f t="shared" si="2137"/>
        <v/>
      </c>
      <c r="CV1615" s="2">
        <f t="shared" si="2138"/>
        <v>0.68494423791821557</v>
      </c>
      <c r="CW1615" s="1" t="s">
        <v>263</v>
      </c>
      <c r="CX1615" s="311" t="str">
        <f t="shared" si="2139"/>
        <v>loc</v>
      </c>
      <c r="CY1615" t="s">
        <v>3493</v>
      </c>
      <c r="DB1615">
        <f t="shared" si="2151"/>
        <v>0</v>
      </c>
      <c r="DC1615" t="str">
        <f t="shared" si="2140"/>
        <v>0</v>
      </c>
      <c r="DD1615">
        <v>0</v>
      </c>
      <c r="DE1615">
        <v>0</v>
      </c>
      <c r="DF1615">
        <v>0</v>
      </c>
      <c r="DG1615">
        <v>1</v>
      </c>
      <c r="DH1615">
        <v>0</v>
      </c>
      <c r="DI1615">
        <f t="shared" si="2141"/>
        <v>1</v>
      </c>
      <c r="DJ1615" t="str">
        <f t="shared" si="2142"/>
        <v>TimberInput</v>
      </c>
      <c r="DK1615">
        <f t="shared" si="2143"/>
        <v>0</v>
      </c>
      <c r="DL1615">
        <f t="shared" si="2144"/>
        <v>0</v>
      </c>
      <c r="DM1615">
        <f t="shared" si="2145"/>
        <v>0</v>
      </c>
      <c r="DN1615" t="str">
        <f t="shared" si="2146"/>
        <v>Timber</v>
      </c>
      <c r="DO1615">
        <v>1</v>
      </c>
      <c r="DP1615">
        <v>0</v>
      </c>
      <c r="DQ1615">
        <v>0</v>
      </c>
      <c r="DR1615">
        <v>0</v>
      </c>
      <c r="DS1615">
        <v>0</v>
      </c>
      <c r="DT1615">
        <f t="shared" si="2147"/>
        <v>1</v>
      </c>
      <c r="DU1615" s="143" t="str">
        <f t="shared" si="2148"/>
        <v>self-calculated DF</v>
      </c>
      <c r="DV1615">
        <v>0</v>
      </c>
      <c r="DW1615">
        <v>0</v>
      </c>
      <c r="DX1615">
        <v>0</v>
      </c>
      <c r="DY1615">
        <v>0</v>
      </c>
      <c r="DZ1615">
        <v>1</v>
      </c>
      <c r="EA1615">
        <v>1</v>
      </c>
      <c r="EB1615">
        <v>0</v>
      </c>
      <c r="EC1615">
        <v>0</v>
      </c>
      <c r="ED1615">
        <v>0</v>
      </c>
      <c r="EE1615">
        <v>0</v>
      </c>
      <c r="EF1615">
        <v>0</v>
      </c>
      <c r="EG1615">
        <v>0</v>
      </c>
      <c r="EH1615">
        <v>0</v>
      </c>
      <c r="EI1615" s="2">
        <v>0</v>
      </c>
      <c r="EK1615" t="str">
        <f t="shared" si="2121"/>
        <v/>
      </c>
      <c r="EL1615" t="str">
        <f t="shared" si="2122"/>
        <v/>
      </c>
      <c r="EM1615" s="2" t="str">
        <f t="shared" si="2106"/>
        <v/>
      </c>
      <c r="EN1615" t="s">
        <v>4324</v>
      </c>
      <c r="EP1615" t="b">
        <f>IF(ISNUMBER(BU1615),IF(ABS(BU1615-[1]QC_indicators!$B$2)&gt;3*[1]QC_indicators!$C$2,"C ratio",IF(ISNUMBER(BY1615),IF(ABS(BY1615-[1]QC_indicators!$B$1)&gt;3*[1]QC_indicators!$C$1,"DF","no"))),IF(ISNUMBER(BY1615),IF(ABS(BY1615-[1]QC_indicators!$B$1)&gt;3*[1]QC_indicators!$C$1,"DF","no")))</f>
        <v>0</v>
      </c>
    </row>
    <row r="1616" spans="1:151" ht="15" hidden="1" customHeight="1">
      <c r="A1616" s="1" t="s">
        <v>4312</v>
      </c>
      <c r="B1616" t="s">
        <v>4313</v>
      </c>
      <c r="C1616" t="s">
        <v>4314</v>
      </c>
      <c r="D1616" t="s">
        <v>4315</v>
      </c>
      <c r="E1616" t="s">
        <v>4316</v>
      </c>
      <c r="F1616" t="s">
        <v>4317</v>
      </c>
      <c r="G1616" t="s">
        <v>4318</v>
      </c>
      <c r="H1616" t="s">
        <v>254</v>
      </c>
      <c r="I1616">
        <v>2011</v>
      </c>
      <c r="J1616">
        <v>7</v>
      </c>
      <c r="K1616" t="s">
        <v>4319</v>
      </c>
      <c r="M1616" t="str">
        <f t="shared" si="2120"/>
        <v>Weight_2011</v>
      </c>
      <c r="N1616" s="311" t="s">
        <v>4382</v>
      </c>
      <c r="O1616" s="145" t="s">
        <v>1153</v>
      </c>
      <c r="Q1616" s="311" t="s">
        <v>256</v>
      </c>
      <c r="R1616" s="312"/>
      <c r="S1616" s="1" t="s">
        <v>4325</v>
      </c>
      <c r="T1616" t="s">
        <v>4326</v>
      </c>
      <c r="U1616" t="s">
        <v>4327</v>
      </c>
      <c r="V1616">
        <v>0</v>
      </c>
      <c r="W1616">
        <v>0</v>
      </c>
      <c r="X1616">
        <v>0</v>
      </c>
      <c r="Y1616">
        <v>0</v>
      </c>
      <c r="Z1616">
        <v>0</v>
      </c>
      <c r="AA1616">
        <v>0</v>
      </c>
      <c r="AB1616">
        <v>0</v>
      </c>
      <c r="AC1616">
        <v>0</v>
      </c>
      <c r="AD1616">
        <v>0</v>
      </c>
      <c r="AE1616">
        <v>0</v>
      </c>
      <c r="AF1616">
        <v>0</v>
      </c>
      <c r="AG1616">
        <v>0</v>
      </c>
      <c r="AH1616">
        <v>1</v>
      </c>
      <c r="AI1616">
        <v>0</v>
      </c>
      <c r="AJ1616">
        <v>0</v>
      </c>
      <c r="AK1616">
        <v>0</v>
      </c>
      <c r="AL1616">
        <v>0</v>
      </c>
      <c r="AM1616">
        <v>0</v>
      </c>
      <c r="AN1616">
        <v>0</v>
      </c>
      <c r="AO1616">
        <v>0</v>
      </c>
      <c r="AP1616">
        <v>0</v>
      </c>
      <c r="AQ1616">
        <v>0</v>
      </c>
      <c r="AR1616">
        <v>0</v>
      </c>
      <c r="AS1616">
        <v>0</v>
      </c>
      <c r="AT1616">
        <v>0</v>
      </c>
      <c r="AU1616">
        <v>0</v>
      </c>
      <c r="AV1616">
        <v>0</v>
      </c>
      <c r="AW1616">
        <v>0</v>
      </c>
      <c r="AX1616" s="141">
        <f t="shared" si="2123"/>
        <v>1</v>
      </c>
      <c r="AY1616" s="141">
        <f t="shared" si="2124"/>
        <v>1</v>
      </c>
      <c r="AZ1616">
        <f t="shared" si="2125"/>
        <v>0</v>
      </c>
      <c r="BA1616">
        <f t="shared" si="2126"/>
        <v>1</v>
      </c>
      <c r="BB1616">
        <f t="shared" si="2127"/>
        <v>0</v>
      </c>
      <c r="BC1616">
        <f t="shared" si="2128"/>
        <v>0</v>
      </c>
      <c r="BD1616">
        <f t="shared" si="2129"/>
        <v>0</v>
      </c>
      <c r="BE1616" t="str" cm="1">
        <f t="array" ref="BE1616">IF(AY1616=1,INDEX($V$7:$AL$7,MATCH(TRUE,INDEX($V1616:$AW1616&lt;&gt;0,),0)),IF(AY1616=0,INDEX($AM$7:$AW$7,MATCH(1,$AM1616:$AW1616,0)),IF(BF1616="Multiple strategies","mixed drivers",IF(BF1616="Supply chain","multiple supply","multiple silviculture"))))</f>
        <v xml:space="preserve">end of life disposal </v>
      </c>
      <c r="BF1616" s="2" t="str" cm="1">
        <f t="array" ref="BF1616">IF(COUNTIF(AZ1616:BB1616,"&lt;&gt;0")=1,INDEX($V$4:$AW$4,MATCH(TRUE,INDEX($V1616:$AW1616&lt;&gt;0,),0)),IF(COUNTIF(AZ1616:BB1616,"&lt;&gt;0")=0,INDEX($AM$4:$AW$4,MATCH(1,$AM1616:$AW1616,0)),"Multiple strategies"))</f>
        <v>Supply chain</v>
      </c>
      <c r="BM1616" s="143"/>
      <c r="BN1616" s="143">
        <f t="shared" si="2130"/>
        <v>0</v>
      </c>
      <c r="BO1616">
        <f t="shared" si="2131"/>
        <v>0</v>
      </c>
      <c r="BP1616" t="s">
        <v>232</v>
      </c>
      <c r="BR1616" t="s">
        <v>4323</v>
      </c>
      <c r="BS1616">
        <v>-1269</v>
      </c>
      <c r="BT1616">
        <v>-532</v>
      </c>
      <c r="BU1616" s="144">
        <f t="shared" si="2149"/>
        <v>0.41922773837667454</v>
      </c>
      <c r="BV1616" s="144">
        <f t="shared" si="2132"/>
        <v>737</v>
      </c>
      <c r="BW1616" s="144"/>
      <c r="BX1616">
        <f t="shared" si="2133"/>
        <v>0.73699999999999999</v>
      </c>
      <c r="BY1616" t="str">
        <f t="shared" si="2070"/>
        <v/>
      </c>
      <c r="BZ1616">
        <v>0</v>
      </c>
      <c r="CA1616">
        <v>0</v>
      </c>
      <c r="CB1616">
        <v>0</v>
      </c>
      <c r="CC1616">
        <v>0</v>
      </c>
      <c r="CD1616">
        <v>0</v>
      </c>
      <c r="CE1616">
        <v>0</v>
      </c>
      <c r="CF1616">
        <v>0</v>
      </c>
      <c r="CG1616">
        <v>0</v>
      </c>
      <c r="CH1616">
        <v>0</v>
      </c>
      <c r="CI1616">
        <v>0</v>
      </c>
      <c r="CJ1616">
        <v>0</v>
      </c>
      <c r="CK1616">
        <v>0</v>
      </c>
      <c r="CL1616">
        <v>0</v>
      </c>
      <c r="CM1616">
        <v>0</v>
      </c>
      <c r="CN1616" t="str">
        <f t="shared" si="2150"/>
        <v>refOK</v>
      </c>
      <c r="CO1616"/>
      <c r="CP1616"/>
      <c r="CQ1616"/>
      <c r="CR1616">
        <f t="shared" si="2134"/>
        <v>-1269</v>
      </c>
      <c r="CS1616">
        <f t="shared" si="2135"/>
        <v>-532</v>
      </c>
      <c r="CT1616">
        <f t="shared" si="2136"/>
        <v>0.73699999999999999</v>
      </c>
      <c r="CU1616" t="str">
        <f t="shared" si="2137"/>
        <v/>
      </c>
      <c r="CV1616" s="2">
        <f t="shared" si="2138"/>
        <v>0.5807722616233254</v>
      </c>
      <c r="CW1616" s="1" t="s">
        <v>263</v>
      </c>
      <c r="CX1616" s="311" t="str">
        <f t="shared" si="2139"/>
        <v>loc</v>
      </c>
      <c r="CY1616" t="s">
        <v>3493</v>
      </c>
      <c r="DB1616">
        <f t="shared" si="2151"/>
        <v>0</v>
      </c>
      <c r="DC1616" t="str">
        <f t="shared" si="2140"/>
        <v>0</v>
      </c>
      <c r="DD1616">
        <v>0</v>
      </c>
      <c r="DE1616">
        <v>0</v>
      </c>
      <c r="DF1616">
        <v>0</v>
      </c>
      <c r="DG1616">
        <v>1</v>
      </c>
      <c r="DH1616">
        <v>0</v>
      </c>
      <c r="DI1616">
        <f t="shared" si="2141"/>
        <v>1</v>
      </c>
      <c r="DJ1616" t="str">
        <f t="shared" si="2142"/>
        <v>TimberInput</v>
      </c>
      <c r="DK1616">
        <f t="shared" si="2143"/>
        <v>0</v>
      </c>
      <c r="DL1616">
        <f t="shared" si="2144"/>
        <v>0</v>
      </c>
      <c r="DM1616">
        <f t="shared" si="2145"/>
        <v>0</v>
      </c>
      <c r="DN1616" t="str">
        <f t="shared" si="2146"/>
        <v>Timber</v>
      </c>
      <c r="DO1616">
        <v>1</v>
      </c>
      <c r="DP1616">
        <v>0</v>
      </c>
      <c r="DQ1616">
        <v>0</v>
      </c>
      <c r="DR1616">
        <v>0</v>
      </c>
      <c r="DS1616">
        <v>0</v>
      </c>
      <c r="DT1616">
        <f t="shared" si="2147"/>
        <v>1</v>
      </c>
      <c r="DU1616" s="143" t="str">
        <f t="shared" si="2148"/>
        <v>self-calculated DF</v>
      </c>
      <c r="DV1616">
        <v>0</v>
      </c>
      <c r="DW1616">
        <v>0</v>
      </c>
      <c r="DX1616">
        <v>0</v>
      </c>
      <c r="DY1616">
        <v>0</v>
      </c>
      <c r="DZ1616">
        <v>1</v>
      </c>
      <c r="EA1616">
        <v>1</v>
      </c>
      <c r="EB1616">
        <v>0</v>
      </c>
      <c r="EC1616">
        <v>1</v>
      </c>
      <c r="ED1616">
        <v>0</v>
      </c>
      <c r="EE1616">
        <v>0</v>
      </c>
      <c r="EF1616">
        <v>0</v>
      </c>
      <c r="EG1616">
        <v>0</v>
      </c>
      <c r="EH1616">
        <v>0</v>
      </c>
      <c r="EI1616" s="2">
        <v>0</v>
      </c>
      <c r="EK1616" t="str">
        <f t="shared" si="2121"/>
        <v/>
      </c>
      <c r="EL1616" t="str">
        <f t="shared" si="2122"/>
        <v/>
      </c>
      <c r="EM1616" s="2" t="str">
        <f t="shared" si="2106"/>
        <v/>
      </c>
      <c r="EN1616" t="s">
        <v>4324</v>
      </c>
      <c r="EP1616" t="b">
        <f>IF(ISNUMBER(BU1616),IF(ABS(BU1616-[1]QC_indicators!$B$2)&gt;3*[1]QC_indicators!$C$2,"C ratio",IF(ISNUMBER(BY1616),IF(ABS(BY1616-[1]QC_indicators!$B$1)&gt;3*[1]QC_indicators!$C$1,"DF","no"))),IF(ISNUMBER(BY1616),IF(ABS(BY1616-[1]QC_indicators!$B$1)&gt;3*[1]QC_indicators!$C$1,"DF","no")))</f>
        <v>0</v>
      </c>
    </row>
    <row r="1617" spans="1:150" ht="15" hidden="1" customHeight="1">
      <c r="A1617" s="1" t="s">
        <v>4312</v>
      </c>
      <c r="B1617" t="s">
        <v>4313</v>
      </c>
      <c r="C1617" t="s">
        <v>4314</v>
      </c>
      <c r="D1617" t="s">
        <v>4315</v>
      </c>
      <c r="E1617" t="s">
        <v>4316</v>
      </c>
      <c r="F1617" t="s">
        <v>4317</v>
      </c>
      <c r="G1617" t="s">
        <v>4318</v>
      </c>
      <c r="H1617" t="s">
        <v>254</v>
      </c>
      <c r="I1617">
        <v>2011</v>
      </c>
      <c r="J1617">
        <v>7</v>
      </c>
      <c r="K1617" t="s">
        <v>4319</v>
      </c>
      <c r="M1617" t="str">
        <f t="shared" si="2120"/>
        <v>Weight_2011</v>
      </c>
      <c r="N1617" s="311" t="s">
        <v>4382</v>
      </c>
      <c r="O1617" s="145" t="s">
        <v>1153</v>
      </c>
      <c r="Q1617" s="311" t="s">
        <v>256</v>
      </c>
      <c r="R1617" s="312"/>
      <c r="S1617" s="1" t="s">
        <v>4325</v>
      </c>
      <c r="T1617" t="s">
        <v>4326</v>
      </c>
      <c r="U1617" t="s">
        <v>4327</v>
      </c>
      <c r="V1617">
        <v>0</v>
      </c>
      <c r="W1617">
        <v>0</v>
      </c>
      <c r="X1617">
        <v>0</v>
      </c>
      <c r="Y1617">
        <v>0</v>
      </c>
      <c r="Z1617">
        <v>0</v>
      </c>
      <c r="AA1617">
        <v>0</v>
      </c>
      <c r="AB1617">
        <v>0</v>
      </c>
      <c r="AC1617">
        <v>0</v>
      </c>
      <c r="AD1617">
        <v>0</v>
      </c>
      <c r="AE1617">
        <v>0</v>
      </c>
      <c r="AF1617">
        <v>0</v>
      </c>
      <c r="AG1617">
        <v>0</v>
      </c>
      <c r="AH1617">
        <v>1</v>
      </c>
      <c r="AI1617">
        <v>0</v>
      </c>
      <c r="AJ1617">
        <v>0</v>
      </c>
      <c r="AK1617">
        <v>0</v>
      </c>
      <c r="AL1617">
        <v>0</v>
      </c>
      <c r="AM1617">
        <v>0</v>
      </c>
      <c r="AN1617">
        <v>0</v>
      </c>
      <c r="AO1617">
        <v>0</v>
      </c>
      <c r="AP1617">
        <v>0</v>
      </c>
      <c r="AQ1617">
        <v>0</v>
      </c>
      <c r="AR1617">
        <v>0</v>
      </c>
      <c r="AS1617">
        <v>0</v>
      </c>
      <c r="AT1617">
        <v>0</v>
      </c>
      <c r="AU1617">
        <v>0</v>
      </c>
      <c r="AV1617">
        <v>0</v>
      </c>
      <c r="AW1617">
        <v>0</v>
      </c>
      <c r="AX1617" s="141">
        <f t="shared" si="2123"/>
        <v>1</v>
      </c>
      <c r="AY1617" s="141">
        <f t="shared" si="2124"/>
        <v>1</v>
      </c>
      <c r="AZ1617">
        <f t="shared" si="2125"/>
        <v>0</v>
      </c>
      <c r="BA1617">
        <f t="shared" si="2126"/>
        <v>1</v>
      </c>
      <c r="BB1617">
        <f t="shared" si="2127"/>
        <v>0</v>
      </c>
      <c r="BC1617">
        <f t="shared" si="2128"/>
        <v>0</v>
      </c>
      <c r="BD1617">
        <f t="shared" si="2129"/>
        <v>0</v>
      </c>
      <c r="BE1617" t="str" cm="1">
        <f t="array" ref="BE1617">IF(AY1617=1,INDEX($V$7:$AL$7,MATCH(TRUE,INDEX($V1617:$AW1617&lt;&gt;0,),0)),IF(AY1617=0,INDEX($AM$7:$AW$7,MATCH(1,$AM1617:$AW1617,0)),IF(BF1617="Multiple strategies","mixed drivers",IF(BF1617="Supply chain","multiple supply","multiple silviculture"))))</f>
        <v xml:space="preserve">end of life disposal </v>
      </c>
      <c r="BF1617" s="2" t="str" cm="1">
        <f t="array" ref="BF1617">IF(COUNTIF(AZ1617:BB1617,"&lt;&gt;0")=1,INDEX($V$4:$AW$4,MATCH(TRUE,INDEX($V1617:$AW1617&lt;&gt;0,),0)),IF(COUNTIF(AZ1617:BB1617,"&lt;&gt;0")=0,INDEX($AM$4:$AW$4,MATCH(1,$AM1617:$AW1617,0)),"Multiple strategies"))</f>
        <v>Supply chain</v>
      </c>
      <c r="BM1617" s="143"/>
      <c r="BN1617" s="143">
        <f t="shared" si="2130"/>
        <v>0</v>
      </c>
      <c r="BO1617">
        <f t="shared" si="2131"/>
        <v>0</v>
      </c>
      <c r="BP1617" t="s">
        <v>232</v>
      </c>
      <c r="BR1617" t="s">
        <v>4323</v>
      </c>
      <c r="BS1617">
        <v>-1542</v>
      </c>
      <c r="BT1617">
        <v>-805</v>
      </c>
      <c r="BU1617" s="144">
        <f t="shared" si="2149"/>
        <v>0.52204928664072636</v>
      </c>
      <c r="BV1617" s="144">
        <f t="shared" si="2132"/>
        <v>737</v>
      </c>
      <c r="BW1617" s="144"/>
      <c r="BX1617">
        <f t="shared" si="2133"/>
        <v>0.73699999999999999</v>
      </c>
      <c r="BY1617" t="str">
        <f t="shared" si="2070"/>
        <v/>
      </c>
      <c r="BZ1617">
        <v>0</v>
      </c>
      <c r="CA1617">
        <v>0</v>
      </c>
      <c r="CB1617">
        <v>0</v>
      </c>
      <c r="CC1617">
        <v>0</v>
      </c>
      <c r="CD1617">
        <v>0</v>
      </c>
      <c r="CE1617">
        <v>0</v>
      </c>
      <c r="CF1617">
        <v>0</v>
      </c>
      <c r="CG1617">
        <v>0</v>
      </c>
      <c r="CH1617">
        <v>0</v>
      </c>
      <c r="CI1617">
        <v>0</v>
      </c>
      <c r="CJ1617">
        <v>0</v>
      </c>
      <c r="CK1617">
        <v>0</v>
      </c>
      <c r="CL1617">
        <v>0</v>
      </c>
      <c r="CM1617">
        <v>0</v>
      </c>
      <c r="CN1617" t="str">
        <f t="shared" si="2150"/>
        <v>refOK</v>
      </c>
      <c r="CO1617"/>
      <c r="CP1617"/>
      <c r="CQ1617"/>
      <c r="CR1617">
        <f t="shared" si="2134"/>
        <v>-1542</v>
      </c>
      <c r="CS1617">
        <f t="shared" si="2135"/>
        <v>-805</v>
      </c>
      <c r="CT1617">
        <f t="shared" si="2136"/>
        <v>0.73699999999999999</v>
      </c>
      <c r="CU1617" t="str">
        <f t="shared" si="2137"/>
        <v/>
      </c>
      <c r="CV1617" s="2">
        <f t="shared" si="2138"/>
        <v>0.47795071335927369</v>
      </c>
      <c r="CW1617" s="1" t="s">
        <v>263</v>
      </c>
      <c r="CX1617" s="311" t="str">
        <f t="shared" si="2139"/>
        <v>loc</v>
      </c>
      <c r="CY1617" t="s">
        <v>3493</v>
      </c>
      <c r="DB1617">
        <f t="shared" si="2151"/>
        <v>0</v>
      </c>
      <c r="DC1617" t="str">
        <f t="shared" si="2140"/>
        <v>0</v>
      </c>
      <c r="DD1617">
        <v>0</v>
      </c>
      <c r="DE1617">
        <v>0</v>
      </c>
      <c r="DF1617">
        <v>0</v>
      </c>
      <c r="DG1617">
        <v>1</v>
      </c>
      <c r="DH1617">
        <v>0</v>
      </c>
      <c r="DI1617">
        <f t="shared" si="2141"/>
        <v>1</v>
      </c>
      <c r="DJ1617" t="str">
        <f t="shared" si="2142"/>
        <v>TimberInput</v>
      </c>
      <c r="DK1617">
        <f t="shared" si="2143"/>
        <v>0</v>
      </c>
      <c r="DL1617">
        <f t="shared" si="2144"/>
        <v>0</v>
      </c>
      <c r="DM1617">
        <f t="shared" si="2145"/>
        <v>0</v>
      </c>
      <c r="DN1617" t="str">
        <f t="shared" si="2146"/>
        <v>Timber</v>
      </c>
      <c r="DO1617">
        <v>1</v>
      </c>
      <c r="DP1617">
        <v>0</v>
      </c>
      <c r="DQ1617">
        <v>0</v>
      </c>
      <c r="DR1617">
        <v>0</v>
      </c>
      <c r="DS1617">
        <v>0</v>
      </c>
      <c r="DT1617">
        <f t="shared" si="2147"/>
        <v>1</v>
      </c>
      <c r="DU1617" s="143" t="str">
        <f t="shared" si="2148"/>
        <v>self-calculated DF</v>
      </c>
      <c r="DV1617">
        <v>0</v>
      </c>
      <c r="DW1617">
        <v>0</v>
      </c>
      <c r="DX1617">
        <v>0</v>
      </c>
      <c r="DY1617">
        <v>0</v>
      </c>
      <c r="DZ1617">
        <v>1</v>
      </c>
      <c r="EA1617">
        <v>1</v>
      </c>
      <c r="EB1617">
        <v>1</v>
      </c>
      <c r="EC1617">
        <v>0</v>
      </c>
      <c r="ED1617">
        <v>0</v>
      </c>
      <c r="EE1617">
        <v>0</v>
      </c>
      <c r="EF1617">
        <v>0</v>
      </c>
      <c r="EG1617">
        <v>0</v>
      </c>
      <c r="EH1617">
        <v>0</v>
      </c>
      <c r="EI1617" s="2">
        <v>0</v>
      </c>
      <c r="EK1617" t="str">
        <f t="shared" si="2121"/>
        <v/>
      </c>
      <c r="EL1617" t="str">
        <f t="shared" si="2122"/>
        <v/>
      </c>
      <c r="EM1617" s="2" t="str">
        <f t="shared" si="2106"/>
        <v/>
      </c>
      <c r="EN1617" t="s">
        <v>4324</v>
      </c>
      <c r="EP1617" t="b">
        <f>IF(ISNUMBER(BU1617),IF(ABS(BU1617-[1]QC_indicators!$B$2)&gt;3*[1]QC_indicators!$C$2,"C ratio",IF(ISNUMBER(BY1617),IF(ABS(BY1617-[1]QC_indicators!$B$1)&gt;3*[1]QC_indicators!$C$1,"DF","no"))),IF(ISNUMBER(BY1617),IF(ABS(BY1617-[1]QC_indicators!$B$1)&gt;3*[1]QC_indicators!$C$1,"DF","no")))</f>
        <v>0</v>
      </c>
    </row>
    <row r="1618" spans="1:150" ht="15" hidden="1" customHeight="1">
      <c r="A1618" s="1" t="s">
        <v>4312</v>
      </c>
      <c r="B1618" t="s">
        <v>4313</v>
      </c>
      <c r="C1618" t="s">
        <v>4314</v>
      </c>
      <c r="D1618" t="s">
        <v>4315</v>
      </c>
      <c r="E1618" t="s">
        <v>4316</v>
      </c>
      <c r="F1618" t="s">
        <v>4317</v>
      </c>
      <c r="G1618" t="s">
        <v>4318</v>
      </c>
      <c r="H1618" t="s">
        <v>254</v>
      </c>
      <c r="I1618">
        <v>2011</v>
      </c>
      <c r="J1618">
        <v>7</v>
      </c>
      <c r="K1618" t="s">
        <v>4319</v>
      </c>
      <c r="M1618" t="str">
        <f t="shared" si="2120"/>
        <v>Weight_2011</v>
      </c>
      <c r="N1618" s="311" t="s">
        <v>4382</v>
      </c>
      <c r="O1618" s="145" t="s">
        <v>1153</v>
      </c>
      <c r="Q1618" s="311" t="s">
        <v>256</v>
      </c>
      <c r="R1618" s="312"/>
      <c r="S1618" s="1" t="s">
        <v>4329</v>
      </c>
      <c r="T1618" t="s">
        <v>4326</v>
      </c>
      <c r="U1618" t="s">
        <v>4330</v>
      </c>
      <c r="V1618">
        <v>0</v>
      </c>
      <c r="W1618">
        <v>0</v>
      </c>
      <c r="X1618">
        <v>0</v>
      </c>
      <c r="Y1618">
        <v>0</v>
      </c>
      <c r="Z1618">
        <v>0</v>
      </c>
      <c r="AA1618">
        <v>0</v>
      </c>
      <c r="AB1618">
        <v>0</v>
      </c>
      <c r="AC1618">
        <v>0</v>
      </c>
      <c r="AD1618">
        <v>0</v>
      </c>
      <c r="AE1618">
        <v>0</v>
      </c>
      <c r="AF1618">
        <v>0</v>
      </c>
      <c r="AG1618">
        <v>0</v>
      </c>
      <c r="AH1618">
        <v>1</v>
      </c>
      <c r="AI1618">
        <v>0</v>
      </c>
      <c r="AJ1618">
        <v>0</v>
      </c>
      <c r="AK1618">
        <v>0</v>
      </c>
      <c r="AL1618">
        <v>0</v>
      </c>
      <c r="AM1618">
        <v>0</v>
      </c>
      <c r="AN1618">
        <v>0</v>
      </c>
      <c r="AO1618">
        <v>0</v>
      </c>
      <c r="AP1618">
        <v>0</v>
      </c>
      <c r="AQ1618">
        <v>0</v>
      </c>
      <c r="AR1618">
        <v>0</v>
      </c>
      <c r="AS1618">
        <v>0</v>
      </c>
      <c r="AT1618">
        <v>0</v>
      </c>
      <c r="AU1618">
        <v>0</v>
      </c>
      <c r="AV1618">
        <v>0</v>
      </c>
      <c r="AW1618">
        <v>0</v>
      </c>
      <c r="AX1618" s="141">
        <f t="shared" si="2123"/>
        <v>1</v>
      </c>
      <c r="AY1618" s="141">
        <f t="shared" si="2124"/>
        <v>1</v>
      </c>
      <c r="AZ1618">
        <f t="shared" si="2125"/>
        <v>0</v>
      </c>
      <c r="BA1618">
        <f t="shared" si="2126"/>
        <v>1</v>
      </c>
      <c r="BB1618">
        <f t="shared" si="2127"/>
        <v>0</v>
      </c>
      <c r="BC1618">
        <f t="shared" si="2128"/>
        <v>0</v>
      </c>
      <c r="BD1618">
        <f t="shared" si="2129"/>
        <v>0</v>
      </c>
      <c r="BE1618" t="str" cm="1">
        <f t="array" ref="BE1618">IF(AY1618=1,INDEX($V$7:$AL$7,MATCH(TRUE,INDEX($V1618:$AW1618&lt;&gt;0,),0)),IF(AY1618=0,INDEX($AM$7:$AW$7,MATCH(1,$AM1618:$AW1618,0)),IF(BF1618="Multiple strategies","mixed drivers",IF(BF1618="Supply chain","multiple supply","multiple silviculture"))))</f>
        <v xml:space="preserve">end of life disposal </v>
      </c>
      <c r="BF1618" s="2" t="str" cm="1">
        <f t="array" ref="BF1618">IF(COUNTIF(AZ1618:BB1618,"&lt;&gt;0")=1,INDEX($V$4:$AW$4,MATCH(TRUE,INDEX($V1618:$AW1618&lt;&gt;0,),0)),IF(COUNTIF(AZ1618:BB1618,"&lt;&gt;0")=0,INDEX($AM$4:$AW$4,MATCH(1,$AM1618:$AW1618,0)),"Multiple strategies"))</f>
        <v>Supply chain</v>
      </c>
      <c r="BM1618" s="143"/>
      <c r="BN1618" s="143">
        <f t="shared" si="2130"/>
        <v>0</v>
      </c>
      <c r="BO1618">
        <f t="shared" si="2131"/>
        <v>0</v>
      </c>
      <c r="BP1618" t="s">
        <v>232</v>
      </c>
      <c r="BR1618" t="s">
        <v>4323</v>
      </c>
      <c r="BS1618">
        <v>-26</v>
      </c>
      <c r="BT1618">
        <v>738</v>
      </c>
      <c r="BU1618" s="144">
        <f t="shared" si="2149"/>
        <v>-28.384615384615383</v>
      </c>
      <c r="BV1618" s="144">
        <f t="shared" si="2132"/>
        <v>764</v>
      </c>
      <c r="BW1618" s="144"/>
      <c r="BX1618">
        <f t="shared" si="2133"/>
        <v>0.76400000000000001</v>
      </c>
      <c r="BY1618" t="str">
        <f t="shared" si="2070"/>
        <v/>
      </c>
      <c r="BZ1618">
        <v>0</v>
      </c>
      <c r="CA1618">
        <v>0</v>
      </c>
      <c r="CB1618">
        <v>0</v>
      </c>
      <c r="CC1618">
        <v>0</v>
      </c>
      <c r="CD1618">
        <v>0</v>
      </c>
      <c r="CE1618">
        <v>0</v>
      </c>
      <c r="CF1618">
        <v>0</v>
      </c>
      <c r="CG1618">
        <v>0</v>
      </c>
      <c r="CH1618">
        <v>0</v>
      </c>
      <c r="CI1618">
        <v>0</v>
      </c>
      <c r="CJ1618">
        <v>0</v>
      </c>
      <c r="CK1618">
        <v>0</v>
      </c>
      <c r="CL1618">
        <v>0</v>
      </c>
      <c r="CM1618">
        <v>0</v>
      </c>
      <c r="CN1618" t="str">
        <f t="shared" si="2150"/>
        <v>refOK</v>
      </c>
      <c r="CO1618"/>
      <c r="CP1618"/>
      <c r="CQ1618">
        <f>IF($CN1618="refOK",$BO1618,-$BO1618)</f>
        <v>0</v>
      </c>
      <c r="CR1618">
        <f t="shared" si="2134"/>
        <v>-26</v>
      </c>
      <c r="CS1618">
        <f t="shared" si="2135"/>
        <v>738</v>
      </c>
      <c r="CT1618">
        <f t="shared" si="2136"/>
        <v>0.76400000000000001</v>
      </c>
      <c r="CU1618" t="str">
        <f t="shared" si="2137"/>
        <v/>
      </c>
      <c r="CV1618" s="2">
        <f t="shared" si="2138"/>
        <v>29.384615384615383</v>
      </c>
      <c r="CW1618" s="1" t="s">
        <v>263</v>
      </c>
      <c r="CX1618" s="311" t="str">
        <f t="shared" si="2139"/>
        <v>loc</v>
      </c>
      <c r="CY1618" t="s">
        <v>3493</v>
      </c>
      <c r="DB1618">
        <f t="shared" si="2151"/>
        <v>0</v>
      </c>
      <c r="DC1618" t="str">
        <f t="shared" si="2140"/>
        <v>0</v>
      </c>
      <c r="DD1618">
        <v>0</v>
      </c>
      <c r="DE1618">
        <v>0</v>
      </c>
      <c r="DF1618">
        <v>0</v>
      </c>
      <c r="DG1618">
        <v>1</v>
      </c>
      <c r="DH1618">
        <v>0</v>
      </c>
      <c r="DI1618">
        <f t="shared" si="2141"/>
        <v>1</v>
      </c>
      <c r="DJ1618" t="str">
        <f t="shared" si="2142"/>
        <v>TimberInput</v>
      </c>
      <c r="DK1618">
        <f t="shared" si="2143"/>
        <v>0</v>
      </c>
      <c r="DL1618">
        <f t="shared" si="2144"/>
        <v>0</v>
      </c>
      <c r="DM1618">
        <f t="shared" si="2145"/>
        <v>0</v>
      </c>
      <c r="DN1618" t="str">
        <f t="shared" si="2146"/>
        <v>Timber</v>
      </c>
      <c r="DO1618">
        <v>1</v>
      </c>
      <c r="DP1618">
        <v>0</v>
      </c>
      <c r="DQ1618">
        <v>0</v>
      </c>
      <c r="DR1618">
        <v>0</v>
      </c>
      <c r="DS1618">
        <v>0</v>
      </c>
      <c r="DT1618">
        <f t="shared" si="2147"/>
        <v>1</v>
      </c>
      <c r="DU1618" s="143" t="str">
        <f t="shared" si="2148"/>
        <v>self-calculated DF</v>
      </c>
      <c r="DV1618">
        <v>0</v>
      </c>
      <c r="DW1618">
        <v>0</v>
      </c>
      <c r="DX1618">
        <v>1</v>
      </c>
      <c r="DY1618">
        <v>0</v>
      </c>
      <c r="DZ1618">
        <v>1</v>
      </c>
      <c r="EA1618">
        <v>1</v>
      </c>
      <c r="EB1618">
        <v>1</v>
      </c>
      <c r="EC1618">
        <v>1</v>
      </c>
      <c r="ED1618">
        <v>0</v>
      </c>
      <c r="EE1618">
        <v>0</v>
      </c>
      <c r="EF1618">
        <v>0</v>
      </c>
      <c r="EG1618">
        <v>0</v>
      </c>
      <c r="EH1618">
        <v>0</v>
      </c>
      <c r="EI1618" s="2">
        <v>0</v>
      </c>
      <c r="EK1618" t="str">
        <f t="shared" si="2121"/>
        <v/>
      </c>
      <c r="EL1618" t="str">
        <f t="shared" si="2122"/>
        <v/>
      </c>
      <c r="EM1618" s="2" t="str">
        <f t="shared" si="2106"/>
        <v/>
      </c>
      <c r="EN1618" t="s">
        <v>4324</v>
      </c>
      <c r="EP1618" t="b">
        <f>IF(ISNUMBER(BU1618),IF(ABS(BU1618-[1]QC_indicators!$B$2)&gt;3*[1]QC_indicators!$C$2,"C ratio",IF(ISNUMBER(BY1618),IF(ABS(BY1618-[1]QC_indicators!$B$1)&gt;3*[1]QC_indicators!$C$1,"DF","no"))),IF(ISNUMBER(BY1618),IF(ABS(BY1618-[1]QC_indicators!$B$1)&gt;3*[1]QC_indicators!$C$1,"DF","no")))</f>
        <v>0</v>
      </c>
      <c r="EQ1618" s="149" t="s">
        <v>4328</v>
      </c>
    </row>
    <row r="1619" spans="1:150" ht="15" hidden="1" customHeight="1">
      <c r="A1619" s="1" t="s">
        <v>4312</v>
      </c>
      <c r="B1619" t="s">
        <v>4313</v>
      </c>
      <c r="C1619" t="s">
        <v>4314</v>
      </c>
      <c r="D1619" t="s">
        <v>4315</v>
      </c>
      <c r="E1619" t="s">
        <v>4316</v>
      </c>
      <c r="F1619" t="s">
        <v>4317</v>
      </c>
      <c r="G1619" t="s">
        <v>4318</v>
      </c>
      <c r="H1619" t="s">
        <v>254</v>
      </c>
      <c r="I1619">
        <v>2011</v>
      </c>
      <c r="J1619">
        <v>7</v>
      </c>
      <c r="K1619" t="s">
        <v>4319</v>
      </c>
      <c r="M1619" t="str">
        <f t="shared" si="2120"/>
        <v>Weight_2011</v>
      </c>
      <c r="N1619" s="311" t="s">
        <v>4382</v>
      </c>
      <c r="O1619" s="145" t="s">
        <v>1153</v>
      </c>
      <c r="Q1619" s="311" t="s">
        <v>256</v>
      </c>
      <c r="R1619" s="312"/>
      <c r="S1619" s="1" t="s">
        <v>4329</v>
      </c>
      <c r="T1619" t="s">
        <v>4326</v>
      </c>
      <c r="U1619" t="s">
        <v>4330</v>
      </c>
      <c r="V1619">
        <v>0</v>
      </c>
      <c r="W1619">
        <v>0</v>
      </c>
      <c r="X1619">
        <v>0</v>
      </c>
      <c r="Y1619">
        <v>0</v>
      </c>
      <c r="Z1619">
        <v>0</v>
      </c>
      <c r="AA1619">
        <v>0</v>
      </c>
      <c r="AB1619">
        <v>0</v>
      </c>
      <c r="AC1619">
        <v>0</v>
      </c>
      <c r="AD1619">
        <v>0</v>
      </c>
      <c r="AE1619">
        <v>0</v>
      </c>
      <c r="AF1619">
        <v>0</v>
      </c>
      <c r="AG1619">
        <v>0</v>
      </c>
      <c r="AH1619">
        <v>1</v>
      </c>
      <c r="AI1619">
        <v>0</v>
      </c>
      <c r="AJ1619">
        <v>0</v>
      </c>
      <c r="AK1619">
        <v>0</v>
      </c>
      <c r="AL1619">
        <v>0</v>
      </c>
      <c r="AM1619">
        <v>0</v>
      </c>
      <c r="AN1619">
        <v>0</v>
      </c>
      <c r="AO1619">
        <v>0</v>
      </c>
      <c r="AP1619">
        <v>0</v>
      </c>
      <c r="AQ1619">
        <v>0</v>
      </c>
      <c r="AR1619">
        <v>0</v>
      </c>
      <c r="AS1619">
        <v>0</v>
      </c>
      <c r="AT1619">
        <v>0</v>
      </c>
      <c r="AU1619">
        <v>0</v>
      </c>
      <c r="AV1619">
        <v>0</v>
      </c>
      <c r="AW1619">
        <v>0</v>
      </c>
      <c r="AX1619" s="141">
        <f t="shared" si="2123"/>
        <v>1</v>
      </c>
      <c r="AY1619" s="141">
        <f t="shared" si="2124"/>
        <v>1</v>
      </c>
      <c r="AZ1619">
        <f t="shared" si="2125"/>
        <v>0</v>
      </c>
      <c r="BA1619">
        <f t="shared" si="2126"/>
        <v>1</v>
      </c>
      <c r="BB1619">
        <f t="shared" si="2127"/>
        <v>0</v>
      </c>
      <c r="BC1619">
        <f t="shared" si="2128"/>
        <v>0</v>
      </c>
      <c r="BD1619">
        <f t="shared" si="2129"/>
        <v>0</v>
      </c>
      <c r="BE1619" t="str" cm="1">
        <f t="array" ref="BE1619">IF(AY1619=1,INDEX($V$7:$AL$7,MATCH(TRUE,INDEX($V1619:$AW1619&lt;&gt;0,),0)),IF(AY1619=0,INDEX($AM$7:$AW$7,MATCH(1,$AM1619:$AW1619,0)),IF(BF1619="Multiple strategies","mixed drivers",IF(BF1619="Supply chain","multiple supply","multiple silviculture"))))</f>
        <v xml:space="preserve">end of life disposal </v>
      </c>
      <c r="BF1619" s="2" t="str" cm="1">
        <f t="array" ref="BF1619">IF(COUNTIF(AZ1619:BB1619,"&lt;&gt;0")=1,INDEX($V$4:$AW$4,MATCH(TRUE,INDEX($V1619:$AW1619&lt;&gt;0,),0)),IF(COUNTIF(AZ1619:BB1619,"&lt;&gt;0")=0,INDEX($AM$4:$AW$4,MATCH(1,$AM1619:$AW1619,0)),"Multiple strategies"))</f>
        <v>Supply chain</v>
      </c>
      <c r="BM1619" s="143"/>
      <c r="BN1619" s="143">
        <f t="shared" si="2130"/>
        <v>0</v>
      </c>
      <c r="BO1619">
        <f t="shared" si="2131"/>
        <v>0</v>
      </c>
      <c r="BP1619" t="s">
        <v>232</v>
      </c>
      <c r="BR1619" t="s">
        <v>4323</v>
      </c>
      <c r="BS1619">
        <v>-1076</v>
      </c>
      <c r="BT1619">
        <v>-310</v>
      </c>
      <c r="BU1619" s="144">
        <f t="shared" si="2149"/>
        <v>0.28810408921933084</v>
      </c>
      <c r="BV1619" s="144">
        <f t="shared" si="2132"/>
        <v>766</v>
      </c>
      <c r="BW1619" s="144"/>
      <c r="BX1619">
        <f t="shared" si="2133"/>
        <v>0.76600000000000001</v>
      </c>
      <c r="BY1619" t="str">
        <f t="shared" si="2070"/>
        <v/>
      </c>
      <c r="BZ1619">
        <v>0</v>
      </c>
      <c r="CA1619">
        <v>0</v>
      </c>
      <c r="CB1619">
        <v>0</v>
      </c>
      <c r="CC1619">
        <v>0</v>
      </c>
      <c r="CD1619">
        <v>0</v>
      </c>
      <c r="CE1619">
        <v>0</v>
      </c>
      <c r="CF1619">
        <v>0</v>
      </c>
      <c r="CG1619">
        <v>0</v>
      </c>
      <c r="CH1619">
        <v>0</v>
      </c>
      <c r="CI1619">
        <v>0</v>
      </c>
      <c r="CJ1619">
        <v>0</v>
      </c>
      <c r="CK1619">
        <v>0</v>
      </c>
      <c r="CL1619">
        <v>0</v>
      </c>
      <c r="CM1619">
        <v>0</v>
      </c>
      <c r="CN1619" t="str">
        <f t="shared" si="2150"/>
        <v>refOK</v>
      </c>
      <c r="CO1619"/>
      <c r="CP1619"/>
      <c r="CQ1619"/>
      <c r="CR1619">
        <f t="shared" si="2134"/>
        <v>-1076</v>
      </c>
      <c r="CS1619">
        <f t="shared" si="2135"/>
        <v>-310</v>
      </c>
      <c r="CT1619">
        <f t="shared" si="2136"/>
        <v>0.76600000000000001</v>
      </c>
      <c r="CU1619" t="str">
        <f t="shared" si="2137"/>
        <v/>
      </c>
      <c r="CV1619" s="2">
        <f t="shared" si="2138"/>
        <v>0.71189591078066916</v>
      </c>
      <c r="CW1619" s="1" t="s">
        <v>263</v>
      </c>
      <c r="CX1619" s="311" t="str">
        <f t="shared" si="2139"/>
        <v>loc</v>
      </c>
      <c r="CY1619" t="s">
        <v>3493</v>
      </c>
      <c r="DB1619">
        <f t="shared" si="2151"/>
        <v>0</v>
      </c>
      <c r="DC1619" t="str">
        <f t="shared" si="2140"/>
        <v>0</v>
      </c>
      <c r="DD1619">
        <v>0</v>
      </c>
      <c r="DE1619">
        <v>0</v>
      </c>
      <c r="DF1619">
        <v>0</v>
      </c>
      <c r="DG1619">
        <v>1</v>
      </c>
      <c r="DH1619">
        <v>0</v>
      </c>
      <c r="DI1619">
        <f t="shared" si="2141"/>
        <v>1</v>
      </c>
      <c r="DJ1619" t="str">
        <f t="shared" si="2142"/>
        <v>TimberInput</v>
      </c>
      <c r="DK1619">
        <f t="shared" si="2143"/>
        <v>0</v>
      </c>
      <c r="DL1619">
        <f t="shared" si="2144"/>
        <v>0</v>
      </c>
      <c r="DM1619">
        <f t="shared" si="2145"/>
        <v>0</v>
      </c>
      <c r="DN1619" t="str">
        <f t="shared" si="2146"/>
        <v>Timber</v>
      </c>
      <c r="DO1619">
        <v>1</v>
      </c>
      <c r="DP1619">
        <v>0</v>
      </c>
      <c r="DQ1619">
        <v>0</v>
      </c>
      <c r="DR1619">
        <v>0</v>
      </c>
      <c r="DS1619">
        <v>0</v>
      </c>
      <c r="DT1619">
        <f t="shared" si="2147"/>
        <v>1</v>
      </c>
      <c r="DU1619" s="143" t="str">
        <f t="shared" si="2148"/>
        <v>self-calculated DF</v>
      </c>
      <c r="DV1619">
        <v>0</v>
      </c>
      <c r="DW1619">
        <v>0</v>
      </c>
      <c r="DX1619">
        <v>0</v>
      </c>
      <c r="DY1619">
        <v>0</v>
      </c>
      <c r="DZ1619">
        <v>1</v>
      </c>
      <c r="EA1619">
        <v>1</v>
      </c>
      <c r="EB1619">
        <v>0</v>
      </c>
      <c r="EC1619">
        <v>0</v>
      </c>
      <c r="ED1619">
        <v>0</v>
      </c>
      <c r="EE1619">
        <v>0</v>
      </c>
      <c r="EF1619">
        <v>0</v>
      </c>
      <c r="EG1619">
        <v>0</v>
      </c>
      <c r="EH1619">
        <v>0</v>
      </c>
      <c r="EI1619" s="2">
        <v>0</v>
      </c>
      <c r="EK1619" t="str">
        <f t="shared" si="2121"/>
        <v/>
      </c>
      <c r="EL1619" t="str">
        <f t="shared" si="2122"/>
        <v/>
      </c>
      <c r="EM1619" s="2" t="str">
        <f t="shared" si="2106"/>
        <v/>
      </c>
      <c r="EN1619" t="s">
        <v>4324</v>
      </c>
      <c r="EP1619" t="b">
        <f>IF(ISNUMBER(BU1619),IF(ABS(BU1619-[1]QC_indicators!$B$2)&gt;3*[1]QC_indicators!$C$2,"C ratio",IF(ISNUMBER(BY1619),IF(ABS(BY1619-[1]QC_indicators!$B$1)&gt;3*[1]QC_indicators!$C$1,"DF","no"))),IF(ISNUMBER(BY1619),IF(ABS(BY1619-[1]QC_indicators!$B$1)&gt;3*[1]QC_indicators!$C$1,"DF","no")))</f>
        <v>0</v>
      </c>
    </row>
    <row r="1620" spans="1:150" ht="15" hidden="1" customHeight="1">
      <c r="A1620" s="1" t="s">
        <v>4312</v>
      </c>
      <c r="B1620" t="s">
        <v>4313</v>
      </c>
      <c r="C1620" t="s">
        <v>4314</v>
      </c>
      <c r="D1620" t="s">
        <v>4315</v>
      </c>
      <c r="E1620" t="s">
        <v>4316</v>
      </c>
      <c r="F1620" t="s">
        <v>4317</v>
      </c>
      <c r="G1620" t="s">
        <v>4318</v>
      </c>
      <c r="H1620" t="s">
        <v>254</v>
      </c>
      <c r="I1620">
        <v>2011</v>
      </c>
      <c r="J1620">
        <v>7</v>
      </c>
      <c r="K1620" t="s">
        <v>4319</v>
      </c>
      <c r="M1620" t="str">
        <f t="shared" si="2120"/>
        <v>Weight_2011</v>
      </c>
      <c r="N1620" s="311" t="s">
        <v>4382</v>
      </c>
      <c r="O1620" s="145" t="s">
        <v>1153</v>
      </c>
      <c r="Q1620" s="311" t="s">
        <v>256</v>
      </c>
      <c r="R1620" s="312"/>
      <c r="S1620" s="1" t="s">
        <v>4329</v>
      </c>
      <c r="T1620" t="s">
        <v>4326</v>
      </c>
      <c r="U1620" t="s">
        <v>4330</v>
      </c>
      <c r="V1620">
        <v>0</v>
      </c>
      <c r="W1620">
        <v>0</v>
      </c>
      <c r="X1620">
        <v>0</v>
      </c>
      <c r="Y1620">
        <v>0</v>
      </c>
      <c r="Z1620">
        <v>0</v>
      </c>
      <c r="AA1620">
        <v>0</v>
      </c>
      <c r="AB1620">
        <v>0</v>
      </c>
      <c r="AC1620">
        <v>0</v>
      </c>
      <c r="AD1620">
        <v>0</v>
      </c>
      <c r="AE1620">
        <v>0</v>
      </c>
      <c r="AF1620">
        <v>0</v>
      </c>
      <c r="AG1620">
        <v>0</v>
      </c>
      <c r="AH1620">
        <v>1</v>
      </c>
      <c r="AI1620">
        <v>0</v>
      </c>
      <c r="AJ1620">
        <v>0</v>
      </c>
      <c r="AK1620">
        <v>0</v>
      </c>
      <c r="AL1620">
        <v>0</v>
      </c>
      <c r="AM1620">
        <v>0</v>
      </c>
      <c r="AN1620">
        <v>0</v>
      </c>
      <c r="AO1620">
        <v>0</v>
      </c>
      <c r="AP1620">
        <v>0</v>
      </c>
      <c r="AQ1620">
        <v>0</v>
      </c>
      <c r="AR1620">
        <v>0</v>
      </c>
      <c r="AS1620">
        <v>0</v>
      </c>
      <c r="AT1620">
        <v>0</v>
      </c>
      <c r="AU1620">
        <v>0</v>
      </c>
      <c r="AV1620">
        <v>0</v>
      </c>
      <c r="AW1620">
        <v>0</v>
      </c>
      <c r="AX1620" s="141">
        <f t="shared" si="2123"/>
        <v>1</v>
      </c>
      <c r="AY1620" s="141">
        <f t="shared" si="2124"/>
        <v>1</v>
      </c>
      <c r="AZ1620">
        <f t="shared" si="2125"/>
        <v>0</v>
      </c>
      <c r="BA1620">
        <f t="shared" si="2126"/>
        <v>1</v>
      </c>
      <c r="BB1620">
        <f t="shared" si="2127"/>
        <v>0</v>
      </c>
      <c r="BC1620">
        <f t="shared" si="2128"/>
        <v>0</v>
      </c>
      <c r="BD1620">
        <f t="shared" si="2129"/>
        <v>0</v>
      </c>
      <c r="BE1620" t="str" cm="1">
        <f t="array" ref="BE1620">IF(AY1620=1,INDEX($V$7:$AL$7,MATCH(TRUE,INDEX($V1620:$AW1620&lt;&gt;0,),0)),IF(AY1620=0,INDEX($AM$7:$AW$7,MATCH(1,$AM1620:$AW1620,0)),IF(BF1620="Multiple strategies","mixed drivers",IF(BF1620="Supply chain","multiple supply","multiple silviculture"))))</f>
        <v xml:space="preserve">end of life disposal </v>
      </c>
      <c r="BF1620" s="2" t="str" cm="1">
        <f t="array" ref="BF1620">IF(COUNTIF(AZ1620:BB1620,"&lt;&gt;0")=1,INDEX($V$4:$AW$4,MATCH(TRUE,INDEX($V1620:$AW1620&lt;&gt;0,),0)),IF(COUNTIF(AZ1620:BB1620,"&lt;&gt;0")=0,INDEX($AM$4:$AW$4,MATCH(1,$AM1620:$AW1620,0)),"Multiple strategies"))</f>
        <v>Supply chain</v>
      </c>
      <c r="BM1620" s="143"/>
      <c r="BN1620" s="143">
        <f t="shared" si="2130"/>
        <v>0</v>
      </c>
      <c r="BO1620">
        <f t="shared" si="2131"/>
        <v>0</v>
      </c>
      <c r="BP1620" t="s">
        <v>232</v>
      </c>
      <c r="BR1620" t="s">
        <v>4323</v>
      </c>
      <c r="BS1620">
        <v>-1269</v>
      </c>
      <c r="BT1620">
        <v>-505</v>
      </c>
      <c r="BU1620" s="144">
        <f t="shared" si="2149"/>
        <v>0.39795114263199372</v>
      </c>
      <c r="BV1620" s="144">
        <f t="shared" si="2132"/>
        <v>764</v>
      </c>
      <c r="BW1620" s="144"/>
      <c r="BX1620">
        <f t="shared" si="2133"/>
        <v>0.76400000000000001</v>
      </c>
      <c r="BY1620" t="str">
        <f t="shared" si="2070"/>
        <v/>
      </c>
      <c r="BZ1620">
        <v>0</v>
      </c>
      <c r="CA1620">
        <v>0</v>
      </c>
      <c r="CB1620">
        <v>0</v>
      </c>
      <c r="CC1620">
        <v>0</v>
      </c>
      <c r="CD1620">
        <v>0</v>
      </c>
      <c r="CE1620">
        <v>0</v>
      </c>
      <c r="CF1620">
        <v>0</v>
      </c>
      <c r="CG1620">
        <v>0</v>
      </c>
      <c r="CH1620">
        <v>0</v>
      </c>
      <c r="CI1620">
        <v>0</v>
      </c>
      <c r="CJ1620">
        <v>0</v>
      </c>
      <c r="CK1620">
        <v>0</v>
      </c>
      <c r="CL1620">
        <v>0</v>
      </c>
      <c r="CM1620">
        <v>0</v>
      </c>
      <c r="CN1620" t="str">
        <f t="shared" si="2150"/>
        <v>refOK</v>
      </c>
      <c r="CO1620"/>
      <c r="CP1620"/>
      <c r="CQ1620"/>
      <c r="CR1620">
        <f t="shared" si="2134"/>
        <v>-1269</v>
      </c>
      <c r="CS1620">
        <f t="shared" si="2135"/>
        <v>-505</v>
      </c>
      <c r="CT1620">
        <f t="shared" si="2136"/>
        <v>0.76400000000000001</v>
      </c>
      <c r="CU1620" t="str">
        <f t="shared" si="2137"/>
        <v/>
      </c>
      <c r="CV1620" s="2">
        <f t="shared" si="2138"/>
        <v>0.60204885736800628</v>
      </c>
      <c r="CW1620" s="1" t="s">
        <v>263</v>
      </c>
      <c r="CX1620" s="311" t="str">
        <f t="shared" si="2139"/>
        <v>loc</v>
      </c>
      <c r="CY1620" t="s">
        <v>3493</v>
      </c>
      <c r="DB1620">
        <f t="shared" si="2151"/>
        <v>0</v>
      </c>
      <c r="DC1620" t="str">
        <f t="shared" si="2140"/>
        <v>0</v>
      </c>
      <c r="DD1620">
        <v>0</v>
      </c>
      <c r="DE1620">
        <v>0</v>
      </c>
      <c r="DF1620">
        <v>0</v>
      </c>
      <c r="DG1620">
        <v>1</v>
      </c>
      <c r="DH1620">
        <v>0</v>
      </c>
      <c r="DI1620">
        <f t="shared" si="2141"/>
        <v>1</v>
      </c>
      <c r="DJ1620" t="str">
        <f t="shared" si="2142"/>
        <v>TimberInput</v>
      </c>
      <c r="DK1620">
        <f t="shared" si="2143"/>
        <v>0</v>
      </c>
      <c r="DL1620">
        <f t="shared" si="2144"/>
        <v>0</v>
      </c>
      <c r="DM1620">
        <f t="shared" si="2145"/>
        <v>0</v>
      </c>
      <c r="DN1620" t="str">
        <f t="shared" si="2146"/>
        <v>Timber</v>
      </c>
      <c r="DO1620">
        <v>1</v>
      </c>
      <c r="DP1620">
        <v>0</v>
      </c>
      <c r="DQ1620">
        <v>0</v>
      </c>
      <c r="DR1620">
        <v>0</v>
      </c>
      <c r="DS1620">
        <v>0</v>
      </c>
      <c r="DT1620">
        <f t="shared" si="2147"/>
        <v>1</v>
      </c>
      <c r="DU1620" s="143" t="str">
        <f t="shared" si="2148"/>
        <v>self-calculated DF</v>
      </c>
      <c r="DV1620">
        <v>0</v>
      </c>
      <c r="DW1620">
        <v>0</v>
      </c>
      <c r="DX1620">
        <v>0</v>
      </c>
      <c r="DY1620">
        <v>0</v>
      </c>
      <c r="DZ1620">
        <v>1</v>
      </c>
      <c r="EA1620">
        <v>1</v>
      </c>
      <c r="EB1620">
        <v>0</v>
      </c>
      <c r="EC1620">
        <v>1</v>
      </c>
      <c r="ED1620">
        <v>0</v>
      </c>
      <c r="EE1620">
        <v>0</v>
      </c>
      <c r="EF1620">
        <v>0</v>
      </c>
      <c r="EG1620">
        <v>0</v>
      </c>
      <c r="EH1620">
        <v>0</v>
      </c>
      <c r="EI1620" s="2">
        <v>0</v>
      </c>
      <c r="EK1620" t="str">
        <f t="shared" si="2121"/>
        <v/>
      </c>
      <c r="EL1620" t="str">
        <f t="shared" si="2122"/>
        <v/>
      </c>
      <c r="EM1620" s="2" t="str">
        <f t="shared" si="2106"/>
        <v/>
      </c>
      <c r="EN1620" t="s">
        <v>4324</v>
      </c>
      <c r="EP1620" t="b">
        <f>IF(ISNUMBER(BU1620),IF(ABS(BU1620-[1]QC_indicators!$B$2)&gt;3*[1]QC_indicators!$C$2,"C ratio",IF(ISNUMBER(BY1620),IF(ABS(BY1620-[1]QC_indicators!$B$1)&gt;3*[1]QC_indicators!$C$1,"DF","no"))),IF(ISNUMBER(BY1620),IF(ABS(BY1620-[1]QC_indicators!$B$1)&gt;3*[1]QC_indicators!$C$1,"DF","no")))</f>
        <v>0</v>
      </c>
    </row>
    <row r="1621" spans="1:150" ht="15" hidden="1" customHeight="1">
      <c r="A1621" s="1" t="s">
        <v>4312</v>
      </c>
      <c r="B1621" t="s">
        <v>4313</v>
      </c>
      <c r="C1621" t="s">
        <v>4314</v>
      </c>
      <c r="D1621" t="s">
        <v>4315</v>
      </c>
      <c r="E1621" t="s">
        <v>4316</v>
      </c>
      <c r="F1621" t="s">
        <v>4317</v>
      </c>
      <c r="G1621" t="s">
        <v>4318</v>
      </c>
      <c r="H1621" t="s">
        <v>254</v>
      </c>
      <c r="I1621">
        <v>2011</v>
      </c>
      <c r="J1621">
        <v>7</v>
      </c>
      <c r="K1621" t="s">
        <v>4319</v>
      </c>
      <c r="M1621" t="str">
        <f t="shared" si="2120"/>
        <v>Weight_2011</v>
      </c>
      <c r="N1621" s="311" t="s">
        <v>4382</v>
      </c>
      <c r="O1621" s="145" t="s">
        <v>1153</v>
      </c>
      <c r="Q1621" s="311" t="s">
        <v>256</v>
      </c>
      <c r="R1621" s="312"/>
      <c r="S1621" s="1" t="s">
        <v>4329</v>
      </c>
      <c r="T1621" t="s">
        <v>4326</v>
      </c>
      <c r="U1621" t="s">
        <v>4330</v>
      </c>
      <c r="V1621">
        <v>0</v>
      </c>
      <c r="W1621">
        <v>0</v>
      </c>
      <c r="X1621">
        <v>0</v>
      </c>
      <c r="Y1621">
        <v>0</v>
      </c>
      <c r="Z1621">
        <v>0</v>
      </c>
      <c r="AA1621">
        <v>0</v>
      </c>
      <c r="AB1621">
        <v>0</v>
      </c>
      <c r="AC1621">
        <v>0</v>
      </c>
      <c r="AD1621">
        <v>0</v>
      </c>
      <c r="AE1621">
        <v>0</v>
      </c>
      <c r="AF1621">
        <v>0</v>
      </c>
      <c r="AG1621">
        <v>0</v>
      </c>
      <c r="AH1621">
        <v>1</v>
      </c>
      <c r="AI1621">
        <v>0</v>
      </c>
      <c r="AJ1621">
        <v>0</v>
      </c>
      <c r="AK1621">
        <v>0</v>
      </c>
      <c r="AL1621">
        <v>0</v>
      </c>
      <c r="AM1621">
        <v>0</v>
      </c>
      <c r="AN1621">
        <v>0</v>
      </c>
      <c r="AO1621">
        <v>0</v>
      </c>
      <c r="AP1621">
        <v>0</v>
      </c>
      <c r="AQ1621">
        <v>0</v>
      </c>
      <c r="AR1621">
        <v>0</v>
      </c>
      <c r="AS1621">
        <v>0</v>
      </c>
      <c r="AT1621">
        <v>0</v>
      </c>
      <c r="AU1621">
        <v>0</v>
      </c>
      <c r="AV1621">
        <v>0</v>
      </c>
      <c r="AW1621">
        <v>0</v>
      </c>
      <c r="AX1621" s="141">
        <f t="shared" si="2123"/>
        <v>1</v>
      </c>
      <c r="AY1621" s="141">
        <f t="shared" si="2124"/>
        <v>1</v>
      </c>
      <c r="AZ1621">
        <f t="shared" si="2125"/>
        <v>0</v>
      </c>
      <c r="BA1621">
        <f t="shared" si="2126"/>
        <v>1</v>
      </c>
      <c r="BB1621">
        <f t="shared" si="2127"/>
        <v>0</v>
      </c>
      <c r="BC1621">
        <f t="shared" si="2128"/>
        <v>0</v>
      </c>
      <c r="BD1621">
        <f t="shared" si="2129"/>
        <v>0</v>
      </c>
      <c r="BE1621" t="str" cm="1">
        <f t="array" ref="BE1621">IF(AY1621=1,INDEX($V$7:$AL$7,MATCH(TRUE,INDEX($V1621:$AW1621&lt;&gt;0,),0)),IF(AY1621=0,INDEX($AM$7:$AW$7,MATCH(1,$AM1621:$AW1621,0)),IF(BF1621="Multiple strategies","mixed drivers",IF(BF1621="Supply chain","multiple supply","multiple silviculture"))))</f>
        <v xml:space="preserve">end of life disposal </v>
      </c>
      <c r="BF1621" s="2" t="str" cm="1">
        <f t="array" ref="BF1621">IF(COUNTIF(AZ1621:BB1621,"&lt;&gt;0")=1,INDEX($V$4:$AW$4,MATCH(TRUE,INDEX($V1621:$AW1621&lt;&gt;0,),0)),IF(COUNTIF(AZ1621:BB1621,"&lt;&gt;0")=0,INDEX($AM$4:$AW$4,MATCH(1,$AM1621:$AW1621,0)),"Multiple strategies"))</f>
        <v>Supply chain</v>
      </c>
      <c r="BM1621" s="143"/>
      <c r="BN1621" s="143">
        <f t="shared" si="2130"/>
        <v>0</v>
      </c>
      <c r="BO1621">
        <f t="shared" si="2131"/>
        <v>0</v>
      </c>
      <c r="BP1621" t="s">
        <v>232</v>
      </c>
      <c r="BR1621" t="s">
        <v>4323</v>
      </c>
      <c r="BS1621">
        <v>-1542</v>
      </c>
      <c r="BT1621">
        <v>-778</v>
      </c>
      <c r="BU1621" s="144">
        <f t="shared" si="2149"/>
        <v>0.50453955901426717</v>
      </c>
      <c r="BV1621" s="144">
        <f t="shared" si="2132"/>
        <v>764</v>
      </c>
      <c r="BW1621" s="144"/>
      <c r="BX1621">
        <f t="shared" si="2133"/>
        <v>0.76400000000000001</v>
      </c>
      <c r="BY1621" t="str">
        <f t="shared" si="2070"/>
        <v/>
      </c>
      <c r="BZ1621">
        <v>0</v>
      </c>
      <c r="CA1621">
        <v>0</v>
      </c>
      <c r="CB1621">
        <v>0</v>
      </c>
      <c r="CC1621">
        <v>0</v>
      </c>
      <c r="CD1621">
        <v>0</v>
      </c>
      <c r="CE1621">
        <v>0</v>
      </c>
      <c r="CF1621">
        <v>0</v>
      </c>
      <c r="CG1621">
        <v>0</v>
      </c>
      <c r="CH1621">
        <v>0</v>
      </c>
      <c r="CI1621">
        <v>0</v>
      </c>
      <c r="CJ1621">
        <v>0</v>
      </c>
      <c r="CK1621">
        <v>0</v>
      </c>
      <c r="CL1621">
        <v>0</v>
      </c>
      <c r="CM1621">
        <v>0</v>
      </c>
      <c r="CN1621" t="str">
        <f t="shared" si="2150"/>
        <v>refOK</v>
      </c>
      <c r="CO1621"/>
      <c r="CP1621"/>
      <c r="CQ1621"/>
      <c r="CR1621">
        <f t="shared" si="2134"/>
        <v>-1542</v>
      </c>
      <c r="CS1621">
        <f t="shared" si="2135"/>
        <v>-778</v>
      </c>
      <c r="CT1621">
        <f t="shared" si="2136"/>
        <v>0.76400000000000001</v>
      </c>
      <c r="CU1621" t="str">
        <f t="shared" si="2137"/>
        <v/>
      </c>
      <c r="CV1621" s="2">
        <f t="shared" si="2138"/>
        <v>0.49546044098573283</v>
      </c>
      <c r="CW1621" s="1" t="s">
        <v>263</v>
      </c>
      <c r="CX1621" s="311" t="str">
        <f t="shared" si="2139"/>
        <v>loc</v>
      </c>
      <c r="CY1621" t="s">
        <v>3493</v>
      </c>
      <c r="DB1621">
        <f t="shared" si="2151"/>
        <v>0</v>
      </c>
      <c r="DC1621" t="str">
        <f t="shared" si="2140"/>
        <v>0</v>
      </c>
      <c r="DD1621">
        <v>0</v>
      </c>
      <c r="DE1621">
        <v>0</v>
      </c>
      <c r="DF1621">
        <v>0</v>
      </c>
      <c r="DG1621">
        <v>1</v>
      </c>
      <c r="DH1621">
        <v>0</v>
      </c>
      <c r="DI1621">
        <f t="shared" si="2141"/>
        <v>1</v>
      </c>
      <c r="DJ1621" t="str">
        <f t="shared" si="2142"/>
        <v>TimberInput</v>
      </c>
      <c r="DK1621">
        <f t="shared" si="2143"/>
        <v>0</v>
      </c>
      <c r="DL1621">
        <f t="shared" si="2144"/>
        <v>0</v>
      </c>
      <c r="DM1621">
        <f t="shared" si="2145"/>
        <v>0</v>
      </c>
      <c r="DN1621" t="str">
        <f t="shared" si="2146"/>
        <v>Timber</v>
      </c>
      <c r="DO1621">
        <v>1</v>
      </c>
      <c r="DP1621">
        <v>0</v>
      </c>
      <c r="DQ1621">
        <v>0</v>
      </c>
      <c r="DR1621">
        <v>0</v>
      </c>
      <c r="DS1621">
        <v>0</v>
      </c>
      <c r="DT1621">
        <f t="shared" si="2147"/>
        <v>1</v>
      </c>
      <c r="DU1621" s="143" t="str">
        <f t="shared" si="2148"/>
        <v>self-calculated DF</v>
      </c>
      <c r="DV1621">
        <v>0</v>
      </c>
      <c r="DW1621">
        <v>0</v>
      </c>
      <c r="DX1621">
        <v>0</v>
      </c>
      <c r="DY1621">
        <v>0</v>
      </c>
      <c r="DZ1621">
        <v>1</v>
      </c>
      <c r="EA1621">
        <v>1</v>
      </c>
      <c r="EB1621">
        <v>1</v>
      </c>
      <c r="EC1621">
        <v>0</v>
      </c>
      <c r="ED1621">
        <v>0</v>
      </c>
      <c r="EE1621">
        <v>0</v>
      </c>
      <c r="EF1621">
        <v>0</v>
      </c>
      <c r="EG1621">
        <v>0</v>
      </c>
      <c r="EH1621">
        <v>0</v>
      </c>
      <c r="EI1621" s="2">
        <v>0</v>
      </c>
      <c r="EK1621" t="str">
        <f t="shared" si="2121"/>
        <v/>
      </c>
      <c r="EL1621" t="str">
        <f t="shared" si="2122"/>
        <v/>
      </c>
      <c r="EM1621" s="2" t="str">
        <f t="shared" si="2106"/>
        <v/>
      </c>
      <c r="EN1621" t="s">
        <v>4324</v>
      </c>
      <c r="EP1621" t="b">
        <f>IF(ISNUMBER(BU1621),IF(ABS(BU1621-[1]QC_indicators!$B$2)&gt;3*[1]QC_indicators!$C$2,"C ratio",IF(ISNUMBER(BY1621),IF(ABS(BY1621-[1]QC_indicators!$B$1)&gt;3*[1]QC_indicators!$C$1,"DF","no"))),IF(ISNUMBER(BY1621),IF(ABS(BY1621-[1]QC_indicators!$B$1)&gt;3*[1]QC_indicators!$C$1,"DF","no")))</f>
        <v>0</v>
      </c>
    </row>
    <row r="1622" spans="1:150" ht="15" hidden="1" customHeight="1">
      <c r="A1622" s="1" t="s">
        <v>4312</v>
      </c>
      <c r="B1622" t="s">
        <v>4313</v>
      </c>
      <c r="C1622" t="s">
        <v>4314</v>
      </c>
      <c r="D1622" t="s">
        <v>4315</v>
      </c>
      <c r="E1622" t="s">
        <v>4316</v>
      </c>
      <c r="F1622" t="s">
        <v>4317</v>
      </c>
      <c r="G1622" t="s">
        <v>4318</v>
      </c>
      <c r="H1622" t="s">
        <v>254</v>
      </c>
      <c r="I1622">
        <v>2011</v>
      </c>
      <c r="J1622">
        <v>7</v>
      </c>
      <c r="K1622" t="s">
        <v>4319</v>
      </c>
      <c r="M1622" t="str">
        <f t="shared" si="2120"/>
        <v>Weight_2011</v>
      </c>
      <c r="N1622" s="311" t="s">
        <v>4382</v>
      </c>
      <c r="O1622" s="145" t="s">
        <v>1153</v>
      </c>
      <c r="Q1622" s="311" t="s">
        <v>256</v>
      </c>
      <c r="R1622" s="312"/>
      <c r="S1622" s="1" t="s">
        <v>4331</v>
      </c>
      <c r="T1622" t="s">
        <v>4326</v>
      </c>
      <c r="U1622" t="s">
        <v>4332</v>
      </c>
      <c r="V1622">
        <v>0</v>
      </c>
      <c r="W1622">
        <v>0</v>
      </c>
      <c r="X1622">
        <v>0</v>
      </c>
      <c r="Y1622">
        <v>0</v>
      </c>
      <c r="Z1622">
        <v>0</v>
      </c>
      <c r="AA1622">
        <v>0</v>
      </c>
      <c r="AB1622">
        <v>0</v>
      </c>
      <c r="AC1622">
        <v>0</v>
      </c>
      <c r="AD1622">
        <v>0</v>
      </c>
      <c r="AE1622">
        <v>0</v>
      </c>
      <c r="AF1622">
        <v>0</v>
      </c>
      <c r="AG1622">
        <v>0</v>
      </c>
      <c r="AH1622">
        <v>1</v>
      </c>
      <c r="AI1622">
        <v>0</v>
      </c>
      <c r="AJ1622">
        <v>0</v>
      </c>
      <c r="AK1622">
        <v>0</v>
      </c>
      <c r="AL1622">
        <v>0</v>
      </c>
      <c r="AM1622">
        <v>0</v>
      </c>
      <c r="AN1622">
        <v>0</v>
      </c>
      <c r="AO1622">
        <v>0</v>
      </c>
      <c r="AP1622">
        <v>0</v>
      </c>
      <c r="AQ1622">
        <v>0</v>
      </c>
      <c r="AR1622">
        <v>0</v>
      </c>
      <c r="AS1622">
        <v>0</v>
      </c>
      <c r="AT1622">
        <v>0</v>
      </c>
      <c r="AU1622">
        <v>0</v>
      </c>
      <c r="AV1622">
        <v>0</v>
      </c>
      <c r="AW1622">
        <v>0</v>
      </c>
      <c r="AX1622" s="141">
        <f t="shared" si="2123"/>
        <v>1</v>
      </c>
      <c r="AY1622" s="141">
        <f t="shared" si="2124"/>
        <v>1</v>
      </c>
      <c r="AZ1622">
        <f t="shared" si="2125"/>
        <v>0</v>
      </c>
      <c r="BA1622">
        <f t="shared" si="2126"/>
        <v>1</v>
      </c>
      <c r="BB1622">
        <f t="shared" si="2127"/>
        <v>0</v>
      </c>
      <c r="BC1622">
        <f t="shared" si="2128"/>
        <v>0</v>
      </c>
      <c r="BD1622">
        <f t="shared" si="2129"/>
        <v>0</v>
      </c>
      <c r="BE1622" t="str" cm="1">
        <f t="array" ref="BE1622">IF(AY1622=1,INDEX($V$7:$AL$7,MATCH(TRUE,INDEX($V1622:$AW1622&lt;&gt;0,),0)),IF(AY1622=0,INDEX($AM$7:$AW$7,MATCH(1,$AM1622:$AW1622,0)),IF(BF1622="Multiple strategies","mixed drivers",IF(BF1622="Supply chain","multiple supply","multiple silviculture"))))</f>
        <v xml:space="preserve">end of life disposal </v>
      </c>
      <c r="BF1622" s="2" t="str" cm="1">
        <f t="array" ref="BF1622">IF(COUNTIF(AZ1622:BB1622,"&lt;&gt;0")=1,INDEX($V$4:$AW$4,MATCH(TRUE,INDEX($V1622:$AW1622&lt;&gt;0,),0)),IF(COUNTIF(AZ1622:BB1622,"&lt;&gt;0")=0,INDEX($AM$4:$AW$4,MATCH(1,$AM1622:$AW1622,0)),"Multiple strategies"))</f>
        <v>Supply chain</v>
      </c>
      <c r="BM1622" s="143"/>
      <c r="BN1622" s="143">
        <f t="shared" si="2130"/>
        <v>0</v>
      </c>
      <c r="BO1622">
        <f t="shared" si="2131"/>
        <v>0</v>
      </c>
      <c r="BP1622" t="s">
        <v>232</v>
      </c>
      <c r="BR1622" t="s">
        <v>4323</v>
      </c>
      <c r="BS1622">
        <v>-26</v>
      </c>
      <c r="BT1622">
        <v>910</v>
      </c>
      <c r="BU1622" s="144">
        <f t="shared" si="2149"/>
        <v>-35</v>
      </c>
      <c r="BV1622" s="144">
        <f t="shared" si="2132"/>
        <v>936</v>
      </c>
      <c r="BW1622" s="144"/>
      <c r="BX1622">
        <f t="shared" si="2133"/>
        <v>0.93600000000000005</v>
      </c>
      <c r="BY1622" t="str">
        <f t="shared" si="2070"/>
        <v/>
      </c>
      <c r="BZ1622">
        <v>0</v>
      </c>
      <c r="CA1622">
        <v>0</v>
      </c>
      <c r="CB1622">
        <v>0</v>
      </c>
      <c r="CC1622">
        <v>0</v>
      </c>
      <c r="CD1622">
        <v>0</v>
      </c>
      <c r="CE1622">
        <v>0</v>
      </c>
      <c r="CF1622">
        <v>0</v>
      </c>
      <c r="CG1622">
        <v>0</v>
      </c>
      <c r="CH1622">
        <v>0</v>
      </c>
      <c r="CI1622">
        <v>0</v>
      </c>
      <c r="CJ1622">
        <v>0</v>
      </c>
      <c r="CK1622">
        <v>0</v>
      </c>
      <c r="CL1622">
        <v>0</v>
      </c>
      <c r="CM1622">
        <v>0</v>
      </c>
      <c r="CN1622" t="str">
        <f t="shared" si="2150"/>
        <v>refOK</v>
      </c>
      <c r="CO1622"/>
      <c r="CP1622"/>
      <c r="CQ1622"/>
      <c r="CR1622">
        <f t="shared" si="2134"/>
        <v>-26</v>
      </c>
      <c r="CS1622">
        <f t="shared" si="2135"/>
        <v>910</v>
      </c>
      <c r="CT1622">
        <f t="shared" si="2136"/>
        <v>0.93600000000000005</v>
      </c>
      <c r="CU1622" t="str">
        <f t="shared" si="2137"/>
        <v/>
      </c>
      <c r="CV1622" s="2">
        <f t="shared" si="2138"/>
        <v>36</v>
      </c>
      <c r="CW1622" s="1" t="s">
        <v>263</v>
      </c>
      <c r="CX1622" s="311" t="str">
        <f t="shared" si="2139"/>
        <v>loc</v>
      </c>
      <c r="CY1622" t="s">
        <v>3493</v>
      </c>
      <c r="DB1622">
        <f t="shared" si="2151"/>
        <v>0</v>
      </c>
      <c r="DC1622" t="str">
        <f t="shared" si="2140"/>
        <v>0</v>
      </c>
      <c r="DD1622">
        <v>0</v>
      </c>
      <c r="DE1622">
        <v>0</v>
      </c>
      <c r="DF1622">
        <v>0</v>
      </c>
      <c r="DG1622">
        <v>1</v>
      </c>
      <c r="DH1622">
        <v>0</v>
      </c>
      <c r="DI1622">
        <f t="shared" si="2141"/>
        <v>1</v>
      </c>
      <c r="DJ1622" t="str">
        <f t="shared" si="2142"/>
        <v>TimberInput</v>
      </c>
      <c r="DK1622">
        <f t="shared" si="2143"/>
        <v>0</v>
      </c>
      <c r="DL1622">
        <f t="shared" si="2144"/>
        <v>0</v>
      </c>
      <c r="DM1622">
        <f t="shared" si="2145"/>
        <v>0</v>
      </c>
      <c r="DN1622" t="str">
        <f t="shared" si="2146"/>
        <v>Timber</v>
      </c>
      <c r="DO1622">
        <v>1</v>
      </c>
      <c r="DP1622">
        <v>0</v>
      </c>
      <c r="DQ1622">
        <v>0</v>
      </c>
      <c r="DR1622">
        <v>0</v>
      </c>
      <c r="DS1622">
        <v>0</v>
      </c>
      <c r="DT1622">
        <f t="shared" si="2147"/>
        <v>1</v>
      </c>
      <c r="DU1622" s="143" t="str">
        <f t="shared" si="2148"/>
        <v>self-calculated DF</v>
      </c>
      <c r="DV1622">
        <v>0</v>
      </c>
      <c r="DW1622">
        <v>0</v>
      </c>
      <c r="DX1622">
        <v>1</v>
      </c>
      <c r="DY1622">
        <v>0</v>
      </c>
      <c r="DZ1622">
        <v>1</v>
      </c>
      <c r="EA1622">
        <v>1</v>
      </c>
      <c r="EB1622">
        <v>1</v>
      </c>
      <c r="EC1622">
        <v>1</v>
      </c>
      <c r="ED1622">
        <v>0</v>
      </c>
      <c r="EE1622">
        <v>0</v>
      </c>
      <c r="EF1622">
        <v>0</v>
      </c>
      <c r="EG1622">
        <v>0</v>
      </c>
      <c r="EH1622">
        <v>0</v>
      </c>
      <c r="EI1622" s="2">
        <v>0</v>
      </c>
      <c r="EK1622" t="str">
        <f t="shared" si="2121"/>
        <v/>
      </c>
      <c r="EL1622" t="str">
        <f t="shared" si="2122"/>
        <v/>
      </c>
      <c r="EM1622" s="2" t="str">
        <f t="shared" si="2106"/>
        <v/>
      </c>
      <c r="EN1622" t="s">
        <v>4324</v>
      </c>
      <c r="EP1622" t="b">
        <f>IF(ISNUMBER(BU1622),IF(ABS(BU1622-[1]QC_indicators!$B$2)&gt;3*[1]QC_indicators!$C$2,"C ratio",IF(ISNUMBER(BY1622),IF(ABS(BY1622-[1]QC_indicators!$B$1)&gt;3*[1]QC_indicators!$C$1,"DF","no"))),IF(ISNUMBER(BY1622),IF(ABS(BY1622-[1]QC_indicators!$B$1)&gt;3*[1]QC_indicators!$C$1,"DF","no")))</f>
        <v>0</v>
      </c>
      <c r="EQ1622" s="149" t="s">
        <v>4328</v>
      </c>
    </row>
    <row r="1623" spans="1:150" ht="15" hidden="1" customHeight="1">
      <c r="A1623" s="1" t="s">
        <v>4312</v>
      </c>
      <c r="B1623" t="s">
        <v>4313</v>
      </c>
      <c r="C1623" t="s">
        <v>4314</v>
      </c>
      <c r="D1623" t="s">
        <v>4315</v>
      </c>
      <c r="E1623" t="s">
        <v>4316</v>
      </c>
      <c r="F1623" t="s">
        <v>4317</v>
      </c>
      <c r="G1623" t="s">
        <v>4318</v>
      </c>
      <c r="H1623" t="s">
        <v>254</v>
      </c>
      <c r="I1623">
        <v>2011</v>
      </c>
      <c r="J1623">
        <v>7</v>
      </c>
      <c r="K1623" t="s">
        <v>4319</v>
      </c>
      <c r="M1623" t="str">
        <f t="shared" si="2120"/>
        <v>Weight_2011</v>
      </c>
      <c r="N1623" s="311" t="s">
        <v>4382</v>
      </c>
      <c r="O1623" s="145" t="s">
        <v>1153</v>
      </c>
      <c r="Q1623" s="311" t="s">
        <v>256</v>
      </c>
      <c r="R1623" s="312"/>
      <c r="S1623" s="1" t="s">
        <v>4331</v>
      </c>
      <c r="T1623" t="s">
        <v>4326</v>
      </c>
      <c r="U1623" t="s">
        <v>4332</v>
      </c>
      <c r="V1623">
        <v>0</v>
      </c>
      <c r="W1623">
        <v>0</v>
      </c>
      <c r="X1623">
        <v>0</v>
      </c>
      <c r="Y1623">
        <v>0</v>
      </c>
      <c r="Z1623">
        <v>0</v>
      </c>
      <c r="AA1623">
        <v>0</v>
      </c>
      <c r="AB1623">
        <v>0</v>
      </c>
      <c r="AC1623">
        <v>0</v>
      </c>
      <c r="AD1623">
        <v>0</v>
      </c>
      <c r="AE1623">
        <v>0</v>
      </c>
      <c r="AF1623">
        <v>0</v>
      </c>
      <c r="AG1623">
        <v>0</v>
      </c>
      <c r="AH1623">
        <v>1</v>
      </c>
      <c r="AI1623">
        <v>0</v>
      </c>
      <c r="AJ1623">
        <v>0</v>
      </c>
      <c r="AK1623">
        <v>0</v>
      </c>
      <c r="AL1623">
        <v>0</v>
      </c>
      <c r="AM1623">
        <v>0</v>
      </c>
      <c r="AN1623">
        <v>0</v>
      </c>
      <c r="AO1623">
        <v>0</v>
      </c>
      <c r="AP1623">
        <v>0</v>
      </c>
      <c r="AQ1623">
        <v>0</v>
      </c>
      <c r="AR1623">
        <v>0</v>
      </c>
      <c r="AS1623">
        <v>0</v>
      </c>
      <c r="AT1623">
        <v>0</v>
      </c>
      <c r="AU1623">
        <v>0</v>
      </c>
      <c r="AV1623">
        <v>0</v>
      </c>
      <c r="AW1623">
        <v>0</v>
      </c>
      <c r="AX1623" s="141">
        <f t="shared" si="2123"/>
        <v>1</v>
      </c>
      <c r="AY1623" s="141">
        <f t="shared" si="2124"/>
        <v>1</v>
      </c>
      <c r="AZ1623">
        <f t="shared" si="2125"/>
        <v>0</v>
      </c>
      <c r="BA1623">
        <f t="shared" si="2126"/>
        <v>1</v>
      </c>
      <c r="BB1623">
        <f t="shared" si="2127"/>
        <v>0</v>
      </c>
      <c r="BC1623">
        <f t="shared" si="2128"/>
        <v>0</v>
      </c>
      <c r="BD1623">
        <f t="shared" si="2129"/>
        <v>0</v>
      </c>
      <c r="BE1623" t="str" cm="1">
        <f t="array" ref="BE1623">IF(AY1623=1,INDEX($V$7:$AL$7,MATCH(TRUE,INDEX($V1623:$AW1623&lt;&gt;0,),0)),IF(AY1623=0,INDEX($AM$7:$AW$7,MATCH(1,$AM1623:$AW1623,0)),IF(BF1623="Multiple strategies","mixed drivers",IF(BF1623="Supply chain","multiple supply","multiple silviculture"))))</f>
        <v xml:space="preserve">end of life disposal </v>
      </c>
      <c r="BF1623" s="2" t="str" cm="1">
        <f t="array" ref="BF1623">IF(COUNTIF(AZ1623:BB1623,"&lt;&gt;0")=1,INDEX($V$4:$AW$4,MATCH(TRUE,INDEX($V1623:$AW1623&lt;&gt;0,),0)),IF(COUNTIF(AZ1623:BB1623,"&lt;&gt;0")=0,INDEX($AM$4:$AW$4,MATCH(1,$AM1623:$AW1623,0)),"Multiple strategies"))</f>
        <v>Supply chain</v>
      </c>
      <c r="BM1623" s="143"/>
      <c r="BN1623" s="143">
        <f t="shared" si="2130"/>
        <v>0</v>
      </c>
      <c r="BO1623">
        <f t="shared" si="2131"/>
        <v>0</v>
      </c>
      <c r="BP1623" t="s">
        <v>232</v>
      </c>
      <c r="BR1623" t="s">
        <v>4323</v>
      </c>
      <c r="BS1623">
        <v>-1076</v>
      </c>
      <c r="BT1623">
        <v>-138</v>
      </c>
      <c r="BU1623" s="144">
        <f t="shared" si="2149"/>
        <v>0.12825278810408922</v>
      </c>
      <c r="BV1623" s="144">
        <f t="shared" si="2132"/>
        <v>938</v>
      </c>
      <c r="BW1623" s="144"/>
      <c r="BX1623">
        <f t="shared" si="2133"/>
        <v>0.93799999999999994</v>
      </c>
      <c r="BY1623" t="str">
        <f t="shared" si="2070"/>
        <v/>
      </c>
      <c r="BZ1623">
        <v>0</v>
      </c>
      <c r="CA1623">
        <v>0</v>
      </c>
      <c r="CB1623">
        <v>0</v>
      </c>
      <c r="CC1623">
        <v>0</v>
      </c>
      <c r="CD1623">
        <v>0</v>
      </c>
      <c r="CE1623">
        <v>0</v>
      </c>
      <c r="CF1623">
        <v>0</v>
      </c>
      <c r="CG1623">
        <v>0</v>
      </c>
      <c r="CH1623">
        <v>0</v>
      </c>
      <c r="CI1623">
        <v>0</v>
      </c>
      <c r="CJ1623">
        <v>0</v>
      </c>
      <c r="CK1623">
        <v>0</v>
      </c>
      <c r="CL1623">
        <v>0</v>
      </c>
      <c r="CM1623">
        <v>0</v>
      </c>
      <c r="CN1623" t="str">
        <f t="shared" si="2150"/>
        <v>refOK</v>
      </c>
      <c r="CO1623"/>
      <c r="CP1623"/>
      <c r="CQ1623"/>
      <c r="CR1623">
        <f t="shared" si="2134"/>
        <v>-1076</v>
      </c>
      <c r="CS1623">
        <f t="shared" si="2135"/>
        <v>-138</v>
      </c>
      <c r="CT1623">
        <f t="shared" si="2136"/>
        <v>0.93799999999999994</v>
      </c>
      <c r="CU1623" t="str">
        <f t="shared" si="2137"/>
        <v/>
      </c>
      <c r="CV1623" s="2">
        <f t="shared" si="2138"/>
        <v>0.87174721189591076</v>
      </c>
      <c r="CW1623" s="1" t="s">
        <v>263</v>
      </c>
      <c r="CX1623" s="311" t="str">
        <f t="shared" si="2139"/>
        <v>loc</v>
      </c>
      <c r="CY1623" t="s">
        <v>3493</v>
      </c>
      <c r="DB1623">
        <f t="shared" si="2151"/>
        <v>0</v>
      </c>
      <c r="DC1623" t="str">
        <f t="shared" si="2140"/>
        <v>0</v>
      </c>
      <c r="DD1623">
        <v>0</v>
      </c>
      <c r="DE1623">
        <v>0</v>
      </c>
      <c r="DF1623">
        <v>0</v>
      </c>
      <c r="DG1623">
        <v>1</v>
      </c>
      <c r="DH1623">
        <v>0</v>
      </c>
      <c r="DI1623">
        <f t="shared" si="2141"/>
        <v>1</v>
      </c>
      <c r="DJ1623" t="str">
        <f t="shared" si="2142"/>
        <v>TimberInput</v>
      </c>
      <c r="DK1623">
        <f t="shared" si="2143"/>
        <v>0</v>
      </c>
      <c r="DL1623">
        <f t="shared" si="2144"/>
        <v>0</v>
      </c>
      <c r="DM1623">
        <f t="shared" si="2145"/>
        <v>0</v>
      </c>
      <c r="DN1623" t="str">
        <f t="shared" si="2146"/>
        <v>Timber</v>
      </c>
      <c r="DO1623">
        <v>1</v>
      </c>
      <c r="DP1623">
        <v>0</v>
      </c>
      <c r="DQ1623">
        <v>0</v>
      </c>
      <c r="DR1623">
        <v>0</v>
      </c>
      <c r="DS1623">
        <v>0</v>
      </c>
      <c r="DT1623">
        <f t="shared" si="2147"/>
        <v>1</v>
      </c>
      <c r="DU1623" s="143" t="str">
        <f t="shared" si="2148"/>
        <v>self-calculated DF</v>
      </c>
      <c r="DV1623">
        <v>0</v>
      </c>
      <c r="DW1623">
        <v>0</v>
      </c>
      <c r="DX1623">
        <v>0</v>
      </c>
      <c r="DY1623">
        <v>0</v>
      </c>
      <c r="DZ1623">
        <v>1</v>
      </c>
      <c r="EA1623">
        <v>1</v>
      </c>
      <c r="EB1623">
        <v>0</v>
      </c>
      <c r="EC1623">
        <v>0</v>
      </c>
      <c r="ED1623">
        <v>0</v>
      </c>
      <c r="EE1623">
        <v>0</v>
      </c>
      <c r="EF1623">
        <v>0</v>
      </c>
      <c r="EG1623">
        <v>0</v>
      </c>
      <c r="EH1623">
        <v>0</v>
      </c>
      <c r="EI1623" s="2">
        <v>0</v>
      </c>
      <c r="EK1623" t="str">
        <f t="shared" si="2121"/>
        <v/>
      </c>
      <c r="EL1623" t="str">
        <f t="shared" si="2122"/>
        <v/>
      </c>
      <c r="EM1623" s="2" t="str">
        <f t="shared" si="2106"/>
        <v/>
      </c>
      <c r="EN1623" t="s">
        <v>4324</v>
      </c>
      <c r="EP1623" t="b">
        <f>IF(ISNUMBER(BU1623),IF(ABS(BU1623-[1]QC_indicators!$B$2)&gt;3*[1]QC_indicators!$C$2,"C ratio",IF(ISNUMBER(BY1623),IF(ABS(BY1623-[1]QC_indicators!$B$1)&gt;3*[1]QC_indicators!$C$1,"DF","no"))),IF(ISNUMBER(BY1623),IF(ABS(BY1623-[1]QC_indicators!$B$1)&gt;3*[1]QC_indicators!$C$1,"DF","no")))</f>
        <v>0</v>
      </c>
    </row>
    <row r="1624" spans="1:150" ht="15" hidden="1" customHeight="1">
      <c r="A1624" s="1" t="s">
        <v>4312</v>
      </c>
      <c r="B1624" t="s">
        <v>4313</v>
      </c>
      <c r="C1624" t="s">
        <v>4314</v>
      </c>
      <c r="D1624" t="s">
        <v>4315</v>
      </c>
      <c r="E1624" t="s">
        <v>4316</v>
      </c>
      <c r="F1624" t="s">
        <v>4317</v>
      </c>
      <c r="G1624" t="s">
        <v>4318</v>
      </c>
      <c r="H1624" t="s">
        <v>254</v>
      </c>
      <c r="I1624">
        <v>2011</v>
      </c>
      <c r="J1624">
        <v>7</v>
      </c>
      <c r="K1624" t="s">
        <v>4319</v>
      </c>
      <c r="M1624" t="str">
        <f t="shared" si="2120"/>
        <v>Weight_2011</v>
      </c>
      <c r="N1624" s="311" t="s">
        <v>4382</v>
      </c>
      <c r="O1624" s="145" t="s">
        <v>1153</v>
      </c>
      <c r="Q1624" s="311" t="s">
        <v>256</v>
      </c>
      <c r="R1624" s="312"/>
      <c r="S1624" s="1" t="s">
        <v>4331</v>
      </c>
      <c r="T1624" t="s">
        <v>4326</v>
      </c>
      <c r="U1624" t="s">
        <v>4332</v>
      </c>
      <c r="V1624">
        <v>0</v>
      </c>
      <c r="W1624">
        <v>0</v>
      </c>
      <c r="X1624">
        <v>0</v>
      </c>
      <c r="Y1624">
        <v>0</v>
      </c>
      <c r="Z1624">
        <v>0</v>
      </c>
      <c r="AA1624">
        <v>0</v>
      </c>
      <c r="AB1624">
        <v>0</v>
      </c>
      <c r="AC1624">
        <v>0</v>
      </c>
      <c r="AD1624">
        <v>0</v>
      </c>
      <c r="AE1624">
        <v>0</v>
      </c>
      <c r="AF1624">
        <v>0</v>
      </c>
      <c r="AG1624">
        <v>0</v>
      </c>
      <c r="AH1624">
        <v>1</v>
      </c>
      <c r="AI1624">
        <v>0</v>
      </c>
      <c r="AJ1624">
        <v>0</v>
      </c>
      <c r="AK1624">
        <v>0</v>
      </c>
      <c r="AL1624">
        <v>0</v>
      </c>
      <c r="AM1624">
        <v>0</v>
      </c>
      <c r="AN1624">
        <v>0</v>
      </c>
      <c r="AO1624">
        <v>0</v>
      </c>
      <c r="AP1624">
        <v>0</v>
      </c>
      <c r="AQ1624">
        <v>0</v>
      </c>
      <c r="AR1624">
        <v>0</v>
      </c>
      <c r="AS1624">
        <v>0</v>
      </c>
      <c r="AT1624">
        <v>0</v>
      </c>
      <c r="AU1624">
        <v>0</v>
      </c>
      <c r="AV1624">
        <v>0</v>
      </c>
      <c r="AW1624">
        <v>0</v>
      </c>
      <c r="AX1624" s="141">
        <f t="shared" si="2123"/>
        <v>1</v>
      </c>
      <c r="AY1624" s="141">
        <f t="shared" si="2124"/>
        <v>1</v>
      </c>
      <c r="AZ1624">
        <f t="shared" si="2125"/>
        <v>0</v>
      </c>
      <c r="BA1624">
        <f t="shared" si="2126"/>
        <v>1</v>
      </c>
      <c r="BB1624">
        <f t="shared" si="2127"/>
        <v>0</v>
      </c>
      <c r="BC1624">
        <f t="shared" si="2128"/>
        <v>0</v>
      </c>
      <c r="BD1624">
        <f t="shared" si="2129"/>
        <v>0</v>
      </c>
      <c r="BE1624" t="str" cm="1">
        <f t="array" ref="BE1624">IF(AY1624=1,INDEX($V$7:$AL$7,MATCH(TRUE,INDEX($V1624:$AW1624&lt;&gt;0,),0)),IF(AY1624=0,INDEX($AM$7:$AW$7,MATCH(1,$AM1624:$AW1624,0)),IF(BF1624="Multiple strategies","mixed drivers",IF(BF1624="Supply chain","multiple supply","multiple silviculture"))))</f>
        <v xml:space="preserve">end of life disposal </v>
      </c>
      <c r="BF1624" s="2" t="str" cm="1">
        <f t="array" ref="BF1624">IF(COUNTIF(AZ1624:BB1624,"&lt;&gt;0")=1,INDEX($V$4:$AW$4,MATCH(TRUE,INDEX($V1624:$AW1624&lt;&gt;0,),0)),IF(COUNTIF(AZ1624:BB1624,"&lt;&gt;0")=0,INDEX($AM$4:$AW$4,MATCH(1,$AM1624:$AW1624,0)),"Multiple strategies"))</f>
        <v>Supply chain</v>
      </c>
      <c r="BM1624" s="143"/>
      <c r="BN1624" s="143">
        <f t="shared" si="2130"/>
        <v>0</v>
      </c>
      <c r="BO1624">
        <f t="shared" si="2131"/>
        <v>0</v>
      </c>
      <c r="BP1624" t="s">
        <v>232</v>
      </c>
      <c r="BR1624" t="s">
        <v>4323</v>
      </c>
      <c r="BS1624">
        <v>-1269</v>
      </c>
      <c r="BT1624">
        <v>-333</v>
      </c>
      <c r="BU1624" s="144">
        <f t="shared" si="2149"/>
        <v>0.26241134751773049</v>
      </c>
      <c r="BV1624" s="144">
        <f t="shared" si="2132"/>
        <v>936</v>
      </c>
      <c r="BW1624" s="144"/>
      <c r="BX1624">
        <f t="shared" si="2133"/>
        <v>0.93600000000000005</v>
      </c>
      <c r="BY1624" t="str">
        <f t="shared" si="2070"/>
        <v/>
      </c>
      <c r="BZ1624">
        <v>0</v>
      </c>
      <c r="CA1624">
        <v>0</v>
      </c>
      <c r="CB1624">
        <v>0</v>
      </c>
      <c r="CC1624">
        <v>0</v>
      </c>
      <c r="CD1624">
        <v>0</v>
      </c>
      <c r="CE1624">
        <v>0</v>
      </c>
      <c r="CF1624">
        <v>0</v>
      </c>
      <c r="CG1624">
        <v>0</v>
      </c>
      <c r="CH1624">
        <v>0</v>
      </c>
      <c r="CI1624">
        <v>0</v>
      </c>
      <c r="CJ1624">
        <v>0</v>
      </c>
      <c r="CK1624">
        <v>0</v>
      </c>
      <c r="CL1624">
        <v>0</v>
      </c>
      <c r="CM1624">
        <v>0</v>
      </c>
      <c r="CN1624" t="str">
        <f t="shared" si="2150"/>
        <v>refOK</v>
      </c>
      <c r="CO1624"/>
      <c r="CP1624"/>
      <c r="CQ1624"/>
      <c r="CR1624">
        <f t="shared" si="2134"/>
        <v>-1269</v>
      </c>
      <c r="CS1624">
        <f t="shared" si="2135"/>
        <v>-333</v>
      </c>
      <c r="CT1624">
        <f t="shared" si="2136"/>
        <v>0.93600000000000005</v>
      </c>
      <c r="CU1624" t="str">
        <f t="shared" si="2137"/>
        <v/>
      </c>
      <c r="CV1624" s="2">
        <f t="shared" si="2138"/>
        <v>0.73758865248226946</v>
      </c>
      <c r="CW1624" s="1" t="s">
        <v>263</v>
      </c>
      <c r="CX1624" s="311" t="str">
        <f t="shared" si="2139"/>
        <v>loc</v>
      </c>
      <c r="CY1624" t="s">
        <v>3493</v>
      </c>
      <c r="DB1624">
        <f t="shared" si="2151"/>
        <v>0</v>
      </c>
      <c r="DC1624" t="str">
        <f t="shared" si="2140"/>
        <v>0</v>
      </c>
      <c r="DD1624">
        <v>0</v>
      </c>
      <c r="DE1624">
        <v>0</v>
      </c>
      <c r="DF1624">
        <v>0</v>
      </c>
      <c r="DG1624">
        <v>1</v>
      </c>
      <c r="DH1624">
        <v>0</v>
      </c>
      <c r="DI1624">
        <f t="shared" si="2141"/>
        <v>1</v>
      </c>
      <c r="DJ1624" t="str">
        <f t="shared" si="2142"/>
        <v>TimberInput</v>
      </c>
      <c r="DK1624">
        <f t="shared" si="2143"/>
        <v>0</v>
      </c>
      <c r="DL1624">
        <f t="shared" si="2144"/>
        <v>0</v>
      </c>
      <c r="DM1624">
        <f t="shared" si="2145"/>
        <v>0</v>
      </c>
      <c r="DN1624" t="str">
        <f t="shared" si="2146"/>
        <v>Timber</v>
      </c>
      <c r="DO1624">
        <v>1</v>
      </c>
      <c r="DP1624">
        <v>0</v>
      </c>
      <c r="DQ1624">
        <v>0</v>
      </c>
      <c r="DR1624">
        <v>0</v>
      </c>
      <c r="DS1624">
        <v>0</v>
      </c>
      <c r="DT1624">
        <f t="shared" si="2147"/>
        <v>1</v>
      </c>
      <c r="DU1624" s="143" t="str">
        <f t="shared" si="2148"/>
        <v>self-calculated DF</v>
      </c>
      <c r="DV1624">
        <v>0</v>
      </c>
      <c r="DW1624">
        <v>0</v>
      </c>
      <c r="DX1624">
        <v>0</v>
      </c>
      <c r="DY1624">
        <v>0</v>
      </c>
      <c r="DZ1624">
        <v>1</v>
      </c>
      <c r="EA1624">
        <v>1</v>
      </c>
      <c r="EB1624">
        <v>0</v>
      </c>
      <c r="EC1624">
        <v>1</v>
      </c>
      <c r="ED1624">
        <v>0</v>
      </c>
      <c r="EE1624">
        <v>0</v>
      </c>
      <c r="EF1624">
        <v>0</v>
      </c>
      <c r="EG1624">
        <v>0</v>
      </c>
      <c r="EH1624">
        <v>0</v>
      </c>
      <c r="EI1624" s="2">
        <v>0</v>
      </c>
      <c r="EK1624" t="str">
        <f t="shared" si="2121"/>
        <v/>
      </c>
      <c r="EL1624" t="str">
        <f t="shared" si="2122"/>
        <v/>
      </c>
      <c r="EM1624" s="2" t="str">
        <f t="shared" si="2106"/>
        <v/>
      </c>
      <c r="EN1624" t="s">
        <v>4324</v>
      </c>
      <c r="EP1624" t="b">
        <f>IF(ISNUMBER(BU1624),IF(ABS(BU1624-[1]QC_indicators!$B$2)&gt;3*[1]QC_indicators!$C$2,"C ratio",IF(ISNUMBER(BY1624),IF(ABS(BY1624-[1]QC_indicators!$B$1)&gt;3*[1]QC_indicators!$C$1,"DF","no"))),IF(ISNUMBER(BY1624),IF(ABS(BY1624-[1]QC_indicators!$B$1)&gt;3*[1]QC_indicators!$C$1,"DF","no")))</f>
        <v>0</v>
      </c>
    </row>
    <row r="1625" spans="1:150" ht="15" hidden="1" customHeight="1">
      <c r="A1625" s="1" t="s">
        <v>4312</v>
      </c>
      <c r="B1625" t="s">
        <v>4313</v>
      </c>
      <c r="C1625" t="s">
        <v>4314</v>
      </c>
      <c r="D1625" t="s">
        <v>4315</v>
      </c>
      <c r="E1625" t="s">
        <v>4316</v>
      </c>
      <c r="F1625" t="s">
        <v>4317</v>
      </c>
      <c r="G1625" t="s">
        <v>4318</v>
      </c>
      <c r="H1625" t="s">
        <v>254</v>
      </c>
      <c r="I1625">
        <v>2011</v>
      </c>
      <c r="J1625">
        <v>7</v>
      </c>
      <c r="K1625" t="s">
        <v>4319</v>
      </c>
      <c r="M1625" t="str">
        <f t="shared" si="2120"/>
        <v>Weight_2011</v>
      </c>
      <c r="N1625" s="311" t="s">
        <v>4382</v>
      </c>
      <c r="O1625" s="145" t="s">
        <v>1153</v>
      </c>
      <c r="Q1625" s="311" t="s">
        <v>256</v>
      </c>
      <c r="R1625" s="312"/>
      <c r="S1625" s="1" t="s">
        <v>4331</v>
      </c>
      <c r="T1625" t="s">
        <v>4326</v>
      </c>
      <c r="U1625" t="s">
        <v>4332</v>
      </c>
      <c r="V1625">
        <v>0</v>
      </c>
      <c r="W1625">
        <v>0</v>
      </c>
      <c r="X1625">
        <v>0</v>
      </c>
      <c r="Y1625">
        <v>0</v>
      </c>
      <c r="Z1625">
        <v>0</v>
      </c>
      <c r="AA1625">
        <v>0</v>
      </c>
      <c r="AB1625">
        <v>0</v>
      </c>
      <c r="AC1625">
        <v>0</v>
      </c>
      <c r="AD1625">
        <v>0</v>
      </c>
      <c r="AE1625">
        <v>0</v>
      </c>
      <c r="AF1625">
        <v>0</v>
      </c>
      <c r="AG1625">
        <v>0</v>
      </c>
      <c r="AH1625">
        <v>1</v>
      </c>
      <c r="AI1625">
        <v>0</v>
      </c>
      <c r="AJ1625">
        <v>0</v>
      </c>
      <c r="AK1625">
        <v>0</v>
      </c>
      <c r="AL1625">
        <v>0</v>
      </c>
      <c r="AM1625">
        <v>0</v>
      </c>
      <c r="AN1625">
        <v>0</v>
      </c>
      <c r="AO1625">
        <v>0</v>
      </c>
      <c r="AP1625">
        <v>0</v>
      </c>
      <c r="AQ1625">
        <v>0</v>
      </c>
      <c r="AR1625">
        <v>0</v>
      </c>
      <c r="AS1625">
        <v>0</v>
      </c>
      <c r="AT1625">
        <v>0</v>
      </c>
      <c r="AU1625">
        <v>0</v>
      </c>
      <c r="AV1625">
        <v>0</v>
      </c>
      <c r="AW1625">
        <v>0</v>
      </c>
      <c r="AX1625" s="141">
        <f t="shared" si="2123"/>
        <v>1</v>
      </c>
      <c r="AY1625" s="141">
        <f t="shared" si="2124"/>
        <v>1</v>
      </c>
      <c r="AZ1625">
        <f t="shared" si="2125"/>
        <v>0</v>
      </c>
      <c r="BA1625">
        <f t="shared" si="2126"/>
        <v>1</v>
      </c>
      <c r="BB1625">
        <f t="shared" si="2127"/>
        <v>0</v>
      </c>
      <c r="BC1625">
        <f t="shared" si="2128"/>
        <v>0</v>
      </c>
      <c r="BD1625">
        <f t="shared" si="2129"/>
        <v>0</v>
      </c>
      <c r="BE1625" t="str" cm="1">
        <f t="array" ref="BE1625">IF(AY1625=1,INDEX($V$7:$AL$7,MATCH(TRUE,INDEX($V1625:$AW1625&lt;&gt;0,),0)),IF(AY1625=0,INDEX($AM$7:$AW$7,MATCH(1,$AM1625:$AW1625,0)),IF(BF1625="Multiple strategies","mixed drivers",IF(BF1625="Supply chain","multiple supply","multiple silviculture"))))</f>
        <v xml:space="preserve">end of life disposal </v>
      </c>
      <c r="BF1625" s="2" t="str" cm="1">
        <f t="array" ref="BF1625">IF(COUNTIF(AZ1625:BB1625,"&lt;&gt;0")=1,INDEX($V$4:$AW$4,MATCH(TRUE,INDEX($V1625:$AW1625&lt;&gt;0,),0)),IF(COUNTIF(AZ1625:BB1625,"&lt;&gt;0")=0,INDEX($AM$4:$AW$4,MATCH(1,$AM1625:$AW1625,0)),"Multiple strategies"))</f>
        <v>Supply chain</v>
      </c>
      <c r="BM1625" s="143"/>
      <c r="BN1625" s="143">
        <f t="shared" si="2130"/>
        <v>0</v>
      </c>
      <c r="BO1625">
        <f t="shared" si="2131"/>
        <v>0</v>
      </c>
      <c r="BP1625" t="s">
        <v>232</v>
      </c>
      <c r="BR1625" t="s">
        <v>4323</v>
      </c>
      <c r="BS1625">
        <v>-1542</v>
      </c>
      <c r="BT1625">
        <v>-606</v>
      </c>
      <c r="BU1625" s="144">
        <f t="shared" si="2149"/>
        <v>0.39299610894941633</v>
      </c>
      <c r="BV1625" s="144">
        <f t="shared" si="2132"/>
        <v>936</v>
      </c>
      <c r="BW1625" s="144"/>
      <c r="BX1625">
        <f t="shared" si="2133"/>
        <v>0.93600000000000005</v>
      </c>
      <c r="BY1625" t="str">
        <f t="shared" si="2070"/>
        <v/>
      </c>
      <c r="BZ1625">
        <v>0</v>
      </c>
      <c r="CA1625">
        <v>0</v>
      </c>
      <c r="CB1625">
        <v>0</v>
      </c>
      <c r="CC1625">
        <v>0</v>
      </c>
      <c r="CD1625">
        <v>0</v>
      </c>
      <c r="CE1625">
        <v>0</v>
      </c>
      <c r="CF1625">
        <v>0</v>
      </c>
      <c r="CG1625">
        <v>0</v>
      </c>
      <c r="CH1625">
        <v>0</v>
      </c>
      <c r="CI1625">
        <v>0</v>
      </c>
      <c r="CJ1625">
        <v>0</v>
      </c>
      <c r="CK1625">
        <v>0</v>
      </c>
      <c r="CL1625">
        <v>0</v>
      </c>
      <c r="CM1625">
        <v>0</v>
      </c>
      <c r="CN1625" t="str">
        <f t="shared" si="2150"/>
        <v>refOK</v>
      </c>
      <c r="CO1625"/>
      <c r="CP1625"/>
      <c r="CQ1625"/>
      <c r="CR1625">
        <f t="shared" si="2134"/>
        <v>-1542</v>
      </c>
      <c r="CS1625">
        <f t="shared" si="2135"/>
        <v>-606</v>
      </c>
      <c r="CT1625">
        <f t="shared" si="2136"/>
        <v>0.93600000000000005</v>
      </c>
      <c r="CU1625" t="str">
        <f t="shared" si="2137"/>
        <v/>
      </c>
      <c r="CV1625" s="2">
        <f t="shared" si="2138"/>
        <v>0.60700389105058361</v>
      </c>
      <c r="CW1625" s="1" t="s">
        <v>263</v>
      </c>
      <c r="CX1625" s="311" t="str">
        <f t="shared" si="2139"/>
        <v>loc</v>
      </c>
      <c r="CY1625" t="s">
        <v>3493</v>
      </c>
      <c r="DB1625">
        <f t="shared" si="2151"/>
        <v>0</v>
      </c>
      <c r="DC1625" t="str">
        <f t="shared" si="2140"/>
        <v>0</v>
      </c>
      <c r="DD1625">
        <v>0</v>
      </c>
      <c r="DE1625">
        <v>0</v>
      </c>
      <c r="DF1625">
        <v>0</v>
      </c>
      <c r="DG1625">
        <v>1</v>
      </c>
      <c r="DH1625">
        <v>0</v>
      </c>
      <c r="DI1625">
        <f t="shared" si="2141"/>
        <v>1</v>
      </c>
      <c r="DJ1625" t="str">
        <f t="shared" si="2142"/>
        <v>TimberInput</v>
      </c>
      <c r="DK1625">
        <f t="shared" si="2143"/>
        <v>0</v>
      </c>
      <c r="DL1625">
        <f t="shared" si="2144"/>
        <v>0</v>
      </c>
      <c r="DM1625">
        <f t="shared" si="2145"/>
        <v>0</v>
      </c>
      <c r="DN1625" t="str">
        <f t="shared" si="2146"/>
        <v>Timber</v>
      </c>
      <c r="DO1625">
        <v>1</v>
      </c>
      <c r="DP1625">
        <v>0</v>
      </c>
      <c r="DQ1625">
        <v>0</v>
      </c>
      <c r="DR1625">
        <v>0</v>
      </c>
      <c r="DS1625">
        <v>0</v>
      </c>
      <c r="DT1625">
        <f t="shared" si="2147"/>
        <v>1</v>
      </c>
      <c r="DU1625" s="143" t="str">
        <f t="shared" si="2148"/>
        <v>self-calculated DF</v>
      </c>
      <c r="DV1625">
        <v>0</v>
      </c>
      <c r="DW1625">
        <v>0</v>
      </c>
      <c r="DX1625">
        <v>0</v>
      </c>
      <c r="DY1625">
        <v>0</v>
      </c>
      <c r="DZ1625">
        <v>1</v>
      </c>
      <c r="EA1625">
        <v>1</v>
      </c>
      <c r="EB1625">
        <v>1</v>
      </c>
      <c r="EC1625">
        <v>0</v>
      </c>
      <c r="ED1625">
        <v>0</v>
      </c>
      <c r="EE1625">
        <v>0</v>
      </c>
      <c r="EF1625">
        <v>0</v>
      </c>
      <c r="EG1625">
        <v>0</v>
      </c>
      <c r="EH1625">
        <v>0</v>
      </c>
      <c r="EI1625" s="2">
        <v>0</v>
      </c>
      <c r="EK1625" t="str">
        <f t="shared" si="2121"/>
        <v/>
      </c>
      <c r="EL1625" t="str">
        <f t="shared" si="2122"/>
        <v/>
      </c>
      <c r="EM1625" s="2" t="str">
        <f t="shared" si="2106"/>
        <v/>
      </c>
      <c r="EN1625" t="s">
        <v>4324</v>
      </c>
      <c r="EP1625" t="b">
        <f>IF(ISNUMBER(BU1625),IF(ABS(BU1625-[1]QC_indicators!$B$2)&gt;3*[1]QC_indicators!$C$2,"C ratio",IF(ISNUMBER(BY1625),IF(ABS(BY1625-[1]QC_indicators!$B$1)&gt;3*[1]QC_indicators!$C$1,"DF","no"))),IF(ISNUMBER(BY1625),IF(ABS(BY1625-[1]QC_indicators!$B$1)&gt;3*[1]QC_indicators!$C$1,"DF","no")))</f>
        <v>0</v>
      </c>
    </row>
    <row r="1626" spans="1:150" ht="15" hidden="1" customHeight="1">
      <c r="A1626" s="1" t="s">
        <v>878</v>
      </c>
      <c r="B1626" t="s">
        <v>4333</v>
      </c>
      <c r="C1626" t="s">
        <v>4334</v>
      </c>
      <c r="D1626" t="s">
        <v>4335</v>
      </c>
      <c r="E1626" t="s">
        <v>4336</v>
      </c>
      <c r="F1626" t="s">
        <v>4337</v>
      </c>
      <c r="G1626" t="s">
        <v>1183</v>
      </c>
      <c r="H1626" t="s">
        <v>254</v>
      </c>
      <c r="I1626">
        <v>2012</v>
      </c>
      <c r="J1626">
        <v>14</v>
      </c>
      <c r="K1626" t="s">
        <v>4338</v>
      </c>
      <c r="M1626" t="str">
        <f t="shared" si="2120"/>
        <v>Wells_2012</v>
      </c>
      <c r="N1626" s="311" t="s">
        <v>4382</v>
      </c>
      <c r="O1626" s="145" t="s">
        <v>1153</v>
      </c>
      <c r="Q1626" s="311" t="s">
        <v>256</v>
      </c>
      <c r="R1626" s="312"/>
      <c r="S1626" s="1" t="s">
        <v>4339</v>
      </c>
      <c r="T1626" t="s">
        <v>4340</v>
      </c>
      <c r="U1626" t="s">
        <v>4341</v>
      </c>
      <c r="V1626">
        <v>0</v>
      </c>
      <c r="W1626">
        <v>0</v>
      </c>
      <c r="X1626">
        <v>0</v>
      </c>
      <c r="Y1626">
        <v>0</v>
      </c>
      <c r="Z1626">
        <v>0</v>
      </c>
      <c r="AA1626">
        <v>0</v>
      </c>
      <c r="AB1626">
        <v>0</v>
      </c>
      <c r="AC1626">
        <v>0</v>
      </c>
      <c r="AD1626">
        <v>0</v>
      </c>
      <c r="AE1626">
        <v>0</v>
      </c>
      <c r="AF1626">
        <v>0</v>
      </c>
      <c r="AG1626">
        <v>1</v>
      </c>
      <c r="AH1626">
        <v>0</v>
      </c>
      <c r="AI1626">
        <v>0</v>
      </c>
      <c r="AJ1626">
        <v>0</v>
      </c>
      <c r="AK1626">
        <v>0</v>
      </c>
      <c r="AL1626">
        <v>0</v>
      </c>
      <c r="AM1626">
        <v>0</v>
      </c>
      <c r="AN1626">
        <v>0</v>
      </c>
      <c r="AO1626">
        <v>0</v>
      </c>
      <c r="AP1626">
        <v>0</v>
      </c>
      <c r="AQ1626">
        <v>0</v>
      </c>
      <c r="AR1626">
        <v>0</v>
      </c>
      <c r="AS1626">
        <v>0</v>
      </c>
      <c r="AT1626">
        <v>0</v>
      </c>
      <c r="AU1626">
        <v>0</v>
      </c>
      <c r="AV1626">
        <v>0</v>
      </c>
      <c r="AW1626">
        <v>0</v>
      </c>
      <c r="AX1626" s="141">
        <f t="shared" si="2123"/>
        <v>1</v>
      </c>
      <c r="AY1626" s="141">
        <f t="shared" si="2124"/>
        <v>1</v>
      </c>
      <c r="AZ1626">
        <f t="shared" si="2125"/>
        <v>0</v>
      </c>
      <c r="BA1626">
        <f t="shared" si="2126"/>
        <v>1</v>
      </c>
      <c r="BB1626">
        <f t="shared" si="2127"/>
        <v>0</v>
      </c>
      <c r="BC1626">
        <f t="shared" si="2128"/>
        <v>0</v>
      </c>
      <c r="BD1626">
        <f t="shared" si="2129"/>
        <v>0</v>
      </c>
      <c r="BE1626" t="str" cm="1">
        <f t="array" ref="BE1626">IF(AY1626=1,INDEX($V$7:$AL$7,MATCH(TRUE,INDEX($V1626:$AW1626&lt;&gt;0,),0)),IF(AY1626=0,INDEX($AM$7:$AW$7,MATCH(1,$AM1626:$AW1626,0)),IF(BF1626="Multiple strategies","mixed drivers",IF(BF1626="Supply chain","multiple supply","multiple silviculture"))))</f>
        <v>recycling</v>
      </c>
      <c r="BF1626" s="2" t="str" cm="1">
        <f t="array" ref="BF1626">IF(COUNTIF(AZ1626:BB1626,"&lt;&gt;0")=1,INDEX($V$4:$AW$4,MATCH(TRUE,INDEX($V1626:$AW1626&lt;&gt;0,),0)),IF(COUNTIF(AZ1626:BB1626,"&lt;&gt;0")=0,INDEX($AM$4:$AW$4,MATCH(1,$AM1626:$AW1626,0)),"Multiple strategies"))</f>
        <v>Supply chain</v>
      </c>
      <c r="BM1626" s="143"/>
      <c r="BN1626" s="143"/>
      <c r="BP1626" t="s">
        <v>232</v>
      </c>
      <c r="BR1626" t="s">
        <v>4342</v>
      </c>
      <c r="BS1626">
        <f>-(2.46+0.25+0.89)</f>
        <v>-3.6</v>
      </c>
      <c r="BT1626">
        <f>-(2.46+0.25-0.86)</f>
        <v>-1.85</v>
      </c>
      <c r="BU1626" s="144">
        <f t="shared" si="2149"/>
        <v>0.51388888888888895</v>
      </c>
      <c r="BV1626" s="144">
        <f t="shared" si="2132"/>
        <v>1.75</v>
      </c>
      <c r="BW1626" s="144"/>
      <c r="BX1626">
        <f t="shared" si="2133"/>
        <v>1.75E-3</v>
      </c>
      <c r="BY1626" t="str">
        <f t="shared" si="2070"/>
        <v/>
      </c>
      <c r="BZ1626">
        <v>0</v>
      </c>
      <c r="CA1626">
        <v>0</v>
      </c>
      <c r="CB1626">
        <v>0</v>
      </c>
      <c r="CC1626">
        <v>0</v>
      </c>
      <c r="CD1626">
        <v>0</v>
      </c>
      <c r="CE1626">
        <v>0</v>
      </c>
      <c r="CF1626">
        <v>0</v>
      </c>
      <c r="CG1626">
        <v>0</v>
      </c>
      <c r="CH1626">
        <v>0</v>
      </c>
      <c r="CI1626">
        <v>0</v>
      </c>
      <c r="CJ1626">
        <v>0</v>
      </c>
      <c r="CK1626">
        <v>0</v>
      </c>
      <c r="CL1626">
        <v>0</v>
      </c>
      <c r="CM1626">
        <v>0</v>
      </c>
      <c r="CN1626" t="str">
        <f t="shared" si="2150"/>
        <v>refOK</v>
      </c>
      <c r="CO1626"/>
      <c r="CP1626"/>
      <c r="CQ1626"/>
      <c r="CR1626">
        <f t="shared" si="2134"/>
        <v>-3.6</v>
      </c>
      <c r="CS1626">
        <f t="shared" si="2135"/>
        <v>-1.85</v>
      </c>
      <c r="CT1626">
        <f t="shared" si="2136"/>
        <v>1.75E-3</v>
      </c>
      <c r="CU1626" t="str">
        <f t="shared" si="2137"/>
        <v/>
      </c>
      <c r="CV1626" s="2">
        <f t="shared" si="2138"/>
        <v>0.4861111111111111</v>
      </c>
      <c r="CW1626" s="1" t="s">
        <v>263</v>
      </c>
      <c r="CX1626" s="311" t="str">
        <f t="shared" si="2139"/>
        <v>loc</v>
      </c>
      <c r="CY1626" t="s">
        <v>428</v>
      </c>
      <c r="DB1626">
        <f t="shared" si="2151"/>
        <v>0</v>
      </c>
      <c r="DC1626" t="str">
        <f t="shared" si="2140"/>
        <v>0</v>
      </c>
      <c r="DD1626">
        <v>0</v>
      </c>
      <c r="DE1626">
        <v>0</v>
      </c>
      <c r="DF1626">
        <v>1</v>
      </c>
      <c r="DG1626">
        <v>0</v>
      </c>
      <c r="DH1626">
        <v>0</v>
      </c>
      <c r="DI1626">
        <f t="shared" si="2141"/>
        <v>1</v>
      </c>
      <c r="DJ1626" t="str">
        <f t="shared" si="2142"/>
        <v>PulpPaperInput</v>
      </c>
      <c r="DK1626">
        <f t="shared" si="2143"/>
        <v>0</v>
      </c>
      <c r="DL1626">
        <f t="shared" si="2144"/>
        <v>0</v>
      </c>
      <c r="DM1626" t="str">
        <f t="shared" si="2145"/>
        <v>Pulp/Paper</v>
      </c>
      <c r="DN1626">
        <f t="shared" si="2146"/>
        <v>0</v>
      </c>
      <c r="DO1626">
        <v>0</v>
      </c>
      <c r="DP1626">
        <v>0</v>
      </c>
      <c r="DQ1626">
        <v>0</v>
      </c>
      <c r="DR1626">
        <v>0</v>
      </c>
      <c r="DS1626">
        <v>0</v>
      </c>
      <c r="DT1626">
        <f t="shared" si="2147"/>
        <v>0</v>
      </c>
      <c r="DU1626" s="143" t="str">
        <f t="shared" si="2148"/>
        <v>explicit C balance</v>
      </c>
      <c r="DV1626">
        <v>0</v>
      </c>
      <c r="DW1626">
        <v>0</v>
      </c>
      <c r="DX1626">
        <v>0</v>
      </c>
      <c r="DY1626">
        <v>0</v>
      </c>
      <c r="DZ1626">
        <v>1</v>
      </c>
      <c r="EA1626">
        <v>1</v>
      </c>
      <c r="EB1626">
        <v>0</v>
      </c>
      <c r="EC1626">
        <v>1</v>
      </c>
      <c r="ED1626">
        <v>0</v>
      </c>
      <c r="EE1626">
        <v>0</v>
      </c>
      <c r="EF1626">
        <v>0</v>
      </c>
      <c r="EG1626">
        <v>0</v>
      </c>
      <c r="EH1626">
        <v>0</v>
      </c>
      <c r="EI1626" s="2">
        <v>0</v>
      </c>
      <c r="EK1626" t="str">
        <f t="shared" si="2121"/>
        <v/>
      </c>
      <c r="EL1626" t="str">
        <f t="shared" si="2122"/>
        <v/>
      </c>
      <c r="EM1626" s="2" t="str">
        <f t="shared" si="2106"/>
        <v/>
      </c>
      <c r="EN1626" t="s">
        <v>4343</v>
      </c>
      <c r="EP1626" t="b">
        <f>IF(ISNUMBER(BU1626),IF(ABS(BU1626-[1]QC_indicators!$B$2)&gt;3*[1]QC_indicators!$C$2,"C ratio",IF(ISNUMBER(BY1626),IF(ABS(BY1626-[1]QC_indicators!$B$1)&gt;3*[1]QC_indicators!$C$1,"DF","no"))),IF(ISNUMBER(BY1626),IF(ABS(BY1626-[1]QC_indicators!$B$1)&gt;3*[1]QC_indicators!$C$1,"DF","no")))</f>
        <v>0</v>
      </c>
    </row>
    <row r="1627" spans="1:150" ht="15" hidden="1" customHeight="1">
      <c r="A1627" s="1" t="s">
        <v>878</v>
      </c>
      <c r="B1627" t="s">
        <v>4333</v>
      </c>
      <c r="C1627" t="s">
        <v>4334</v>
      </c>
      <c r="D1627" t="s">
        <v>4335</v>
      </c>
      <c r="E1627" t="s">
        <v>4336</v>
      </c>
      <c r="F1627" t="s">
        <v>4337</v>
      </c>
      <c r="G1627" t="s">
        <v>1183</v>
      </c>
      <c r="H1627" t="s">
        <v>254</v>
      </c>
      <c r="I1627">
        <v>2012</v>
      </c>
      <c r="J1627">
        <v>14</v>
      </c>
      <c r="K1627" t="s">
        <v>4338</v>
      </c>
      <c r="M1627" t="str">
        <f t="shared" si="2120"/>
        <v>Wells_2012</v>
      </c>
      <c r="N1627" s="311" t="s">
        <v>4382</v>
      </c>
      <c r="O1627" s="145" t="s">
        <v>1153</v>
      </c>
      <c r="Q1627" s="311" t="s">
        <v>256</v>
      </c>
      <c r="R1627" s="312"/>
      <c r="S1627" s="1" t="s">
        <v>4339</v>
      </c>
      <c r="T1627" t="s">
        <v>4340</v>
      </c>
      <c r="U1627" t="s">
        <v>4344</v>
      </c>
      <c r="V1627">
        <v>0</v>
      </c>
      <c r="W1627">
        <v>0</v>
      </c>
      <c r="X1627">
        <v>0</v>
      </c>
      <c r="Y1627">
        <v>0</v>
      </c>
      <c r="Z1627">
        <v>0</v>
      </c>
      <c r="AA1627">
        <v>0</v>
      </c>
      <c r="AB1627">
        <v>0</v>
      </c>
      <c r="AC1627">
        <v>0</v>
      </c>
      <c r="AD1627">
        <v>0</v>
      </c>
      <c r="AE1627">
        <v>0</v>
      </c>
      <c r="AF1627">
        <v>0</v>
      </c>
      <c r="AG1627">
        <v>1</v>
      </c>
      <c r="AH1627">
        <v>0</v>
      </c>
      <c r="AI1627">
        <v>0</v>
      </c>
      <c r="AJ1627">
        <v>0</v>
      </c>
      <c r="AK1627">
        <v>0</v>
      </c>
      <c r="AL1627">
        <v>0</v>
      </c>
      <c r="AM1627">
        <v>0</v>
      </c>
      <c r="AN1627">
        <v>0</v>
      </c>
      <c r="AO1627">
        <v>0</v>
      </c>
      <c r="AP1627">
        <v>0</v>
      </c>
      <c r="AQ1627">
        <v>0</v>
      </c>
      <c r="AR1627">
        <v>0</v>
      </c>
      <c r="AS1627">
        <v>0</v>
      </c>
      <c r="AT1627">
        <v>0</v>
      </c>
      <c r="AU1627">
        <v>0</v>
      </c>
      <c r="AV1627">
        <v>0</v>
      </c>
      <c r="AW1627">
        <v>0</v>
      </c>
      <c r="AX1627" s="141">
        <f t="shared" si="2123"/>
        <v>1</v>
      </c>
      <c r="AY1627" s="141">
        <f t="shared" si="2124"/>
        <v>1</v>
      </c>
      <c r="AZ1627">
        <f t="shared" si="2125"/>
        <v>0</v>
      </c>
      <c r="BA1627">
        <f t="shared" si="2126"/>
        <v>1</v>
      </c>
      <c r="BB1627">
        <f t="shared" si="2127"/>
        <v>0</v>
      </c>
      <c r="BC1627">
        <f t="shared" si="2128"/>
        <v>0</v>
      </c>
      <c r="BD1627">
        <f t="shared" si="2129"/>
        <v>0</v>
      </c>
      <c r="BE1627" t="str" cm="1">
        <f t="array" ref="BE1627">IF(AY1627=1,INDEX($V$7:$AL$7,MATCH(TRUE,INDEX($V1627:$AW1627&lt;&gt;0,),0)),IF(AY1627=0,INDEX($AM$7:$AW$7,MATCH(1,$AM1627:$AW1627,0)),IF(BF1627="Multiple strategies","mixed drivers",IF(BF1627="Supply chain","multiple supply","multiple silviculture"))))</f>
        <v>recycling</v>
      </c>
      <c r="BF1627" s="2" t="str" cm="1">
        <f t="array" ref="BF1627">IF(COUNTIF(AZ1627:BB1627,"&lt;&gt;0")=1,INDEX($V$4:$AW$4,MATCH(TRUE,INDEX($V1627:$AW1627&lt;&gt;0,),0)),IF(COUNTIF(AZ1627:BB1627,"&lt;&gt;0")=0,INDEX($AM$4:$AW$4,MATCH(1,$AM1627:$AW1627,0)),"Multiple strategies"))</f>
        <v>Supply chain</v>
      </c>
      <c r="BM1627" s="143"/>
      <c r="BN1627" s="143"/>
      <c r="BP1627" t="s">
        <v>232</v>
      </c>
      <c r="BR1627" t="s">
        <v>4342</v>
      </c>
      <c r="BS1627">
        <f>-(2.46+0.25+0.89)</f>
        <v>-3.6</v>
      </c>
      <c r="BT1627">
        <f>-2.46</f>
        <v>-2.46</v>
      </c>
      <c r="BU1627" s="144">
        <f t="shared" si="2149"/>
        <v>0.68333333333333335</v>
      </c>
      <c r="BV1627" s="144">
        <f t="shared" si="2132"/>
        <v>1.1400000000000001</v>
      </c>
      <c r="BW1627" s="144"/>
      <c r="BX1627">
        <f t="shared" si="2133"/>
        <v>1.1400000000000002E-3</v>
      </c>
      <c r="BY1627" t="str">
        <f t="shared" si="2070"/>
        <v/>
      </c>
      <c r="BZ1627">
        <v>0</v>
      </c>
      <c r="CA1627">
        <v>0</v>
      </c>
      <c r="CB1627">
        <v>0</v>
      </c>
      <c r="CC1627">
        <v>0</v>
      </c>
      <c r="CD1627">
        <v>0</v>
      </c>
      <c r="CE1627">
        <v>0</v>
      </c>
      <c r="CF1627">
        <v>0</v>
      </c>
      <c r="CG1627">
        <v>0</v>
      </c>
      <c r="CH1627">
        <v>0</v>
      </c>
      <c r="CI1627">
        <v>0</v>
      </c>
      <c r="CJ1627">
        <v>0</v>
      </c>
      <c r="CK1627">
        <v>0</v>
      </c>
      <c r="CL1627">
        <v>0</v>
      </c>
      <c r="CM1627">
        <v>0</v>
      </c>
      <c r="CN1627" t="str">
        <f t="shared" si="2150"/>
        <v>refOK</v>
      </c>
      <c r="CO1627"/>
      <c r="CP1627"/>
      <c r="CQ1627"/>
      <c r="CR1627">
        <f t="shared" si="2134"/>
        <v>-3.6</v>
      </c>
      <c r="CS1627">
        <f t="shared" si="2135"/>
        <v>-2.46</v>
      </c>
      <c r="CT1627">
        <f t="shared" si="2136"/>
        <v>1.1400000000000002E-3</v>
      </c>
      <c r="CU1627" t="str">
        <f t="shared" si="2137"/>
        <v/>
      </c>
      <c r="CV1627" s="2">
        <f t="shared" si="2138"/>
        <v>0.31666666666666671</v>
      </c>
      <c r="CW1627" s="1" t="s">
        <v>263</v>
      </c>
      <c r="CX1627" s="311" t="str">
        <f t="shared" si="2139"/>
        <v>loc</v>
      </c>
      <c r="CY1627" t="s">
        <v>428</v>
      </c>
      <c r="DB1627">
        <f t="shared" si="2151"/>
        <v>0</v>
      </c>
      <c r="DC1627" t="str">
        <f t="shared" si="2140"/>
        <v>0</v>
      </c>
      <c r="DD1627">
        <v>0</v>
      </c>
      <c r="DE1627">
        <v>0</v>
      </c>
      <c r="DF1627">
        <v>1</v>
      </c>
      <c r="DG1627">
        <v>0</v>
      </c>
      <c r="DH1627">
        <v>0</v>
      </c>
      <c r="DI1627">
        <f t="shared" si="2141"/>
        <v>1</v>
      </c>
      <c r="DJ1627" t="str">
        <f t="shared" si="2142"/>
        <v>PulpPaperInput</v>
      </c>
      <c r="DK1627">
        <f t="shared" si="2143"/>
        <v>0</v>
      </c>
      <c r="DL1627">
        <f t="shared" si="2144"/>
        <v>0</v>
      </c>
      <c r="DM1627" t="str">
        <f t="shared" si="2145"/>
        <v>Pulp/Paper</v>
      </c>
      <c r="DN1627">
        <f t="shared" si="2146"/>
        <v>0</v>
      </c>
      <c r="DO1627">
        <v>0</v>
      </c>
      <c r="DP1627">
        <v>0</v>
      </c>
      <c r="DQ1627">
        <v>0</v>
      </c>
      <c r="DR1627">
        <v>0</v>
      </c>
      <c r="DS1627">
        <v>0</v>
      </c>
      <c r="DT1627">
        <f t="shared" si="2147"/>
        <v>0</v>
      </c>
      <c r="DU1627" s="143" t="str">
        <f t="shared" si="2148"/>
        <v>explicit C balance</v>
      </c>
      <c r="DV1627">
        <v>0</v>
      </c>
      <c r="DW1627">
        <v>0</v>
      </c>
      <c r="DX1627">
        <v>0</v>
      </c>
      <c r="DY1627">
        <v>0</v>
      </c>
      <c r="DZ1627">
        <v>1</v>
      </c>
      <c r="EA1627">
        <v>1</v>
      </c>
      <c r="EB1627">
        <v>0</v>
      </c>
      <c r="EC1627">
        <v>1</v>
      </c>
      <c r="ED1627">
        <v>0</v>
      </c>
      <c r="EE1627">
        <v>0</v>
      </c>
      <c r="EF1627">
        <v>0</v>
      </c>
      <c r="EG1627">
        <v>0</v>
      </c>
      <c r="EH1627">
        <v>0</v>
      </c>
      <c r="EI1627" s="2">
        <v>0</v>
      </c>
      <c r="EK1627" t="str">
        <f t="shared" si="2121"/>
        <v/>
      </c>
      <c r="EL1627" t="str">
        <f t="shared" si="2122"/>
        <v/>
      </c>
      <c r="EM1627" s="2" t="str">
        <f t="shared" si="2106"/>
        <v/>
      </c>
      <c r="EN1627" t="s">
        <v>4343</v>
      </c>
      <c r="EP1627" t="b">
        <f>IF(ISNUMBER(BU1627),IF(ABS(BU1627-[1]QC_indicators!$B$2)&gt;3*[1]QC_indicators!$C$2,"C ratio",IF(ISNUMBER(BY1627),IF(ABS(BY1627-[1]QC_indicators!$B$1)&gt;3*[1]QC_indicators!$C$1,"DF","no"))),IF(ISNUMBER(BY1627),IF(ABS(BY1627-[1]QC_indicators!$B$1)&gt;3*[1]QC_indicators!$C$1,"DF","no")))</f>
        <v>0</v>
      </c>
    </row>
    <row r="1628" spans="1:150" ht="15" hidden="1" customHeight="1">
      <c r="A1628" s="1" t="s">
        <v>2066</v>
      </c>
      <c r="D1628" t="s">
        <v>2462</v>
      </c>
      <c r="E1628" t="s">
        <v>2463</v>
      </c>
      <c r="G1628" t="s">
        <v>2464</v>
      </c>
      <c r="I1628">
        <v>2005</v>
      </c>
      <c r="K1628" t="s">
        <v>2465</v>
      </c>
      <c r="M1628" t="str">
        <f t="shared" si="2120"/>
        <v>Werner_2005</v>
      </c>
      <c r="N1628" t="s">
        <v>222</v>
      </c>
      <c r="O1628" s="145" t="s">
        <v>225</v>
      </c>
      <c r="Q1628" t="s">
        <v>256</v>
      </c>
      <c r="R1628" s="262" t="s">
        <v>223</v>
      </c>
      <c r="S1628" s="1" t="s">
        <v>2466</v>
      </c>
      <c r="T1628" t="s">
        <v>2467</v>
      </c>
      <c r="U1628" t="s">
        <v>2468</v>
      </c>
      <c r="V1628" s="143">
        <v>0</v>
      </c>
      <c r="W1628" s="143">
        <v>0</v>
      </c>
      <c r="X1628" s="143">
        <v>0</v>
      </c>
      <c r="Y1628" s="143">
        <v>0</v>
      </c>
      <c r="Z1628" s="143">
        <v>0</v>
      </c>
      <c r="AA1628" s="143">
        <v>0</v>
      </c>
      <c r="AB1628" s="143">
        <v>0</v>
      </c>
      <c r="AC1628" s="143">
        <v>0</v>
      </c>
      <c r="AD1628" s="143">
        <v>0</v>
      </c>
      <c r="AE1628" s="143">
        <v>0</v>
      </c>
      <c r="AF1628" s="143">
        <v>0</v>
      </c>
      <c r="AG1628" s="143">
        <v>0</v>
      </c>
      <c r="AH1628" s="143">
        <v>0</v>
      </c>
      <c r="AI1628" s="143">
        <v>0</v>
      </c>
      <c r="AJ1628" s="143">
        <v>0</v>
      </c>
      <c r="AK1628" s="143">
        <v>1</v>
      </c>
      <c r="AL1628" s="143">
        <v>0</v>
      </c>
      <c r="AM1628" s="143">
        <v>0</v>
      </c>
      <c r="AN1628" s="143">
        <v>0</v>
      </c>
      <c r="AO1628" s="143">
        <v>0</v>
      </c>
      <c r="AP1628" s="143">
        <v>0</v>
      </c>
      <c r="AQ1628" s="143">
        <v>0</v>
      </c>
      <c r="AR1628" s="143">
        <v>0</v>
      </c>
      <c r="AS1628" s="143">
        <v>0</v>
      </c>
      <c r="AT1628" s="143">
        <v>0</v>
      </c>
      <c r="AU1628" s="143">
        <v>0</v>
      </c>
      <c r="AV1628" s="143">
        <v>0</v>
      </c>
      <c r="AW1628" s="143">
        <v>0</v>
      </c>
      <c r="AX1628" s="141">
        <f t="shared" si="2123"/>
        <v>1</v>
      </c>
      <c r="AY1628" s="141">
        <f t="shared" si="2124"/>
        <v>1</v>
      </c>
      <c r="AZ1628">
        <f t="shared" si="2125"/>
        <v>0</v>
      </c>
      <c r="BA1628">
        <f t="shared" si="2126"/>
        <v>0</v>
      </c>
      <c r="BB1628">
        <f t="shared" si="2127"/>
        <v>1</v>
      </c>
      <c r="BC1628">
        <f t="shared" si="2128"/>
        <v>0</v>
      </c>
      <c r="BD1628">
        <f t="shared" si="2129"/>
        <v>0</v>
      </c>
      <c r="BE1628" t="str">
        <f t="array" ref="BE1628">IF(AY1628=1,INDEX($V$7:$AL$7,MATCH(TRUE,INDEX($V1628:$AW1628&lt;&gt;0,),0)),IF(AY1628=0,INDEX($AM$7:$AW$7,MATCH(1,$AM1628:$AW1628,0)),IF(BF1628="Multiple strategies","mixed drivers",IF(BF1628="Supply chain","multiple supply","multiple silviculture"))))</f>
        <v>technologies/design switch</v>
      </c>
      <c r="BF1628" s="2" t="str" cm="1">
        <f t="array" ref="BF1628">IF(COUNTIF(AZ1628:BB1628,"&lt;&gt;0")=1,INDEX($V$4:$AW$4,MATCH(TRUE,INDEX($V1628:$AW1628&lt;&gt;0,),0)),IF(COUNTIF(AZ1628:BB1628,"&lt;&gt;0")=0,INDEX($AM$4:$AW$4,MATCH(1,$AM1628:$AW1628,0)),"Multiple strategies"))</f>
        <v>Technology</v>
      </c>
      <c r="BG1628" s="1" t="s">
        <v>321</v>
      </c>
      <c r="BH1628" t="s">
        <v>2469</v>
      </c>
      <c r="BJ1628" t="s">
        <v>2470</v>
      </c>
      <c r="BK1628">
        <v>2.73</v>
      </c>
      <c r="BL1628">
        <v>3.54</v>
      </c>
      <c r="BN1628">
        <f t="shared" ref="BN1628:BN1661" si="2152">BL1628-BK1628</f>
        <v>0.81</v>
      </c>
      <c r="BO1628">
        <f t="shared" ref="BO1628:BO1644" si="2153">BN1628*10^6</f>
        <v>810000</v>
      </c>
      <c r="BP1628" t="s">
        <v>232</v>
      </c>
      <c r="BR1628" t="s">
        <v>2471</v>
      </c>
      <c r="BS1628">
        <v>0</v>
      </c>
      <c r="BT1628">
        <f>126/130</f>
        <v>0.96923076923076923</v>
      </c>
      <c r="BU1628" s="144" t="str">
        <f t="shared" si="2149"/>
        <v/>
      </c>
      <c r="BV1628">
        <f t="shared" si="2132"/>
        <v>0.96923076923076923</v>
      </c>
      <c r="BX1628">
        <f t="shared" ref="BX1628:BX1661" si="2154">BV1628*10^6</f>
        <v>969230.76923076925</v>
      </c>
      <c r="BY1628">
        <f t="shared" si="2070"/>
        <v>1.1965811965811965</v>
      </c>
      <c r="BZ1628" s="143">
        <v>0</v>
      </c>
      <c r="CA1628" s="143">
        <v>0</v>
      </c>
      <c r="CB1628" s="143">
        <v>0</v>
      </c>
      <c r="CC1628" s="143">
        <v>0</v>
      </c>
      <c r="CD1628" s="143">
        <v>0</v>
      </c>
      <c r="CE1628" s="143">
        <v>0</v>
      </c>
      <c r="CF1628" s="143">
        <v>0</v>
      </c>
      <c r="CG1628" s="143">
        <v>0</v>
      </c>
      <c r="CH1628" s="143">
        <v>0</v>
      </c>
      <c r="CI1628" s="143">
        <v>0</v>
      </c>
      <c r="CJ1628" s="143">
        <v>0</v>
      </c>
      <c r="CK1628" s="143">
        <v>0</v>
      </c>
      <c r="CL1628" s="143">
        <v>0</v>
      </c>
      <c r="CM1628" s="143">
        <v>0</v>
      </c>
      <c r="CN1628" t="str">
        <f t="shared" si="2150"/>
        <v>refOK</v>
      </c>
      <c r="CO1628">
        <f t="shared" ref="CO1628:CO1637" si="2155">IF($CN1628="refOK",$BK1628,$BL1628)</f>
        <v>2.73</v>
      </c>
      <c r="CP1628">
        <f t="shared" ref="CP1628:CP1637" si="2156">IF($CN1628="refOK",$BL1628,$BK1628)</f>
        <v>3.54</v>
      </c>
      <c r="CQ1628">
        <f t="shared" ref="CQ1628:CQ1661" si="2157">IF($CN1628="refOK",$BO1628,-$BO1628)</f>
        <v>810000</v>
      </c>
      <c r="CR1628">
        <f t="shared" si="2134"/>
        <v>0</v>
      </c>
      <c r="CS1628">
        <f t="shared" si="2135"/>
        <v>0.96923076923076923</v>
      </c>
      <c r="CT1628">
        <f t="shared" si="2136"/>
        <v>969230.76923076925</v>
      </c>
      <c r="CU1628">
        <f t="shared" si="2137"/>
        <v>1.1965811965811965</v>
      </c>
      <c r="CV1628" s="2" t="str">
        <f t="shared" si="2138"/>
        <v/>
      </c>
      <c r="CW1628" s="1" t="s">
        <v>1202</v>
      </c>
      <c r="CX1628" t="str">
        <f t="shared" si="2139"/>
        <v>reg</v>
      </c>
      <c r="CY1628" t="s">
        <v>639</v>
      </c>
      <c r="CZ1628">
        <v>2000</v>
      </c>
      <c r="DA1628">
        <v>2130</v>
      </c>
      <c r="DB1628">
        <f t="shared" si="2151"/>
        <v>130</v>
      </c>
      <c r="DC1628" t="str">
        <f t="shared" si="2140"/>
        <v>+100</v>
      </c>
      <c r="DD1628">
        <v>0</v>
      </c>
      <c r="DE1628">
        <v>0</v>
      </c>
      <c r="DF1628">
        <v>0</v>
      </c>
      <c r="DG1628">
        <v>1</v>
      </c>
      <c r="DH1628">
        <v>0</v>
      </c>
      <c r="DI1628">
        <f t="shared" si="2141"/>
        <v>1</v>
      </c>
      <c r="DJ1628" t="str">
        <f t="shared" si="2142"/>
        <v>TimberInput</v>
      </c>
      <c r="DK1628">
        <f t="shared" si="2143"/>
        <v>0</v>
      </c>
      <c r="DL1628">
        <f t="shared" si="2144"/>
        <v>0</v>
      </c>
      <c r="DM1628">
        <f t="shared" si="2145"/>
        <v>0</v>
      </c>
      <c r="DN1628" t="str">
        <f t="shared" si="2146"/>
        <v>Timber</v>
      </c>
      <c r="DO1628">
        <v>1</v>
      </c>
      <c r="DP1628" s="143">
        <v>0</v>
      </c>
      <c r="DQ1628">
        <v>0</v>
      </c>
      <c r="DR1628">
        <v>0</v>
      </c>
      <c r="DS1628">
        <v>0</v>
      </c>
      <c r="DT1628">
        <f t="shared" si="2147"/>
        <v>1</v>
      </c>
      <c r="DU1628" s="143" t="str">
        <f t="shared" si="2148"/>
        <v>self-calculated DF</v>
      </c>
      <c r="DV1628" s="143">
        <v>0</v>
      </c>
      <c r="DW1628" s="143">
        <v>0</v>
      </c>
      <c r="DX1628" s="143">
        <v>0</v>
      </c>
      <c r="DY1628" s="143">
        <v>1</v>
      </c>
      <c r="DZ1628" s="143">
        <v>0</v>
      </c>
      <c r="EA1628" s="143">
        <v>0</v>
      </c>
      <c r="EB1628" s="143">
        <v>0</v>
      </c>
      <c r="EC1628" s="143">
        <v>1</v>
      </c>
      <c r="ED1628" s="143">
        <v>0</v>
      </c>
      <c r="EE1628" s="143">
        <v>1</v>
      </c>
      <c r="EF1628" s="143">
        <v>0</v>
      </c>
      <c r="EG1628" s="143">
        <v>0</v>
      </c>
      <c r="EH1628" s="143">
        <v>0</v>
      </c>
      <c r="EI1628" s="196">
        <v>0</v>
      </c>
      <c r="EK1628" t="str">
        <f t="shared" ref="EK1628:EK1661" si="2158">IF(AND(AND(AND(OR($DX1628=1,$DW1628=1),OR($EC1628=1,$EA1628=1)),SUM($DV1628:$DZ1628,$EF1628)&gt;=4),SUM($EA1628:$EE1628)&gt;=2),"Whole sector","")</f>
        <v/>
      </c>
      <c r="EL1628" t="str">
        <f t="shared" ref="EL1628:EL1661" si="2159">IF(AND(AND(OR($DX1628=1,$DW1628=1),AND($EC1628=0,$EA1628=0)),SUM($DV1628:$DZ1628,$EF1628)&gt;=4),"Ecosystem approach","")</f>
        <v/>
      </c>
      <c r="EM1628" s="2" t="str">
        <f t="shared" si="2106"/>
        <v>Technology approach</v>
      </c>
      <c r="EN1628" t="s">
        <v>2472</v>
      </c>
      <c r="EP1628" t="str">
        <f>IF(ISNUMBER(BU1628),IF(ABS(BU1628-[3]QC_indicators!$B$2)&gt;3*[3]QC_indicators!$C$2,"C ratio",IF(ISNUMBER(BY1628),IF(ABS(BY1628-[3]QC_indicators!$B$1)&gt;3*[3]QC_indicators!$C$1,"DF","no"))),IF(ISNUMBER(BY1628),IF(ABS(BY1628-[3]QC_indicators!$B$1)&gt;3*[3]QC_indicators!$C$1,"DF","no")))</f>
        <v>no</v>
      </c>
      <c r="EQ1628" t="s">
        <v>1163</v>
      </c>
      <c r="ER1628" t="s">
        <v>2473</v>
      </c>
      <c r="ET1628" s="264" t="s">
        <v>3272</v>
      </c>
    </row>
    <row r="1629" spans="1:150" ht="15" hidden="1" customHeight="1">
      <c r="A1629" s="1" t="s">
        <v>1807</v>
      </c>
      <c r="B1629" t="s">
        <v>2474</v>
      </c>
      <c r="C1629" t="s">
        <v>2475</v>
      </c>
      <c r="D1629" t="s">
        <v>2476</v>
      </c>
      <c r="E1629" t="s">
        <v>2477</v>
      </c>
      <c r="F1629" t="s">
        <v>2478</v>
      </c>
      <c r="G1629" t="s">
        <v>1813</v>
      </c>
      <c r="H1629" t="s">
        <v>254</v>
      </c>
      <c r="I1629">
        <v>2010</v>
      </c>
      <c r="J1629">
        <v>100</v>
      </c>
      <c r="K1629" t="s">
        <v>2479</v>
      </c>
      <c r="M1629" t="str">
        <f t="shared" si="2120"/>
        <v>Werner_2010</v>
      </c>
      <c r="N1629" t="s">
        <v>222</v>
      </c>
      <c r="O1629" s="145" t="s">
        <v>1153</v>
      </c>
      <c r="Q1629" t="s">
        <v>256</v>
      </c>
      <c r="R1629" s="262" t="s">
        <v>223</v>
      </c>
      <c r="S1629" s="1" t="s">
        <v>2480</v>
      </c>
      <c r="T1629" t="s">
        <v>2481</v>
      </c>
      <c r="U1629" t="s">
        <v>1154</v>
      </c>
      <c r="V1629">
        <v>1</v>
      </c>
      <c r="W1629">
        <v>0</v>
      </c>
      <c r="X1629">
        <v>2</v>
      </c>
      <c r="Y1629">
        <v>0</v>
      </c>
      <c r="Z1629">
        <v>0</v>
      </c>
      <c r="AA1629">
        <v>0</v>
      </c>
      <c r="AB1629">
        <v>0</v>
      </c>
      <c r="AC1629">
        <v>0</v>
      </c>
      <c r="AD1629">
        <v>0</v>
      </c>
      <c r="AE1629">
        <v>0</v>
      </c>
      <c r="AF1629">
        <v>0</v>
      </c>
      <c r="AG1629">
        <v>0</v>
      </c>
      <c r="AH1629">
        <v>0</v>
      </c>
      <c r="AI1629">
        <v>0</v>
      </c>
      <c r="AJ1629">
        <v>0</v>
      </c>
      <c r="AK1629">
        <v>0</v>
      </c>
      <c r="AL1629">
        <v>0</v>
      </c>
      <c r="AM1629">
        <v>0</v>
      </c>
      <c r="AN1629">
        <v>0</v>
      </c>
      <c r="AO1629">
        <v>0</v>
      </c>
      <c r="AP1629">
        <v>0</v>
      </c>
      <c r="AQ1629">
        <v>0</v>
      </c>
      <c r="AR1629">
        <v>0</v>
      </c>
      <c r="AS1629">
        <v>0</v>
      </c>
      <c r="AT1629">
        <v>0</v>
      </c>
      <c r="AU1629">
        <v>0</v>
      </c>
      <c r="AV1629">
        <v>0</v>
      </c>
      <c r="AW1629">
        <v>0</v>
      </c>
      <c r="AX1629" s="141">
        <f t="shared" si="2123"/>
        <v>2</v>
      </c>
      <c r="AY1629" s="141">
        <f t="shared" si="2124"/>
        <v>2</v>
      </c>
      <c r="AZ1629">
        <f t="shared" si="2125"/>
        <v>2</v>
      </c>
      <c r="BA1629">
        <f t="shared" si="2126"/>
        <v>0</v>
      </c>
      <c r="BB1629">
        <f t="shared" si="2127"/>
        <v>0</v>
      </c>
      <c r="BC1629">
        <f t="shared" si="2128"/>
        <v>0</v>
      </c>
      <c r="BD1629">
        <f t="shared" si="2129"/>
        <v>0</v>
      </c>
      <c r="BE1629" t="str">
        <f t="array" ref="BE1629">IF(AY1629=1,INDEX($V$7:$AL$7,MATCH(TRUE,INDEX($V1629:$AW1629&lt;&gt;0,),0)),IF(AY1629=0,INDEX($AM$7:$AW$7,MATCH(1,$AM1629:$AW1629,0)),IF(BF1629="Multiple strategies","mixed drivers",IF(BF1629="Supply chain","multiple supply","multiple silviculture"))))</f>
        <v>multiple silviculture</v>
      </c>
      <c r="BF1629" s="2" t="str" cm="1">
        <f t="array" ref="BF1629">IF(COUNTIF(AZ1629:BB1629,"&lt;&gt;0")=1,INDEX($V$4:$AW$4,MATCH(TRUE,INDEX($V1629:$AW1629&lt;&gt;0,),0)),IF(COUNTIF(AZ1629:BB1629,"&lt;&gt;0")=0,INDEX($AM$4:$AW$4,MATCH(1,$AM1629:$AW1629,0)),"Multiple strategies"))</f>
        <v>Silviculture for removals</v>
      </c>
      <c r="BG1629" s="1" t="s">
        <v>321</v>
      </c>
      <c r="BH1629" t="s">
        <v>2452</v>
      </c>
      <c r="BI1629" s="264" t="s">
        <v>3251</v>
      </c>
      <c r="BJ1629" t="s">
        <v>1322</v>
      </c>
      <c r="BK1629">
        <v>120</v>
      </c>
      <c r="BL1629">
        <v>163.5</v>
      </c>
      <c r="BM1629" s="143">
        <f t="shared" ref="BM1629:BM1661" si="2160">BL1629/BK1629</f>
        <v>1.3625</v>
      </c>
      <c r="BN1629">
        <f t="shared" si="2152"/>
        <v>43.5</v>
      </c>
      <c r="BO1629">
        <f t="shared" si="2153"/>
        <v>43500000</v>
      </c>
      <c r="BP1629" t="s">
        <v>232</v>
      </c>
      <c r="BQ1629" s="153" t="s">
        <v>3252</v>
      </c>
      <c r="BR1629" t="s">
        <v>2324</v>
      </c>
      <c r="BS1629">
        <v>223.834792619919</v>
      </c>
      <c r="BT1629">
        <v>74.937586702500695</v>
      </c>
      <c r="BU1629" s="144">
        <f t="shared" si="2149"/>
        <v>0.33478971622498344</v>
      </c>
      <c r="BV1629" s="144">
        <f t="shared" si="2132"/>
        <v>-148.89720591741832</v>
      </c>
      <c r="BW1629" s="144"/>
      <c r="BX1629">
        <f t="shared" si="2154"/>
        <v>-148897205.91741833</v>
      </c>
      <c r="BY1629">
        <f t="shared" si="2070"/>
        <v>-3.4229242739636399</v>
      </c>
      <c r="BZ1629">
        <v>0</v>
      </c>
      <c r="CA1629">
        <v>0</v>
      </c>
      <c r="CB1629">
        <v>0</v>
      </c>
      <c r="CC1629">
        <v>0</v>
      </c>
      <c r="CD1629">
        <v>0</v>
      </c>
      <c r="CE1629">
        <v>0</v>
      </c>
      <c r="CF1629">
        <v>0</v>
      </c>
      <c r="CG1629">
        <v>0</v>
      </c>
      <c r="CH1629">
        <v>0</v>
      </c>
      <c r="CI1629">
        <v>0</v>
      </c>
      <c r="CJ1629">
        <v>0</v>
      </c>
      <c r="CK1629">
        <v>0</v>
      </c>
      <c r="CL1629">
        <v>0</v>
      </c>
      <c r="CM1629">
        <v>1</v>
      </c>
      <c r="CN1629" t="str">
        <f t="shared" ref="CN1629:CN1661" si="2161">IF($BL1629&lt;$BK1629,"refNeedCorrection","refOK")</f>
        <v>refOK</v>
      </c>
      <c r="CO1629">
        <f t="shared" si="2155"/>
        <v>120</v>
      </c>
      <c r="CP1629">
        <f t="shared" si="2156"/>
        <v>163.5</v>
      </c>
      <c r="CQ1629">
        <f t="shared" si="2157"/>
        <v>43500000</v>
      </c>
      <c r="CR1629">
        <f t="shared" si="2134"/>
        <v>223.834792619919</v>
      </c>
      <c r="CS1629">
        <f t="shared" si="2135"/>
        <v>74.937586702500695</v>
      </c>
      <c r="CT1629">
        <f t="shared" si="2136"/>
        <v>-148897205.91741833</v>
      </c>
      <c r="CU1629">
        <f t="shared" si="2137"/>
        <v>-3.4229242739636399</v>
      </c>
      <c r="CV1629" s="2">
        <f t="shared" si="2138"/>
        <v>-0.66521028377501668</v>
      </c>
      <c r="CW1629" s="1" t="s">
        <v>1202</v>
      </c>
      <c r="CX1629" t="str">
        <f t="shared" si="2139"/>
        <v>reg</v>
      </c>
      <c r="CY1629" t="s">
        <v>639</v>
      </c>
      <c r="CZ1629">
        <v>2000</v>
      </c>
      <c r="DA1629">
        <v>2030</v>
      </c>
      <c r="DB1629">
        <f t="shared" si="2151"/>
        <v>30</v>
      </c>
      <c r="DC1629" t="str">
        <f t="shared" si="2140"/>
        <v>1-30</v>
      </c>
      <c r="DD1629">
        <v>1</v>
      </c>
      <c r="DE1629">
        <v>0</v>
      </c>
      <c r="DF1629">
        <v>0</v>
      </c>
      <c r="DG1629">
        <v>0</v>
      </c>
      <c r="DH1629">
        <v>0</v>
      </c>
      <c r="DI1629">
        <f t="shared" si="2141"/>
        <v>1</v>
      </c>
      <c r="DJ1629" t="str">
        <f t="shared" si="2142"/>
        <v>UpstreamInput</v>
      </c>
      <c r="DK1629" t="str">
        <f t="shared" si="2143"/>
        <v>Upstream</v>
      </c>
      <c r="DL1629">
        <f t="shared" si="2144"/>
        <v>0</v>
      </c>
      <c r="DM1629">
        <f t="shared" si="2145"/>
        <v>0</v>
      </c>
      <c r="DN1629">
        <f t="shared" si="2146"/>
        <v>0</v>
      </c>
      <c r="DO1629">
        <v>0</v>
      </c>
      <c r="DP1629">
        <v>0</v>
      </c>
      <c r="DT1629">
        <f t="shared" si="2147"/>
        <v>0</v>
      </c>
      <c r="DU1629" s="143" t="str">
        <f t="shared" si="2148"/>
        <v>explicit C balance</v>
      </c>
      <c r="DV1629">
        <v>1</v>
      </c>
      <c r="DW1629">
        <v>1</v>
      </c>
      <c r="DX1629">
        <v>1</v>
      </c>
      <c r="DY1629">
        <v>0</v>
      </c>
      <c r="DZ1629">
        <v>0</v>
      </c>
      <c r="EA1629" s="143">
        <v>0</v>
      </c>
      <c r="EB1629">
        <v>0</v>
      </c>
      <c r="EC1629">
        <v>0</v>
      </c>
      <c r="ED1629">
        <v>0</v>
      </c>
      <c r="EE1629">
        <v>0</v>
      </c>
      <c r="EF1629">
        <v>1</v>
      </c>
      <c r="EG1629">
        <v>0</v>
      </c>
      <c r="EH1629">
        <v>0</v>
      </c>
      <c r="EI1629" s="2">
        <v>0</v>
      </c>
      <c r="EK1629" t="str">
        <f t="shared" si="2158"/>
        <v/>
      </c>
      <c r="EL1629" t="str">
        <f t="shared" si="2159"/>
        <v>Ecosystem approach</v>
      </c>
      <c r="EM1629" s="2" t="str">
        <f t="shared" si="2106"/>
        <v/>
      </c>
      <c r="EN1629" t="s">
        <v>2484</v>
      </c>
      <c r="EP1629" t="str">
        <f>IF(ISNUMBER(BU1629),IF(ABS(BU1629-[3]QC_indicators!$B$2)&gt;3*[3]QC_indicators!$C$2,"C ratio",IF(ISNUMBER(BY1629),IF(ABS(BY1629-[3]QC_indicators!$B$1)&gt;3*[3]QC_indicators!$C$1,"DF","no"))),IF(ISNUMBER(BY1629),IF(ABS(BY1629-[3]QC_indicators!$B$1)&gt;3*[3]QC_indicators!$C$1,"DF","no")))</f>
        <v>no</v>
      </c>
      <c r="ET1629" s="264" t="s">
        <v>3253</v>
      </c>
    </row>
    <row r="1630" spans="1:150" ht="15" hidden="1" customHeight="1">
      <c r="A1630" s="1" t="s">
        <v>1807</v>
      </c>
      <c r="B1630" t="s">
        <v>2474</v>
      </c>
      <c r="C1630" t="s">
        <v>2475</v>
      </c>
      <c r="D1630" t="s">
        <v>2476</v>
      </c>
      <c r="E1630" t="s">
        <v>2477</v>
      </c>
      <c r="F1630" t="s">
        <v>2478</v>
      </c>
      <c r="G1630" t="s">
        <v>1813</v>
      </c>
      <c r="H1630" t="s">
        <v>254</v>
      </c>
      <c r="I1630">
        <v>2010</v>
      </c>
      <c r="J1630">
        <v>100</v>
      </c>
      <c r="K1630" t="s">
        <v>2479</v>
      </c>
      <c r="M1630" t="str">
        <f t="shared" si="2120"/>
        <v>Werner_2010</v>
      </c>
      <c r="N1630" t="s">
        <v>222</v>
      </c>
      <c r="O1630" s="145" t="s">
        <v>1153</v>
      </c>
      <c r="Q1630" t="s">
        <v>256</v>
      </c>
      <c r="R1630" s="262" t="s">
        <v>223</v>
      </c>
      <c r="S1630" s="1" t="s">
        <v>2480</v>
      </c>
      <c r="T1630" t="s">
        <v>2481</v>
      </c>
      <c r="U1630" t="s">
        <v>1154</v>
      </c>
      <c r="V1630">
        <v>1</v>
      </c>
      <c r="W1630">
        <v>0</v>
      </c>
      <c r="X1630">
        <v>2</v>
      </c>
      <c r="Y1630">
        <v>0</v>
      </c>
      <c r="Z1630">
        <v>0</v>
      </c>
      <c r="AA1630">
        <v>0</v>
      </c>
      <c r="AB1630">
        <v>0</v>
      </c>
      <c r="AC1630">
        <v>0</v>
      </c>
      <c r="AD1630">
        <v>0</v>
      </c>
      <c r="AE1630">
        <v>0</v>
      </c>
      <c r="AF1630">
        <v>0</v>
      </c>
      <c r="AG1630">
        <v>0</v>
      </c>
      <c r="AH1630">
        <v>0</v>
      </c>
      <c r="AI1630">
        <v>0</v>
      </c>
      <c r="AJ1630">
        <v>0</v>
      </c>
      <c r="AK1630">
        <v>0</v>
      </c>
      <c r="AL1630">
        <v>0</v>
      </c>
      <c r="AM1630">
        <v>0</v>
      </c>
      <c r="AN1630">
        <v>0</v>
      </c>
      <c r="AO1630">
        <v>0</v>
      </c>
      <c r="AP1630">
        <v>0</v>
      </c>
      <c r="AQ1630">
        <v>0</v>
      </c>
      <c r="AR1630">
        <v>0</v>
      </c>
      <c r="AS1630">
        <v>0</v>
      </c>
      <c r="AT1630">
        <v>0</v>
      </c>
      <c r="AU1630">
        <v>0</v>
      </c>
      <c r="AV1630">
        <v>0</v>
      </c>
      <c r="AW1630">
        <v>0</v>
      </c>
      <c r="AX1630" s="141">
        <f t="shared" si="2123"/>
        <v>2</v>
      </c>
      <c r="AY1630" s="141">
        <f t="shared" si="2124"/>
        <v>2</v>
      </c>
      <c r="AZ1630">
        <f t="shared" si="2125"/>
        <v>2</v>
      </c>
      <c r="BA1630">
        <f t="shared" si="2126"/>
        <v>0</v>
      </c>
      <c r="BB1630">
        <f t="shared" si="2127"/>
        <v>0</v>
      </c>
      <c r="BC1630">
        <f t="shared" si="2128"/>
        <v>0</v>
      </c>
      <c r="BD1630">
        <f t="shared" si="2129"/>
        <v>0</v>
      </c>
      <c r="BE1630" t="str">
        <f t="array" ref="BE1630">IF(AY1630=1,INDEX($V$7:$AL$7,MATCH(TRUE,INDEX($V1630:$AW1630&lt;&gt;0,),0)),IF(AY1630=0,INDEX($AM$7:$AW$7,MATCH(1,$AM1630:$AW1630,0)),IF(BF1630="Multiple strategies","mixed drivers",IF(BF1630="Supply chain","multiple supply","multiple silviculture"))))</f>
        <v>multiple silviculture</v>
      </c>
      <c r="BF1630" s="2" t="str" cm="1">
        <f t="array" ref="BF1630">IF(COUNTIF(AZ1630:BB1630,"&lt;&gt;0")=1,INDEX($V$4:$AW$4,MATCH(TRUE,INDEX($V1630:$AW1630&lt;&gt;0,),0)),IF(COUNTIF(AZ1630:BB1630,"&lt;&gt;0")=0,INDEX($AM$4:$AW$4,MATCH(1,$AM1630:$AW1630,0)),"Multiple strategies"))</f>
        <v>Silviculture for removals</v>
      </c>
      <c r="BG1630" s="1" t="s">
        <v>321</v>
      </c>
      <c r="BH1630" t="s">
        <v>2452</v>
      </c>
      <c r="BI1630" s="264" t="s">
        <v>3251</v>
      </c>
      <c r="BJ1630" t="s">
        <v>1322</v>
      </c>
      <c r="BK1630">
        <v>120</v>
      </c>
      <c r="BL1630">
        <v>163.5</v>
      </c>
      <c r="BM1630" s="143">
        <f t="shared" si="2160"/>
        <v>1.3625</v>
      </c>
      <c r="BN1630">
        <f t="shared" si="2152"/>
        <v>43.5</v>
      </c>
      <c r="BO1630">
        <f t="shared" si="2153"/>
        <v>43500000</v>
      </c>
      <c r="BP1630" t="s">
        <v>232</v>
      </c>
      <c r="BQ1630" s="153" t="s">
        <v>3252</v>
      </c>
      <c r="BR1630" t="s">
        <v>2324</v>
      </c>
      <c r="BS1630">
        <v>227.98379614391621</v>
      </c>
      <c r="BT1630">
        <v>97.758786940762292</v>
      </c>
      <c r="BU1630" s="144">
        <f t="shared" si="2149"/>
        <v>0.4287970838026201</v>
      </c>
      <c r="BV1630" s="144">
        <f t="shared" si="2132"/>
        <v>-130.22500920315392</v>
      </c>
      <c r="BW1630" s="144"/>
      <c r="BX1630">
        <f t="shared" si="2154"/>
        <v>-130225009.20315392</v>
      </c>
      <c r="BY1630">
        <f t="shared" si="2070"/>
        <v>-2.993678372486297</v>
      </c>
      <c r="BZ1630">
        <v>0</v>
      </c>
      <c r="CA1630">
        <v>0</v>
      </c>
      <c r="CB1630">
        <v>0</v>
      </c>
      <c r="CC1630">
        <v>0</v>
      </c>
      <c r="CD1630">
        <v>0</v>
      </c>
      <c r="CE1630">
        <v>0</v>
      </c>
      <c r="CF1630">
        <v>0</v>
      </c>
      <c r="CG1630">
        <v>0</v>
      </c>
      <c r="CH1630">
        <v>0</v>
      </c>
      <c r="CI1630">
        <v>0</v>
      </c>
      <c r="CJ1630">
        <v>0</v>
      </c>
      <c r="CK1630">
        <v>0</v>
      </c>
      <c r="CL1630">
        <v>0</v>
      </c>
      <c r="CM1630">
        <v>1</v>
      </c>
      <c r="CN1630" t="str">
        <f t="shared" si="2161"/>
        <v>refOK</v>
      </c>
      <c r="CO1630">
        <f t="shared" si="2155"/>
        <v>120</v>
      </c>
      <c r="CP1630">
        <f t="shared" si="2156"/>
        <v>163.5</v>
      </c>
      <c r="CQ1630">
        <f t="shared" si="2157"/>
        <v>43500000</v>
      </c>
      <c r="CR1630">
        <f t="shared" si="2134"/>
        <v>227.98379614391621</v>
      </c>
      <c r="CS1630">
        <f t="shared" si="2135"/>
        <v>97.758786940762292</v>
      </c>
      <c r="CT1630">
        <f t="shared" si="2136"/>
        <v>-130225009.20315392</v>
      </c>
      <c r="CU1630">
        <f t="shared" si="2137"/>
        <v>-2.993678372486297</v>
      </c>
      <c r="CV1630" s="2">
        <f t="shared" si="2138"/>
        <v>-0.57120291619737995</v>
      </c>
      <c r="CW1630" s="1" t="s">
        <v>1202</v>
      </c>
      <c r="CX1630" t="str">
        <f t="shared" si="2139"/>
        <v>reg</v>
      </c>
      <c r="CY1630" t="s">
        <v>639</v>
      </c>
      <c r="CZ1630">
        <v>2000</v>
      </c>
      <c r="DA1630">
        <v>2030</v>
      </c>
      <c r="DB1630">
        <f t="shared" si="2151"/>
        <v>30</v>
      </c>
      <c r="DC1630" t="str">
        <f t="shared" si="2140"/>
        <v>1-30</v>
      </c>
      <c r="DD1630">
        <v>1</v>
      </c>
      <c r="DE1630">
        <v>0</v>
      </c>
      <c r="DF1630">
        <v>0</v>
      </c>
      <c r="DG1630">
        <v>0</v>
      </c>
      <c r="DH1630">
        <v>0</v>
      </c>
      <c r="DI1630">
        <f t="shared" si="2141"/>
        <v>1</v>
      </c>
      <c r="DJ1630" t="str">
        <f t="shared" si="2142"/>
        <v>UpstreamInput</v>
      </c>
      <c r="DK1630" t="str">
        <f t="shared" si="2143"/>
        <v>Upstream</v>
      </c>
      <c r="DL1630">
        <f t="shared" si="2144"/>
        <v>0</v>
      </c>
      <c r="DM1630">
        <f t="shared" si="2145"/>
        <v>0</v>
      </c>
      <c r="DN1630">
        <f t="shared" si="2146"/>
        <v>0</v>
      </c>
      <c r="DO1630">
        <v>0</v>
      </c>
      <c r="DP1630">
        <v>0</v>
      </c>
      <c r="DT1630">
        <f t="shared" si="2147"/>
        <v>0</v>
      </c>
      <c r="DU1630" s="143" t="str">
        <f t="shared" si="2148"/>
        <v>explicit C balance</v>
      </c>
      <c r="DV1630">
        <v>1</v>
      </c>
      <c r="DW1630">
        <v>1</v>
      </c>
      <c r="DX1630">
        <v>1</v>
      </c>
      <c r="DY1630">
        <v>1</v>
      </c>
      <c r="DZ1630">
        <v>1</v>
      </c>
      <c r="EA1630" s="143">
        <v>0</v>
      </c>
      <c r="EB1630">
        <v>0</v>
      </c>
      <c r="EC1630">
        <v>0</v>
      </c>
      <c r="ED1630">
        <v>0</v>
      </c>
      <c r="EE1630">
        <v>0</v>
      </c>
      <c r="EF1630">
        <v>1</v>
      </c>
      <c r="EG1630">
        <v>0</v>
      </c>
      <c r="EH1630">
        <v>0</v>
      </c>
      <c r="EI1630" s="2">
        <v>0</v>
      </c>
      <c r="EK1630" t="str">
        <f t="shared" si="2158"/>
        <v/>
      </c>
      <c r="EL1630" t="str">
        <f t="shared" si="2159"/>
        <v>Ecosystem approach</v>
      </c>
      <c r="EM1630" s="2" t="str">
        <f t="shared" si="2106"/>
        <v/>
      </c>
      <c r="EN1630" t="s">
        <v>2484</v>
      </c>
      <c r="EP1630" t="str">
        <f>IF(ISNUMBER(BU1630),IF(ABS(BU1630-[3]QC_indicators!$B$2)&gt;3*[3]QC_indicators!$C$2,"C ratio",IF(ISNUMBER(BY1630),IF(ABS(BY1630-[3]QC_indicators!$B$1)&gt;3*[3]QC_indicators!$C$1,"DF","no"))),IF(ISNUMBER(BY1630),IF(ABS(BY1630-[3]QC_indicators!$B$1)&gt;3*[3]QC_indicators!$C$1,"DF","no")))</f>
        <v>no</v>
      </c>
      <c r="ET1630" s="264" t="s">
        <v>3253</v>
      </c>
    </row>
    <row r="1631" spans="1:150" ht="15" hidden="1" customHeight="1">
      <c r="A1631" s="1" t="s">
        <v>1807</v>
      </c>
      <c r="B1631" t="s">
        <v>2474</v>
      </c>
      <c r="C1631" t="s">
        <v>2475</v>
      </c>
      <c r="D1631" t="s">
        <v>2476</v>
      </c>
      <c r="E1631" t="s">
        <v>2477</v>
      </c>
      <c r="F1631" t="s">
        <v>2478</v>
      </c>
      <c r="G1631" t="s">
        <v>1813</v>
      </c>
      <c r="H1631" t="s">
        <v>254</v>
      </c>
      <c r="I1631">
        <v>2010</v>
      </c>
      <c r="J1631">
        <v>100</v>
      </c>
      <c r="K1631" t="s">
        <v>2479</v>
      </c>
      <c r="M1631" t="str">
        <f t="shared" si="2120"/>
        <v>Werner_2010</v>
      </c>
      <c r="N1631" t="s">
        <v>222</v>
      </c>
      <c r="O1631" s="145" t="s">
        <v>1153</v>
      </c>
      <c r="Q1631" t="s">
        <v>256</v>
      </c>
      <c r="R1631" s="262" t="s">
        <v>223</v>
      </c>
      <c r="S1631" s="1" t="s">
        <v>2480</v>
      </c>
      <c r="T1631" t="s">
        <v>2481</v>
      </c>
      <c r="U1631" t="s">
        <v>1154</v>
      </c>
      <c r="V1631">
        <v>1</v>
      </c>
      <c r="W1631">
        <v>0</v>
      </c>
      <c r="X1631">
        <v>2</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s="141">
        <f t="shared" si="2123"/>
        <v>2</v>
      </c>
      <c r="AY1631" s="141">
        <f t="shared" si="2124"/>
        <v>2</v>
      </c>
      <c r="AZ1631">
        <f t="shared" si="2125"/>
        <v>2</v>
      </c>
      <c r="BA1631">
        <f t="shared" si="2126"/>
        <v>0</v>
      </c>
      <c r="BB1631">
        <f t="shared" si="2127"/>
        <v>0</v>
      </c>
      <c r="BC1631">
        <f t="shared" si="2128"/>
        <v>0</v>
      </c>
      <c r="BD1631">
        <f t="shared" si="2129"/>
        <v>0</v>
      </c>
      <c r="BE1631" t="str">
        <f t="array" ref="BE1631">IF(AY1631=1,INDEX($V$7:$AL$7,MATCH(TRUE,INDEX($V1631:$AW1631&lt;&gt;0,),0)),IF(AY1631=0,INDEX($AM$7:$AW$7,MATCH(1,$AM1631:$AW1631,0)),IF(BF1631="Multiple strategies","mixed drivers",IF(BF1631="Supply chain","multiple supply","multiple silviculture"))))</f>
        <v>multiple silviculture</v>
      </c>
      <c r="BF1631" s="2" t="str" cm="1">
        <f t="array" ref="BF1631">IF(COUNTIF(AZ1631:BB1631,"&lt;&gt;0")=1,INDEX($V$4:$AW$4,MATCH(TRUE,INDEX($V1631:$AW1631&lt;&gt;0,),0)),IF(COUNTIF(AZ1631:BB1631,"&lt;&gt;0")=0,INDEX($AM$4:$AW$4,MATCH(1,$AM1631:$AW1631,0)),"Multiple strategies"))</f>
        <v>Silviculture for removals</v>
      </c>
      <c r="BG1631" s="1" t="s">
        <v>321</v>
      </c>
      <c r="BH1631" t="s">
        <v>2452</v>
      </c>
      <c r="BI1631" s="264" t="s">
        <v>3251</v>
      </c>
      <c r="BJ1631" t="s">
        <v>1322</v>
      </c>
      <c r="BK1631">
        <v>120</v>
      </c>
      <c r="BL1631">
        <v>163.5</v>
      </c>
      <c r="BM1631" s="143">
        <f t="shared" si="2160"/>
        <v>1.3625</v>
      </c>
      <c r="BN1631">
        <f t="shared" si="2152"/>
        <v>43.5</v>
      </c>
      <c r="BO1631">
        <f t="shared" si="2153"/>
        <v>43500000</v>
      </c>
      <c r="BP1631" t="s">
        <v>232</v>
      </c>
      <c r="BQ1631" s="153" t="s">
        <v>3252</v>
      </c>
      <c r="BR1631" t="s">
        <v>2324</v>
      </c>
      <c r="BS1631">
        <v>370.31517322497803</v>
      </c>
      <c r="BT1631">
        <v>266.57399486740798</v>
      </c>
      <c r="BU1631" s="144">
        <f t="shared" si="2149"/>
        <v>0.71985706809117422</v>
      </c>
      <c r="BV1631" s="144">
        <f t="shared" si="2132"/>
        <v>-103.74117835757005</v>
      </c>
      <c r="BW1631" s="144"/>
      <c r="BX1631">
        <f t="shared" si="2154"/>
        <v>-103741178.35757005</v>
      </c>
      <c r="BY1631">
        <f t="shared" si="2070"/>
        <v>-2.3848546748866677</v>
      </c>
      <c r="BZ1631">
        <v>0</v>
      </c>
      <c r="CA1631">
        <v>0</v>
      </c>
      <c r="CB1631">
        <v>0</v>
      </c>
      <c r="CC1631">
        <v>0</v>
      </c>
      <c r="CD1631">
        <v>0</v>
      </c>
      <c r="CE1631">
        <v>0</v>
      </c>
      <c r="CF1631">
        <v>0</v>
      </c>
      <c r="CG1631">
        <v>0</v>
      </c>
      <c r="CH1631">
        <v>0</v>
      </c>
      <c r="CI1631">
        <v>0</v>
      </c>
      <c r="CJ1631">
        <v>0</v>
      </c>
      <c r="CK1631">
        <v>0</v>
      </c>
      <c r="CL1631">
        <v>0</v>
      </c>
      <c r="CM1631">
        <v>1</v>
      </c>
      <c r="CN1631" t="str">
        <f t="shared" si="2161"/>
        <v>refOK</v>
      </c>
      <c r="CO1631">
        <f t="shared" si="2155"/>
        <v>120</v>
      </c>
      <c r="CP1631">
        <f t="shared" si="2156"/>
        <v>163.5</v>
      </c>
      <c r="CQ1631">
        <f t="shared" si="2157"/>
        <v>43500000</v>
      </c>
      <c r="CR1631">
        <f t="shared" si="2134"/>
        <v>370.31517322497803</v>
      </c>
      <c r="CS1631">
        <f t="shared" si="2135"/>
        <v>266.57399486740798</v>
      </c>
      <c r="CT1631">
        <f t="shared" si="2136"/>
        <v>-103741178.35757005</v>
      </c>
      <c r="CU1631">
        <f t="shared" si="2137"/>
        <v>-2.3848546748866677</v>
      </c>
      <c r="CV1631" s="2">
        <f t="shared" si="2138"/>
        <v>-0.28014293190882578</v>
      </c>
      <c r="CW1631" s="1" t="s">
        <v>1202</v>
      </c>
      <c r="CX1631" t="str">
        <f t="shared" si="2139"/>
        <v>reg</v>
      </c>
      <c r="CY1631" t="s">
        <v>639</v>
      </c>
      <c r="CZ1631">
        <v>2000</v>
      </c>
      <c r="DA1631">
        <v>2030</v>
      </c>
      <c r="DB1631">
        <f t="shared" si="2151"/>
        <v>30</v>
      </c>
      <c r="DC1631" t="str">
        <f t="shared" si="2140"/>
        <v>1-30</v>
      </c>
      <c r="DD1631">
        <v>1</v>
      </c>
      <c r="DE1631">
        <v>1</v>
      </c>
      <c r="DF1631">
        <v>1</v>
      </c>
      <c r="DG1631">
        <v>1</v>
      </c>
      <c r="DH1631">
        <v>0</v>
      </c>
      <c r="DI1631">
        <f t="shared" si="2141"/>
        <v>4</v>
      </c>
      <c r="DJ1631" t="str">
        <f t="shared" si="2142"/>
        <v>mixedProduct</v>
      </c>
      <c r="DK1631" t="str">
        <f t="shared" si="2143"/>
        <v>Upstream</v>
      </c>
      <c r="DL1631" t="str">
        <f t="shared" si="2144"/>
        <v>Energy</v>
      </c>
      <c r="DM1631" t="str">
        <f t="shared" si="2145"/>
        <v>Pulp/Paper</v>
      </c>
      <c r="DN1631" t="str">
        <f t="shared" si="2146"/>
        <v>Timber</v>
      </c>
      <c r="DO1631">
        <v>0</v>
      </c>
      <c r="DP1631">
        <v>1</v>
      </c>
      <c r="DQ1631" t="s">
        <v>2482</v>
      </c>
      <c r="DR1631" t="s">
        <v>2483</v>
      </c>
      <c r="DT1631">
        <f t="shared" si="2147"/>
        <v>1</v>
      </c>
      <c r="DU1631" s="143" t="str">
        <f t="shared" si="2148"/>
        <v>external DF used</v>
      </c>
      <c r="DV1631">
        <v>1</v>
      </c>
      <c r="DW1631">
        <v>1</v>
      </c>
      <c r="DX1631">
        <v>1</v>
      </c>
      <c r="DY1631">
        <v>1</v>
      </c>
      <c r="DZ1631">
        <v>1</v>
      </c>
      <c r="EA1631" s="143">
        <v>1</v>
      </c>
      <c r="EB1631">
        <v>1</v>
      </c>
      <c r="EC1631">
        <v>1</v>
      </c>
      <c r="ED1631">
        <v>0</v>
      </c>
      <c r="EE1631">
        <v>0</v>
      </c>
      <c r="EF1631">
        <v>1</v>
      </c>
      <c r="EG1631">
        <v>0</v>
      </c>
      <c r="EH1631">
        <v>0</v>
      </c>
      <c r="EI1631" s="2">
        <v>0</v>
      </c>
      <c r="EK1631" t="str">
        <f t="shared" si="2158"/>
        <v>Whole sector</v>
      </c>
      <c r="EL1631" t="str">
        <f t="shared" si="2159"/>
        <v/>
      </c>
      <c r="EM1631" s="2" t="str">
        <f t="shared" si="2106"/>
        <v/>
      </c>
      <c r="EN1631" t="s">
        <v>2484</v>
      </c>
      <c r="EP1631" t="str">
        <f>IF(ISNUMBER(BU1631),IF(ABS(BU1631-[3]QC_indicators!$B$2)&gt;3*[3]QC_indicators!$C$2,"C ratio",IF(ISNUMBER(BY1631),IF(ABS(BY1631-[3]QC_indicators!$B$1)&gt;3*[3]QC_indicators!$C$1,"DF","no"))),IF(ISNUMBER(BY1631),IF(ABS(BY1631-[3]QC_indicators!$B$1)&gt;3*[3]QC_indicators!$C$1,"DF","no")))</f>
        <v>no</v>
      </c>
      <c r="ET1631" s="264" t="s">
        <v>3253</v>
      </c>
    </row>
    <row r="1632" spans="1:150" ht="15" hidden="1" customHeight="1">
      <c r="A1632" s="1" t="s">
        <v>1807</v>
      </c>
      <c r="B1632" t="s">
        <v>2474</v>
      </c>
      <c r="C1632" t="s">
        <v>2475</v>
      </c>
      <c r="D1632" t="s">
        <v>2476</v>
      </c>
      <c r="E1632" t="s">
        <v>2477</v>
      </c>
      <c r="F1632" t="s">
        <v>2478</v>
      </c>
      <c r="G1632" t="s">
        <v>1813</v>
      </c>
      <c r="H1632" t="s">
        <v>254</v>
      </c>
      <c r="I1632">
        <v>2010</v>
      </c>
      <c r="J1632">
        <v>100</v>
      </c>
      <c r="K1632" t="s">
        <v>2479</v>
      </c>
      <c r="M1632" t="str">
        <f t="shared" si="2120"/>
        <v>Werner_2010</v>
      </c>
      <c r="N1632" t="s">
        <v>222</v>
      </c>
      <c r="O1632" s="145" t="s">
        <v>1153</v>
      </c>
      <c r="Q1632" t="s">
        <v>256</v>
      </c>
      <c r="R1632" s="262" t="s">
        <v>223</v>
      </c>
      <c r="S1632" s="1" t="s">
        <v>2480</v>
      </c>
      <c r="T1632" t="s">
        <v>2481</v>
      </c>
      <c r="U1632" t="s">
        <v>1154</v>
      </c>
      <c r="V1632">
        <v>1</v>
      </c>
      <c r="W1632">
        <v>0</v>
      </c>
      <c r="X1632">
        <v>2</v>
      </c>
      <c r="Y1632">
        <v>0</v>
      </c>
      <c r="Z1632">
        <v>0</v>
      </c>
      <c r="AA1632">
        <v>0</v>
      </c>
      <c r="AB1632">
        <v>0</v>
      </c>
      <c r="AC1632">
        <v>0</v>
      </c>
      <c r="AD1632">
        <v>0</v>
      </c>
      <c r="AE1632">
        <v>0</v>
      </c>
      <c r="AF1632">
        <v>0</v>
      </c>
      <c r="AG1632">
        <v>0</v>
      </c>
      <c r="AH1632">
        <v>0</v>
      </c>
      <c r="AI1632">
        <v>0</v>
      </c>
      <c r="AJ1632">
        <v>0</v>
      </c>
      <c r="AK1632">
        <v>0</v>
      </c>
      <c r="AL1632">
        <v>0</v>
      </c>
      <c r="AM1632">
        <v>0</v>
      </c>
      <c r="AN1632">
        <v>0</v>
      </c>
      <c r="AO1632">
        <v>0</v>
      </c>
      <c r="AP1632">
        <v>0</v>
      </c>
      <c r="AQ1632">
        <v>0</v>
      </c>
      <c r="AR1632">
        <v>0</v>
      </c>
      <c r="AS1632">
        <v>0</v>
      </c>
      <c r="AT1632">
        <v>0</v>
      </c>
      <c r="AU1632">
        <v>0</v>
      </c>
      <c r="AV1632">
        <v>0</v>
      </c>
      <c r="AW1632">
        <v>0</v>
      </c>
      <c r="AX1632" s="141">
        <f t="shared" si="2123"/>
        <v>2</v>
      </c>
      <c r="AY1632" s="141">
        <f t="shared" si="2124"/>
        <v>2</v>
      </c>
      <c r="AZ1632">
        <f t="shared" si="2125"/>
        <v>2</v>
      </c>
      <c r="BA1632">
        <f t="shared" si="2126"/>
        <v>0</v>
      </c>
      <c r="BB1632">
        <f t="shared" si="2127"/>
        <v>0</v>
      </c>
      <c r="BC1632">
        <f t="shared" si="2128"/>
        <v>0</v>
      </c>
      <c r="BD1632">
        <f t="shared" si="2129"/>
        <v>0</v>
      </c>
      <c r="BE1632" t="str">
        <f t="array" ref="BE1632">IF(AY1632=1,INDEX($V$7:$AL$7,MATCH(TRUE,INDEX($V1632:$AW1632&lt;&gt;0,),0)),IF(AY1632=0,INDEX($AM$7:$AW$7,MATCH(1,$AM1632:$AW1632,0)),IF(BF1632="Multiple strategies","mixed drivers",IF(BF1632="Supply chain","multiple supply","multiple silviculture"))))</f>
        <v>multiple silviculture</v>
      </c>
      <c r="BF1632" s="2" t="str" cm="1">
        <f t="array" ref="BF1632">IF(COUNTIF(AZ1632:BB1632,"&lt;&gt;0")=1,INDEX($V$4:$AW$4,MATCH(TRUE,INDEX($V1632:$AW1632&lt;&gt;0,),0)),IF(COUNTIF(AZ1632:BB1632,"&lt;&gt;0")=0,INDEX($AM$4:$AW$4,MATCH(1,$AM1632:$AW1632,0)),"Multiple strategies"))</f>
        <v>Silviculture for removals</v>
      </c>
      <c r="BG1632" s="1" t="s">
        <v>321</v>
      </c>
      <c r="BH1632" t="s">
        <v>2452</v>
      </c>
      <c r="BI1632" s="264" t="s">
        <v>3251</v>
      </c>
      <c r="BJ1632" t="s">
        <v>1322</v>
      </c>
      <c r="BK1632">
        <v>210</v>
      </c>
      <c r="BL1632">
        <v>340.5</v>
      </c>
      <c r="BM1632" s="143">
        <f t="shared" si="2160"/>
        <v>1.6214285714285714</v>
      </c>
      <c r="BN1632">
        <f t="shared" si="2152"/>
        <v>130.5</v>
      </c>
      <c r="BO1632">
        <f t="shared" si="2153"/>
        <v>130500000</v>
      </c>
      <c r="BP1632" t="s">
        <v>232</v>
      </c>
      <c r="BQ1632" s="153" t="s">
        <v>3252</v>
      </c>
      <c r="BR1632" t="s">
        <v>2324</v>
      </c>
      <c r="BS1632">
        <v>385.778591846273</v>
      </c>
      <c r="BT1632">
        <v>124.386230701242</v>
      </c>
      <c r="BU1632" s="144">
        <f t="shared" si="2149"/>
        <v>0.32242906509132591</v>
      </c>
      <c r="BV1632" s="144">
        <f t="shared" si="2132"/>
        <v>-261.39236114503103</v>
      </c>
      <c r="BW1632" s="144"/>
      <c r="BX1632">
        <f t="shared" si="2154"/>
        <v>-261392361.14503103</v>
      </c>
      <c r="BY1632">
        <f t="shared" si="2070"/>
        <v>-2.0030065988124983</v>
      </c>
      <c r="BZ1632">
        <v>0</v>
      </c>
      <c r="CA1632">
        <v>0</v>
      </c>
      <c r="CB1632">
        <v>0</v>
      </c>
      <c r="CC1632">
        <v>0</v>
      </c>
      <c r="CD1632">
        <v>0</v>
      </c>
      <c r="CE1632">
        <v>0</v>
      </c>
      <c r="CF1632">
        <v>0</v>
      </c>
      <c r="CG1632">
        <v>0</v>
      </c>
      <c r="CH1632">
        <v>0</v>
      </c>
      <c r="CI1632">
        <v>0</v>
      </c>
      <c r="CJ1632">
        <v>0</v>
      </c>
      <c r="CK1632">
        <v>0</v>
      </c>
      <c r="CL1632">
        <v>0</v>
      </c>
      <c r="CM1632">
        <v>1</v>
      </c>
      <c r="CN1632" t="str">
        <f t="shared" si="2161"/>
        <v>refOK</v>
      </c>
      <c r="CO1632">
        <f t="shared" si="2155"/>
        <v>210</v>
      </c>
      <c r="CP1632">
        <f t="shared" si="2156"/>
        <v>340.5</v>
      </c>
      <c r="CQ1632">
        <f t="shared" si="2157"/>
        <v>130500000</v>
      </c>
      <c r="CR1632">
        <f t="shared" si="2134"/>
        <v>385.778591846273</v>
      </c>
      <c r="CS1632">
        <f t="shared" si="2135"/>
        <v>124.386230701242</v>
      </c>
      <c r="CT1632">
        <f t="shared" si="2136"/>
        <v>-261392361.14503103</v>
      </c>
      <c r="CU1632">
        <f t="shared" si="2137"/>
        <v>-2.0030065988124983</v>
      </c>
      <c r="CV1632" s="2">
        <f t="shared" si="2138"/>
        <v>-0.67757093490867415</v>
      </c>
      <c r="CW1632" s="1" t="s">
        <v>1202</v>
      </c>
      <c r="CX1632" t="str">
        <f t="shared" si="2139"/>
        <v>reg</v>
      </c>
      <c r="CY1632" t="s">
        <v>639</v>
      </c>
      <c r="CZ1632">
        <v>2000</v>
      </c>
      <c r="DA1632">
        <v>2060</v>
      </c>
      <c r="DB1632">
        <f t="shared" si="2151"/>
        <v>60</v>
      </c>
      <c r="DC1632" t="str">
        <f t="shared" si="2140"/>
        <v>31-70</v>
      </c>
      <c r="DD1632">
        <v>1</v>
      </c>
      <c r="DE1632">
        <v>0</v>
      </c>
      <c r="DF1632">
        <v>0</v>
      </c>
      <c r="DG1632">
        <v>0</v>
      </c>
      <c r="DH1632">
        <v>0</v>
      </c>
      <c r="DI1632">
        <f t="shared" si="2141"/>
        <v>1</v>
      </c>
      <c r="DJ1632" t="str">
        <f t="shared" si="2142"/>
        <v>UpstreamInput</v>
      </c>
      <c r="DK1632" t="str">
        <f t="shared" si="2143"/>
        <v>Upstream</v>
      </c>
      <c r="DL1632">
        <f t="shared" si="2144"/>
        <v>0</v>
      </c>
      <c r="DM1632">
        <f t="shared" si="2145"/>
        <v>0</v>
      </c>
      <c r="DN1632">
        <f t="shared" si="2146"/>
        <v>0</v>
      </c>
      <c r="DO1632">
        <v>0</v>
      </c>
      <c r="DP1632">
        <v>0</v>
      </c>
      <c r="DT1632">
        <f t="shared" si="2147"/>
        <v>0</v>
      </c>
      <c r="DU1632" s="143" t="str">
        <f t="shared" si="2148"/>
        <v>explicit C balance</v>
      </c>
      <c r="DV1632">
        <v>1</v>
      </c>
      <c r="DW1632">
        <v>1</v>
      </c>
      <c r="DX1632">
        <v>1</v>
      </c>
      <c r="DY1632">
        <v>0</v>
      </c>
      <c r="DZ1632">
        <v>0</v>
      </c>
      <c r="EA1632" s="143">
        <v>0</v>
      </c>
      <c r="EB1632">
        <v>0</v>
      </c>
      <c r="EC1632">
        <v>0</v>
      </c>
      <c r="ED1632">
        <v>0</v>
      </c>
      <c r="EE1632">
        <v>0</v>
      </c>
      <c r="EF1632">
        <v>1</v>
      </c>
      <c r="EG1632">
        <v>0</v>
      </c>
      <c r="EH1632">
        <v>0</v>
      </c>
      <c r="EI1632" s="2">
        <v>0</v>
      </c>
      <c r="EK1632" t="str">
        <f t="shared" si="2158"/>
        <v/>
      </c>
      <c r="EL1632" t="str">
        <f t="shared" si="2159"/>
        <v>Ecosystem approach</v>
      </c>
      <c r="EM1632" s="2" t="str">
        <f t="shared" si="2106"/>
        <v/>
      </c>
      <c r="EN1632" t="s">
        <v>2484</v>
      </c>
      <c r="EP1632" t="str">
        <f>IF(ISNUMBER(BU1632),IF(ABS(BU1632-[3]QC_indicators!$B$2)&gt;3*[3]QC_indicators!$C$2,"C ratio",IF(ISNUMBER(BY1632),IF(ABS(BY1632-[3]QC_indicators!$B$1)&gt;3*[3]QC_indicators!$C$1,"DF","no"))),IF(ISNUMBER(BY1632),IF(ABS(BY1632-[3]QC_indicators!$B$1)&gt;3*[3]QC_indicators!$C$1,"DF","no")))</f>
        <v>no</v>
      </c>
      <c r="ET1632" s="264" t="s">
        <v>3253</v>
      </c>
    </row>
    <row r="1633" spans="1:150" ht="15" hidden="1" customHeight="1">
      <c r="A1633" s="1" t="s">
        <v>1807</v>
      </c>
      <c r="B1633" t="s">
        <v>2474</v>
      </c>
      <c r="C1633" t="s">
        <v>2475</v>
      </c>
      <c r="D1633" t="s">
        <v>2476</v>
      </c>
      <c r="E1633" t="s">
        <v>2477</v>
      </c>
      <c r="F1633" t="s">
        <v>2478</v>
      </c>
      <c r="G1633" t="s">
        <v>1813</v>
      </c>
      <c r="H1633" t="s">
        <v>254</v>
      </c>
      <c r="I1633">
        <v>2010</v>
      </c>
      <c r="J1633">
        <v>100</v>
      </c>
      <c r="K1633" t="s">
        <v>2479</v>
      </c>
      <c r="M1633" t="str">
        <f t="shared" si="2120"/>
        <v>Werner_2010</v>
      </c>
      <c r="N1633" t="s">
        <v>222</v>
      </c>
      <c r="O1633" s="145" t="s">
        <v>1153</v>
      </c>
      <c r="Q1633" t="s">
        <v>256</v>
      </c>
      <c r="R1633" s="262" t="s">
        <v>223</v>
      </c>
      <c r="S1633" s="1" t="s">
        <v>2480</v>
      </c>
      <c r="T1633" t="s">
        <v>2481</v>
      </c>
      <c r="U1633" t="s">
        <v>2485</v>
      </c>
      <c r="V1633">
        <v>1</v>
      </c>
      <c r="W1633">
        <v>0</v>
      </c>
      <c r="X1633">
        <v>2</v>
      </c>
      <c r="Y1633">
        <v>0</v>
      </c>
      <c r="Z1633">
        <v>0</v>
      </c>
      <c r="AA1633">
        <v>0</v>
      </c>
      <c r="AB1633">
        <v>0</v>
      </c>
      <c r="AC1633">
        <v>0</v>
      </c>
      <c r="AD1633">
        <v>0</v>
      </c>
      <c r="AE1633">
        <v>0</v>
      </c>
      <c r="AF1633">
        <v>0</v>
      </c>
      <c r="AG1633">
        <v>0</v>
      </c>
      <c r="AH1633">
        <v>0</v>
      </c>
      <c r="AI1633">
        <v>0</v>
      </c>
      <c r="AJ1633">
        <v>0</v>
      </c>
      <c r="AK1633">
        <v>0</v>
      </c>
      <c r="AL1633">
        <v>0</v>
      </c>
      <c r="AM1633">
        <v>0</v>
      </c>
      <c r="AN1633">
        <v>0</v>
      </c>
      <c r="AO1633">
        <v>0</v>
      </c>
      <c r="AP1633">
        <v>0</v>
      </c>
      <c r="AQ1633">
        <v>0</v>
      </c>
      <c r="AR1633">
        <v>0</v>
      </c>
      <c r="AS1633">
        <v>0</v>
      </c>
      <c r="AT1633">
        <v>0</v>
      </c>
      <c r="AU1633">
        <v>0</v>
      </c>
      <c r="AV1633">
        <v>0</v>
      </c>
      <c r="AW1633">
        <v>0</v>
      </c>
      <c r="AX1633" s="141">
        <f t="shared" si="2123"/>
        <v>2</v>
      </c>
      <c r="AY1633" s="141">
        <f t="shared" si="2124"/>
        <v>2</v>
      </c>
      <c r="AZ1633">
        <f t="shared" si="2125"/>
        <v>2</v>
      </c>
      <c r="BA1633">
        <f t="shared" si="2126"/>
        <v>0</v>
      </c>
      <c r="BB1633">
        <f t="shared" si="2127"/>
        <v>0</v>
      </c>
      <c r="BC1633">
        <f t="shared" si="2128"/>
        <v>0</v>
      </c>
      <c r="BD1633">
        <f t="shared" si="2129"/>
        <v>0</v>
      </c>
      <c r="BE1633" t="str">
        <f t="array" ref="BE1633">IF(AY1633=1,INDEX($V$7:$AL$7,MATCH(TRUE,INDEX($V1633:$AW1633&lt;&gt;0,),0)),IF(AY1633=0,INDEX($AM$7:$AW$7,MATCH(1,$AM1633:$AW1633,0)),IF(BF1633="Multiple strategies","mixed drivers",IF(BF1633="Supply chain","multiple supply","multiple silviculture"))))</f>
        <v>multiple silviculture</v>
      </c>
      <c r="BF1633" s="2" t="str" cm="1">
        <f t="array" ref="BF1633">IF(COUNTIF(AZ1633:BB1633,"&lt;&gt;0")=1,INDEX($V$4:$AW$4,MATCH(TRUE,INDEX($V1633:$AW1633&lt;&gt;0,),0)),IF(COUNTIF(AZ1633:BB1633,"&lt;&gt;0")=0,INDEX($AM$4:$AW$4,MATCH(1,$AM1633:$AW1633,0)),"Multiple strategies"))</f>
        <v>Silviculture for removals</v>
      </c>
      <c r="BG1633" s="1" t="s">
        <v>321</v>
      </c>
      <c r="BH1633" t="s">
        <v>2452</v>
      </c>
      <c r="BI1633" s="264" t="s">
        <v>3251</v>
      </c>
      <c r="BJ1633" t="s">
        <v>1322</v>
      </c>
      <c r="BK1633">
        <v>120</v>
      </c>
      <c r="BL1633">
        <v>202.5</v>
      </c>
      <c r="BM1633" s="143">
        <f t="shared" si="2160"/>
        <v>1.6875</v>
      </c>
      <c r="BN1633">
        <f t="shared" si="2152"/>
        <v>82.5</v>
      </c>
      <c r="BO1633">
        <f t="shared" si="2153"/>
        <v>82500000</v>
      </c>
      <c r="BP1633" t="s">
        <v>232</v>
      </c>
      <c r="BQ1633" s="153" t="s">
        <v>3252</v>
      </c>
      <c r="BR1633" t="s">
        <v>2324</v>
      </c>
      <c r="BS1633">
        <v>223.834792619919</v>
      </c>
      <c r="BT1633">
        <v>79.643362017116502</v>
      </c>
      <c r="BU1633" s="144">
        <f t="shared" si="2149"/>
        <v>0.35581314720966689</v>
      </c>
      <c r="BV1633" s="144">
        <f t="shared" si="2132"/>
        <v>-144.19143060280248</v>
      </c>
      <c r="BW1633" s="144"/>
      <c r="BX1633">
        <f t="shared" si="2154"/>
        <v>-144191430.60280249</v>
      </c>
      <c r="BY1633">
        <f t="shared" si="2070"/>
        <v>-1.747774916397606</v>
      </c>
      <c r="BZ1633">
        <v>0</v>
      </c>
      <c r="CA1633">
        <v>0</v>
      </c>
      <c r="CB1633">
        <v>0</v>
      </c>
      <c r="CC1633">
        <v>0</v>
      </c>
      <c r="CD1633">
        <v>0</v>
      </c>
      <c r="CE1633">
        <v>0</v>
      </c>
      <c r="CF1633">
        <v>0</v>
      </c>
      <c r="CG1633">
        <v>0</v>
      </c>
      <c r="CH1633">
        <v>0</v>
      </c>
      <c r="CI1633">
        <v>0</v>
      </c>
      <c r="CJ1633">
        <v>0</v>
      </c>
      <c r="CK1633">
        <v>0</v>
      </c>
      <c r="CL1633">
        <v>0</v>
      </c>
      <c r="CM1633">
        <v>1</v>
      </c>
      <c r="CN1633" t="str">
        <f t="shared" si="2161"/>
        <v>refOK</v>
      </c>
      <c r="CO1633">
        <f t="shared" si="2155"/>
        <v>120</v>
      </c>
      <c r="CP1633">
        <f t="shared" si="2156"/>
        <v>202.5</v>
      </c>
      <c r="CQ1633">
        <f t="shared" si="2157"/>
        <v>82500000</v>
      </c>
      <c r="CR1633">
        <f t="shared" si="2134"/>
        <v>223.834792619919</v>
      </c>
      <c r="CS1633">
        <f t="shared" si="2135"/>
        <v>79.643362017116502</v>
      </c>
      <c r="CT1633">
        <f t="shared" si="2136"/>
        <v>-144191430.60280249</v>
      </c>
      <c r="CU1633">
        <f t="shared" si="2137"/>
        <v>-1.747774916397606</v>
      </c>
      <c r="CV1633" s="2">
        <f t="shared" si="2138"/>
        <v>-0.64418685279033305</v>
      </c>
      <c r="CW1633" s="1" t="s">
        <v>1202</v>
      </c>
      <c r="CX1633" t="str">
        <f t="shared" si="2139"/>
        <v>reg</v>
      </c>
      <c r="CY1633" t="s">
        <v>639</v>
      </c>
      <c r="CZ1633">
        <v>2000</v>
      </c>
      <c r="DA1633">
        <v>2030</v>
      </c>
      <c r="DB1633">
        <f t="shared" si="2151"/>
        <v>30</v>
      </c>
      <c r="DC1633" t="str">
        <f t="shared" si="2140"/>
        <v>1-30</v>
      </c>
      <c r="DD1633">
        <v>1</v>
      </c>
      <c r="DE1633">
        <v>0</v>
      </c>
      <c r="DF1633">
        <v>0</v>
      </c>
      <c r="DG1633">
        <v>0</v>
      </c>
      <c r="DH1633">
        <v>0</v>
      </c>
      <c r="DI1633">
        <f t="shared" si="2141"/>
        <v>1</v>
      </c>
      <c r="DJ1633" t="str">
        <f t="shared" si="2142"/>
        <v>UpstreamInput</v>
      </c>
      <c r="DK1633" t="str">
        <f t="shared" si="2143"/>
        <v>Upstream</v>
      </c>
      <c r="DL1633">
        <f t="shared" si="2144"/>
        <v>0</v>
      </c>
      <c r="DM1633">
        <f t="shared" si="2145"/>
        <v>0</v>
      </c>
      <c r="DN1633">
        <f t="shared" si="2146"/>
        <v>0</v>
      </c>
      <c r="DO1633">
        <v>0</v>
      </c>
      <c r="DP1633">
        <v>0</v>
      </c>
      <c r="DT1633">
        <f t="shared" si="2147"/>
        <v>0</v>
      </c>
      <c r="DU1633" s="143" t="str">
        <f t="shared" si="2148"/>
        <v>explicit C balance</v>
      </c>
      <c r="DV1633">
        <v>1</v>
      </c>
      <c r="DW1633">
        <v>1</v>
      </c>
      <c r="DX1633">
        <v>1</v>
      </c>
      <c r="DY1633">
        <v>0</v>
      </c>
      <c r="DZ1633">
        <v>0</v>
      </c>
      <c r="EA1633" s="143">
        <v>0</v>
      </c>
      <c r="EB1633">
        <v>0</v>
      </c>
      <c r="EC1633">
        <v>0</v>
      </c>
      <c r="ED1633">
        <v>0</v>
      </c>
      <c r="EE1633">
        <v>0</v>
      </c>
      <c r="EF1633">
        <v>1</v>
      </c>
      <c r="EG1633">
        <v>0</v>
      </c>
      <c r="EH1633">
        <v>0</v>
      </c>
      <c r="EI1633" s="2">
        <v>0</v>
      </c>
      <c r="EK1633" t="str">
        <f t="shared" si="2158"/>
        <v/>
      </c>
      <c r="EL1633" t="str">
        <f t="shared" si="2159"/>
        <v>Ecosystem approach</v>
      </c>
      <c r="EM1633" s="2" t="str">
        <f t="shared" si="2106"/>
        <v/>
      </c>
      <c r="EN1633" t="s">
        <v>2484</v>
      </c>
      <c r="EP1633" t="str">
        <f>IF(ISNUMBER(BU1633),IF(ABS(BU1633-[3]QC_indicators!$B$2)&gt;3*[3]QC_indicators!$C$2,"C ratio",IF(ISNUMBER(BY1633),IF(ABS(BY1633-[3]QC_indicators!$B$1)&gt;3*[3]QC_indicators!$C$1,"DF","no"))),IF(ISNUMBER(BY1633),IF(ABS(BY1633-[3]QC_indicators!$B$1)&gt;3*[3]QC_indicators!$C$1,"DF","no")))</f>
        <v>no</v>
      </c>
      <c r="ET1633" s="264" t="s">
        <v>3253</v>
      </c>
    </row>
    <row r="1634" spans="1:150" ht="15" hidden="1" customHeight="1">
      <c r="A1634" s="1" t="s">
        <v>1807</v>
      </c>
      <c r="B1634" t="s">
        <v>2474</v>
      </c>
      <c r="C1634" t="s">
        <v>2475</v>
      </c>
      <c r="D1634" t="s">
        <v>2476</v>
      </c>
      <c r="E1634" t="s">
        <v>2477</v>
      </c>
      <c r="F1634" t="s">
        <v>2478</v>
      </c>
      <c r="G1634" t="s">
        <v>1813</v>
      </c>
      <c r="H1634" t="s">
        <v>254</v>
      </c>
      <c r="I1634">
        <v>2010</v>
      </c>
      <c r="J1634">
        <v>100</v>
      </c>
      <c r="K1634" t="s">
        <v>2479</v>
      </c>
      <c r="M1634" t="str">
        <f t="shared" si="2120"/>
        <v>Werner_2010</v>
      </c>
      <c r="N1634" t="s">
        <v>222</v>
      </c>
      <c r="O1634" s="145" t="s">
        <v>1153</v>
      </c>
      <c r="Q1634" t="s">
        <v>256</v>
      </c>
      <c r="R1634" s="262" t="s">
        <v>223</v>
      </c>
      <c r="S1634" s="1" t="s">
        <v>2480</v>
      </c>
      <c r="T1634" t="s">
        <v>2481</v>
      </c>
      <c r="U1634" t="s">
        <v>1154</v>
      </c>
      <c r="V1634">
        <v>1</v>
      </c>
      <c r="W1634">
        <v>0</v>
      </c>
      <c r="X1634">
        <v>2</v>
      </c>
      <c r="Y1634">
        <v>0</v>
      </c>
      <c r="Z1634">
        <v>0</v>
      </c>
      <c r="AA1634">
        <v>0</v>
      </c>
      <c r="AB1634">
        <v>0</v>
      </c>
      <c r="AC1634">
        <v>0</v>
      </c>
      <c r="AD1634">
        <v>0</v>
      </c>
      <c r="AE1634">
        <v>0</v>
      </c>
      <c r="AF1634">
        <v>0</v>
      </c>
      <c r="AG1634">
        <v>0</v>
      </c>
      <c r="AH1634">
        <v>0</v>
      </c>
      <c r="AI1634">
        <v>0</v>
      </c>
      <c r="AJ1634">
        <v>0</v>
      </c>
      <c r="AK1634">
        <v>0</v>
      </c>
      <c r="AL1634">
        <v>0</v>
      </c>
      <c r="AM1634">
        <v>0</v>
      </c>
      <c r="AN1634">
        <v>0</v>
      </c>
      <c r="AO1634">
        <v>0</v>
      </c>
      <c r="AP1634">
        <v>0</v>
      </c>
      <c r="AQ1634">
        <v>0</v>
      </c>
      <c r="AR1634">
        <v>0</v>
      </c>
      <c r="AS1634">
        <v>0</v>
      </c>
      <c r="AT1634">
        <v>0</v>
      </c>
      <c r="AU1634">
        <v>0</v>
      </c>
      <c r="AV1634">
        <v>0</v>
      </c>
      <c r="AW1634">
        <v>0</v>
      </c>
      <c r="AX1634" s="141">
        <f t="shared" si="2123"/>
        <v>2</v>
      </c>
      <c r="AY1634" s="141">
        <f t="shared" si="2124"/>
        <v>2</v>
      </c>
      <c r="AZ1634">
        <f t="shared" si="2125"/>
        <v>2</v>
      </c>
      <c r="BA1634">
        <f t="shared" si="2126"/>
        <v>0</v>
      </c>
      <c r="BB1634">
        <f t="shared" si="2127"/>
        <v>0</v>
      </c>
      <c r="BC1634">
        <f t="shared" si="2128"/>
        <v>0</v>
      </c>
      <c r="BD1634">
        <f t="shared" si="2129"/>
        <v>0</v>
      </c>
      <c r="BE1634" t="str">
        <f t="array" ref="BE1634">IF(AY1634=1,INDEX($V$7:$AL$7,MATCH(TRUE,INDEX($V1634:$AW1634&lt;&gt;0,),0)),IF(AY1634=0,INDEX($AM$7:$AW$7,MATCH(1,$AM1634:$AW1634,0)),IF(BF1634="Multiple strategies","mixed drivers",IF(BF1634="Supply chain","multiple supply","multiple silviculture"))))</f>
        <v>multiple silviculture</v>
      </c>
      <c r="BF1634" s="2" t="str" cm="1">
        <f t="array" ref="BF1634">IF(COUNTIF(AZ1634:BB1634,"&lt;&gt;0")=1,INDEX($V$4:$AW$4,MATCH(TRUE,INDEX($V1634:$AW1634&lt;&gt;0,),0)),IF(COUNTIF(AZ1634:BB1634,"&lt;&gt;0")=0,INDEX($AM$4:$AW$4,MATCH(1,$AM1634:$AW1634,0)),"Multiple strategies"))</f>
        <v>Silviculture for removals</v>
      </c>
      <c r="BG1634" s="1" t="s">
        <v>321</v>
      </c>
      <c r="BH1634" t="s">
        <v>2452</v>
      </c>
      <c r="BI1634" s="264" t="s">
        <v>3251</v>
      </c>
      <c r="BJ1634" t="s">
        <v>1322</v>
      </c>
      <c r="BK1634">
        <v>210</v>
      </c>
      <c r="BL1634">
        <v>340.5</v>
      </c>
      <c r="BM1634" s="143">
        <f t="shared" si="2160"/>
        <v>1.6214285714285714</v>
      </c>
      <c r="BN1634">
        <f t="shared" si="2152"/>
        <v>130.5</v>
      </c>
      <c r="BO1634">
        <f t="shared" si="2153"/>
        <v>130500000</v>
      </c>
      <c r="BP1634" t="s">
        <v>232</v>
      </c>
      <c r="BQ1634" s="153" t="s">
        <v>3252</v>
      </c>
      <c r="BR1634" t="s">
        <v>2324</v>
      </c>
      <c r="BS1634">
        <v>385.51880535301569</v>
      </c>
      <c r="BT1634">
        <v>160.9167191536873</v>
      </c>
      <c r="BU1634" s="144">
        <f t="shared" si="2149"/>
        <v>0.41740303435091181</v>
      </c>
      <c r="BV1634" s="144">
        <f t="shared" si="2132"/>
        <v>-224.6020861993284</v>
      </c>
      <c r="BW1634" s="144"/>
      <c r="BX1634">
        <f t="shared" si="2154"/>
        <v>-224602086.19932839</v>
      </c>
      <c r="BY1634">
        <f t="shared" si="2070"/>
        <v>-1.721088783136616</v>
      </c>
      <c r="BZ1634">
        <v>0</v>
      </c>
      <c r="CA1634">
        <v>0</v>
      </c>
      <c r="CB1634">
        <v>0</v>
      </c>
      <c r="CC1634">
        <v>0</v>
      </c>
      <c r="CD1634">
        <v>0</v>
      </c>
      <c r="CE1634">
        <v>0</v>
      </c>
      <c r="CF1634">
        <v>0</v>
      </c>
      <c r="CG1634">
        <v>0</v>
      </c>
      <c r="CH1634">
        <v>0</v>
      </c>
      <c r="CI1634">
        <v>0</v>
      </c>
      <c r="CJ1634">
        <v>0</v>
      </c>
      <c r="CK1634">
        <v>0</v>
      </c>
      <c r="CL1634">
        <v>0</v>
      </c>
      <c r="CM1634">
        <v>1</v>
      </c>
      <c r="CN1634" t="str">
        <f t="shared" si="2161"/>
        <v>refOK</v>
      </c>
      <c r="CO1634">
        <f t="shared" si="2155"/>
        <v>210</v>
      </c>
      <c r="CP1634">
        <f t="shared" si="2156"/>
        <v>340.5</v>
      </c>
      <c r="CQ1634">
        <f t="shared" si="2157"/>
        <v>130500000</v>
      </c>
      <c r="CR1634">
        <f t="shared" si="2134"/>
        <v>385.51880535301569</v>
      </c>
      <c r="CS1634">
        <f t="shared" si="2135"/>
        <v>160.9167191536873</v>
      </c>
      <c r="CT1634">
        <f t="shared" si="2136"/>
        <v>-224602086.19932839</v>
      </c>
      <c r="CU1634">
        <f t="shared" si="2137"/>
        <v>-1.721088783136616</v>
      </c>
      <c r="CV1634" s="2">
        <f t="shared" si="2138"/>
        <v>-0.58259696564908814</v>
      </c>
      <c r="CW1634" s="1" t="s">
        <v>1202</v>
      </c>
      <c r="CX1634" t="str">
        <f t="shared" si="2139"/>
        <v>reg</v>
      </c>
      <c r="CY1634" t="s">
        <v>639</v>
      </c>
      <c r="CZ1634">
        <v>2000</v>
      </c>
      <c r="DA1634">
        <v>2060</v>
      </c>
      <c r="DB1634">
        <f t="shared" si="2151"/>
        <v>60</v>
      </c>
      <c r="DC1634" t="str">
        <f t="shared" si="2140"/>
        <v>31-70</v>
      </c>
      <c r="DD1634">
        <v>1</v>
      </c>
      <c r="DE1634">
        <v>0</v>
      </c>
      <c r="DF1634">
        <v>0</v>
      </c>
      <c r="DG1634">
        <v>0</v>
      </c>
      <c r="DH1634">
        <v>0</v>
      </c>
      <c r="DI1634">
        <f t="shared" si="2141"/>
        <v>1</v>
      </c>
      <c r="DJ1634" t="str">
        <f t="shared" si="2142"/>
        <v>UpstreamInput</v>
      </c>
      <c r="DK1634" t="str">
        <f t="shared" si="2143"/>
        <v>Upstream</v>
      </c>
      <c r="DL1634">
        <f t="shared" si="2144"/>
        <v>0</v>
      </c>
      <c r="DM1634">
        <f t="shared" si="2145"/>
        <v>0</v>
      </c>
      <c r="DN1634">
        <f t="shared" si="2146"/>
        <v>0</v>
      </c>
      <c r="DO1634">
        <v>0</v>
      </c>
      <c r="DP1634">
        <v>0</v>
      </c>
      <c r="DT1634">
        <f t="shared" si="2147"/>
        <v>0</v>
      </c>
      <c r="DU1634" s="143" t="str">
        <f t="shared" si="2148"/>
        <v>explicit C balance</v>
      </c>
      <c r="DV1634">
        <v>1</v>
      </c>
      <c r="DW1634">
        <v>1</v>
      </c>
      <c r="DX1634">
        <v>1</v>
      </c>
      <c r="DY1634">
        <v>1</v>
      </c>
      <c r="DZ1634">
        <v>0</v>
      </c>
      <c r="EA1634" s="143">
        <v>0</v>
      </c>
      <c r="EB1634">
        <v>0</v>
      </c>
      <c r="EC1634">
        <v>0</v>
      </c>
      <c r="ED1634">
        <v>0</v>
      </c>
      <c r="EE1634">
        <v>0</v>
      </c>
      <c r="EF1634">
        <v>1</v>
      </c>
      <c r="EG1634">
        <v>0</v>
      </c>
      <c r="EH1634">
        <v>0</v>
      </c>
      <c r="EI1634" s="2">
        <v>0</v>
      </c>
      <c r="EK1634" t="str">
        <f t="shared" si="2158"/>
        <v/>
      </c>
      <c r="EL1634" t="str">
        <f t="shared" si="2159"/>
        <v>Ecosystem approach</v>
      </c>
      <c r="EM1634" s="2" t="str">
        <f t="shared" si="2106"/>
        <v/>
      </c>
      <c r="EN1634" t="s">
        <v>2484</v>
      </c>
      <c r="EP1634" t="str">
        <f>IF(ISNUMBER(BU1634),IF(ABS(BU1634-[3]QC_indicators!$B$2)&gt;3*[3]QC_indicators!$C$2,"C ratio",IF(ISNUMBER(BY1634),IF(ABS(BY1634-[3]QC_indicators!$B$1)&gt;3*[3]QC_indicators!$C$1,"DF","no"))),IF(ISNUMBER(BY1634),IF(ABS(BY1634-[3]QC_indicators!$B$1)&gt;3*[3]QC_indicators!$C$1,"DF","no")))</f>
        <v>no</v>
      </c>
      <c r="ET1634" s="264" t="s">
        <v>3253</v>
      </c>
    </row>
    <row r="1635" spans="1:150" ht="15" hidden="1" customHeight="1">
      <c r="A1635" s="1" t="s">
        <v>1807</v>
      </c>
      <c r="B1635" t="s">
        <v>2474</v>
      </c>
      <c r="C1635" t="s">
        <v>2475</v>
      </c>
      <c r="D1635" t="s">
        <v>2476</v>
      </c>
      <c r="E1635" t="s">
        <v>2477</v>
      </c>
      <c r="F1635" t="s">
        <v>2478</v>
      </c>
      <c r="G1635" t="s">
        <v>1813</v>
      </c>
      <c r="H1635" t="s">
        <v>254</v>
      </c>
      <c r="I1635">
        <v>2010</v>
      </c>
      <c r="J1635">
        <v>100</v>
      </c>
      <c r="K1635" t="s">
        <v>2479</v>
      </c>
      <c r="M1635" t="str">
        <f t="shared" si="2120"/>
        <v>Werner_2010</v>
      </c>
      <c r="N1635" t="s">
        <v>222</v>
      </c>
      <c r="O1635" s="145" t="s">
        <v>1153</v>
      </c>
      <c r="Q1635" t="s">
        <v>256</v>
      </c>
      <c r="R1635" s="262" t="s">
        <v>223</v>
      </c>
      <c r="S1635" s="263" t="s">
        <v>3254</v>
      </c>
      <c r="T1635" t="s">
        <v>2481</v>
      </c>
      <c r="U1635" t="s">
        <v>2486</v>
      </c>
      <c r="V1635">
        <v>2</v>
      </c>
      <c r="W1635">
        <v>0</v>
      </c>
      <c r="X1635">
        <v>1</v>
      </c>
      <c r="Y1635">
        <v>2</v>
      </c>
      <c r="Z1635">
        <v>0</v>
      </c>
      <c r="AA1635">
        <v>0</v>
      </c>
      <c r="AB1635">
        <v>0</v>
      </c>
      <c r="AC1635">
        <v>0</v>
      </c>
      <c r="AD1635">
        <v>0</v>
      </c>
      <c r="AE1635">
        <v>0</v>
      </c>
      <c r="AF1635">
        <v>0</v>
      </c>
      <c r="AG1635">
        <v>0</v>
      </c>
      <c r="AH1635">
        <v>0</v>
      </c>
      <c r="AI1635">
        <v>0</v>
      </c>
      <c r="AJ1635">
        <v>0</v>
      </c>
      <c r="AK1635">
        <v>0</v>
      </c>
      <c r="AL1635">
        <v>0</v>
      </c>
      <c r="AM1635">
        <v>0</v>
      </c>
      <c r="AN1635">
        <v>0</v>
      </c>
      <c r="AO1635">
        <v>0</v>
      </c>
      <c r="AP1635">
        <v>0</v>
      </c>
      <c r="AQ1635">
        <v>0</v>
      </c>
      <c r="AR1635">
        <v>0</v>
      </c>
      <c r="AS1635">
        <v>0</v>
      </c>
      <c r="AT1635">
        <v>0</v>
      </c>
      <c r="AU1635">
        <v>0</v>
      </c>
      <c r="AV1635">
        <v>0</v>
      </c>
      <c r="AW1635">
        <v>0</v>
      </c>
      <c r="AX1635" s="141">
        <f t="shared" si="2123"/>
        <v>3</v>
      </c>
      <c r="AY1635" s="141">
        <f t="shared" si="2124"/>
        <v>3</v>
      </c>
      <c r="AZ1635">
        <f t="shared" si="2125"/>
        <v>3</v>
      </c>
      <c r="BA1635">
        <f t="shared" si="2126"/>
        <v>0</v>
      </c>
      <c r="BB1635">
        <f t="shared" si="2127"/>
        <v>0</v>
      </c>
      <c r="BC1635">
        <f t="shared" si="2128"/>
        <v>0</v>
      </c>
      <c r="BD1635">
        <f t="shared" si="2129"/>
        <v>0</v>
      </c>
      <c r="BE1635" t="str">
        <f t="array" ref="BE1635">IF(AY1635=1,INDEX($V$7:$AL$7,MATCH(TRUE,INDEX($V1635:$AW1635&lt;&gt;0,),0)),IF(AY1635=0,INDEX($AM$7:$AW$7,MATCH(1,$AM1635:$AW1635,0)),IF(BF1635="Multiple strategies","mixed drivers",IF(BF1635="Supply chain","multiple supply","multiple silviculture"))))</f>
        <v>multiple silviculture</v>
      </c>
      <c r="BF1635" s="2" t="str" cm="1">
        <f t="array" ref="BF1635">IF(COUNTIF(AZ1635:BB1635,"&lt;&gt;0")=1,INDEX($V$4:$AW$4,MATCH(TRUE,INDEX($V1635:$AW1635&lt;&gt;0,),0)),IF(COUNTIF(AZ1635:BB1635,"&lt;&gt;0")=0,INDEX($AM$4:$AW$4,MATCH(1,$AM1635:$AW1635,0)),"Multiple strategies"))</f>
        <v>Silviculture for removals</v>
      </c>
      <c r="BG1635" s="1" t="s">
        <v>321</v>
      </c>
      <c r="BH1635" t="s">
        <v>2452</v>
      </c>
      <c r="BI1635" s="264" t="s">
        <v>3251</v>
      </c>
      <c r="BJ1635" t="s">
        <v>1322</v>
      </c>
      <c r="BK1635">
        <v>120</v>
      </c>
      <c r="BL1635">
        <v>213</v>
      </c>
      <c r="BM1635" s="143">
        <f t="shared" si="2160"/>
        <v>1.7749999999999999</v>
      </c>
      <c r="BN1635">
        <f t="shared" si="2152"/>
        <v>93</v>
      </c>
      <c r="BO1635">
        <f t="shared" si="2153"/>
        <v>93000000</v>
      </c>
      <c r="BP1635" t="s">
        <v>232</v>
      </c>
      <c r="BQ1635" s="153" t="s">
        <v>3252</v>
      </c>
      <c r="BR1635" t="s">
        <v>2324</v>
      </c>
      <c r="BS1635">
        <v>223.834792619919</v>
      </c>
      <c r="BT1635">
        <v>76.966731236946401</v>
      </c>
      <c r="BU1635" s="144">
        <f t="shared" si="2149"/>
        <v>0.34385508318914115</v>
      </c>
      <c r="BV1635" s="144">
        <f t="shared" si="2132"/>
        <v>-146.8680613829726</v>
      </c>
      <c r="BW1635" s="144"/>
      <c r="BX1635">
        <f t="shared" si="2154"/>
        <v>-146868061.3829726</v>
      </c>
      <c r="BY1635">
        <f t="shared" si="2070"/>
        <v>-1.5792264664835762</v>
      </c>
      <c r="BZ1635">
        <v>0</v>
      </c>
      <c r="CA1635">
        <v>0</v>
      </c>
      <c r="CB1635">
        <v>0</v>
      </c>
      <c r="CC1635">
        <v>0</v>
      </c>
      <c r="CD1635">
        <v>0</v>
      </c>
      <c r="CE1635">
        <v>0</v>
      </c>
      <c r="CF1635">
        <v>0</v>
      </c>
      <c r="CG1635">
        <v>0</v>
      </c>
      <c r="CH1635">
        <v>0</v>
      </c>
      <c r="CI1635">
        <v>0</v>
      </c>
      <c r="CJ1635">
        <v>0</v>
      </c>
      <c r="CK1635">
        <v>0</v>
      </c>
      <c r="CL1635">
        <v>0</v>
      </c>
      <c r="CM1635">
        <v>1</v>
      </c>
      <c r="CN1635" t="str">
        <f t="shared" si="2161"/>
        <v>refOK</v>
      </c>
      <c r="CO1635">
        <f t="shared" si="2155"/>
        <v>120</v>
      </c>
      <c r="CP1635">
        <f t="shared" si="2156"/>
        <v>213</v>
      </c>
      <c r="CQ1635">
        <f t="shared" si="2157"/>
        <v>93000000</v>
      </c>
      <c r="CR1635">
        <f t="shared" si="2134"/>
        <v>223.834792619919</v>
      </c>
      <c r="CS1635">
        <f t="shared" si="2135"/>
        <v>76.966731236946401</v>
      </c>
      <c r="CT1635">
        <f t="shared" si="2136"/>
        <v>-146868061.3829726</v>
      </c>
      <c r="CU1635">
        <f t="shared" si="2137"/>
        <v>-1.5792264664835762</v>
      </c>
      <c r="CV1635" s="2">
        <f t="shared" si="2138"/>
        <v>-0.65614491681085885</v>
      </c>
      <c r="CW1635" s="1" t="s">
        <v>1202</v>
      </c>
      <c r="CX1635" t="str">
        <f t="shared" si="2139"/>
        <v>reg</v>
      </c>
      <c r="CY1635" t="s">
        <v>639</v>
      </c>
      <c r="CZ1635">
        <v>2000</v>
      </c>
      <c r="DA1635">
        <v>2030</v>
      </c>
      <c r="DB1635">
        <f t="shared" si="2151"/>
        <v>30</v>
      </c>
      <c r="DC1635" t="str">
        <f t="shared" si="2140"/>
        <v>1-30</v>
      </c>
      <c r="DD1635">
        <v>0</v>
      </c>
      <c r="DE1635">
        <v>0</v>
      </c>
      <c r="DF1635">
        <v>0</v>
      </c>
      <c r="DG1635">
        <v>1</v>
      </c>
      <c r="DH1635">
        <v>0</v>
      </c>
      <c r="DI1635">
        <f t="shared" si="2141"/>
        <v>1</v>
      </c>
      <c r="DJ1635" t="str">
        <f t="shared" si="2142"/>
        <v>TimberInput</v>
      </c>
      <c r="DK1635">
        <f t="shared" si="2143"/>
        <v>0</v>
      </c>
      <c r="DL1635">
        <f t="shared" si="2144"/>
        <v>0</v>
      </c>
      <c r="DM1635">
        <f t="shared" si="2145"/>
        <v>0</v>
      </c>
      <c r="DN1635" t="str">
        <f t="shared" si="2146"/>
        <v>Timber</v>
      </c>
      <c r="DO1635">
        <v>0</v>
      </c>
      <c r="DP1635">
        <v>0</v>
      </c>
      <c r="DT1635">
        <f t="shared" si="2147"/>
        <v>0</v>
      </c>
      <c r="DU1635" s="143" t="str">
        <f t="shared" si="2148"/>
        <v>explicit C balance</v>
      </c>
      <c r="DV1635">
        <v>1</v>
      </c>
      <c r="DW1635">
        <v>1</v>
      </c>
      <c r="DX1635">
        <v>1</v>
      </c>
      <c r="DY1635">
        <v>0</v>
      </c>
      <c r="DZ1635">
        <v>0</v>
      </c>
      <c r="EA1635" s="143">
        <v>0</v>
      </c>
      <c r="EB1635">
        <v>0</v>
      </c>
      <c r="EC1635">
        <v>0</v>
      </c>
      <c r="ED1635">
        <v>0</v>
      </c>
      <c r="EE1635">
        <v>0</v>
      </c>
      <c r="EF1635">
        <v>1</v>
      </c>
      <c r="EG1635">
        <v>0</v>
      </c>
      <c r="EH1635">
        <v>0</v>
      </c>
      <c r="EI1635" s="2">
        <v>0</v>
      </c>
      <c r="EK1635" t="str">
        <f t="shared" si="2158"/>
        <v/>
      </c>
      <c r="EL1635" t="str">
        <f t="shared" si="2159"/>
        <v>Ecosystem approach</v>
      </c>
      <c r="EM1635" s="2" t="str">
        <f t="shared" si="2106"/>
        <v/>
      </c>
      <c r="EN1635" t="s">
        <v>2484</v>
      </c>
      <c r="EP1635" t="str">
        <f>IF(ISNUMBER(BU1635),IF(ABS(BU1635-[3]QC_indicators!$B$2)&gt;3*[3]QC_indicators!$C$2,"C ratio",IF(ISNUMBER(BY1635),IF(ABS(BY1635-[3]QC_indicators!$B$1)&gt;3*[3]QC_indicators!$C$1,"DF","no"))),IF(ISNUMBER(BY1635),IF(ABS(BY1635-[3]QC_indicators!$B$1)&gt;3*[3]QC_indicators!$C$1,"DF","no")))</f>
        <v>no</v>
      </c>
      <c r="ET1635" s="264" t="s">
        <v>3253</v>
      </c>
    </row>
    <row r="1636" spans="1:150" ht="15" hidden="1" customHeight="1">
      <c r="A1636" s="1" t="s">
        <v>1807</v>
      </c>
      <c r="B1636" t="s">
        <v>2474</v>
      </c>
      <c r="C1636" t="s">
        <v>2475</v>
      </c>
      <c r="D1636" t="s">
        <v>2476</v>
      </c>
      <c r="E1636" t="s">
        <v>2477</v>
      </c>
      <c r="F1636" t="s">
        <v>2478</v>
      </c>
      <c r="G1636" t="s">
        <v>1813</v>
      </c>
      <c r="H1636" t="s">
        <v>254</v>
      </c>
      <c r="I1636">
        <v>2010</v>
      </c>
      <c r="J1636">
        <v>100</v>
      </c>
      <c r="K1636" t="s">
        <v>2479</v>
      </c>
      <c r="M1636" t="str">
        <f t="shared" si="2120"/>
        <v>Werner_2010</v>
      </c>
      <c r="N1636" t="s">
        <v>222</v>
      </c>
      <c r="O1636" s="145" t="s">
        <v>1153</v>
      </c>
      <c r="Q1636" t="s">
        <v>256</v>
      </c>
      <c r="R1636" s="262" t="s">
        <v>223</v>
      </c>
      <c r="S1636" s="263" t="s">
        <v>3254</v>
      </c>
      <c r="T1636" t="s">
        <v>2481</v>
      </c>
      <c r="U1636" t="s">
        <v>2487</v>
      </c>
      <c r="V1636">
        <v>2</v>
      </c>
      <c r="W1636">
        <v>0</v>
      </c>
      <c r="X1636">
        <v>1</v>
      </c>
      <c r="Y1636">
        <v>2</v>
      </c>
      <c r="Z1636">
        <v>0</v>
      </c>
      <c r="AA1636">
        <v>0</v>
      </c>
      <c r="AB1636">
        <v>0</v>
      </c>
      <c r="AC1636">
        <v>0</v>
      </c>
      <c r="AD1636">
        <v>0</v>
      </c>
      <c r="AE1636">
        <v>0</v>
      </c>
      <c r="AF1636">
        <v>0</v>
      </c>
      <c r="AG1636">
        <v>0</v>
      </c>
      <c r="AH1636">
        <v>0</v>
      </c>
      <c r="AI1636">
        <v>0</v>
      </c>
      <c r="AJ1636">
        <v>0</v>
      </c>
      <c r="AK1636">
        <v>0</v>
      </c>
      <c r="AL1636">
        <v>0</v>
      </c>
      <c r="AM1636">
        <v>0</v>
      </c>
      <c r="AN1636">
        <v>0</v>
      </c>
      <c r="AO1636">
        <v>0</v>
      </c>
      <c r="AP1636">
        <v>0</v>
      </c>
      <c r="AQ1636">
        <v>0</v>
      </c>
      <c r="AR1636">
        <v>0</v>
      </c>
      <c r="AS1636">
        <v>0</v>
      </c>
      <c r="AT1636">
        <v>0</v>
      </c>
      <c r="AU1636">
        <v>0</v>
      </c>
      <c r="AV1636">
        <v>0</v>
      </c>
      <c r="AW1636">
        <v>0</v>
      </c>
      <c r="AX1636" s="141">
        <f t="shared" si="2123"/>
        <v>3</v>
      </c>
      <c r="AY1636" s="141">
        <f t="shared" si="2124"/>
        <v>3</v>
      </c>
      <c r="AZ1636">
        <f t="shared" si="2125"/>
        <v>3</v>
      </c>
      <c r="BA1636">
        <f t="shared" si="2126"/>
        <v>0</v>
      </c>
      <c r="BB1636">
        <f t="shared" si="2127"/>
        <v>0</v>
      </c>
      <c r="BC1636">
        <f t="shared" si="2128"/>
        <v>0</v>
      </c>
      <c r="BD1636">
        <f t="shared" si="2129"/>
        <v>0</v>
      </c>
      <c r="BE1636" t="str">
        <f t="array" ref="BE1636">IF(AY1636=1,INDEX($V$7:$AL$7,MATCH(TRUE,INDEX($V1636:$AW1636&lt;&gt;0,),0)),IF(AY1636=0,INDEX($AM$7:$AW$7,MATCH(1,$AM1636:$AW1636,0)),IF(BF1636="Multiple strategies","mixed drivers",IF(BF1636="Supply chain","multiple supply","multiple silviculture"))))</f>
        <v>multiple silviculture</v>
      </c>
      <c r="BF1636" s="2" t="str" cm="1">
        <f t="array" ref="BF1636">IF(COUNTIF(AZ1636:BB1636,"&lt;&gt;0")=1,INDEX($V$4:$AW$4,MATCH(TRUE,INDEX($V1636:$AW1636&lt;&gt;0,),0)),IF(COUNTIF(AZ1636:BB1636,"&lt;&gt;0")=0,INDEX($AM$4:$AW$4,MATCH(1,$AM1636:$AW1636,0)),"Multiple strategies"))</f>
        <v>Silviculture for removals</v>
      </c>
      <c r="BG1636" s="1" t="s">
        <v>321</v>
      </c>
      <c r="BH1636" t="s">
        <v>2452</v>
      </c>
      <c r="BI1636" s="264" t="s">
        <v>3251</v>
      </c>
      <c r="BJ1636" t="s">
        <v>1322</v>
      </c>
      <c r="BK1636">
        <v>120</v>
      </c>
      <c r="BL1636">
        <v>213</v>
      </c>
      <c r="BM1636" s="143">
        <f t="shared" si="2160"/>
        <v>1.7749999999999999</v>
      </c>
      <c r="BN1636">
        <f t="shared" si="2152"/>
        <v>93</v>
      </c>
      <c r="BO1636">
        <f t="shared" si="2153"/>
        <v>93000000</v>
      </c>
      <c r="BP1636" t="s">
        <v>232</v>
      </c>
      <c r="BQ1636" s="153" t="s">
        <v>3252</v>
      </c>
      <c r="BR1636" t="s">
        <v>2324</v>
      </c>
      <c r="BS1636">
        <v>223.834792619919</v>
      </c>
      <c r="BT1636">
        <v>76.966731236946401</v>
      </c>
      <c r="BU1636" s="144">
        <f t="shared" si="2149"/>
        <v>0.34385508318914115</v>
      </c>
      <c r="BV1636" s="144">
        <f t="shared" si="2132"/>
        <v>-146.8680613829726</v>
      </c>
      <c r="BW1636" s="144"/>
      <c r="BX1636">
        <f t="shared" si="2154"/>
        <v>-146868061.3829726</v>
      </c>
      <c r="BY1636">
        <f t="shared" si="2070"/>
        <v>-1.5792264664835762</v>
      </c>
      <c r="BZ1636">
        <v>0</v>
      </c>
      <c r="CA1636">
        <v>0</v>
      </c>
      <c r="CB1636">
        <v>0</v>
      </c>
      <c r="CC1636">
        <v>0</v>
      </c>
      <c r="CD1636">
        <v>0</v>
      </c>
      <c r="CE1636">
        <v>0</v>
      </c>
      <c r="CF1636">
        <v>0</v>
      </c>
      <c r="CG1636">
        <v>0</v>
      </c>
      <c r="CH1636">
        <v>0</v>
      </c>
      <c r="CI1636">
        <v>0</v>
      </c>
      <c r="CJ1636">
        <v>0</v>
      </c>
      <c r="CK1636">
        <v>0</v>
      </c>
      <c r="CL1636">
        <v>0</v>
      </c>
      <c r="CM1636">
        <v>1</v>
      </c>
      <c r="CN1636" t="str">
        <f t="shared" si="2161"/>
        <v>refOK</v>
      </c>
      <c r="CO1636">
        <f t="shared" si="2155"/>
        <v>120</v>
      </c>
      <c r="CP1636">
        <f t="shared" si="2156"/>
        <v>213</v>
      </c>
      <c r="CQ1636">
        <f t="shared" si="2157"/>
        <v>93000000</v>
      </c>
      <c r="CR1636">
        <f t="shared" si="2134"/>
        <v>223.834792619919</v>
      </c>
      <c r="CS1636">
        <f t="shared" si="2135"/>
        <v>76.966731236946401</v>
      </c>
      <c r="CT1636">
        <f t="shared" si="2136"/>
        <v>-146868061.3829726</v>
      </c>
      <c r="CU1636">
        <f t="shared" si="2137"/>
        <v>-1.5792264664835762</v>
      </c>
      <c r="CV1636" s="2">
        <f t="shared" si="2138"/>
        <v>-0.65614491681085885</v>
      </c>
      <c r="CW1636" s="1" t="s">
        <v>1202</v>
      </c>
      <c r="CX1636" t="str">
        <f t="shared" si="2139"/>
        <v>reg</v>
      </c>
      <c r="CY1636" t="s">
        <v>639</v>
      </c>
      <c r="CZ1636">
        <v>2000</v>
      </c>
      <c r="DA1636">
        <v>2030</v>
      </c>
      <c r="DB1636">
        <f t="shared" si="2151"/>
        <v>30</v>
      </c>
      <c r="DC1636" t="str">
        <f t="shared" si="2140"/>
        <v>1-30</v>
      </c>
      <c r="DD1636">
        <v>0</v>
      </c>
      <c r="DE1636">
        <v>1</v>
      </c>
      <c r="DF1636">
        <v>0</v>
      </c>
      <c r="DG1636">
        <v>0</v>
      </c>
      <c r="DH1636">
        <v>0</v>
      </c>
      <c r="DI1636">
        <f t="shared" si="2141"/>
        <v>1</v>
      </c>
      <c r="DJ1636" t="str">
        <f t="shared" si="2142"/>
        <v>EnergyInput</v>
      </c>
      <c r="DK1636">
        <f t="shared" si="2143"/>
        <v>0</v>
      </c>
      <c r="DL1636" t="str">
        <f t="shared" si="2144"/>
        <v>Energy</v>
      </c>
      <c r="DM1636">
        <f t="shared" si="2145"/>
        <v>0</v>
      </c>
      <c r="DN1636">
        <f t="shared" si="2146"/>
        <v>0</v>
      </c>
      <c r="DO1636">
        <v>0</v>
      </c>
      <c r="DP1636">
        <v>0</v>
      </c>
      <c r="DT1636">
        <f t="shared" si="2147"/>
        <v>0</v>
      </c>
      <c r="DU1636" s="143" t="str">
        <f t="shared" si="2148"/>
        <v>explicit C balance</v>
      </c>
      <c r="DV1636">
        <v>1</v>
      </c>
      <c r="DW1636">
        <v>1</v>
      </c>
      <c r="DX1636">
        <v>1</v>
      </c>
      <c r="DY1636">
        <v>0</v>
      </c>
      <c r="DZ1636">
        <v>0</v>
      </c>
      <c r="EA1636" s="143">
        <v>0</v>
      </c>
      <c r="EB1636">
        <v>0</v>
      </c>
      <c r="EC1636">
        <v>0</v>
      </c>
      <c r="ED1636">
        <v>0</v>
      </c>
      <c r="EE1636">
        <v>0</v>
      </c>
      <c r="EF1636">
        <v>1</v>
      </c>
      <c r="EG1636">
        <v>0</v>
      </c>
      <c r="EH1636">
        <v>0</v>
      </c>
      <c r="EI1636" s="2">
        <v>0</v>
      </c>
      <c r="EK1636" t="str">
        <f t="shared" si="2158"/>
        <v/>
      </c>
      <c r="EL1636" t="str">
        <f t="shared" si="2159"/>
        <v>Ecosystem approach</v>
      </c>
      <c r="EM1636" s="2" t="str">
        <f t="shared" si="2106"/>
        <v/>
      </c>
      <c r="EN1636" t="s">
        <v>2484</v>
      </c>
      <c r="EP1636" t="str">
        <f>IF(ISNUMBER(BU1636),IF(ABS(BU1636-[3]QC_indicators!$B$2)&gt;3*[3]QC_indicators!$C$2,"C ratio",IF(ISNUMBER(BY1636),IF(ABS(BY1636-[3]QC_indicators!$B$1)&gt;3*[3]QC_indicators!$C$1,"DF","no"))),IF(ISNUMBER(BY1636),IF(ABS(BY1636-[3]QC_indicators!$B$1)&gt;3*[3]QC_indicators!$C$1,"DF","no")))</f>
        <v>no</v>
      </c>
      <c r="ET1636" s="264" t="s">
        <v>3253</v>
      </c>
    </row>
    <row r="1637" spans="1:150" ht="15" hidden="1" customHeight="1">
      <c r="A1637" s="1" t="s">
        <v>1807</v>
      </c>
      <c r="B1637" t="s">
        <v>2474</v>
      </c>
      <c r="C1637" t="s">
        <v>2475</v>
      </c>
      <c r="D1637" t="s">
        <v>2476</v>
      </c>
      <c r="E1637" t="s">
        <v>2477</v>
      </c>
      <c r="F1637" t="s">
        <v>2478</v>
      </c>
      <c r="G1637" t="s">
        <v>1813</v>
      </c>
      <c r="H1637" t="s">
        <v>254</v>
      </c>
      <c r="I1637">
        <v>2010</v>
      </c>
      <c r="J1637">
        <v>100</v>
      </c>
      <c r="K1637" t="s">
        <v>2479</v>
      </c>
      <c r="M1637" t="str">
        <f t="shared" si="2120"/>
        <v>Werner_2010</v>
      </c>
      <c r="N1637" t="s">
        <v>222</v>
      </c>
      <c r="O1637" s="145" t="s">
        <v>1153</v>
      </c>
      <c r="Q1637" t="s">
        <v>256</v>
      </c>
      <c r="R1637" s="262" t="s">
        <v>223</v>
      </c>
      <c r="S1637" s="263" t="s">
        <v>3254</v>
      </c>
      <c r="T1637" t="s">
        <v>2481</v>
      </c>
      <c r="U1637" t="s">
        <v>2487</v>
      </c>
      <c r="V1637">
        <v>2</v>
      </c>
      <c r="W1637">
        <v>0</v>
      </c>
      <c r="X1637">
        <v>1</v>
      </c>
      <c r="Y1637">
        <v>2</v>
      </c>
      <c r="Z1637">
        <v>0</v>
      </c>
      <c r="AA1637">
        <v>0</v>
      </c>
      <c r="AB1637">
        <v>0</v>
      </c>
      <c r="AC1637">
        <v>0</v>
      </c>
      <c r="AD1637">
        <v>0</v>
      </c>
      <c r="AE1637">
        <v>0</v>
      </c>
      <c r="AF1637">
        <v>0</v>
      </c>
      <c r="AG1637">
        <v>0</v>
      </c>
      <c r="AH1637">
        <v>0</v>
      </c>
      <c r="AI1637">
        <v>0</v>
      </c>
      <c r="AJ1637">
        <v>0</v>
      </c>
      <c r="AK1637">
        <v>0</v>
      </c>
      <c r="AL1637">
        <v>0</v>
      </c>
      <c r="AM1637">
        <v>0</v>
      </c>
      <c r="AN1637">
        <v>0</v>
      </c>
      <c r="AO1637">
        <v>0</v>
      </c>
      <c r="AP1637">
        <v>0</v>
      </c>
      <c r="AQ1637">
        <v>0</v>
      </c>
      <c r="AR1637">
        <v>0</v>
      </c>
      <c r="AS1637">
        <v>0</v>
      </c>
      <c r="AT1637">
        <v>0</v>
      </c>
      <c r="AU1637">
        <v>0</v>
      </c>
      <c r="AV1637">
        <v>0</v>
      </c>
      <c r="AW1637">
        <v>0</v>
      </c>
      <c r="AX1637" s="141">
        <f t="shared" si="2123"/>
        <v>3</v>
      </c>
      <c r="AY1637" s="141">
        <f t="shared" si="2124"/>
        <v>3</v>
      </c>
      <c r="AZ1637">
        <f t="shared" si="2125"/>
        <v>3</v>
      </c>
      <c r="BA1637">
        <f t="shared" si="2126"/>
        <v>0</v>
      </c>
      <c r="BB1637">
        <f t="shared" si="2127"/>
        <v>0</v>
      </c>
      <c r="BC1637">
        <f t="shared" si="2128"/>
        <v>0</v>
      </c>
      <c r="BD1637">
        <f t="shared" si="2129"/>
        <v>0</v>
      </c>
      <c r="BE1637" t="str">
        <f t="array" ref="BE1637">IF(AY1637=1,INDEX($V$7:$AL$7,MATCH(TRUE,INDEX($V1637:$AW1637&lt;&gt;0,),0)),IF(AY1637=0,INDEX($AM$7:$AW$7,MATCH(1,$AM1637:$AW1637,0)),IF(BF1637="Multiple strategies","mixed drivers",IF(BF1637="Supply chain","multiple supply","multiple silviculture"))))</f>
        <v>multiple silviculture</v>
      </c>
      <c r="BF1637" s="2" t="str" cm="1">
        <f t="array" ref="BF1637">IF(COUNTIF(AZ1637:BB1637,"&lt;&gt;0")=1,INDEX($V$4:$AW$4,MATCH(TRUE,INDEX($V1637:$AW1637&lt;&gt;0,),0)),IF(COUNTIF(AZ1637:BB1637,"&lt;&gt;0")=0,INDEX($AM$4:$AW$4,MATCH(1,$AM1637:$AW1637,0)),"Multiple strategies"))</f>
        <v>Silviculture for removals</v>
      </c>
      <c r="BG1637" s="1" t="s">
        <v>321</v>
      </c>
      <c r="BH1637" t="s">
        <v>2452</v>
      </c>
      <c r="BI1637" s="264" t="s">
        <v>3251</v>
      </c>
      <c r="BJ1637" t="s">
        <v>1322</v>
      </c>
      <c r="BK1637">
        <v>120</v>
      </c>
      <c r="BL1637">
        <v>213</v>
      </c>
      <c r="BM1637" s="143">
        <f t="shared" si="2160"/>
        <v>1.7749999999999999</v>
      </c>
      <c r="BN1637">
        <f t="shared" si="2152"/>
        <v>93</v>
      </c>
      <c r="BO1637">
        <f t="shared" si="2153"/>
        <v>93000000</v>
      </c>
      <c r="BP1637" t="s">
        <v>232</v>
      </c>
      <c r="BQ1637" s="153" t="s">
        <v>3252</v>
      </c>
      <c r="BR1637" t="s">
        <v>2324</v>
      </c>
      <c r="BS1637">
        <v>227.98379614391621</v>
      </c>
      <c r="BT1637">
        <v>99.185361744145396</v>
      </c>
      <c r="BU1637" s="144">
        <f t="shared" si="2149"/>
        <v>0.4350544355421383</v>
      </c>
      <c r="BV1637" s="144">
        <f t="shared" si="2132"/>
        <v>-128.79843439977083</v>
      </c>
      <c r="BW1637" s="144"/>
      <c r="BX1637">
        <f t="shared" si="2154"/>
        <v>-128798434.39977083</v>
      </c>
      <c r="BY1637">
        <f t="shared" si="2070"/>
        <v>-1.3849294021480734</v>
      </c>
      <c r="BZ1637">
        <v>0</v>
      </c>
      <c r="CA1637">
        <v>0</v>
      </c>
      <c r="CB1637">
        <v>0</v>
      </c>
      <c r="CC1637">
        <v>0</v>
      </c>
      <c r="CD1637">
        <v>0</v>
      </c>
      <c r="CE1637">
        <v>0</v>
      </c>
      <c r="CF1637">
        <v>0</v>
      </c>
      <c r="CG1637">
        <v>0</v>
      </c>
      <c r="CH1637">
        <v>0</v>
      </c>
      <c r="CI1637">
        <v>0</v>
      </c>
      <c r="CJ1637">
        <v>0</v>
      </c>
      <c r="CK1637">
        <v>0</v>
      </c>
      <c r="CL1637">
        <v>0</v>
      </c>
      <c r="CM1637">
        <v>1</v>
      </c>
      <c r="CN1637" t="str">
        <f t="shared" si="2161"/>
        <v>refOK</v>
      </c>
      <c r="CO1637">
        <f t="shared" si="2155"/>
        <v>120</v>
      </c>
      <c r="CP1637">
        <f t="shared" si="2156"/>
        <v>213</v>
      </c>
      <c r="CQ1637">
        <f t="shared" si="2157"/>
        <v>93000000</v>
      </c>
      <c r="CR1637">
        <f t="shared" si="2134"/>
        <v>227.98379614391621</v>
      </c>
      <c r="CS1637">
        <f t="shared" si="2135"/>
        <v>99.185361744145396</v>
      </c>
      <c r="CT1637">
        <f t="shared" si="2136"/>
        <v>-128798434.39977083</v>
      </c>
      <c r="CU1637">
        <f t="shared" si="2137"/>
        <v>-1.3849294021480734</v>
      </c>
      <c r="CV1637" s="2">
        <f t="shared" si="2138"/>
        <v>-0.5649455644578617</v>
      </c>
      <c r="CW1637" s="1" t="s">
        <v>1202</v>
      </c>
      <c r="CX1637" t="str">
        <f t="shared" si="2139"/>
        <v>reg</v>
      </c>
      <c r="CY1637" t="s">
        <v>639</v>
      </c>
      <c r="CZ1637">
        <v>2000</v>
      </c>
      <c r="DA1637">
        <v>2030</v>
      </c>
      <c r="DB1637">
        <f t="shared" si="2151"/>
        <v>30</v>
      </c>
      <c r="DC1637" t="str">
        <f t="shared" si="2140"/>
        <v>1-30</v>
      </c>
      <c r="DD1637">
        <v>0</v>
      </c>
      <c r="DE1637">
        <v>1</v>
      </c>
      <c r="DF1637">
        <v>0</v>
      </c>
      <c r="DG1637">
        <v>0</v>
      </c>
      <c r="DH1637">
        <v>0</v>
      </c>
      <c r="DI1637">
        <f t="shared" si="2141"/>
        <v>1</v>
      </c>
      <c r="DJ1637" t="str">
        <f t="shared" si="2142"/>
        <v>EnergyInput</v>
      </c>
      <c r="DK1637">
        <f t="shared" si="2143"/>
        <v>0</v>
      </c>
      <c r="DL1637" t="str">
        <f t="shared" si="2144"/>
        <v>Energy</v>
      </c>
      <c r="DM1637">
        <f t="shared" si="2145"/>
        <v>0</v>
      </c>
      <c r="DN1637">
        <f t="shared" si="2146"/>
        <v>0</v>
      </c>
      <c r="DO1637">
        <v>0</v>
      </c>
      <c r="DP1637">
        <v>0</v>
      </c>
      <c r="DT1637">
        <f t="shared" si="2147"/>
        <v>0</v>
      </c>
      <c r="DU1637" s="143" t="str">
        <f t="shared" si="2148"/>
        <v>explicit C balance</v>
      </c>
      <c r="DV1637">
        <v>1</v>
      </c>
      <c r="DW1637">
        <v>1</v>
      </c>
      <c r="DX1637">
        <v>1</v>
      </c>
      <c r="DY1637">
        <v>1</v>
      </c>
      <c r="DZ1637">
        <v>1</v>
      </c>
      <c r="EA1637" s="143">
        <v>0</v>
      </c>
      <c r="EB1637">
        <v>0</v>
      </c>
      <c r="EC1637">
        <v>0</v>
      </c>
      <c r="ED1637">
        <v>0</v>
      </c>
      <c r="EE1637">
        <v>0</v>
      </c>
      <c r="EF1637">
        <v>1</v>
      </c>
      <c r="EG1637">
        <v>0</v>
      </c>
      <c r="EH1637">
        <v>0</v>
      </c>
      <c r="EI1637" s="2">
        <v>0</v>
      </c>
      <c r="EK1637" t="str">
        <f t="shared" si="2158"/>
        <v/>
      </c>
      <c r="EL1637" t="str">
        <f t="shared" si="2159"/>
        <v>Ecosystem approach</v>
      </c>
      <c r="EM1637" s="2" t="str">
        <f t="shared" si="2106"/>
        <v/>
      </c>
      <c r="EN1637" t="s">
        <v>2484</v>
      </c>
      <c r="EP1637" t="str">
        <f>IF(ISNUMBER(BU1637),IF(ABS(BU1637-[3]QC_indicators!$B$2)&gt;3*[3]QC_indicators!$C$2,"C ratio",IF(ISNUMBER(BY1637),IF(ABS(BY1637-[3]QC_indicators!$B$1)&gt;3*[3]QC_indicators!$C$1,"DF","no"))),IF(ISNUMBER(BY1637),IF(ABS(BY1637-[3]QC_indicators!$B$1)&gt;3*[3]QC_indicators!$C$1,"DF","no")))</f>
        <v>no</v>
      </c>
      <c r="ET1637" s="264" t="s">
        <v>3253</v>
      </c>
    </row>
    <row r="1638" spans="1:150" ht="15" hidden="1" customHeight="1">
      <c r="A1638" s="1" t="s">
        <v>1807</v>
      </c>
      <c r="B1638" t="s">
        <v>2474</v>
      </c>
      <c r="C1638" t="s">
        <v>2475</v>
      </c>
      <c r="D1638" t="s">
        <v>2476</v>
      </c>
      <c r="E1638" t="s">
        <v>2477</v>
      </c>
      <c r="F1638" t="s">
        <v>2478</v>
      </c>
      <c r="G1638" t="s">
        <v>1813</v>
      </c>
      <c r="H1638" t="s">
        <v>254</v>
      </c>
      <c r="I1638">
        <v>2010</v>
      </c>
      <c r="J1638">
        <v>100</v>
      </c>
      <c r="K1638" t="s">
        <v>2479</v>
      </c>
      <c r="M1638" t="str">
        <f t="shared" si="2120"/>
        <v>Werner_2010</v>
      </c>
      <c r="N1638" t="s">
        <v>222</v>
      </c>
      <c r="O1638" s="145" t="s">
        <v>1153</v>
      </c>
      <c r="Q1638" t="s">
        <v>256</v>
      </c>
      <c r="R1638" s="262" t="s">
        <v>223</v>
      </c>
      <c r="S1638" s="1" t="s">
        <v>2480</v>
      </c>
      <c r="T1638" t="s">
        <v>2481</v>
      </c>
      <c r="U1638" t="s">
        <v>1154</v>
      </c>
      <c r="V1638">
        <v>1</v>
      </c>
      <c r="W1638">
        <v>0</v>
      </c>
      <c r="X1638">
        <v>2</v>
      </c>
      <c r="Y1638">
        <v>0</v>
      </c>
      <c r="Z1638">
        <v>0</v>
      </c>
      <c r="AA1638">
        <v>0</v>
      </c>
      <c r="AB1638">
        <v>0</v>
      </c>
      <c r="AC1638">
        <v>0</v>
      </c>
      <c r="AD1638">
        <v>0</v>
      </c>
      <c r="AE1638">
        <v>0</v>
      </c>
      <c r="AF1638">
        <v>0</v>
      </c>
      <c r="AG1638">
        <v>0</v>
      </c>
      <c r="AH1638">
        <v>0</v>
      </c>
      <c r="AI1638">
        <v>0</v>
      </c>
      <c r="AJ1638">
        <v>0</v>
      </c>
      <c r="AK1638">
        <v>0</v>
      </c>
      <c r="AL1638">
        <v>0</v>
      </c>
      <c r="AM1638">
        <v>0</v>
      </c>
      <c r="AN1638">
        <v>0</v>
      </c>
      <c r="AO1638">
        <v>0</v>
      </c>
      <c r="AP1638">
        <v>0</v>
      </c>
      <c r="AQ1638">
        <v>0</v>
      </c>
      <c r="AR1638">
        <v>0</v>
      </c>
      <c r="AS1638">
        <v>0</v>
      </c>
      <c r="AT1638">
        <v>0</v>
      </c>
      <c r="AU1638">
        <v>0</v>
      </c>
      <c r="AV1638">
        <v>0</v>
      </c>
      <c r="AW1638">
        <v>0</v>
      </c>
      <c r="AX1638" s="141">
        <f t="shared" si="2123"/>
        <v>2</v>
      </c>
      <c r="AY1638" s="141">
        <f t="shared" si="2124"/>
        <v>2</v>
      </c>
      <c r="AZ1638">
        <f t="shared" si="2125"/>
        <v>2</v>
      </c>
      <c r="BA1638">
        <f t="shared" si="2126"/>
        <v>0</v>
      </c>
      <c r="BB1638">
        <f t="shared" si="2127"/>
        <v>0</v>
      </c>
      <c r="BC1638">
        <f t="shared" si="2128"/>
        <v>0</v>
      </c>
      <c r="BD1638">
        <f t="shared" si="2129"/>
        <v>0</v>
      </c>
      <c r="BE1638" t="str">
        <f t="array" ref="BE1638">IF(AY1638=1,INDEX($V$7:$AL$7,MATCH(TRUE,INDEX($V1638:$AW1638&lt;&gt;0,),0)),IF(AY1638=0,INDEX($AM$7:$AW$7,MATCH(1,$AM1638:$AW1638,0)),IF(BF1638="Multiple strategies","mixed drivers",IF(BF1638="Supply chain","multiple supply","multiple silviculture"))))</f>
        <v>multiple silviculture</v>
      </c>
      <c r="BF1638" s="2" t="str" cm="1">
        <f t="array" ref="BF1638">IF(COUNTIF(AZ1638:BB1638,"&lt;&gt;0")=1,INDEX($V$4:$AW$4,MATCH(TRUE,INDEX($V1638:$AW1638&lt;&gt;0,),0)),IF(COUNTIF(AZ1638:BB1638,"&lt;&gt;0")=0,INDEX($AM$4:$AW$4,MATCH(1,$AM1638:$AW1638,0)),"Multiple strategies"))</f>
        <v>Silviculture for removals</v>
      </c>
      <c r="BG1638" s="1" t="s">
        <v>321</v>
      </c>
      <c r="BH1638" t="s">
        <v>2452</v>
      </c>
      <c r="BI1638" s="264" t="s">
        <v>3251</v>
      </c>
      <c r="BJ1638" t="s">
        <v>1322</v>
      </c>
      <c r="BK1638">
        <v>300</v>
      </c>
      <c r="BL1638">
        <v>517.5</v>
      </c>
      <c r="BM1638" s="143">
        <f t="shared" si="2160"/>
        <v>1.7250000000000001</v>
      </c>
      <c r="BN1638">
        <f t="shared" si="2152"/>
        <v>217.5</v>
      </c>
      <c r="BO1638">
        <f t="shared" si="2153"/>
        <v>217500000</v>
      </c>
      <c r="BP1638" t="s">
        <v>232</v>
      </c>
      <c r="BQ1638" s="153" t="s">
        <v>3252</v>
      </c>
      <c r="BR1638" t="s">
        <v>2324</v>
      </c>
      <c r="BS1638">
        <v>350.30815678968798</v>
      </c>
      <c r="BT1638">
        <v>73.410781675763403</v>
      </c>
      <c r="BU1638" s="144">
        <f t="shared" si="2149"/>
        <v>0.20956058331189961</v>
      </c>
      <c r="BV1638" s="144">
        <f t="shared" si="2132"/>
        <v>-276.89737511392457</v>
      </c>
      <c r="BW1638" s="144"/>
      <c r="BX1638">
        <f t="shared" si="2154"/>
        <v>-276897375.11392456</v>
      </c>
      <c r="BY1638">
        <f t="shared" si="2070"/>
        <v>-1.2730913798341359</v>
      </c>
      <c r="BZ1638">
        <v>0</v>
      </c>
      <c r="CA1638">
        <v>0</v>
      </c>
      <c r="CB1638">
        <v>0</v>
      </c>
      <c r="CC1638">
        <v>0</v>
      </c>
      <c r="CD1638">
        <v>0</v>
      </c>
      <c r="CE1638">
        <v>0</v>
      </c>
      <c r="CF1638">
        <v>0</v>
      </c>
      <c r="CG1638">
        <v>0</v>
      </c>
      <c r="CH1638">
        <v>0</v>
      </c>
      <c r="CI1638">
        <v>0</v>
      </c>
      <c r="CJ1638">
        <v>0</v>
      </c>
      <c r="CK1638">
        <v>0</v>
      </c>
      <c r="CL1638">
        <v>0</v>
      </c>
      <c r="CM1638">
        <v>1</v>
      </c>
      <c r="CN1638" t="str">
        <f t="shared" si="2161"/>
        <v>refOK</v>
      </c>
      <c r="CO1638">
        <f>IF($CN1638="refNeedCorrection",BL1638,BK1638)</f>
        <v>300</v>
      </c>
      <c r="CP1638">
        <f>IF($CN1638="refNeedCorrection",BK1638,BL1638)</f>
        <v>517.5</v>
      </c>
      <c r="CQ1638">
        <f t="shared" si="2157"/>
        <v>217500000</v>
      </c>
      <c r="CR1638">
        <f t="shared" si="2134"/>
        <v>350.30815678968798</v>
      </c>
      <c r="CS1638">
        <f t="shared" si="2135"/>
        <v>73.410781675763403</v>
      </c>
      <c r="CT1638">
        <f t="shared" si="2136"/>
        <v>-276897375.11392456</v>
      </c>
      <c r="CU1638">
        <f t="shared" si="2137"/>
        <v>-1.2730913798341359</v>
      </c>
      <c r="CV1638" s="2">
        <f t="shared" si="2138"/>
        <v>-0.79043941668810036</v>
      </c>
      <c r="CW1638" s="1" t="s">
        <v>1202</v>
      </c>
      <c r="CX1638" t="str">
        <f t="shared" si="2139"/>
        <v>reg</v>
      </c>
      <c r="CY1638" t="s">
        <v>639</v>
      </c>
      <c r="CZ1638">
        <v>2000</v>
      </c>
      <c r="DA1638">
        <v>2090</v>
      </c>
      <c r="DB1638">
        <f t="shared" si="2151"/>
        <v>90</v>
      </c>
      <c r="DC1638" t="str">
        <f t="shared" si="2140"/>
        <v>71-100</v>
      </c>
      <c r="DD1638">
        <v>1</v>
      </c>
      <c r="DE1638">
        <v>0</v>
      </c>
      <c r="DF1638">
        <v>0</v>
      </c>
      <c r="DG1638">
        <v>0</v>
      </c>
      <c r="DH1638">
        <v>0</v>
      </c>
      <c r="DI1638">
        <f t="shared" si="2141"/>
        <v>1</v>
      </c>
      <c r="DJ1638" t="str">
        <f t="shared" si="2142"/>
        <v>UpstreamInput</v>
      </c>
      <c r="DK1638" t="str">
        <f t="shared" si="2143"/>
        <v>Upstream</v>
      </c>
      <c r="DL1638">
        <f t="shared" si="2144"/>
        <v>0</v>
      </c>
      <c r="DM1638">
        <f t="shared" si="2145"/>
        <v>0</v>
      </c>
      <c r="DN1638">
        <f t="shared" si="2146"/>
        <v>0</v>
      </c>
      <c r="DO1638">
        <v>0</v>
      </c>
      <c r="DP1638">
        <v>0</v>
      </c>
      <c r="DT1638">
        <f t="shared" si="2147"/>
        <v>0</v>
      </c>
      <c r="DU1638" s="143" t="str">
        <f t="shared" si="2148"/>
        <v>explicit C balance</v>
      </c>
      <c r="DV1638">
        <v>1</v>
      </c>
      <c r="DW1638">
        <v>1</v>
      </c>
      <c r="DX1638">
        <v>1</v>
      </c>
      <c r="DY1638">
        <v>0</v>
      </c>
      <c r="DZ1638">
        <v>0</v>
      </c>
      <c r="EA1638" s="143">
        <v>0</v>
      </c>
      <c r="EB1638">
        <v>0</v>
      </c>
      <c r="EC1638">
        <v>0</v>
      </c>
      <c r="ED1638">
        <v>0</v>
      </c>
      <c r="EE1638">
        <v>0</v>
      </c>
      <c r="EF1638">
        <v>1</v>
      </c>
      <c r="EG1638">
        <v>0</v>
      </c>
      <c r="EH1638">
        <v>0</v>
      </c>
      <c r="EI1638" s="2">
        <v>0</v>
      </c>
      <c r="EK1638" t="str">
        <f t="shared" si="2158"/>
        <v/>
      </c>
      <c r="EL1638" t="str">
        <f t="shared" si="2159"/>
        <v>Ecosystem approach</v>
      </c>
      <c r="EM1638" s="2" t="str">
        <f t="shared" si="2106"/>
        <v/>
      </c>
      <c r="EN1638" t="s">
        <v>2484</v>
      </c>
      <c r="EP1638" t="str">
        <f>IF(ISNUMBER(BU1638),IF(ABS(BU1638-[3]QC_indicators!$B$2)&gt;3*[3]QC_indicators!$C$2,"C ratio",IF(ISNUMBER(BY1638),IF(ABS(BY1638-[3]QC_indicators!$B$1)&gt;3*[3]QC_indicators!$C$1,"DF","no"))),IF(ISNUMBER(BY1638),IF(ABS(BY1638-[3]QC_indicators!$B$1)&gt;3*[3]QC_indicators!$C$1,"DF","no")))</f>
        <v>no</v>
      </c>
      <c r="ET1638" s="264" t="s">
        <v>3253</v>
      </c>
    </row>
    <row r="1639" spans="1:150" ht="15" hidden="1" customHeight="1">
      <c r="A1639" s="1" t="s">
        <v>1807</v>
      </c>
      <c r="B1639" t="s">
        <v>2474</v>
      </c>
      <c r="C1639" t="s">
        <v>2475</v>
      </c>
      <c r="D1639" t="s">
        <v>2476</v>
      </c>
      <c r="E1639" t="s">
        <v>2477</v>
      </c>
      <c r="F1639" t="s">
        <v>2478</v>
      </c>
      <c r="G1639" t="s">
        <v>1813</v>
      </c>
      <c r="H1639" t="s">
        <v>254</v>
      </c>
      <c r="I1639">
        <v>2010</v>
      </c>
      <c r="J1639">
        <v>100</v>
      </c>
      <c r="K1639" t="s">
        <v>2479</v>
      </c>
      <c r="M1639" t="str">
        <f t="shared" si="2120"/>
        <v>Werner_2010</v>
      </c>
      <c r="N1639" t="s">
        <v>222</v>
      </c>
      <c r="O1639" s="145" t="s">
        <v>1153</v>
      </c>
      <c r="Q1639" t="s">
        <v>256</v>
      </c>
      <c r="R1639" s="262" t="s">
        <v>223</v>
      </c>
      <c r="S1639" s="1" t="s">
        <v>2480</v>
      </c>
      <c r="T1639" t="s">
        <v>2481</v>
      </c>
      <c r="U1639" t="s">
        <v>2485</v>
      </c>
      <c r="V1639">
        <v>1</v>
      </c>
      <c r="W1639">
        <v>0</v>
      </c>
      <c r="X1639">
        <v>2</v>
      </c>
      <c r="Y1639">
        <v>0</v>
      </c>
      <c r="Z1639">
        <v>0</v>
      </c>
      <c r="AA1639">
        <v>0</v>
      </c>
      <c r="AB1639">
        <v>0</v>
      </c>
      <c r="AC1639">
        <v>0</v>
      </c>
      <c r="AD1639">
        <v>0</v>
      </c>
      <c r="AE1639">
        <v>0</v>
      </c>
      <c r="AF1639">
        <v>0</v>
      </c>
      <c r="AG1639">
        <v>0</v>
      </c>
      <c r="AH1639">
        <v>0</v>
      </c>
      <c r="AI1639">
        <v>0</v>
      </c>
      <c r="AJ1639">
        <v>0</v>
      </c>
      <c r="AK1639">
        <v>0</v>
      </c>
      <c r="AL1639">
        <v>0</v>
      </c>
      <c r="AM1639">
        <v>0</v>
      </c>
      <c r="AN1639">
        <v>0</v>
      </c>
      <c r="AO1639">
        <v>0</v>
      </c>
      <c r="AP1639">
        <v>0</v>
      </c>
      <c r="AQ1639">
        <v>0</v>
      </c>
      <c r="AR1639">
        <v>0</v>
      </c>
      <c r="AS1639">
        <v>0</v>
      </c>
      <c r="AT1639">
        <v>0</v>
      </c>
      <c r="AU1639">
        <v>0</v>
      </c>
      <c r="AV1639">
        <v>0</v>
      </c>
      <c r="AW1639">
        <v>0</v>
      </c>
      <c r="AX1639" s="141">
        <f t="shared" ref="AX1639:AX1670" si="2162">COUNTIF(V1639:AW1639,"&lt;&gt;0")</f>
        <v>2</v>
      </c>
      <c r="AY1639" s="141">
        <f t="shared" ref="AY1639:AY1661" si="2163">COUNTIF(V1639:AL1639,"&lt;&gt;0")</f>
        <v>2</v>
      </c>
      <c r="AZ1639">
        <f t="shared" ref="AZ1639:AZ1661" si="2164">COUNTIF(V1639:AC1639,"&lt;&gt;0")</f>
        <v>2</v>
      </c>
      <c r="BA1639">
        <f t="shared" ref="BA1639:BA1661" si="2165">COUNTIF(AD1639:AI1639,"&lt;&gt;0")</f>
        <v>0</v>
      </c>
      <c r="BB1639">
        <f t="shared" ref="BB1639:BB1661" si="2166">COUNTIF(AJ1639:AL1639,"&lt;&gt;0")</f>
        <v>0</v>
      </c>
      <c r="BC1639">
        <f t="shared" ref="BC1639:BC1661" si="2167">COUNTIF(AS1639:AW1639,"&lt;&gt;0")</f>
        <v>0</v>
      </c>
      <c r="BD1639">
        <f t="shared" ref="BD1639:BD1661" si="2168">COUNTIF(AM1639:AR1639,"&lt;&gt;0")</f>
        <v>0</v>
      </c>
      <c r="BE1639" t="str">
        <f t="array" ref="BE1639">IF(AY1639=1,INDEX($V$7:$AL$7,MATCH(TRUE,INDEX($V1639:$AW1639&lt;&gt;0,),0)),IF(AY1639=0,INDEX($AM$7:$AW$7,MATCH(1,$AM1639:$AW1639,0)),IF(BF1639="Multiple strategies","mixed drivers",IF(BF1639="Supply chain","multiple supply","multiple silviculture"))))</f>
        <v>multiple silviculture</v>
      </c>
      <c r="BF1639" s="2" t="str" cm="1">
        <f t="array" ref="BF1639">IF(COUNTIF(AZ1639:BB1639,"&lt;&gt;0")=1,INDEX($V$4:$AW$4,MATCH(TRUE,INDEX($V1639:$AW1639&lt;&gt;0,),0)),IF(COUNTIF(AZ1639:BB1639,"&lt;&gt;0")=0,INDEX($AM$4:$AW$4,MATCH(1,$AM1639:$AW1639,0)),"Multiple strategies"))</f>
        <v>Silviculture for removals</v>
      </c>
      <c r="BG1639" s="1" t="s">
        <v>321</v>
      </c>
      <c r="BH1639" t="s">
        <v>2452</v>
      </c>
      <c r="BI1639" s="264" t="s">
        <v>3251</v>
      </c>
      <c r="BJ1639" t="s">
        <v>1322</v>
      </c>
      <c r="BK1639">
        <v>120</v>
      </c>
      <c r="BL1639">
        <v>202.5</v>
      </c>
      <c r="BM1639" s="143">
        <f t="shared" si="2160"/>
        <v>1.6875</v>
      </c>
      <c r="BN1639">
        <f t="shared" si="2152"/>
        <v>82.5</v>
      </c>
      <c r="BO1639">
        <f t="shared" si="2153"/>
        <v>82500000</v>
      </c>
      <c r="BP1639" t="s">
        <v>232</v>
      </c>
      <c r="BQ1639" s="153" t="s">
        <v>3252</v>
      </c>
      <c r="BR1639" t="s">
        <v>2324</v>
      </c>
      <c r="BS1639">
        <v>227.98379614391621</v>
      </c>
      <c r="BT1639">
        <v>124.4335634259679</v>
      </c>
      <c r="BU1639" s="144">
        <f t="shared" si="2149"/>
        <v>0.54580003285592471</v>
      </c>
      <c r="BV1639" s="144">
        <f t="shared" ref="BV1639:BV1661" si="2169">BT1639-BS1639</f>
        <v>-103.5502327179483</v>
      </c>
      <c r="BW1639" s="144"/>
      <c r="BX1639">
        <f t="shared" si="2154"/>
        <v>-103550232.7179483</v>
      </c>
      <c r="BY1639">
        <f t="shared" si="2070"/>
        <v>-1.2551543359751309</v>
      </c>
      <c r="BZ1639">
        <v>0</v>
      </c>
      <c r="CA1639">
        <v>0</v>
      </c>
      <c r="CB1639">
        <v>0</v>
      </c>
      <c r="CC1639">
        <v>0</v>
      </c>
      <c r="CD1639">
        <v>0</v>
      </c>
      <c r="CE1639">
        <v>0</v>
      </c>
      <c r="CF1639">
        <v>0</v>
      </c>
      <c r="CG1639">
        <v>0</v>
      </c>
      <c r="CH1639">
        <v>0</v>
      </c>
      <c r="CI1639">
        <v>0</v>
      </c>
      <c r="CJ1639">
        <v>0</v>
      </c>
      <c r="CK1639">
        <v>0</v>
      </c>
      <c r="CL1639">
        <v>0</v>
      </c>
      <c r="CM1639">
        <v>1</v>
      </c>
      <c r="CN1639" t="str">
        <f t="shared" si="2161"/>
        <v>refOK</v>
      </c>
      <c r="CO1639">
        <f>IF($CN1639="refOK",$BK1639,$BL1639)</f>
        <v>120</v>
      </c>
      <c r="CP1639">
        <f>IF($CN1639="refOK",$BL1639,$BK1639)</f>
        <v>202.5</v>
      </c>
      <c r="CQ1639">
        <f t="shared" si="2157"/>
        <v>82500000</v>
      </c>
      <c r="CR1639">
        <f t="shared" ref="CR1639:CR1661" si="2170">IF($CN1639="refOK",$BS1639,$BT1639)*IF($BP1639="Emissions positive",-1,1)</f>
        <v>227.98379614391621</v>
      </c>
      <c r="CS1639">
        <f t="shared" ref="CS1639:CS1661" si="2171">IF($CN1639="refOK",$BT1639,$BS1639)*IF($BP1639="Emissions positive",-1,1)</f>
        <v>124.4335634259679</v>
      </c>
      <c r="CT1639">
        <f t="shared" ref="CT1639:CT1661" si="2172">IF($CN1639="refNeedCorrection",-BX1639,BX1639)*IF($BP1639="Emissions positive",-1,1)</f>
        <v>-103550232.7179483</v>
      </c>
      <c r="CU1639">
        <f t="shared" ref="CU1639:CU1670" si="2173">IFERROR(CT1639/CQ1639,"")</f>
        <v>-1.2551543359751309</v>
      </c>
      <c r="CV1639" s="2">
        <f t="shared" ref="CV1639:CV1661" si="2174">IFERROR((CS1639-CR1639)/ABS(CR1639),"")</f>
        <v>-0.45419996714407529</v>
      </c>
      <c r="CW1639" s="1" t="s">
        <v>1202</v>
      </c>
      <c r="CX1639" t="str">
        <f t="shared" ref="CX1639:CX1661" si="2175">IF(OR($CW1639="prd",$CW1639="std",$CW1639="cit"),"loc",IF(OR($CW1639="eur",$CW1639="reg",$CW1639="coy"),"reg",$CW1639))</f>
        <v>reg</v>
      </c>
      <c r="CY1639" t="s">
        <v>639</v>
      </c>
      <c r="CZ1639">
        <v>2000</v>
      </c>
      <c r="DA1639">
        <v>2030</v>
      </c>
      <c r="DB1639">
        <f t="shared" si="2151"/>
        <v>30</v>
      </c>
      <c r="DC1639" t="str">
        <f t="shared" ref="DC1639:DC1670" si="2176">IF(DB1639=0,"0",IF(AND(DB1639&gt;=1,DB1639&lt;=30),"1-30",IF(AND(DB1639&gt;30,DB1639&lt;=70),"31-70",IF(AND(DB1639&gt;70,DB1639&lt;=100),"71-100",IF(DB1639&gt;100,"+100")))))</f>
        <v>1-30</v>
      </c>
      <c r="DD1639">
        <v>1</v>
      </c>
      <c r="DE1639">
        <v>0</v>
      </c>
      <c r="DF1639">
        <v>0</v>
      </c>
      <c r="DG1639">
        <v>0</v>
      </c>
      <c r="DH1639">
        <v>0</v>
      </c>
      <c r="DI1639">
        <f t="shared" ref="DI1639:DI1661" si="2177">SUM(DD1639:DG1639)</f>
        <v>1</v>
      </c>
      <c r="DJ1639" t="str">
        <f t="shared" ref="DJ1639:DJ1670" si="2178">IF(DI1639=1,INDEX($DD$7:$DG$7,MATCH(1,$DD1639:$DG1639,0)),"mixedProduct")</f>
        <v>UpstreamInput</v>
      </c>
      <c r="DK1639" t="str">
        <f t="shared" ref="DK1639:DK1661" si="2179">IF(DD1639=1,DK$7,0)</f>
        <v>Upstream</v>
      </c>
      <c r="DL1639">
        <f t="shared" ref="DL1639:DL1661" si="2180">IF(DE1639=1,DL$7,0)</f>
        <v>0</v>
      </c>
      <c r="DM1639">
        <f t="shared" ref="DM1639:DM1661" si="2181">IF(DF1639=1,DM$7,0)</f>
        <v>0</v>
      </c>
      <c r="DN1639">
        <f t="shared" ref="DN1639:DN1661" si="2182">IF(DG1639=1,DN$7,0)</f>
        <v>0</v>
      </c>
      <c r="DO1639">
        <v>0</v>
      </c>
      <c r="DP1639">
        <v>0</v>
      </c>
      <c r="DT1639">
        <f t="shared" ref="DT1639:DT1661" si="2183">SUM(DO1639:DP1639)</f>
        <v>0</v>
      </c>
      <c r="DU1639" s="143" t="str">
        <f t="shared" ref="DU1639:DU1661" si="2184">IF(DO1639=1,"self-calculated DF",IF(DP1639=1,"external DF used","explicit C balance"))</f>
        <v>explicit C balance</v>
      </c>
      <c r="DV1639">
        <v>1</v>
      </c>
      <c r="DW1639">
        <v>1</v>
      </c>
      <c r="DX1639">
        <v>1</v>
      </c>
      <c r="DY1639">
        <v>1</v>
      </c>
      <c r="DZ1639">
        <v>1</v>
      </c>
      <c r="EA1639" s="143">
        <v>0</v>
      </c>
      <c r="EB1639">
        <v>0</v>
      </c>
      <c r="EC1639">
        <v>0</v>
      </c>
      <c r="ED1639">
        <v>0</v>
      </c>
      <c r="EE1639">
        <v>0</v>
      </c>
      <c r="EF1639">
        <v>1</v>
      </c>
      <c r="EG1639">
        <v>0</v>
      </c>
      <c r="EH1639">
        <v>0</v>
      </c>
      <c r="EI1639" s="2">
        <v>0</v>
      </c>
      <c r="EK1639" t="str">
        <f t="shared" si="2158"/>
        <v/>
      </c>
      <c r="EL1639" t="str">
        <f t="shared" si="2159"/>
        <v>Ecosystem approach</v>
      </c>
      <c r="EM1639" s="2" t="str">
        <f t="shared" si="2106"/>
        <v/>
      </c>
      <c r="EN1639" t="s">
        <v>2484</v>
      </c>
      <c r="EP1639" t="str">
        <f>IF(ISNUMBER(BU1639),IF(ABS(BU1639-[3]QC_indicators!$B$2)&gt;3*[3]QC_indicators!$C$2,"C ratio",IF(ISNUMBER(BY1639),IF(ABS(BY1639-[3]QC_indicators!$B$1)&gt;3*[3]QC_indicators!$C$1,"DF","no"))),IF(ISNUMBER(BY1639),IF(ABS(BY1639-[3]QC_indicators!$B$1)&gt;3*[3]QC_indicators!$C$1,"DF","no")))</f>
        <v>no</v>
      </c>
      <c r="ET1639" s="264" t="s">
        <v>3253</v>
      </c>
    </row>
    <row r="1640" spans="1:150" ht="15" hidden="1" customHeight="1">
      <c r="A1640" s="1" t="s">
        <v>1807</v>
      </c>
      <c r="B1640" t="s">
        <v>2474</v>
      </c>
      <c r="C1640" t="s">
        <v>2475</v>
      </c>
      <c r="D1640" t="s">
        <v>2476</v>
      </c>
      <c r="E1640" t="s">
        <v>2477</v>
      </c>
      <c r="F1640" t="s">
        <v>2478</v>
      </c>
      <c r="G1640" t="s">
        <v>1813</v>
      </c>
      <c r="H1640" t="s">
        <v>254</v>
      </c>
      <c r="I1640">
        <v>2010</v>
      </c>
      <c r="J1640">
        <v>100</v>
      </c>
      <c r="K1640" t="s">
        <v>2479</v>
      </c>
      <c r="M1640" t="str">
        <f t="shared" si="2120"/>
        <v>Werner_2010</v>
      </c>
      <c r="N1640" t="s">
        <v>222</v>
      </c>
      <c r="O1640" s="145" t="s">
        <v>1153</v>
      </c>
      <c r="Q1640" t="s">
        <v>256</v>
      </c>
      <c r="R1640" s="262" t="s">
        <v>223</v>
      </c>
      <c r="S1640" s="263" t="s">
        <v>3254</v>
      </c>
      <c r="T1640" t="s">
        <v>2481</v>
      </c>
      <c r="U1640" t="s">
        <v>2486</v>
      </c>
      <c r="V1640">
        <v>2</v>
      </c>
      <c r="W1640">
        <v>0</v>
      </c>
      <c r="X1640">
        <v>1</v>
      </c>
      <c r="Y1640">
        <v>2</v>
      </c>
      <c r="Z1640">
        <v>0</v>
      </c>
      <c r="AA1640">
        <v>0</v>
      </c>
      <c r="AB1640">
        <v>0</v>
      </c>
      <c r="AC1640">
        <v>0</v>
      </c>
      <c r="AD1640">
        <v>0</v>
      </c>
      <c r="AE1640">
        <v>0</v>
      </c>
      <c r="AF1640">
        <v>0</v>
      </c>
      <c r="AG1640">
        <v>0</v>
      </c>
      <c r="AH1640">
        <v>0</v>
      </c>
      <c r="AI1640">
        <v>0</v>
      </c>
      <c r="AJ1640">
        <v>0</v>
      </c>
      <c r="AK1640">
        <v>0</v>
      </c>
      <c r="AL1640">
        <v>0</v>
      </c>
      <c r="AM1640">
        <v>0</v>
      </c>
      <c r="AN1640">
        <v>0</v>
      </c>
      <c r="AO1640">
        <v>0</v>
      </c>
      <c r="AP1640">
        <v>0</v>
      </c>
      <c r="AQ1640">
        <v>0</v>
      </c>
      <c r="AR1640">
        <v>0</v>
      </c>
      <c r="AS1640">
        <v>0</v>
      </c>
      <c r="AT1640">
        <v>0</v>
      </c>
      <c r="AU1640">
        <v>0</v>
      </c>
      <c r="AV1640">
        <v>0</v>
      </c>
      <c r="AW1640">
        <v>0</v>
      </c>
      <c r="AX1640" s="141">
        <f t="shared" si="2162"/>
        <v>3</v>
      </c>
      <c r="AY1640" s="141">
        <f t="shared" si="2163"/>
        <v>3</v>
      </c>
      <c r="AZ1640">
        <f t="shared" si="2164"/>
        <v>3</v>
      </c>
      <c r="BA1640">
        <f t="shared" si="2165"/>
        <v>0</v>
      </c>
      <c r="BB1640">
        <f t="shared" si="2166"/>
        <v>0</v>
      </c>
      <c r="BC1640">
        <f t="shared" si="2167"/>
        <v>0</v>
      </c>
      <c r="BD1640">
        <f t="shared" si="2168"/>
        <v>0</v>
      </c>
      <c r="BE1640" t="str">
        <f t="array" ref="BE1640">IF(AY1640=1,INDEX($V$7:$AL$7,MATCH(TRUE,INDEX($V1640:$AW1640&lt;&gt;0,),0)),IF(AY1640=0,INDEX($AM$7:$AW$7,MATCH(1,$AM1640:$AW1640,0)),IF(BF1640="Multiple strategies","mixed drivers",IF(BF1640="Supply chain","multiple supply","multiple silviculture"))))</f>
        <v>multiple silviculture</v>
      </c>
      <c r="BF1640" s="2" t="str" cm="1">
        <f t="array" ref="BF1640">IF(COUNTIF(AZ1640:BB1640,"&lt;&gt;0")=1,INDEX($V$4:$AW$4,MATCH(TRUE,INDEX($V1640:$AW1640&lt;&gt;0,),0)),IF(COUNTIF(AZ1640:BB1640,"&lt;&gt;0")=0,INDEX($AM$4:$AW$4,MATCH(1,$AM1640:$AW1640,0)),"Multiple strategies"))</f>
        <v>Silviculture for removals</v>
      </c>
      <c r="BG1640" s="1" t="s">
        <v>321</v>
      </c>
      <c r="BH1640" t="s">
        <v>2452</v>
      </c>
      <c r="BI1640" s="264" t="s">
        <v>3251</v>
      </c>
      <c r="BJ1640" t="s">
        <v>1322</v>
      </c>
      <c r="BK1640">
        <v>120</v>
      </c>
      <c r="BL1640">
        <v>213</v>
      </c>
      <c r="BM1640" s="143">
        <f t="shared" si="2160"/>
        <v>1.7749999999999999</v>
      </c>
      <c r="BN1640">
        <f t="shared" si="2152"/>
        <v>93</v>
      </c>
      <c r="BO1640">
        <f t="shared" si="2153"/>
        <v>93000000</v>
      </c>
      <c r="BP1640" t="s">
        <v>232</v>
      </c>
      <c r="BQ1640" s="153" t="s">
        <v>3252</v>
      </c>
      <c r="BR1640" t="s">
        <v>2324</v>
      </c>
      <c r="BS1640">
        <v>227.98379614391621</v>
      </c>
      <c r="BT1640">
        <v>121.7569326457978</v>
      </c>
      <c r="BU1640" s="144">
        <f t="shared" si="2149"/>
        <v>0.53405958978302992</v>
      </c>
      <c r="BV1640" s="144">
        <f t="shared" si="2169"/>
        <v>-106.22686349811841</v>
      </c>
      <c r="BW1640" s="144"/>
      <c r="BX1640">
        <f t="shared" si="2154"/>
        <v>-106226863.4981184</v>
      </c>
      <c r="BY1640">
        <f t="shared" si="2070"/>
        <v>-1.1422243386894451</v>
      </c>
      <c r="BZ1640">
        <v>0</v>
      </c>
      <c r="CA1640">
        <v>0</v>
      </c>
      <c r="CB1640">
        <v>0</v>
      </c>
      <c r="CC1640">
        <v>0</v>
      </c>
      <c r="CD1640">
        <v>0</v>
      </c>
      <c r="CE1640">
        <v>0</v>
      </c>
      <c r="CF1640">
        <v>0</v>
      </c>
      <c r="CG1640">
        <v>0</v>
      </c>
      <c r="CH1640">
        <v>0</v>
      </c>
      <c r="CI1640">
        <v>0</v>
      </c>
      <c r="CJ1640">
        <v>0</v>
      </c>
      <c r="CK1640">
        <v>0</v>
      </c>
      <c r="CL1640">
        <v>0</v>
      </c>
      <c r="CM1640">
        <v>1</v>
      </c>
      <c r="CN1640" t="str">
        <f t="shared" si="2161"/>
        <v>refOK</v>
      </c>
      <c r="CO1640">
        <f>IF($CN1640="refOK",$BK1640,$BL1640)</f>
        <v>120</v>
      </c>
      <c r="CP1640">
        <f>IF($CN1640="refOK",$BL1640,$BK1640)</f>
        <v>213</v>
      </c>
      <c r="CQ1640">
        <f t="shared" si="2157"/>
        <v>93000000</v>
      </c>
      <c r="CR1640">
        <f t="shared" si="2170"/>
        <v>227.98379614391621</v>
      </c>
      <c r="CS1640">
        <f t="shared" si="2171"/>
        <v>121.7569326457978</v>
      </c>
      <c r="CT1640">
        <f t="shared" si="2172"/>
        <v>-106226863.4981184</v>
      </c>
      <c r="CU1640">
        <f t="shared" si="2173"/>
        <v>-1.1422243386894451</v>
      </c>
      <c r="CV1640" s="2">
        <f t="shared" si="2174"/>
        <v>-0.46594041021697008</v>
      </c>
      <c r="CW1640" s="1" t="s">
        <v>1202</v>
      </c>
      <c r="CX1640" t="str">
        <f t="shared" si="2175"/>
        <v>reg</v>
      </c>
      <c r="CY1640" t="s">
        <v>639</v>
      </c>
      <c r="CZ1640">
        <v>2000</v>
      </c>
      <c r="DA1640">
        <v>2030</v>
      </c>
      <c r="DB1640">
        <f t="shared" si="2151"/>
        <v>30</v>
      </c>
      <c r="DC1640" t="str">
        <f t="shared" si="2176"/>
        <v>1-30</v>
      </c>
      <c r="DD1640">
        <v>0</v>
      </c>
      <c r="DE1640">
        <v>0</v>
      </c>
      <c r="DF1640">
        <v>0</v>
      </c>
      <c r="DG1640">
        <v>1</v>
      </c>
      <c r="DH1640">
        <v>0</v>
      </c>
      <c r="DI1640">
        <f t="shared" si="2177"/>
        <v>1</v>
      </c>
      <c r="DJ1640" t="str">
        <f t="shared" si="2178"/>
        <v>TimberInput</v>
      </c>
      <c r="DK1640">
        <f t="shared" si="2179"/>
        <v>0</v>
      </c>
      <c r="DL1640">
        <f t="shared" si="2180"/>
        <v>0</v>
      </c>
      <c r="DM1640">
        <f t="shared" si="2181"/>
        <v>0</v>
      </c>
      <c r="DN1640" t="str">
        <f t="shared" si="2182"/>
        <v>Timber</v>
      </c>
      <c r="DO1640">
        <v>0</v>
      </c>
      <c r="DP1640">
        <v>0</v>
      </c>
      <c r="DT1640">
        <f t="shared" si="2183"/>
        <v>0</v>
      </c>
      <c r="DU1640" s="143" t="str">
        <f t="shared" si="2184"/>
        <v>explicit C balance</v>
      </c>
      <c r="DV1640">
        <v>1</v>
      </c>
      <c r="DW1640">
        <v>1</v>
      </c>
      <c r="DX1640">
        <v>1</v>
      </c>
      <c r="DY1640">
        <v>1</v>
      </c>
      <c r="DZ1640">
        <v>1</v>
      </c>
      <c r="EA1640" s="143">
        <v>0</v>
      </c>
      <c r="EB1640">
        <v>0</v>
      </c>
      <c r="EC1640">
        <v>0</v>
      </c>
      <c r="ED1640">
        <v>0</v>
      </c>
      <c r="EE1640">
        <v>0</v>
      </c>
      <c r="EF1640">
        <v>1</v>
      </c>
      <c r="EG1640">
        <v>0</v>
      </c>
      <c r="EH1640">
        <v>0</v>
      </c>
      <c r="EI1640" s="2">
        <v>0</v>
      </c>
      <c r="EK1640" t="str">
        <f t="shared" si="2158"/>
        <v/>
      </c>
      <c r="EL1640" t="str">
        <f t="shared" si="2159"/>
        <v>Ecosystem approach</v>
      </c>
      <c r="EM1640" s="2" t="str">
        <f t="shared" si="2106"/>
        <v/>
      </c>
      <c r="EN1640" t="s">
        <v>2484</v>
      </c>
      <c r="EP1640" t="str">
        <f>IF(ISNUMBER(BU1640),IF(ABS(BU1640-[3]QC_indicators!$B$2)&gt;3*[3]QC_indicators!$C$2,"C ratio",IF(ISNUMBER(BY1640),IF(ABS(BY1640-[3]QC_indicators!$B$1)&gt;3*[3]QC_indicators!$C$1,"DF","no"))),IF(ISNUMBER(BY1640),IF(ABS(BY1640-[3]QC_indicators!$B$1)&gt;3*[3]QC_indicators!$C$1,"DF","no")))</f>
        <v>no</v>
      </c>
      <c r="ET1640" s="264" t="s">
        <v>3253</v>
      </c>
    </row>
    <row r="1641" spans="1:150" ht="15" hidden="1" customHeight="1">
      <c r="A1641" s="1" t="s">
        <v>1807</v>
      </c>
      <c r="B1641" t="s">
        <v>2474</v>
      </c>
      <c r="C1641" t="s">
        <v>2475</v>
      </c>
      <c r="D1641" t="s">
        <v>2476</v>
      </c>
      <c r="E1641" t="s">
        <v>2477</v>
      </c>
      <c r="F1641" t="s">
        <v>2478</v>
      </c>
      <c r="G1641" t="s">
        <v>1813</v>
      </c>
      <c r="H1641" t="s">
        <v>254</v>
      </c>
      <c r="I1641">
        <v>2010</v>
      </c>
      <c r="J1641">
        <v>100</v>
      </c>
      <c r="K1641" t="s">
        <v>2479</v>
      </c>
      <c r="M1641" t="str">
        <f t="shared" si="2120"/>
        <v>Werner_2010</v>
      </c>
      <c r="N1641" t="s">
        <v>222</v>
      </c>
      <c r="O1641" s="145" t="s">
        <v>1153</v>
      </c>
      <c r="Q1641" t="s">
        <v>256</v>
      </c>
      <c r="R1641" s="262" t="s">
        <v>223</v>
      </c>
      <c r="S1641" s="263" t="s">
        <v>3254</v>
      </c>
      <c r="T1641" t="s">
        <v>2481</v>
      </c>
      <c r="U1641" t="s">
        <v>2486</v>
      </c>
      <c r="V1641">
        <v>2</v>
      </c>
      <c r="W1641">
        <v>0</v>
      </c>
      <c r="X1641">
        <v>1</v>
      </c>
      <c r="Y1641">
        <v>2</v>
      </c>
      <c r="Z1641">
        <v>0</v>
      </c>
      <c r="AA1641">
        <v>0</v>
      </c>
      <c r="AB1641">
        <v>0</v>
      </c>
      <c r="AC1641">
        <v>0</v>
      </c>
      <c r="AD1641">
        <v>0</v>
      </c>
      <c r="AE1641">
        <v>0</v>
      </c>
      <c r="AF1641">
        <v>0</v>
      </c>
      <c r="AG1641">
        <v>0</v>
      </c>
      <c r="AH1641">
        <v>0</v>
      </c>
      <c r="AI1641">
        <v>0</v>
      </c>
      <c r="AJ1641">
        <v>0</v>
      </c>
      <c r="AK1641">
        <v>0</v>
      </c>
      <c r="AL1641">
        <v>0</v>
      </c>
      <c r="AM1641">
        <v>0</v>
      </c>
      <c r="AN1641">
        <v>0</v>
      </c>
      <c r="AO1641">
        <v>0</v>
      </c>
      <c r="AP1641">
        <v>0</v>
      </c>
      <c r="AQ1641">
        <v>0</v>
      </c>
      <c r="AR1641">
        <v>0</v>
      </c>
      <c r="AS1641">
        <v>0</v>
      </c>
      <c r="AT1641">
        <v>0</v>
      </c>
      <c r="AU1641">
        <v>0</v>
      </c>
      <c r="AV1641">
        <v>0</v>
      </c>
      <c r="AW1641">
        <v>0</v>
      </c>
      <c r="AX1641" s="141">
        <f t="shared" si="2162"/>
        <v>3</v>
      </c>
      <c r="AY1641" s="141">
        <f t="shared" si="2163"/>
        <v>3</v>
      </c>
      <c r="AZ1641">
        <f t="shared" si="2164"/>
        <v>3</v>
      </c>
      <c r="BA1641">
        <f t="shared" si="2165"/>
        <v>0</v>
      </c>
      <c r="BB1641">
        <f t="shared" si="2166"/>
        <v>0</v>
      </c>
      <c r="BC1641">
        <f t="shared" si="2167"/>
        <v>0</v>
      </c>
      <c r="BD1641">
        <f t="shared" si="2168"/>
        <v>0</v>
      </c>
      <c r="BE1641" t="str">
        <f t="array" ref="BE1641">IF(AY1641=1,INDEX($V$7:$AL$7,MATCH(TRUE,INDEX($V1641:$AW1641&lt;&gt;0,),0)),IF(AY1641=0,INDEX($AM$7:$AW$7,MATCH(1,$AM1641:$AW1641,0)),IF(BF1641="Multiple strategies","mixed drivers",IF(BF1641="Supply chain","multiple supply","multiple silviculture"))))</f>
        <v>multiple silviculture</v>
      </c>
      <c r="BF1641" s="2" t="str" cm="1">
        <f t="array" ref="BF1641">IF(COUNTIF(AZ1641:BB1641,"&lt;&gt;0")=1,INDEX($V$4:$AW$4,MATCH(TRUE,INDEX($V1641:$AW1641&lt;&gt;0,),0)),IF(COUNTIF(AZ1641:BB1641,"&lt;&gt;0")=0,INDEX($AM$4:$AW$4,MATCH(1,$AM1641:$AW1641,0)),"Multiple strategies"))</f>
        <v>Silviculture for removals</v>
      </c>
      <c r="BG1641" s="1" t="s">
        <v>321</v>
      </c>
      <c r="BH1641" t="s">
        <v>2452</v>
      </c>
      <c r="BI1641" s="264" t="s">
        <v>3251</v>
      </c>
      <c r="BJ1641" t="s">
        <v>1322</v>
      </c>
      <c r="BK1641">
        <v>210</v>
      </c>
      <c r="BL1641">
        <v>489</v>
      </c>
      <c r="BM1641" s="143">
        <f t="shared" si="2160"/>
        <v>2.3285714285714287</v>
      </c>
      <c r="BN1641">
        <f t="shared" si="2152"/>
        <v>279</v>
      </c>
      <c r="BO1641">
        <f t="shared" si="2153"/>
        <v>279000000</v>
      </c>
      <c r="BP1641" t="s">
        <v>232</v>
      </c>
      <c r="BQ1641" s="153" t="s">
        <v>3252</v>
      </c>
      <c r="BR1641" t="s">
        <v>2324</v>
      </c>
      <c r="BS1641">
        <v>385.778591846273</v>
      </c>
      <c r="BT1641">
        <v>74.657916514909303</v>
      </c>
      <c r="BU1641" s="144">
        <f t="shared" si="2149"/>
        <v>0.19352529687458492</v>
      </c>
      <c r="BV1641" s="144">
        <f t="shared" si="2169"/>
        <v>-311.12067533136371</v>
      </c>
      <c r="BW1641" s="144"/>
      <c r="BX1641">
        <f t="shared" si="2154"/>
        <v>-311120675.33136374</v>
      </c>
      <c r="BY1641">
        <f t="shared" si="2070"/>
        <v>-1.1151278685711963</v>
      </c>
      <c r="BZ1641">
        <v>0</v>
      </c>
      <c r="CA1641">
        <v>0</v>
      </c>
      <c r="CB1641">
        <v>0</v>
      </c>
      <c r="CC1641">
        <v>0</v>
      </c>
      <c r="CD1641">
        <v>0</v>
      </c>
      <c r="CE1641">
        <v>0</v>
      </c>
      <c r="CF1641">
        <v>0</v>
      </c>
      <c r="CG1641">
        <v>0</v>
      </c>
      <c r="CH1641">
        <v>0</v>
      </c>
      <c r="CI1641">
        <v>0</v>
      </c>
      <c r="CJ1641">
        <v>0</v>
      </c>
      <c r="CK1641">
        <v>0</v>
      </c>
      <c r="CL1641">
        <v>0</v>
      </c>
      <c r="CM1641">
        <v>1</v>
      </c>
      <c r="CN1641" t="str">
        <f t="shared" si="2161"/>
        <v>refOK</v>
      </c>
      <c r="CO1641">
        <f>IF($CN1641="refNeedCorrection",BL1641,BK1641)</f>
        <v>210</v>
      </c>
      <c r="CP1641">
        <f>IF($CN1641="refNeedCorrection",BK1641,BL1641)</f>
        <v>489</v>
      </c>
      <c r="CQ1641">
        <f t="shared" si="2157"/>
        <v>279000000</v>
      </c>
      <c r="CR1641">
        <f t="shared" si="2170"/>
        <v>385.778591846273</v>
      </c>
      <c r="CS1641">
        <f t="shared" si="2171"/>
        <v>74.657916514909303</v>
      </c>
      <c r="CT1641">
        <f t="shared" si="2172"/>
        <v>-311120675.33136374</v>
      </c>
      <c r="CU1641">
        <f t="shared" si="2173"/>
        <v>-1.1151278685711963</v>
      </c>
      <c r="CV1641" s="2">
        <f t="shared" si="2174"/>
        <v>-0.80647470312541514</v>
      </c>
      <c r="CW1641" s="1" t="s">
        <v>1202</v>
      </c>
      <c r="CX1641" t="str">
        <f t="shared" si="2175"/>
        <v>reg</v>
      </c>
      <c r="CY1641" t="s">
        <v>639</v>
      </c>
      <c r="CZ1641">
        <v>2000</v>
      </c>
      <c r="DA1641">
        <v>2060</v>
      </c>
      <c r="DB1641">
        <f t="shared" si="2151"/>
        <v>60</v>
      </c>
      <c r="DC1641" t="str">
        <f t="shared" si="2176"/>
        <v>31-70</v>
      </c>
      <c r="DD1641">
        <v>0</v>
      </c>
      <c r="DE1641">
        <v>0</v>
      </c>
      <c r="DF1641">
        <v>0</v>
      </c>
      <c r="DG1641">
        <v>1</v>
      </c>
      <c r="DH1641">
        <v>0</v>
      </c>
      <c r="DI1641">
        <f t="shared" si="2177"/>
        <v>1</v>
      </c>
      <c r="DJ1641" t="str">
        <f t="shared" si="2178"/>
        <v>TimberInput</v>
      </c>
      <c r="DK1641">
        <f t="shared" si="2179"/>
        <v>0</v>
      </c>
      <c r="DL1641">
        <f t="shared" si="2180"/>
        <v>0</v>
      </c>
      <c r="DM1641">
        <f t="shared" si="2181"/>
        <v>0</v>
      </c>
      <c r="DN1641" t="str">
        <f t="shared" si="2182"/>
        <v>Timber</v>
      </c>
      <c r="DO1641">
        <v>0</v>
      </c>
      <c r="DP1641">
        <v>0</v>
      </c>
      <c r="DT1641">
        <f t="shared" si="2183"/>
        <v>0</v>
      </c>
      <c r="DU1641" s="143" t="str">
        <f t="shared" si="2184"/>
        <v>explicit C balance</v>
      </c>
      <c r="DV1641">
        <v>1</v>
      </c>
      <c r="DW1641">
        <v>1</v>
      </c>
      <c r="DX1641">
        <v>1</v>
      </c>
      <c r="DY1641">
        <v>0</v>
      </c>
      <c r="DZ1641">
        <v>0</v>
      </c>
      <c r="EA1641" s="143">
        <v>0</v>
      </c>
      <c r="EB1641">
        <v>0</v>
      </c>
      <c r="EC1641">
        <v>0</v>
      </c>
      <c r="ED1641">
        <v>0</v>
      </c>
      <c r="EE1641">
        <v>0</v>
      </c>
      <c r="EF1641">
        <v>1</v>
      </c>
      <c r="EG1641">
        <v>0</v>
      </c>
      <c r="EH1641">
        <v>0</v>
      </c>
      <c r="EI1641" s="2">
        <v>0</v>
      </c>
      <c r="EK1641" t="str">
        <f t="shared" si="2158"/>
        <v/>
      </c>
      <c r="EL1641" t="str">
        <f t="shared" si="2159"/>
        <v>Ecosystem approach</v>
      </c>
      <c r="EM1641" s="2" t="str">
        <f t="shared" si="2106"/>
        <v/>
      </c>
      <c r="EN1641" t="s">
        <v>2484</v>
      </c>
      <c r="EP1641" t="str">
        <f>IF(ISNUMBER(BU1641),IF(ABS(BU1641-[3]QC_indicators!$B$2)&gt;3*[3]QC_indicators!$C$2,"C ratio",IF(ISNUMBER(BY1641),IF(ABS(BY1641-[3]QC_indicators!$B$1)&gt;3*[3]QC_indicators!$C$1,"DF","no"))),IF(ISNUMBER(BY1641),IF(ABS(BY1641-[3]QC_indicators!$B$1)&gt;3*[3]QC_indicators!$C$1,"DF","no")))</f>
        <v>no</v>
      </c>
      <c r="ET1641" s="264" t="s">
        <v>3253</v>
      </c>
    </row>
    <row r="1642" spans="1:150" ht="15" hidden="1" customHeight="1">
      <c r="A1642" s="1" t="s">
        <v>1807</v>
      </c>
      <c r="B1642" t="s">
        <v>2474</v>
      </c>
      <c r="C1642" t="s">
        <v>2475</v>
      </c>
      <c r="D1642" t="s">
        <v>2476</v>
      </c>
      <c r="E1642" t="s">
        <v>2477</v>
      </c>
      <c r="F1642" t="s">
        <v>2478</v>
      </c>
      <c r="G1642" t="s">
        <v>1813</v>
      </c>
      <c r="H1642" t="s">
        <v>254</v>
      </c>
      <c r="I1642">
        <v>2010</v>
      </c>
      <c r="J1642">
        <v>100</v>
      </c>
      <c r="K1642" t="s">
        <v>2479</v>
      </c>
      <c r="M1642" t="str">
        <f t="shared" si="2120"/>
        <v>Werner_2010</v>
      </c>
      <c r="N1642" t="s">
        <v>222</v>
      </c>
      <c r="O1642" s="145" t="s">
        <v>1153</v>
      </c>
      <c r="Q1642" t="s">
        <v>256</v>
      </c>
      <c r="R1642" s="262" t="s">
        <v>223</v>
      </c>
      <c r="S1642" s="263" t="s">
        <v>3254</v>
      </c>
      <c r="T1642" t="s">
        <v>2481</v>
      </c>
      <c r="U1642" t="s">
        <v>2487</v>
      </c>
      <c r="V1642">
        <v>2</v>
      </c>
      <c r="W1642">
        <v>0</v>
      </c>
      <c r="X1642">
        <v>1</v>
      </c>
      <c r="Y1642">
        <v>2</v>
      </c>
      <c r="Z1642">
        <v>0</v>
      </c>
      <c r="AA1642">
        <v>0</v>
      </c>
      <c r="AB1642">
        <v>0</v>
      </c>
      <c r="AC1642">
        <v>0</v>
      </c>
      <c r="AD1642">
        <v>0</v>
      </c>
      <c r="AE1642">
        <v>0</v>
      </c>
      <c r="AF1642">
        <v>0</v>
      </c>
      <c r="AG1642">
        <v>0</v>
      </c>
      <c r="AH1642">
        <v>0</v>
      </c>
      <c r="AI1642">
        <v>0</v>
      </c>
      <c r="AJ1642">
        <v>0</v>
      </c>
      <c r="AK1642">
        <v>0</v>
      </c>
      <c r="AL1642">
        <v>0</v>
      </c>
      <c r="AM1642">
        <v>0</v>
      </c>
      <c r="AN1642">
        <v>0</v>
      </c>
      <c r="AO1642">
        <v>0</v>
      </c>
      <c r="AP1642">
        <v>0</v>
      </c>
      <c r="AQ1642">
        <v>0</v>
      </c>
      <c r="AR1642">
        <v>0</v>
      </c>
      <c r="AS1642">
        <v>0</v>
      </c>
      <c r="AT1642">
        <v>0</v>
      </c>
      <c r="AU1642">
        <v>0</v>
      </c>
      <c r="AV1642">
        <v>0</v>
      </c>
      <c r="AW1642">
        <v>0</v>
      </c>
      <c r="AX1642" s="141">
        <f t="shared" si="2162"/>
        <v>3</v>
      </c>
      <c r="AY1642" s="141">
        <f t="shared" si="2163"/>
        <v>3</v>
      </c>
      <c r="AZ1642">
        <f t="shared" si="2164"/>
        <v>3</v>
      </c>
      <c r="BA1642">
        <f t="shared" si="2165"/>
        <v>0</v>
      </c>
      <c r="BB1642">
        <f t="shared" si="2166"/>
        <v>0</v>
      </c>
      <c r="BC1642">
        <f t="shared" si="2167"/>
        <v>0</v>
      </c>
      <c r="BD1642">
        <f t="shared" si="2168"/>
        <v>0</v>
      </c>
      <c r="BE1642" t="str">
        <f t="array" ref="BE1642">IF(AY1642=1,INDEX($V$7:$AL$7,MATCH(TRUE,INDEX($V1642:$AW1642&lt;&gt;0,),0)),IF(AY1642=0,INDEX($AM$7:$AW$7,MATCH(1,$AM1642:$AW1642,0)),IF(BF1642="Multiple strategies","mixed drivers",IF(BF1642="Supply chain","multiple supply","multiple silviculture"))))</f>
        <v>multiple silviculture</v>
      </c>
      <c r="BF1642" s="2" t="str" cm="1">
        <f t="array" ref="BF1642">IF(COUNTIF(AZ1642:BB1642,"&lt;&gt;0")=1,INDEX($V$4:$AW$4,MATCH(TRUE,INDEX($V1642:$AW1642&lt;&gt;0,),0)),IF(COUNTIF(AZ1642:BB1642,"&lt;&gt;0")=0,INDEX($AM$4:$AW$4,MATCH(1,$AM1642:$AW1642,0)),"Multiple strategies"))</f>
        <v>Silviculture for removals</v>
      </c>
      <c r="BG1642" s="1" t="s">
        <v>321</v>
      </c>
      <c r="BH1642" t="s">
        <v>2452</v>
      </c>
      <c r="BI1642" s="264" t="s">
        <v>3251</v>
      </c>
      <c r="BJ1642" t="s">
        <v>1322</v>
      </c>
      <c r="BK1642">
        <v>210</v>
      </c>
      <c r="BL1642">
        <v>489</v>
      </c>
      <c r="BM1642" s="143">
        <f t="shared" si="2160"/>
        <v>2.3285714285714287</v>
      </c>
      <c r="BN1642">
        <f t="shared" si="2152"/>
        <v>279</v>
      </c>
      <c r="BO1642">
        <f t="shared" si="2153"/>
        <v>279000000</v>
      </c>
      <c r="BP1642" t="s">
        <v>232</v>
      </c>
      <c r="BQ1642" s="153" t="s">
        <v>3252</v>
      </c>
      <c r="BR1642" t="s">
        <v>2324</v>
      </c>
      <c r="BS1642">
        <v>385.778591846273</v>
      </c>
      <c r="BT1642">
        <v>74.657916514909303</v>
      </c>
      <c r="BU1642" s="144">
        <f t="shared" si="2149"/>
        <v>0.19352529687458492</v>
      </c>
      <c r="BV1642" s="144">
        <f t="shared" si="2169"/>
        <v>-311.12067533136371</v>
      </c>
      <c r="BW1642" s="144"/>
      <c r="BX1642">
        <f t="shared" si="2154"/>
        <v>-311120675.33136374</v>
      </c>
      <c r="BY1642">
        <f t="shared" ref="BY1642:BY1705" si="2185">IFERROR(BX1642/BO1642,"")</f>
        <v>-1.1151278685711963</v>
      </c>
      <c r="BZ1642">
        <v>0</v>
      </c>
      <c r="CA1642">
        <v>0</v>
      </c>
      <c r="CB1642">
        <v>0</v>
      </c>
      <c r="CC1642">
        <v>0</v>
      </c>
      <c r="CD1642">
        <v>0</v>
      </c>
      <c r="CE1642">
        <v>0</v>
      </c>
      <c r="CF1642">
        <v>0</v>
      </c>
      <c r="CG1642">
        <v>0</v>
      </c>
      <c r="CH1642">
        <v>0</v>
      </c>
      <c r="CI1642">
        <v>0</v>
      </c>
      <c r="CJ1642">
        <v>0</v>
      </c>
      <c r="CK1642">
        <v>0</v>
      </c>
      <c r="CL1642">
        <v>0</v>
      </c>
      <c r="CM1642">
        <v>1</v>
      </c>
      <c r="CN1642" t="str">
        <f t="shared" si="2161"/>
        <v>refOK</v>
      </c>
      <c r="CO1642">
        <f>IF($CN1642="refNeedCorrection",BL1642,BK1642)</f>
        <v>210</v>
      </c>
      <c r="CP1642">
        <f>IF($CN1642="refNeedCorrection",BK1642,BL1642)</f>
        <v>489</v>
      </c>
      <c r="CQ1642">
        <f t="shared" si="2157"/>
        <v>279000000</v>
      </c>
      <c r="CR1642">
        <f t="shared" si="2170"/>
        <v>385.778591846273</v>
      </c>
      <c r="CS1642">
        <f t="shared" si="2171"/>
        <v>74.657916514909303</v>
      </c>
      <c r="CT1642">
        <f t="shared" si="2172"/>
        <v>-311120675.33136374</v>
      </c>
      <c r="CU1642">
        <f t="shared" si="2173"/>
        <v>-1.1151278685711963</v>
      </c>
      <c r="CV1642" s="2">
        <f t="shared" si="2174"/>
        <v>-0.80647470312541514</v>
      </c>
      <c r="CW1642" s="1" t="s">
        <v>1202</v>
      </c>
      <c r="CX1642" t="str">
        <f t="shared" si="2175"/>
        <v>reg</v>
      </c>
      <c r="CY1642" t="s">
        <v>639</v>
      </c>
      <c r="CZ1642">
        <v>2000</v>
      </c>
      <c r="DA1642">
        <v>2060</v>
      </c>
      <c r="DB1642">
        <f t="shared" si="2151"/>
        <v>60</v>
      </c>
      <c r="DC1642" t="str">
        <f t="shared" si="2176"/>
        <v>31-70</v>
      </c>
      <c r="DD1642">
        <v>0</v>
      </c>
      <c r="DE1642">
        <v>1</v>
      </c>
      <c r="DF1642">
        <v>0</v>
      </c>
      <c r="DG1642">
        <v>0</v>
      </c>
      <c r="DH1642">
        <v>0</v>
      </c>
      <c r="DI1642">
        <f t="shared" si="2177"/>
        <v>1</v>
      </c>
      <c r="DJ1642" t="str">
        <f t="shared" si="2178"/>
        <v>EnergyInput</v>
      </c>
      <c r="DK1642">
        <f t="shared" si="2179"/>
        <v>0</v>
      </c>
      <c r="DL1642" t="str">
        <f t="shared" si="2180"/>
        <v>Energy</v>
      </c>
      <c r="DM1642">
        <f t="shared" si="2181"/>
        <v>0</v>
      </c>
      <c r="DN1642">
        <f t="shared" si="2182"/>
        <v>0</v>
      </c>
      <c r="DO1642">
        <v>0</v>
      </c>
      <c r="DP1642">
        <v>0</v>
      </c>
      <c r="DT1642">
        <f t="shared" si="2183"/>
        <v>0</v>
      </c>
      <c r="DU1642" s="143" t="str">
        <f t="shared" si="2184"/>
        <v>explicit C balance</v>
      </c>
      <c r="DV1642">
        <v>1</v>
      </c>
      <c r="DW1642">
        <v>1</v>
      </c>
      <c r="DX1642">
        <v>1</v>
      </c>
      <c r="DY1642">
        <v>0</v>
      </c>
      <c r="DZ1642">
        <v>0</v>
      </c>
      <c r="EA1642" s="143">
        <v>0</v>
      </c>
      <c r="EB1642">
        <v>0</v>
      </c>
      <c r="EC1642">
        <v>0</v>
      </c>
      <c r="ED1642">
        <v>0</v>
      </c>
      <c r="EE1642">
        <v>0</v>
      </c>
      <c r="EF1642">
        <v>1</v>
      </c>
      <c r="EG1642">
        <v>0</v>
      </c>
      <c r="EH1642">
        <v>0</v>
      </c>
      <c r="EI1642" s="2">
        <v>0</v>
      </c>
      <c r="EK1642" t="str">
        <f t="shared" si="2158"/>
        <v/>
      </c>
      <c r="EL1642" t="str">
        <f t="shared" si="2159"/>
        <v>Ecosystem approach</v>
      </c>
      <c r="EM1642" s="2" t="str">
        <f t="shared" si="2106"/>
        <v/>
      </c>
      <c r="EN1642" t="s">
        <v>2484</v>
      </c>
      <c r="EP1642" t="str">
        <f>IF(ISNUMBER(BU1642),IF(ABS(BU1642-[3]QC_indicators!$B$2)&gt;3*[3]QC_indicators!$C$2,"C ratio",IF(ISNUMBER(BY1642),IF(ABS(BY1642-[3]QC_indicators!$B$1)&gt;3*[3]QC_indicators!$C$1,"DF","no"))),IF(ISNUMBER(BY1642),IF(ABS(BY1642-[3]QC_indicators!$B$1)&gt;3*[3]QC_indicators!$C$1,"DF","no")))</f>
        <v>no</v>
      </c>
      <c r="ET1642" s="264" t="s">
        <v>3253</v>
      </c>
    </row>
    <row r="1643" spans="1:150" ht="15" hidden="1" customHeight="1">
      <c r="A1643" s="1" t="s">
        <v>1807</v>
      </c>
      <c r="B1643" t="s">
        <v>2474</v>
      </c>
      <c r="C1643" t="s">
        <v>2475</v>
      </c>
      <c r="D1643" t="s">
        <v>2476</v>
      </c>
      <c r="E1643" t="s">
        <v>2477</v>
      </c>
      <c r="F1643" t="s">
        <v>2478</v>
      </c>
      <c r="G1643" t="s">
        <v>1813</v>
      </c>
      <c r="H1643" t="s">
        <v>254</v>
      </c>
      <c r="I1643">
        <v>2010</v>
      </c>
      <c r="J1643">
        <v>100</v>
      </c>
      <c r="K1643" t="s">
        <v>2479</v>
      </c>
      <c r="M1643" t="str">
        <f t="shared" si="2120"/>
        <v>Werner_2010</v>
      </c>
      <c r="N1643" t="s">
        <v>222</v>
      </c>
      <c r="O1643" s="145" t="s">
        <v>1153</v>
      </c>
      <c r="Q1643" t="s">
        <v>256</v>
      </c>
      <c r="R1643" s="262" t="s">
        <v>223</v>
      </c>
      <c r="S1643" s="1" t="s">
        <v>2480</v>
      </c>
      <c r="T1643" t="s">
        <v>2481</v>
      </c>
      <c r="U1643" t="s">
        <v>2485</v>
      </c>
      <c r="V1643">
        <v>1</v>
      </c>
      <c r="W1643">
        <v>0</v>
      </c>
      <c r="X1643">
        <v>2</v>
      </c>
      <c r="Y1643">
        <v>0</v>
      </c>
      <c r="Z1643">
        <v>0</v>
      </c>
      <c r="AA1643">
        <v>0</v>
      </c>
      <c r="AB1643">
        <v>0</v>
      </c>
      <c r="AC1643">
        <v>0</v>
      </c>
      <c r="AD1643">
        <v>0</v>
      </c>
      <c r="AE1643">
        <v>0</v>
      </c>
      <c r="AF1643">
        <v>0</v>
      </c>
      <c r="AG1643">
        <v>0</v>
      </c>
      <c r="AH1643">
        <v>0</v>
      </c>
      <c r="AI1643">
        <v>0</v>
      </c>
      <c r="AJ1643">
        <v>0</v>
      </c>
      <c r="AK1643">
        <v>0</v>
      </c>
      <c r="AL1643">
        <v>0</v>
      </c>
      <c r="AM1643">
        <v>0</v>
      </c>
      <c r="AN1643">
        <v>0</v>
      </c>
      <c r="AO1643">
        <v>0</v>
      </c>
      <c r="AP1643">
        <v>0</v>
      </c>
      <c r="AQ1643">
        <v>0</v>
      </c>
      <c r="AR1643">
        <v>0</v>
      </c>
      <c r="AS1643">
        <v>0</v>
      </c>
      <c r="AT1643">
        <v>0</v>
      </c>
      <c r="AU1643">
        <v>0</v>
      </c>
      <c r="AV1643">
        <v>0</v>
      </c>
      <c r="AW1643">
        <v>0</v>
      </c>
      <c r="AX1643" s="141">
        <f t="shared" si="2162"/>
        <v>2</v>
      </c>
      <c r="AY1643" s="141">
        <f t="shared" si="2163"/>
        <v>2</v>
      </c>
      <c r="AZ1643">
        <f t="shared" si="2164"/>
        <v>2</v>
      </c>
      <c r="BA1643">
        <f t="shared" si="2165"/>
        <v>0</v>
      </c>
      <c r="BB1643">
        <f t="shared" si="2166"/>
        <v>0</v>
      </c>
      <c r="BC1643">
        <f t="shared" si="2167"/>
        <v>0</v>
      </c>
      <c r="BD1643">
        <f t="shared" si="2168"/>
        <v>0</v>
      </c>
      <c r="BE1643" t="str">
        <f t="array" ref="BE1643">IF(AY1643=1,INDEX($V$7:$AL$7,MATCH(TRUE,INDEX($V1643:$AW1643&lt;&gt;0,),0)),IF(AY1643=0,INDEX($AM$7:$AW$7,MATCH(1,$AM1643:$AW1643,0)),IF(BF1643="Multiple strategies","mixed drivers",IF(BF1643="Supply chain","multiple supply","multiple silviculture"))))</f>
        <v>multiple silviculture</v>
      </c>
      <c r="BF1643" s="2" t="str" cm="1">
        <f t="array" ref="BF1643">IF(COUNTIF(AZ1643:BB1643,"&lt;&gt;0")=1,INDEX($V$4:$AW$4,MATCH(TRUE,INDEX($V1643:$AW1643&lt;&gt;0,),0)),IF(COUNTIF(AZ1643:BB1643,"&lt;&gt;0")=0,INDEX($AM$4:$AW$4,MATCH(1,$AM1643:$AW1643,0)),"Multiple strategies"))</f>
        <v>Silviculture for removals</v>
      </c>
      <c r="BG1643" s="1" t="s">
        <v>321</v>
      </c>
      <c r="BH1643" t="s">
        <v>2452</v>
      </c>
      <c r="BI1643" s="264" t="s">
        <v>3251</v>
      </c>
      <c r="BJ1643" t="s">
        <v>1322</v>
      </c>
      <c r="BK1643">
        <v>210</v>
      </c>
      <c r="BL1643">
        <v>457.5</v>
      </c>
      <c r="BM1643" s="143">
        <f t="shared" si="2160"/>
        <v>2.1785714285714284</v>
      </c>
      <c r="BN1643">
        <f t="shared" si="2152"/>
        <v>247.5</v>
      </c>
      <c r="BO1643">
        <f t="shared" si="2153"/>
        <v>247500000</v>
      </c>
      <c r="BP1643" t="s">
        <v>232</v>
      </c>
      <c r="BQ1643" s="153" t="s">
        <v>3252</v>
      </c>
      <c r="BR1643" t="s">
        <v>2324</v>
      </c>
      <c r="BS1643">
        <v>385.778591846273</v>
      </c>
      <c r="BT1643">
        <v>116.07299548902699</v>
      </c>
      <c r="BU1643" s="144">
        <f t="shared" ref="BU1643:BU1674" si="2186">IFERROR(BT1643/BS1643,"")</f>
        <v>0.30087982574025346</v>
      </c>
      <c r="BV1643" s="144">
        <f t="shared" si="2169"/>
        <v>-269.70559635724601</v>
      </c>
      <c r="BW1643" s="144"/>
      <c r="BX1643">
        <f t="shared" si="2154"/>
        <v>-269705596.35724598</v>
      </c>
      <c r="BY1643">
        <f t="shared" si="2185"/>
        <v>-1.089719581241398</v>
      </c>
      <c r="BZ1643">
        <v>0</v>
      </c>
      <c r="CA1643">
        <v>0</v>
      </c>
      <c r="CB1643">
        <v>0</v>
      </c>
      <c r="CC1643">
        <v>0</v>
      </c>
      <c r="CD1643">
        <v>0</v>
      </c>
      <c r="CE1643">
        <v>0</v>
      </c>
      <c r="CF1643">
        <v>0</v>
      </c>
      <c r="CG1643">
        <v>0</v>
      </c>
      <c r="CH1643">
        <v>0</v>
      </c>
      <c r="CI1643">
        <v>0</v>
      </c>
      <c r="CJ1643">
        <v>0</v>
      </c>
      <c r="CK1643">
        <v>0</v>
      </c>
      <c r="CL1643">
        <v>0</v>
      </c>
      <c r="CM1643">
        <v>1</v>
      </c>
      <c r="CN1643" t="str">
        <f t="shared" si="2161"/>
        <v>refOK</v>
      </c>
      <c r="CO1643">
        <f>IF($CN1643="refNeedCorrection",BL1643,BK1643)</f>
        <v>210</v>
      </c>
      <c r="CP1643">
        <f>IF($CN1643="refNeedCorrection",BK1643,BL1643)</f>
        <v>457.5</v>
      </c>
      <c r="CQ1643">
        <f t="shared" si="2157"/>
        <v>247500000</v>
      </c>
      <c r="CR1643">
        <f t="shared" si="2170"/>
        <v>385.778591846273</v>
      </c>
      <c r="CS1643">
        <f t="shared" si="2171"/>
        <v>116.07299548902699</v>
      </c>
      <c r="CT1643">
        <f t="shared" si="2172"/>
        <v>-269705596.35724598</v>
      </c>
      <c r="CU1643">
        <f t="shared" si="2173"/>
        <v>-1.089719581241398</v>
      </c>
      <c r="CV1643" s="2">
        <f t="shared" si="2174"/>
        <v>-0.69912017425974649</v>
      </c>
      <c r="CW1643" s="1" t="s">
        <v>1202</v>
      </c>
      <c r="CX1643" t="str">
        <f t="shared" si="2175"/>
        <v>reg</v>
      </c>
      <c r="CY1643" t="s">
        <v>639</v>
      </c>
      <c r="CZ1643">
        <v>2000</v>
      </c>
      <c r="DA1643">
        <v>2060</v>
      </c>
      <c r="DB1643">
        <f t="shared" ref="DB1643:DB1674" si="2187">DA1643-CZ1643</f>
        <v>60</v>
      </c>
      <c r="DC1643" t="str">
        <f t="shared" si="2176"/>
        <v>31-70</v>
      </c>
      <c r="DD1643">
        <v>1</v>
      </c>
      <c r="DE1643">
        <v>0</v>
      </c>
      <c r="DF1643">
        <v>0</v>
      </c>
      <c r="DG1643">
        <v>0</v>
      </c>
      <c r="DH1643">
        <v>0</v>
      </c>
      <c r="DI1643">
        <f t="shared" si="2177"/>
        <v>1</v>
      </c>
      <c r="DJ1643" t="str">
        <f t="shared" si="2178"/>
        <v>UpstreamInput</v>
      </c>
      <c r="DK1643" t="str">
        <f t="shared" si="2179"/>
        <v>Upstream</v>
      </c>
      <c r="DL1643">
        <f t="shared" si="2180"/>
        <v>0</v>
      </c>
      <c r="DM1643">
        <f t="shared" si="2181"/>
        <v>0</v>
      </c>
      <c r="DN1643">
        <f t="shared" si="2182"/>
        <v>0</v>
      </c>
      <c r="DO1643">
        <v>0</v>
      </c>
      <c r="DP1643">
        <v>0</v>
      </c>
      <c r="DT1643">
        <f t="shared" si="2183"/>
        <v>0</v>
      </c>
      <c r="DU1643" s="143" t="str">
        <f t="shared" si="2184"/>
        <v>explicit C balance</v>
      </c>
      <c r="DV1643">
        <v>1</v>
      </c>
      <c r="DW1643">
        <v>1</v>
      </c>
      <c r="DX1643">
        <v>1</v>
      </c>
      <c r="DY1643">
        <v>0</v>
      </c>
      <c r="DZ1643">
        <v>0</v>
      </c>
      <c r="EA1643" s="143">
        <v>0</v>
      </c>
      <c r="EB1643">
        <v>0</v>
      </c>
      <c r="EC1643">
        <v>0</v>
      </c>
      <c r="ED1643">
        <v>0</v>
      </c>
      <c r="EE1643">
        <v>0</v>
      </c>
      <c r="EF1643">
        <v>1</v>
      </c>
      <c r="EG1643">
        <v>0</v>
      </c>
      <c r="EH1643">
        <v>0</v>
      </c>
      <c r="EI1643" s="2">
        <v>0</v>
      </c>
      <c r="EK1643" t="str">
        <f t="shared" si="2158"/>
        <v/>
      </c>
      <c r="EL1643" t="str">
        <f t="shared" si="2159"/>
        <v>Ecosystem approach</v>
      </c>
      <c r="EM1643" s="2" t="str">
        <f t="shared" si="2106"/>
        <v/>
      </c>
      <c r="EN1643" t="s">
        <v>2484</v>
      </c>
      <c r="EP1643" t="str">
        <f>IF(ISNUMBER(BU1643),IF(ABS(BU1643-[3]QC_indicators!$B$2)&gt;3*[3]QC_indicators!$C$2,"C ratio",IF(ISNUMBER(BY1643),IF(ABS(BY1643-[3]QC_indicators!$B$1)&gt;3*[3]QC_indicators!$C$1,"DF","no"))),IF(ISNUMBER(BY1643),IF(ABS(BY1643-[3]QC_indicators!$B$1)&gt;3*[3]QC_indicators!$C$1,"DF","no")))</f>
        <v>no</v>
      </c>
      <c r="ET1643" s="264" t="s">
        <v>3253</v>
      </c>
    </row>
    <row r="1644" spans="1:150" ht="15" hidden="1" customHeight="1">
      <c r="A1644" s="1" t="s">
        <v>1807</v>
      </c>
      <c r="B1644" t="s">
        <v>2474</v>
      </c>
      <c r="C1644" t="s">
        <v>2475</v>
      </c>
      <c r="D1644" t="s">
        <v>2476</v>
      </c>
      <c r="E1644" t="s">
        <v>2477</v>
      </c>
      <c r="F1644" t="s">
        <v>2478</v>
      </c>
      <c r="G1644" t="s">
        <v>1813</v>
      </c>
      <c r="H1644" t="s">
        <v>254</v>
      </c>
      <c r="I1644">
        <v>2010</v>
      </c>
      <c r="J1644">
        <v>100</v>
      </c>
      <c r="K1644" t="s">
        <v>2479</v>
      </c>
      <c r="M1644" t="str">
        <f t="shared" si="2120"/>
        <v>Werner_2010</v>
      </c>
      <c r="N1644" t="s">
        <v>222</v>
      </c>
      <c r="O1644" s="145" t="s">
        <v>1153</v>
      </c>
      <c r="Q1644" t="s">
        <v>256</v>
      </c>
      <c r="R1644" s="262" t="s">
        <v>223</v>
      </c>
      <c r="S1644" s="1" t="s">
        <v>2480</v>
      </c>
      <c r="T1644" t="s">
        <v>2481</v>
      </c>
      <c r="U1644" t="s">
        <v>1154</v>
      </c>
      <c r="V1644">
        <v>1</v>
      </c>
      <c r="W1644">
        <v>0</v>
      </c>
      <c r="X1644">
        <v>2</v>
      </c>
      <c r="Y1644">
        <v>0</v>
      </c>
      <c r="Z1644">
        <v>0</v>
      </c>
      <c r="AA1644">
        <v>0</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s="141">
        <f t="shared" si="2162"/>
        <v>2</v>
      </c>
      <c r="AY1644" s="141">
        <f t="shared" si="2163"/>
        <v>2</v>
      </c>
      <c r="AZ1644">
        <f t="shared" si="2164"/>
        <v>2</v>
      </c>
      <c r="BA1644">
        <f t="shared" si="2165"/>
        <v>0</v>
      </c>
      <c r="BB1644">
        <f t="shared" si="2166"/>
        <v>0</v>
      </c>
      <c r="BC1644">
        <f t="shared" si="2167"/>
        <v>0</v>
      </c>
      <c r="BD1644">
        <f t="shared" si="2168"/>
        <v>0</v>
      </c>
      <c r="BE1644" t="str">
        <f t="array" ref="BE1644">IF(AY1644=1,INDEX($V$7:$AL$7,MATCH(TRUE,INDEX($V1644:$AW1644&lt;&gt;0,),0)),IF(AY1644=0,INDEX($AM$7:$AW$7,MATCH(1,$AM1644:$AW1644,0)),IF(BF1644="Multiple strategies","mixed drivers",IF(BF1644="Supply chain","multiple supply","multiple silviculture"))))</f>
        <v>multiple silviculture</v>
      </c>
      <c r="BF1644" s="2" t="str" cm="1">
        <f t="array" ref="BF1644">IF(COUNTIF(AZ1644:BB1644,"&lt;&gt;0")=1,INDEX($V$4:$AW$4,MATCH(TRUE,INDEX($V1644:$AW1644&lt;&gt;0,),0)),IF(COUNTIF(AZ1644:BB1644,"&lt;&gt;0")=0,INDEX($AM$4:$AW$4,MATCH(1,$AM1644:$AW1644,0)),"Multiple strategies"))</f>
        <v>Silviculture for removals</v>
      </c>
      <c r="BG1644" s="1" t="s">
        <v>321</v>
      </c>
      <c r="BH1644" t="s">
        <v>2452</v>
      </c>
      <c r="BI1644" s="264" t="s">
        <v>3251</v>
      </c>
      <c r="BJ1644" t="s">
        <v>1322</v>
      </c>
      <c r="BK1644">
        <v>300</v>
      </c>
      <c r="BL1644">
        <v>517.5</v>
      </c>
      <c r="BM1644" s="143">
        <f t="shared" si="2160"/>
        <v>1.7250000000000001</v>
      </c>
      <c r="BN1644">
        <f t="shared" si="2152"/>
        <v>217.5</v>
      </c>
      <c r="BO1644">
        <f t="shared" si="2153"/>
        <v>217500000</v>
      </c>
      <c r="BP1644" t="s">
        <v>232</v>
      </c>
      <c r="BQ1644" s="153" t="s">
        <v>3252</v>
      </c>
      <c r="BR1644" t="s">
        <v>2324</v>
      </c>
      <c r="BS1644">
        <v>345.6503741652154</v>
      </c>
      <c r="BT1644">
        <v>116.6008790402431</v>
      </c>
      <c r="BU1644" s="144">
        <f t="shared" si="2186"/>
        <v>0.33733763292415742</v>
      </c>
      <c r="BV1644" s="144">
        <f t="shared" si="2169"/>
        <v>-229.04949512497228</v>
      </c>
      <c r="BW1644" s="144"/>
      <c r="BX1644">
        <f t="shared" si="2154"/>
        <v>-229049495.12497228</v>
      </c>
      <c r="BY1644">
        <f t="shared" si="2185"/>
        <v>-1.0531011270113668</v>
      </c>
      <c r="BZ1644">
        <v>0</v>
      </c>
      <c r="CA1644">
        <v>0</v>
      </c>
      <c r="CB1644">
        <v>0</v>
      </c>
      <c r="CC1644">
        <v>0</v>
      </c>
      <c r="CD1644">
        <v>0</v>
      </c>
      <c r="CE1644">
        <v>0</v>
      </c>
      <c r="CF1644">
        <v>0</v>
      </c>
      <c r="CG1644">
        <v>0</v>
      </c>
      <c r="CH1644">
        <v>0</v>
      </c>
      <c r="CI1644">
        <v>0</v>
      </c>
      <c r="CJ1644">
        <v>0</v>
      </c>
      <c r="CK1644">
        <v>0</v>
      </c>
      <c r="CL1644">
        <v>0</v>
      </c>
      <c r="CM1644">
        <v>1</v>
      </c>
      <c r="CN1644" t="str">
        <f t="shared" si="2161"/>
        <v>refOK</v>
      </c>
      <c r="CO1644">
        <f>IF($CN1644="refNeedCorrection",BL1644,BK1644)</f>
        <v>300</v>
      </c>
      <c r="CP1644">
        <f>IF($CN1644="refNeedCorrection",BK1644,BL1644)</f>
        <v>517.5</v>
      </c>
      <c r="CQ1644">
        <f t="shared" si="2157"/>
        <v>217500000</v>
      </c>
      <c r="CR1644">
        <f t="shared" si="2170"/>
        <v>345.6503741652154</v>
      </c>
      <c r="CS1644">
        <f t="shared" si="2171"/>
        <v>116.6008790402431</v>
      </c>
      <c r="CT1644">
        <f t="shared" si="2172"/>
        <v>-229049495.12497228</v>
      </c>
      <c r="CU1644">
        <f t="shared" si="2173"/>
        <v>-1.0531011270113668</v>
      </c>
      <c r="CV1644" s="2">
        <f t="shared" si="2174"/>
        <v>-0.66266236707584247</v>
      </c>
      <c r="CW1644" s="1" t="s">
        <v>1202</v>
      </c>
      <c r="CX1644" t="str">
        <f t="shared" si="2175"/>
        <v>reg</v>
      </c>
      <c r="CY1644" t="s">
        <v>639</v>
      </c>
      <c r="CZ1644">
        <v>2000</v>
      </c>
      <c r="DA1644">
        <v>2090</v>
      </c>
      <c r="DB1644">
        <f t="shared" si="2187"/>
        <v>90</v>
      </c>
      <c r="DC1644" t="str">
        <f t="shared" si="2176"/>
        <v>71-100</v>
      </c>
      <c r="DD1644">
        <v>1</v>
      </c>
      <c r="DE1644">
        <v>0</v>
      </c>
      <c r="DF1644">
        <v>0</v>
      </c>
      <c r="DG1644">
        <v>0</v>
      </c>
      <c r="DH1644">
        <v>0</v>
      </c>
      <c r="DI1644">
        <f t="shared" si="2177"/>
        <v>1</v>
      </c>
      <c r="DJ1644" t="str">
        <f t="shared" si="2178"/>
        <v>UpstreamInput</v>
      </c>
      <c r="DK1644" t="str">
        <f t="shared" si="2179"/>
        <v>Upstream</v>
      </c>
      <c r="DL1644">
        <f t="shared" si="2180"/>
        <v>0</v>
      </c>
      <c r="DM1644">
        <f t="shared" si="2181"/>
        <v>0</v>
      </c>
      <c r="DN1644">
        <f t="shared" si="2182"/>
        <v>0</v>
      </c>
      <c r="DO1644">
        <v>0</v>
      </c>
      <c r="DP1644">
        <v>0</v>
      </c>
      <c r="DT1644">
        <f t="shared" si="2183"/>
        <v>0</v>
      </c>
      <c r="DU1644" s="143" t="str">
        <f t="shared" si="2184"/>
        <v>explicit C balance</v>
      </c>
      <c r="DV1644">
        <v>1</v>
      </c>
      <c r="DW1644">
        <v>1</v>
      </c>
      <c r="DX1644">
        <v>1</v>
      </c>
      <c r="DY1644">
        <v>1</v>
      </c>
      <c r="DZ1644">
        <v>0</v>
      </c>
      <c r="EA1644" s="143">
        <v>0</v>
      </c>
      <c r="EB1644">
        <v>0</v>
      </c>
      <c r="EC1644">
        <v>0</v>
      </c>
      <c r="ED1644">
        <v>0</v>
      </c>
      <c r="EE1644">
        <v>0</v>
      </c>
      <c r="EF1644">
        <v>1</v>
      </c>
      <c r="EG1644">
        <v>0</v>
      </c>
      <c r="EH1644">
        <v>0</v>
      </c>
      <c r="EI1644" s="2">
        <v>0</v>
      </c>
      <c r="EK1644" t="str">
        <f t="shared" si="2158"/>
        <v/>
      </c>
      <c r="EL1644" t="str">
        <f t="shared" si="2159"/>
        <v>Ecosystem approach</v>
      </c>
      <c r="EM1644" s="2" t="str">
        <f t="shared" ref="EM1644:EM1707" si="2188">IF(AND(AND(AND($DX1644=0,$DW1644=0),OR($EC1644=1,$EA1644=1)),SUM($EB1644:$EE1644)&gt;=2),"Technology approach","")</f>
        <v/>
      </c>
      <c r="EN1644" t="s">
        <v>2484</v>
      </c>
      <c r="EP1644" t="str">
        <f>IF(ISNUMBER(BU1644),IF(ABS(BU1644-[3]QC_indicators!$B$2)&gt;3*[3]QC_indicators!$C$2,"C ratio",IF(ISNUMBER(BY1644),IF(ABS(BY1644-[3]QC_indicators!$B$1)&gt;3*[3]QC_indicators!$C$1,"DF","no"))),IF(ISNUMBER(BY1644),IF(ABS(BY1644-[3]QC_indicators!$B$1)&gt;3*[3]QC_indicators!$C$1,"DF","no")))</f>
        <v>no</v>
      </c>
      <c r="ET1644" s="264" t="s">
        <v>3253</v>
      </c>
    </row>
    <row r="1645" spans="1:150" ht="15" hidden="1" customHeight="1">
      <c r="A1645" s="1" t="s">
        <v>1807</v>
      </c>
      <c r="B1645" t="s">
        <v>2474</v>
      </c>
      <c r="C1645" t="s">
        <v>2475</v>
      </c>
      <c r="D1645" t="s">
        <v>2476</v>
      </c>
      <c r="E1645" t="s">
        <v>2477</v>
      </c>
      <c r="F1645" t="s">
        <v>2478</v>
      </c>
      <c r="G1645" t="s">
        <v>1813</v>
      </c>
      <c r="H1645" t="s">
        <v>254</v>
      </c>
      <c r="I1645">
        <v>2010</v>
      </c>
      <c r="J1645">
        <v>100</v>
      </c>
      <c r="K1645" t="s">
        <v>2479</v>
      </c>
      <c r="M1645" t="str">
        <f t="shared" si="2120"/>
        <v>Werner_2010</v>
      </c>
      <c r="N1645" t="s">
        <v>222</v>
      </c>
      <c r="O1645" s="145" t="s">
        <v>1153</v>
      </c>
      <c r="Q1645" t="s">
        <v>256</v>
      </c>
      <c r="R1645" s="262" t="s">
        <v>223</v>
      </c>
      <c r="S1645" s="1" t="s">
        <v>2480</v>
      </c>
      <c r="T1645" t="s">
        <v>2481</v>
      </c>
      <c r="U1645" t="s">
        <v>1154</v>
      </c>
      <c r="V1645">
        <v>1</v>
      </c>
      <c r="W1645">
        <v>0</v>
      </c>
      <c r="X1645">
        <v>2</v>
      </c>
      <c r="Y1645">
        <v>0</v>
      </c>
      <c r="Z1645">
        <v>0</v>
      </c>
      <c r="AA1645">
        <v>0</v>
      </c>
      <c r="AB1645">
        <v>0</v>
      </c>
      <c r="AC1645">
        <v>0</v>
      </c>
      <c r="AD1645">
        <v>0</v>
      </c>
      <c r="AE1645">
        <v>0</v>
      </c>
      <c r="AF1645">
        <v>0</v>
      </c>
      <c r="AG1645">
        <v>0</v>
      </c>
      <c r="AH1645">
        <v>0</v>
      </c>
      <c r="AI1645">
        <v>0</v>
      </c>
      <c r="AJ1645">
        <v>0</v>
      </c>
      <c r="AK1645">
        <v>0</v>
      </c>
      <c r="AL1645">
        <v>0</v>
      </c>
      <c r="AM1645">
        <v>0</v>
      </c>
      <c r="AN1645">
        <v>0</v>
      </c>
      <c r="AO1645">
        <v>0</v>
      </c>
      <c r="AP1645">
        <v>0</v>
      </c>
      <c r="AQ1645">
        <v>0</v>
      </c>
      <c r="AR1645">
        <v>0</v>
      </c>
      <c r="AS1645">
        <v>0</v>
      </c>
      <c r="AT1645">
        <v>0</v>
      </c>
      <c r="AU1645">
        <v>0</v>
      </c>
      <c r="AV1645">
        <v>0</v>
      </c>
      <c r="AW1645">
        <v>0</v>
      </c>
      <c r="AX1645" s="141">
        <f t="shared" si="2162"/>
        <v>2</v>
      </c>
      <c r="AY1645" s="141">
        <f t="shared" si="2163"/>
        <v>2</v>
      </c>
      <c r="AZ1645">
        <f t="shared" si="2164"/>
        <v>2</v>
      </c>
      <c r="BA1645">
        <f t="shared" si="2165"/>
        <v>0</v>
      </c>
      <c r="BB1645">
        <f t="shared" si="2166"/>
        <v>0</v>
      </c>
      <c r="BC1645">
        <f t="shared" si="2167"/>
        <v>0</v>
      </c>
      <c r="BD1645">
        <f t="shared" si="2168"/>
        <v>0</v>
      </c>
      <c r="BE1645" t="str">
        <f t="array" ref="BE1645">IF(AY1645=1,INDEX($V$7:$AL$7,MATCH(TRUE,INDEX($V1645:$AW1645&lt;&gt;0,),0)),IF(AY1645=0,INDEX($AM$7:$AW$7,MATCH(1,$AM1645:$AW1645,0)),IF(BF1645="Multiple strategies","mixed drivers",IF(BF1645="Supply chain","multiple supply","multiple silviculture"))))</f>
        <v>multiple silviculture</v>
      </c>
      <c r="BF1645" s="2" t="str" cm="1">
        <f t="array" ref="BF1645">IF(COUNTIF(AZ1645:BB1645,"&lt;&gt;0")=1,INDEX($V$4:$AW$4,MATCH(TRUE,INDEX($V1645:$AW1645&lt;&gt;0,),0)),IF(COUNTIF(AZ1645:BB1645,"&lt;&gt;0")=0,INDEX($AM$4:$AW$4,MATCH(1,$AM1645:$AW1645,0)),"Multiple strategies"))</f>
        <v>Silviculture for removals</v>
      </c>
      <c r="BG1645" s="1" t="s">
        <v>321</v>
      </c>
      <c r="BH1645" t="s">
        <v>2452</v>
      </c>
      <c r="BI1645" s="264" t="s">
        <v>3251</v>
      </c>
      <c r="BJ1645" t="s">
        <v>1322</v>
      </c>
      <c r="BK1645">
        <v>210</v>
      </c>
      <c r="BL1645">
        <v>340.5</v>
      </c>
      <c r="BM1645" s="143">
        <f t="shared" si="2160"/>
        <v>1.6214285714285714</v>
      </c>
      <c r="BN1645">
        <f t="shared" si="2152"/>
        <v>130.5</v>
      </c>
      <c r="BO1645">
        <f>BN1645*1000000</f>
        <v>130500000</v>
      </c>
      <c r="BP1645" t="s">
        <v>232</v>
      </c>
      <c r="BQ1645" s="153" t="s">
        <v>3252</v>
      </c>
      <c r="BR1645" t="s">
        <v>2324</v>
      </c>
      <c r="BS1645">
        <v>644.05341103507203</v>
      </c>
      <c r="BT1645">
        <v>516.00593455945204</v>
      </c>
      <c r="BU1645" s="144">
        <f t="shared" si="2186"/>
        <v>0.8011850037874465</v>
      </c>
      <c r="BV1645" s="144">
        <f t="shared" si="2169"/>
        <v>-128.04747647561999</v>
      </c>
      <c r="BW1645" s="144"/>
      <c r="BX1645">
        <f t="shared" si="2154"/>
        <v>-128047476.47561999</v>
      </c>
      <c r="BY1645">
        <f t="shared" si="2185"/>
        <v>-0.98120671628827572</v>
      </c>
      <c r="BZ1645">
        <v>0</v>
      </c>
      <c r="CA1645">
        <v>0</v>
      </c>
      <c r="CB1645">
        <v>0</v>
      </c>
      <c r="CC1645">
        <v>0</v>
      </c>
      <c r="CD1645">
        <v>0</v>
      </c>
      <c r="CE1645">
        <v>0</v>
      </c>
      <c r="CF1645">
        <v>0</v>
      </c>
      <c r="CG1645">
        <v>0</v>
      </c>
      <c r="CH1645">
        <v>0</v>
      </c>
      <c r="CI1645">
        <v>0</v>
      </c>
      <c r="CJ1645">
        <v>0</v>
      </c>
      <c r="CK1645">
        <v>0</v>
      </c>
      <c r="CL1645">
        <v>0</v>
      </c>
      <c r="CM1645">
        <v>1</v>
      </c>
      <c r="CN1645" t="str">
        <f t="shared" si="2161"/>
        <v>refOK</v>
      </c>
      <c r="CO1645">
        <f>IF($CN1645="refOK",$BK1645,$BL1645)</f>
        <v>210</v>
      </c>
      <c r="CP1645">
        <f>IF($CN1645="refOK",$BL1645,$BK1645)</f>
        <v>340.5</v>
      </c>
      <c r="CQ1645">
        <f t="shared" si="2157"/>
        <v>130500000</v>
      </c>
      <c r="CR1645">
        <f t="shared" si="2170"/>
        <v>644.05341103507203</v>
      </c>
      <c r="CS1645">
        <f t="shared" si="2171"/>
        <v>516.00593455945204</v>
      </c>
      <c r="CT1645">
        <f t="shared" si="2172"/>
        <v>-128047476.47561999</v>
      </c>
      <c r="CU1645">
        <f t="shared" si="2173"/>
        <v>-0.98120671628827572</v>
      </c>
      <c r="CV1645" s="2">
        <f t="shared" si="2174"/>
        <v>-0.19881499621255347</v>
      </c>
      <c r="CW1645" s="1" t="s">
        <v>1202</v>
      </c>
      <c r="CX1645" t="str">
        <f t="shared" si="2175"/>
        <v>reg</v>
      </c>
      <c r="CY1645" t="s">
        <v>639</v>
      </c>
      <c r="CZ1645">
        <v>2000</v>
      </c>
      <c r="DA1645">
        <v>2060</v>
      </c>
      <c r="DB1645">
        <f t="shared" si="2187"/>
        <v>60</v>
      </c>
      <c r="DC1645" t="str">
        <f t="shared" si="2176"/>
        <v>31-70</v>
      </c>
      <c r="DD1645">
        <v>1</v>
      </c>
      <c r="DE1645">
        <v>1</v>
      </c>
      <c r="DF1645">
        <v>1</v>
      </c>
      <c r="DG1645">
        <v>1</v>
      </c>
      <c r="DH1645">
        <v>0</v>
      </c>
      <c r="DI1645">
        <f t="shared" si="2177"/>
        <v>4</v>
      </c>
      <c r="DJ1645" t="str">
        <f t="shared" si="2178"/>
        <v>mixedProduct</v>
      </c>
      <c r="DK1645" t="str">
        <f t="shared" si="2179"/>
        <v>Upstream</v>
      </c>
      <c r="DL1645" t="str">
        <f t="shared" si="2180"/>
        <v>Energy</v>
      </c>
      <c r="DM1645" t="str">
        <f t="shared" si="2181"/>
        <v>Pulp/Paper</v>
      </c>
      <c r="DN1645" t="str">
        <f t="shared" si="2182"/>
        <v>Timber</v>
      </c>
      <c r="DO1645">
        <v>0</v>
      </c>
      <c r="DP1645">
        <v>1</v>
      </c>
      <c r="DQ1645" t="s">
        <v>2482</v>
      </c>
      <c r="DR1645" t="s">
        <v>2483</v>
      </c>
      <c r="DT1645">
        <f t="shared" si="2183"/>
        <v>1</v>
      </c>
      <c r="DU1645" s="143" t="str">
        <f t="shared" si="2184"/>
        <v>external DF used</v>
      </c>
      <c r="DV1645">
        <v>1</v>
      </c>
      <c r="DW1645">
        <v>1</v>
      </c>
      <c r="DX1645">
        <v>1</v>
      </c>
      <c r="DY1645">
        <v>1</v>
      </c>
      <c r="DZ1645">
        <v>1</v>
      </c>
      <c r="EA1645" s="143">
        <v>1</v>
      </c>
      <c r="EB1645">
        <v>1</v>
      </c>
      <c r="EC1645">
        <v>1</v>
      </c>
      <c r="ED1645">
        <v>0</v>
      </c>
      <c r="EE1645">
        <v>0</v>
      </c>
      <c r="EF1645">
        <v>1</v>
      </c>
      <c r="EG1645">
        <v>0</v>
      </c>
      <c r="EH1645">
        <v>0</v>
      </c>
      <c r="EI1645" s="2">
        <v>0</v>
      </c>
      <c r="EK1645" t="str">
        <f t="shared" si="2158"/>
        <v>Whole sector</v>
      </c>
      <c r="EL1645" t="str">
        <f t="shared" si="2159"/>
        <v/>
      </c>
      <c r="EM1645" s="2" t="str">
        <f t="shared" si="2188"/>
        <v/>
      </c>
      <c r="EN1645" t="s">
        <v>2484</v>
      </c>
      <c r="EP1645" t="str">
        <f>IF(ISNUMBER(BU1645),IF(ABS(BU1645-[3]QC_indicators!$B$2)&gt;3*[3]QC_indicators!$C$2,"C ratio",IF(ISNUMBER(BY1645),IF(ABS(BY1645-[3]QC_indicators!$B$1)&gt;3*[3]QC_indicators!$C$1,"DF","no"))),IF(ISNUMBER(BY1645),IF(ABS(BY1645-[3]QC_indicators!$B$1)&gt;3*[3]QC_indicators!$C$1,"DF","no")))</f>
        <v>no</v>
      </c>
      <c r="ET1645" s="264" t="s">
        <v>3253</v>
      </c>
    </row>
    <row r="1646" spans="1:150" ht="15" hidden="1" customHeight="1">
      <c r="A1646" s="1" t="s">
        <v>1807</v>
      </c>
      <c r="B1646" t="s">
        <v>2474</v>
      </c>
      <c r="C1646" t="s">
        <v>2475</v>
      </c>
      <c r="D1646" t="s">
        <v>2476</v>
      </c>
      <c r="E1646" t="s">
        <v>2477</v>
      </c>
      <c r="F1646" t="s">
        <v>2478</v>
      </c>
      <c r="G1646" t="s">
        <v>1813</v>
      </c>
      <c r="H1646" t="s">
        <v>254</v>
      </c>
      <c r="I1646">
        <v>2010</v>
      </c>
      <c r="J1646">
        <v>100</v>
      </c>
      <c r="K1646" t="s">
        <v>2479</v>
      </c>
      <c r="M1646" t="str">
        <f t="shared" si="2120"/>
        <v>Werner_2010</v>
      </c>
      <c r="N1646" t="s">
        <v>222</v>
      </c>
      <c r="O1646" s="145" t="s">
        <v>1153</v>
      </c>
      <c r="Q1646" t="s">
        <v>256</v>
      </c>
      <c r="R1646" s="262" t="s">
        <v>223</v>
      </c>
      <c r="S1646" s="263" t="s">
        <v>3254</v>
      </c>
      <c r="T1646" t="s">
        <v>2481</v>
      </c>
      <c r="U1646" t="s">
        <v>2487</v>
      </c>
      <c r="V1646">
        <v>2</v>
      </c>
      <c r="W1646">
        <v>0</v>
      </c>
      <c r="X1646">
        <v>1</v>
      </c>
      <c r="Y1646">
        <v>2</v>
      </c>
      <c r="Z1646">
        <v>0</v>
      </c>
      <c r="AA1646">
        <v>0</v>
      </c>
      <c r="AB1646">
        <v>0</v>
      </c>
      <c r="AC1646">
        <v>0</v>
      </c>
      <c r="AD1646">
        <v>0</v>
      </c>
      <c r="AE1646">
        <v>0</v>
      </c>
      <c r="AF1646">
        <v>0</v>
      </c>
      <c r="AG1646">
        <v>0</v>
      </c>
      <c r="AH1646">
        <v>0</v>
      </c>
      <c r="AI1646">
        <v>0</v>
      </c>
      <c r="AJ1646">
        <v>0</v>
      </c>
      <c r="AK1646">
        <v>0</v>
      </c>
      <c r="AL1646">
        <v>0</v>
      </c>
      <c r="AM1646">
        <v>0</v>
      </c>
      <c r="AN1646">
        <v>0</v>
      </c>
      <c r="AO1646">
        <v>0</v>
      </c>
      <c r="AP1646">
        <v>0</v>
      </c>
      <c r="AQ1646">
        <v>0</v>
      </c>
      <c r="AR1646">
        <v>0</v>
      </c>
      <c r="AS1646">
        <v>0</v>
      </c>
      <c r="AT1646">
        <v>0</v>
      </c>
      <c r="AU1646">
        <v>0</v>
      </c>
      <c r="AV1646">
        <v>0</v>
      </c>
      <c r="AW1646">
        <v>0</v>
      </c>
      <c r="AX1646" s="141">
        <f t="shared" si="2162"/>
        <v>3</v>
      </c>
      <c r="AY1646" s="141">
        <f t="shared" si="2163"/>
        <v>3</v>
      </c>
      <c r="AZ1646">
        <f t="shared" si="2164"/>
        <v>3</v>
      </c>
      <c r="BA1646">
        <f t="shared" si="2165"/>
        <v>0</v>
      </c>
      <c r="BB1646">
        <f t="shared" si="2166"/>
        <v>0</v>
      </c>
      <c r="BC1646">
        <f t="shared" si="2167"/>
        <v>0</v>
      </c>
      <c r="BD1646">
        <f t="shared" si="2168"/>
        <v>0</v>
      </c>
      <c r="BE1646" t="str">
        <f t="array" ref="BE1646">IF(AY1646=1,INDEX($V$7:$AL$7,MATCH(TRUE,INDEX($V1646:$AW1646&lt;&gt;0,),0)),IF(AY1646=0,INDEX($AM$7:$AW$7,MATCH(1,$AM1646:$AW1646,0)),IF(BF1646="Multiple strategies","mixed drivers",IF(BF1646="Supply chain","multiple supply","multiple silviculture"))))</f>
        <v>multiple silviculture</v>
      </c>
      <c r="BF1646" s="2" t="str" cm="1">
        <f t="array" ref="BF1646">IF(COUNTIF(AZ1646:BB1646,"&lt;&gt;0")=1,INDEX($V$4:$AW$4,MATCH(TRUE,INDEX($V1646:$AW1646&lt;&gt;0,),0)),IF(COUNTIF(AZ1646:BB1646,"&lt;&gt;0")=0,INDEX($AM$4:$AW$4,MATCH(1,$AM1646:$AW1646,0)),"Multiple strategies"))</f>
        <v>Silviculture for removals</v>
      </c>
      <c r="BG1646" s="1" t="s">
        <v>321</v>
      </c>
      <c r="BH1646" t="s">
        <v>2452</v>
      </c>
      <c r="BI1646" s="264" t="s">
        <v>3251</v>
      </c>
      <c r="BJ1646" t="s">
        <v>1322</v>
      </c>
      <c r="BK1646">
        <v>120</v>
      </c>
      <c r="BL1646">
        <v>213</v>
      </c>
      <c r="BM1646" s="143">
        <f t="shared" si="2160"/>
        <v>1.7749999999999999</v>
      </c>
      <c r="BN1646">
        <f t="shared" si="2152"/>
        <v>93</v>
      </c>
      <c r="BO1646">
        <f t="shared" ref="BO1646:BO1655" si="2189">BN1646*10^6</f>
        <v>93000000</v>
      </c>
      <c r="BP1646" t="s">
        <v>232</v>
      </c>
      <c r="BQ1646" s="153" t="s">
        <v>3252</v>
      </c>
      <c r="BR1646" t="s">
        <v>2324</v>
      </c>
      <c r="BS1646">
        <v>370.31517322497803</v>
      </c>
      <c r="BT1646">
        <v>288.61473481608198</v>
      </c>
      <c r="BU1646" s="144">
        <f t="shared" si="2186"/>
        <v>0.77937593618595669</v>
      </c>
      <c r="BV1646" s="144">
        <f t="shared" si="2169"/>
        <v>-81.700438408896048</v>
      </c>
      <c r="BW1646" s="144"/>
      <c r="BX1646">
        <f t="shared" si="2154"/>
        <v>-81700438.408896044</v>
      </c>
      <c r="BY1646">
        <f t="shared" si="2185"/>
        <v>-0.87849933773006494</v>
      </c>
      <c r="BZ1646">
        <v>0</v>
      </c>
      <c r="CA1646">
        <v>0</v>
      </c>
      <c r="CB1646">
        <v>0</v>
      </c>
      <c r="CC1646">
        <v>0</v>
      </c>
      <c r="CD1646">
        <v>0</v>
      </c>
      <c r="CE1646">
        <v>0</v>
      </c>
      <c r="CF1646">
        <v>0</v>
      </c>
      <c r="CG1646">
        <v>0</v>
      </c>
      <c r="CH1646">
        <v>0</v>
      </c>
      <c r="CI1646">
        <v>0</v>
      </c>
      <c r="CJ1646">
        <v>0</v>
      </c>
      <c r="CK1646">
        <v>0</v>
      </c>
      <c r="CL1646">
        <v>0</v>
      </c>
      <c r="CM1646">
        <v>1</v>
      </c>
      <c r="CN1646" t="str">
        <f t="shared" si="2161"/>
        <v>refOK</v>
      </c>
      <c r="CO1646">
        <f>IF($CN1646="refOK",$BK1646,$BL1646)</f>
        <v>120</v>
      </c>
      <c r="CP1646">
        <f>IF($CN1646="refOK",$BL1646,$BK1646)</f>
        <v>213</v>
      </c>
      <c r="CQ1646">
        <f t="shared" si="2157"/>
        <v>93000000</v>
      </c>
      <c r="CR1646">
        <f t="shared" si="2170"/>
        <v>370.31517322497803</v>
      </c>
      <c r="CS1646">
        <f t="shared" si="2171"/>
        <v>288.61473481608198</v>
      </c>
      <c r="CT1646">
        <f t="shared" si="2172"/>
        <v>-81700438.408896044</v>
      </c>
      <c r="CU1646">
        <f t="shared" si="2173"/>
        <v>-0.87849933773006494</v>
      </c>
      <c r="CV1646" s="2">
        <f t="shared" si="2174"/>
        <v>-0.22062406381404329</v>
      </c>
      <c r="CW1646" s="1" t="s">
        <v>1202</v>
      </c>
      <c r="CX1646" t="str">
        <f t="shared" si="2175"/>
        <v>reg</v>
      </c>
      <c r="CY1646" t="s">
        <v>639</v>
      </c>
      <c r="CZ1646">
        <v>2000</v>
      </c>
      <c r="DA1646">
        <v>2030</v>
      </c>
      <c r="DB1646">
        <f t="shared" si="2187"/>
        <v>30</v>
      </c>
      <c r="DC1646" t="str">
        <f t="shared" si="2176"/>
        <v>1-30</v>
      </c>
      <c r="DD1646">
        <v>0</v>
      </c>
      <c r="DE1646">
        <v>1</v>
      </c>
      <c r="DF1646">
        <v>0</v>
      </c>
      <c r="DG1646">
        <v>0</v>
      </c>
      <c r="DH1646">
        <v>0</v>
      </c>
      <c r="DI1646">
        <f t="shared" si="2177"/>
        <v>1</v>
      </c>
      <c r="DJ1646" t="str">
        <f t="shared" si="2178"/>
        <v>EnergyInput</v>
      </c>
      <c r="DK1646">
        <f t="shared" si="2179"/>
        <v>0</v>
      </c>
      <c r="DL1646" t="str">
        <f t="shared" si="2180"/>
        <v>Energy</v>
      </c>
      <c r="DM1646">
        <f t="shared" si="2181"/>
        <v>0</v>
      </c>
      <c r="DN1646">
        <f t="shared" si="2182"/>
        <v>0</v>
      </c>
      <c r="DO1646">
        <v>0</v>
      </c>
      <c r="DP1646">
        <v>1</v>
      </c>
      <c r="DQ1646" t="s">
        <v>2482</v>
      </c>
      <c r="DR1646" t="s">
        <v>2483</v>
      </c>
      <c r="DT1646">
        <f t="shared" si="2183"/>
        <v>1</v>
      </c>
      <c r="DU1646" s="143" t="str">
        <f t="shared" si="2184"/>
        <v>external DF used</v>
      </c>
      <c r="DV1646">
        <v>1</v>
      </c>
      <c r="DW1646">
        <v>1</v>
      </c>
      <c r="DX1646">
        <v>1</v>
      </c>
      <c r="DY1646">
        <v>1</v>
      </c>
      <c r="DZ1646">
        <v>1</v>
      </c>
      <c r="EA1646" s="143">
        <v>1</v>
      </c>
      <c r="EB1646">
        <v>1</v>
      </c>
      <c r="EC1646">
        <v>1</v>
      </c>
      <c r="ED1646">
        <v>0</v>
      </c>
      <c r="EE1646">
        <v>0</v>
      </c>
      <c r="EF1646">
        <v>1</v>
      </c>
      <c r="EG1646">
        <v>0</v>
      </c>
      <c r="EH1646">
        <v>0</v>
      </c>
      <c r="EI1646" s="2">
        <v>0</v>
      </c>
      <c r="EK1646" t="str">
        <f t="shared" si="2158"/>
        <v>Whole sector</v>
      </c>
      <c r="EL1646" t="str">
        <f t="shared" si="2159"/>
        <v/>
      </c>
      <c r="EM1646" s="2" t="str">
        <f t="shared" si="2188"/>
        <v/>
      </c>
      <c r="EN1646" t="s">
        <v>2484</v>
      </c>
      <c r="EP1646" t="str">
        <f>IF(ISNUMBER(BU1646),IF(ABS(BU1646-[3]QC_indicators!$B$2)&gt;3*[3]QC_indicators!$C$2,"C ratio",IF(ISNUMBER(BY1646),IF(ABS(BY1646-[3]QC_indicators!$B$1)&gt;3*[3]QC_indicators!$C$1,"DF","no"))),IF(ISNUMBER(BY1646),IF(ABS(BY1646-[3]QC_indicators!$B$1)&gt;3*[3]QC_indicators!$C$1,"DF","no")))</f>
        <v>no</v>
      </c>
      <c r="ET1646" s="264" t="s">
        <v>3253</v>
      </c>
    </row>
    <row r="1647" spans="1:150" ht="15" hidden="1" customHeight="1">
      <c r="A1647" s="1" t="s">
        <v>1807</v>
      </c>
      <c r="B1647" t="s">
        <v>2474</v>
      </c>
      <c r="C1647" t="s">
        <v>2475</v>
      </c>
      <c r="D1647" t="s">
        <v>2476</v>
      </c>
      <c r="E1647" t="s">
        <v>2477</v>
      </c>
      <c r="F1647" t="s">
        <v>2478</v>
      </c>
      <c r="G1647" t="s">
        <v>1813</v>
      </c>
      <c r="H1647" t="s">
        <v>254</v>
      </c>
      <c r="I1647">
        <v>2010</v>
      </c>
      <c r="J1647">
        <v>100</v>
      </c>
      <c r="K1647" t="s">
        <v>2479</v>
      </c>
      <c r="M1647" t="str">
        <f t="shared" si="2120"/>
        <v>Werner_2010</v>
      </c>
      <c r="N1647" t="s">
        <v>222</v>
      </c>
      <c r="O1647" s="145" t="s">
        <v>1153</v>
      </c>
      <c r="Q1647" t="s">
        <v>256</v>
      </c>
      <c r="R1647" s="262" t="s">
        <v>223</v>
      </c>
      <c r="S1647" s="263" t="s">
        <v>3254</v>
      </c>
      <c r="T1647" t="s">
        <v>2481</v>
      </c>
      <c r="U1647" t="s">
        <v>2486</v>
      </c>
      <c r="V1647">
        <v>2</v>
      </c>
      <c r="W1647">
        <v>0</v>
      </c>
      <c r="X1647">
        <v>1</v>
      </c>
      <c r="Y1647">
        <v>2</v>
      </c>
      <c r="Z1647">
        <v>0</v>
      </c>
      <c r="AA1647">
        <v>0</v>
      </c>
      <c r="AB1647">
        <v>0</v>
      </c>
      <c r="AC1647">
        <v>0</v>
      </c>
      <c r="AD1647">
        <v>0</v>
      </c>
      <c r="AE1647">
        <v>0</v>
      </c>
      <c r="AF1647">
        <v>0</v>
      </c>
      <c r="AG1647">
        <v>0</v>
      </c>
      <c r="AH1647">
        <v>0</v>
      </c>
      <c r="AI1647">
        <v>0</v>
      </c>
      <c r="AJ1647">
        <v>0</v>
      </c>
      <c r="AK1647">
        <v>0</v>
      </c>
      <c r="AL1647">
        <v>0</v>
      </c>
      <c r="AM1647">
        <v>0</v>
      </c>
      <c r="AN1647">
        <v>0</v>
      </c>
      <c r="AO1647">
        <v>0</v>
      </c>
      <c r="AP1647">
        <v>0</v>
      </c>
      <c r="AQ1647">
        <v>0</v>
      </c>
      <c r="AR1647">
        <v>0</v>
      </c>
      <c r="AS1647">
        <v>0</v>
      </c>
      <c r="AT1647">
        <v>0</v>
      </c>
      <c r="AU1647">
        <v>0</v>
      </c>
      <c r="AV1647">
        <v>0</v>
      </c>
      <c r="AW1647">
        <v>0</v>
      </c>
      <c r="AX1647" s="141">
        <f t="shared" si="2162"/>
        <v>3</v>
      </c>
      <c r="AY1647" s="141">
        <f t="shared" si="2163"/>
        <v>3</v>
      </c>
      <c r="AZ1647">
        <f t="shared" si="2164"/>
        <v>3</v>
      </c>
      <c r="BA1647">
        <f t="shared" si="2165"/>
        <v>0</v>
      </c>
      <c r="BB1647">
        <f t="shared" si="2166"/>
        <v>0</v>
      </c>
      <c r="BC1647">
        <f t="shared" si="2167"/>
        <v>0</v>
      </c>
      <c r="BD1647">
        <f t="shared" si="2168"/>
        <v>0</v>
      </c>
      <c r="BE1647" t="str">
        <f t="array" ref="BE1647">IF(AY1647=1,INDEX($V$7:$AL$7,MATCH(TRUE,INDEX($V1647:$AW1647&lt;&gt;0,),0)),IF(AY1647=0,INDEX($AM$7:$AW$7,MATCH(1,$AM1647:$AW1647,0)),IF(BF1647="Multiple strategies","mixed drivers",IF(BF1647="Supply chain","multiple supply","multiple silviculture"))))</f>
        <v>multiple silviculture</v>
      </c>
      <c r="BF1647" s="2" t="str" cm="1">
        <f t="array" ref="BF1647">IF(COUNTIF(AZ1647:BB1647,"&lt;&gt;0")=1,INDEX($V$4:$AW$4,MATCH(TRUE,INDEX($V1647:$AW1647&lt;&gt;0,),0)),IF(COUNTIF(AZ1647:BB1647,"&lt;&gt;0")=0,INDEX($AM$4:$AW$4,MATCH(1,$AM1647:$AW1647,0)),"Multiple strategies"))</f>
        <v>Silviculture for removals</v>
      </c>
      <c r="BG1647" s="1" t="s">
        <v>321</v>
      </c>
      <c r="BH1647" t="s">
        <v>2452</v>
      </c>
      <c r="BI1647" s="264" t="s">
        <v>3251</v>
      </c>
      <c r="BJ1647" t="s">
        <v>1322</v>
      </c>
      <c r="BK1647">
        <v>210</v>
      </c>
      <c r="BL1647">
        <v>489</v>
      </c>
      <c r="BM1647" s="143">
        <f t="shared" si="2160"/>
        <v>2.3285714285714287</v>
      </c>
      <c r="BN1647">
        <f t="shared" si="2152"/>
        <v>279</v>
      </c>
      <c r="BO1647">
        <f t="shared" si="2189"/>
        <v>279000000</v>
      </c>
      <c r="BP1647" t="s">
        <v>232</v>
      </c>
      <c r="BQ1647" s="153" t="s">
        <v>3252</v>
      </c>
      <c r="BR1647" t="s">
        <v>2324</v>
      </c>
      <c r="BS1647">
        <v>385.51880535301569</v>
      </c>
      <c r="BT1647">
        <v>163.99431767864581</v>
      </c>
      <c r="BU1647" s="144">
        <f t="shared" si="2186"/>
        <v>0.42538603928407037</v>
      </c>
      <c r="BV1647" s="144">
        <f t="shared" si="2169"/>
        <v>-221.52448767436988</v>
      </c>
      <c r="BW1647" s="144"/>
      <c r="BX1647">
        <f t="shared" si="2154"/>
        <v>-221524487.67436987</v>
      </c>
      <c r="BY1647">
        <f t="shared" si="2185"/>
        <v>-0.79399457947802821</v>
      </c>
      <c r="BZ1647">
        <v>0</v>
      </c>
      <c r="CA1647">
        <v>0</v>
      </c>
      <c r="CB1647">
        <v>0</v>
      </c>
      <c r="CC1647">
        <v>0</v>
      </c>
      <c r="CD1647">
        <v>0</v>
      </c>
      <c r="CE1647">
        <v>0</v>
      </c>
      <c r="CF1647">
        <v>0</v>
      </c>
      <c r="CG1647">
        <v>0</v>
      </c>
      <c r="CH1647">
        <v>0</v>
      </c>
      <c r="CI1647">
        <v>0</v>
      </c>
      <c r="CJ1647">
        <v>0</v>
      </c>
      <c r="CK1647">
        <v>0</v>
      </c>
      <c r="CL1647">
        <v>0</v>
      </c>
      <c r="CM1647">
        <v>1</v>
      </c>
      <c r="CN1647" t="str">
        <f t="shared" si="2161"/>
        <v>refOK</v>
      </c>
      <c r="CO1647">
        <f>IF($CN1647="refNeedCorrection",BL1647,BK1647)</f>
        <v>210</v>
      </c>
      <c r="CP1647">
        <f>IF($CN1647="refNeedCorrection",BK1647,BL1647)</f>
        <v>489</v>
      </c>
      <c r="CQ1647">
        <f t="shared" si="2157"/>
        <v>279000000</v>
      </c>
      <c r="CR1647">
        <f t="shared" si="2170"/>
        <v>385.51880535301569</v>
      </c>
      <c r="CS1647">
        <f t="shared" si="2171"/>
        <v>163.99431767864581</v>
      </c>
      <c r="CT1647">
        <f t="shared" si="2172"/>
        <v>-221524487.67436987</v>
      </c>
      <c r="CU1647">
        <f t="shared" si="2173"/>
        <v>-0.79399457947802821</v>
      </c>
      <c r="CV1647" s="2">
        <f t="shared" si="2174"/>
        <v>-0.57461396071592963</v>
      </c>
      <c r="CW1647" s="1" t="s">
        <v>1202</v>
      </c>
      <c r="CX1647" t="str">
        <f t="shared" si="2175"/>
        <v>reg</v>
      </c>
      <c r="CY1647" t="s">
        <v>639</v>
      </c>
      <c r="CZ1647">
        <v>2000</v>
      </c>
      <c r="DA1647">
        <v>2060</v>
      </c>
      <c r="DB1647">
        <f t="shared" si="2187"/>
        <v>60</v>
      </c>
      <c r="DC1647" t="str">
        <f t="shared" si="2176"/>
        <v>31-70</v>
      </c>
      <c r="DD1647">
        <v>0</v>
      </c>
      <c r="DE1647">
        <v>0</v>
      </c>
      <c r="DF1647">
        <v>0</v>
      </c>
      <c r="DG1647">
        <v>1</v>
      </c>
      <c r="DH1647">
        <v>0</v>
      </c>
      <c r="DI1647">
        <f t="shared" si="2177"/>
        <v>1</v>
      </c>
      <c r="DJ1647" t="str">
        <f t="shared" si="2178"/>
        <v>TimberInput</v>
      </c>
      <c r="DK1647">
        <f t="shared" si="2179"/>
        <v>0</v>
      </c>
      <c r="DL1647">
        <f t="shared" si="2180"/>
        <v>0</v>
      </c>
      <c r="DM1647">
        <f t="shared" si="2181"/>
        <v>0</v>
      </c>
      <c r="DN1647" t="str">
        <f t="shared" si="2182"/>
        <v>Timber</v>
      </c>
      <c r="DO1647">
        <v>0</v>
      </c>
      <c r="DP1647">
        <v>0</v>
      </c>
      <c r="DT1647">
        <f t="shared" si="2183"/>
        <v>0</v>
      </c>
      <c r="DU1647" s="143" t="str">
        <f t="shared" si="2184"/>
        <v>explicit C balance</v>
      </c>
      <c r="DV1647">
        <v>1</v>
      </c>
      <c r="DW1647">
        <v>1</v>
      </c>
      <c r="DX1647">
        <v>1</v>
      </c>
      <c r="DY1647">
        <v>1</v>
      </c>
      <c r="DZ1647">
        <v>0</v>
      </c>
      <c r="EA1647" s="143">
        <v>0</v>
      </c>
      <c r="EB1647">
        <v>0</v>
      </c>
      <c r="EC1647">
        <v>0</v>
      </c>
      <c r="ED1647">
        <v>0</v>
      </c>
      <c r="EE1647">
        <v>0</v>
      </c>
      <c r="EF1647">
        <v>1</v>
      </c>
      <c r="EG1647">
        <v>0</v>
      </c>
      <c r="EH1647">
        <v>0</v>
      </c>
      <c r="EI1647" s="2">
        <v>0</v>
      </c>
      <c r="EK1647" t="str">
        <f t="shared" si="2158"/>
        <v/>
      </c>
      <c r="EL1647" t="str">
        <f t="shared" si="2159"/>
        <v>Ecosystem approach</v>
      </c>
      <c r="EM1647" s="2" t="str">
        <f t="shared" si="2188"/>
        <v/>
      </c>
      <c r="EN1647" t="s">
        <v>2484</v>
      </c>
      <c r="EP1647" t="str">
        <f>IF(ISNUMBER(BU1647),IF(ABS(BU1647-[3]QC_indicators!$B$2)&gt;3*[3]QC_indicators!$C$2,"C ratio",IF(ISNUMBER(BY1647),IF(ABS(BY1647-[3]QC_indicators!$B$1)&gt;3*[3]QC_indicators!$C$1,"DF","no"))),IF(ISNUMBER(BY1647),IF(ABS(BY1647-[3]QC_indicators!$B$1)&gt;3*[3]QC_indicators!$C$1,"DF","no")))</f>
        <v>no</v>
      </c>
      <c r="ET1647" s="264" t="s">
        <v>3253</v>
      </c>
    </row>
    <row r="1648" spans="1:150" ht="15" hidden="1" customHeight="1">
      <c r="A1648" s="1" t="s">
        <v>1807</v>
      </c>
      <c r="B1648" t="s">
        <v>2474</v>
      </c>
      <c r="C1648" t="s">
        <v>2475</v>
      </c>
      <c r="D1648" t="s">
        <v>2476</v>
      </c>
      <c r="E1648" t="s">
        <v>2477</v>
      </c>
      <c r="F1648" t="s">
        <v>2478</v>
      </c>
      <c r="G1648" t="s">
        <v>1813</v>
      </c>
      <c r="H1648" t="s">
        <v>254</v>
      </c>
      <c r="I1648">
        <v>2010</v>
      </c>
      <c r="J1648">
        <v>100</v>
      </c>
      <c r="K1648" t="s">
        <v>2479</v>
      </c>
      <c r="M1648" t="str">
        <f t="shared" si="2120"/>
        <v>Werner_2010</v>
      </c>
      <c r="N1648" t="s">
        <v>222</v>
      </c>
      <c r="O1648" s="145" t="s">
        <v>1153</v>
      </c>
      <c r="Q1648" t="s">
        <v>256</v>
      </c>
      <c r="R1648" s="262" t="s">
        <v>223</v>
      </c>
      <c r="S1648" s="1" t="s">
        <v>2480</v>
      </c>
      <c r="T1648" t="s">
        <v>2481</v>
      </c>
      <c r="U1648" t="s">
        <v>2485</v>
      </c>
      <c r="V1648">
        <v>1</v>
      </c>
      <c r="W1648">
        <v>0</v>
      </c>
      <c r="X1648">
        <v>2</v>
      </c>
      <c r="Y1648">
        <v>0</v>
      </c>
      <c r="Z1648">
        <v>0</v>
      </c>
      <c r="AA1648">
        <v>0</v>
      </c>
      <c r="AB1648">
        <v>0</v>
      </c>
      <c r="AC1648">
        <v>0</v>
      </c>
      <c r="AD1648">
        <v>0</v>
      </c>
      <c r="AE1648">
        <v>0</v>
      </c>
      <c r="AF1648">
        <v>0</v>
      </c>
      <c r="AG1648">
        <v>0</v>
      </c>
      <c r="AH1648">
        <v>0</v>
      </c>
      <c r="AI1648">
        <v>0</v>
      </c>
      <c r="AJ1648">
        <v>0</v>
      </c>
      <c r="AK1648">
        <v>0</v>
      </c>
      <c r="AL1648">
        <v>0</v>
      </c>
      <c r="AM1648">
        <v>0</v>
      </c>
      <c r="AN1648">
        <v>0</v>
      </c>
      <c r="AO1648">
        <v>0</v>
      </c>
      <c r="AP1648">
        <v>0</v>
      </c>
      <c r="AQ1648">
        <v>0</v>
      </c>
      <c r="AR1648">
        <v>0</v>
      </c>
      <c r="AS1648">
        <v>0</v>
      </c>
      <c r="AT1648">
        <v>0</v>
      </c>
      <c r="AU1648">
        <v>0</v>
      </c>
      <c r="AV1648">
        <v>0</v>
      </c>
      <c r="AW1648">
        <v>0</v>
      </c>
      <c r="AX1648" s="141">
        <f t="shared" si="2162"/>
        <v>2</v>
      </c>
      <c r="AY1648" s="141">
        <f t="shared" si="2163"/>
        <v>2</v>
      </c>
      <c r="AZ1648">
        <f t="shared" si="2164"/>
        <v>2</v>
      </c>
      <c r="BA1648">
        <f t="shared" si="2165"/>
        <v>0</v>
      </c>
      <c r="BB1648">
        <f t="shared" si="2166"/>
        <v>0</v>
      </c>
      <c r="BC1648">
        <f t="shared" si="2167"/>
        <v>0</v>
      </c>
      <c r="BD1648">
        <f t="shared" si="2168"/>
        <v>0</v>
      </c>
      <c r="BE1648" t="str">
        <f t="array" ref="BE1648">IF(AY1648=1,INDEX($V$7:$AL$7,MATCH(TRUE,INDEX($V1648:$AW1648&lt;&gt;0,),0)),IF(AY1648=0,INDEX($AM$7:$AW$7,MATCH(1,$AM1648:$AW1648,0)),IF(BF1648="Multiple strategies","mixed drivers",IF(BF1648="Supply chain","multiple supply","multiple silviculture"))))</f>
        <v>multiple silviculture</v>
      </c>
      <c r="BF1648" s="2" t="str" cm="1">
        <f t="array" ref="BF1648">IF(COUNTIF(AZ1648:BB1648,"&lt;&gt;0")=1,INDEX($V$4:$AW$4,MATCH(TRUE,INDEX($V1648:$AW1648&lt;&gt;0,),0)),IF(COUNTIF(AZ1648:BB1648,"&lt;&gt;0")=0,INDEX($AM$4:$AW$4,MATCH(1,$AM1648:$AW1648,0)),"Multiple strategies"))</f>
        <v>Silviculture for removals</v>
      </c>
      <c r="BG1648" s="1" t="s">
        <v>321</v>
      </c>
      <c r="BH1648" t="s">
        <v>2452</v>
      </c>
      <c r="BI1648" s="264" t="s">
        <v>3251</v>
      </c>
      <c r="BJ1648" t="s">
        <v>1322</v>
      </c>
      <c r="BK1648">
        <v>210</v>
      </c>
      <c r="BL1648">
        <v>457.5</v>
      </c>
      <c r="BM1648" s="143">
        <f t="shared" si="2160"/>
        <v>2.1785714285714284</v>
      </c>
      <c r="BN1648">
        <f t="shared" si="2152"/>
        <v>247.5</v>
      </c>
      <c r="BO1648">
        <f t="shared" si="2189"/>
        <v>247500000</v>
      </c>
      <c r="BP1648" t="s">
        <v>232</v>
      </c>
      <c r="BQ1648" s="153" t="s">
        <v>3252</v>
      </c>
      <c r="BR1648" t="s">
        <v>2324</v>
      </c>
      <c r="BS1648">
        <v>385.51880535301569</v>
      </c>
      <c r="BT1648">
        <v>205.40939665276349</v>
      </c>
      <c r="BU1648" s="144">
        <f t="shared" si="2186"/>
        <v>0.53281291029285116</v>
      </c>
      <c r="BV1648" s="144">
        <f t="shared" si="2169"/>
        <v>-180.1094087002522</v>
      </c>
      <c r="BW1648" s="144"/>
      <c r="BX1648">
        <f t="shared" si="2154"/>
        <v>-180109408.70025221</v>
      </c>
      <c r="BY1648">
        <f t="shared" si="2185"/>
        <v>-0.72771478262728162</v>
      </c>
      <c r="BZ1648">
        <v>0</v>
      </c>
      <c r="CA1648">
        <v>0</v>
      </c>
      <c r="CB1648">
        <v>0</v>
      </c>
      <c r="CC1648">
        <v>0</v>
      </c>
      <c r="CD1648">
        <v>0</v>
      </c>
      <c r="CE1648">
        <v>0</v>
      </c>
      <c r="CF1648">
        <v>0</v>
      </c>
      <c r="CG1648">
        <v>0</v>
      </c>
      <c r="CH1648">
        <v>0</v>
      </c>
      <c r="CI1648">
        <v>0</v>
      </c>
      <c r="CJ1648">
        <v>0</v>
      </c>
      <c r="CK1648">
        <v>0</v>
      </c>
      <c r="CL1648">
        <v>0</v>
      </c>
      <c r="CM1648">
        <v>1</v>
      </c>
      <c r="CN1648" t="str">
        <f t="shared" si="2161"/>
        <v>refOK</v>
      </c>
      <c r="CO1648">
        <f>IF($CN1648="refNeedCorrection",BL1648,BK1648)</f>
        <v>210</v>
      </c>
      <c r="CP1648">
        <f>IF($CN1648="refNeedCorrection",BK1648,BL1648)</f>
        <v>457.5</v>
      </c>
      <c r="CQ1648">
        <f t="shared" si="2157"/>
        <v>247500000</v>
      </c>
      <c r="CR1648">
        <f t="shared" si="2170"/>
        <v>385.51880535301569</v>
      </c>
      <c r="CS1648">
        <f t="shared" si="2171"/>
        <v>205.40939665276349</v>
      </c>
      <c r="CT1648">
        <f t="shared" si="2172"/>
        <v>-180109408.70025221</v>
      </c>
      <c r="CU1648">
        <f t="shared" si="2173"/>
        <v>-0.72771478262728162</v>
      </c>
      <c r="CV1648" s="2">
        <f t="shared" si="2174"/>
        <v>-0.46718708970714884</v>
      </c>
      <c r="CW1648" s="1" t="s">
        <v>1202</v>
      </c>
      <c r="CX1648" t="str">
        <f t="shared" si="2175"/>
        <v>reg</v>
      </c>
      <c r="CY1648" t="s">
        <v>639</v>
      </c>
      <c r="CZ1648">
        <v>2000</v>
      </c>
      <c r="DA1648">
        <v>2060</v>
      </c>
      <c r="DB1648">
        <f t="shared" si="2187"/>
        <v>60</v>
      </c>
      <c r="DC1648" t="str">
        <f t="shared" si="2176"/>
        <v>31-70</v>
      </c>
      <c r="DD1648">
        <v>1</v>
      </c>
      <c r="DE1648">
        <v>0</v>
      </c>
      <c r="DF1648">
        <v>0</v>
      </c>
      <c r="DG1648">
        <v>0</v>
      </c>
      <c r="DH1648">
        <v>0</v>
      </c>
      <c r="DI1648">
        <f t="shared" si="2177"/>
        <v>1</v>
      </c>
      <c r="DJ1648" t="str">
        <f t="shared" si="2178"/>
        <v>UpstreamInput</v>
      </c>
      <c r="DK1648" t="str">
        <f t="shared" si="2179"/>
        <v>Upstream</v>
      </c>
      <c r="DL1648">
        <f t="shared" si="2180"/>
        <v>0</v>
      </c>
      <c r="DM1648">
        <f t="shared" si="2181"/>
        <v>0</v>
      </c>
      <c r="DN1648">
        <f t="shared" si="2182"/>
        <v>0</v>
      </c>
      <c r="DO1648">
        <v>0</v>
      </c>
      <c r="DP1648">
        <v>0</v>
      </c>
      <c r="DT1648">
        <f t="shared" si="2183"/>
        <v>0</v>
      </c>
      <c r="DU1648" s="143" t="str">
        <f t="shared" si="2184"/>
        <v>explicit C balance</v>
      </c>
      <c r="DV1648">
        <v>1</v>
      </c>
      <c r="DW1648">
        <v>1</v>
      </c>
      <c r="DX1648">
        <v>1</v>
      </c>
      <c r="DY1648">
        <v>1</v>
      </c>
      <c r="DZ1648">
        <v>0</v>
      </c>
      <c r="EA1648" s="143">
        <v>0</v>
      </c>
      <c r="EB1648">
        <v>0</v>
      </c>
      <c r="EC1648">
        <v>0</v>
      </c>
      <c r="ED1648">
        <v>0</v>
      </c>
      <c r="EE1648">
        <v>0</v>
      </c>
      <c r="EF1648">
        <v>1</v>
      </c>
      <c r="EG1648">
        <v>0</v>
      </c>
      <c r="EH1648">
        <v>0</v>
      </c>
      <c r="EI1648" s="2">
        <v>0</v>
      </c>
      <c r="EK1648" t="str">
        <f t="shared" si="2158"/>
        <v/>
      </c>
      <c r="EL1648" t="str">
        <f t="shared" si="2159"/>
        <v>Ecosystem approach</v>
      </c>
      <c r="EM1648" s="2" t="str">
        <f t="shared" si="2188"/>
        <v/>
      </c>
      <c r="EN1648" t="s">
        <v>2484</v>
      </c>
      <c r="EP1648" t="str">
        <f>IF(ISNUMBER(BU1648),IF(ABS(BU1648-[3]QC_indicators!$B$2)&gt;3*[3]QC_indicators!$C$2,"C ratio",IF(ISNUMBER(BY1648),IF(ABS(BY1648-[3]QC_indicators!$B$1)&gt;3*[3]QC_indicators!$C$1,"DF","no"))),IF(ISNUMBER(BY1648),IF(ABS(BY1648-[3]QC_indicators!$B$1)&gt;3*[3]QC_indicators!$C$1,"DF","no")))</f>
        <v>no</v>
      </c>
      <c r="ET1648" s="264" t="s">
        <v>3253</v>
      </c>
    </row>
    <row r="1649" spans="1:150" ht="15" hidden="1" customHeight="1">
      <c r="A1649" s="1" t="s">
        <v>1807</v>
      </c>
      <c r="B1649" t="s">
        <v>2474</v>
      </c>
      <c r="C1649" t="s">
        <v>2475</v>
      </c>
      <c r="D1649" t="s">
        <v>2476</v>
      </c>
      <c r="E1649" t="s">
        <v>2477</v>
      </c>
      <c r="F1649" t="s">
        <v>2478</v>
      </c>
      <c r="G1649" t="s">
        <v>1813</v>
      </c>
      <c r="H1649" t="s">
        <v>254</v>
      </c>
      <c r="I1649">
        <v>2010</v>
      </c>
      <c r="J1649">
        <v>100</v>
      </c>
      <c r="K1649" t="s">
        <v>2479</v>
      </c>
      <c r="M1649" t="str">
        <f t="shared" si="2120"/>
        <v>Werner_2010</v>
      </c>
      <c r="N1649" t="s">
        <v>222</v>
      </c>
      <c r="O1649" s="145" t="s">
        <v>1153</v>
      </c>
      <c r="Q1649" t="s">
        <v>256</v>
      </c>
      <c r="R1649" s="262" t="s">
        <v>223</v>
      </c>
      <c r="S1649" s="263" t="s">
        <v>3254</v>
      </c>
      <c r="T1649" t="s">
        <v>2481</v>
      </c>
      <c r="U1649" t="s">
        <v>2487</v>
      </c>
      <c r="V1649">
        <v>2</v>
      </c>
      <c r="W1649">
        <v>0</v>
      </c>
      <c r="X1649">
        <v>1</v>
      </c>
      <c r="Y1649">
        <v>2</v>
      </c>
      <c r="Z1649">
        <v>0</v>
      </c>
      <c r="AA1649">
        <v>0</v>
      </c>
      <c r="AB1649">
        <v>0</v>
      </c>
      <c r="AC1649">
        <v>0</v>
      </c>
      <c r="AD1649">
        <v>0</v>
      </c>
      <c r="AE1649">
        <v>0</v>
      </c>
      <c r="AF1649">
        <v>0</v>
      </c>
      <c r="AG1649">
        <v>0</v>
      </c>
      <c r="AH1649">
        <v>0</v>
      </c>
      <c r="AI1649">
        <v>0</v>
      </c>
      <c r="AJ1649">
        <v>0</v>
      </c>
      <c r="AK1649">
        <v>0</v>
      </c>
      <c r="AL1649">
        <v>0</v>
      </c>
      <c r="AM1649">
        <v>0</v>
      </c>
      <c r="AN1649">
        <v>0</v>
      </c>
      <c r="AO1649">
        <v>0</v>
      </c>
      <c r="AP1649">
        <v>0</v>
      </c>
      <c r="AQ1649">
        <v>0</v>
      </c>
      <c r="AR1649">
        <v>0</v>
      </c>
      <c r="AS1649">
        <v>0</v>
      </c>
      <c r="AT1649">
        <v>0</v>
      </c>
      <c r="AU1649">
        <v>0</v>
      </c>
      <c r="AV1649">
        <v>0</v>
      </c>
      <c r="AW1649">
        <v>0</v>
      </c>
      <c r="AX1649" s="141">
        <f t="shared" si="2162"/>
        <v>3</v>
      </c>
      <c r="AY1649" s="141">
        <f t="shared" si="2163"/>
        <v>3</v>
      </c>
      <c r="AZ1649">
        <f t="shared" si="2164"/>
        <v>3</v>
      </c>
      <c r="BA1649">
        <f t="shared" si="2165"/>
        <v>0</v>
      </c>
      <c r="BB1649">
        <f t="shared" si="2166"/>
        <v>0</v>
      </c>
      <c r="BC1649">
        <f t="shared" si="2167"/>
        <v>0</v>
      </c>
      <c r="BD1649">
        <f t="shared" si="2168"/>
        <v>0</v>
      </c>
      <c r="BE1649" t="str">
        <f t="array" ref="BE1649">IF(AY1649=1,INDEX($V$7:$AL$7,MATCH(TRUE,INDEX($V1649:$AW1649&lt;&gt;0,),0)),IF(AY1649=0,INDEX($AM$7:$AW$7,MATCH(1,$AM1649:$AW1649,0)),IF(BF1649="Multiple strategies","mixed drivers",IF(BF1649="Supply chain","multiple supply","multiple silviculture"))))</f>
        <v>multiple silviculture</v>
      </c>
      <c r="BF1649" s="2" t="str" cm="1">
        <f t="array" ref="BF1649">IF(COUNTIF(AZ1649:BB1649,"&lt;&gt;0")=1,INDEX($V$4:$AW$4,MATCH(TRUE,INDEX($V1649:$AW1649&lt;&gt;0,),0)),IF(COUNTIF(AZ1649:BB1649,"&lt;&gt;0")=0,INDEX($AM$4:$AW$4,MATCH(1,$AM1649:$AW1649,0)),"Multiple strategies"))</f>
        <v>Silviculture for removals</v>
      </c>
      <c r="BG1649" s="1" t="s">
        <v>321</v>
      </c>
      <c r="BH1649" t="s">
        <v>2452</v>
      </c>
      <c r="BI1649" s="264" t="s">
        <v>3251</v>
      </c>
      <c r="BJ1649" t="s">
        <v>1322</v>
      </c>
      <c r="BK1649">
        <v>300</v>
      </c>
      <c r="BL1649">
        <v>765</v>
      </c>
      <c r="BM1649" s="143">
        <f t="shared" si="2160"/>
        <v>2.5499999999999998</v>
      </c>
      <c r="BN1649">
        <f t="shared" si="2152"/>
        <v>465</v>
      </c>
      <c r="BO1649">
        <f t="shared" si="2189"/>
        <v>465000000</v>
      </c>
      <c r="BP1649" t="s">
        <v>232</v>
      </c>
      <c r="BQ1649" s="153" t="s">
        <v>3252</v>
      </c>
      <c r="BR1649" t="s">
        <v>2324</v>
      </c>
      <c r="BS1649">
        <v>350.30815678968798</v>
      </c>
      <c r="BT1649">
        <v>39.211061963691201</v>
      </c>
      <c r="BU1649" s="144">
        <f t="shared" si="2186"/>
        <v>0.11193305437998141</v>
      </c>
      <c r="BV1649" s="144">
        <f t="shared" si="2169"/>
        <v>-311.09709482599681</v>
      </c>
      <c r="BW1649" s="144"/>
      <c r="BX1649">
        <f t="shared" si="2154"/>
        <v>-311097094.82599682</v>
      </c>
      <c r="BY1649">
        <f t="shared" si="2185"/>
        <v>-0.66902601037848775</v>
      </c>
      <c r="BZ1649">
        <v>0</v>
      </c>
      <c r="CA1649">
        <v>0</v>
      </c>
      <c r="CB1649">
        <v>0</v>
      </c>
      <c r="CC1649">
        <v>0</v>
      </c>
      <c r="CD1649">
        <v>0</v>
      </c>
      <c r="CE1649">
        <v>0</v>
      </c>
      <c r="CF1649">
        <v>0</v>
      </c>
      <c r="CG1649">
        <v>0</v>
      </c>
      <c r="CH1649">
        <v>0</v>
      </c>
      <c r="CI1649">
        <v>0</v>
      </c>
      <c r="CJ1649">
        <v>0</v>
      </c>
      <c r="CK1649">
        <v>0</v>
      </c>
      <c r="CL1649">
        <v>0</v>
      </c>
      <c r="CM1649">
        <v>1</v>
      </c>
      <c r="CN1649" t="str">
        <f t="shared" si="2161"/>
        <v>refOK</v>
      </c>
      <c r="CO1649">
        <f>IF($CN1649="refNeedCorrection",BL1649,BK1649)</f>
        <v>300</v>
      </c>
      <c r="CP1649">
        <f>IF($CN1649="refNeedCorrection",BK1649,BL1649)</f>
        <v>765</v>
      </c>
      <c r="CQ1649">
        <f t="shared" si="2157"/>
        <v>465000000</v>
      </c>
      <c r="CR1649">
        <f t="shared" si="2170"/>
        <v>350.30815678968798</v>
      </c>
      <c r="CS1649">
        <f t="shared" si="2171"/>
        <v>39.211061963691201</v>
      </c>
      <c r="CT1649">
        <f t="shared" si="2172"/>
        <v>-311097094.82599682</v>
      </c>
      <c r="CU1649">
        <f t="shared" si="2173"/>
        <v>-0.66902601037848775</v>
      </c>
      <c r="CV1649" s="2">
        <f t="shared" si="2174"/>
        <v>-0.88806694562001864</v>
      </c>
      <c r="CW1649" s="1" t="s">
        <v>1202</v>
      </c>
      <c r="CX1649" t="str">
        <f t="shared" si="2175"/>
        <v>reg</v>
      </c>
      <c r="CY1649" t="s">
        <v>639</v>
      </c>
      <c r="CZ1649">
        <v>2000</v>
      </c>
      <c r="DA1649">
        <v>2090</v>
      </c>
      <c r="DB1649">
        <f t="shared" si="2187"/>
        <v>90</v>
      </c>
      <c r="DC1649" t="str">
        <f t="shared" si="2176"/>
        <v>71-100</v>
      </c>
      <c r="DD1649">
        <v>0</v>
      </c>
      <c r="DE1649">
        <v>1</v>
      </c>
      <c r="DF1649">
        <v>0</v>
      </c>
      <c r="DG1649">
        <v>0</v>
      </c>
      <c r="DH1649">
        <v>0</v>
      </c>
      <c r="DI1649">
        <f t="shared" si="2177"/>
        <v>1</v>
      </c>
      <c r="DJ1649" t="str">
        <f t="shared" si="2178"/>
        <v>EnergyInput</v>
      </c>
      <c r="DK1649">
        <f t="shared" si="2179"/>
        <v>0</v>
      </c>
      <c r="DL1649" t="str">
        <f t="shared" si="2180"/>
        <v>Energy</v>
      </c>
      <c r="DM1649">
        <f t="shared" si="2181"/>
        <v>0</v>
      </c>
      <c r="DN1649">
        <f t="shared" si="2182"/>
        <v>0</v>
      </c>
      <c r="DO1649">
        <v>0</v>
      </c>
      <c r="DP1649">
        <v>0</v>
      </c>
      <c r="DT1649">
        <f t="shared" si="2183"/>
        <v>0</v>
      </c>
      <c r="DU1649" s="143" t="str">
        <f t="shared" si="2184"/>
        <v>explicit C balance</v>
      </c>
      <c r="DV1649">
        <v>1</v>
      </c>
      <c r="DW1649">
        <v>1</v>
      </c>
      <c r="DX1649">
        <v>1</v>
      </c>
      <c r="DY1649">
        <v>0</v>
      </c>
      <c r="DZ1649">
        <v>0</v>
      </c>
      <c r="EA1649" s="143">
        <v>0</v>
      </c>
      <c r="EB1649">
        <v>0</v>
      </c>
      <c r="EC1649">
        <v>0</v>
      </c>
      <c r="ED1649">
        <v>0</v>
      </c>
      <c r="EE1649">
        <v>0</v>
      </c>
      <c r="EF1649">
        <v>1</v>
      </c>
      <c r="EG1649">
        <v>0</v>
      </c>
      <c r="EH1649">
        <v>0</v>
      </c>
      <c r="EI1649" s="2">
        <v>0</v>
      </c>
      <c r="EK1649" t="str">
        <f t="shared" si="2158"/>
        <v/>
      </c>
      <c r="EL1649" t="str">
        <f t="shared" si="2159"/>
        <v>Ecosystem approach</v>
      </c>
      <c r="EM1649" s="2" t="str">
        <f t="shared" si="2188"/>
        <v/>
      </c>
      <c r="EN1649" t="s">
        <v>2484</v>
      </c>
      <c r="EP1649" t="str">
        <f>IF(ISNUMBER(BU1649),IF(ABS(BU1649-[3]QC_indicators!$B$2)&gt;3*[3]QC_indicators!$C$2,"C ratio",IF(ISNUMBER(BY1649),IF(ABS(BY1649-[3]QC_indicators!$B$1)&gt;3*[3]QC_indicators!$C$1,"DF","no"))),IF(ISNUMBER(BY1649),IF(ABS(BY1649-[3]QC_indicators!$B$1)&gt;3*[3]QC_indicators!$C$1,"DF","no")))</f>
        <v>no</v>
      </c>
      <c r="ET1649" s="264" t="s">
        <v>3253</v>
      </c>
    </row>
    <row r="1650" spans="1:150" ht="15" hidden="1" customHeight="1">
      <c r="A1650" s="1" t="s">
        <v>1807</v>
      </c>
      <c r="B1650" t="s">
        <v>2474</v>
      </c>
      <c r="C1650" t="s">
        <v>2475</v>
      </c>
      <c r="D1650" t="s">
        <v>2476</v>
      </c>
      <c r="E1650" t="s">
        <v>2477</v>
      </c>
      <c r="F1650" t="s">
        <v>2478</v>
      </c>
      <c r="G1650" t="s">
        <v>1813</v>
      </c>
      <c r="H1650" t="s">
        <v>254</v>
      </c>
      <c r="I1650">
        <v>2010</v>
      </c>
      <c r="J1650">
        <v>100</v>
      </c>
      <c r="K1650" t="s">
        <v>2479</v>
      </c>
      <c r="M1650" t="str">
        <f t="shared" si="2120"/>
        <v>Werner_2010</v>
      </c>
      <c r="N1650" t="s">
        <v>222</v>
      </c>
      <c r="O1650" s="145" t="s">
        <v>1153</v>
      </c>
      <c r="Q1650" t="s">
        <v>256</v>
      </c>
      <c r="R1650" s="262" t="s">
        <v>223</v>
      </c>
      <c r="S1650" s="1" t="s">
        <v>2480</v>
      </c>
      <c r="T1650" t="s">
        <v>2481</v>
      </c>
      <c r="U1650" t="s">
        <v>2485</v>
      </c>
      <c r="V1650">
        <v>1</v>
      </c>
      <c r="W1650">
        <v>0</v>
      </c>
      <c r="X1650">
        <v>2</v>
      </c>
      <c r="Y1650">
        <v>0</v>
      </c>
      <c r="Z1650">
        <v>0</v>
      </c>
      <c r="AA1650">
        <v>0</v>
      </c>
      <c r="AB1650">
        <v>0</v>
      </c>
      <c r="AC1650">
        <v>0</v>
      </c>
      <c r="AD1650">
        <v>0</v>
      </c>
      <c r="AE1650">
        <v>0</v>
      </c>
      <c r="AF1650">
        <v>0</v>
      </c>
      <c r="AG1650">
        <v>0</v>
      </c>
      <c r="AH1650">
        <v>0</v>
      </c>
      <c r="AI1650">
        <v>0</v>
      </c>
      <c r="AJ1650">
        <v>0</v>
      </c>
      <c r="AK1650">
        <v>0</v>
      </c>
      <c r="AL1650">
        <v>0</v>
      </c>
      <c r="AM1650">
        <v>0</v>
      </c>
      <c r="AN1650">
        <v>0</v>
      </c>
      <c r="AO1650">
        <v>0</v>
      </c>
      <c r="AP1650">
        <v>0</v>
      </c>
      <c r="AQ1650">
        <v>0</v>
      </c>
      <c r="AR1650">
        <v>0</v>
      </c>
      <c r="AS1650">
        <v>0</v>
      </c>
      <c r="AT1650">
        <v>0</v>
      </c>
      <c r="AU1650">
        <v>0</v>
      </c>
      <c r="AV1650">
        <v>0</v>
      </c>
      <c r="AW1650">
        <v>0</v>
      </c>
      <c r="AX1650" s="141">
        <f t="shared" si="2162"/>
        <v>2</v>
      </c>
      <c r="AY1650" s="141">
        <f t="shared" si="2163"/>
        <v>2</v>
      </c>
      <c r="AZ1650">
        <f t="shared" si="2164"/>
        <v>2</v>
      </c>
      <c r="BA1650">
        <f t="shared" si="2165"/>
        <v>0</v>
      </c>
      <c r="BB1650">
        <f t="shared" si="2166"/>
        <v>0</v>
      </c>
      <c r="BC1650">
        <f t="shared" si="2167"/>
        <v>0</v>
      </c>
      <c r="BD1650">
        <f t="shared" si="2168"/>
        <v>0</v>
      </c>
      <c r="BE1650" t="str">
        <f t="array" ref="BE1650">IF(AY1650=1,INDEX($V$7:$AL$7,MATCH(TRUE,INDEX($V1650:$AW1650&lt;&gt;0,),0)),IF(AY1650=0,INDEX($AM$7:$AW$7,MATCH(1,$AM1650:$AW1650,0)),IF(BF1650="Multiple strategies","mixed drivers",IF(BF1650="Supply chain","multiple supply","multiple silviculture"))))</f>
        <v>multiple silviculture</v>
      </c>
      <c r="BF1650" s="2" t="str" cm="1">
        <f t="array" ref="BF1650">IF(COUNTIF(AZ1650:BB1650,"&lt;&gt;0")=1,INDEX($V$4:$AW$4,MATCH(TRUE,INDEX($V1650:$AW1650&lt;&gt;0,),0)),IF(COUNTIF(AZ1650:BB1650,"&lt;&gt;0")=0,INDEX($AM$4:$AW$4,MATCH(1,$AM1650:$AW1650,0)),"Multiple strategies"))</f>
        <v>Silviculture for removals</v>
      </c>
      <c r="BG1650" s="1" t="s">
        <v>321</v>
      </c>
      <c r="BH1650" t="s">
        <v>2452</v>
      </c>
      <c r="BI1650" s="264" t="s">
        <v>3251</v>
      </c>
      <c r="BJ1650" t="s">
        <v>1322</v>
      </c>
      <c r="BK1650">
        <v>120</v>
      </c>
      <c r="BL1650">
        <v>202.5</v>
      </c>
      <c r="BM1650" s="143">
        <f t="shared" si="2160"/>
        <v>1.6875</v>
      </c>
      <c r="BN1650">
        <f t="shared" si="2152"/>
        <v>82.5</v>
      </c>
      <c r="BO1650">
        <f t="shared" si="2189"/>
        <v>82500000</v>
      </c>
      <c r="BP1650" t="s">
        <v>232</v>
      </c>
      <c r="BQ1650" s="153" t="s">
        <v>3252</v>
      </c>
      <c r="BR1650" t="s">
        <v>2324</v>
      </c>
      <c r="BS1650">
        <v>370.31517322497803</v>
      </c>
      <c r="BT1650">
        <v>319.65087681779301</v>
      </c>
      <c r="BU1650" s="144">
        <f t="shared" si="2186"/>
        <v>0.86318600999801631</v>
      </c>
      <c r="BV1650" s="144">
        <f t="shared" si="2169"/>
        <v>-50.66429640718502</v>
      </c>
      <c r="BW1650" s="144"/>
      <c r="BX1650">
        <f t="shared" si="2154"/>
        <v>-50664296.407185018</v>
      </c>
      <c r="BY1650">
        <f t="shared" si="2185"/>
        <v>-0.61411268372345473</v>
      </c>
      <c r="BZ1650">
        <v>0</v>
      </c>
      <c r="CA1650">
        <v>0</v>
      </c>
      <c r="CB1650">
        <v>0</v>
      </c>
      <c r="CC1650">
        <v>0</v>
      </c>
      <c r="CD1650">
        <v>0</v>
      </c>
      <c r="CE1650">
        <v>0</v>
      </c>
      <c r="CF1650">
        <v>0</v>
      </c>
      <c r="CG1650">
        <v>0</v>
      </c>
      <c r="CH1650">
        <v>0</v>
      </c>
      <c r="CI1650">
        <v>0</v>
      </c>
      <c r="CJ1650">
        <v>0</v>
      </c>
      <c r="CK1650">
        <v>0</v>
      </c>
      <c r="CL1650">
        <v>0</v>
      </c>
      <c r="CM1650">
        <v>1</v>
      </c>
      <c r="CN1650" t="str">
        <f t="shared" si="2161"/>
        <v>refOK</v>
      </c>
      <c r="CO1650">
        <f>IF($CN1650="refOK",$BK1650,$BL1650)</f>
        <v>120</v>
      </c>
      <c r="CP1650">
        <f>IF($CN1650="refOK",$BL1650,$BK1650)</f>
        <v>202.5</v>
      </c>
      <c r="CQ1650">
        <f t="shared" si="2157"/>
        <v>82500000</v>
      </c>
      <c r="CR1650">
        <f t="shared" si="2170"/>
        <v>370.31517322497803</v>
      </c>
      <c r="CS1650">
        <f t="shared" si="2171"/>
        <v>319.65087681779301</v>
      </c>
      <c r="CT1650">
        <f t="shared" si="2172"/>
        <v>-50664296.407185018</v>
      </c>
      <c r="CU1650">
        <f t="shared" si="2173"/>
        <v>-0.61411268372345473</v>
      </c>
      <c r="CV1650" s="2">
        <f t="shared" si="2174"/>
        <v>-0.13681399000198374</v>
      </c>
      <c r="CW1650" s="1" t="s">
        <v>1202</v>
      </c>
      <c r="CX1650" t="str">
        <f t="shared" si="2175"/>
        <v>reg</v>
      </c>
      <c r="CY1650" t="s">
        <v>639</v>
      </c>
      <c r="CZ1650">
        <v>2000</v>
      </c>
      <c r="DA1650">
        <v>2030</v>
      </c>
      <c r="DB1650">
        <f t="shared" si="2187"/>
        <v>30</v>
      </c>
      <c r="DC1650" t="str">
        <f t="shared" si="2176"/>
        <v>1-30</v>
      </c>
      <c r="DD1650">
        <v>1</v>
      </c>
      <c r="DE1650">
        <v>1</v>
      </c>
      <c r="DF1650">
        <v>1</v>
      </c>
      <c r="DG1650">
        <v>1</v>
      </c>
      <c r="DH1650">
        <v>0</v>
      </c>
      <c r="DI1650">
        <f t="shared" si="2177"/>
        <v>4</v>
      </c>
      <c r="DJ1650" t="str">
        <f t="shared" si="2178"/>
        <v>mixedProduct</v>
      </c>
      <c r="DK1650" t="str">
        <f t="shared" si="2179"/>
        <v>Upstream</v>
      </c>
      <c r="DL1650" t="str">
        <f t="shared" si="2180"/>
        <v>Energy</v>
      </c>
      <c r="DM1650" t="str">
        <f t="shared" si="2181"/>
        <v>Pulp/Paper</v>
      </c>
      <c r="DN1650" t="str">
        <f t="shared" si="2182"/>
        <v>Timber</v>
      </c>
      <c r="DO1650">
        <v>0</v>
      </c>
      <c r="DP1650">
        <v>1</v>
      </c>
      <c r="DQ1650" t="s">
        <v>2482</v>
      </c>
      <c r="DR1650" t="s">
        <v>2483</v>
      </c>
      <c r="DT1650">
        <f t="shared" si="2183"/>
        <v>1</v>
      </c>
      <c r="DU1650" s="143" t="str">
        <f t="shared" si="2184"/>
        <v>external DF used</v>
      </c>
      <c r="DV1650">
        <v>1</v>
      </c>
      <c r="DW1650">
        <v>1</v>
      </c>
      <c r="DX1650">
        <v>1</v>
      </c>
      <c r="DY1650">
        <v>1</v>
      </c>
      <c r="DZ1650">
        <v>1</v>
      </c>
      <c r="EA1650" s="143">
        <v>1</v>
      </c>
      <c r="EB1650">
        <v>1</v>
      </c>
      <c r="EC1650">
        <v>1</v>
      </c>
      <c r="ED1650">
        <v>0</v>
      </c>
      <c r="EE1650">
        <v>0</v>
      </c>
      <c r="EF1650">
        <v>1</v>
      </c>
      <c r="EG1650">
        <v>0</v>
      </c>
      <c r="EH1650">
        <v>0</v>
      </c>
      <c r="EI1650" s="2">
        <v>0</v>
      </c>
      <c r="EK1650" t="str">
        <f t="shared" si="2158"/>
        <v>Whole sector</v>
      </c>
      <c r="EL1650" t="str">
        <f t="shared" si="2159"/>
        <v/>
      </c>
      <c r="EM1650" s="2" t="str">
        <f t="shared" si="2188"/>
        <v/>
      </c>
      <c r="EN1650" t="s">
        <v>2484</v>
      </c>
      <c r="EP1650" t="str">
        <f>IF(ISNUMBER(BU1650),IF(ABS(BU1650-[3]QC_indicators!$B$2)&gt;3*[3]QC_indicators!$C$2,"C ratio",IF(ISNUMBER(BY1650),IF(ABS(BY1650-[3]QC_indicators!$B$1)&gt;3*[3]QC_indicators!$C$1,"DF","no"))),IF(ISNUMBER(BY1650),IF(ABS(BY1650-[3]QC_indicators!$B$1)&gt;3*[3]QC_indicators!$C$1,"DF","no")))</f>
        <v>no</v>
      </c>
      <c r="ET1650" s="264" t="s">
        <v>3253</v>
      </c>
    </row>
    <row r="1651" spans="1:150" ht="15" hidden="1" customHeight="1">
      <c r="A1651" s="1" t="s">
        <v>1807</v>
      </c>
      <c r="B1651" t="s">
        <v>2474</v>
      </c>
      <c r="C1651" t="s">
        <v>2475</v>
      </c>
      <c r="D1651" t="s">
        <v>2476</v>
      </c>
      <c r="E1651" t="s">
        <v>2477</v>
      </c>
      <c r="F1651" t="s">
        <v>2478</v>
      </c>
      <c r="G1651" t="s">
        <v>1813</v>
      </c>
      <c r="H1651" t="s">
        <v>254</v>
      </c>
      <c r="I1651">
        <v>2010</v>
      </c>
      <c r="J1651">
        <v>100</v>
      </c>
      <c r="K1651" t="s">
        <v>2479</v>
      </c>
      <c r="M1651" t="str">
        <f t="shared" si="2120"/>
        <v>Werner_2010</v>
      </c>
      <c r="N1651" t="s">
        <v>222</v>
      </c>
      <c r="O1651" s="145" t="s">
        <v>1153</v>
      </c>
      <c r="Q1651" t="s">
        <v>256</v>
      </c>
      <c r="R1651" s="262" t="s">
        <v>223</v>
      </c>
      <c r="S1651" s="1" t="s">
        <v>2480</v>
      </c>
      <c r="T1651" t="s">
        <v>2481</v>
      </c>
      <c r="U1651" t="s">
        <v>2485</v>
      </c>
      <c r="V1651">
        <v>1</v>
      </c>
      <c r="W1651">
        <v>0</v>
      </c>
      <c r="X1651">
        <v>2</v>
      </c>
      <c r="Y1651">
        <v>0</v>
      </c>
      <c r="Z1651">
        <v>0</v>
      </c>
      <c r="AA1651">
        <v>0</v>
      </c>
      <c r="AB1651">
        <v>0</v>
      </c>
      <c r="AC1651">
        <v>0</v>
      </c>
      <c r="AD1651">
        <v>0</v>
      </c>
      <c r="AE1651">
        <v>0</v>
      </c>
      <c r="AF1651">
        <v>0</v>
      </c>
      <c r="AG1651">
        <v>0</v>
      </c>
      <c r="AH1651">
        <v>0</v>
      </c>
      <c r="AI1651">
        <v>0</v>
      </c>
      <c r="AJ1651">
        <v>0</v>
      </c>
      <c r="AK1651">
        <v>0</v>
      </c>
      <c r="AL1651">
        <v>0</v>
      </c>
      <c r="AM1651">
        <v>0</v>
      </c>
      <c r="AN1651">
        <v>0</v>
      </c>
      <c r="AO1651">
        <v>0</v>
      </c>
      <c r="AP1651">
        <v>0</v>
      </c>
      <c r="AQ1651">
        <v>0</v>
      </c>
      <c r="AR1651">
        <v>0</v>
      </c>
      <c r="AS1651">
        <v>0</v>
      </c>
      <c r="AT1651">
        <v>0</v>
      </c>
      <c r="AU1651">
        <v>0</v>
      </c>
      <c r="AV1651">
        <v>0</v>
      </c>
      <c r="AW1651">
        <v>0</v>
      </c>
      <c r="AX1651" s="141">
        <f t="shared" si="2162"/>
        <v>2</v>
      </c>
      <c r="AY1651" s="141">
        <f t="shared" si="2163"/>
        <v>2</v>
      </c>
      <c r="AZ1651">
        <f t="shared" si="2164"/>
        <v>2</v>
      </c>
      <c r="BA1651">
        <f t="shared" si="2165"/>
        <v>0</v>
      </c>
      <c r="BB1651">
        <f t="shared" si="2166"/>
        <v>0</v>
      </c>
      <c r="BC1651">
        <f t="shared" si="2167"/>
        <v>0</v>
      </c>
      <c r="BD1651">
        <f t="shared" si="2168"/>
        <v>0</v>
      </c>
      <c r="BE1651" t="str">
        <f t="array" ref="BE1651">IF(AY1651=1,INDEX($V$7:$AL$7,MATCH(TRUE,INDEX($V1651:$AW1651&lt;&gt;0,),0)),IF(AY1651=0,INDEX($AM$7:$AW$7,MATCH(1,$AM1651:$AW1651,0)),IF(BF1651="Multiple strategies","mixed drivers",IF(BF1651="Supply chain","multiple supply","multiple silviculture"))))</f>
        <v>multiple silviculture</v>
      </c>
      <c r="BF1651" s="2" t="str" cm="1">
        <f t="array" ref="BF1651">IF(COUNTIF(AZ1651:BB1651,"&lt;&gt;0")=1,INDEX($V$4:$AW$4,MATCH(TRUE,INDEX($V1651:$AW1651&lt;&gt;0,),0)),IF(COUNTIF(AZ1651:BB1651,"&lt;&gt;0")=0,INDEX($AM$4:$AW$4,MATCH(1,$AM1651:$AW1651,0)),"Multiple strategies"))</f>
        <v>Silviculture for removals</v>
      </c>
      <c r="BG1651" s="1" t="s">
        <v>321</v>
      </c>
      <c r="BH1651" t="s">
        <v>2452</v>
      </c>
      <c r="BI1651" s="264" t="s">
        <v>3251</v>
      </c>
      <c r="BJ1651" t="s">
        <v>1322</v>
      </c>
      <c r="BK1651">
        <v>300</v>
      </c>
      <c r="BL1651">
        <v>712.5</v>
      </c>
      <c r="BM1651" s="143">
        <f t="shared" si="2160"/>
        <v>2.375</v>
      </c>
      <c r="BN1651">
        <f t="shared" si="2152"/>
        <v>412.5</v>
      </c>
      <c r="BO1651">
        <f t="shared" si="2189"/>
        <v>412500000</v>
      </c>
      <c r="BP1651" t="s">
        <v>232</v>
      </c>
      <c r="BQ1651" s="153" t="s">
        <v>3252</v>
      </c>
      <c r="BR1651" t="s">
        <v>2324</v>
      </c>
      <c r="BS1651">
        <v>350.30815678968798</v>
      </c>
      <c r="BT1651">
        <v>103.43853301218</v>
      </c>
      <c r="BU1651" s="144">
        <f t="shared" si="2186"/>
        <v>0.29527868822729314</v>
      </c>
      <c r="BV1651" s="144">
        <f t="shared" si="2169"/>
        <v>-246.86962377750797</v>
      </c>
      <c r="BW1651" s="144"/>
      <c r="BX1651">
        <f t="shared" si="2154"/>
        <v>-246869623.77750796</v>
      </c>
      <c r="BY1651">
        <f t="shared" si="2185"/>
        <v>-0.59847181521820114</v>
      </c>
      <c r="BZ1651">
        <v>0</v>
      </c>
      <c r="CA1651">
        <v>0</v>
      </c>
      <c r="CB1651">
        <v>0</v>
      </c>
      <c r="CC1651">
        <v>0</v>
      </c>
      <c r="CD1651">
        <v>0</v>
      </c>
      <c r="CE1651">
        <v>0</v>
      </c>
      <c r="CF1651">
        <v>0</v>
      </c>
      <c r="CG1651">
        <v>0</v>
      </c>
      <c r="CH1651">
        <v>0</v>
      </c>
      <c r="CI1651">
        <v>0</v>
      </c>
      <c r="CJ1651">
        <v>0</v>
      </c>
      <c r="CK1651">
        <v>0</v>
      </c>
      <c r="CL1651">
        <v>0</v>
      </c>
      <c r="CM1651">
        <v>1</v>
      </c>
      <c r="CN1651" t="str">
        <f t="shared" si="2161"/>
        <v>refOK</v>
      </c>
      <c r="CO1651">
        <f>IF($CN1651="refNeedCorrection",BL1651,BK1651)</f>
        <v>300</v>
      </c>
      <c r="CP1651">
        <f>IF($CN1651="refNeedCorrection",BK1651,BL1651)</f>
        <v>712.5</v>
      </c>
      <c r="CQ1651">
        <f t="shared" si="2157"/>
        <v>412500000</v>
      </c>
      <c r="CR1651">
        <f t="shared" si="2170"/>
        <v>350.30815678968798</v>
      </c>
      <c r="CS1651">
        <f t="shared" si="2171"/>
        <v>103.43853301218</v>
      </c>
      <c r="CT1651">
        <f t="shared" si="2172"/>
        <v>-246869623.77750796</v>
      </c>
      <c r="CU1651">
        <f t="shared" si="2173"/>
        <v>-0.59847181521820114</v>
      </c>
      <c r="CV1651" s="2">
        <f t="shared" si="2174"/>
        <v>-0.7047213117727068</v>
      </c>
      <c r="CW1651" s="1" t="s">
        <v>1202</v>
      </c>
      <c r="CX1651" t="str">
        <f t="shared" si="2175"/>
        <v>reg</v>
      </c>
      <c r="CY1651" t="s">
        <v>639</v>
      </c>
      <c r="CZ1651">
        <v>2000</v>
      </c>
      <c r="DA1651">
        <v>2090</v>
      </c>
      <c r="DB1651">
        <f t="shared" si="2187"/>
        <v>90</v>
      </c>
      <c r="DC1651" t="str">
        <f t="shared" si="2176"/>
        <v>71-100</v>
      </c>
      <c r="DD1651">
        <v>1</v>
      </c>
      <c r="DE1651">
        <v>0</v>
      </c>
      <c r="DF1651">
        <v>0</v>
      </c>
      <c r="DG1651">
        <v>0</v>
      </c>
      <c r="DH1651">
        <v>0</v>
      </c>
      <c r="DI1651">
        <f t="shared" si="2177"/>
        <v>1</v>
      </c>
      <c r="DJ1651" t="str">
        <f t="shared" si="2178"/>
        <v>UpstreamInput</v>
      </c>
      <c r="DK1651" t="str">
        <f t="shared" si="2179"/>
        <v>Upstream</v>
      </c>
      <c r="DL1651">
        <f t="shared" si="2180"/>
        <v>0</v>
      </c>
      <c r="DM1651">
        <f t="shared" si="2181"/>
        <v>0</v>
      </c>
      <c r="DN1651">
        <f t="shared" si="2182"/>
        <v>0</v>
      </c>
      <c r="DO1651">
        <v>0</v>
      </c>
      <c r="DP1651">
        <v>0</v>
      </c>
      <c r="DT1651">
        <f t="shared" si="2183"/>
        <v>0</v>
      </c>
      <c r="DU1651" s="143" t="str">
        <f t="shared" si="2184"/>
        <v>explicit C balance</v>
      </c>
      <c r="DV1651">
        <v>1</v>
      </c>
      <c r="DW1651">
        <v>1</v>
      </c>
      <c r="DX1651">
        <v>1</v>
      </c>
      <c r="DY1651">
        <v>0</v>
      </c>
      <c r="DZ1651">
        <v>0</v>
      </c>
      <c r="EA1651" s="143">
        <v>0</v>
      </c>
      <c r="EB1651">
        <v>0</v>
      </c>
      <c r="EC1651">
        <v>0</v>
      </c>
      <c r="ED1651">
        <v>0</v>
      </c>
      <c r="EE1651">
        <v>0</v>
      </c>
      <c r="EF1651">
        <v>1</v>
      </c>
      <c r="EG1651">
        <v>0</v>
      </c>
      <c r="EH1651">
        <v>0</v>
      </c>
      <c r="EI1651" s="2">
        <v>0</v>
      </c>
      <c r="EK1651" t="str">
        <f t="shared" si="2158"/>
        <v/>
      </c>
      <c r="EL1651" t="str">
        <f t="shared" si="2159"/>
        <v>Ecosystem approach</v>
      </c>
      <c r="EM1651" s="2" t="str">
        <f t="shared" si="2188"/>
        <v/>
      </c>
      <c r="EN1651" t="s">
        <v>2484</v>
      </c>
      <c r="EP1651" t="str">
        <f>IF(ISNUMBER(BU1651),IF(ABS(BU1651-[3]QC_indicators!$B$2)&gt;3*[3]QC_indicators!$C$2,"C ratio",IF(ISNUMBER(BY1651),IF(ABS(BY1651-[3]QC_indicators!$B$1)&gt;3*[3]QC_indicators!$C$1,"DF","no"))),IF(ISNUMBER(BY1651),IF(ABS(BY1651-[3]QC_indicators!$B$1)&gt;3*[3]QC_indicators!$C$1,"DF","no")))</f>
        <v>no</v>
      </c>
      <c r="ET1651" s="264" t="s">
        <v>3253</v>
      </c>
    </row>
    <row r="1652" spans="1:150" ht="15" hidden="1" customHeight="1">
      <c r="A1652" s="1" t="s">
        <v>1807</v>
      </c>
      <c r="B1652" t="s">
        <v>2474</v>
      </c>
      <c r="C1652" t="s">
        <v>2475</v>
      </c>
      <c r="D1652" t="s">
        <v>2476</v>
      </c>
      <c r="E1652" t="s">
        <v>2477</v>
      </c>
      <c r="F1652" t="s">
        <v>2478</v>
      </c>
      <c r="G1652" t="s">
        <v>1813</v>
      </c>
      <c r="H1652" t="s">
        <v>254</v>
      </c>
      <c r="I1652">
        <v>2010</v>
      </c>
      <c r="J1652">
        <v>100</v>
      </c>
      <c r="K1652" t="s">
        <v>2479</v>
      </c>
      <c r="M1652" t="str">
        <f t="shared" si="2120"/>
        <v>Werner_2010</v>
      </c>
      <c r="N1652" t="s">
        <v>222</v>
      </c>
      <c r="O1652" s="145" t="s">
        <v>1153</v>
      </c>
      <c r="Q1652" t="s">
        <v>256</v>
      </c>
      <c r="R1652" s="262" t="s">
        <v>223</v>
      </c>
      <c r="S1652" s="263" t="s">
        <v>3254</v>
      </c>
      <c r="T1652" t="s">
        <v>2481</v>
      </c>
      <c r="U1652" t="s">
        <v>2487</v>
      </c>
      <c r="V1652">
        <v>2</v>
      </c>
      <c r="W1652">
        <v>0</v>
      </c>
      <c r="X1652">
        <v>1</v>
      </c>
      <c r="Y1652">
        <v>2</v>
      </c>
      <c r="Z1652">
        <v>0</v>
      </c>
      <c r="AA1652">
        <v>0</v>
      </c>
      <c r="AB1652">
        <v>0</v>
      </c>
      <c r="AC1652">
        <v>0</v>
      </c>
      <c r="AD1652">
        <v>0</v>
      </c>
      <c r="AE1652">
        <v>0</v>
      </c>
      <c r="AF1652">
        <v>0</v>
      </c>
      <c r="AG1652">
        <v>0</v>
      </c>
      <c r="AH1652">
        <v>0</v>
      </c>
      <c r="AI1652">
        <v>0</v>
      </c>
      <c r="AJ1652">
        <v>0</v>
      </c>
      <c r="AK1652">
        <v>0</v>
      </c>
      <c r="AL1652">
        <v>0</v>
      </c>
      <c r="AM1652">
        <v>0</v>
      </c>
      <c r="AN1652">
        <v>0</v>
      </c>
      <c r="AO1652">
        <v>0</v>
      </c>
      <c r="AP1652">
        <v>0</v>
      </c>
      <c r="AQ1652">
        <v>0</v>
      </c>
      <c r="AR1652">
        <v>0</v>
      </c>
      <c r="AS1652">
        <v>0</v>
      </c>
      <c r="AT1652">
        <v>0</v>
      </c>
      <c r="AU1652">
        <v>0</v>
      </c>
      <c r="AV1652">
        <v>0</v>
      </c>
      <c r="AW1652">
        <v>0</v>
      </c>
      <c r="AX1652" s="141">
        <f t="shared" si="2162"/>
        <v>3</v>
      </c>
      <c r="AY1652" s="141">
        <f t="shared" si="2163"/>
        <v>3</v>
      </c>
      <c r="AZ1652">
        <f t="shared" si="2164"/>
        <v>3</v>
      </c>
      <c r="BA1652">
        <f t="shared" si="2165"/>
        <v>0</v>
      </c>
      <c r="BB1652">
        <f t="shared" si="2166"/>
        <v>0</v>
      </c>
      <c r="BC1652">
        <f t="shared" si="2167"/>
        <v>0</v>
      </c>
      <c r="BD1652">
        <f t="shared" si="2168"/>
        <v>0</v>
      </c>
      <c r="BE1652" t="str">
        <f t="array" ref="BE1652">IF(AY1652=1,INDEX($V$7:$AL$7,MATCH(TRUE,INDEX($V1652:$AW1652&lt;&gt;0,),0)),IF(AY1652=0,INDEX($AM$7:$AW$7,MATCH(1,$AM1652:$AW1652,0)),IF(BF1652="Multiple strategies","mixed drivers",IF(BF1652="Supply chain","multiple supply","multiple silviculture"))))</f>
        <v>multiple silviculture</v>
      </c>
      <c r="BF1652" s="2" t="str" cm="1">
        <f t="array" ref="BF1652">IF(COUNTIF(AZ1652:BB1652,"&lt;&gt;0")=1,INDEX($V$4:$AW$4,MATCH(TRUE,INDEX($V1652:$AW1652&lt;&gt;0,),0)),IF(COUNTIF(AZ1652:BB1652,"&lt;&gt;0")=0,INDEX($AM$4:$AW$4,MATCH(1,$AM1652:$AW1652,0)),"Multiple strategies"))</f>
        <v>Silviculture for removals</v>
      </c>
      <c r="BG1652" s="1" t="s">
        <v>321</v>
      </c>
      <c r="BH1652" t="s">
        <v>2452</v>
      </c>
      <c r="BI1652" s="264" t="s">
        <v>3251</v>
      </c>
      <c r="BJ1652" t="s">
        <v>1322</v>
      </c>
      <c r="BK1652">
        <v>300</v>
      </c>
      <c r="BL1652">
        <v>765</v>
      </c>
      <c r="BM1652" s="143">
        <f t="shared" si="2160"/>
        <v>2.5499999999999998</v>
      </c>
      <c r="BN1652">
        <f t="shared" si="2152"/>
        <v>465</v>
      </c>
      <c r="BO1652">
        <f t="shared" si="2189"/>
        <v>465000000</v>
      </c>
      <c r="BP1652" t="s">
        <v>232</v>
      </c>
      <c r="BQ1652" s="153" t="s">
        <v>3252</v>
      </c>
      <c r="BR1652" t="s">
        <v>2324</v>
      </c>
      <c r="BS1652">
        <v>345.6503741652154</v>
      </c>
      <c r="BT1652">
        <v>69.739247716902497</v>
      </c>
      <c r="BU1652" s="144">
        <f t="shared" si="2186"/>
        <v>0.20176239613606853</v>
      </c>
      <c r="BV1652" s="144">
        <f t="shared" si="2169"/>
        <v>-275.91112644831287</v>
      </c>
      <c r="BW1652" s="144"/>
      <c r="BX1652">
        <f t="shared" si="2154"/>
        <v>-275911126.44831288</v>
      </c>
      <c r="BY1652">
        <f t="shared" si="2185"/>
        <v>-0.59335726117916743</v>
      </c>
      <c r="BZ1652">
        <v>0</v>
      </c>
      <c r="CA1652">
        <v>0</v>
      </c>
      <c r="CB1652">
        <v>0</v>
      </c>
      <c r="CC1652">
        <v>0</v>
      </c>
      <c r="CD1652">
        <v>0</v>
      </c>
      <c r="CE1652">
        <v>0</v>
      </c>
      <c r="CF1652">
        <v>0</v>
      </c>
      <c r="CG1652">
        <v>0</v>
      </c>
      <c r="CH1652">
        <v>0</v>
      </c>
      <c r="CI1652">
        <v>0</v>
      </c>
      <c r="CJ1652">
        <v>0</v>
      </c>
      <c r="CK1652">
        <v>0</v>
      </c>
      <c r="CL1652">
        <v>0</v>
      </c>
      <c r="CM1652">
        <v>1</v>
      </c>
      <c r="CN1652" t="str">
        <f t="shared" si="2161"/>
        <v>refOK</v>
      </c>
      <c r="CO1652">
        <f>IF($CN1652="refNeedCorrection",BL1652,BK1652)</f>
        <v>300</v>
      </c>
      <c r="CP1652">
        <f>IF($CN1652="refNeedCorrection",BK1652,BL1652)</f>
        <v>765</v>
      </c>
      <c r="CQ1652">
        <f t="shared" si="2157"/>
        <v>465000000</v>
      </c>
      <c r="CR1652">
        <f t="shared" si="2170"/>
        <v>345.6503741652154</v>
      </c>
      <c r="CS1652">
        <f t="shared" si="2171"/>
        <v>69.739247716902497</v>
      </c>
      <c r="CT1652">
        <f t="shared" si="2172"/>
        <v>-275911126.44831288</v>
      </c>
      <c r="CU1652">
        <f t="shared" si="2173"/>
        <v>-0.59335726117916743</v>
      </c>
      <c r="CV1652" s="2">
        <f t="shared" si="2174"/>
        <v>-0.79823760386393139</v>
      </c>
      <c r="CW1652" s="1" t="s">
        <v>1202</v>
      </c>
      <c r="CX1652" t="str">
        <f t="shared" si="2175"/>
        <v>reg</v>
      </c>
      <c r="CY1652" t="s">
        <v>639</v>
      </c>
      <c r="CZ1652">
        <v>2000</v>
      </c>
      <c r="DA1652">
        <v>2090</v>
      </c>
      <c r="DB1652">
        <f t="shared" si="2187"/>
        <v>90</v>
      </c>
      <c r="DC1652" t="str">
        <f t="shared" si="2176"/>
        <v>71-100</v>
      </c>
      <c r="DD1652">
        <v>0</v>
      </c>
      <c r="DE1652">
        <v>1</v>
      </c>
      <c r="DF1652">
        <v>0</v>
      </c>
      <c r="DG1652">
        <v>0</v>
      </c>
      <c r="DH1652">
        <v>0</v>
      </c>
      <c r="DI1652">
        <f t="shared" si="2177"/>
        <v>1</v>
      </c>
      <c r="DJ1652" t="str">
        <f t="shared" si="2178"/>
        <v>EnergyInput</v>
      </c>
      <c r="DK1652">
        <f t="shared" si="2179"/>
        <v>0</v>
      </c>
      <c r="DL1652" t="str">
        <f t="shared" si="2180"/>
        <v>Energy</v>
      </c>
      <c r="DM1652">
        <f t="shared" si="2181"/>
        <v>0</v>
      </c>
      <c r="DN1652">
        <f t="shared" si="2182"/>
        <v>0</v>
      </c>
      <c r="DO1652">
        <v>0</v>
      </c>
      <c r="DP1652">
        <v>0</v>
      </c>
      <c r="DT1652">
        <f t="shared" si="2183"/>
        <v>0</v>
      </c>
      <c r="DU1652" s="143" t="str">
        <f t="shared" si="2184"/>
        <v>explicit C balance</v>
      </c>
      <c r="DV1652">
        <v>1</v>
      </c>
      <c r="DW1652">
        <v>1</v>
      </c>
      <c r="DX1652">
        <v>1</v>
      </c>
      <c r="DY1652">
        <v>1</v>
      </c>
      <c r="DZ1652">
        <v>0</v>
      </c>
      <c r="EA1652" s="143">
        <v>0</v>
      </c>
      <c r="EB1652">
        <v>0</v>
      </c>
      <c r="EC1652">
        <v>0</v>
      </c>
      <c r="ED1652">
        <v>0</v>
      </c>
      <c r="EE1652">
        <v>0</v>
      </c>
      <c r="EF1652">
        <v>1</v>
      </c>
      <c r="EG1652">
        <v>0</v>
      </c>
      <c r="EH1652">
        <v>0</v>
      </c>
      <c r="EI1652" s="2">
        <v>0</v>
      </c>
      <c r="EK1652" t="str">
        <f t="shared" si="2158"/>
        <v/>
      </c>
      <c r="EL1652" t="str">
        <f t="shared" si="2159"/>
        <v>Ecosystem approach</v>
      </c>
      <c r="EM1652" s="2" t="str">
        <f t="shared" si="2188"/>
        <v/>
      </c>
      <c r="EN1652" t="s">
        <v>2484</v>
      </c>
      <c r="EP1652" t="str">
        <f>IF(ISNUMBER(BU1652),IF(ABS(BU1652-[3]QC_indicators!$B$2)&gt;3*[3]QC_indicators!$C$2,"C ratio",IF(ISNUMBER(BY1652),IF(ABS(BY1652-[3]QC_indicators!$B$1)&gt;3*[3]QC_indicators!$C$1,"DF","no"))),IF(ISNUMBER(BY1652),IF(ABS(BY1652-[3]QC_indicators!$B$1)&gt;3*[3]QC_indicators!$C$1,"DF","no")))</f>
        <v>no</v>
      </c>
      <c r="ET1652" s="264" t="s">
        <v>3253</v>
      </c>
    </row>
    <row r="1653" spans="1:150" ht="15" hidden="1" customHeight="1">
      <c r="A1653" s="1" t="s">
        <v>1807</v>
      </c>
      <c r="B1653" t="s">
        <v>2474</v>
      </c>
      <c r="C1653" t="s">
        <v>2475</v>
      </c>
      <c r="D1653" t="s">
        <v>2476</v>
      </c>
      <c r="E1653" t="s">
        <v>2477</v>
      </c>
      <c r="F1653" t="s">
        <v>2478</v>
      </c>
      <c r="G1653" t="s">
        <v>1813</v>
      </c>
      <c r="H1653" t="s">
        <v>254</v>
      </c>
      <c r="I1653">
        <v>2010</v>
      </c>
      <c r="J1653">
        <v>100</v>
      </c>
      <c r="K1653" t="s">
        <v>2479</v>
      </c>
      <c r="M1653" t="str">
        <f t="shared" si="2120"/>
        <v>Werner_2010</v>
      </c>
      <c r="N1653" t="s">
        <v>222</v>
      </c>
      <c r="O1653" s="145" t="s">
        <v>1153</v>
      </c>
      <c r="Q1653" t="s">
        <v>256</v>
      </c>
      <c r="R1653" s="262" t="s">
        <v>223</v>
      </c>
      <c r="S1653" s="263" t="s">
        <v>3254</v>
      </c>
      <c r="T1653" t="s">
        <v>2481</v>
      </c>
      <c r="U1653" t="s">
        <v>2486</v>
      </c>
      <c r="V1653">
        <v>2</v>
      </c>
      <c r="W1653">
        <v>0</v>
      </c>
      <c r="X1653">
        <v>1</v>
      </c>
      <c r="Y1653">
        <v>2</v>
      </c>
      <c r="Z1653">
        <v>0</v>
      </c>
      <c r="AA1653">
        <v>0</v>
      </c>
      <c r="AB1653">
        <v>0</v>
      </c>
      <c r="AC1653">
        <v>0</v>
      </c>
      <c r="AD1653">
        <v>0</v>
      </c>
      <c r="AE1653">
        <v>0</v>
      </c>
      <c r="AF1653">
        <v>0</v>
      </c>
      <c r="AG1653">
        <v>0</v>
      </c>
      <c r="AH1653">
        <v>0</v>
      </c>
      <c r="AI1653">
        <v>0</v>
      </c>
      <c r="AJ1653">
        <v>0</v>
      </c>
      <c r="AK1653">
        <v>0</v>
      </c>
      <c r="AL1653">
        <v>0</v>
      </c>
      <c r="AM1653">
        <v>0</v>
      </c>
      <c r="AN1653">
        <v>0</v>
      </c>
      <c r="AO1653">
        <v>0</v>
      </c>
      <c r="AP1653">
        <v>0</v>
      </c>
      <c r="AQ1653">
        <v>0</v>
      </c>
      <c r="AR1653">
        <v>0</v>
      </c>
      <c r="AS1653">
        <v>0</v>
      </c>
      <c r="AT1653">
        <v>0</v>
      </c>
      <c r="AU1653">
        <v>0</v>
      </c>
      <c r="AV1653">
        <v>0</v>
      </c>
      <c r="AW1653">
        <v>0</v>
      </c>
      <c r="AX1653" s="141">
        <f t="shared" si="2162"/>
        <v>3</v>
      </c>
      <c r="AY1653" s="141">
        <f t="shared" si="2163"/>
        <v>3</v>
      </c>
      <c r="AZ1653">
        <f t="shared" si="2164"/>
        <v>3</v>
      </c>
      <c r="BA1653">
        <f t="shared" si="2165"/>
        <v>0</v>
      </c>
      <c r="BB1653">
        <f t="shared" si="2166"/>
        <v>0</v>
      </c>
      <c r="BC1653">
        <f t="shared" si="2167"/>
        <v>0</v>
      </c>
      <c r="BD1653">
        <f t="shared" si="2168"/>
        <v>0</v>
      </c>
      <c r="BE1653" t="str">
        <f t="array" ref="BE1653">IF(AY1653=1,INDEX($V$7:$AL$7,MATCH(TRUE,INDEX($V1653:$AW1653&lt;&gt;0,),0)),IF(AY1653=0,INDEX($AM$7:$AW$7,MATCH(1,$AM1653:$AW1653,0)),IF(BF1653="Multiple strategies","mixed drivers",IF(BF1653="Supply chain","multiple supply","multiple silviculture"))))</f>
        <v>multiple silviculture</v>
      </c>
      <c r="BF1653" s="2" t="str" cm="1">
        <f t="array" ref="BF1653">IF(COUNTIF(AZ1653:BB1653,"&lt;&gt;0")=1,INDEX($V$4:$AW$4,MATCH(TRUE,INDEX($V1653:$AW1653&lt;&gt;0,),0)),IF(COUNTIF(AZ1653:BB1653,"&lt;&gt;0")=0,INDEX($AM$4:$AW$4,MATCH(1,$AM1653:$AW1653,0)),"Multiple strategies"))</f>
        <v>Silviculture for removals</v>
      </c>
      <c r="BG1653" s="1" t="s">
        <v>321</v>
      </c>
      <c r="BH1653" t="s">
        <v>2452</v>
      </c>
      <c r="BI1653" s="264" t="s">
        <v>3251</v>
      </c>
      <c r="BJ1653" t="s">
        <v>1322</v>
      </c>
      <c r="BK1653">
        <v>120</v>
      </c>
      <c r="BL1653">
        <v>213</v>
      </c>
      <c r="BM1653" s="143">
        <f t="shared" si="2160"/>
        <v>1.7749999999999999</v>
      </c>
      <c r="BN1653">
        <f t="shared" si="2152"/>
        <v>93</v>
      </c>
      <c r="BO1653">
        <f t="shared" si="2189"/>
        <v>93000000</v>
      </c>
      <c r="BP1653" t="s">
        <v>232</v>
      </c>
      <c r="BQ1653" s="153" t="s">
        <v>3252</v>
      </c>
      <c r="BR1653" t="s">
        <v>2324</v>
      </c>
      <c r="BS1653">
        <v>370.31517322497803</v>
      </c>
      <c r="BT1653">
        <v>329.01578554855797</v>
      </c>
      <c r="BU1653" s="144">
        <f t="shared" si="2186"/>
        <v>0.8884750324520746</v>
      </c>
      <c r="BV1653" s="144">
        <f t="shared" si="2169"/>
        <v>-41.299387676420054</v>
      </c>
      <c r="BW1653" s="144"/>
      <c r="BX1653">
        <f t="shared" si="2154"/>
        <v>-41299387.676420055</v>
      </c>
      <c r="BY1653">
        <f t="shared" si="2185"/>
        <v>-0.44407943738086081</v>
      </c>
      <c r="BZ1653">
        <v>0</v>
      </c>
      <c r="CA1653">
        <v>0</v>
      </c>
      <c r="CB1653">
        <v>0</v>
      </c>
      <c r="CC1653">
        <v>0</v>
      </c>
      <c r="CD1653">
        <v>0</v>
      </c>
      <c r="CE1653">
        <v>0</v>
      </c>
      <c r="CF1653">
        <v>0</v>
      </c>
      <c r="CG1653">
        <v>0</v>
      </c>
      <c r="CH1653">
        <v>0</v>
      </c>
      <c r="CI1653">
        <v>0</v>
      </c>
      <c r="CJ1653">
        <v>0</v>
      </c>
      <c r="CK1653">
        <v>0</v>
      </c>
      <c r="CL1653">
        <v>0</v>
      </c>
      <c r="CM1653">
        <v>1</v>
      </c>
      <c r="CN1653" t="str">
        <f t="shared" si="2161"/>
        <v>refOK</v>
      </c>
      <c r="CO1653">
        <f>IF($CN1653="refOK",$BK1653,$BL1653)</f>
        <v>120</v>
      </c>
      <c r="CP1653">
        <f>IF($CN1653="refOK",$BL1653,$BK1653)</f>
        <v>213</v>
      </c>
      <c r="CQ1653">
        <f t="shared" si="2157"/>
        <v>93000000</v>
      </c>
      <c r="CR1653">
        <f t="shared" si="2170"/>
        <v>370.31517322497803</v>
      </c>
      <c r="CS1653">
        <f t="shared" si="2171"/>
        <v>329.01578554855797</v>
      </c>
      <c r="CT1653">
        <f t="shared" si="2172"/>
        <v>-41299387.676420055</v>
      </c>
      <c r="CU1653">
        <f t="shared" si="2173"/>
        <v>-0.44407943738086081</v>
      </c>
      <c r="CV1653" s="2">
        <f t="shared" si="2174"/>
        <v>-0.11152496754792542</v>
      </c>
      <c r="CW1653" s="1" t="s">
        <v>1202</v>
      </c>
      <c r="CX1653" t="str">
        <f t="shared" si="2175"/>
        <v>reg</v>
      </c>
      <c r="CY1653" t="s">
        <v>639</v>
      </c>
      <c r="CZ1653">
        <v>2000</v>
      </c>
      <c r="DA1653">
        <v>2030</v>
      </c>
      <c r="DB1653">
        <f t="shared" si="2187"/>
        <v>30</v>
      </c>
      <c r="DC1653" t="str">
        <f t="shared" si="2176"/>
        <v>1-30</v>
      </c>
      <c r="DD1653">
        <v>0</v>
      </c>
      <c r="DE1653">
        <v>0</v>
      </c>
      <c r="DF1653">
        <v>0</v>
      </c>
      <c r="DG1653">
        <v>1</v>
      </c>
      <c r="DH1653">
        <v>0</v>
      </c>
      <c r="DI1653">
        <f t="shared" si="2177"/>
        <v>1</v>
      </c>
      <c r="DJ1653" t="str">
        <f t="shared" si="2178"/>
        <v>TimberInput</v>
      </c>
      <c r="DK1653">
        <f t="shared" si="2179"/>
        <v>0</v>
      </c>
      <c r="DL1653">
        <f t="shared" si="2180"/>
        <v>0</v>
      </c>
      <c r="DM1653">
        <f t="shared" si="2181"/>
        <v>0</v>
      </c>
      <c r="DN1653" t="str">
        <f t="shared" si="2182"/>
        <v>Timber</v>
      </c>
      <c r="DO1653">
        <v>0</v>
      </c>
      <c r="DP1653">
        <v>1</v>
      </c>
      <c r="DQ1653" t="s">
        <v>2482</v>
      </c>
      <c r="DR1653" t="s">
        <v>2483</v>
      </c>
      <c r="DT1653">
        <f t="shared" si="2183"/>
        <v>1</v>
      </c>
      <c r="DU1653" s="143" t="str">
        <f t="shared" si="2184"/>
        <v>external DF used</v>
      </c>
      <c r="DV1653">
        <v>1</v>
      </c>
      <c r="DW1653">
        <v>1</v>
      </c>
      <c r="DX1653">
        <v>1</v>
      </c>
      <c r="DY1653">
        <v>1</v>
      </c>
      <c r="DZ1653">
        <v>1</v>
      </c>
      <c r="EA1653" s="143">
        <v>1</v>
      </c>
      <c r="EB1653">
        <v>1</v>
      </c>
      <c r="EC1653">
        <v>1</v>
      </c>
      <c r="ED1653">
        <v>0</v>
      </c>
      <c r="EE1653">
        <v>0</v>
      </c>
      <c r="EF1653">
        <v>1</v>
      </c>
      <c r="EG1653">
        <v>0</v>
      </c>
      <c r="EH1653">
        <v>0</v>
      </c>
      <c r="EI1653" s="2">
        <v>0</v>
      </c>
      <c r="EK1653" t="str">
        <f t="shared" si="2158"/>
        <v>Whole sector</v>
      </c>
      <c r="EL1653" t="str">
        <f t="shared" si="2159"/>
        <v/>
      </c>
      <c r="EM1653" s="2" t="str">
        <f t="shared" si="2188"/>
        <v/>
      </c>
      <c r="EN1653" t="s">
        <v>2484</v>
      </c>
      <c r="EP1653" t="str">
        <f>IF(ISNUMBER(BU1653),IF(ABS(BU1653-[3]QC_indicators!$B$2)&gt;3*[3]QC_indicators!$C$2,"C ratio",IF(ISNUMBER(BY1653),IF(ABS(BY1653-[3]QC_indicators!$B$1)&gt;3*[3]QC_indicators!$C$1,"DF","no"))),IF(ISNUMBER(BY1653),IF(ABS(BY1653-[3]QC_indicators!$B$1)&gt;3*[3]QC_indicators!$C$1,"DF","no")))</f>
        <v>no</v>
      </c>
      <c r="ET1653" s="264" t="s">
        <v>3253</v>
      </c>
    </row>
    <row r="1654" spans="1:150" ht="15" hidden="1" customHeight="1">
      <c r="A1654" s="1" t="s">
        <v>1807</v>
      </c>
      <c r="B1654" t="s">
        <v>2474</v>
      </c>
      <c r="C1654" t="s">
        <v>2475</v>
      </c>
      <c r="D1654" t="s">
        <v>2476</v>
      </c>
      <c r="E1654" t="s">
        <v>2477</v>
      </c>
      <c r="F1654" t="s">
        <v>2478</v>
      </c>
      <c r="G1654" t="s">
        <v>1813</v>
      </c>
      <c r="H1654" t="s">
        <v>254</v>
      </c>
      <c r="I1654">
        <v>2010</v>
      </c>
      <c r="J1654">
        <v>100</v>
      </c>
      <c r="K1654" t="s">
        <v>2479</v>
      </c>
      <c r="M1654" t="str">
        <f t="shared" si="2120"/>
        <v>Werner_2010</v>
      </c>
      <c r="N1654" t="s">
        <v>222</v>
      </c>
      <c r="O1654" s="145" t="s">
        <v>1153</v>
      </c>
      <c r="Q1654" t="s">
        <v>256</v>
      </c>
      <c r="R1654" s="262" t="s">
        <v>223</v>
      </c>
      <c r="S1654" s="263" t="s">
        <v>3254</v>
      </c>
      <c r="T1654" t="s">
        <v>2481</v>
      </c>
      <c r="U1654" t="s">
        <v>2486</v>
      </c>
      <c r="V1654">
        <v>2</v>
      </c>
      <c r="W1654">
        <v>0</v>
      </c>
      <c r="X1654">
        <v>1</v>
      </c>
      <c r="Y1654">
        <v>2</v>
      </c>
      <c r="Z1654">
        <v>0</v>
      </c>
      <c r="AA1654">
        <v>0</v>
      </c>
      <c r="AB1654">
        <v>0</v>
      </c>
      <c r="AC1654">
        <v>0</v>
      </c>
      <c r="AD1654">
        <v>0</v>
      </c>
      <c r="AE1654">
        <v>0</v>
      </c>
      <c r="AF1654">
        <v>0</v>
      </c>
      <c r="AG1654">
        <v>0</v>
      </c>
      <c r="AH1654">
        <v>0</v>
      </c>
      <c r="AI1654">
        <v>0</v>
      </c>
      <c r="AJ1654">
        <v>0</v>
      </c>
      <c r="AK1654">
        <v>0</v>
      </c>
      <c r="AL1654">
        <v>0</v>
      </c>
      <c r="AM1654">
        <v>0</v>
      </c>
      <c r="AN1654">
        <v>0</v>
      </c>
      <c r="AO1654">
        <v>0</v>
      </c>
      <c r="AP1654">
        <v>0</v>
      </c>
      <c r="AQ1654">
        <v>0</v>
      </c>
      <c r="AR1654">
        <v>0</v>
      </c>
      <c r="AS1654">
        <v>0</v>
      </c>
      <c r="AT1654">
        <v>0</v>
      </c>
      <c r="AU1654">
        <v>0</v>
      </c>
      <c r="AV1654">
        <v>0</v>
      </c>
      <c r="AW1654">
        <v>0</v>
      </c>
      <c r="AX1654" s="141">
        <f t="shared" si="2162"/>
        <v>3</v>
      </c>
      <c r="AY1654" s="141">
        <f t="shared" si="2163"/>
        <v>3</v>
      </c>
      <c r="AZ1654">
        <f t="shared" si="2164"/>
        <v>3</v>
      </c>
      <c r="BA1654">
        <f t="shared" si="2165"/>
        <v>0</v>
      </c>
      <c r="BB1654">
        <f t="shared" si="2166"/>
        <v>0</v>
      </c>
      <c r="BC1654">
        <f t="shared" si="2167"/>
        <v>0</v>
      </c>
      <c r="BD1654">
        <f t="shared" si="2168"/>
        <v>0</v>
      </c>
      <c r="BE1654" t="str">
        <f t="array" ref="BE1654">IF(AY1654=1,INDEX($V$7:$AL$7,MATCH(TRUE,INDEX($V1654:$AW1654&lt;&gt;0,),0)),IF(AY1654=0,INDEX($AM$7:$AW$7,MATCH(1,$AM1654:$AW1654,0)),IF(BF1654="Multiple strategies","mixed drivers",IF(BF1654="Supply chain","multiple supply","multiple silviculture"))))</f>
        <v>multiple silviculture</v>
      </c>
      <c r="BF1654" s="2" t="str" cm="1">
        <f t="array" ref="BF1654">IF(COUNTIF(AZ1654:BB1654,"&lt;&gt;0")=1,INDEX($V$4:$AW$4,MATCH(TRUE,INDEX($V1654:$AW1654&lt;&gt;0,),0)),IF(COUNTIF(AZ1654:BB1654,"&lt;&gt;0")=0,INDEX($AM$4:$AW$4,MATCH(1,$AM1654:$AW1654,0)),"Multiple strategies"))</f>
        <v>Silviculture for removals</v>
      </c>
      <c r="BG1654" s="1" t="s">
        <v>321</v>
      </c>
      <c r="BH1654" t="s">
        <v>2452</v>
      </c>
      <c r="BI1654" s="264" t="s">
        <v>3251</v>
      </c>
      <c r="BJ1654" t="s">
        <v>1322</v>
      </c>
      <c r="BK1654">
        <v>300</v>
      </c>
      <c r="BL1654">
        <v>765</v>
      </c>
      <c r="BM1654" s="143">
        <f t="shared" si="2160"/>
        <v>2.5499999999999998</v>
      </c>
      <c r="BN1654">
        <f t="shared" si="2152"/>
        <v>465</v>
      </c>
      <c r="BO1654">
        <f t="shared" si="2189"/>
        <v>465000000</v>
      </c>
      <c r="BP1654" t="s">
        <v>232</v>
      </c>
      <c r="BQ1654" s="153" t="s">
        <v>3252</v>
      </c>
      <c r="BR1654" t="s">
        <v>2324</v>
      </c>
      <c r="BS1654">
        <v>345.6503741652154</v>
      </c>
      <c r="BT1654">
        <v>154.92997037322621</v>
      </c>
      <c r="BU1654" s="144">
        <f t="shared" si="2186"/>
        <v>0.44822740535837563</v>
      </c>
      <c r="BV1654" s="144">
        <f t="shared" si="2169"/>
        <v>-190.72040379198918</v>
      </c>
      <c r="BW1654" s="144"/>
      <c r="BX1654">
        <f t="shared" si="2154"/>
        <v>-190720403.79198918</v>
      </c>
      <c r="BY1654">
        <f t="shared" si="2185"/>
        <v>-0.4101514060042778</v>
      </c>
      <c r="BZ1654">
        <v>0</v>
      </c>
      <c r="CA1654">
        <v>0</v>
      </c>
      <c r="CB1654">
        <v>0</v>
      </c>
      <c r="CC1654">
        <v>0</v>
      </c>
      <c r="CD1654">
        <v>0</v>
      </c>
      <c r="CE1654">
        <v>0</v>
      </c>
      <c r="CF1654">
        <v>0</v>
      </c>
      <c r="CG1654">
        <v>0</v>
      </c>
      <c r="CH1654">
        <v>0</v>
      </c>
      <c r="CI1654">
        <v>0</v>
      </c>
      <c r="CJ1654">
        <v>0</v>
      </c>
      <c r="CK1654">
        <v>0</v>
      </c>
      <c r="CL1654">
        <v>0</v>
      </c>
      <c r="CM1654">
        <v>1</v>
      </c>
      <c r="CN1654" t="str">
        <f t="shared" si="2161"/>
        <v>refOK</v>
      </c>
      <c r="CO1654">
        <f t="shared" ref="CO1654:CO1661" si="2190">IF($CN1654="refNeedCorrection",BL1654,BK1654)</f>
        <v>300</v>
      </c>
      <c r="CP1654">
        <f t="shared" ref="CP1654:CP1661" si="2191">IF($CN1654="refNeedCorrection",BK1654,BL1654)</f>
        <v>765</v>
      </c>
      <c r="CQ1654">
        <f t="shared" si="2157"/>
        <v>465000000</v>
      </c>
      <c r="CR1654">
        <f t="shared" si="2170"/>
        <v>345.6503741652154</v>
      </c>
      <c r="CS1654">
        <f t="shared" si="2171"/>
        <v>154.92997037322621</v>
      </c>
      <c r="CT1654">
        <f t="shared" si="2172"/>
        <v>-190720403.79198918</v>
      </c>
      <c r="CU1654">
        <f t="shared" si="2173"/>
        <v>-0.4101514060042778</v>
      </c>
      <c r="CV1654" s="2">
        <f t="shared" si="2174"/>
        <v>-0.55177259464162431</v>
      </c>
      <c r="CW1654" s="1" t="s">
        <v>1202</v>
      </c>
      <c r="CX1654" t="str">
        <f t="shared" si="2175"/>
        <v>reg</v>
      </c>
      <c r="CY1654" t="s">
        <v>639</v>
      </c>
      <c r="CZ1654">
        <v>2000</v>
      </c>
      <c r="DA1654">
        <v>2090</v>
      </c>
      <c r="DB1654">
        <f t="shared" si="2187"/>
        <v>90</v>
      </c>
      <c r="DC1654" t="str">
        <f t="shared" si="2176"/>
        <v>71-100</v>
      </c>
      <c r="DD1654">
        <v>0</v>
      </c>
      <c r="DE1654">
        <v>0</v>
      </c>
      <c r="DF1654">
        <v>0</v>
      </c>
      <c r="DG1654">
        <v>1</v>
      </c>
      <c r="DH1654">
        <v>0</v>
      </c>
      <c r="DI1654">
        <f t="shared" si="2177"/>
        <v>1</v>
      </c>
      <c r="DJ1654" t="str">
        <f t="shared" si="2178"/>
        <v>TimberInput</v>
      </c>
      <c r="DK1654">
        <f t="shared" si="2179"/>
        <v>0</v>
      </c>
      <c r="DL1654">
        <f t="shared" si="2180"/>
        <v>0</v>
      </c>
      <c r="DM1654">
        <f t="shared" si="2181"/>
        <v>0</v>
      </c>
      <c r="DN1654" t="str">
        <f t="shared" si="2182"/>
        <v>Timber</v>
      </c>
      <c r="DO1654">
        <v>0</v>
      </c>
      <c r="DP1654">
        <v>0</v>
      </c>
      <c r="DT1654">
        <f t="shared" si="2183"/>
        <v>0</v>
      </c>
      <c r="DU1654" s="143" t="str">
        <f t="shared" si="2184"/>
        <v>explicit C balance</v>
      </c>
      <c r="DV1654">
        <v>1</v>
      </c>
      <c r="DW1654">
        <v>1</v>
      </c>
      <c r="DX1654">
        <v>1</v>
      </c>
      <c r="DY1654">
        <v>1</v>
      </c>
      <c r="DZ1654">
        <v>0</v>
      </c>
      <c r="EA1654" s="143">
        <v>0</v>
      </c>
      <c r="EB1654">
        <v>0</v>
      </c>
      <c r="EC1654">
        <v>0</v>
      </c>
      <c r="ED1654">
        <v>0</v>
      </c>
      <c r="EE1654">
        <v>0</v>
      </c>
      <c r="EF1654">
        <v>1</v>
      </c>
      <c r="EG1654">
        <v>0</v>
      </c>
      <c r="EH1654">
        <v>0</v>
      </c>
      <c r="EI1654" s="2">
        <v>0</v>
      </c>
      <c r="EK1654" t="str">
        <f t="shared" si="2158"/>
        <v/>
      </c>
      <c r="EL1654" t="str">
        <f t="shared" si="2159"/>
        <v>Ecosystem approach</v>
      </c>
      <c r="EM1654" s="2" t="str">
        <f t="shared" si="2188"/>
        <v/>
      </c>
      <c r="EN1654" t="s">
        <v>2484</v>
      </c>
      <c r="EP1654" t="str">
        <f>IF(ISNUMBER(BU1654),IF(ABS(BU1654-[3]QC_indicators!$B$2)&gt;3*[3]QC_indicators!$C$2,"C ratio",IF(ISNUMBER(BY1654),IF(ABS(BY1654-[3]QC_indicators!$B$1)&gt;3*[3]QC_indicators!$C$1,"DF","no"))),IF(ISNUMBER(BY1654),IF(ABS(BY1654-[3]QC_indicators!$B$1)&gt;3*[3]QC_indicators!$C$1,"DF","no")))</f>
        <v>no</v>
      </c>
      <c r="ET1654" s="264" t="s">
        <v>3253</v>
      </c>
    </row>
    <row r="1655" spans="1:150" ht="15" hidden="1" customHeight="1">
      <c r="A1655" s="1" t="s">
        <v>1807</v>
      </c>
      <c r="B1655" t="s">
        <v>2474</v>
      </c>
      <c r="C1655" t="s">
        <v>2475</v>
      </c>
      <c r="D1655" t="s">
        <v>2476</v>
      </c>
      <c r="E1655" t="s">
        <v>2477</v>
      </c>
      <c r="F1655" t="s">
        <v>2478</v>
      </c>
      <c r="G1655" t="s">
        <v>1813</v>
      </c>
      <c r="H1655" t="s">
        <v>254</v>
      </c>
      <c r="I1655">
        <v>2010</v>
      </c>
      <c r="J1655">
        <v>100</v>
      </c>
      <c r="K1655" t="s">
        <v>2479</v>
      </c>
      <c r="M1655" t="str">
        <f t="shared" si="2120"/>
        <v>Werner_2010</v>
      </c>
      <c r="N1655" t="s">
        <v>222</v>
      </c>
      <c r="O1655" s="145" t="s">
        <v>1153</v>
      </c>
      <c r="Q1655" t="s">
        <v>256</v>
      </c>
      <c r="R1655" s="262" t="s">
        <v>223</v>
      </c>
      <c r="S1655" s="1" t="s">
        <v>2480</v>
      </c>
      <c r="T1655" t="s">
        <v>2481</v>
      </c>
      <c r="U1655" t="s">
        <v>2485</v>
      </c>
      <c r="V1655">
        <v>1</v>
      </c>
      <c r="W1655">
        <v>0</v>
      </c>
      <c r="X1655">
        <v>2</v>
      </c>
      <c r="Y1655">
        <v>0</v>
      </c>
      <c r="Z1655">
        <v>0</v>
      </c>
      <c r="AA1655">
        <v>0</v>
      </c>
      <c r="AB1655">
        <v>0</v>
      </c>
      <c r="AC1655">
        <v>0</v>
      </c>
      <c r="AD1655">
        <v>0</v>
      </c>
      <c r="AE1655">
        <v>0</v>
      </c>
      <c r="AF1655">
        <v>0</v>
      </c>
      <c r="AG1655">
        <v>0</v>
      </c>
      <c r="AH1655">
        <v>0</v>
      </c>
      <c r="AI1655">
        <v>0</v>
      </c>
      <c r="AJ1655">
        <v>0</v>
      </c>
      <c r="AK1655">
        <v>0</v>
      </c>
      <c r="AL1655">
        <v>0</v>
      </c>
      <c r="AM1655">
        <v>0</v>
      </c>
      <c r="AN1655">
        <v>0</v>
      </c>
      <c r="AO1655">
        <v>0</v>
      </c>
      <c r="AP1655">
        <v>0</v>
      </c>
      <c r="AQ1655">
        <v>0</v>
      </c>
      <c r="AR1655">
        <v>0</v>
      </c>
      <c r="AS1655">
        <v>0</v>
      </c>
      <c r="AT1655">
        <v>0</v>
      </c>
      <c r="AU1655">
        <v>0</v>
      </c>
      <c r="AV1655">
        <v>0</v>
      </c>
      <c r="AW1655">
        <v>0</v>
      </c>
      <c r="AX1655" s="141">
        <f t="shared" si="2162"/>
        <v>2</v>
      </c>
      <c r="AY1655" s="141">
        <f t="shared" si="2163"/>
        <v>2</v>
      </c>
      <c r="AZ1655">
        <f t="shared" si="2164"/>
        <v>2</v>
      </c>
      <c r="BA1655">
        <f t="shared" si="2165"/>
        <v>0</v>
      </c>
      <c r="BB1655">
        <f t="shared" si="2166"/>
        <v>0</v>
      </c>
      <c r="BC1655">
        <f t="shared" si="2167"/>
        <v>0</v>
      </c>
      <c r="BD1655">
        <f t="shared" si="2168"/>
        <v>0</v>
      </c>
      <c r="BE1655" t="str">
        <f t="array" ref="BE1655">IF(AY1655=1,INDEX($V$7:$AL$7,MATCH(TRUE,INDEX($V1655:$AW1655&lt;&gt;0,),0)),IF(AY1655=0,INDEX($AM$7:$AW$7,MATCH(1,$AM1655:$AW1655,0)),IF(BF1655="Multiple strategies","mixed drivers",IF(BF1655="Supply chain","multiple supply","multiple silviculture"))))</f>
        <v>multiple silviculture</v>
      </c>
      <c r="BF1655" s="2" t="str" cm="1">
        <f t="array" ref="BF1655">IF(COUNTIF(AZ1655:BB1655,"&lt;&gt;0")=1,INDEX($V$4:$AW$4,MATCH(TRUE,INDEX($V1655:$AW1655&lt;&gt;0,),0)),IF(COUNTIF(AZ1655:BB1655,"&lt;&gt;0")=0,INDEX($AM$4:$AW$4,MATCH(1,$AM1655:$AW1655,0)),"Multiple strategies"))</f>
        <v>Silviculture for removals</v>
      </c>
      <c r="BG1655" s="1" t="s">
        <v>321</v>
      </c>
      <c r="BH1655" t="s">
        <v>2452</v>
      </c>
      <c r="BI1655" s="264" t="s">
        <v>3251</v>
      </c>
      <c r="BJ1655" t="s">
        <v>1322</v>
      </c>
      <c r="BK1655">
        <v>300</v>
      </c>
      <c r="BL1655">
        <v>712.5</v>
      </c>
      <c r="BM1655" s="143">
        <f t="shared" si="2160"/>
        <v>2.375</v>
      </c>
      <c r="BN1655">
        <f t="shared" si="2152"/>
        <v>412.5</v>
      </c>
      <c r="BO1655">
        <f t="shared" si="2189"/>
        <v>412500000</v>
      </c>
      <c r="BP1655" t="s">
        <v>232</v>
      </c>
      <c r="BQ1655" s="153" t="s">
        <v>3252</v>
      </c>
      <c r="BR1655" t="s">
        <v>2324</v>
      </c>
      <c r="BS1655">
        <v>345.6503741652154</v>
      </c>
      <c r="BT1655">
        <v>219.15744142171502</v>
      </c>
      <c r="BU1655" s="144">
        <f t="shared" si="2186"/>
        <v>0.63404369791586346</v>
      </c>
      <c r="BV1655" s="144">
        <f t="shared" si="2169"/>
        <v>-126.49293274350038</v>
      </c>
      <c r="BW1655" s="144"/>
      <c r="BX1655">
        <f t="shared" si="2154"/>
        <v>-126492932.74350038</v>
      </c>
      <c r="BY1655">
        <f t="shared" si="2185"/>
        <v>-0.30664953392363731</v>
      </c>
      <c r="BZ1655">
        <v>0</v>
      </c>
      <c r="CA1655">
        <v>0</v>
      </c>
      <c r="CB1655">
        <v>0</v>
      </c>
      <c r="CC1655">
        <v>0</v>
      </c>
      <c r="CD1655">
        <v>0</v>
      </c>
      <c r="CE1655">
        <v>0</v>
      </c>
      <c r="CF1655">
        <v>0</v>
      </c>
      <c r="CG1655">
        <v>0</v>
      </c>
      <c r="CH1655">
        <v>0</v>
      </c>
      <c r="CI1655">
        <v>0</v>
      </c>
      <c r="CJ1655">
        <v>0</v>
      </c>
      <c r="CK1655">
        <v>0</v>
      </c>
      <c r="CL1655">
        <v>0</v>
      </c>
      <c r="CM1655">
        <v>1</v>
      </c>
      <c r="CN1655" t="str">
        <f t="shared" si="2161"/>
        <v>refOK</v>
      </c>
      <c r="CO1655">
        <f t="shared" si="2190"/>
        <v>300</v>
      </c>
      <c r="CP1655">
        <f t="shared" si="2191"/>
        <v>712.5</v>
      </c>
      <c r="CQ1655">
        <f t="shared" si="2157"/>
        <v>412500000</v>
      </c>
      <c r="CR1655">
        <f t="shared" si="2170"/>
        <v>345.6503741652154</v>
      </c>
      <c r="CS1655">
        <f t="shared" si="2171"/>
        <v>219.15744142171502</v>
      </c>
      <c r="CT1655">
        <f t="shared" si="2172"/>
        <v>-126492932.74350038</v>
      </c>
      <c r="CU1655">
        <f t="shared" si="2173"/>
        <v>-0.30664953392363731</v>
      </c>
      <c r="CV1655" s="2">
        <f t="shared" si="2174"/>
        <v>-0.36595630208413649</v>
      </c>
      <c r="CW1655" s="1" t="s">
        <v>1202</v>
      </c>
      <c r="CX1655" t="str">
        <f t="shared" si="2175"/>
        <v>reg</v>
      </c>
      <c r="CY1655" t="s">
        <v>639</v>
      </c>
      <c r="CZ1655">
        <v>2000</v>
      </c>
      <c r="DA1655">
        <v>2090</v>
      </c>
      <c r="DB1655">
        <f t="shared" si="2187"/>
        <v>90</v>
      </c>
      <c r="DC1655" t="str">
        <f t="shared" si="2176"/>
        <v>71-100</v>
      </c>
      <c r="DD1655">
        <v>1</v>
      </c>
      <c r="DE1655">
        <v>0</v>
      </c>
      <c r="DF1655">
        <v>0</v>
      </c>
      <c r="DG1655">
        <v>0</v>
      </c>
      <c r="DH1655">
        <v>0</v>
      </c>
      <c r="DI1655">
        <f t="shared" si="2177"/>
        <v>1</v>
      </c>
      <c r="DJ1655" t="str">
        <f t="shared" si="2178"/>
        <v>UpstreamInput</v>
      </c>
      <c r="DK1655" t="str">
        <f t="shared" si="2179"/>
        <v>Upstream</v>
      </c>
      <c r="DL1655">
        <f t="shared" si="2180"/>
        <v>0</v>
      </c>
      <c r="DM1655">
        <f t="shared" si="2181"/>
        <v>0</v>
      </c>
      <c r="DN1655">
        <f t="shared" si="2182"/>
        <v>0</v>
      </c>
      <c r="DO1655">
        <v>0</v>
      </c>
      <c r="DP1655">
        <v>0</v>
      </c>
      <c r="DT1655">
        <f t="shared" si="2183"/>
        <v>0</v>
      </c>
      <c r="DU1655" s="143" t="str">
        <f t="shared" si="2184"/>
        <v>explicit C balance</v>
      </c>
      <c r="DV1655">
        <v>1</v>
      </c>
      <c r="DW1655">
        <v>1</v>
      </c>
      <c r="DX1655">
        <v>1</v>
      </c>
      <c r="DY1655">
        <v>1</v>
      </c>
      <c r="DZ1655">
        <v>0</v>
      </c>
      <c r="EA1655" s="143">
        <v>0</v>
      </c>
      <c r="EB1655">
        <v>0</v>
      </c>
      <c r="EC1655">
        <v>0</v>
      </c>
      <c r="ED1655">
        <v>0</v>
      </c>
      <c r="EE1655">
        <v>0</v>
      </c>
      <c r="EF1655">
        <v>1</v>
      </c>
      <c r="EG1655">
        <v>0</v>
      </c>
      <c r="EH1655">
        <v>0</v>
      </c>
      <c r="EI1655" s="2">
        <v>0</v>
      </c>
      <c r="EK1655" t="str">
        <f t="shared" si="2158"/>
        <v/>
      </c>
      <c r="EL1655" t="str">
        <f t="shared" si="2159"/>
        <v>Ecosystem approach</v>
      </c>
      <c r="EM1655" s="2" t="str">
        <f t="shared" si="2188"/>
        <v/>
      </c>
      <c r="EN1655" t="s">
        <v>2484</v>
      </c>
      <c r="EP1655" t="str">
        <f>IF(ISNUMBER(BU1655),IF(ABS(BU1655-[3]QC_indicators!$B$2)&gt;3*[3]QC_indicators!$C$2,"C ratio",IF(ISNUMBER(BY1655),IF(ABS(BY1655-[3]QC_indicators!$B$1)&gt;3*[3]QC_indicators!$C$1,"DF","no"))),IF(ISNUMBER(BY1655),IF(ABS(BY1655-[3]QC_indicators!$B$1)&gt;3*[3]QC_indicators!$C$1,"DF","no")))</f>
        <v>no</v>
      </c>
      <c r="ET1655" s="264" t="s">
        <v>3253</v>
      </c>
    </row>
    <row r="1656" spans="1:150" ht="15" hidden="1" customHeight="1">
      <c r="A1656" s="1" t="s">
        <v>1807</v>
      </c>
      <c r="B1656" t="s">
        <v>2474</v>
      </c>
      <c r="C1656" t="s">
        <v>2475</v>
      </c>
      <c r="D1656" t="s">
        <v>2476</v>
      </c>
      <c r="E1656" t="s">
        <v>2477</v>
      </c>
      <c r="F1656" t="s">
        <v>2478</v>
      </c>
      <c r="G1656" t="s">
        <v>1813</v>
      </c>
      <c r="H1656" t="s">
        <v>254</v>
      </c>
      <c r="I1656">
        <v>2010</v>
      </c>
      <c r="J1656">
        <v>100</v>
      </c>
      <c r="K1656" t="s">
        <v>2479</v>
      </c>
      <c r="M1656" t="str">
        <f t="shared" si="2120"/>
        <v>Werner_2010</v>
      </c>
      <c r="N1656" t="s">
        <v>222</v>
      </c>
      <c r="O1656" s="145" t="s">
        <v>1153</v>
      </c>
      <c r="Q1656" t="s">
        <v>256</v>
      </c>
      <c r="R1656" s="262" t="s">
        <v>223</v>
      </c>
      <c r="S1656" s="1" t="s">
        <v>2480</v>
      </c>
      <c r="T1656" t="s">
        <v>2481</v>
      </c>
      <c r="U1656" t="s">
        <v>1154</v>
      </c>
      <c r="V1656">
        <v>1</v>
      </c>
      <c r="W1656">
        <v>0</v>
      </c>
      <c r="X1656">
        <v>2</v>
      </c>
      <c r="Y1656">
        <v>0</v>
      </c>
      <c r="Z1656">
        <v>0</v>
      </c>
      <c r="AA1656">
        <v>0</v>
      </c>
      <c r="AB1656">
        <v>0</v>
      </c>
      <c r="AC1656">
        <v>0</v>
      </c>
      <c r="AD1656">
        <v>0</v>
      </c>
      <c r="AE1656">
        <v>0</v>
      </c>
      <c r="AF1656">
        <v>0</v>
      </c>
      <c r="AG1656">
        <v>0</v>
      </c>
      <c r="AH1656">
        <v>0</v>
      </c>
      <c r="AI1656">
        <v>0</v>
      </c>
      <c r="AJ1656">
        <v>0</v>
      </c>
      <c r="AK1656">
        <v>0</v>
      </c>
      <c r="AL1656">
        <v>0</v>
      </c>
      <c r="AM1656">
        <v>0</v>
      </c>
      <c r="AN1656">
        <v>0</v>
      </c>
      <c r="AO1656">
        <v>0</v>
      </c>
      <c r="AP1656">
        <v>0</v>
      </c>
      <c r="AQ1656">
        <v>0</v>
      </c>
      <c r="AR1656">
        <v>0</v>
      </c>
      <c r="AS1656">
        <v>0</v>
      </c>
      <c r="AT1656">
        <v>0</v>
      </c>
      <c r="AU1656">
        <v>0</v>
      </c>
      <c r="AV1656">
        <v>0</v>
      </c>
      <c r="AW1656">
        <v>0</v>
      </c>
      <c r="AX1656" s="141">
        <f t="shared" si="2162"/>
        <v>2</v>
      </c>
      <c r="AY1656" s="141">
        <f t="shared" si="2163"/>
        <v>2</v>
      </c>
      <c r="AZ1656">
        <f t="shared" si="2164"/>
        <v>2</v>
      </c>
      <c r="BA1656">
        <f t="shared" si="2165"/>
        <v>0</v>
      </c>
      <c r="BB1656">
        <f t="shared" si="2166"/>
        <v>0</v>
      </c>
      <c r="BC1656">
        <f t="shared" si="2167"/>
        <v>0</v>
      </c>
      <c r="BD1656">
        <f t="shared" si="2168"/>
        <v>0</v>
      </c>
      <c r="BE1656" t="str">
        <f t="array" ref="BE1656">IF(AY1656=1,INDEX($V$7:$AL$7,MATCH(TRUE,INDEX($V1656:$AW1656&lt;&gt;0,),0)),IF(AY1656=0,INDEX($AM$7:$AW$7,MATCH(1,$AM1656:$AW1656,0)),IF(BF1656="Multiple strategies","mixed drivers",IF(BF1656="Supply chain","multiple supply","multiple silviculture"))))</f>
        <v>multiple silviculture</v>
      </c>
      <c r="BF1656" s="2" t="str" cm="1">
        <f t="array" ref="BF1656">IF(COUNTIF(AZ1656:BB1656,"&lt;&gt;0")=1,INDEX($V$4:$AW$4,MATCH(TRUE,INDEX($V1656:$AW1656&lt;&gt;0,),0)),IF(COUNTIF(AZ1656:BB1656,"&lt;&gt;0")=0,INDEX($AM$4:$AW$4,MATCH(1,$AM1656:$AW1656,0)),"Multiple strategies"))</f>
        <v>Silviculture for removals</v>
      </c>
      <c r="BG1656" s="1" t="s">
        <v>321</v>
      </c>
      <c r="BH1656" t="s">
        <v>2452</v>
      </c>
      <c r="BI1656" s="264" t="s">
        <v>3251</v>
      </c>
      <c r="BJ1656" t="s">
        <v>1322</v>
      </c>
      <c r="BK1656">
        <v>300</v>
      </c>
      <c r="BL1656">
        <v>517.5</v>
      </c>
      <c r="BM1656" s="143">
        <f t="shared" si="2160"/>
        <v>1.7250000000000001</v>
      </c>
      <c r="BN1656">
        <f t="shared" si="2152"/>
        <v>217.5</v>
      </c>
      <c r="BO1656">
        <f>BN1656*1000000</f>
        <v>217500000</v>
      </c>
      <c r="BP1656" t="s">
        <v>232</v>
      </c>
      <c r="BQ1656" s="153" t="s">
        <v>3252</v>
      </c>
      <c r="BR1656" t="s">
        <v>2324</v>
      </c>
      <c r="BS1656">
        <v>728.49390504704797</v>
      </c>
      <c r="BT1656">
        <v>662.23802395209498</v>
      </c>
      <c r="BU1656" s="144">
        <f t="shared" si="2186"/>
        <v>0.90905087793332462</v>
      </c>
      <c r="BV1656" s="144">
        <f t="shared" si="2169"/>
        <v>-66.255881094952997</v>
      </c>
      <c r="BW1656" s="144"/>
      <c r="BX1656">
        <f t="shared" si="2154"/>
        <v>-66255881.094953001</v>
      </c>
      <c r="BY1656">
        <f t="shared" si="2185"/>
        <v>-0.30462474066645057</v>
      </c>
      <c r="BZ1656">
        <v>0</v>
      </c>
      <c r="CA1656">
        <v>0</v>
      </c>
      <c r="CB1656">
        <v>0</v>
      </c>
      <c r="CC1656">
        <v>0</v>
      </c>
      <c r="CD1656">
        <v>0</v>
      </c>
      <c r="CE1656">
        <v>0</v>
      </c>
      <c r="CF1656">
        <v>0</v>
      </c>
      <c r="CG1656">
        <v>0</v>
      </c>
      <c r="CH1656">
        <v>0</v>
      </c>
      <c r="CI1656">
        <v>0</v>
      </c>
      <c r="CJ1656">
        <v>0</v>
      </c>
      <c r="CK1656">
        <v>0</v>
      </c>
      <c r="CL1656">
        <v>0</v>
      </c>
      <c r="CM1656">
        <v>1</v>
      </c>
      <c r="CN1656" t="str">
        <f t="shared" si="2161"/>
        <v>refOK</v>
      </c>
      <c r="CO1656">
        <f t="shared" si="2190"/>
        <v>300</v>
      </c>
      <c r="CP1656">
        <f t="shared" si="2191"/>
        <v>517.5</v>
      </c>
      <c r="CQ1656">
        <f t="shared" si="2157"/>
        <v>217500000</v>
      </c>
      <c r="CR1656">
        <f t="shared" si="2170"/>
        <v>728.49390504704797</v>
      </c>
      <c r="CS1656">
        <f t="shared" si="2171"/>
        <v>662.23802395209498</v>
      </c>
      <c r="CT1656">
        <f t="shared" si="2172"/>
        <v>-66255881.094953001</v>
      </c>
      <c r="CU1656">
        <f t="shared" si="2173"/>
        <v>-0.30462474066645057</v>
      </c>
      <c r="CV1656" s="2">
        <f t="shared" si="2174"/>
        <v>-9.0949122066675395E-2</v>
      </c>
      <c r="CW1656" s="1" t="s">
        <v>1202</v>
      </c>
      <c r="CX1656" t="str">
        <f t="shared" si="2175"/>
        <v>reg</v>
      </c>
      <c r="CY1656" t="s">
        <v>639</v>
      </c>
      <c r="CZ1656">
        <v>2000</v>
      </c>
      <c r="DA1656">
        <v>2090</v>
      </c>
      <c r="DB1656">
        <f t="shared" si="2187"/>
        <v>90</v>
      </c>
      <c r="DC1656" t="str">
        <f t="shared" si="2176"/>
        <v>71-100</v>
      </c>
      <c r="DD1656">
        <v>1</v>
      </c>
      <c r="DE1656">
        <v>1</v>
      </c>
      <c r="DF1656">
        <v>1</v>
      </c>
      <c r="DG1656">
        <v>1</v>
      </c>
      <c r="DH1656">
        <v>0</v>
      </c>
      <c r="DI1656">
        <f t="shared" si="2177"/>
        <v>4</v>
      </c>
      <c r="DJ1656" t="str">
        <f t="shared" si="2178"/>
        <v>mixedProduct</v>
      </c>
      <c r="DK1656" t="str">
        <f t="shared" si="2179"/>
        <v>Upstream</v>
      </c>
      <c r="DL1656" t="str">
        <f t="shared" si="2180"/>
        <v>Energy</v>
      </c>
      <c r="DM1656" t="str">
        <f t="shared" si="2181"/>
        <v>Pulp/Paper</v>
      </c>
      <c r="DN1656" t="str">
        <f t="shared" si="2182"/>
        <v>Timber</v>
      </c>
      <c r="DO1656">
        <v>0</v>
      </c>
      <c r="DP1656">
        <v>1</v>
      </c>
      <c r="DQ1656" t="s">
        <v>2482</v>
      </c>
      <c r="DR1656" t="s">
        <v>2483</v>
      </c>
      <c r="DT1656">
        <f t="shared" si="2183"/>
        <v>1</v>
      </c>
      <c r="DU1656" s="143" t="str">
        <f t="shared" si="2184"/>
        <v>external DF used</v>
      </c>
      <c r="DV1656">
        <v>1</v>
      </c>
      <c r="DW1656">
        <v>1</v>
      </c>
      <c r="DX1656">
        <v>1</v>
      </c>
      <c r="DY1656">
        <v>1</v>
      </c>
      <c r="DZ1656">
        <v>1</v>
      </c>
      <c r="EA1656" s="143">
        <v>1</v>
      </c>
      <c r="EB1656">
        <v>1</v>
      </c>
      <c r="EC1656">
        <v>1</v>
      </c>
      <c r="ED1656">
        <v>0</v>
      </c>
      <c r="EE1656">
        <v>0</v>
      </c>
      <c r="EF1656">
        <v>1</v>
      </c>
      <c r="EG1656">
        <v>0</v>
      </c>
      <c r="EH1656">
        <v>0</v>
      </c>
      <c r="EI1656" s="2">
        <v>0</v>
      </c>
      <c r="EK1656" t="str">
        <f t="shared" si="2158"/>
        <v>Whole sector</v>
      </c>
      <c r="EL1656" t="str">
        <f t="shared" si="2159"/>
        <v/>
      </c>
      <c r="EM1656" s="2" t="str">
        <f t="shared" si="2188"/>
        <v/>
      </c>
      <c r="EN1656" t="s">
        <v>2484</v>
      </c>
      <c r="EP1656" t="str">
        <f>IF(ISNUMBER(BU1656),IF(ABS(BU1656-[3]QC_indicators!$B$2)&gt;3*[3]QC_indicators!$C$2,"C ratio",IF(ISNUMBER(BY1656),IF(ABS(BY1656-[3]QC_indicators!$B$1)&gt;3*[3]QC_indicators!$C$1,"DF","no"))),IF(ISNUMBER(BY1656),IF(ABS(BY1656-[3]QC_indicators!$B$1)&gt;3*[3]QC_indicators!$C$1,"DF","no")))</f>
        <v>no</v>
      </c>
      <c r="ET1656" s="264" t="s">
        <v>3253</v>
      </c>
    </row>
    <row r="1657" spans="1:150" ht="15" hidden="1" customHeight="1">
      <c r="A1657" s="1" t="s">
        <v>1807</v>
      </c>
      <c r="B1657" t="s">
        <v>2474</v>
      </c>
      <c r="C1657" t="s">
        <v>2475</v>
      </c>
      <c r="D1657" t="s">
        <v>2476</v>
      </c>
      <c r="E1657" t="s">
        <v>2477</v>
      </c>
      <c r="F1657" t="s">
        <v>2478</v>
      </c>
      <c r="G1657" t="s">
        <v>1813</v>
      </c>
      <c r="H1657" t="s">
        <v>254</v>
      </c>
      <c r="I1657">
        <v>2010</v>
      </c>
      <c r="J1657">
        <v>100</v>
      </c>
      <c r="K1657" t="s">
        <v>2479</v>
      </c>
      <c r="M1657" t="str">
        <f t="shared" si="2120"/>
        <v>Werner_2010</v>
      </c>
      <c r="N1657" t="s">
        <v>222</v>
      </c>
      <c r="O1657" s="145" t="s">
        <v>1153</v>
      </c>
      <c r="Q1657" t="s">
        <v>256</v>
      </c>
      <c r="R1657" s="262" t="s">
        <v>223</v>
      </c>
      <c r="S1657" s="263" t="s">
        <v>3254</v>
      </c>
      <c r="T1657" t="s">
        <v>2481</v>
      </c>
      <c r="U1657" t="s">
        <v>2486</v>
      </c>
      <c r="V1657">
        <v>2</v>
      </c>
      <c r="W1657">
        <v>0</v>
      </c>
      <c r="X1657">
        <v>1</v>
      </c>
      <c r="Y1657">
        <v>2</v>
      </c>
      <c r="Z1657">
        <v>0</v>
      </c>
      <c r="AA1657">
        <v>0</v>
      </c>
      <c r="AB1657">
        <v>0</v>
      </c>
      <c r="AC1657">
        <v>0</v>
      </c>
      <c r="AD1657">
        <v>0</v>
      </c>
      <c r="AE1657">
        <v>0</v>
      </c>
      <c r="AF1657">
        <v>0</v>
      </c>
      <c r="AG1657">
        <v>0</v>
      </c>
      <c r="AH1657">
        <v>0</v>
      </c>
      <c r="AI1657">
        <v>0</v>
      </c>
      <c r="AJ1657">
        <v>0</v>
      </c>
      <c r="AK1657">
        <v>0</v>
      </c>
      <c r="AL1657">
        <v>0</v>
      </c>
      <c r="AM1657">
        <v>0</v>
      </c>
      <c r="AN1657">
        <v>0</v>
      </c>
      <c r="AO1657">
        <v>0</v>
      </c>
      <c r="AP1657">
        <v>0</v>
      </c>
      <c r="AQ1657">
        <v>0</v>
      </c>
      <c r="AR1657">
        <v>0</v>
      </c>
      <c r="AS1657">
        <v>0</v>
      </c>
      <c r="AT1657">
        <v>0</v>
      </c>
      <c r="AU1657">
        <v>0</v>
      </c>
      <c r="AV1657">
        <v>0</v>
      </c>
      <c r="AW1657">
        <v>0</v>
      </c>
      <c r="AX1657" s="141">
        <f t="shared" si="2162"/>
        <v>3</v>
      </c>
      <c r="AY1657" s="141">
        <f t="shared" si="2163"/>
        <v>3</v>
      </c>
      <c r="AZ1657">
        <f t="shared" si="2164"/>
        <v>3</v>
      </c>
      <c r="BA1657">
        <f t="shared" si="2165"/>
        <v>0</v>
      </c>
      <c r="BB1657">
        <f t="shared" si="2166"/>
        <v>0</v>
      </c>
      <c r="BC1657">
        <f t="shared" si="2167"/>
        <v>0</v>
      </c>
      <c r="BD1657">
        <f t="shared" si="2168"/>
        <v>0</v>
      </c>
      <c r="BE1657" t="str">
        <f t="array" ref="BE1657">IF(AY1657=1,INDEX($V$7:$AL$7,MATCH(TRUE,INDEX($V1657:$AW1657&lt;&gt;0,),0)),IF(AY1657=0,INDEX($AM$7:$AW$7,MATCH(1,$AM1657:$AW1657,0)),IF(BF1657="Multiple strategies","mixed drivers",IF(BF1657="Supply chain","multiple supply","multiple silviculture"))))</f>
        <v>multiple silviculture</v>
      </c>
      <c r="BF1657" s="2" t="str" cm="1">
        <f t="array" ref="BF1657">IF(COUNTIF(AZ1657:BB1657,"&lt;&gt;0")=1,INDEX($V$4:$AW$4,MATCH(TRUE,INDEX($V1657:$AW1657&lt;&gt;0,),0)),IF(COUNTIF(AZ1657:BB1657,"&lt;&gt;0")=0,INDEX($AM$4:$AW$4,MATCH(1,$AM1657:$AW1657,0)),"Multiple strategies"))</f>
        <v>Silviculture for removals</v>
      </c>
      <c r="BG1657" s="1" t="s">
        <v>321</v>
      </c>
      <c r="BH1657" t="s">
        <v>2452</v>
      </c>
      <c r="BI1657" s="264" t="s">
        <v>3251</v>
      </c>
      <c r="BJ1657" t="s">
        <v>1322</v>
      </c>
      <c r="BK1657">
        <v>210</v>
      </c>
      <c r="BL1657">
        <v>489</v>
      </c>
      <c r="BM1657" s="143">
        <f t="shared" si="2160"/>
        <v>2.3285714285714287</v>
      </c>
      <c r="BN1657">
        <f t="shared" si="2152"/>
        <v>279</v>
      </c>
      <c r="BO1657">
        <f>BN1657*1000000</f>
        <v>279000000</v>
      </c>
      <c r="BP1657" t="s">
        <v>232</v>
      </c>
      <c r="BQ1657" s="153" t="s">
        <v>3252</v>
      </c>
      <c r="BR1657" t="s">
        <v>2324</v>
      </c>
      <c r="BS1657">
        <v>644.05341103507203</v>
      </c>
      <c r="BT1657">
        <v>626.98486954662098</v>
      </c>
      <c r="BU1657" s="144">
        <f t="shared" si="2186"/>
        <v>0.9734982515487034</v>
      </c>
      <c r="BV1657" s="144">
        <f t="shared" si="2169"/>
        <v>-17.068541488451046</v>
      </c>
      <c r="BW1657" s="144"/>
      <c r="BX1657">
        <f t="shared" si="2154"/>
        <v>-17068541.488451045</v>
      </c>
      <c r="BY1657">
        <f t="shared" si="2185"/>
        <v>-6.1177568058964321E-2</v>
      </c>
      <c r="BZ1657">
        <v>0</v>
      </c>
      <c r="CA1657">
        <v>0</v>
      </c>
      <c r="CB1657">
        <v>0</v>
      </c>
      <c r="CC1657">
        <v>0</v>
      </c>
      <c r="CD1657">
        <v>0</v>
      </c>
      <c r="CE1657">
        <v>0</v>
      </c>
      <c r="CF1657">
        <v>0</v>
      </c>
      <c r="CG1657">
        <v>0</v>
      </c>
      <c r="CH1657">
        <v>0</v>
      </c>
      <c r="CI1657">
        <v>0</v>
      </c>
      <c r="CJ1657">
        <v>0</v>
      </c>
      <c r="CK1657">
        <v>0</v>
      </c>
      <c r="CL1657">
        <v>0</v>
      </c>
      <c r="CM1657">
        <v>1</v>
      </c>
      <c r="CN1657" t="str">
        <f t="shared" si="2161"/>
        <v>refOK</v>
      </c>
      <c r="CO1657">
        <f t="shared" si="2190"/>
        <v>210</v>
      </c>
      <c r="CP1657">
        <f t="shared" si="2191"/>
        <v>489</v>
      </c>
      <c r="CQ1657">
        <f t="shared" si="2157"/>
        <v>279000000</v>
      </c>
      <c r="CR1657">
        <f t="shared" si="2170"/>
        <v>644.05341103507203</v>
      </c>
      <c r="CS1657">
        <f t="shared" si="2171"/>
        <v>626.98486954662098</v>
      </c>
      <c r="CT1657">
        <f t="shared" si="2172"/>
        <v>-17068541.488451045</v>
      </c>
      <c r="CU1657">
        <f t="shared" si="2173"/>
        <v>-6.1177568058964321E-2</v>
      </c>
      <c r="CV1657" s="2">
        <f t="shared" si="2174"/>
        <v>-2.6501748451296651E-2</v>
      </c>
      <c r="CW1657" s="1" t="s">
        <v>1202</v>
      </c>
      <c r="CX1657" t="str">
        <f t="shared" si="2175"/>
        <v>reg</v>
      </c>
      <c r="CY1657" t="s">
        <v>639</v>
      </c>
      <c r="CZ1657">
        <v>2000</v>
      </c>
      <c r="DA1657">
        <v>2060</v>
      </c>
      <c r="DB1657">
        <f t="shared" si="2187"/>
        <v>60</v>
      </c>
      <c r="DC1657" t="str">
        <f t="shared" si="2176"/>
        <v>31-70</v>
      </c>
      <c r="DD1657">
        <v>0</v>
      </c>
      <c r="DE1657">
        <v>0</v>
      </c>
      <c r="DF1657">
        <v>0</v>
      </c>
      <c r="DG1657">
        <v>1</v>
      </c>
      <c r="DH1657">
        <v>0</v>
      </c>
      <c r="DI1657">
        <f t="shared" si="2177"/>
        <v>1</v>
      </c>
      <c r="DJ1657" t="str">
        <f t="shared" si="2178"/>
        <v>TimberInput</v>
      </c>
      <c r="DK1657">
        <f t="shared" si="2179"/>
        <v>0</v>
      </c>
      <c r="DL1657">
        <f t="shared" si="2180"/>
        <v>0</v>
      </c>
      <c r="DM1657">
        <f t="shared" si="2181"/>
        <v>0</v>
      </c>
      <c r="DN1657" t="str">
        <f t="shared" si="2182"/>
        <v>Timber</v>
      </c>
      <c r="DO1657">
        <v>0</v>
      </c>
      <c r="DP1657">
        <v>1</v>
      </c>
      <c r="DQ1657" t="s">
        <v>2482</v>
      </c>
      <c r="DR1657" t="s">
        <v>2483</v>
      </c>
      <c r="DT1657">
        <f t="shared" si="2183"/>
        <v>1</v>
      </c>
      <c r="DU1657" s="143" t="str">
        <f t="shared" si="2184"/>
        <v>external DF used</v>
      </c>
      <c r="DV1657">
        <v>1</v>
      </c>
      <c r="DW1657">
        <v>1</v>
      </c>
      <c r="DX1657">
        <v>1</v>
      </c>
      <c r="DY1657">
        <v>1</v>
      </c>
      <c r="DZ1657">
        <v>1</v>
      </c>
      <c r="EA1657" s="143">
        <v>1</v>
      </c>
      <c r="EB1657">
        <v>1</v>
      </c>
      <c r="EC1657">
        <v>1</v>
      </c>
      <c r="ED1657">
        <v>0</v>
      </c>
      <c r="EE1657">
        <v>0</v>
      </c>
      <c r="EF1657">
        <v>1</v>
      </c>
      <c r="EG1657">
        <v>0</v>
      </c>
      <c r="EH1657">
        <v>0</v>
      </c>
      <c r="EI1657" s="2">
        <v>0</v>
      </c>
      <c r="EK1657" t="str">
        <f t="shared" si="2158"/>
        <v>Whole sector</v>
      </c>
      <c r="EL1657" t="str">
        <f t="shared" si="2159"/>
        <v/>
      </c>
      <c r="EM1657" s="2" t="str">
        <f t="shared" si="2188"/>
        <v/>
      </c>
      <c r="EN1657" t="s">
        <v>2484</v>
      </c>
      <c r="EP1657" t="str">
        <f>IF(ISNUMBER(BU1657),IF(ABS(BU1657-[3]QC_indicators!$B$2)&gt;3*[3]QC_indicators!$C$2,"C ratio",IF(ISNUMBER(BY1657),IF(ABS(BY1657-[3]QC_indicators!$B$1)&gt;3*[3]QC_indicators!$C$1,"DF","no"))),IF(ISNUMBER(BY1657),IF(ABS(BY1657-[3]QC_indicators!$B$1)&gt;3*[3]QC_indicators!$C$1,"DF","no")))</f>
        <v>no</v>
      </c>
      <c r="ET1657" s="264" t="s">
        <v>3253</v>
      </c>
    </row>
    <row r="1658" spans="1:150" ht="15" hidden="1" customHeight="1">
      <c r="A1658" s="1" t="s">
        <v>1807</v>
      </c>
      <c r="B1658" t="s">
        <v>2474</v>
      </c>
      <c r="C1658" t="s">
        <v>2475</v>
      </c>
      <c r="D1658" t="s">
        <v>2476</v>
      </c>
      <c r="E1658" t="s">
        <v>2477</v>
      </c>
      <c r="F1658" t="s">
        <v>2478</v>
      </c>
      <c r="G1658" t="s">
        <v>1813</v>
      </c>
      <c r="H1658" t="s">
        <v>254</v>
      </c>
      <c r="I1658">
        <v>2010</v>
      </c>
      <c r="J1658">
        <v>100</v>
      </c>
      <c r="K1658" t="s">
        <v>2479</v>
      </c>
      <c r="M1658" t="str">
        <f t="shared" si="2120"/>
        <v>Werner_2010</v>
      </c>
      <c r="N1658" t="s">
        <v>222</v>
      </c>
      <c r="O1658" s="145" t="s">
        <v>1153</v>
      </c>
      <c r="Q1658" t="s">
        <v>256</v>
      </c>
      <c r="R1658" s="262" t="s">
        <v>223</v>
      </c>
      <c r="S1658" s="263" t="s">
        <v>3254</v>
      </c>
      <c r="T1658" t="s">
        <v>2481</v>
      </c>
      <c r="U1658" t="s">
        <v>2487</v>
      </c>
      <c r="V1658">
        <v>2</v>
      </c>
      <c r="W1658">
        <v>0</v>
      </c>
      <c r="X1658">
        <v>1</v>
      </c>
      <c r="Y1658">
        <v>2</v>
      </c>
      <c r="Z1658">
        <v>0</v>
      </c>
      <c r="AA1658">
        <v>0</v>
      </c>
      <c r="AB1658">
        <v>0</v>
      </c>
      <c r="AC1658">
        <v>0</v>
      </c>
      <c r="AD1658">
        <v>0</v>
      </c>
      <c r="AE1658">
        <v>0</v>
      </c>
      <c r="AF1658">
        <v>0</v>
      </c>
      <c r="AG1658">
        <v>0</v>
      </c>
      <c r="AH1658">
        <v>0</v>
      </c>
      <c r="AI1658">
        <v>0</v>
      </c>
      <c r="AJ1658">
        <v>0</v>
      </c>
      <c r="AK1658">
        <v>0</v>
      </c>
      <c r="AL1658">
        <v>0</v>
      </c>
      <c r="AM1658">
        <v>0</v>
      </c>
      <c r="AN1658">
        <v>0</v>
      </c>
      <c r="AO1658">
        <v>0</v>
      </c>
      <c r="AP1658">
        <v>0</v>
      </c>
      <c r="AQ1658">
        <v>0</v>
      </c>
      <c r="AR1658">
        <v>0</v>
      </c>
      <c r="AS1658">
        <v>0</v>
      </c>
      <c r="AT1658">
        <v>0</v>
      </c>
      <c r="AU1658">
        <v>0</v>
      </c>
      <c r="AV1658">
        <v>0</v>
      </c>
      <c r="AW1658">
        <v>0</v>
      </c>
      <c r="AX1658" s="141">
        <f t="shared" si="2162"/>
        <v>3</v>
      </c>
      <c r="AY1658" s="141">
        <f t="shared" si="2163"/>
        <v>3</v>
      </c>
      <c r="AZ1658">
        <f t="shared" si="2164"/>
        <v>3</v>
      </c>
      <c r="BA1658">
        <f t="shared" si="2165"/>
        <v>0</v>
      </c>
      <c r="BB1658">
        <f t="shared" si="2166"/>
        <v>0</v>
      </c>
      <c r="BC1658">
        <f t="shared" si="2167"/>
        <v>0</v>
      </c>
      <c r="BD1658">
        <f t="shared" si="2168"/>
        <v>0</v>
      </c>
      <c r="BE1658" t="str">
        <f t="array" ref="BE1658">IF(AY1658=1,INDEX($V$7:$AL$7,MATCH(TRUE,INDEX($V1658:$AW1658&lt;&gt;0,),0)),IF(AY1658=0,INDEX($AM$7:$AW$7,MATCH(1,$AM1658:$AW1658,0)),IF(BF1658="Multiple strategies","mixed drivers",IF(BF1658="Supply chain","multiple supply","multiple silviculture"))))</f>
        <v>multiple silviculture</v>
      </c>
      <c r="BF1658" s="2" t="str" cm="1">
        <f t="array" ref="BF1658">IF(COUNTIF(AZ1658:BB1658,"&lt;&gt;0")=1,INDEX($V$4:$AW$4,MATCH(TRUE,INDEX($V1658:$AW1658&lt;&gt;0,),0)),IF(COUNTIF(AZ1658:BB1658,"&lt;&gt;0")=0,INDEX($AM$4:$AW$4,MATCH(1,$AM1658:$AW1658,0)),"Multiple strategies"))</f>
        <v>Silviculture for removals</v>
      </c>
      <c r="BG1658" s="1" t="s">
        <v>321</v>
      </c>
      <c r="BH1658" t="s">
        <v>2452</v>
      </c>
      <c r="BI1658" s="264" t="s">
        <v>3251</v>
      </c>
      <c r="BJ1658" t="s">
        <v>1322</v>
      </c>
      <c r="BK1658">
        <v>300</v>
      </c>
      <c r="BL1658">
        <v>765</v>
      </c>
      <c r="BM1658" s="143">
        <f t="shared" si="2160"/>
        <v>2.5499999999999998</v>
      </c>
      <c r="BN1658">
        <f t="shared" si="2152"/>
        <v>465</v>
      </c>
      <c r="BO1658">
        <f>BN1658*10^6</f>
        <v>465000000</v>
      </c>
      <c r="BP1658" t="s">
        <v>232</v>
      </c>
      <c r="BQ1658" s="153" t="s">
        <v>3252</v>
      </c>
      <c r="BR1658" t="s">
        <v>2324</v>
      </c>
      <c r="BS1658">
        <v>728.49390504704797</v>
      </c>
      <c r="BT1658">
        <v>717.72749144568002</v>
      </c>
      <c r="BU1658" s="144">
        <f t="shared" si="2186"/>
        <v>0.98522099700933996</v>
      </c>
      <c r="BV1658" s="144">
        <f t="shared" si="2169"/>
        <v>-10.766413601367958</v>
      </c>
      <c r="BW1658" s="144"/>
      <c r="BX1658">
        <f t="shared" si="2154"/>
        <v>-10766413.601367958</v>
      </c>
      <c r="BY1658">
        <f t="shared" si="2185"/>
        <v>-2.3153577637350448E-2</v>
      </c>
      <c r="BZ1658">
        <v>0</v>
      </c>
      <c r="CA1658">
        <v>0</v>
      </c>
      <c r="CB1658">
        <v>0</v>
      </c>
      <c r="CC1658">
        <v>0</v>
      </c>
      <c r="CD1658">
        <v>0</v>
      </c>
      <c r="CE1658">
        <v>0</v>
      </c>
      <c r="CF1658">
        <v>0</v>
      </c>
      <c r="CG1658">
        <v>0</v>
      </c>
      <c r="CH1658">
        <v>0</v>
      </c>
      <c r="CI1658">
        <v>0</v>
      </c>
      <c r="CJ1658">
        <v>0</v>
      </c>
      <c r="CK1658">
        <v>0</v>
      </c>
      <c r="CL1658">
        <v>0</v>
      </c>
      <c r="CM1658">
        <v>1</v>
      </c>
      <c r="CN1658" t="str">
        <f t="shared" si="2161"/>
        <v>refOK</v>
      </c>
      <c r="CO1658">
        <f t="shared" si="2190"/>
        <v>300</v>
      </c>
      <c r="CP1658">
        <f t="shared" si="2191"/>
        <v>765</v>
      </c>
      <c r="CQ1658">
        <f t="shared" si="2157"/>
        <v>465000000</v>
      </c>
      <c r="CR1658">
        <f t="shared" si="2170"/>
        <v>728.49390504704797</v>
      </c>
      <c r="CS1658">
        <f t="shared" si="2171"/>
        <v>717.72749144568002</v>
      </c>
      <c r="CT1658">
        <f t="shared" si="2172"/>
        <v>-10766413.601367958</v>
      </c>
      <c r="CU1658">
        <f t="shared" si="2173"/>
        <v>-2.3153577637350448E-2</v>
      </c>
      <c r="CV1658" s="2">
        <f t="shared" si="2174"/>
        <v>-1.4779002990660074E-2</v>
      </c>
      <c r="CW1658" s="1" t="s">
        <v>1202</v>
      </c>
      <c r="CX1658" t="str">
        <f t="shared" si="2175"/>
        <v>reg</v>
      </c>
      <c r="CY1658" t="s">
        <v>639</v>
      </c>
      <c r="CZ1658">
        <v>2000</v>
      </c>
      <c r="DA1658">
        <v>2090</v>
      </c>
      <c r="DB1658">
        <f t="shared" si="2187"/>
        <v>90</v>
      </c>
      <c r="DC1658" t="str">
        <f t="shared" si="2176"/>
        <v>71-100</v>
      </c>
      <c r="DD1658">
        <v>0</v>
      </c>
      <c r="DE1658">
        <v>1</v>
      </c>
      <c r="DF1658">
        <v>0</v>
      </c>
      <c r="DG1658">
        <v>0</v>
      </c>
      <c r="DH1658">
        <v>0</v>
      </c>
      <c r="DI1658">
        <f t="shared" si="2177"/>
        <v>1</v>
      </c>
      <c r="DJ1658" t="str">
        <f t="shared" si="2178"/>
        <v>EnergyInput</v>
      </c>
      <c r="DK1658">
        <f t="shared" si="2179"/>
        <v>0</v>
      </c>
      <c r="DL1658" t="str">
        <f t="shared" si="2180"/>
        <v>Energy</v>
      </c>
      <c r="DM1658">
        <f t="shared" si="2181"/>
        <v>0</v>
      </c>
      <c r="DN1658">
        <f t="shared" si="2182"/>
        <v>0</v>
      </c>
      <c r="DO1658">
        <v>0</v>
      </c>
      <c r="DP1658">
        <v>1</v>
      </c>
      <c r="DQ1658" t="s">
        <v>2482</v>
      </c>
      <c r="DR1658" t="s">
        <v>2483</v>
      </c>
      <c r="DT1658">
        <f t="shared" si="2183"/>
        <v>1</v>
      </c>
      <c r="DU1658" s="143" t="str">
        <f t="shared" si="2184"/>
        <v>external DF used</v>
      </c>
      <c r="DV1658">
        <v>1</v>
      </c>
      <c r="DW1658">
        <v>1</v>
      </c>
      <c r="DX1658">
        <v>1</v>
      </c>
      <c r="DY1658">
        <v>1</v>
      </c>
      <c r="DZ1658">
        <v>1</v>
      </c>
      <c r="EA1658" s="143">
        <v>1</v>
      </c>
      <c r="EB1658">
        <v>1</v>
      </c>
      <c r="EC1658">
        <v>1</v>
      </c>
      <c r="ED1658">
        <v>0</v>
      </c>
      <c r="EE1658">
        <v>0</v>
      </c>
      <c r="EF1658">
        <v>1</v>
      </c>
      <c r="EG1658">
        <v>0</v>
      </c>
      <c r="EH1658">
        <v>0</v>
      </c>
      <c r="EI1658" s="2">
        <v>0</v>
      </c>
      <c r="EK1658" t="str">
        <f t="shared" si="2158"/>
        <v>Whole sector</v>
      </c>
      <c r="EL1658" t="str">
        <f t="shared" si="2159"/>
        <v/>
      </c>
      <c r="EM1658" s="2" t="str">
        <f t="shared" si="2188"/>
        <v/>
      </c>
      <c r="EN1658" t="s">
        <v>2484</v>
      </c>
      <c r="EP1658" t="str">
        <f>IF(ISNUMBER(BU1658),IF(ABS(BU1658-[3]QC_indicators!$B$2)&gt;3*[3]QC_indicators!$C$2,"C ratio",IF(ISNUMBER(BY1658),IF(ABS(BY1658-[3]QC_indicators!$B$1)&gt;3*[3]QC_indicators!$C$1,"DF","no"))),IF(ISNUMBER(BY1658),IF(ABS(BY1658-[3]QC_indicators!$B$1)&gt;3*[3]QC_indicators!$C$1,"DF","no")))</f>
        <v>no</v>
      </c>
      <c r="ET1658" s="264" t="s">
        <v>3253</v>
      </c>
    </row>
    <row r="1659" spans="1:150" ht="15" hidden="1" customHeight="1">
      <c r="A1659" s="1" t="s">
        <v>1807</v>
      </c>
      <c r="B1659" t="s">
        <v>2474</v>
      </c>
      <c r="C1659" t="s">
        <v>2475</v>
      </c>
      <c r="D1659" t="s">
        <v>2476</v>
      </c>
      <c r="E1659" t="s">
        <v>2477</v>
      </c>
      <c r="F1659" t="s">
        <v>2478</v>
      </c>
      <c r="G1659" t="s">
        <v>1813</v>
      </c>
      <c r="H1659" t="s">
        <v>254</v>
      </c>
      <c r="I1659">
        <v>2010</v>
      </c>
      <c r="J1659">
        <v>100</v>
      </c>
      <c r="K1659" t="s">
        <v>2479</v>
      </c>
      <c r="M1659" t="str">
        <f t="shared" si="2120"/>
        <v>Werner_2010</v>
      </c>
      <c r="N1659" t="s">
        <v>222</v>
      </c>
      <c r="O1659" s="145" t="s">
        <v>1153</v>
      </c>
      <c r="Q1659" t="s">
        <v>256</v>
      </c>
      <c r="R1659" s="262" t="s">
        <v>223</v>
      </c>
      <c r="S1659" s="1" t="s">
        <v>2480</v>
      </c>
      <c r="T1659" t="s">
        <v>2481</v>
      </c>
      <c r="U1659" t="s">
        <v>2485</v>
      </c>
      <c r="V1659">
        <v>1</v>
      </c>
      <c r="W1659">
        <v>0</v>
      </c>
      <c r="X1659">
        <v>2</v>
      </c>
      <c r="Y1659">
        <v>0</v>
      </c>
      <c r="Z1659">
        <v>0</v>
      </c>
      <c r="AA1659">
        <v>0</v>
      </c>
      <c r="AB1659">
        <v>0</v>
      </c>
      <c r="AC1659">
        <v>0</v>
      </c>
      <c r="AD1659">
        <v>0</v>
      </c>
      <c r="AE1659">
        <v>0</v>
      </c>
      <c r="AF1659">
        <v>0</v>
      </c>
      <c r="AG1659">
        <v>0</v>
      </c>
      <c r="AH1659">
        <v>0</v>
      </c>
      <c r="AI1659">
        <v>0</v>
      </c>
      <c r="AJ1659">
        <v>0</v>
      </c>
      <c r="AK1659">
        <v>0</v>
      </c>
      <c r="AL1659">
        <v>0</v>
      </c>
      <c r="AM1659">
        <v>0</v>
      </c>
      <c r="AN1659">
        <v>0</v>
      </c>
      <c r="AO1659">
        <v>0</v>
      </c>
      <c r="AP1659">
        <v>0</v>
      </c>
      <c r="AQ1659">
        <v>0</v>
      </c>
      <c r="AR1659">
        <v>0</v>
      </c>
      <c r="AS1659">
        <v>0</v>
      </c>
      <c r="AT1659">
        <v>0</v>
      </c>
      <c r="AU1659">
        <v>0</v>
      </c>
      <c r="AV1659">
        <v>0</v>
      </c>
      <c r="AW1659">
        <v>0</v>
      </c>
      <c r="AX1659" s="141">
        <f t="shared" si="2162"/>
        <v>2</v>
      </c>
      <c r="AY1659" s="141">
        <f t="shared" si="2163"/>
        <v>2</v>
      </c>
      <c r="AZ1659">
        <f t="shared" si="2164"/>
        <v>2</v>
      </c>
      <c r="BA1659">
        <f t="shared" si="2165"/>
        <v>0</v>
      </c>
      <c r="BB1659">
        <f t="shared" si="2166"/>
        <v>0</v>
      </c>
      <c r="BC1659">
        <f t="shared" si="2167"/>
        <v>0</v>
      </c>
      <c r="BD1659">
        <f t="shared" si="2168"/>
        <v>0</v>
      </c>
      <c r="BE1659" t="str">
        <f t="array" ref="BE1659">IF(AY1659=1,INDEX($V$7:$AL$7,MATCH(TRUE,INDEX($V1659:$AW1659&lt;&gt;0,),0)),IF(AY1659=0,INDEX($AM$7:$AW$7,MATCH(1,$AM1659:$AW1659,0)),IF(BF1659="Multiple strategies","mixed drivers",IF(BF1659="Supply chain","multiple supply","multiple silviculture"))))</f>
        <v>multiple silviculture</v>
      </c>
      <c r="BF1659" s="2" t="str" cm="1">
        <f t="array" ref="BF1659">IF(COUNTIF(AZ1659:BB1659,"&lt;&gt;0")=1,INDEX($V$4:$AW$4,MATCH(TRUE,INDEX($V1659:$AW1659&lt;&gt;0,),0)),IF(COUNTIF(AZ1659:BB1659,"&lt;&gt;0")=0,INDEX($AM$4:$AW$4,MATCH(1,$AM1659:$AW1659,0)),"Multiple strategies"))</f>
        <v>Silviculture for removals</v>
      </c>
      <c r="BG1659" s="1" t="s">
        <v>321</v>
      </c>
      <c r="BH1659" t="s">
        <v>2452</v>
      </c>
      <c r="BI1659" s="264" t="s">
        <v>3251</v>
      </c>
      <c r="BJ1659" t="s">
        <v>1322</v>
      </c>
      <c r="BK1659">
        <v>210</v>
      </c>
      <c r="BL1659">
        <v>457.5</v>
      </c>
      <c r="BM1659" s="143">
        <f t="shared" si="2160"/>
        <v>2.1785714285714284</v>
      </c>
      <c r="BN1659">
        <f t="shared" si="2152"/>
        <v>247.5</v>
      </c>
      <c r="BO1659">
        <f>BN1659*1000000</f>
        <v>247500000</v>
      </c>
      <c r="BP1659" t="s">
        <v>232</v>
      </c>
      <c r="BQ1659" s="153" t="s">
        <v>3252</v>
      </c>
      <c r="BR1659" t="s">
        <v>2324</v>
      </c>
      <c r="BS1659">
        <v>644.05341103507203</v>
      </c>
      <c r="BT1659">
        <v>650.17509623609897</v>
      </c>
      <c r="BU1659" s="144">
        <f t="shared" si="2186"/>
        <v>1.0095049340569264</v>
      </c>
      <c r="BV1659" s="144">
        <f t="shared" si="2169"/>
        <v>6.1216852010269349</v>
      </c>
      <c r="BW1659" s="144"/>
      <c r="BX1659">
        <f t="shared" si="2154"/>
        <v>6121685.2010269351</v>
      </c>
      <c r="BY1659">
        <f t="shared" si="2185"/>
        <v>2.4734081620310849E-2</v>
      </c>
      <c r="BZ1659">
        <v>0</v>
      </c>
      <c r="CA1659">
        <v>0</v>
      </c>
      <c r="CB1659">
        <v>0</v>
      </c>
      <c r="CC1659">
        <v>0</v>
      </c>
      <c r="CD1659">
        <v>0</v>
      </c>
      <c r="CE1659">
        <v>0</v>
      </c>
      <c r="CF1659">
        <v>0</v>
      </c>
      <c r="CG1659">
        <v>0</v>
      </c>
      <c r="CH1659">
        <v>0</v>
      </c>
      <c r="CI1659">
        <v>0</v>
      </c>
      <c r="CJ1659">
        <v>0</v>
      </c>
      <c r="CK1659">
        <v>0</v>
      </c>
      <c r="CL1659">
        <v>0</v>
      </c>
      <c r="CM1659">
        <v>1</v>
      </c>
      <c r="CN1659" t="str">
        <f t="shared" si="2161"/>
        <v>refOK</v>
      </c>
      <c r="CO1659">
        <f t="shared" si="2190"/>
        <v>210</v>
      </c>
      <c r="CP1659">
        <f t="shared" si="2191"/>
        <v>457.5</v>
      </c>
      <c r="CQ1659">
        <f t="shared" si="2157"/>
        <v>247500000</v>
      </c>
      <c r="CR1659">
        <f t="shared" si="2170"/>
        <v>644.05341103507203</v>
      </c>
      <c r="CS1659">
        <f t="shared" si="2171"/>
        <v>650.17509623609897</v>
      </c>
      <c r="CT1659">
        <f t="shared" si="2172"/>
        <v>6121685.2010269351</v>
      </c>
      <c r="CU1659">
        <f t="shared" si="2173"/>
        <v>2.4734081620310849E-2</v>
      </c>
      <c r="CV1659" s="2">
        <f t="shared" si="2174"/>
        <v>9.5049340569264961E-3</v>
      </c>
      <c r="CW1659" s="1" t="s">
        <v>1202</v>
      </c>
      <c r="CX1659" t="str">
        <f t="shared" si="2175"/>
        <v>reg</v>
      </c>
      <c r="CY1659" t="s">
        <v>639</v>
      </c>
      <c r="CZ1659">
        <v>2000</v>
      </c>
      <c r="DA1659">
        <v>2060</v>
      </c>
      <c r="DB1659">
        <f t="shared" si="2187"/>
        <v>60</v>
      </c>
      <c r="DC1659" t="str">
        <f t="shared" si="2176"/>
        <v>31-70</v>
      </c>
      <c r="DD1659">
        <v>1</v>
      </c>
      <c r="DE1659">
        <v>1</v>
      </c>
      <c r="DF1659">
        <v>1</v>
      </c>
      <c r="DG1659">
        <v>1</v>
      </c>
      <c r="DH1659">
        <v>0</v>
      </c>
      <c r="DI1659">
        <f t="shared" si="2177"/>
        <v>4</v>
      </c>
      <c r="DJ1659" t="str">
        <f t="shared" si="2178"/>
        <v>mixedProduct</v>
      </c>
      <c r="DK1659" t="str">
        <f t="shared" si="2179"/>
        <v>Upstream</v>
      </c>
      <c r="DL1659" t="str">
        <f t="shared" si="2180"/>
        <v>Energy</v>
      </c>
      <c r="DM1659" t="str">
        <f t="shared" si="2181"/>
        <v>Pulp/Paper</v>
      </c>
      <c r="DN1659" t="str">
        <f t="shared" si="2182"/>
        <v>Timber</v>
      </c>
      <c r="DO1659">
        <v>0</v>
      </c>
      <c r="DP1659">
        <v>1</v>
      </c>
      <c r="DQ1659" t="s">
        <v>2482</v>
      </c>
      <c r="DR1659" t="s">
        <v>2483</v>
      </c>
      <c r="DT1659">
        <f t="shared" si="2183"/>
        <v>1</v>
      </c>
      <c r="DU1659" s="143" t="str">
        <f t="shared" si="2184"/>
        <v>external DF used</v>
      </c>
      <c r="DV1659">
        <v>1</v>
      </c>
      <c r="DW1659">
        <v>1</v>
      </c>
      <c r="DX1659">
        <v>1</v>
      </c>
      <c r="DY1659">
        <v>1</v>
      </c>
      <c r="DZ1659">
        <v>1</v>
      </c>
      <c r="EA1659" s="143">
        <v>1</v>
      </c>
      <c r="EB1659">
        <v>1</v>
      </c>
      <c r="EC1659">
        <v>1</v>
      </c>
      <c r="ED1659">
        <v>0</v>
      </c>
      <c r="EE1659">
        <v>0</v>
      </c>
      <c r="EF1659">
        <v>1</v>
      </c>
      <c r="EG1659">
        <v>0</v>
      </c>
      <c r="EH1659">
        <v>0</v>
      </c>
      <c r="EI1659" s="2">
        <v>0</v>
      </c>
      <c r="EK1659" t="str">
        <f t="shared" si="2158"/>
        <v>Whole sector</v>
      </c>
      <c r="EL1659" t="str">
        <f t="shared" si="2159"/>
        <v/>
      </c>
      <c r="EM1659" s="2" t="str">
        <f t="shared" si="2188"/>
        <v/>
      </c>
      <c r="EN1659" t="s">
        <v>2484</v>
      </c>
      <c r="EP1659" t="str">
        <f>IF(ISNUMBER(BU1659),IF(ABS(BU1659-[3]QC_indicators!$B$2)&gt;3*[3]QC_indicators!$C$2,"C ratio",IF(ISNUMBER(BY1659),IF(ABS(BY1659-[3]QC_indicators!$B$1)&gt;3*[3]QC_indicators!$C$1,"DF","no"))),IF(ISNUMBER(BY1659),IF(ABS(BY1659-[3]QC_indicators!$B$1)&gt;3*[3]QC_indicators!$C$1,"DF","no")))</f>
        <v>no</v>
      </c>
      <c r="ET1659" s="264" t="s">
        <v>3253</v>
      </c>
    </row>
    <row r="1660" spans="1:150" ht="15" hidden="1" customHeight="1">
      <c r="A1660" s="1" t="s">
        <v>1807</v>
      </c>
      <c r="B1660" t="s">
        <v>2474</v>
      </c>
      <c r="C1660" t="s">
        <v>2475</v>
      </c>
      <c r="D1660" t="s">
        <v>2476</v>
      </c>
      <c r="E1660" t="s">
        <v>2477</v>
      </c>
      <c r="F1660" t="s">
        <v>2478</v>
      </c>
      <c r="G1660" t="s">
        <v>1813</v>
      </c>
      <c r="H1660" t="s">
        <v>254</v>
      </c>
      <c r="I1660">
        <v>2010</v>
      </c>
      <c r="J1660">
        <v>100</v>
      </c>
      <c r="K1660" t="s">
        <v>2479</v>
      </c>
      <c r="M1660" t="str">
        <f t="shared" si="2120"/>
        <v>Werner_2010</v>
      </c>
      <c r="N1660" t="s">
        <v>222</v>
      </c>
      <c r="O1660" s="145" t="s">
        <v>1153</v>
      </c>
      <c r="Q1660" t="s">
        <v>256</v>
      </c>
      <c r="R1660" s="262" t="s">
        <v>223</v>
      </c>
      <c r="S1660" s="263" t="s">
        <v>3254</v>
      </c>
      <c r="T1660" t="s">
        <v>2481</v>
      </c>
      <c r="U1660" t="s">
        <v>2486</v>
      </c>
      <c r="V1660">
        <v>2</v>
      </c>
      <c r="W1660">
        <v>0</v>
      </c>
      <c r="X1660">
        <v>1</v>
      </c>
      <c r="Y1660">
        <v>2</v>
      </c>
      <c r="Z1660">
        <v>0</v>
      </c>
      <c r="AA1660">
        <v>0</v>
      </c>
      <c r="AB1660">
        <v>0</v>
      </c>
      <c r="AC1660">
        <v>0</v>
      </c>
      <c r="AD1660">
        <v>0</v>
      </c>
      <c r="AE1660">
        <v>0</v>
      </c>
      <c r="AF1660">
        <v>0</v>
      </c>
      <c r="AG1660">
        <v>0</v>
      </c>
      <c r="AH1660">
        <v>0</v>
      </c>
      <c r="AI1660">
        <v>0</v>
      </c>
      <c r="AJ1660">
        <v>0</v>
      </c>
      <c r="AK1660">
        <v>0</v>
      </c>
      <c r="AL1660">
        <v>0</v>
      </c>
      <c r="AM1660">
        <v>0</v>
      </c>
      <c r="AN1660">
        <v>0</v>
      </c>
      <c r="AO1660">
        <v>0</v>
      </c>
      <c r="AP1660">
        <v>0</v>
      </c>
      <c r="AQ1660">
        <v>0</v>
      </c>
      <c r="AR1660">
        <v>0</v>
      </c>
      <c r="AS1660">
        <v>0</v>
      </c>
      <c r="AT1660">
        <v>0</v>
      </c>
      <c r="AU1660">
        <v>0</v>
      </c>
      <c r="AV1660">
        <v>0</v>
      </c>
      <c r="AW1660">
        <v>0</v>
      </c>
      <c r="AX1660" s="141">
        <f t="shared" si="2162"/>
        <v>3</v>
      </c>
      <c r="AY1660" s="141">
        <f t="shared" si="2163"/>
        <v>3</v>
      </c>
      <c r="AZ1660">
        <f t="shared" si="2164"/>
        <v>3</v>
      </c>
      <c r="BA1660">
        <f t="shared" si="2165"/>
        <v>0</v>
      </c>
      <c r="BB1660">
        <f t="shared" si="2166"/>
        <v>0</v>
      </c>
      <c r="BC1660">
        <f t="shared" si="2167"/>
        <v>0</v>
      </c>
      <c r="BD1660">
        <f t="shared" si="2168"/>
        <v>0</v>
      </c>
      <c r="BE1660" t="str">
        <f t="array" ref="BE1660">IF(AY1660=1,INDEX($V$7:$AL$7,MATCH(TRUE,INDEX($V1660:$AW1660&lt;&gt;0,),0)),IF(AY1660=0,INDEX($AM$7:$AW$7,MATCH(1,$AM1660:$AW1660,0)),IF(BF1660="Multiple strategies","mixed drivers",IF(BF1660="Supply chain","multiple supply","multiple silviculture"))))</f>
        <v>multiple silviculture</v>
      </c>
      <c r="BF1660" s="2" t="str" cm="1">
        <f t="array" ref="BF1660">IF(COUNTIF(AZ1660:BB1660,"&lt;&gt;0")=1,INDEX($V$4:$AW$4,MATCH(TRUE,INDEX($V1660:$AW1660&lt;&gt;0,),0)),IF(COUNTIF(AZ1660:BB1660,"&lt;&gt;0")=0,INDEX($AM$4:$AW$4,MATCH(1,$AM1660:$AW1660,0)),"Multiple strategies"))</f>
        <v>Silviculture for removals</v>
      </c>
      <c r="BG1660" s="1" t="s">
        <v>321</v>
      </c>
      <c r="BH1660" t="s">
        <v>2452</v>
      </c>
      <c r="BI1660" s="264" t="s">
        <v>3251</v>
      </c>
      <c r="BJ1660" t="s">
        <v>1322</v>
      </c>
      <c r="BK1660">
        <v>300</v>
      </c>
      <c r="BL1660">
        <v>765</v>
      </c>
      <c r="BM1660" s="143">
        <f t="shared" si="2160"/>
        <v>2.5499999999999998</v>
      </c>
      <c r="BN1660">
        <f t="shared" si="2152"/>
        <v>465</v>
      </c>
      <c r="BO1660">
        <f>BN1660*10^6</f>
        <v>465000000</v>
      </c>
      <c r="BP1660" t="s">
        <v>232</v>
      </c>
      <c r="BQ1660" s="153" t="s">
        <v>3252</v>
      </c>
      <c r="BR1660" t="s">
        <v>2324</v>
      </c>
      <c r="BS1660">
        <v>728.49390504704797</v>
      </c>
      <c r="BT1660">
        <v>894.96230752780104</v>
      </c>
      <c r="BU1660" s="144">
        <f t="shared" si="2186"/>
        <v>1.2285103572280431</v>
      </c>
      <c r="BV1660" s="144">
        <f t="shared" si="2169"/>
        <v>166.46840248075307</v>
      </c>
      <c r="BW1660" s="144"/>
      <c r="BX1660">
        <f t="shared" si="2154"/>
        <v>166468402.48075306</v>
      </c>
      <c r="BY1660">
        <f t="shared" si="2185"/>
        <v>0.35799656447473777</v>
      </c>
      <c r="BZ1660">
        <v>0</v>
      </c>
      <c r="CA1660">
        <v>0</v>
      </c>
      <c r="CB1660">
        <v>0</v>
      </c>
      <c r="CC1660">
        <v>0</v>
      </c>
      <c r="CD1660">
        <v>0</v>
      </c>
      <c r="CE1660">
        <v>0</v>
      </c>
      <c r="CF1660">
        <v>0</v>
      </c>
      <c r="CG1660">
        <v>0</v>
      </c>
      <c r="CH1660">
        <v>0</v>
      </c>
      <c r="CI1660">
        <v>0</v>
      </c>
      <c r="CJ1660">
        <v>0</v>
      </c>
      <c r="CK1660">
        <v>0</v>
      </c>
      <c r="CL1660">
        <v>0</v>
      </c>
      <c r="CM1660">
        <v>1</v>
      </c>
      <c r="CN1660" t="str">
        <f t="shared" si="2161"/>
        <v>refOK</v>
      </c>
      <c r="CO1660">
        <f t="shared" si="2190"/>
        <v>300</v>
      </c>
      <c r="CP1660">
        <f t="shared" si="2191"/>
        <v>765</v>
      </c>
      <c r="CQ1660">
        <f t="shared" si="2157"/>
        <v>465000000</v>
      </c>
      <c r="CR1660">
        <f t="shared" si="2170"/>
        <v>728.49390504704797</v>
      </c>
      <c r="CS1660">
        <f t="shared" si="2171"/>
        <v>894.96230752780104</v>
      </c>
      <c r="CT1660">
        <f t="shared" si="2172"/>
        <v>166468402.48075306</v>
      </c>
      <c r="CU1660">
        <f t="shared" si="2173"/>
        <v>0.35799656447473777</v>
      </c>
      <c r="CV1660" s="2">
        <f t="shared" si="2174"/>
        <v>0.22851035722804314</v>
      </c>
      <c r="CW1660" s="1" t="s">
        <v>1202</v>
      </c>
      <c r="CX1660" t="str">
        <f t="shared" si="2175"/>
        <v>reg</v>
      </c>
      <c r="CY1660" t="s">
        <v>639</v>
      </c>
      <c r="CZ1660">
        <v>2000</v>
      </c>
      <c r="DA1660">
        <v>2090</v>
      </c>
      <c r="DB1660">
        <f t="shared" si="2187"/>
        <v>90</v>
      </c>
      <c r="DC1660" t="str">
        <f t="shared" si="2176"/>
        <v>71-100</v>
      </c>
      <c r="DD1660">
        <v>0</v>
      </c>
      <c r="DE1660">
        <v>0</v>
      </c>
      <c r="DF1660">
        <v>0</v>
      </c>
      <c r="DG1660">
        <v>1</v>
      </c>
      <c r="DH1660">
        <v>0</v>
      </c>
      <c r="DI1660">
        <f t="shared" si="2177"/>
        <v>1</v>
      </c>
      <c r="DJ1660" t="str">
        <f t="shared" si="2178"/>
        <v>TimberInput</v>
      </c>
      <c r="DK1660">
        <f t="shared" si="2179"/>
        <v>0</v>
      </c>
      <c r="DL1660">
        <f t="shared" si="2180"/>
        <v>0</v>
      </c>
      <c r="DM1660">
        <f t="shared" si="2181"/>
        <v>0</v>
      </c>
      <c r="DN1660" t="str">
        <f t="shared" si="2182"/>
        <v>Timber</v>
      </c>
      <c r="DO1660">
        <v>0</v>
      </c>
      <c r="DP1660">
        <v>1</v>
      </c>
      <c r="DQ1660" t="s">
        <v>2482</v>
      </c>
      <c r="DR1660" t="s">
        <v>2483</v>
      </c>
      <c r="DT1660">
        <f t="shared" si="2183"/>
        <v>1</v>
      </c>
      <c r="DU1660" s="143" t="str">
        <f t="shared" si="2184"/>
        <v>external DF used</v>
      </c>
      <c r="DV1660">
        <v>1</v>
      </c>
      <c r="DW1660">
        <v>1</v>
      </c>
      <c r="DX1660">
        <v>1</v>
      </c>
      <c r="DY1660">
        <v>1</v>
      </c>
      <c r="DZ1660">
        <v>1</v>
      </c>
      <c r="EA1660" s="143">
        <v>1</v>
      </c>
      <c r="EB1660">
        <v>1</v>
      </c>
      <c r="EC1660">
        <v>1</v>
      </c>
      <c r="ED1660">
        <v>0</v>
      </c>
      <c r="EE1660">
        <v>0</v>
      </c>
      <c r="EF1660">
        <v>1</v>
      </c>
      <c r="EG1660">
        <v>0</v>
      </c>
      <c r="EH1660">
        <v>0</v>
      </c>
      <c r="EI1660" s="2">
        <v>0</v>
      </c>
      <c r="EK1660" t="str">
        <f t="shared" si="2158"/>
        <v>Whole sector</v>
      </c>
      <c r="EL1660" t="str">
        <f t="shared" si="2159"/>
        <v/>
      </c>
      <c r="EM1660" s="2" t="str">
        <f t="shared" si="2188"/>
        <v/>
      </c>
      <c r="EN1660" t="s">
        <v>2484</v>
      </c>
      <c r="EP1660" t="str">
        <f>IF(ISNUMBER(BU1660),IF(ABS(BU1660-[3]QC_indicators!$B$2)&gt;3*[3]QC_indicators!$C$2,"C ratio",IF(ISNUMBER(BY1660),IF(ABS(BY1660-[3]QC_indicators!$B$1)&gt;3*[3]QC_indicators!$C$1,"DF","no"))),IF(ISNUMBER(BY1660),IF(ABS(BY1660-[3]QC_indicators!$B$1)&gt;3*[3]QC_indicators!$C$1,"DF","no")))</f>
        <v>no</v>
      </c>
      <c r="ET1660" s="264" t="s">
        <v>3253</v>
      </c>
    </row>
    <row r="1661" spans="1:150" ht="15" hidden="1" customHeight="1">
      <c r="A1661" s="1" t="s">
        <v>1807</v>
      </c>
      <c r="B1661" t="s">
        <v>2474</v>
      </c>
      <c r="C1661" t="s">
        <v>2475</v>
      </c>
      <c r="D1661" t="s">
        <v>2476</v>
      </c>
      <c r="E1661" t="s">
        <v>2477</v>
      </c>
      <c r="F1661" t="s">
        <v>2478</v>
      </c>
      <c r="G1661" t="s">
        <v>1813</v>
      </c>
      <c r="H1661" t="s">
        <v>254</v>
      </c>
      <c r="I1661">
        <v>2010</v>
      </c>
      <c r="J1661">
        <v>100</v>
      </c>
      <c r="K1661" t="s">
        <v>2479</v>
      </c>
      <c r="M1661" t="str">
        <f t="shared" si="2120"/>
        <v>Werner_2010</v>
      </c>
      <c r="N1661" t="s">
        <v>222</v>
      </c>
      <c r="O1661" s="145" t="s">
        <v>1153</v>
      </c>
      <c r="Q1661" t="s">
        <v>256</v>
      </c>
      <c r="R1661" s="262" t="s">
        <v>223</v>
      </c>
      <c r="S1661" s="1" t="s">
        <v>2480</v>
      </c>
      <c r="T1661" t="s">
        <v>2481</v>
      </c>
      <c r="U1661" t="s">
        <v>2485</v>
      </c>
      <c r="V1661">
        <v>1</v>
      </c>
      <c r="W1661">
        <v>0</v>
      </c>
      <c r="X1661">
        <v>2</v>
      </c>
      <c r="Y1661">
        <v>0</v>
      </c>
      <c r="Z1661">
        <v>0</v>
      </c>
      <c r="AA1661">
        <v>0</v>
      </c>
      <c r="AB1661">
        <v>0</v>
      </c>
      <c r="AC1661">
        <v>0</v>
      </c>
      <c r="AD1661">
        <v>0</v>
      </c>
      <c r="AE1661">
        <v>0</v>
      </c>
      <c r="AF1661">
        <v>0</v>
      </c>
      <c r="AG1661">
        <v>0</v>
      </c>
      <c r="AH1661">
        <v>0</v>
      </c>
      <c r="AI1661">
        <v>0</v>
      </c>
      <c r="AJ1661">
        <v>0</v>
      </c>
      <c r="AK1661">
        <v>0</v>
      </c>
      <c r="AL1661">
        <v>0</v>
      </c>
      <c r="AM1661">
        <v>0</v>
      </c>
      <c r="AN1661">
        <v>0</v>
      </c>
      <c r="AO1661">
        <v>0</v>
      </c>
      <c r="AP1661">
        <v>0</v>
      </c>
      <c r="AQ1661">
        <v>0</v>
      </c>
      <c r="AR1661">
        <v>0</v>
      </c>
      <c r="AS1661">
        <v>0</v>
      </c>
      <c r="AT1661">
        <v>0</v>
      </c>
      <c r="AU1661">
        <v>0</v>
      </c>
      <c r="AV1661">
        <v>0</v>
      </c>
      <c r="AW1661">
        <v>0</v>
      </c>
      <c r="AX1661" s="141">
        <f t="shared" si="2162"/>
        <v>2</v>
      </c>
      <c r="AY1661" s="141">
        <f t="shared" si="2163"/>
        <v>2</v>
      </c>
      <c r="AZ1661">
        <f t="shared" si="2164"/>
        <v>2</v>
      </c>
      <c r="BA1661">
        <f t="shared" si="2165"/>
        <v>0</v>
      </c>
      <c r="BB1661">
        <f t="shared" si="2166"/>
        <v>0</v>
      </c>
      <c r="BC1661">
        <f t="shared" si="2167"/>
        <v>0</v>
      </c>
      <c r="BD1661">
        <f t="shared" si="2168"/>
        <v>0</v>
      </c>
      <c r="BE1661" t="str">
        <f t="array" ref="BE1661">IF(AY1661=1,INDEX($V$7:$AL$7,MATCH(TRUE,INDEX($V1661:$AW1661&lt;&gt;0,),0)),IF(AY1661=0,INDEX($AM$7:$AW$7,MATCH(1,$AM1661:$AW1661,0)),IF(BF1661="Multiple strategies","mixed drivers",IF(BF1661="Supply chain","multiple supply","multiple silviculture"))))</f>
        <v>multiple silviculture</v>
      </c>
      <c r="BF1661" s="2" t="str" cm="1">
        <f t="array" ref="BF1661">IF(COUNTIF(AZ1661:BB1661,"&lt;&gt;0")=1,INDEX($V$4:$AW$4,MATCH(TRUE,INDEX($V1661:$AW1661&lt;&gt;0,),0)),IF(COUNTIF(AZ1661:BB1661,"&lt;&gt;0")=0,INDEX($AM$4:$AW$4,MATCH(1,$AM1661:$AW1661,0)),"Multiple strategies"))</f>
        <v>Silviculture for removals</v>
      </c>
      <c r="BG1661" s="1" t="s">
        <v>321</v>
      </c>
      <c r="BH1661" t="s">
        <v>2452</v>
      </c>
      <c r="BI1661" s="264" t="s">
        <v>3251</v>
      </c>
      <c r="BJ1661" t="s">
        <v>1322</v>
      </c>
      <c r="BK1661">
        <v>300</v>
      </c>
      <c r="BL1661">
        <v>712.5</v>
      </c>
      <c r="BM1661" s="143">
        <f t="shared" si="2160"/>
        <v>2.375</v>
      </c>
      <c r="BN1661">
        <f t="shared" si="2152"/>
        <v>412.5</v>
      </c>
      <c r="BO1661">
        <f>BN1661*1000000</f>
        <v>412500000</v>
      </c>
      <c r="BP1661" t="s">
        <v>232</v>
      </c>
      <c r="BQ1661" s="153" t="s">
        <v>3252</v>
      </c>
      <c r="BR1661" t="s">
        <v>2324</v>
      </c>
      <c r="BS1661">
        <v>728.49390504704797</v>
      </c>
      <c r="BT1661">
        <v>932.44760479041895</v>
      </c>
      <c r="BU1661" s="144">
        <f t="shared" si="2186"/>
        <v>1.2799662403904384</v>
      </c>
      <c r="BV1661" s="144">
        <f t="shared" si="2169"/>
        <v>203.95369974337098</v>
      </c>
      <c r="BW1661" s="144"/>
      <c r="BX1661">
        <f t="shared" si="2154"/>
        <v>203953699.74337098</v>
      </c>
      <c r="BY1661">
        <f t="shared" si="2185"/>
        <v>0.49443321149908115</v>
      </c>
      <c r="BZ1661">
        <v>0</v>
      </c>
      <c r="CA1661">
        <v>0</v>
      </c>
      <c r="CB1661">
        <v>0</v>
      </c>
      <c r="CC1661">
        <v>0</v>
      </c>
      <c r="CD1661">
        <v>0</v>
      </c>
      <c r="CE1661">
        <v>0</v>
      </c>
      <c r="CF1661">
        <v>0</v>
      </c>
      <c r="CG1661">
        <v>0</v>
      </c>
      <c r="CH1661">
        <v>0</v>
      </c>
      <c r="CI1661">
        <v>0</v>
      </c>
      <c r="CJ1661">
        <v>0</v>
      </c>
      <c r="CK1661">
        <v>0</v>
      </c>
      <c r="CL1661">
        <v>0</v>
      </c>
      <c r="CM1661">
        <v>1</v>
      </c>
      <c r="CN1661" t="str">
        <f t="shared" si="2161"/>
        <v>refOK</v>
      </c>
      <c r="CO1661">
        <f t="shared" si="2190"/>
        <v>300</v>
      </c>
      <c r="CP1661">
        <f t="shared" si="2191"/>
        <v>712.5</v>
      </c>
      <c r="CQ1661">
        <f t="shared" si="2157"/>
        <v>412500000</v>
      </c>
      <c r="CR1661">
        <f t="shared" si="2170"/>
        <v>728.49390504704797</v>
      </c>
      <c r="CS1661">
        <f t="shared" si="2171"/>
        <v>932.44760479041895</v>
      </c>
      <c r="CT1661">
        <f t="shared" si="2172"/>
        <v>203953699.74337098</v>
      </c>
      <c r="CU1661">
        <f t="shared" si="2173"/>
        <v>0.49443321149908115</v>
      </c>
      <c r="CV1661" s="2">
        <f t="shared" si="2174"/>
        <v>0.27996624039043833</v>
      </c>
      <c r="CW1661" s="1" t="s">
        <v>1202</v>
      </c>
      <c r="CX1661" t="str">
        <f t="shared" si="2175"/>
        <v>reg</v>
      </c>
      <c r="CY1661" t="s">
        <v>639</v>
      </c>
      <c r="CZ1661">
        <v>2000</v>
      </c>
      <c r="DA1661">
        <v>2090</v>
      </c>
      <c r="DB1661">
        <f t="shared" si="2187"/>
        <v>90</v>
      </c>
      <c r="DC1661" t="str">
        <f t="shared" si="2176"/>
        <v>71-100</v>
      </c>
      <c r="DD1661">
        <v>1</v>
      </c>
      <c r="DE1661">
        <v>1</v>
      </c>
      <c r="DF1661">
        <v>1</v>
      </c>
      <c r="DG1661">
        <v>1</v>
      </c>
      <c r="DH1661">
        <v>0</v>
      </c>
      <c r="DI1661">
        <f t="shared" si="2177"/>
        <v>4</v>
      </c>
      <c r="DJ1661" t="str">
        <f t="shared" si="2178"/>
        <v>mixedProduct</v>
      </c>
      <c r="DK1661" t="str">
        <f t="shared" si="2179"/>
        <v>Upstream</v>
      </c>
      <c r="DL1661" t="str">
        <f t="shared" si="2180"/>
        <v>Energy</v>
      </c>
      <c r="DM1661" t="str">
        <f t="shared" si="2181"/>
        <v>Pulp/Paper</v>
      </c>
      <c r="DN1661" t="str">
        <f t="shared" si="2182"/>
        <v>Timber</v>
      </c>
      <c r="DO1661">
        <v>0</v>
      </c>
      <c r="DP1661">
        <v>1</v>
      </c>
      <c r="DQ1661" t="s">
        <v>2482</v>
      </c>
      <c r="DR1661" t="s">
        <v>2483</v>
      </c>
      <c r="DT1661">
        <f t="shared" si="2183"/>
        <v>1</v>
      </c>
      <c r="DU1661" s="143" t="str">
        <f t="shared" si="2184"/>
        <v>external DF used</v>
      </c>
      <c r="DV1661">
        <v>1</v>
      </c>
      <c r="DW1661">
        <v>1</v>
      </c>
      <c r="DX1661">
        <v>1</v>
      </c>
      <c r="DY1661">
        <v>1</v>
      </c>
      <c r="DZ1661">
        <v>1</v>
      </c>
      <c r="EA1661" s="143">
        <v>1</v>
      </c>
      <c r="EB1661">
        <v>1</v>
      </c>
      <c r="EC1661">
        <v>1</v>
      </c>
      <c r="ED1661">
        <v>0</v>
      </c>
      <c r="EE1661">
        <v>0</v>
      </c>
      <c r="EF1661">
        <v>1</v>
      </c>
      <c r="EG1661">
        <v>0</v>
      </c>
      <c r="EH1661">
        <v>0</v>
      </c>
      <c r="EI1661" s="2">
        <v>0</v>
      </c>
      <c r="EK1661" t="str">
        <f t="shared" si="2158"/>
        <v>Whole sector</v>
      </c>
      <c r="EL1661" t="str">
        <f t="shared" si="2159"/>
        <v/>
      </c>
      <c r="EM1661" s="2" t="str">
        <f t="shared" si="2188"/>
        <v/>
      </c>
      <c r="EN1661" t="s">
        <v>2484</v>
      </c>
      <c r="EP1661" t="str">
        <f>IF(ISNUMBER(BU1661),IF(ABS(BU1661-[3]QC_indicators!$B$2)&gt;3*[3]QC_indicators!$C$2,"C ratio",IF(ISNUMBER(BY1661),IF(ABS(BY1661-[3]QC_indicators!$B$1)&gt;3*[3]QC_indicators!$C$1,"DF","no"))),IF(ISNUMBER(BY1661),IF(ABS(BY1661-[3]QC_indicators!$B$1)&gt;3*[3]QC_indicators!$C$1,"DF","no")))</f>
        <v>no</v>
      </c>
      <c r="ET1661" s="264" t="s">
        <v>3253</v>
      </c>
    </row>
    <row r="1662" spans="1:150" ht="15" hidden="1" customHeight="1">
      <c r="A1662" s="1" t="s">
        <v>380</v>
      </c>
      <c r="B1662" t="s">
        <v>4900</v>
      </c>
      <c r="C1662" t="s">
        <v>4901</v>
      </c>
      <c r="D1662" t="s">
        <v>4902</v>
      </c>
      <c r="E1662" t="s">
        <v>4903</v>
      </c>
      <c r="F1662" t="s">
        <v>4904</v>
      </c>
      <c r="G1662" t="s">
        <v>386</v>
      </c>
      <c r="H1662" t="s">
        <v>254</v>
      </c>
      <c r="I1662">
        <v>2012</v>
      </c>
      <c r="J1662">
        <v>108</v>
      </c>
      <c r="K1662" t="s">
        <v>4905</v>
      </c>
      <c r="M1662" t="str">
        <f t="shared" si="2120"/>
        <v>Wu_2012</v>
      </c>
      <c r="N1662" t="s">
        <v>1351</v>
      </c>
      <c r="O1662" s="145" t="s">
        <v>1153</v>
      </c>
      <c r="Q1662" s="311" t="s">
        <v>256</v>
      </c>
      <c r="R1662" s="312"/>
      <c r="AX1662" s="141"/>
      <c r="AY1662" s="141"/>
      <c r="BE1662"/>
      <c r="BF1662" s="2"/>
      <c r="BM1662" s="143"/>
      <c r="BN1662" s="143"/>
      <c r="BU1662" s="144"/>
      <c r="BV1662" s="144"/>
      <c r="BW1662" s="144"/>
      <c r="BX1662" s="144"/>
      <c r="BY1662" t="str">
        <f t="shared" si="2185"/>
        <v/>
      </c>
      <c r="CN1662"/>
      <c r="CO1662"/>
      <c r="CP1662"/>
      <c r="CQ1662"/>
      <c r="CR1662"/>
      <c r="CS1662"/>
      <c r="CT1662"/>
      <c r="CU1662"/>
      <c r="CV1662" s="2"/>
      <c r="CX1662"/>
      <c r="DC1662"/>
      <c r="DI1662"/>
      <c r="DJ1662"/>
      <c r="DK1662"/>
      <c r="DL1662"/>
      <c r="DM1662"/>
      <c r="DN1662"/>
      <c r="DT1662"/>
      <c r="DU1662" s="143"/>
      <c r="EJ1662" s="186"/>
      <c r="EK1662" t="str">
        <f>IF(AND(AND(AND(OR($DX1662=1,$DW1662=1),OR($EC1662=1,$EA1662=1)),SUM($DV1662:$DZ1662,$EF1662)&gt;=3),SUM($EA1662:$EE1662)&gt;=2),"Whole sector","")</f>
        <v/>
      </c>
      <c r="EL1662" t="str">
        <f>IF(AND(AND(OR($DX1662=1,$DW1662=1),AND($EC1662=0,$EA1662=0)),SUM($DV1662:$DZ1662,$EF1662)&gt;=3),"Ecosystem approach","")</f>
        <v/>
      </c>
      <c r="EM1662" s="2" t="str">
        <f t="shared" si="2188"/>
        <v/>
      </c>
      <c r="EN1662" t="s">
        <v>4906</v>
      </c>
      <c r="EO1662" t="s">
        <v>4328</v>
      </c>
      <c r="EP1662" t="b">
        <f>IF(ISNUMBER(BU1662),IF(ABS(BU1662-[1]QC_indicators!$B$2)&gt;3*[1]QC_indicators!$C$2,"C ratio",IF(ISNUMBER(BY1662),IF(ABS(BY1662-[1]QC_indicators!$B$1)&gt;3*[1]QC_indicators!$C$1,"DF","no"))),IF(ISNUMBER(BY1662),IF(ABS(BY1662-[1]QC_indicators!$B$1)&gt;3*[1]QC_indicators!$C$1,"DF","no")))</f>
        <v>0</v>
      </c>
      <c r="ET1662" s="185"/>
    </row>
    <row r="1663" spans="1:150" hidden="1">
      <c r="A1663" s="1" t="s">
        <v>380</v>
      </c>
      <c r="B1663" t="s">
        <v>1184</v>
      </c>
      <c r="C1663" t="s">
        <v>1185</v>
      </c>
      <c r="D1663" t="s">
        <v>1186</v>
      </c>
      <c r="E1663" t="s">
        <v>1187</v>
      </c>
      <c r="F1663" t="s">
        <v>1188</v>
      </c>
      <c r="G1663" t="s">
        <v>386</v>
      </c>
      <c r="H1663" t="s">
        <v>254</v>
      </c>
      <c r="I1663">
        <v>2013</v>
      </c>
      <c r="J1663">
        <v>44</v>
      </c>
      <c r="K1663" t="s">
        <v>1189</v>
      </c>
      <c r="M1663" t="str">
        <f t="shared" si="2120"/>
        <v>Ximenes_2013</v>
      </c>
      <c r="N1663" t="s">
        <v>222</v>
      </c>
      <c r="O1663" s="145" t="s">
        <v>1153</v>
      </c>
      <c r="Q1663" t="s">
        <v>256</v>
      </c>
      <c r="R1663" s="255" t="s">
        <v>225</v>
      </c>
      <c r="S1663" s="1" t="s">
        <v>1190</v>
      </c>
      <c r="T1663" t="s">
        <v>1191</v>
      </c>
      <c r="U1663" t="s">
        <v>1192</v>
      </c>
      <c r="V1663">
        <v>0</v>
      </c>
      <c r="W1663">
        <v>0</v>
      </c>
      <c r="X1663">
        <v>0</v>
      </c>
      <c r="Y1663">
        <v>0</v>
      </c>
      <c r="Z1663">
        <v>0</v>
      </c>
      <c r="AA1663">
        <v>0</v>
      </c>
      <c r="AB1663">
        <v>0</v>
      </c>
      <c r="AC1663">
        <v>0</v>
      </c>
      <c r="AD1663">
        <v>0</v>
      </c>
      <c r="AE1663">
        <v>0</v>
      </c>
      <c r="AF1663">
        <v>0</v>
      </c>
      <c r="AG1663">
        <v>0</v>
      </c>
      <c r="AH1663">
        <v>0</v>
      </c>
      <c r="AI1663">
        <v>0</v>
      </c>
      <c r="AJ1663">
        <v>0</v>
      </c>
      <c r="AK1663">
        <v>1</v>
      </c>
      <c r="AL1663">
        <v>0</v>
      </c>
      <c r="AM1663">
        <v>0</v>
      </c>
      <c r="AN1663">
        <v>0</v>
      </c>
      <c r="AO1663">
        <v>0</v>
      </c>
      <c r="AP1663">
        <v>0</v>
      </c>
      <c r="AQ1663">
        <v>0</v>
      </c>
      <c r="AR1663">
        <v>0</v>
      </c>
      <c r="AS1663">
        <v>0</v>
      </c>
      <c r="AT1663">
        <v>0</v>
      </c>
      <c r="AU1663">
        <v>0</v>
      </c>
      <c r="AV1663">
        <v>0</v>
      </c>
      <c r="AW1663">
        <v>0</v>
      </c>
      <c r="AX1663" s="141">
        <f>COUNTIF(V1663:AW1663,"&lt;&gt;0")</f>
        <v>1</v>
      </c>
      <c r="AY1663" s="141">
        <f>COUNTIF(V1663:AL1663,"&lt;&gt;0")</f>
        <v>1</v>
      </c>
      <c r="AZ1663">
        <f>COUNTIF(V1663:AC1663,"&lt;&gt;0")</f>
        <v>0</v>
      </c>
      <c r="BA1663">
        <f>COUNTIF(AD1663:AI1663,"&lt;&gt;0")</f>
        <v>0</v>
      </c>
      <c r="BB1663">
        <f>COUNTIF(AJ1663:AL1663,"&lt;&gt;0")</f>
        <v>1</v>
      </c>
      <c r="BC1663">
        <f>COUNTIF(AS1663:AW1663,"&lt;&gt;0")</f>
        <v>0</v>
      </c>
      <c r="BD1663">
        <f>COUNTIF(AM1663:AR1663,"&lt;&gt;0")</f>
        <v>0</v>
      </c>
      <c r="BE1663" t="str">
        <f t="array" ref="BE1663">IF(AY1663=1,INDEX($V$7:$AL$7,MATCH(TRUE,INDEX($V1663:$AW1663&lt;&gt;0,),0)),IF(AY1663=0,INDEX($AM$7:$AW$7,MATCH(1,$AM1663:$AW1663,0)),IF(BF1663="Multiple strategies","mixed drivers",IF(BF1663="Supply chain","multiple supply","multiple silviculture"))))</f>
        <v>technologies/design switch</v>
      </c>
      <c r="BF1663" s="2" t="str" cm="1">
        <f t="array" ref="BF1663">IF(COUNTIF(AZ1663:BB1663,"&lt;&gt;0")=1,INDEX($V$4:$AW$4,MATCH(TRUE,INDEX($V1663:$AW1663&lt;&gt;0,),0)),IF(COUNTIF(AZ1663:BB1663,"&lt;&gt;0")=0,INDEX($AM$4:$AW$4,MATCH(1,$AM1663:$AW1663,0)),"Multiple strategies"))</f>
        <v>Technology</v>
      </c>
      <c r="BG1663" s="1" t="s">
        <v>229</v>
      </c>
      <c r="BH1663" t="s">
        <v>1193</v>
      </c>
      <c r="BI1663" s="260" t="s">
        <v>3402</v>
      </c>
      <c r="BJ1663" s="264" t="s">
        <v>3403</v>
      </c>
      <c r="BK1663" s="260">
        <f>7.325</f>
        <v>7.3250000000000002</v>
      </c>
      <c r="BL1663" s="260">
        <v>14.244</v>
      </c>
      <c r="BM1663" s="143">
        <f>BL1663/BK1663</f>
        <v>1.9445733788395905</v>
      </c>
      <c r="BN1663">
        <f>BL1663-BK1663</f>
        <v>6.9189999999999996</v>
      </c>
      <c r="BO1663">
        <f>+BN1663/C_to_CO2*1000/0.245</f>
        <v>7695.0453205805479</v>
      </c>
      <c r="BP1663" t="s">
        <v>232</v>
      </c>
      <c r="BQ1663" s="260" t="s">
        <v>3404</v>
      </c>
      <c r="BR1663" t="s">
        <v>1194</v>
      </c>
      <c r="BS1663">
        <v>-59.593023255813996</v>
      </c>
      <c r="BT1663">
        <v>-31.918604651162703</v>
      </c>
      <c r="BU1663" s="144">
        <f>IFERROR(BT1663/BS1663,"")</f>
        <v>0.53560975609755912</v>
      </c>
      <c r="BV1663" s="144">
        <f>BT1663-BS1663</f>
        <v>27.674418604651294</v>
      </c>
      <c r="BW1663" s="144"/>
      <c r="BX1663" s="144">
        <f>BV1663</f>
        <v>27.674418604651294</v>
      </c>
      <c r="BY1663">
        <f t="shared" si="2185"/>
        <v>3.5963944917433463E-3</v>
      </c>
      <c r="BZ1663">
        <v>0</v>
      </c>
      <c r="CA1663">
        <v>0</v>
      </c>
      <c r="CB1663">
        <v>0</v>
      </c>
      <c r="CC1663">
        <v>0</v>
      </c>
      <c r="CD1663">
        <v>0</v>
      </c>
      <c r="CE1663">
        <v>0</v>
      </c>
      <c r="CF1663">
        <v>0</v>
      </c>
      <c r="CG1663">
        <v>0</v>
      </c>
      <c r="CH1663">
        <v>0</v>
      </c>
      <c r="CI1663">
        <v>0</v>
      </c>
      <c r="CJ1663">
        <v>0</v>
      </c>
      <c r="CK1663">
        <v>0</v>
      </c>
      <c r="CL1663">
        <v>0</v>
      </c>
      <c r="CM1663">
        <v>0</v>
      </c>
      <c r="CN1663" t="str">
        <f>IF($BL1663&lt;$BK1663,"refNeedCorrection","refOK")</f>
        <v>refOK</v>
      </c>
      <c r="CO1663">
        <f>IF($CN1663="refNeedCorrection",BL1663,BK1663)</f>
        <v>7.3250000000000002</v>
      </c>
      <c r="CP1663">
        <f>IF($CN1663="refNeedCorrection",BK1663,BL1663)</f>
        <v>14.244</v>
      </c>
      <c r="CQ1663">
        <f>IF($CN1663="refOK",$BO1663,-$BO1663)</f>
        <v>7695.0453205805479</v>
      </c>
      <c r="CR1663">
        <f>IF($CN1663="refOK",$BS1663,$BT1663)*IF($BP1663="Emissions positive",-1,1)</f>
        <v>-59.593023255813996</v>
      </c>
      <c r="CS1663">
        <f>IF($CN1663="refOK",$BT1663,$BS1663)*IF($BP1663="Emissions positive",-1,1)</f>
        <v>-31.918604651162703</v>
      </c>
      <c r="CT1663">
        <f>IF($CN1663="refNeedCorrection",-BX1663,BX1663)*IF($BP1663="Emissions positive",-1,1)</f>
        <v>27.674418604651294</v>
      </c>
      <c r="CU1663">
        <f>IFERROR(CT1663/CQ1663,"")</f>
        <v>3.5963944917433463E-3</v>
      </c>
      <c r="CV1663" s="2">
        <f>IFERROR((CS1663-CR1663)/ABS(CR1663),"")</f>
        <v>0.46439024390244088</v>
      </c>
      <c r="CW1663" s="1" t="s">
        <v>263</v>
      </c>
      <c r="CX1663" t="str">
        <f>IF(OR($CW1663="prd",$CW1663="std",$CW1663="cit"),"loc",IF(OR($CW1663="eur",$CW1663="reg",$CW1663="coy"),"reg",$CW1663))</f>
        <v>loc</v>
      </c>
      <c r="CY1663" t="s">
        <v>574</v>
      </c>
      <c r="DB1663">
        <f>DA1663-CZ1663</f>
        <v>0</v>
      </c>
      <c r="DC1663" t="str">
        <f>IF(DB1663=0,"0",IF(AND(DB1663&gt;=1,DB1663&lt;=30),"1-30",IF(AND(DB1663&gt;30,DB1663&lt;=70),"31-70",IF(AND(DB1663&gt;70,DB1663&lt;=100),"71-100",IF(DB1663&gt;100,"+100")))))</f>
        <v>0</v>
      </c>
      <c r="DD1663">
        <v>0</v>
      </c>
      <c r="DE1663">
        <v>0</v>
      </c>
      <c r="DF1663">
        <v>0</v>
      </c>
      <c r="DG1663">
        <v>1</v>
      </c>
      <c r="DH1663">
        <v>0</v>
      </c>
      <c r="DI1663">
        <f>SUM(DD1663:DG1663)</f>
        <v>1</v>
      </c>
      <c r="DJ1663" t="str">
        <f>IF(DI1663=1,INDEX($DD$7:$DG$7,MATCH(1,$DD1663:$DG1663,0)),"mixedProduct")</f>
        <v>TimberInput</v>
      </c>
      <c r="DK1663">
        <f t="shared" ref="DK1663:DN1664" si="2192">IF(DD1663=1,DK$7,0)</f>
        <v>0</v>
      </c>
      <c r="DL1663">
        <f t="shared" si="2192"/>
        <v>0</v>
      </c>
      <c r="DM1663">
        <f t="shared" si="2192"/>
        <v>0</v>
      </c>
      <c r="DN1663" t="str">
        <f t="shared" si="2192"/>
        <v>Timber</v>
      </c>
      <c r="DO1663">
        <v>0</v>
      </c>
      <c r="DP1663">
        <v>0</v>
      </c>
      <c r="DQ1663">
        <v>0</v>
      </c>
      <c r="DR1663">
        <v>0</v>
      </c>
      <c r="DS1663">
        <v>0</v>
      </c>
      <c r="DT1663">
        <f>SUM(DO1663:DP1663)</f>
        <v>0</v>
      </c>
      <c r="DU1663" s="143" t="str">
        <f>IF(DO1663=1,"self-calculated DF",IF(DP1663=1,"external DF used","explicit C balance"))</f>
        <v>explicit C balance</v>
      </c>
      <c r="DV1663">
        <v>0</v>
      </c>
      <c r="DW1663">
        <v>0</v>
      </c>
      <c r="DX1663">
        <v>0</v>
      </c>
      <c r="DY1663">
        <v>0</v>
      </c>
      <c r="DZ1663">
        <v>0</v>
      </c>
      <c r="EA1663" s="143">
        <v>0</v>
      </c>
      <c r="EB1663">
        <v>1</v>
      </c>
      <c r="EC1663">
        <v>1</v>
      </c>
      <c r="ED1663">
        <v>1</v>
      </c>
      <c r="EE1663">
        <v>1</v>
      </c>
      <c r="EF1663">
        <v>0</v>
      </c>
      <c r="EG1663">
        <v>0</v>
      </c>
      <c r="EH1663">
        <v>0</v>
      </c>
      <c r="EI1663" s="2">
        <v>0</v>
      </c>
      <c r="EK1663" t="str">
        <f>IF(AND(AND(AND(OR($DX1663=1,$DW1663=1),OR($EC1663=1,$EA1663=1)),SUM($DV1663:$DZ1663,$EF1663)&gt;=4),SUM($EA1663:$EE1663)&gt;=2),"Whole sector","")</f>
        <v/>
      </c>
      <c r="EL1663" t="str">
        <f>IF(AND(AND(OR($DX1663=1,$DW1663=1),AND($EC1663=0,$EA1663=0)),SUM($DV1663:$DZ1663,$EF1663)&gt;=4),"Ecosystem approach","")</f>
        <v/>
      </c>
      <c r="EM1663" s="2" t="str">
        <f t="shared" si="2188"/>
        <v>Technology approach</v>
      </c>
      <c r="EN1663" t="s">
        <v>1195</v>
      </c>
      <c r="EP1663" t="str">
        <f>IF(ISNUMBER(BU1663),IF(ABS(BU1663-[5]QC_indicators!$B$2)&gt;3*[5]QC_indicators!$C$2,"C ratio",IF(ISNUMBER(BY1663),IF(ABS(BY1663-[5]QC_indicators!$B$1)&gt;3*[5]QC_indicators!$C$1,"DF","no"))),IF(ISNUMBER(BY1663),IF(ABS(BY1663-[5]QC_indicators!$B$1)&gt;3*[5]QC_indicators!$C$1,"DF","no")))</f>
        <v>no</v>
      </c>
      <c r="ET1663" s="264" t="s">
        <v>3272</v>
      </c>
    </row>
    <row r="1664" spans="1:150" hidden="1">
      <c r="A1664" s="1" t="s">
        <v>380</v>
      </c>
      <c r="B1664" t="s">
        <v>1184</v>
      </c>
      <c r="C1664" t="s">
        <v>1185</v>
      </c>
      <c r="D1664" t="s">
        <v>1186</v>
      </c>
      <c r="E1664" t="s">
        <v>1187</v>
      </c>
      <c r="F1664" t="s">
        <v>1188</v>
      </c>
      <c r="G1664" t="s">
        <v>386</v>
      </c>
      <c r="H1664" t="s">
        <v>254</v>
      </c>
      <c r="I1664">
        <v>2013</v>
      </c>
      <c r="J1664">
        <v>44</v>
      </c>
      <c r="K1664" t="s">
        <v>1189</v>
      </c>
      <c r="M1664" t="str">
        <f t="shared" si="2120"/>
        <v>Ximenes_2013</v>
      </c>
      <c r="N1664" t="s">
        <v>222</v>
      </c>
      <c r="O1664" s="145" t="s">
        <v>1153</v>
      </c>
      <c r="Q1664" t="s">
        <v>256</v>
      </c>
      <c r="R1664" s="255" t="s">
        <v>225</v>
      </c>
      <c r="S1664" s="1" t="s">
        <v>1190</v>
      </c>
      <c r="T1664" t="s">
        <v>1191</v>
      </c>
      <c r="U1664" t="s">
        <v>1192</v>
      </c>
      <c r="V1664">
        <v>0</v>
      </c>
      <c r="W1664">
        <v>0</v>
      </c>
      <c r="X1664">
        <v>0</v>
      </c>
      <c r="Y1664">
        <v>0</v>
      </c>
      <c r="Z1664">
        <v>0</v>
      </c>
      <c r="AA1664">
        <v>0</v>
      </c>
      <c r="AB1664">
        <v>0</v>
      </c>
      <c r="AC1664">
        <v>0</v>
      </c>
      <c r="AD1664">
        <v>0</v>
      </c>
      <c r="AE1664">
        <v>0</v>
      </c>
      <c r="AF1664">
        <v>0</v>
      </c>
      <c r="AG1664">
        <v>0</v>
      </c>
      <c r="AH1664">
        <v>0</v>
      </c>
      <c r="AI1664">
        <v>0</v>
      </c>
      <c r="AJ1664">
        <v>0</v>
      </c>
      <c r="AK1664">
        <v>1</v>
      </c>
      <c r="AL1664">
        <v>0</v>
      </c>
      <c r="AM1664">
        <v>0</v>
      </c>
      <c r="AN1664">
        <v>0</v>
      </c>
      <c r="AO1664">
        <v>0</v>
      </c>
      <c r="AP1664">
        <v>0</v>
      </c>
      <c r="AQ1664">
        <v>0</v>
      </c>
      <c r="AR1664">
        <v>0</v>
      </c>
      <c r="AS1664">
        <v>0</v>
      </c>
      <c r="AT1664">
        <v>0</v>
      </c>
      <c r="AU1664">
        <v>0</v>
      </c>
      <c r="AV1664">
        <v>0</v>
      </c>
      <c r="AW1664">
        <v>0</v>
      </c>
      <c r="AX1664" s="141">
        <f>COUNTIF(V1664:AW1664,"&lt;&gt;0")</f>
        <v>1</v>
      </c>
      <c r="AY1664" s="141">
        <f>COUNTIF(V1664:AL1664,"&lt;&gt;0")</f>
        <v>1</v>
      </c>
      <c r="AZ1664">
        <f>COUNTIF(V1664:AC1664,"&lt;&gt;0")</f>
        <v>0</v>
      </c>
      <c r="BA1664">
        <f>COUNTIF(AD1664:AI1664,"&lt;&gt;0")</f>
        <v>0</v>
      </c>
      <c r="BB1664">
        <f>COUNTIF(AJ1664:AL1664,"&lt;&gt;0")</f>
        <v>1</v>
      </c>
      <c r="BC1664">
        <f>COUNTIF(AS1664:AW1664,"&lt;&gt;0")</f>
        <v>0</v>
      </c>
      <c r="BD1664">
        <f>COUNTIF(AM1664:AR1664,"&lt;&gt;0")</f>
        <v>0</v>
      </c>
      <c r="BE1664" t="str">
        <f t="array" ref="BE1664">IF(AY1664=1,INDEX($V$7:$AL$7,MATCH(TRUE,INDEX($V1664:$AW1664&lt;&gt;0,),0)),IF(AY1664=0,INDEX($AM$7:$AW$7,MATCH(1,$AM1664:$AW1664,0)),IF(BF1664="Multiple strategies","mixed drivers",IF(BF1664="Supply chain","multiple supply","multiple silviculture"))))</f>
        <v>technologies/design switch</v>
      </c>
      <c r="BF1664" s="2" t="str" cm="1">
        <f t="array" ref="BF1664">IF(COUNTIF(AZ1664:BB1664,"&lt;&gt;0")=1,INDEX($V$4:$AW$4,MATCH(TRUE,INDEX($V1664:$AW1664&lt;&gt;0,),0)),IF(COUNTIF(AZ1664:BB1664,"&lt;&gt;0")=0,INDEX($AM$4:$AW$4,MATCH(1,$AM1664:$AW1664,0)),"Multiple strategies"))</f>
        <v>Technology</v>
      </c>
      <c r="BG1664" s="1" t="s">
        <v>229</v>
      </c>
      <c r="BH1664" t="s">
        <v>1193</v>
      </c>
      <c r="BI1664" s="260" t="s">
        <v>3402</v>
      </c>
      <c r="BJ1664" s="264" t="s">
        <v>3403</v>
      </c>
      <c r="BK1664" s="260">
        <v>12.616199999999999</v>
      </c>
      <c r="BL1664" s="260">
        <v>19.1279</v>
      </c>
      <c r="BM1664" s="143">
        <f>BL1664/BK1664</f>
        <v>1.5161379813255973</v>
      </c>
      <c r="BN1664" s="227">
        <f>BL1664-BK1664</f>
        <v>6.5117000000000012</v>
      </c>
      <c r="BO1664">
        <f>+BN1664/C_to_CO2*1000/0.245</f>
        <v>7242.0619473947627</v>
      </c>
      <c r="BP1664" t="s">
        <v>232</v>
      </c>
      <c r="BQ1664" s="260" t="s">
        <v>3404</v>
      </c>
      <c r="BR1664" t="s">
        <v>1194</v>
      </c>
      <c r="BS1664">
        <v>-59.999999999999993</v>
      </c>
      <c r="BT1664">
        <v>-26.6279069767441</v>
      </c>
      <c r="BU1664" s="144">
        <f>IFERROR(BT1664/BS1664,"")</f>
        <v>0.44379844961240172</v>
      </c>
      <c r="BV1664" s="144">
        <f>BT1664-BS1664</f>
        <v>33.372093023255893</v>
      </c>
      <c r="BW1664" s="144"/>
      <c r="BX1664" s="144">
        <f>BV1664</f>
        <v>33.372093023255893</v>
      </c>
      <c r="BY1664">
        <f t="shared" si="2185"/>
        <v>4.6080927318304793E-3</v>
      </c>
      <c r="BZ1664">
        <v>0</v>
      </c>
      <c r="CA1664">
        <v>0</v>
      </c>
      <c r="CB1664">
        <v>0</v>
      </c>
      <c r="CC1664">
        <v>0</v>
      </c>
      <c r="CD1664">
        <v>0</v>
      </c>
      <c r="CE1664">
        <v>0</v>
      </c>
      <c r="CF1664">
        <v>0</v>
      </c>
      <c r="CG1664">
        <v>0</v>
      </c>
      <c r="CH1664">
        <v>0</v>
      </c>
      <c r="CI1664">
        <v>0</v>
      </c>
      <c r="CJ1664">
        <v>0</v>
      </c>
      <c r="CK1664">
        <v>0</v>
      </c>
      <c r="CL1664">
        <v>0</v>
      </c>
      <c r="CM1664">
        <v>0</v>
      </c>
      <c r="CN1664" t="str">
        <f>IF($BL1664&lt;$BK1664,"refNeedCorrection","refOK")</f>
        <v>refOK</v>
      </c>
      <c r="CO1664">
        <f>IF($CN1664="refNeedCorrection",BL1664,BK1664)</f>
        <v>12.616199999999999</v>
      </c>
      <c r="CP1664">
        <f>IF($CN1664="refNeedCorrection",BK1664,BL1664)</f>
        <v>19.1279</v>
      </c>
      <c r="CQ1664">
        <f>IF($CN1664="refOK",$BO1664,-$BO1664)</f>
        <v>7242.0619473947627</v>
      </c>
      <c r="CR1664">
        <f>IF($CN1664="refOK",$BS1664,$BT1664)*IF($BP1664="Emissions positive",-1,1)</f>
        <v>-59.999999999999993</v>
      </c>
      <c r="CS1664">
        <f>IF($CN1664="refOK",$BT1664,$BS1664)*IF($BP1664="Emissions positive",-1,1)</f>
        <v>-26.6279069767441</v>
      </c>
      <c r="CT1664">
        <f>IF($CN1664="refNeedCorrection",-BX1664,BX1664)*IF($BP1664="Emissions positive",-1,1)</f>
        <v>33.372093023255893</v>
      </c>
      <c r="CU1664">
        <f>IFERROR(CT1664/CQ1664,"")</f>
        <v>4.6080927318304793E-3</v>
      </c>
      <c r="CV1664" s="2">
        <f>IFERROR((CS1664-CR1664)/ABS(CR1664),"")</f>
        <v>0.55620155038759833</v>
      </c>
      <c r="CW1664" s="1" t="s">
        <v>263</v>
      </c>
      <c r="CX1664" t="str">
        <f>IF(OR($CW1664="prd",$CW1664="std",$CW1664="cit"),"loc",IF(OR($CW1664="eur",$CW1664="reg",$CW1664="coy"),"reg",$CW1664))</f>
        <v>loc</v>
      </c>
      <c r="CY1664" t="s">
        <v>574</v>
      </c>
      <c r="DB1664">
        <f>DA1664-CZ1664</f>
        <v>0</v>
      </c>
      <c r="DC1664" t="str">
        <f>IF(DB1664=0,"0",IF(AND(DB1664&gt;=1,DB1664&lt;=30),"1-30",IF(AND(DB1664&gt;30,DB1664&lt;=70),"31-70",IF(AND(DB1664&gt;70,DB1664&lt;=100),"71-100",IF(DB1664&gt;100,"+100")))))</f>
        <v>0</v>
      </c>
      <c r="DD1664">
        <v>0</v>
      </c>
      <c r="DE1664">
        <v>0</v>
      </c>
      <c r="DF1664">
        <v>0</v>
      </c>
      <c r="DG1664">
        <v>1</v>
      </c>
      <c r="DH1664">
        <v>0</v>
      </c>
      <c r="DI1664">
        <f>SUM(DD1664:DG1664)</f>
        <v>1</v>
      </c>
      <c r="DJ1664" t="str">
        <f>IF(DI1664=1,INDEX($DD$7:$DG$7,MATCH(1,$DD1664:$DG1664,0)),"mixedProduct")</f>
        <v>TimberInput</v>
      </c>
      <c r="DK1664">
        <f t="shared" si="2192"/>
        <v>0</v>
      </c>
      <c r="DL1664">
        <f t="shared" si="2192"/>
        <v>0</v>
      </c>
      <c r="DM1664">
        <f t="shared" si="2192"/>
        <v>0</v>
      </c>
      <c r="DN1664" t="str">
        <f t="shared" si="2192"/>
        <v>Timber</v>
      </c>
      <c r="DO1664">
        <v>0</v>
      </c>
      <c r="DP1664">
        <v>0</v>
      </c>
      <c r="DQ1664">
        <v>0</v>
      </c>
      <c r="DR1664">
        <v>0</v>
      </c>
      <c r="DS1664">
        <v>0</v>
      </c>
      <c r="DT1664">
        <f>SUM(DO1664:DP1664)</f>
        <v>0</v>
      </c>
      <c r="DU1664" s="143" t="str">
        <f>IF(DO1664=1,"self-calculated DF",IF(DP1664=1,"external DF used","explicit C balance"))</f>
        <v>explicit C balance</v>
      </c>
      <c r="DV1664">
        <v>0</v>
      </c>
      <c r="DW1664">
        <v>0</v>
      </c>
      <c r="DX1664">
        <v>0</v>
      </c>
      <c r="DY1664">
        <v>0</v>
      </c>
      <c r="DZ1664">
        <v>0</v>
      </c>
      <c r="EA1664" s="143">
        <v>0</v>
      </c>
      <c r="EB1664">
        <v>1</v>
      </c>
      <c r="EC1664">
        <v>1</v>
      </c>
      <c r="ED1664">
        <v>1</v>
      </c>
      <c r="EE1664">
        <v>1</v>
      </c>
      <c r="EF1664">
        <v>0</v>
      </c>
      <c r="EG1664">
        <v>0</v>
      </c>
      <c r="EH1664">
        <v>0</v>
      </c>
      <c r="EI1664" s="2">
        <v>0</v>
      </c>
      <c r="EK1664" t="str">
        <f>IF(AND(AND(AND(OR($DX1664=1,$DW1664=1),OR($EC1664=1,$EA1664=1)),SUM($DV1664:$DZ1664,$EF1664)&gt;=4),SUM($EA1664:$EE1664)&gt;=2),"Whole sector","")</f>
        <v/>
      </c>
      <c r="EL1664" t="str">
        <f>IF(AND(AND(OR($DX1664=1,$DW1664=1),AND($EC1664=0,$EA1664=0)),SUM($DV1664:$DZ1664,$EF1664)&gt;=4),"Ecosystem approach","")</f>
        <v/>
      </c>
      <c r="EM1664" s="2" t="str">
        <f t="shared" si="2188"/>
        <v>Technology approach</v>
      </c>
      <c r="EN1664" t="s">
        <v>1195</v>
      </c>
      <c r="EP1664" t="str">
        <f>IF(ISNUMBER(BU1664),IF(ABS(BU1664-[5]QC_indicators!$B$2)&gt;3*[5]QC_indicators!$C$2,"C ratio",IF(ISNUMBER(BY1664),IF(ABS(BY1664-[5]QC_indicators!$B$1)&gt;3*[5]QC_indicators!$C$1,"DF","no"))),IF(ISNUMBER(BY1664),IF(ABS(BY1664-[5]QC_indicators!$B$1)&gt;3*[5]QC_indicators!$C$1,"DF","no")))</f>
        <v>no</v>
      </c>
      <c r="ET1664" s="264" t="s">
        <v>3272</v>
      </c>
    </row>
    <row r="1665" spans="1:151" hidden="1">
      <c r="A1665" s="1" t="s">
        <v>398</v>
      </c>
      <c r="B1665" t="s">
        <v>5190</v>
      </c>
      <c r="C1665" t="s">
        <v>5191</v>
      </c>
      <c r="D1665" t="s">
        <v>5192</v>
      </c>
      <c r="E1665" t="s">
        <v>5193</v>
      </c>
      <c r="F1665" t="s">
        <v>5194</v>
      </c>
      <c r="G1665" t="s">
        <v>404</v>
      </c>
      <c r="H1665" t="s">
        <v>254</v>
      </c>
      <c r="I1665">
        <v>2022</v>
      </c>
      <c r="J1665">
        <v>10</v>
      </c>
      <c r="K1665" t="s">
        <v>5195</v>
      </c>
      <c r="M1665" t="str">
        <f t="shared" ref="M1665:M1728" si="2193">LEFT($D1665,FIND(",",$D1665)-1)&amp;"_"&amp;I1665&amp;L1665</f>
        <v>Younis_2022</v>
      </c>
      <c r="N1665" t="s">
        <v>2585</v>
      </c>
      <c r="O1665" s="311" t="s">
        <v>223</v>
      </c>
      <c r="Q1665" s="311" t="s">
        <v>389</v>
      </c>
      <c r="R1665" s="312"/>
      <c r="BE1665"/>
      <c r="BF1665" s="2"/>
      <c r="BY1665" t="str">
        <f t="shared" si="2185"/>
        <v/>
      </c>
      <c r="CN1665"/>
      <c r="CO1665"/>
      <c r="CP1665"/>
      <c r="CQ1665"/>
      <c r="CR1665"/>
      <c r="CS1665"/>
      <c r="CT1665"/>
      <c r="CU1665"/>
      <c r="CV1665" s="2"/>
      <c r="CX1665"/>
      <c r="DC1665"/>
      <c r="DI1665"/>
      <c r="DJ1665"/>
      <c r="DK1665"/>
      <c r="DL1665"/>
      <c r="DM1665"/>
      <c r="DN1665"/>
      <c r="DT1665"/>
      <c r="DU1665"/>
      <c r="EJ1665" s="186"/>
      <c r="EK1665" t="str">
        <f t="shared" ref="EK1665:EK1685" si="2194">IF(AND(AND(AND(OR($DX1665=1,$DW1665=1),OR($EC1665=1,$EA1665=1)),SUM($DV1665:$DZ1665,$EF1665)&gt;=3),SUM($EA1665:$EE1665)&gt;=2),"Whole sector","")</f>
        <v/>
      </c>
      <c r="EL1665" t="str">
        <f t="shared" ref="EL1665:EL1685" si="2195">IF(AND(AND(OR($DX1665=1,$DW1665=1),AND($EC1665=0,$EA1665=0)),SUM($DV1665:$DZ1665,$EF1665)&gt;=3),"Ecosystem approach","")</f>
        <v/>
      </c>
      <c r="EM1665" s="2" t="str">
        <f t="shared" si="2188"/>
        <v/>
      </c>
      <c r="EP1665" t="b">
        <f>IF(ISNUMBER(BU1665),IF(ABS(BU1665-[1]QC_indicators!$B$2)&gt;3*[1]QC_indicators!$C$2,"C ratio",IF(ISNUMBER(BY1665),IF(ABS(BY1665-[1]QC_indicators!$B$1)&gt;3*[1]QC_indicators!$C$1,"DF","no"))),IF(ISNUMBER(BY1665),IF(ABS(BY1665-[1]QC_indicators!$B$1)&gt;3*[1]QC_indicators!$C$1,"DF","no")))</f>
        <v>0</v>
      </c>
      <c r="ET1665" s="185"/>
      <c r="EU1665" s="185"/>
    </row>
    <row r="1666" spans="1:151" hidden="1">
      <c r="A1666" s="1" t="s">
        <v>333</v>
      </c>
      <c r="B1666" t="s">
        <v>4907</v>
      </c>
      <c r="C1666" t="s">
        <v>4908</v>
      </c>
      <c r="D1666" t="s">
        <v>4909</v>
      </c>
      <c r="E1666" t="s">
        <v>4910</v>
      </c>
      <c r="F1666" t="s">
        <v>4911</v>
      </c>
      <c r="G1666" t="s">
        <v>339</v>
      </c>
      <c r="H1666" t="s">
        <v>254</v>
      </c>
      <c r="I1666">
        <v>2020</v>
      </c>
      <c r="J1666">
        <v>11</v>
      </c>
      <c r="K1666" t="s">
        <v>4912</v>
      </c>
      <c r="M1666" t="str">
        <f t="shared" si="2193"/>
        <v>Yu_2020</v>
      </c>
      <c r="N1666" t="s">
        <v>1351</v>
      </c>
      <c r="O1666" s="145" t="s">
        <v>1153</v>
      </c>
      <c r="Q1666" s="311" t="s">
        <v>256</v>
      </c>
      <c r="R1666" s="312"/>
      <c r="AX1666" s="141"/>
      <c r="AY1666" s="141"/>
      <c r="BE1666"/>
      <c r="BF1666" s="2"/>
      <c r="BM1666" s="143"/>
      <c r="BN1666" s="143"/>
      <c r="BU1666" s="144"/>
      <c r="BV1666" s="144"/>
      <c r="BW1666" s="144"/>
      <c r="BX1666" s="144"/>
      <c r="BY1666" t="str">
        <f t="shared" si="2185"/>
        <v/>
      </c>
      <c r="CN1666"/>
      <c r="CO1666"/>
      <c r="CP1666"/>
      <c r="CQ1666"/>
      <c r="CR1666"/>
      <c r="CS1666"/>
      <c r="CT1666"/>
      <c r="CU1666"/>
      <c r="CV1666" s="2"/>
      <c r="CX1666"/>
      <c r="DC1666"/>
      <c r="DI1666"/>
      <c r="DJ1666"/>
      <c r="DK1666"/>
      <c r="DL1666"/>
      <c r="DM1666"/>
      <c r="DN1666"/>
      <c r="DT1666"/>
      <c r="DU1666" s="143"/>
      <c r="EJ1666" s="186"/>
      <c r="EK1666" t="str">
        <f t="shared" si="2194"/>
        <v/>
      </c>
      <c r="EL1666" t="str">
        <f t="shared" si="2195"/>
        <v/>
      </c>
      <c r="EM1666" s="2" t="str">
        <f t="shared" si="2188"/>
        <v/>
      </c>
      <c r="EN1666" t="s">
        <v>4913</v>
      </c>
      <c r="EO1666" t="s">
        <v>4328</v>
      </c>
      <c r="EP1666" t="b">
        <f>IF(ISNUMBER(BU1666),IF(ABS(BU1666-[1]QC_indicators!$B$2)&gt;3*[1]QC_indicators!$C$2,"C ratio",IF(ISNUMBER(BY1666),IF(ABS(BY1666-[1]QC_indicators!$B$1)&gt;3*[1]QC_indicators!$C$1,"DF","no"))),IF(ISNUMBER(BY1666),IF(ABS(BY1666-[1]QC_indicators!$B$1)&gt;3*[1]QC_indicators!$C$1,"DF","no")))</f>
        <v>0</v>
      </c>
    </row>
    <row r="1667" spans="1:151" hidden="1">
      <c r="A1667" s="1" t="s">
        <v>4345</v>
      </c>
      <c r="B1667" t="s">
        <v>4346</v>
      </c>
      <c r="C1667" t="s">
        <v>4347</v>
      </c>
      <c r="D1667" t="s">
        <v>4348</v>
      </c>
      <c r="E1667" t="s">
        <v>4349</v>
      </c>
      <c r="F1667" t="s">
        <v>4350</v>
      </c>
      <c r="G1667" t="s">
        <v>4351</v>
      </c>
      <c r="H1667" t="s">
        <v>254</v>
      </c>
      <c r="I1667">
        <v>2022</v>
      </c>
      <c r="J1667">
        <v>1</v>
      </c>
      <c r="K1667" t="s">
        <v>4352</v>
      </c>
      <c r="M1667" t="str">
        <f t="shared" si="2193"/>
        <v>Yu_2022</v>
      </c>
      <c r="N1667" s="311" t="s">
        <v>4382</v>
      </c>
      <c r="O1667" s="311" t="s">
        <v>223</v>
      </c>
      <c r="Q1667" s="311" t="s">
        <v>389</v>
      </c>
      <c r="R1667" s="312"/>
      <c r="S1667" s="318" t="s">
        <v>4353</v>
      </c>
      <c r="T1667" s="311" t="s">
        <v>4354</v>
      </c>
      <c r="U1667" s="311" t="s">
        <v>2488</v>
      </c>
      <c r="V1667">
        <v>0</v>
      </c>
      <c r="W1667">
        <v>0</v>
      </c>
      <c r="X1667">
        <v>0</v>
      </c>
      <c r="Y1667">
        <v>0</v>
      </c>
      <c r="Z1667">
        <v>0</v>
      </c>
      <c r="AA1667">
        <v>0</v>
      </c>
      <c r="AB1667">
        <v>0</v>
      </c>
      <c r="AC1667">
        <v>0</v>
      </c>
      <c r="AD1667">
        <v>0</v>
      </c>
      <c r="AE1667">
        <v>0</v>
      </c>
      <c r="AF1667">
        <v>1</v>
      </c>
      <c r="AG1667">
        <v>0</v>
      </c>
      <c r="AH1667">
        <v>0</v>
      </c>
      <c r="AI1667">
        <v>0</v>
      </c>
      <c r="AJ1667">
        <v>0</v>
      </c>
      <c r="AK1667">
        <v>1</v>
      </c>
      <c r="AL1667">
        <v>0</v>
      </c>
      <c r="AM1667">
        <v>0</v>
      </c>
      <c r="AN1667">
        <v>0</v>
      </c>
      <c r="AO1667">
        <v>0</v>
      </c>
      <c r="AP1667">
        <v>0</v>
      </c>
      <c r="AQ1667">
        <v>0</v>
      </c>
      <c r="AR1667">
        <v>0</v>
      </c>
      <c r="AS1667">
        <v>0</v>
      </c>
      <c r="AT1667">
        <v>0</v>
      </c>
      <c r="AU1667">
        <v>0</v>
      </c>
      <c r="AV1667">
        <v>0</v>
      </c>
      <c r="AW1667">
        <v>0</v>
      </c>
      <c r="AX1667" s="141">
        <f>COUNTIF(V1667:AW1667,"&lt;&gt;0")</f>
        <v>2</v>
      </c>
      <c r="AY1667" s="141">
        <f>COUNTIF(V1667:AL1667,"&lt;&gt;0")</f>
        <v>2</v>
      </c>
      <c r="AZ1667">
        <f>COUNTIF(V1667:AC1667,"&lt;&gt;0")</f>
        <v>0</v>
      </c>
      <c r="BA1667">
        <f>COUNTIF(AD1667:AI1667,"&lt;&gt;0")</f>
        <v>1</v>
      </c>
      <c r="BB1667">
        <f>COUNTIF(AJ1667:AL1667,"&lt;&gt;0")</f>
        <v>1</v>
      </c>
      <c r="BC1667">
        <f>COUNTIF(AS1667:AW1667,"&lt;&gt;0")</f>
        <v>0</v>
      </c>
      <c r="BD1667">
        <f>COUNTIF(AM1667:AR1667,"&lt;&gt;0")</f>
        <v>0</v>
      </c>
      <c r="BE1667" t="str" cm="1">
        <f t="array" ref="BE1667">IF(AY1667=1,INDEX($V$7:$AL$7,MATCH(TRUE,INDEX($V1667:$AW1667&lt;&gt;0,),0)),IF(AY1667=0,INDEX($AM$7:$AW$7,MATCH(1,$AM1667:$AW1667,0)),IF(BF1667="Multiple strategies","mixed drivers",IF(BF1667="Supply chain","multiple supply","multiple silviculture"))))</f>
        <v>mixed drivers</v>
      </c>
      <c r="BF1667" s="2" t="str" cm="1">
        <f t="array" ref="BF1667">IF(COUNTIF(AZ1667:BB1667,"&lt;&gt;0")=1,INDEX($V$4:$AW$4,MATCH(TRUE,INDEX($V1667:$AW1667&lt;&gt;0,),0)),IF(COUNTIF(AZ1667:BB1667,"&lt;&gt;0")=0,INDEX($AM$4:$AW$4,MATCH(1,$AM1667:$AW1667,0)),"Multiple strategies"))</f>
        <v>Multiple strategies</v>
      </c>
      <c r="BP1667" t="s">
        <v>232</v>
      </c>
      <c r="BQ1667" s="311" t="s">
        <v>429</v>
      </c>
      <c r="BR1667" s="311" t="s">
        <v>1358</v>
      </c>
      <c r="BS1667">
        <f>140.44+2529+584.93</f>
        <v>3254.37</v>
      </c>
      <c r="BT1667">
        <f>160.23+2539.61+590.33</f>
        <v>3290.17</v>
      </c>
      <c r="BV1667">
        <f>BT1667-BS1667</f>
        <v>35.800000000000182</v>
      </c>
      <c r="BX1667">
        <f>BV1667*10^6*C_to_CO2</f>
        <v>131386000.00000066</v>
      </c>
      <c r="BY1667" t="str">
        <f t="shared" si="2185"/>
        <v/>
      </c>
      <c r="BZ1667">
        <v>0</v>
      </c>
      <c r="CA1667">
        <v>0</v>
      </c>
      <c r="CB1667">
        <v>0</v>
      </c>
      <c r="CC1667">
        <v>0</v>
      </c>
      <c r="CD1667">
        <v>0</v>
      </c>
      <c r="CE1667">
        <v>0</v>
      </c>
      <c r="CF1667">
        <v>0</v>
      </c>
      <c r="CG1667">
        <v>0</v>
      </c>
      <c r="CH1667">
        <v>0</v>
      </c>
      <c r="CI1667">
        <v>0</v>
      </c>
      <c r="CJ1667">
        <v>0</v>
      </c>
      <c r="CK1667">
        <v>0</v>
      </c>
      <c r="CL1667">
        <v>0</v>
      </c>
      <c r="CM1667">
        <v>0</v>
      </c>
      <c r="CN1667" t="str">
        <f>IF($BL1667&lt;$BK1667,"refNeedCorrection","refOK")</f>
        <v>refOK</v>
      </c>
      <c r="CO1667">
        <f>IF($CN1667="refOK",$BK1667,$BL1667)</f>
        <v>0</v>
      </c>
      <c r="CP1667">
        <f>IF($CN1667="refOK",$BL1667,$BK1667)</f>
        <v>0</v>
      </c>
      <c r="CQ1667">
        <f>IF($CN1667="refOK",$BO1667,-$BO1667)</f>
        <v>0</v>
      </c>
      <c r="CR1667">
        <f>IF($CN1667="refOK",$BS1667,$BT1667)*IF($BP1667="Emissions positive",-1,1)</f>
        <v>3254.37</v>
      </c>
      <c r="CS1667">
        <f>IF($CN1667="refOK",$BT1667,$BS1667)*IF($BP1667="Emissions positive",-1,1)</f>
        <v>3290.17</v>
      </c>
      <c r="CT1667">
        <f>IF($CN1667="refNeedCorrection",-BX1667,BX1667)*IF($BP1667="Emissions positive",-1,1)</f>
        <v>131386000.00000066</v>
      </c>
      <c r="CU1667" t="str">
        <f>IFERROR(CT1667/CQ1667,"")</f>
        <v/>
      </c>
      <c r="CV1667" s="2">
        <f>IFERROR((CS1667-CR1667)/ABS(CR1667),"")</f>
        <v>1.1000593048731454E-2</v>
      </c>
      <c r="CW1667" s="318" t="s">
        <v>1202</v>
      </c>
      <c r="CX1667" s="311" t="str">
        <f>IF(OR($CW1667="prd",$CW1667="std",$CW1667="cit"),"loc",IF(OR($CW1667="eur",$CW1667="reg",$CW1667="coy"),"reg",$CW1667))</f>
        <v>reg</v>
      </c>
      <c r="CY1667" s="311" t="s">
        <v>690</v>
      </c>
      <c r="CZ1667">
        <v>2020</v>
      </c>
      <c r="DA1667">
        <v>2050</v>
      </c>
      <c r="DB1667">
        <f>DA1667-CZ1667</f>
        <v>30</v>
      </c>
      <c r="DC1667" t="str">
        <f>IF(DB1667=0,"0",IF(AND(DB1667&gt;=1,DB1667&lt;=30),"1-30",IF(AND(DB1667&gt;30,DB1667&lt;=70),"31-70",IF(AND(DB1667&gt;70,DB1667&lt;=100),"71-100",IF(DB1667&gt;100,"+100")))))</f>
        <v>1-30</v>
      </c>
      <c r="DD1667">
        <v>0</v>
      </c>
      <c r="DE1667">
        <v>1</v>
      </c>
      <c r="DF1667">
        <v>1</v>
      </c>
      <c r="DG1667">
        <v>1</v>
      </c>
      <c r="DH1667">
        <v>0</v>
      </c>
      <c r="DI1667">
        <f>SUM(DD1667:DG1667)</f>
        <v>3</v>
      </c>
      <c r="DJ1667" t="str">
        <f>IF(DI1667=1,INDEX($DD$7:$DG$7,MATCH(1,$DD1667:$DG1667,0)),"mixedProduct")</f>
        <v>mixedProduct</v>
      </c>
      <c r="DK1667">
        <f>IF(DD1667=1,DK$7,0)</f>
        <v>0</v>
      </c>
      <c r="DL1667" t="str">
        <f>IF(DE1667=1,DL$7,0)</f>
        <v>Energy</v>
      </c>
      <c r="DM1667" t="str">
        <f>IF(DF1667=1,DM$7,0)</f>
        <v>Pulp/Paper</v>
      </c>
      <c r="DN1667" t="str">
        <f>IF(DG1667=1,DN$7,0)</f>
        <v>Timber</v>
      </c>
      <c r="DO1667">
        <v>0</v>
      </c>
      <c r="DP1667">
        <v>0</v>
      </c>
      <c r="DQ1667">
        <v>0</v>
      </c>
      <c r="DR1667">
        <v>0</v>
      </c>
      <c r="DS1667">
        <v>0</v>
      </c>
      <c r="DT1667">
        <f>SUM(DO1667:DP1667)</f>
        <v>0</v>
      </c>
      <c r="DU1667" s="143" t="str">
        <f>IF(DO1667=1,"self-calculated DF",IF(DP1667=1,"external DF used","explicit C balance"))</f>
        <v>explicit C balance</v>
      </c>
      <c r="DV1667">
        <v>0</v>
      </c>
      <c r="DW1667">
        <v>0</v>
      </c>
      <c r="DX1667">
        <v>0</v>
      </c>
      <c r="DY1667">
        <v>1</v>
      </c>
      <c r="DZ1667">
        <v>1</v>
      </c>
      <c r="EA1667">
        <v>0</v>
      </c>
      <c r="EB1667">
        <v>0</v>
      </c>
      <c r="EC1667">
        <v>0</v>
      </c>
      <c r="ED1667">
        <v>0</v>
      </c>
      <c r="EE1667">
        <v>0</v>
      </c>
      <c r="EF1667">
        <v>0</v>
      </c>
      <c r="EG1667">
        <v>0</v>
      </c>
      <c r="EH1667">
        <v>0</v>
      </c>
      <c r="EI1667" s="2">
        <v>0</v>
      </c>
      <c r="EK1667" t="str">
        <f t="shared" si="2194"/>
        <v/>
      </c>
      <c r="EL1667" t="str">
        <f t="shared" si="2195"/>
        <v/>
      </c>
      <c r="EM1667" s="2" t="str">
        <f t="shared" si="2188"/>
        <v/>
      </c>
      <c r="EP1667" t="b">
        <f>IF(ISNUMBER(BU1667),IF(ABS(BU1667-[1]QC_indicators!$B$2)&gt;3*[1]QC_indicators!$C$2,"C ratio",IF(ISNUMBER(BY1667),IF(ABS(BY1667-[1]QC_indicators!$B$1)&gt;3*[1]QC_indicators!$C$1,"DF","no"))),IF(ISNUMBER(BY1667),IF(ABS(BY1667-[1]QC_indicators!$B$1)&gt;3*[1]QC_indicators!$C$1,"DF","no")))</f>
        <v>0</v>
      </c>
    </row>
    <row r="1668" spans="1:151" hidden="1">
      <c r="A1668" s="1" t="s">
        <v>4914</v>
      </c>
      <c r="B1668" t="s">
        <v>4915</v>
      </c>
      <c r="C1668" t="s">
        <v>4916</v>
      </c>
      <c r="D1668" t="s">
        <v>4917</v>
      </c>
      <c r="E1668" t="s">
        <v>4918</v>
      </c>
      <c r="F1668" t="s">
        <v>4919</v>
      </c>
      <c r="G1668" t="s">
        <v>4920</v>
      </c>
      <c r="H1668" t="s">
        <v>254</v>
      </c>
      <c r="I1668">
        <v>2022</v>
      </c>
      <c r="J1668">
        <v>0</v>
      </c>
      <c r="K1668" t="s">
        <v>4921</v>
      </c>
      <c r="M1668" t="str">
        <f t="shared" si="2193"/>
        <v>Zargar_2022</v>
      </c>
      <c r="N1668" s="311" t="s">
        <v>1351</v>
      </c>
      <c r="O1668" s="311" t="s">
        <v>223</v>
      </c>
      <c r="Q1668" s="311" t="s">
        <v>389</v>
      </c>
      <c r="R1668" s="312"/>
      <c r="BE1668"/>
      <c r="BF1668" s="2"/>
      <c r="BY1668" t="str">
        <f t="shared" si="2185"/>
        <v/>
      </c>
      <c r="CN1668"/>
      <c r="CO1668"/>
      <c r="CP1668"/>
      <c r="CQ1668"/>
      <c r="CR1668"/>
      <c r="CS1668"/>
      <c r="CT1668"/>
      <c r="CU1668"/>
      <c r="CV1668" s="2"/>
      <c r="CX1668"/>
      <c r="DC1668"/>
      <c r="DI1668"/>
      <c r="DJ1668"/>
      <c r="DK1668"/>
      <c r="DL1668"/>
      <c r="DM1668"/>
      <c r="DN1668"/>
      <c r="DT1668"/>
      <c r="DU1668"/>
      <c r="EK1668" t="str">
        <f t="shared" si="2194"/>
        <v/>
      </c>
      <c r="EL1668" t="str">
        <f t="shared" si="2195"/>
        <v/>
      </c>
      <c r="EM1668" s="2" t="str">
        <f t="shared" si="2188"/>
        <v/>
      </c>
      <c r="EP1668" t="b">
        <f>IF(ISNUMBER(BU1668),IF(ABS(BU1668-[1]QC_indicators!$B$2)&gt;3*[1]QC_indicators!$C$2,"C ratio",IF(ISNUMBER(BY1668),IF(ABS(BY1668-[1]QC_indicators!$B$1)&gt;3*[1]QC_indicators!$C$1,"DF","no"))),IF(ISNUMBER(BY1668),IF(ABS(BY1668-[1]QC_indicators!$B$1)&gt;3*[1]QC_indicators!$C$1,"DF","no")))</f>
        <v>0</v>
      </c>
    </row>
    <row r="1669" spans="1:151" hidden="1">
      <c r="A1669" s="1" t="s">
        <v>587</v>
      </c>
      <c r="B1669" t="s">
        <v>4355</v>
      </c>
      <c r="C1669" t="s">
        <v>4356</v>
      </c>
      <c r="D1669" t="s">
        <v>4357</v>
      </c>
      <c r="E1669" t="s">
        <v>4358</v>
      </c>
      <c r="F1669" t="s">
        <v>4359</v>
      </c>
      <c r="G1669" t="s">
        <v>593</v>
      </c>
      <c r="H1669" t="s">
        <v>254</v>
      </c>
      <c r="I1669">
        <v>2016</v>
      </c>
      <c r="J1669">
        <v>19</v>
      </c>
      <c r="K1669" t="s">
        <v>4360</v>
      </c>
      <c r="M1669" t="str">
        <f t="shared" si="2193"/>
        <v>Zhang_2016</v>
      </c>
      <c r="N1669" s="311" t="s">
        <v>4382</v>
      </c>
      <c r="O1669" s="145" t="s">
        <v>1153</v>
      </c>
      <c r="Q1669" s="311" t="s">
        <v>256</v>
      </c>
      <c r="R1669" s="312"/>
      <c r="S1669" s="1" t="s">
        <v>4361</v>
      </c>
      <c r="T1669">
        <v>0</v>
      </c>
      <c r="U1669" t="s">
        <v>4362</v>
      </c>
      <c r="V1669">
        <v>0</v>
      </c>
      <c r="W1669">
        <v>0</v>
      </c>
      <c r="X1669">
        <v>0</v>
      </c>
      <c r="Y1669">
        <v>0</v>
      </c>
      <c r="Z1669">
        <v>0</v>
      </c>
      <c r="AA1669">
        <v>0</v>
      </c>
      <c r="AB1669">
        <v>0</v>
      </c>
      <c r="AC1669">
        <v>0</v>
      </c>
      <c r="AD1669">
        <v>0</v>
      </c>
      <c r="AE1669">
        <v>0</v>
      </c>
      <c r="AF1669">
        <v>0</v>
      </c>
      <c r="AG1669">
        <v>0</v>
      </c>
      <c r="AH1669">
        <v>1</v>
      </c>
      <c r="AI1669">
        <v>0</v>
      </c>
      <c r="AJ1669">
        <v>0</v>
      </c>
      <c r="AK1669">
        <v>0</v>
      </c>
      <c r="AL1669">
        <v>0</v>
      </c>
      <c r="AM1669">
        <v>0</v>
      </c>
      <c r="AN1669">
        <v>0</v>
      </c>
      <c r="AO1669">
        <v>0</v>
      </c>
      <c r="AP1669">
        <v>0</v>
      </c>
      <c r="AQ1669">
        <v>0</v>
      </c>
      <c r="AR1669">
        <v>0</v>
      </c>
      <c r="AS1669">
        <v>0</v>
      </c>
      <c r="AT1669">
        <v>0</v>
      </c>
      <c r="AU1669">
        <v>0</v>
      </c>
      <c r="AV1669">
        <v>0</v>
      </c>
      <c r="AW1669">
        <v>0</v>
      </c>
      <c r="AX1669" s="141">
        <f t="shared" ref="AX1669:AX1674" si="2196">COUNTIF(V1669:AW1669,"&lt;&gt;0")</f>
        <v>1</v>
      </c>
      <c r="AY1669" s="141">
        <f t="shared" ref="AY1669:AY1674" si="2197">COUNTIF(V1669:AL1669,"&lt;&gt;0")</f>
        <v>1</v>
      </c>
      <c r="AZ1669">
        <f t="shared" ref="AZ1669:AZ1674" si="2198">COUNTIF(V1669:AC1669,"&lt;&gt;0")</f>
        <v>0</v>
      </c>
      <c r="BA1669">
        <f t="shared" ref="BA1669:BA1674" si="2199">COUNTIF(AD1669:AI1669,"&lt;&gt;0")</f>
        <v>1</v>
      </c>
      <c r="BB1669">
        <f t="shared" ref="BB1669:BB1674" si="2200">COUNTIF(AJ1669:AL1669,"&lt;&gt;0")</f>
        <v>0</v>
      </c>
      <c r="BC1669">
        <f t="shared" ref="BC1669:BC1674" si="2201">COUNTIF(AS1669:AW1669,"&lt;&gt;0")</f>
        <v>0</v>
      </c>
      <c r="BD1669">
        <f t="shared" ref="BD1669:BD1674" si="2202">COUNTIF(AM1669:AR1669,"&lt;&gt;0")</f>
        <v>0</v>
      </c>
      <c r="BE1669" t="str" cm="1">
        <f t="array" ref="BE1669">IF(AY1669=1,INDEX($V$7:$AL$7,MATCH(TRUE,INDEX($V1669:$AW1669&lt;&gt;0,),0)),IF(AY1669=0,INDEX($AM$7:$AW$7,MATCH(1,$AM1669:$AW1669,0)),IF(BF1669="Multiple strategies","mixed drivers",IF(BF1669="Supply chain","multiple supply","multiple silviculture"))))</f>
        <v xml:space="preserve">end of life disposal </v>
      </c>
      <c r="BF1669" s="2" t="str" cm="1">
        <f t="array" ref="BF1669">IF(COUNTIF(AZ1669:BB1669,"&lt;&gt;0")=1,INDEX($V$4:$AW$4,MATCH(TRUE,INDEX($V1669:$AW1669&lt;&gt;0,),0)),IF(COUNTIF(AZ1669:BB1669,"&lt;&gt;0")=0,INDEX($AM$4:$AW$4,MATCH(1,$AM1669:$AW1669,0)),"Multiple strategies"))</f>
        <v>Supply chain</v>
      </c>
      <c r="BM1669" s="143"/>
      <c r="BN1669" s="143"/>
      <c r="BP1669" t="s">
        <v>232</v>
      </c>
      <c r="BR1669" t="s">
        <v>4363</v>
      </c>
      <c r="BS1669">
        <f>-971.4-125.5</f>
        <v>-1096.9000000000001</v>
      </c>
      <c r="BT1669">
        <f>-582.6</f>
        <v>-582.6</v>
      </c>
      <c r="BU1669" s="144">
        <f t="shared" ref="BU1669:BU1674" si="2203">IFERROR(BT1669/BS1669,"")</f>
        <v>0.53113319354544619</v>
      </c>
      <c r="BV1669" s="144">
        <f t="shared" ref="BV1669:BV1674" si="2204">BT1669-BS1669</f>
        <v>514.30000000000007</v>
      </c>
      <c r="BW1669" s="144"/>
      <c r="BX1669">
        <f t="shared" ref="BX1669:BX1674" si="2205">BV1669/1000</f>
        <v>0.51430000000000009</v>
      </c>
      <c r="BY1669" t="str">
        <f t="shared" si="2185"/>
        <v/>
      </c>
      <c r="BZ1669">
        <v>0</v>
      </c>
      <c r="CA1669">
        <v>0</v>
      </c>
      <c r="CB1669">
        <v>0</v>
      </c>
      <c r="CC1669">
        <v>0</v>
      </c>
      <c r="CD1669">
        <v>0</v>
      </c>
      <c r="CE1669">
        <v>0</v>
      </c>
      <c r="CF1669">
        <v>0</v>
      </c>
      <c r="CG1669">
        <v>0</v>
      </c>
      <c r="CH1669">
        <v>0</v>
      </c>
      <c r="CI1669">
        <v>0</v>
      </c>
      <c r="CJ1669">
        <v>0</v>
      </c>
      <c r="CK1669">
        <v>0</v>
      </c>
      <c r="CL1669">
        <v>0</v>
      </c>
      <c r="CM1669">
        <v>0</v>
      </c>
      <c r="CN1669" t="str">
        <f t="shared" ref="CN1669:CN1674" si="2206">IF(BL1669&lt;BK1669,"refNeedCorrection","refOK")</f>
        <v>refOK</v>
      </c>
      <c r="CO1669"/>
      <c r="CP1669"/>
      <c r="CQ1669"/>
      <c r="CR1669">
        <f t="shared" ref="CR1669:CR1674" si="2207">IF($CN1669="refOK",$BS1669,$BT1669)*IF($BP1669="Emissions positive",-1,1)</f>
        <v>-1096.9000000000001</v>
      </c>
      <c r="CS1669">
        <f t="shared" ref="CS1669:CS1674" si="2208">IF($CN1669="refOK",$BT1669,$BS1669)*IF($BP1669="Emissions positive",-1,1)</f>
        <v>-582.6</v>
      </c>
      <c r="CT1669">
        <f t="shared" ref="CT1669:CT1674" si="2209">IF($CN1669="refNeedCorrection",-BX1669,BX1669)*IF($BP1669="Emissions positive",-1,1)</f>
        <v>0.51430000000000009</v>
      </c>
      <c r="CU1669" t="str">
        <f t="shared" ref="CU1669:CU1674" si="2210">IFERROR(CT1669/CQ1669,"")</f>
        <v/>
      </c>
      <c r="CV1669" s="2">
        <f t="shared" ref="CV1669:CV1674" si="2211">IFERROR((CS1669-CR1669)/ABS(CR1669),"")</f>
        <v>0.46886680645455375</v>
      </c>
      <c r="CW1669" s="1" t="s">
        <v>263</v>
      </c>
      <c r="CX1669" s="311" t="str">
        <f t="shared" ref="CX1669:CX1674" si="2212">IF(OR($CW1669="prd",$CW1669="std",$CW1669="cit"),"loc",IF(OR($CW1669="eur",$CW1669="reg",$CW1669="coy"),"reg",$CW1669))</f>
        <v>loc</v>
      </c>
      <c r="CY1669" t="s">
        <v>540</v>
      </c>
      <c r="DB1669">
        <f t="shared" ref="DB1669:DB1674" si="2213">DA1669-CZ1669</f>
        <v>0</v>
      </c>
      <c r="DC1669" t="str">
        <f t="shared" ref="DC1669:DC1674" si="2214">IF(DB1669=0,"0",IF(AND(DB1669&gt;=1,DB1669&lt;=30),"1-30",IF(AND(DB1669&gt;30,DB1669&lt;=70),"31-70",IF(AND(DB1669&gt;70,DB1669&lt;=100),"71-100",IF(DB1669&gt;100,"+100")))))</f>
        <v>0</v>
      </c>
      <c r="DD1669">
        <v>0</v>
      </c>
      <c r="DE1669">
        <v>1</v>
      </c>
      <c r="DF1669">
        <v>0</v>
      </c>
      <c r="DG1669">
        <v>0</v>
      </c>
      <c r="DH1669">
        <v>0</v>
      </c>
      <c r="DI1669">
        <f t="shared" ref="DI1669:DI1674" si="2215">SUM(DD1669:DG1669)</f>
        <v>1</v>
      </c>
      <c r="DJ1669" t="str">
        <f t="shared" ref="DJ1669:DJ1674" si="2216">IF(DI1669=1,INDEX($DD$7:$DG$7,MATCH(1,$DD1669:$DG1669,0)),"mixedProduct")</f>
        <v>EnergyInput</v>
      </c>
      <c r="DK1669">
        <f t="shared" ref="DK1669:DN1674" si="2217">IF(DD1669=1,DK$7,0)</f>
        <v>0</v>
      </c>
      <c r="DL1669" t="str">
        <f t="shared" si="2217"/>
        <v>Energy</v>
      </c>
      <c r="DM1669">
        <f t="shared" si="2217"/>
        <v>0</v>
      </c>
      <c r="DN1669">
        <f t="shared" si="2217"/>
        <v>0</v>
      </c>
      <c r="DO1669">
        <v>0</v>
      </c>
      <c r="DP1669">
        <v>0</v>
      </c>
      <c r="DQ1669">
        <v>0</v>
      </c>
      <c r="DR1669">
        <v>0</v>
      </c>
      <c r="DS1669">
        <v>0</v>
      </c>
      <c r="DT1669">
        <f t="shared" ref="DT1669:DT1674" si="2218">SUM(DO1669:DP1669)</f>
        <v>0</v>
      </c>
      <c r="DU1669" s="143" t="str">
        <f t="shared" ref="DU1669:DU1674" si="2219">IF(DO1669=1,"self-calculated DF",IF(DP1669=1,"external DF used","explicit C balance"))</f>
        <v>explicit C balance</v>
      </c>
      <c r="DV1669">
        <v>0</v>
      </c>
      <c r="DW1669">
        <v>0</v>
      </c>
      <c r="DX1669">
        <v>0</v>
      </c>
      <c r="DY1669">
        <v>0</v>
      </c>
      <c r="DZ1669">
        <v>1</v>
      </c>
      <c r="EA1669" s="143">
        <v>1</v>
      </c>
      <c r="EB1669">
        <v>0</v>
      </c>
      <c r="EC1669">
        <v>1</v>
      </c>
      <c r="ED1669">
        <v>0</v>
      </c>
      <c r="EE1669">
        <v>0</v>
      </c>
      <c r="EF1669">
        <v>0</v>
      </c>
      <c r="EG1669">
        <v>0</v>
      </c>
      <c r="EH1669">
        <v>0</v>
      </c>
      <c r="EI1669" s="2">
        <v>0</v>
      </c>
      <c r="EK1669" t="str">
        <f t="shared" si="2194"/>
        <v/>
      </c>
      <c r="EL1669" t="str">
        <f t="shared" si="2195"/>
        <v/>
      </c>
      <c r="EM1669" s="2" t="str">
        <f t="shared" si="2188"/>
        <v/>
      </c>
      <c r="EN1669" t="s">
        <v>4364</v>
      </c>
      <c r="EP1669" t="b">
        <f>IF(ISNUMBER(BU1669),IF(ABS(BU1669-[1]QC_indicators!$B$2)&gt;3*[1]QC_indicators!$C$2,"C ratio",IF(ISNUMBER(BY1669),IF(ABS(BY1669-[1]QC_indicators!$B$1)&gt;3*[1]QC_indicators!$C$1,"DF","no"))),IF(ISNUMBER(BY1669),IF(ABS(BY1669-[1]QC_indicators!$B$1)&gt;3*[1]QC_indicators!$C$1,"DF","no")))</f>
        <v>0</v>
      </c>
    </row>
    <row r="1670" spans="1:151" hidden="1">
      <c r="A1670" s="1" t="s">
        <v>587</v>
      </c>
      <c r="B1670" t="s">
        <v>4355</v>
      </c>
      <c r="C1670" t="s">
        <v>4356</v>
      </c>
      <c r="D1670" t="s">
        <v>4357</v>
      </c>
      <c r="E1670" t="s">
        <v>4358</v>
      </c>
      <c r="F1670" t="s">
        <v>4359</v>
      </c>
      <c r="G1670" t="s">
        <v>593</v>
      </c>
      <c r="H1670" t="s">
        <v>254</v>
      </c>
      <c r="I1670">
        <v>2016</v>
      </c>
      <c r="J1670">
        <v>19</v>
      </c>
      <c r="K1670" t="s">
        <v>4360</v>
      </c>
      <c r="M1670" t="str">
        <f t="shared" si="2193"/>
        <v>Zhang_2016</v>
      </c>
      <c r="N1670" s="311" t="s">
        <v>4382</v>
      </c>
      <c r="O1670" s="145" t="s">
        <v>1153</v>
      </c>
      <c r="Q1670" s="311" t="s">
        <v>256</v>
      </c>
      <c r="R1670" s="312"/>
      <c r="S1670" s="1" t="s">
        <v>4365</v>
      </c>
      <c r="T1670">
        <v>0</v>
      </c>
      <c r="U1670" t="s">
        <v>4362</v>
      </c>
      <c r="V1670">
        <v>0</v>
      </c>
      <c r="W1670">
        <v>0</v>
      </c>
      <c r="X1670">
        <v>0</v>
      </c>
      <c r="Y1670">
        <v>0</v>
      </c>
      <c r="Z1670">
        <v>0</v>
      </c>
      <c r="AA1670">
        <v>0</v>
      </c>
      <c r="AB1670">
        <v>0</v>
      </c>
      <c r="AC1670">
        <v>0</v>
      </c>
      <c r="AD1670">
        <v>0</v>
      </c>
      <c r="AE1670">
        <v>0</v>
      </c>
      <c r="AF1670">
        <v>0</v>
      </c>
      <c r="AG1670">
        <v>0</v>
      </c>
      <c r="AH1670">
        <v>1</v>
      </c>
      <c r="AI1670">
        <v>0</v>
      </c>
      <c r="AJ1670">
        <v>0</v>
      </c>
      <c r="AK1670">
        <v>0</v>
      </c>
      <c r="AL1670">
        <v>0</v>
      </c>
      <c r="AM1670">
        <v>0</v>
      </c>
      <c r="AN1670">
        <v>0</v>
      </c>
      <c r="AO1670">
        <v>0</v>
      </c>
      <c r="AP1670">
        <v>0</v>
      </c>
      <c r="AQ1670">
        <v>0</v>
      </c>
      <c r="AR1670">
        <v>0</v>
      </c>
      <c r="AS1670">
        <v>0</v>
      </c>
      <c r="AT1670">
        <v>0</v>
      </c>
      <c r="AU1670">
        <v>0</v>
      </c>
      <c r="AV1670">
        <v>0</v>
      </c>
      <c r="AW1670">
        <v>0</v>
      </c>
      <c r="AX1670" s="141">
        <f t="shared" si="2196"/>
        <v>1</v>
      </c>
      <c r="AY1670" s="141">
        <f t="shared" si="2197"/>
        <v>1</v>
      </c>
      <c r="AZ1670">
        <f t="shared" si="2198"/>
        <v>0</v>
      </c>
      <c r="BA1670">
        <f t="shared" si="2199"/>
        <v>1</v>
      </c>
      <c r="BB1670">
        <f t="shared" si="2200"/>
        <v>0</v>
      </c>
      <c r="BC1670">
        <f t="shared" si="2201"/>
        <v>0</v>
      </c>
      <c r="BD1670">
        <f t="shared" si="2202"/>
        <v>0</v>
      </c>
      <c r="BE1670" t="str" cm="1">
        <f t="array" ref="BE1670">IF(AY1670=1,INDEX($V$7:$AL$7,MATCH(TRUE,INDEX($V1670:$AW1670&lt;&gt;0,),0)),IF(AY1670=0,INDEX($AM$7:$AW$7,MATCH(1,$AM1670:$AW1670,0)),IF(BF1670="Multiple strategies","mixed drivers",IF(BF1670="Supply chain","multiple supply","multiple silviculture"))))</f>
        <v xml:space="preserve">end of life disposal </v>
      </c>
      <c r="BF1670" s="2" t="str" cm="1">
        <f t="array" ref="BF1670">IF(COUNTIF(AZ1670:BB1670,"&lt;&gt;0")=1,INDEX($V$4:$AW$4,MATCH(TRUE,INDEX($V1670:$AW1670&lt;&gt;0,),0)),IF(COUNTIF(AZ1670:BB1670,"&lt;&gt;0")=0,INDEX($AM$4:$AW$4,MATCH(1,$AM1670:$AW1670,0)),"Multiple strategies"))</f>
        <v>Supply chain</v>
      </c>
      <c r="BM1670" s="143"/>
      <c r="BN1670" s="143"/>
      <c r="BP1670" t="s">
        <v>232</v>
      </c>
      <c r="BR1670" t="s">
        <v>4363</v>
      </c>
      <c r="BS1670">
        <f>-971.4-116.8</f>
        <v>-1088.2</v>
      </c>
      <c r="BT1670">
        <f>-582.6</f>
        <v>-582.6</v>
      </c>
      <c r="BU1670" s="144">
        <f t="shared" si="2203"/>
        <v>0.53537952582245907</v>
      </c>
      <c r="BV1670" s="144">
        <f t="shared" si="2204"/>
        <v>505.6</v>
      </c>
      <c r="BW1670" s="144"/>
      <c r="BX1670">
        <f t="shared" si="2205"/>
        <v>0.50560000000000005</v>
      </c>
      <c r="BY1670" t="str">
        <f t="shared" si="2185"/>
        <v/>
      </c>
      <c r="BZ1670">
        <v>0</v>
      </c>
      <c r="CA1670">
        <v>0</v>
      </c>
      <c r="CB1670">
        <v>0</v>
      </c>
      <c r="CC1670">
        <v>0</v>
      </c>
      <c r="CD1670">
        <v>0</v>
      </c>
      <c r="CE1670">
        <v>0</v>
      </c>
      <c r="CF1670">
        <v>0</v>
      </c>
      <c r="CG1670">
        <v>0</v>
      </c>
      <c r="CH1670">
        <v>0</v>
      </c>
      <c r="CI1670">
        <v>0</v>
      </c>
      <c r="CJ1670">
        <v>0</v>
      </c>
      <c r="CK1670">
        <v>0</v>
      </c>
      <c r="CL1670">
        <v>0</v>
      </c>
      <c r="CM1670">
        <v>0</v>
      </c>
      <c r="CN1670" t="str">
        <f t="shared" si="2206"/>
        <v>refOK</v>
      </c>
      <c r="CO1670"/>
      <c r="CP1670"/>
      <c r="CQ1670"/>
      <c r="CR1670">
        <f t="shared" si="2207"/>
        <v>-1088.2</v>
      </c>
      <c r="CS1670">
        <f t="shared" si="2208"/>
        <v>-582.6</v>
      </c>
      <c r="CT1670">
        <f t="shared" si="2209"/>
        <v>0.50560000000000005</v>
      </c>
      <c r="CU1670" t="str">
        <f t="shared" si="2210"/>
        <v/>
      </c>
      <c r="CV1670" s="2">
        <f t="shared" si="2211"/>
        <v>0.46462047417754088</v>
      </c>
      <c r="CW1670" s="1" t="s">
        <v>263</v>
      </c>
      <c r="CX1670" s="311" t="str">
        <f t="shared" si="2212"/>
        <v>loc</v>
      </c>
      <c r="CY1670" t="s">
        <v>540</v>
      </c>
      <c r="DB1670">
        <f t="shared" si="2213"/>
        <v>0</v>
      </c>
      <c r="DC1670" t="str">
        <f t="shared" si="2214"/>
        <v>0</v>
      </c>
      <c r="DD1670">
        <v>0</v>
      </c>
      <c r="DE1670">
        <v>1</v>
      </c>
      <c r="DF1670">
        <v>0</v>
      </c>
      <c r="DG1670">
        <v>0</v>
      </c>
      <c r="DH1670">
        <v>0</v>
      </c>
      <c r="DI1670">
        <f t="shared" si="2215"/>
        <v>1</v>
      </c>
      <c r="DJ1670" t="str">
        <f t="shared" si="2216"/>
        <v>EnergyInput</v>
      </c>
      <c r="DK1670">
        <f t="shared" si="2217"/>
        <v>0</v>
      </c>
      <c r="DL1670" t="str">
        <f t="shared" si="2217"/>
        <v>Energy</v>
      </c>
      <c r="DM1670">
        <f t="shared" si="2217"/>
        <v>0</v>
      </c>
      <c r="DN1670">
        <f t="shared" si="2217"/>
        <v>0</v>
      </c>
      <c r="DO1670">
        <v>0</v>
      </c>
      <c r="DP1670">
        <v>0</v>
      </c>
      <c r="DQ1670">
        <v>0</v>
      </c>
      <c r="DR1670">
        <v>0</v>
      </c>
      <c r="DS1670">
        <v>0</v>
      </c>
      <c r="DT1670">
        <f t="shared" si="2218"/>
        <v>0</v>
      </c>
      <c r="DU1670" s="143" t="str">
        <f t="shared" si="2219"/>
        <v>explicit C balance</v>
      </c>
      <c r="DV1670">
        <v>0</v>
      </c>
      <c r="DW1670">
        <v>0</v>
      </c>
      <c r="DX1670">
        <v>0</v>
      </c>
      <c r="DY1670">
        <v>0</v>
      </c>
      <c r="DZ1670">
        <v>1</v>
      </c>
      <c r="EA1670" s="143">
        <v>1</v>
      </c>
      <c r="EB1670">
        <v>0</v>
      </c>
      <c r="EC1670">
        <v>1</v>
      </c>
      <c r="ED1670">
        <v>0</v>
      </c>
      <c r="EE1670">
        <v>0</v>
      </c>
      <c r="EF1670">
        <v>0</v>
      </c>
      <c r="EG1670">
        <v>0</v>
      </c>
      <c r="EH1670">
        <v>0</v>
      </c>
      <c r="EI1670" s="2">
        <v>0</v>
      </c>
      <c r="EK1670" t="str">
        <f t="shared" si="2194"/>
        <v/>
      </c>
      <c r="EL1670" t="str">
        <f t="shared" si="2195"/>
        <v/>
      </c>
      <c r="EM1670" s="2" t="str">
        <f t="shared" si="2188"/>
        <v/>
      </c>
      <c r="EN1670" t="s">
        <v>4364</v>
      </c>
      <c r="EP1670" t="b">
        <f>IF(ISNUMBER(BU1670),IF(ABS(BU1670-[1]QC_indicators!$B$2)&gt;3*[1]QC_indicators!$C$2,"C ratio",IF(ISNUMBER(BY1670),IF(ABS(BY1670-[1]QC_indicators!$B$1)&gt;3*[1]QC_indicators!$C$1,"DF","no"))),IF(ISNUMBER(BY1670),IF(ABS(BY1670-[1]QC_indicators!$B$1)&gt;3*[1]QC_indicators!$C$1,"DF","no")))</f>
        <v>0</v>
      </c>
    </row>
    <row r="1671" spans="1:151" hidden="1">
      <c r="A1671" s="1" t="s">
        <v>587</v>
      </c>
      <c r="B1671" t="s">
        <v>4355</v>
      </c>
      <c r="C1671" t="s">
        <v>4356</v>
      </c>
      <c r="D1671" t="s">
        <v>4357</v>
      </c>
      <c r="E1671" t="s">
        <v>4358</v>
      </c>
      <c r="F1671" t="s">
        <v>4359</v>
      </c>
      <c r="G1671" t="s">
        <v>593</v>
      </c>
      <c r="H1671" t="s">
        <v>254</v>
      </c>
      <c r="I1671">
        <v>2016</v>
      </c>
      <c r="J1671">
        <v>19</v>
      </c>
      <c r="K1671" t="s">
        <v>4360</v>
      </c>
      <c r="M1671" t="str">
        <f t="shared" si="2193"/>
        <v>Zhang_2016</v>
      </c>
      <c r="N1671" s="311" t="s">
        <v>4382</v>
      </c>
      <c r="O1671" s="145" t="s">
        <v>1153</v>
      </c>
      <c r="Q1671" s="311" t="s">
        <v>256</v>
      </c>
      <c r="R1671" s="312"/>
      <c r="S1671" s="1" t="s">
        <v>4366</v>
      </c>
      <c r="T1671">
        <v>0</v>
      </c>
      <c r="U1671" t="s">
        <v>4362</v>
      </c>
      <c r="V1671">
        <v>0</v>
      </c>
      <c r="W1671">
        <v>0</v>
      </c>
      <c r="X1671">
        <v>0</v>
      </c>
      <c r="Y1671">
        <v>0</v>
      </c>
      <c r="Z1671">
        <v>0</v>
      </c>
      <c r="AA1671">
        <v>0</v>
      </c>
      <c r="AB1671">
        <v>0</v>
      </c>
      <c r="AC1671">
        <v>0</v>
      </c>
      <c r="AD1671">
        <v>0</v>
      </c>
      <c r="AE1671">
        <v>0</v>
      </c>
      <c r="AF1671">
        <v>0</v>
      </c>
      <c r="AG1671">
        <v>0</v>
      </c>
      <c r="AH1671">
        <v>1</v>
      </c>
      <c r="AI1671">
        <v>0</v>
      </c>
      <c r="AJ1671">
        <v>0</v>
      </c>
      <c r="AK1671">
        <v>0</v>
      </c>
      <c r="AL1671">
        <v>0</v>
      </c>
      <c r="AM1671">
        <v>0</v>
      </c>
      <c r="AN1671">
        <v>0</v>
      </c>
      <c r="AO1671">
        <v>0</v>
      </c>
      <c r="AP1671">
        <v>0</v>
      </c>
      <c r="AQ1671">
        <v>0</v>
      </c>
      <c r="AR1671">
        <v>0</v>
      </c>
      <c r="AS1671">
        <v>0</v>
      </c>
      <c r="AT1671">
        <v>0</v>
      </c>
      <c r="AU1671">
        <v>0</v>
      </c>
      <c r="AV1671">
        <v>0</v>
      </c>
      <c r="AW1671">
        <v>0</v>
      </c>
      <c r="AX1671" s="141">
        <f t="shared" si="2196"/>
        <v>1</v>
      </c>
      <c r="AY1671" s="141">
        <f t="shared" si="2197"/>
        <v>1</v>
      </c>
      <c r="AZ1671">
        <f t="shared" si="2198"/>
        <v>0</v>
      </c>
      <c r="BA1671">
        <f t="shared" si="2199"/>
        <v>1</v>
      </c>
      <c r="BB1671">
        <f t="shared" si="2200"/>
        <v>0</v>
      </c>
      <c r="BC1671">
        <f t="shared" si="2201"/>
        <v>0</v>
      </c>
      <c r="BD1671">
        <f t="shared" si="2202"/>
        <v>0</v>
      </c>
      <c r="BE1671" t="str" cm="1">
        <f t="array" ref="BE1671">IF(AY1671=1,INDEX($V$7:$AL$7,MATCH(TRUE,INDEX($V1671:$AW1671&lt;&gt;0,),0)),IF(AY1671=0,INDEX($AM$7:$AW$7,MATCH(1,$AM1671:$AW1671,0)),IF(BF1671="Multiple strategies","mixed drivers",IF(BF1671="Supply chain","multiple supply","multiple silviculture"))))</f>
        <v xml:space="preserve">end of life disposal </v>
      </c>
      <c r="BF1671" s="2" t="str" cm="1">
        <f t="array" ref="BF1671">IF(COUNTIF(AZ1671:BB1671,"&lt;&gt;0")=1,INDEX($V$4:$AW$4,MATCH(TRUE,INDEX($V1671:$AW1671&lt;&gt;0,),0)),IF(COUNTIF(AZ1671:BB1671,"&lt;&gt;0")=0,INDEX($AM$4:$AW$4,MATCH(1,$AM1671:$AW1671,0)),"Multiple strategies"))</f>
        <v>Supply chain</v>
      </c>
      <c r="BM1671" s="143"/>
      <c r="BN1671" s="143"/>
      <c r="BP1671" t="s">
        <v>232</v>
      </c>
      <c r="BR1671" t="s">
        <v>4363</v>
      </c>
      <c r="BS1671">
        <f>-971.4-132.4</f>
        <v>-1103.8</v>
      </c>
      <c r="BT1671">
        <v>-669.4</v>
      </c>
      <c r="BU1671" s="144">
        <f t="shared" si="2203"/>
        <v>0.60645044392100023</v>
      </c>
      <c r="BV1671" s="144">
        <f t="shared" si="2204"/>
        <v>434.4</v>
      </c>
      <c r="BW1671" s="144"/>
      <c r="BX1671">
        <f t="shared" si="2205"/>
        <v>0.43439999999999995</v>
      </c>
      <c r="BY1671" t="str">
        <f t="shared" si="2185"/>
        <v/>
      </c>
      <c r="BZ1671">
        <v>0</v>
      </c>
      <c r="CA1671">
        <v>0</v>
      </c>
      <c r="CB1671">
        <v>0</v>
      </c>
      <c r="CC1671">
        <v>0</v>
      </c>
      <c r="CD1671">
        <v>0</v>
      </c>
      <c r="CE1671">
        <v>0</v>
      </c>
      <c r="CF1671">
        <v>0</v>
      </c>
      <c r="CG1671">
        <v>0</v>
      </c>
      <c r="CH1671">
        <v>0</v>
      </c>
      <c r="CI1671">
        <v>0</v>
      </c>
      <c r="CJ1671">
        <v>0</v>
      </c>
      <c r="CK1671">
        <v>0</v>
      </c>
      <c r="CL1671">
        <v>0</v>
      </c>
      <c r="CM1671">
        <v>0</v>
      </c>
      <c r="CN1671" t="str">
        <f t="shared" si="2206"/>
        <v>refOK</v>
      </c>
      <c r="CO1671"/>
      <c r="CP1671"/>
      <c r="CQ1671"/>
      <c r="CR1671">
        <f t="shared" si="2207"/>
        <v>-1103.8</v>
      </c>
      <c r="CS1671">
        <f t="shared" si="2208"/>
        <v>-669.4</v>
      </c>
      <c r="CT1671">
        <f t="shared" si="2209"/>
        <v>0.43439999999999995</v>
      </c>
      <c r="CU1671" t="str">
        <f t="shared" si="2210"/>
        <v/>
      </c>
      <c r="CV1671" s="2">
        <f t="shared" si="2211"/>
        <v>0.39354955607899983</v>
      </c>
      <c r="CW1671" s="1" t="s">
        <v>263</v>
      </c>
      <c r="CX1671" s="311" t="str">
        <f t="shared" si="2212"/>
        <v>loc</v>
      </c>
      <c r="CY1671" t="s">
        <v>540</v>
      </c>
      <c r="DB1671">
        <f t="shared" si="2213"/>
        <v>0</v>
      </c>
      <c r="DC1671" t="str">
        <f t="shared" si="2214"/>
        <v>0</v>
      </c>
      <c r="DD1671">
        <v>0</v>
      </c>
      <c r="DE1671">
        <v>1</v>
      </c>
      <c r="DF1671">
        <v>0</v>
      </c>
      <c r="DG1671">
        <v>0</v>
      </c>
      <c r="DH1671">
        <v>0</v>
      </c>
      <c r="DI1671">
        <f t="shared" si="2215"/>
        <v>1</v>
      </c>
      <c r="DJ1671" t="str">
        <f t="shared" si="2216"/>
        <v>EnergyInput</v>
      </c>
      <c r="DK1671">
        <f t="shared" si="2217"/>
        <v>0</v>
      </c>
      <c r="DL1671" t="str">
        <f t="shared" si="2217"/>
        <v>Energy</v>
      </c>
      <c r="DM1671">
        <f t="shared" si="2217"/>
        <v>0</v>
      </c>
      <c r="DN1671">
        <f t="shared" si="2217"/>
        <v>0</v>
      </c>
      <c r="DO1671">
        <v>0</v>
      </c>
      <c r="DP1671">
        <v>0</v>
      </c>
      <c r="DQ1671">
        <v>0</v>
      </c>
      <c r="DR1671">
        <v>0</v>
      </c>
      <c r="DS1671">
        <v>0</v>
      </c>
      <c r="DT1671">
        <f t="shared" si="2218"/>
        <v>0</v>
      </c>
      <c r="DU1671" s="143" t="str">
        <f t="shared" si="2219"/>
        <v>explicit C balance</v>
      </c>
      <c r="DV1671">
        <v>0</v>
      </c>
      <c r="DW1671">
        <v>0</v>
      </c>
      <c r="DX1671">
        <v>0</v>
      </c>
      <c r="DY1671">
        <v>0</v>
      </c>
      <c r="DZ1671">
        <v>1</v>
      </c>
      <c r="EA1671" s="143">
        <v>1</v>
      </c>
      <c r="EB1671">
        <v>0</v>
      </c>
      <c r="EC1671">
        <v>1</v>
      </c>
      <c r="ED1671">
        <v>0</v>
      </c>
      <c r="EE1671">
        <v>0</v>
      </c>
      <c r="EF1671">
        <v>0</v>
      </c>
      <c r="EG1671">
        <v>0</v>
      </c>
      <c r="EH1671">
        <v>0</v>
      </c>
      <c r="EI1671" s="2">
        <v>0</v>
      </c>
      <c r="EK1671" t="str">
        <f t="shared" si="2194"/>
        <v/>
      </c>
      <c r="EL1671" t="str">
        <f t="shared" si="2195"/>
        <v/>
      </c>
      <c r="EM1671" s="2" t="str">
        <f t="shared" si="2188"/>
        <v/>
      </c>
      <c r="EN1671" t="s">
        <v>4364</v>
      </c>
      <c r="EP1671" t="b">
        <f>IF(ISNUMBER(BU1671),IF(ABS(BU1671-[1]QC_indicators!$B$2)&gt;3*[1]QC_indicators!$C$2,"C ratio",IF(ISNUMBER(BY1671),IF(ABS(BY1671-[1]QC_indicators!$B$1)&gt;3*[1]QC_indicators!$C$1,"DF","no"))),IF(ISNUMBER(BY1671),IF(ABS(BY1671-[1]QC_indicators!$B$1)&gt;3*[1]QC_indicators!$C$1,"DF","no")))</f>
        <v>0</v>
      </c>
    </row>
    <row r="1672" spans="1:151" hidden="1">
      <c r="A1672" s="1" t="s">
        <v>587</v>
      </c>
      <c r="B1672" t="s">
        <v>4355</v>
      </c>
      <c r="C1672" t="s">
        <v>4356</v>
      </c>
      <c r="D1672" t="s">
        <v>4357</v>
      </c>
      <c r="E1672" t="s">
        <v>4358</v>
      </c>
      <c r="F1672" t="s">
        <v>4359</v>
      </c>
      <c r="G1672" t="s">
        <v>593</v>
      </c>
      <c r="H1672" t="s">
        <v>254</v>
      </c>
      <c r="I1672">
        <v>2016</v>
      </c>
      <c r="J1672">
        <v>19</v>
      </c>
      <c r="K1672" t="s">
        <v>4360</v>
      </c>
      <c r="M1672" t="str">
        <f t="shared" si="2193"/>
        <v>Zhang_2016</v>
      </c>
      <c r="N1672" s="311" t="s">
        <v>4382</v>
      </c>
      <c r="O1672" s="145" t="s">
        <v>1153</v>
      </c>
      <c r="Q1672" s="311" t="s">
        <v>256</v>
      </c>
      <c r="R1672" s="312"/>
      <c r="S1672" s="1" t="s">
        <v>4367</v>
      </c>
      <c r="T1672">
        <v>0</v>
      </c>
      <c r="U1672" t="s">
        <v>4362</v>
      </c>
      <c r="V1672">
        <v>0</v>
      </c>
      <c r="W1672">
        <v>0</v>
      </c>
      <c r="X1672">
        <v>0</v>
      </c>
      <c r="Y1672">
        <v>0</v>
      </c>
      <c r="Z1672">
        <v>0</v>
      </c>
      <c r="AA1672">
        <v>0</v>
      </c>
      <c r="AB1672">
        <v>0</v>
      </c>
      <c r="AC1672">
        <v>0</v>
      </c>
      <c r="AD1672">
        <v>0</v>
      </c>
      <c r="AE1672">
        <v>0</v>
      </c>
      <c r="AF1672">
        <v>0</v>
      </c>
      <c r="AG1672">
        <v>0</v>
      </c>
      <c r="AH1672">
        <v>1</v>
      </c>
      <c r="AI1672">
        <v>0</v>
      </c>
      <c r="AJ1672">
        <v>0</v>
      </c>
      <c r="AK1672">
        <v>0</v>
      </c>
      <c r="AL1672">
        <v>0</v>
      </c>
      <c r="AM1672">
        <v>0</v>
      </c>
      <c r="AN1672">
        <v>0</v>
      </c>
      <c r="AO1672">
        <v>0</v>
      </c>
      <c r="AP1672">
        <v>0</v>
      </c>
      <c r="AQ1672">
        <v>0</v>
      </c>
      <c r="AR1672">
        <v>0</v>
      </c>
      <c r="AS1672">
        <v>0</v>
      </c>
      <c r="AT1672">
        <v>0</v>
      </c>
      <c r="AU1672">
        <v>0</v>
      </c>
      <c r="AV1672">
        <v>0</v>
      </c>
      <c r="AW1672">
        <v>0</v>
      </c>
      <c r="AX1672" s="141">
        <f t="shared" si="2196"/>
        <v>1</v>
      </c>
      <c r="AY1672" s="141">
        <f t="shared" si="2197"/>
        <v>1</v>
      </c>
      <c r="AZ1672">
        <f t="shared" si="2198"/>
        <v>0</v>
      </c>
      <c r="BA1672">
        <f t="shared" si="2199"/>
        <v>1</v>
      </c>
      <c r="BB1672">
        <f t="shared" si="2200"/>
        <v>0</v>
      </c>
      <c r="BC1672">
        <f t="shared" si="2201"/>
        <v>0</v>
      </c>
      <c r="BD1672">
        <f t="shared" si="2202"/>
        <v>0</v>
      </c>
      <c r="BE1672" t="str" cm="1">
        <f t="array" ref="BE1672">IF(AY1672=1,INDEX($V$7:$AL$7,MATCH(TRUE,INDEX($V1672:$AW1672&lt;&gt;0,),0)),IF(AY1672=0,INDEX($AM$7:$AW$7,MATCH(1,$AM1672:$AW1672,0)),IF(BF1672="Multiple strategies","mixed drivers",IF(BF1672="Supply chain","multiple supply","multiple silviculture"))))</f>
        <v xml:space="preserve">end of life disposal </v>
      </c>
      <c r="BF1672" s="2" t="str" cm="1">
        <f t="array" ref="BF1672">IF(COUNTIF(AZ1672:BB1672,"&lt;&gt;0")=1,INDEX($V$4:$AW$4,MATCH(TRUE,INDEX($V1672:$AW1672&lt;&gt;0,),0)),IF(COUNTIF(AZ1672:BB1672,"&lt;&gt;0")=0,INDEX($AM$4:$AW$4,MATCH(1,$AM1672:$AW1672,0)),"Multiple strategies"))</f>
        <v>Supply chain</v>
      </c>
      <c r="BM1672" s="143"/>
      <c r="BN1672" s="143"/>
      <c r="BP1672" t="s">
        <v>232</v>
      </c>
      <c r="BR1672" t="s">
        <v>4363</v>
      </c>
      <c r="BS1672">
        <f>-971.4-117.1</f>
        <v>-1088.5</v>
      </c>
      <c r="BT1672">
        <v>-669.4</v>
      </c>
      <c r="BU1672" s="144">
        <f t="shared" si="2203"/>
        <v>0.61497473587505735</v>
      </c>
      <c r="BV1672" s="144">
        <f t="shared" si="2204"/>
        <v>419.1</v>
      </c>
      <c r="BW1672" s="144"/>
      <c r="BX1672">
        <f t="shared" si="2205"/>
        <v>0.41910000000000003</v>
      </c>
      <c r="BY1672" t="str">
        <f t="shared" si="2185"/>
        <v/>
      </c>
      <c r="BZ1672">
        <v>0</v>
      </c>
      <c r="CA1672">
        <v>0</v>
      </c>
      <c r="CB1672">
        <v>0</v>
      </c>
      <c r="CC1672">
        <v>0</v>
      </c>
      <c r="CD1672">
        <v>0</v>
      </c>
      <c r="CE1672">
        <v>0</v>
      </c>
      <c r="CF1672">
        <v>0</v>
      </c>
      <c r="CG1672">
        <v>0</v>
      </c>
      <c r="CH1672">
        <v>0</v>
      </c>
      <c r="CI1672">
        <v>0</v>
      </c>
      <c r="CJ1672">
        <v>0</v>
      </c>
      <c r="CK1672">
        <v>0</v>
      </c>
      <c r="CL1672">
        <v>0</v>
      </c>
      <c r="CM1672">
        <v>0</v>
      </c>
      <c r="CN1672" t="str">
        <f t="shared" si="2206"/>
        <v>refOK</v>
      </c>
      <c r="CO1672"/>
      <c r="CP1672"/>
      <c r="CQ1672"/>
      <c r="CR1672">
        <f t="shared" si="2207"/>
        <v>-1088.5</v>
      </c>
      <c r="CS1672">
        <f t="shared" si="2208"/>
        <v>-669.4</v>
      </c>
      <c r="CT1672">
        <f t="shared" si="2209"/>
        <v>0.41910000000000003</v>
      </c>
      <c r="CU1672" t="str">
        <f t="shared" si="2210"/>
        <v/>
      </c>
      <c r="CV1672" s="2">
        <f t="shared" si="2211"/>
        <v>0.38502526412494259</v>
      </c>
      <c r="CW1672" s="1" t="s">
        <v>263</v>
      </c>
      <c r="CX1672" s="311" t="str">
        <f t="shared" si="2212"/>
        <v>loc</v>
      </c>
      <c r="CY1672" t="s">
        <v>540</v>
      </c>
      <c r="DB1672">
        <f t="shared" si="2213"/>
        <v>0</v>
      </c>
      <c r="DC1672" t="str">
        <f t="shared" si="2214"/>
        <v>0</v>
      </c>
      <c r="DD1672">
        <v>0</v>
      </c>
      <c r="DE1672">
        <v>1</v>
      </c>
      <c r="DF1672">
        <v>0</v>
      </c>
      <c r="DG1672">
        <v>0</v>
      </c>
      <c r="DH1672">
        <v>0</v>
      </c>
      <c r="DI1672">
        <f t="shared" si="2215"/>
        <v>1</v>
      </c>
      <c r="DJ1672" t="str">
        <f t="shared" si="2216"/>
        <v>EnergyInput</v>
      </c>
      <c r="DK1672">
        <f t="shared" si="2217"/>
        <v>0</v>
      </c>
      <c r="DL1672" t="str">
        <f t="shared" si="2217"/>
        <v>Energy</v>
      </c>
      <c r="DM1672">
        <f t="shared" si="2217"/>
        <v>0</v>
      </c>
      <c r="DN1672">
        <f t="shared" si="2217"/>
        <v>0</v>
      </c>
      <c r="DO1672">
        <v>0</v>
      </c>
      <c r="DP1672">
        <v>0</v>
      </c>
      <c r="DQ1672">
        <v>0</v>
      </c>
      <c r="DR1672">
        <v>0</v>
      </c>
      <c r="DS1672">
        <v>0</v>
      </c>
      <c r="DT1672">
        <f t="shared" si="2218"/>
        <v>0</v>
      </c>
      <c r="DU1672" s="143" t="str">
        <f t="shared" si="2219"/>
        <v>explicit C balance</v>
      </c>
      <c r="DV1672">
        <v>0</v>
      </c>
      <c r="DW1672">
        <v>0</v>
      </c>
      <c r="DX1672">
        <v>0</v>
      </c>
      <c r="DY1672">
        <v>0</v>
      </c>
      <c r="DZ1672">
        <v>1</v>
      </c>
      <c r="EA1672" s="143">
        <v>1</v>
      </c>
      <c r="EB1672">
        <v>0</v>
      </c>
      <c r="EC1672">
        <v>1</v>
      </c>
      <c r="ED1672">
        <v>0</v>
      </c>
      <c r="EE1672">
        <v>0</v>
      </c>
      <c r="EF1672">
        <v>0</v>
      </c>
      <c r="EG1672">
        <v>0</v>
      </c>
      <c r="EH1672">
        <v>0</v>
      </c>
      <c r="EI1672" s="2">
        <v>0</v>
      </c>
      <c r="EK1672" t="str">
        <f t="shared" si="2194"/>
        <v/>
      </c>
      <c r="EL1672" t="str">
        <f t="shared" si="2195"/>
        <v/>
      </c>
      <c r="EM1672" s="2" t="str">
        <f t="shared" si="2188"/>
        <v/>
      </c>
      <c r="EN1672" t="s">
        <v>4364</v>
      </c>
      <c r="EP1672" t="b">
        <f>IF(ISNUMBER(BU1672),IF(ABS(BU1672-[1]QC_indicators!$B$2)&gt;3*[1]QC_indicators!$C$2,"C ratio",IF(ISNUMBER(BY1672),IF(ABS(BY1672-[1]QC_indicators!$B$1)&gt;3*[1]QC_indicators!$C$1,"DF","no"))),IF(ISNUMBER(BY1672),IF(ABS(BY1672-[1]QC_indicators!$B$1)&gt;3*[1]QC_indicators!$C$1,"DF","no")))</f>
        <v>0</v>
      </c>
    </row>
    <row r="1673" spans="1:151" hidden="1">
      <c r="A1673" s="1" t="s">
        <v>587</v>
      </c>
      <c r="B1673" t="s">
        <v>4355</v>
      </c>
      <c r="C1673" t="s">
        <v>4356</v>
      </c>
      <c r="D1673" t="s">
        <v>4357</v>
      </c>
      <c r="E1673" t="s">
        <v>4358</v>
      </c>
      <c r="F1673" t="s">
        <v>4359</v>
      </c>
      <c r="G1673" t="s">
        <v>593</v>
      </c>
      <c r="H1673" t="s">
        <v>254</v>
      </c>
      <c r="I1673">
        <v>2016</v>
      </c>
      <c r="J1673">
        <v>19</v>
      </c>
      <c r="K1673" t="s">
        <v>4360</v>
      </c>
      <c r="M1673" t="str">
        <f t="shared" si="2193"/>
        <v>Zhang_2016</v>
      </c>
      <c r="N1673" s="311" t="s">
        <v>4382</v>
      </c>
      <c r="O1673" s="145" t="s">
        <v>1153</v>
      </c>
      <c r="Q1673" s="311" t="s">
        <v>256</v>
      </c>
      <c r="R1673" s="312"/>
      <c r="S1673" s="1" t="s">
        <v>4368</v>
      </c>
      <c r="T1673">
        <v>0</v>
      </c>
      <c r="U1673" t="s">
        <v>4362</v>
      </c>
      <c r="V1673">
        <v>0</v>
      </c>
      <c r="W1673">
        <v>0</v>
      </c>
      <c r="X1673">
        <v>0</v>
      </c>
      <c r="Y1673">
        <v>0</v>
      </c>
      <c r="Z1673">
        <v>0</v>
      </c>
      <c r="AA1673">
        <v>0</v>
      </c>
      <c r="AB1673">
        <v>0</v>
      </c>
      <c r="AC1673">
        <v>0</v>
      </c>
      <c r="AD1673">
        <v>0</v>
      </c>
      <c r="AE1673">
        <v>0</v>
      </c>
      <c r="AF1673">
        <v>0</v>
      </c>
      <c r="AG1673">
        <v>1</v>
      </c>
      <c r="AH1673">
        <v>0</v>
      </c>
      <c r="AI1673">
        <v>0</v>
      </c>
      <c r="AJ1673">
        <v>0</v>
      </c>
      <c r="AK1673">
        <v>0</v>
      </c>
      <c r="AL1673">
        <v>0</v>
      </c>
      <c r="AM1673">
        <v>0</v>
      </c>
      <c r="AN1673">
        <v>0</v>
      </c>
      <c r="AO1673">
        <v>0</v>
      </c>
      <c r="AP1673">
        <v>0</v>
      </c>
      <c r="AQ1673">
        <v>0</v>
      </c>
      <c r="AR1673">
        <v>0</v>
      </c>
      <c r="AS1673">
        <v>0</v>
      </c>
      <c r="AT1673">
        <v>0</v>
      </c>
      <c r="AU1673">
        <v>0</v>
      </c>
      <c r="AV1673">
        <v>0</v>
      </c>
      <c r="AW1673">
        <v>0</v>
      </c>
      <c r="AX1673" s="141">
        <f t="shared" si="2196"/>
        <v>1</v>
      </c>
      <c r="AY1673" s="141">
        <f t="shared" si="2197"/>
        <v>1</v>
      </c>
      <c r="AZ1673">
        <f t="shared" si="2198"/>
        <v>0</v>
      </c>
      <c r="BA1673">
        <f t="shared" si="2199"/>
        <v>1</v>
      </c>
      <c r="BB1673">
        <f t="shared" si="2200"/>
        <v>0</v>
      </c>
      <c r="BC1673">
        <f t="shared" si="2201"/>
        <v>0</v>
      </c>
      <c r="BD1673">
        <f t="shared" si="2202"/>
        <v>0</v>
      </c>
      <c r="BE1673" t="str" cm="1">
        <f t="array" ref="BE1673">IF(AY1673=1,INDEX($V$7:$AL$7,MATCH(TRUE,INDEX($V1673:$AW1673&lt;&gt;0,),0)),IF(AY1673=0,INDEX($AM$7:$AW$7,MATCH(1,$AM1673:$AW1673,0)),IF(BF1673="Multiple strategies","mixed drivers",IF(BF1673="Supply chain","multiple supply","multiple silviculture"))))</f>
        <v>recycling</v>
      </c>
      <c r="BF1673" s="2" t="str" cm="1">
        <f t="array" ref="BF1673">IF(COUNTIF(AZ1673:BB1673,"&lt;&gt;0")=1,INDEX($V$4:$AW$4,MATCH(TRUE,INDEX($V1673:$AW1673&lt;&gt;0,),0)),IF(COUNTIF(AZ1673:BB1673,"&lt;&gt;0")=0,INDEX($AM$4:$AW$4,MATCH(1,$AM1673:$AW1673,0)),"Multiple strategies"))</f>
        <v>Supply chain</v>
      </c>
      <c r="BM1673" s="143"/>
      <c r="BN1673" s="143"/>
      <c r="BP1673" t="s">
        <v>232</v>
      </c>
      <c r="BR1673" t="s">
        <v>4363</v>
      </c>
      <c r="BS1673">
        <f>-971.4-488.6</f>
        <v>-1460</v>
      </c>
      <c r="BT1673">
        <f>-582.6</f>
        <v>-582.6</v>
      </c>
      <c r="BU1673" s="144">
        <f t="shared" si="2203"/>
        <v>0.39904109589041098</v>
      </c>
      <c r="BV1673" s="144">
        <f t="shared" si="2204"/>
        <v>877.4</v>
      </c>
      <c r="BW1673" s="144"/>
      <c r="BX1673">
        <f t="shared" si="2205"/>
        <v>0.87739999999999996</v>
      </c>
      <c r="BY1673" t="str">
        <f t="shared" si="2185"/>
        <v/>
      </c>
      <c r="BZ1673">
        <v>0</v>
      </c>
      <c r="CA1673">
        <v>0</v>
      </c>
      <c r="CB1673">
        <v>0</v>
      </c>
      <c r="CC1673">
        <v>0</v>
      </c>
      <c r="CD1673">
        <v>0</v>
      </c>
      <c r="CE1673">
        <v>0</v>
      </c>
      <c r="CF1673">
        <v>0</v>
      </c>
      <c r="CG1673">
        <v>0</v>
      </c>
      <c r="CH1673">
        <v>0</v>
      </c>
      <c r="CI1673">
        <v>0</v>
      </c>
      <c r="CJ1673">
        <v>0</v>
      </c>
      <c r="CK1673">
        <v>0</v>
      </c>
      <c r="CL1673">
        <v>0</v>
      </c>
      <c r="CM1673">
        <v>0</v>
      </c>
      <c r="CN1673" t="str">
        <f t="shared" si="2206"/>
        <v>refOK</v>
      </c>
      <c r="CO1673"/>
      <c r="CP1673"/>
      <c r="CQ1673"/>
      <c r="CR1673">
        <f t="shared" si="2207"/>
        <v>-1460</v>
      </c>
      <c r="CS1673">
        <f t="shared" si="2208"/>
        <v>-582.6</v>
      </c>
      <c r="CT1673">
        <f t="shared" si="2209"/>
        <v>0.87739999999999996</v>
      </c>
      <c r="CU1673" t="str">
        <f t="shared" si="2210"/>
        <v/>
      </c>
      <c r="CV1673" s="2">
        <f t="shared" si="2211"/>
        <v>0.60095890410958908</v>
      </c>
      <c r="CW1673" s="1" t="s">
        <v>263</v>
      </c>
      <c r="CX1673" s="311" t="str">
        <f t="shared" si="2212"/>
        <v>loc</v>
      </c>
      <c r="CY1673" t="s">
        <v>540</v>
      </c>
      <c r="DB1673">
        <f t="shared" si="2213"/>
        <v>0</v>
      </c>
      <c r="DC1673" t="str">
        <f t="shared" si="2214"/>
        <v>0</v>
      </c>
      <c r="DD1673">
        <v>0</v>
      </c>
      <c r="DE1673">
        <v>1</v>
      </c>
      <c r="DF1673">
        <v>0</v>
      </c>
      <c r="DG1673">
        <v>0</v>
      </c>
      <c r="DH1673">
        <v>0</v>
      </c>
      <c r="DI1673">
        <f t="shared" si="2215"/>
        <v>1</v>
      </c>
      <c r="DJ1673" t="str">
        <f t="shared" si="2216"/>
        <v>EnergyInput</v>
      </c>
      <c r="DK1673">
        <f t="shared" si="2217"/>
        <v>0</v>
      </c>
      <c r="DL1673" t="str">
        <f t="shared" si="2217"/>
        <v>Energy</v>
      </c>
      <c r="DM1673">
        <f t="shared" si="2217"/>
        <v>0</v>
      </c>
      <c r="DN1673">
        <f t="shared" si="2217"/>
        <v>0</v>
      </c>
      <c r="DO1673">
        <v>0</v>
      </c>
      <c r="DP1673">
        <v>0</v>
      </c>
      <c r="DQ1673">
        <v>0</v>
      </c>
      <c r="DR1673">
        <v>0</v>
      </c>
      <c r="DS1673">
        <v>0</v>
      </c>
      <c r="DT1673">
        <f t="shared" si="2218"/>
        <v>0</v>
      </c>
      <c r="DU1673" s="143" t="str">
        <f t="shared" si="2219"/>
        <v>explicit C balance</v>
      </c>
      <c r="DV1673">
        <v>0</v>
      </c>
      <c r="DW1673">
        <v>0</v>
      </c>
      <c r="DX1673">
        <v>0</v>
      </c>
      <c r="DY1673">
        <v>0</v>
      </c>
      <c r="DZ1673">
        <v>1</v>
      </c>
      <c r="EA1673" s="143">
        <v>1</v>
      </c>
      <c r="EB1673">
        <v>0</v>
      </c>
      <c r="EC1673">
        <v>1</v>
      </c>
      <c r="ED1673">
        <v>0</v>
      </c>
      <c r="EE1673">
        <v>0</v>
      </c>
      <c r="EF1673">
        <v>0</v>
      </c>
      <c r="EG1673">
        <v>0</v>
      </c>
      <c r="EH1673">
        <v>0</v>
      </c>
      <c r="EI1673" s="2">
        <v>0</v>
      </c>
      <c r="EK1673" t="str">
        <f t="shared" si="2194"/>
        <v/>
      </c>
      <c r="EL1673" t="str">
        <f t="shared" si="2195"/>
        <v/>
      </c>
      <c r="EM1673" s="2" t="str">
        <f t="shared" si="2188"/>
        <v/>
      </c>
      <c r="EN1673" t="s">
        <v>4364</v>
      </c>
      <c r="EP1673" t="b">
        <f>IF(ISNUMBER(BU1673),IF(ABS(BU1673-[1]QC_indicators!$B$2)&gt;3*[1]QC_indicators!$C$2,"C ratio",IF(ISNUMBER(BY1673),IF(ABS(BY1673-[1]QC_indicators!$B$1)&gt;3*[1]QC_indicators!$C$1,"DF","no"))),IF(ISNUMBER(BY1673),IF(ABS(BY1673-[1]QC_indicators!$B$1)&gt;3*[1]QC_indicators!$C$1,"DF","no")))</f>
        <v>0</v>
      </c>
    </row>
    <row r="1674" spans="1:151" hidden="1">
      <c r="A1674" s="1" t="s">
        <v>587</v>
      </c>
      <c r="B1674" t="s">
        <v>4355</v>
      </c>
      <c r="C1674" t="s">
        <v>4356</v>
      </c>
      <c r="D1674" t="s">
        <v>4357</v>
      </c>
      <c r="E1674" t="s">
        <v>4358</v>
      </c>
      <c r="F1674" t="s">
        <v>4359</v>
      </c>
      <c r="G1674" t="s">
        <v>593</v>
      </c>
      <c r="H1674" t="s">
        <v>254</v>
      </c>
      <c r="I1674">
        <v>2016</v>
      </c>
      <c r="J1674">
        <v>19</v>
      </c>
      <c r="K1674" t="s">
        <v>4360</v>
      </c>
      <c r="M1674" t="str">
        <f t="shared" si="2193"/>
        <v>Zhang_2016</v>
      </c>
      <c r="N1674" s="311" t="s">
        <v>4382</v>
      </c>
      <c r="O1674" s="145" t="s">
        <v>1153</v>
      </c>
      <c r="Q1674" s="311" t="s">
        <v>256</v>
      </c>
      <c r="R1674" s="312"/>
      <c r="S1674" s="1" t="s">
        <v>4369</v>
      </c>
      <c r="T1674">
        <v>0</v>
      </c>
      <c r="U1674" t="s">
        <v>4362</v>
      </c>
      <c r="V1674">
        <v>0</v>
      </c>
      <c r="W1674">
        <v>0</v>
      </c>
      <c r="X1674">
        <v>0</v>
      </c>
      <c r="Y1674">
        <v>0</v>
      </c>
      <c r="Z1674">
        <v>0</v>
      </c>
      <c r="AA1674">
        <v>0</v>
      </c>
      <c r="AB1674">
        <v>0</v>
      </c>
      <c r="AC1674">
        <v>0</v>
      </c>
      <c r="AD1674">
        <v>0</v>
      </c>
      <c r="AE1674">
        <v>0</v>
      </c>
      <c r="AF1674">
        <v>0</v>
      </c>
      <c r="AG1674">
        <v>1</v>
      </c>
      <c r="AH1674">
        <v>0</v>
      </c>
      <c r="AI1674">
        <v>0</v>
      </c>
      <c r="AJ1674">
        <v>0</v>
      </c>
      <c r="AK1674">
        <v>0</v>
      </c>
      <c r="AL1674">
        <v>0</v>
      </c>
      <c r="AM1674">
        <v>0</v>
      </c>
      <c r="AN1674">
        <v>0</v>
      </c>
      <c r="AO1674">
        <v>0</v>
      </c>
      <c r="AP1674">
        <v>0</v>
      </c>
      <c r="AQ1674">
        <v>0</v>
      </c>
      <c r="AR1674">
        <v>0</v>
      </c>
      <c r="AS1674">
        <v>0</v>
      </c>
      <c r="AT1674">
        <v>0</v>
      </c>
      <c r="AU1674">
        <v>0</v>
      </c>
      <c r="AV1674">
        <v>0</v>
      </c>
      <c r="AW1674">
        <v>0</v>
      </c>
      <c r="AX1674" s="141">
        <f t="shared" si="2196"/>
        <v>1</v>
      </c>
      <c r="AY1674" s="141">
        <f t="shared" si="2197"/>
        <v>1</v>
      </c>
      <c r="AZ1674">
        <f t="shared" si="2198"/>
        <v>0</v>
      </c>
      <c r="BA1674">
        <f t="shared" si="2199"/>
        <v>1</v>
      </c>
      <c r="BB1674">
        <f t="shared" si="2200"/>
        <v>0</v>
      </c>
      <c r="BC1674">
        <f t="shared" si="2201"/>
        <v>0</v>
      </c>
      <c r="BD1674">
        <f t="shared" si="2202"/>
        <v>0</v>
      </c>
      <c r="BE1674" t="str" cm="1">
        <f t="array" ref="BE1674">IF(AY1674=1,INDEX($V$7:$AL$7,MATCH(TRUE,INDEX($V1674:$AW1674&lt;&gt;0,),0)),IF(AY1674=0,INDEX($AM$7:$AW$7,MATCH(1,$AM1674:$AW1674,0)),IF(BF1674="Multiple strategies","mixed drivers",IF(BF1674="Supply chain","multiple supply","multiple silviculture"))))</f>
        <v>recycling</v>
      </c>
      <c r="BF1674" s="2" t="str" cm="1">
        <f t="array" ref="BF1674">IF(COUNTIF(AZ1674:BB1674,"&lt;&gt;0")=1,INDEX($V$4:$AW$4,MATCH(TRUE,INDEX($V1674:$AW1674&lt;&gt;0,),0)),IF(COUNTIF(AZ1674:BB1674,"&lt;&gt;0")=0,INDEX($AM$4:$AW$4,MATCH(1,$AM1674:$AW1674,0)),"Multiple strategies"))</f>
        <v>Supply chain</v>
      </c>
      <c r="BM1674" s="143"/>
      <c r="BN1674" s="143"/>
      <c r="BP1674" t="s">
        <v>232</v>
      </c>
      <c r="BR1674" t="s">
        <v>4363</v>
      </c>
      <c r="BS1674">
        <f>-971.4-445.5</f>
        <v>-1416.9</v>
      </c>
      <c r="BT1674">
        <v>-669.4</v>
      </c>
      <c r="BU1674" s="144">
        <f t="shared" si="2203"/>
        <v>0.47243983343919821</v>
      </c>
      <c r="BV1674" s="144">
        <f t="shared" si="2204"/>
        <v>747.50000000000011</v>
      </c>
      <c r="BW1674" s="144"/>
      <c r="BX1674">
        <f t="shared" si="2205"/>
        <v>0.74750000000000016</v>
      </c>
      <c r="BY1674" t="str">
        <f t="shared" si="2185"/>
        <v/>
      </c>
      <c r="BZ1674">
        <v>0</v>
      </c>
      <c r="CA1674">
        <v>0</v>
      </c>
      <c r="CB1674">
        <v>0</v>
      </c>
      <c r="CC1674">
        <v>0</v>
      </c>
      <c r="CD1674">
        <v>0</v>
      </c>
      <c r="CE1674">
        <v>0</v>
      </c>
      <c r="CF1674">
        <v>0</v>
      </c>
      <c r="CG1674">
        <v>0</v>
      </c>
      <c r="CH1674">
        <v>0</v>
      </c>
      <c r="CI1674">
        <v>0</v>
      </c>
      <c r="CJ1674">
        <v>0</v>
      </c>
      <c r="CK1674">
        <v>0</v>
      </c>
      <c r="CL1674">
        <v>0</v>
      </c>
      <c r="CM1674">
        <v>0</v>
      </c>
      <c r="CN1674" t="str">
        <f t="shared" si="2206"/>
        <v>refOK</v>
      </c>
      <c r="CO1674"/>
      <c r="CP1674"/>
      <c r="CQ1674"/>
      <c r="CR1674">
        <f t="shared" si="2207"/>
        <v>-1416.9</v>
      </c>
      <c r="CS1674">
        <f t="shared" si="2208"/>
        <v>-669.4</v>
      </c>
      <c r="CT1674">
        <f t="shared" si="2209"/>
        <v>0.74750000000000016</v>
      </c>
      <c r="CU1674" t="str">
        <f t="shared" si="2210"/>
        <v/>
      </c>
      <c r="CV1674" s="2">
        <f t="shared" si="2211"/>
        <v>0.52756016656080185</v>
      </c>
      <c r="CW1674" s="1" t="s">
        <v>263</v>
      </c>
      <c r="CX1674" s="311" t="str">
        <f t="shared" si="2212"/>
        <v>loc</v>
      </c>
      <c r="CY1674" t="s">
        <v>540</v>
      </c>
      <c r="DB1674">
        <f t="shared" si="2213"/>
        <v>0</v>
      </c>
      <c r="DC1674" t="str">
        <f t="shared" si="2214"/>
        <v>0</v>
      </c>
      <c r="DD1674">
        <v>0</v>
      </c>
      <c r="DE1674">
        <v>1</v>
      </c>
      <c r="DF1674">
        <v>0</v>
      </c>
      <c r="DG1674">
        <v>0</v>
      </c>
      <c r="DH1674">
        <v>0</v>
      </c>
      <c r="DI1674">
        <f t="shared" si="2215"/>
        <v>1</v>
      </c>
      <c r="DJ1674" t="str">
        <f t="shared" si="2216"/>
        <v>EnergyInput</v>
      </c>
      <c r="DK1674">
        <f t="shared" si="2217"/>
        <v>0</v>
      </c>
      <c r="DL1674" t="str">
        <f t="shared" si="2217"/>
        <v>Energy</v>
      </c>
      <c r="DM1674">
        <f t="shared" si="2217"/>
        <v>0</v>
      </c>
      <c r="DN1674">
        <f t="shared" si="2217"/>
        <v>0</v>
      </c>
      <c r="DO1674">
        <v>0</v>
      </c>
      <c r="DP1674">
        <v>0</v>
      </c>
      <c r="DQ1674">
        <v>0</v>
      </c>
      <c r="DR1674">
        <v>0</v>
      </c>
      <c r="DS1674">
        <v>0</v>
      </c>
      <c r="DT1674">
        <f t="shared" si="2218"/>
        <v>0</v>
      </c>
      <c r="DU1674" s="143" t="str">
        <f t="shared" si="2219"/>
        <v>explicit C balance</v>
      </c>
      <c r="DV1674">
        <v>0</v>
      </c>
      <c r="DW1674">
        <v>0</v>
      </c>
      <c r="DX1674">
        <v>0</v>
      </c>
      <c r="DY1674">
        <v>0</v>
      </c>
      <c r="DZ1674">
        <v>1</v>
      </c>
      <c r="EA1674" s="143">
        <v>1</v>
      </c>
      <c r="EB1674">
        <v>0</v>
      </c>
      <c r="EC1674">
        <v>1</v>
      </c>
      <c r="ED1674">
        <v>0</v>
      </c>
      <c r="EE1674">
        <v>0</v>
      </c>
      <c r="EF1674">
        <v>0</v>
      </c>
      <c r="EG1674">
        <v>0</v>
      </c>
      <c r="EH1674">
        <v>0</v>
      </c>
      <c r="EI1674" s="2">
        <v>0</v>
      </c>
      <c r="EK1674" t="str">
        <f t="shared" si="2194"/>
        <v/>
      </c>
      <c r="EL1674" t="str">
        <f t="shared" si="2195"/>
        <v/>
      </c>
      <c r="EM1674" s="2" t="str">
        <f t="shared" si="2188"/>
        <v/>
      </c>
      <c r="EN1674" t="s">
        <v>4364</v>
      </c>
      <c r="EP1674" t="b">
        <f>IF(ISNUMBER(BU1674),IF(ABS(BU1674-[1]QC_indicators!$B$2)&gt;3*[1]QC_indicators!$C$2,"C ratio",IF(ISNUMBER(BY1674),IF(ABS(BY1674-[1]QC_indicators!$B$1)&gt;3*[1]QC_indicators!$C$1,"DF","no"))),IF(ISNUMBER(BY1674),IF(ABS(BY1674-[1]QC_indicators!$B$1)&gt;3*[1]QC_indicators!$C$1,"DF","no")))</f>
        <v>0</v>
      </c>
    </row>
    <row r="1675" spans="1:151" hidden="1">
      <c r="A1675" s="1" t="s">
        <v>412</v>
      </c>
      <c r="B1675" t="s">
        <v>4436</v>
      </c>
      <c r="C1675" t="s">
        <v>4437</v>
      </c>
      <c r="D1675" t="s">
        <v>4438</v>
      </c>
      <c r="E1675" t="s">
        <v>4439</v>
      </c>
      <c r="F1675" t="s">
        <v>4440</v>
      </c>
      <c r="G1675" t="s">
        <v>418</v>
      </c>
      <c r="H1675" t="s">
        <v>254</v>
      </c>
      <c r="I1675">
        <v>2018</v>
      </c>
      <c r="J1675">
        <v>3</v>
      </c>
      <c r="K1675" t="s">
        <v>4441</v>
      </c>
      <c r="L1675" t="s">
        <v>388</v>
      </c>
      <c r="M1675" t="str">
        <f t="shared" si="2193"/>
        <v>Zhang_2018a</v>
      </c>
      <c r="N1675" t="s">
        <v>2581</v>
      </c>
      <c r="O1675" s="145" t="s">
        <v>1153</v>
      </c>
      <c r="Q1675" s="311" t="s">
        <v>256</v>
      </c>
      <c r="R1675" s="312"/>
      <c r="AX1675" s="141"/>
      <c r="AY1675" s="141"/>
      <c r="BE1675"/>
      <c r="BF1675" s="2"/>
      <c r="BM1675" s="143"/>
      <c r="BN1675" s="143"/>
      <c r="BU1675" s="144"/>
      <c r="BV1675" s="144"/>
      <c r="BW1675" s="144"/>
      <c r="BX1675" s="144"/>
      <c r="BY1675" t="str">
        <f t="shared" si="2185"/>
        <v/>
      </c>
      <c r="CN1675"/>
      <c r="CO1675"/>
      <c r="CP1675"/>
      <c r="CQ1675"/>
      <c r="CR1675"/>
      <c r="CS1675"/>
      <c r="CT1675"/>
      <c r="CU1675"/>
      <c r="CV1675" s="2"/>
      <c r="CX1675" s="311"/>
      <c r="DC1675"/>
      <c r="DI1675"/>
      <c r="DJ1675"/>
      <c r="DK1675"/>
      <c r="DL1675"/>
      <c r="DM1675"/>
      <c r="DN1675"/>
      <c r="DT1675"/>
      <c r="DU1675" s="143"/>
      <c r="EK1675" t="str">
        <f t="shared" si="2194"/>
        <v/>
      </c>
      <c r="EL1675" t="str">
        <f t="shared" si="2195"/>
        <v/>
      </c>
      <c r="EM1675" s="2" t="str">
        <f t="shared" si="2188"/>
        <v/>
      </c>
      <c r="EN1675" t="s">
        <v>4442</v>
      </c>
      <c r="EO1675" t="s">
        <v>4328</v>
      </c>
      <c r="EP1675" t="b">
        <f>IF(ISNUMBER(BU1675),IF(ABS(BU1675-[1]QC_indicators!$B$2)&gt;3*[1]QC_indicators!$C$2,"C ratio",IF(ISNUMBER(BY1675),IF(ABS(BY1675-[1]QC_indicators!$B$1)&gt;3*[1]QC_indicators!$C$1,"DF","no"))),IF(ISNUMBER(BY1675),IF(ABS(BY1675-[1]QC_indicators!$B$1)&gt;3*[1]QC_indicators!$C$1,"DF","no")))</f>
        <v>0</v>
      </c>
    </row>
    <row r="1676" spans="1:151" hidden="1">
      <c r="A1676" s="1" t="s">
        <v>412</v>
      </c>
      <c r="B1676" t="s">
        <v>4436</v>
      </c>
      <c r="C1676" t="s">
        <v>4437</v>
      </c>
      <c r="D1676" t="s">
        <v>4438</v>
      </c>
      <c r="E1676" t="s">
        <v>4439</v>
      </c>
      <c r="F1676" t="s">
        <v>4440</v>
      </c>
      <c r="G1676" t="s">
        <v>418</v>
      </c>
      <c r="H1676" t="s">
        <v>254</v>
      </c>
      <c r="I1676">
        <v>2018</v>
      </c>
      <c r="J1676">
        <v>3</v>
      </c>
      <c r="K1676" t="s">
        <v>4441</v>
      </c>
      <c r="L1676" t="s">
        <v>388</v>
      </c>
      <c r="M1676" t="str">
        <f t="shared" si="2193"/>
        <v>Zhang_2018a</v>
      </c>
      <c r="N1676" t="s">
        <v>2581</v>
      </c>
      <c r="O1676" s="145" t="s">
        <v>1153</v>
      </c>
      <c r="Q1676" s="311" t="s">
        <v>256</v>
      </c>
      <c r="R1676" s="312"/>
      <c r="AX1676" s="141"/>
      <c r="AY1676" s="141"/>
      <c r="BE1676"/>
      <c r="BF1676" s="2"/>
      <c r="BM1676" s="143"/>
      <c r="BN1676" s="143"/>
      <c r="BU1676" s="144"/>
      <c r="BV1676" s="144"/>
      <c r="BW1676" s="144"/>
      <c r="BX1676" s="144"/>
      <c r="BY1676" t="str">
        <f t="shared" si="2185"/>
        <v/>
      </c>
      <c r="CN1676"/>
      <c r="CO1676"/>
      <c r="CP1676"/>
      <c r="CQ1676"/>
      <c r="CR1676"/>
      <c r="CS1676"/>
      <c r="CT1676"/>
      <c r="CU1676"/>
      <c r="CV1676" s="2"/>
      <c r="CX1676" s="311"/>
      <c r="DC1676"/>
      <c r="DI1676"/>
      <c r="DJ1676"/>
      <c r="DK1676"/>
      <c r="DL1676"/>
      <c r="DM1676"/>
      <c r="DN1676"/>
      <c r="DT1676"/>
      <c r="DU1676" s="143"/>
      <c r="EK1676" t="str">
        <f t="shared" si="2194"/>
        <v/>
      </c>
      <c r="EL1676" t="str">
        <f t="shared" si="2195"/>
        <v/>
      </c>
      <c r="EM1676" s="2" t="str">
        <f t="shared" si="2188"/>
        <v/>
      </c>
      <c r="EN1676" t="s">
        <v>4442</v>
      </c>
      <c r="EO1676" t="s">
        <v>4328</v>
      </c>
      <c r="EP1676" t="b">
        <f>IF(ISNUMBER(BU1676),IF(ABS(BU1676-[1]QC_indicators!$B$2)&gt;3*[1]QC_indicators!$C$2,"C ratio",IF(ISNUMBER(BY1676),IF(ABS(BY1676-[1]QC_indicators!$B$1)&gt;3*[1]QC_indicators!$C$1,"DF","no"))),IF(ISNUMBER(BY1676),IF(ABS(BY1676-[1]QC_indicators!$B$1)&gt;3*[1]QC_indicators!$C$1,"DF","no")))</f>
        <v>0</v>
      </c>
      <c r="ET1676" s="185"/>
    </row>
    <row r="1677" spans="1:151" hidden="1">
      <c r="A1677" s="1" t="s">
        <v>412</v>
      </c>
      <c r="B1677" t="s">
        <v>4712</v>
      </c>
      <c r="C1677" t="s">
        <v>4713</v>
      </c>
      <c r="D1677" t="s">
        <v>4714</v>
      </c>
      <c r="E1677" t="s">
        <v>4715</v>
      </c>
      <c r="F1677" t="s">
        <v>4716</v>
      </c>
      <c r="G1677" t="s">
        <v>418</v>
      </c>
      <c r="H1677" t="s">
        <v>254</v>
      </c>
      <c r="I1677">
        <v>2018</v>
      </c>
      <c r="J1677">
        <v>0</v>
      </c>
      <c r="K1677" t="s">
        <v>4717</v>
      </c>
      <c r="L1677" t="s">
        <v>406</v>
      </c>
      <c r="M1677" t="str">
        <f t="shared" si="2193"/>
        <v>Zhang_2018b</v>
      </c>
      <c r="N1677" t="s">
        <v>2582</v>
      </c>
      <c r="O1677" s="145" t="s">
        <v>1153</v>
      </c>
      <c r="Q1677" s="311" t="s">
        <v>256</v>
      </c>
      <c r="R1677" s="312"/>
      <c r="AX1677" s="141"/>
      <c r="AY1677" s="141"/>
      <c r="BE1677"/>
      <c r="BF1677" s="2"/>
      <c r="BM1677" s="143"/>
      <c r="BN1677" s="143"/>
      <c r="BU1677" s="144"/>
      <c r="BV1677" s="144"/>
      <c r="BW1677" s="144"/>
      <c r="BX1677" s="144"/>
      <c r="BY1677" t="str">
        <f t="shared" si="2185"/>
        <v/>
      </c>
      <c r="CN1677"/>
      <c r="CO1677"/>
      <c r="CP1677"/>
      <c r="CQ1677"/>
      <c r="CR1677"/>
      <c r="CS1677"/>
      <c r="CT1677"/>
      <c r="CU1677"/>
      <c r="CV1677" s="2"/>
      <c r="CX1677"/>
      <c r="DC1677"/>
      <c r="DI1677"/>
      <c r="DJ1677"/>
      <c r="DK1677"/>
      <c r="DL1677"/>
      <c r="DM1677"/>
      <c r="DN1677"/>
      <c r="DT1677"/>
      <c r="DU1677" s="143"/>
      <c r="EJ1677" s="186"/>
      <c r="EK1677" t="str">
        <f t="shared" si="2194"/>
        <v/>
      </c>
      <c r="EL1677" t="str">
        <f t="shared" si="2195"/>
        <v/>
      </c>
      <c r="EM1677" s="2" t="str">
        <f t="shared" si="2188"/>
        <v/>
      </c>
      <c r="EN1677" t="s">
        <v>4718</v>
      </c>
      <c r="EO1677" t="s">
        <v>4328</v>
      </c>
      <c r="EP1677" t="b">
        <f>IF(ISNUMBER(BU1677),IF(ABS(BU1677-[1]QC_indicators!$B$2)&gt;3*[1]QC_indicators!$C$2,"C ratio",IF(ISNUMBER(BY1677),IF(ABS(BY1677-[1]QC_indicators!$B$1)&gt;3*[1]QC_indicators!$C$1,"DF","no"))),IF(ISNUMBER(BY1677),IF(ABS(BY1677-[1]QC_indicators!$B$1)&gt;3*[1]QC_indicators!$C$1,"DF","no")))</f>
        <v>0</v>
      </c>
      <c r="ET1677" s="185"/>
    </row>
    <row r="1678" spans="1:151" hidden="1">
      <c r="A1678" s="1" t="s">
        <v>1422</v>
      </c>
      <c r="B1678" t="s">
        <v>4922</v>
      </c>
      <c r="C1678" t="s">
        <v>4923</v>
      </c>
      <c r="D1678" t="s">
        <v>4924</v>
      </c>
      <c r="E1678" t="s">
        <v>4925</v>
      </c>
      <c r="F1678" t="s">
        <v>4926</v>
      </c>
      <c r="G1678" t="s">
        <v>1428</v>
      </c>
      <c r="H1678" t="s">
        <v>254</v>
      </c>
      <c r="I1678">
        <v>2018</v>
      </c>
      <c r="J1678">
        <v>9</v>
      </c>
      <c r="K1678" t="s">
        <v>4927</v>
      </c>
      <c r="L1678" t="s">
        <v>4928</v>
      </c>
      <c r="M1678" t="str">
        <f t="shared" si="2193"/>
        <v>Zhang_2018c</v>
      </c>
      <c r="N1678" t="s">
        <v>1351</v>
      </c>
      <c r="O1678" s="145" t="s">
        <v>1153</v>
      </c>
      <c r="Q1678" s="311" t="s">
        <v>256</v>
      </c>
      <c r="R1678" s="312"/>
      <c r="AX1678" s="141"/>
      <c r="AY1678" s="141"/>
      <c r="BE1678"/>
      <c r="BF1678" s="2"/>
      <c r="BM1678" s="143"/>
      <c r="BN1678" s="143"/>
      <c r="BU1678" s="144"/>
      <c r="BV1678" s="144"/>
      <c r="BW1678" s="144"/>
      <c r="BX1678" s="144"/>
      <c r="BY1678" t="str">
        <f t="shared" si="2185"/>
        <v/>
      </c>
      <c r="CN1678"/>
      <c r="CO1678"/>
      <c r="CP1678"/>
      <c r="CQ1678"/>
      <c r="CR1678"/>
      <c r="CS1678"/>
      <c r="CT1678"/>
      <c r="CU1678"/>
      <c r="CV1678" s="2"/>
      <c r="CX1678"/>
      <c r="DC1678"/>
      <c r="DI1678"/>
      <c r="DJ1678"/>
      <c r="DK1678"/>
      <c r="DL1678"/>
      <c r="DM1678"/>
      <c r="DN1678"/>
      <c r="DT1678"/>
      <c r="DU1678" s="143"/>
      <c r="EJ1678" s="186"/>
      <c r="EK1678" t="str">
        <f t="shared" si="2194"/>
        <v/>
      </c>
      <c r="EL1678" t="str">
        <f t="shared" si="2195"/>
        <v/>
      </c>
      <c r="EM1678" s="2" t="str">
        <f t="shared" si="2188"/>
        <v/>
      </c>
      <c r="EN1678" t="s">
        <v>4929</v>
      </c>
      <c r="EO1678" t="s">
        <v>4328</v>
      </c>
      <c r="EP1678" t="b">
        <f>IF(ISNUMBER(BU1678),IF(ABS(BU1678-[1]QC_indicators!$B$2)&gt;3*[1]QC_indicators!$C$2,"C ratio",IF(ISNUMBER(BY1678),IF(ABS(BY1678-[1]QC_indicators!$B$1)&gt;3*[1]QC_indicators!$C$1,"DF","no"))),IF(ISNUMBER(BY1678),IF(ABS(BY1678-[1]QC_indicators!$B$1)&gt;3*[1]QC_indicators!$C$1,"DF","no")))</f>
        <v>0</v>
      </c>
      <c r="ET1678" s="185"/>
    </row>
    <row r="1679" spans="1:151" hidden="1">
      <c r="A1679" s="1" t="s">
        <v>4370</v>
      </c>
      <c r="B1679" t="s">
        <v>4371</v>
      </c>
      <c r="C1679" t="s">
        <v>4372</v>
      </c>
      <c r="D1679" t="s">
        <v>4373</v>
      </c>
      <c r="E1679" t="s">
        <v>4374</v>
      </c>
      <c r="F1679" t="s">
        <v>4375</v>
      </c>
      <c r="G1679" t="s">
        <v>4376</v>
      </c>
      <c r="H1679" t="s">
        <v>254</v>
      </c>
      <c r="I1679">
        <v>2015</v>
      </c>
      <c r="J1679">
        <v>3</v>
      </c>
      <c r="K1679" t="s">
        <v>4377</v>
      </c>
      <c r="M1679" t="str">
        <f t="shared" si="2193"/>
        <v>Zhou_2015</v>
      </c>
      <c r="N1679" s="311" t="s">
        <v>4382</v>
      </c>
      <c r="O1679" s="145" t="s">
        <v>1153</v>
      </c>
      <c r="Q1679" s="311" t="s">
        <v>256</v>
      </c>
      <c r="R1679" s="312"/>
      <c r="S1679" s="1" t="s">
        <v>4378</v>
      </c>
      <c r="T1679" t="s">
        <v>1196</v>
      </c>
      <c r="U1679" t="s">
        <v>1197</v>
      </c>
      <c r="V1679">
        <v>0</v>
      </c>
      <c r="W1679">
        <v>0</v>
      </c>
      <c r="X1679">
        <v>0</v>
      </c>
      <c r="Y1679">
        <v>0</v>
      </c>
      <c r="Z1679">
        <v>0</v>
      </c>
      <c r="AA1679">
        <v>0</v>
      </c>
      <c r="AB1679">
        <v>0</v>
      </c>
      <c r="AC1679">
        <v>0</v>
      </c>
      <c r="AD1679">
        <v>0</v>
      </c>
      <c r="AE1679">
        <v>0</v>
      </c>
      <c r="AF1679">
        <v>0</v>
      </c>
      <c r="AG1679">
        <v>0</v>
      </c>
      <c r="AH1679">
        <v>0</v>
      </c>
      <c r="AI1679">
        <v>0</v>
      </c>
      <c r="AJ1679">
        <v>1</v>
      </c>
      <c r="AK1679">
        <v>0</v>
      </c>
      <c r="AL1679">
        <v>0</v>
      </c>
      <c r="AM1679">
        <v>0</v>
      </c>
      <c r="AN1679">
        <v>0</v>
      </c>
      <c r="AO1679">
        <v>0</v>
      </c>
      <c r="AP1679">
        <v>0</v>
      </c>
      <c r="AQ1679">
        <v>0</v>
      </c>
      <c r="AR1679">
        <v>0</v>
      </c>
      <c r="AS1679">
        <v>0</v>
      </c>
      <c r="AT1679">
        <v>0</v>
      </c>
      <c r="AU1679">
        <v>0</v>
      </c>
      <c r="AV1679">
        <v>0</v>
      </c>
      <c r="AW1679">
        <v>0</v>
      </c>
      <c r="AX1679" s="141">
        <f t="shared" ref="AX1679:AX1684" si="2220">COUNTIF(V1679:AW1679,"&lt;&gt;0")</f>
        <v>1</v>
      </c>
      <c r="AY1679" s="141">
        <f t="shared" ref="AY1679:AY1684" si="2221">COUNTIF(V1679:AL1679,"&lt;&gt;0")</f>
        <v>1</v>
      </c>
      <c r="AZ1679">
        <f t="shared" ref="AZ1679:AZ1684" si="2222">COUNTIF(V1679:AC1679,"&lt;&gt;0")</f>
        <v>0</v>
      </c>
      <c r="BA1679">
        <f t="shared" ref="BA1679:BA1684" si="2223">COUNTIF(AD1679:AI1679,"&lt;&gt;0")</f>
        <v>0</v>
      </c>
      <c r="BB1679">
        <f t="shared" ref="BB1679:BB1684" si="2224">COUNTIF(AJ1679:AL1679,"&lt;&gt;0")</f>
        <v>1</v>
      </c>
      <c r="BC1679">
        <f t="shared" ref="BC1679:BC1684" si="2225">COUNTIF(AS1679:AW1679,"&lt;&gt;0")</f>
        <v>0</v>
      </c>
      <c r="BD1679">
        <f t="shared" ref="BD1679:BD1684" si="2226">COUNTIF(AM1679:AR1679,"&lt;&gt;0")</f>
        <v>0</v>
      </c>
      <c r="BE1679" t="str" cm="1">
        <f t="array" ref="BE1679">IF(AY1679=1,INDEX($V$7:$AL$7,MATCH(TRUE,INDEX($V1679:$AW1679&lt;&gt;0,),0)),IF(AY1679=0,INDEX($AM$7:$AW$7,MATCH(1,$AM1679:$AW1679,0)),IF(BF1679="Multiple strategies","mixed drivers",IF(BF1679="Supply chain","multiple supply","multiple silviculture"))))</f>
        <v>efficiency improvement</v>
      </c>
      <c r="BF1679" s="2" t="str" cm="1">
        <f t="array" ref="BF1679">IF(COUNTIF(AZ1679:BB1679,"&lt;&gt;0")=1,INDEX($V$4:$AW$4,MATCH(TRUE,INDEX($V1679:$AW1679&lt;&gt;0,),0)),IF(COUNTIF(AZ1679:BB1679,"&lt;&gt;0")=0,INDEX($AM$4:$AW$4,MATCH(1,$AM1679:$AW1679,0)),"Multiple strategies"))</f>
        <v>Technology</v>
      </c>
      <c r="BM1679" s="143"/>
      <c r="BN1679" s="143"/>
      <c r="BP1679" t="s">
        <v>232</v>
      </c>
      <c r="BR1679" t="s">
        <v>4379</v>
      </c>
      <c r="BS1679">
        <v>-12.636000000000001</v>
      </c>
      <c r="BT1679">
        <v>-9.6009999999999991</v>
      </c>
      <c r="BU1679" s="144">
        <f t="shared" ref="BU1679:BU1684" si="2227">IFERROR(BT1679/BS1679,"")</f>
        <v>0.75981323203545414</v>
      </c>
      <c r="BV1679" s="144">
        <f t="shared" ref="BV1679:BV1684" si="2228">BT1679-BS1679</f>
        <v>3.0350000000000019</v>
      </c>
      <c r="BW1679" s="144"/>
      <c r="BX1679">
        <f t="shared" ref="BX1679:BX1684" si="2229">BV1679/1000</f>
        <v>3.0350000000000021E-3</v>
      </c>
      <c r="BY1679" t="str">
        <f t="shared" si="2185"/>
        <v/>
      </c>
      <c r="BZ1679">
        <v>0</v>
      </c>
      <c r="CA1679">
        <v>0</v>
      </c>
      <c r="CB1679">
        <v>0</v>
      </c>
      <c r="CC1679">
        <v>0</v>
      </c>
      <c r="CD1679">
        <v>0</v>
      </c>
      <c r="CE1679">
        <v>0</v>
      </c>
      <c r="CF1679">
        <v>0</v>
      </c>
      <c r="CG1679">
        <v>0</v>
      </c>
      <c r="CH1679">
        <v>0</v>
      </c>
      <c r="CI1679">
        <v>0</v>
      </c>
      <c r="CJ1679">
        <v>0</v>
      </c>
      <c r="CK1679">
        <v>0</v>
      </c>
      <c r="CL1679">
        <v>0</v>
      </c>
      <c r="CM1679">
        <v>0</v>
      </c>
      <c r="CN1679" t="str">
        <f t="shared" ref="CN1679:CN1684" si="2230">IF(BL1679&lt;BK1679,"refNeedCorrection","refOK")</f>
        <v>refOK</v>
      </c>
      <c r="CO1679"/>
      <c r="CP1679"/>
      <c r="CQ1679"/>
      <c r="CR1679">
        <f t="shared" ref="CR1679:CR1684" si="2231">IF($CN1679="refOK",$BS1679,$BT1679)*IF($BP1679="Emissions positive",-1,1)</f>
        <v>-12.636000000000001</v>
      </c>
      <c r="CS1679">
        <f t="shared" ref="CS1679:CS1684" si="2232">IF($CN1679="refOK",$BT1679,$BS1679)*IF($BP1679="Emissions positive",-1,1)</f>
        <v>-9.6009999999999991</v>
      </c>
      <c r="CT1679">
        <f t="shared" ref="CT1679:CT1684" si="2233">IF($CN1679="refNeedCorrection",-BX1679,BX1679)*IF($BP1679="Emissions positive",-1,1)</f>
        <v>3.0350000000000021E-3</v>
      </c>
      <c r="CU1679" t="str">
        <f t="shared" ref="CU1679:CU1684" si="2234">IFERROR(CT1679/CQ1679,"")</f>
        <v/>
      </c>
      <c r="CV1679" s="2">
        <f t="shared" ref="CV1679:CV1684" si="2235">IFERROR((CS1679-CR1679)/ABS(CR1679),"")</f>
        <v>0.24018676796454588</v>
      </c>
      <c r="CW1679" s="1" t="s">
        <v>263</v>
      </c>
      <c r="CX1679" s="311" t="str">
        <f t="shared" ref="CX1679:CX1684" si="2236">IF(OR($CW1679="prd",$CW1679="std",$CW1679="cit"),"loc",IF(OR($CW1679="eur",$CW1679="reg",$CW1679="coy"),"reg",$CW1679))</f>
        <v>loc</v>
      </c>
      <c r="CY1679" t="s">
        <v>690</v>
      </c>
      <c r="DB1679">
        <f t="shared" ref="DB1679:DB1684" si="2237">DA1679-CZ1679</f>
        <v>0</v>
      </c>
      <c r="DC1679" t="str">
        <f t="shared" ref="DC1679:DC1684" si="2238">IF(DB1679=0,"0",IF(AND(DB1679&gt;=1,DB1679&lt;=30),"1-30",IF(AND(DB1679&gt;30,DB1679&lt;=70),"31-70",IF(AND(DB1679&gt;70,DB1679&lt;=100),"71-100",IF(DB1679&gt;100,"+100")))))</f>
        <v>0</v>
      </c>
      <c r="DD1679">
        <v>1</v>
      </c>
      <c r="DE1679">
        <v>0</v>
      </c>
      <c r="DF1679">
        <v>0</v>
      </c>
      <c r="DG1679">
        <v>0</v>
      </c>
      <c r="DH1679">
        <v>0</v>
      </c>
      <c r="DI1679">
        <f t="shared" ref="DI1679:DI1684" si="2239">SUM(DD1679:DG1679)</f>
        <v>1</v>
      </c>
      <c r="DJ1679" t="str">
        <f t="shared" ref="DJ1679:DJ1684" si="2240">IF(DI1679=1,INDEX($DD$7:$DG$7,MATCH(1,$DD1679:$DG1679,0)),"mixedProduct")</f>
        <v>UpstreamInput</v>
      </c>
      <c r="DK1679" t="str">
        <f t="shared" ref="DK1679:DN1684" si="2241">IF(DD1679=1,DK$7,0)</f>
        <v>Upstream</v>
      </c>
      <c r="DL1679">
        <f t="shared" si="2241"/>
        <v>0</v>
      </c>
      <c r="DM1679">
        <f t="shared" si="2241"/>
        <v>0</v>
      </c>
      <c r="DN1679">
        <f t="shared" si="2241"/>
        <v>0</v>
      </c>
      <c r="DO1679">
        <v>0</v>
      </c>
      <c r="DP1679">
        <v>0</v>
      </c>
      <c r="DQ1679">
        <v>0</v>
      </c>
      <c r="DR1679">
        <v>0</v>
      </c>
      <c r="DS1679">
        <v>0</v>
      </c>
      <c r="DT1679">
        <f t="shared" ref="DT1679:DT1684" si="2242">SUM(DO1679:DP1679)</f>
        <v>0</v>
      </c>
      <c r="DU1679" s="143" t="str">
        <f t="shared" ref="DU1679:DU1684" si="2243">IF(DO1679=1,"self-calculated DF",IF(DP1679=1,"external DF used","explicit C balance"))</f>
        <v>explicit C balance</v>
      </c>
      <c r="DV1679">
        <v>0</v>
      </c>
      <c r="DW1679">
        <v>0</v>
      </c>
      <c r="DX1679">
        <v>0</v>
      </c>
      <c r="DY1679">
        <v>0</v>
      </c>
      <c r="DZ1679">
        <v>0</v>
      </c>
      <c r="EA1679" s="143">
        <v>0</v>
      </c>
      <c r="EB1679">
        <v>0</v>
      </c>
      <c r="EC1679">
        <v>1</v>
      </c>
      <c r="ED1679">
        <v>0</v>
      </c>
      <c r="EE1679">
        <v>0</v>
      </c>
      <c r="EF1679">
        <v>0</v>
      </c>
      <c r="EG1679">
        <v>0</v>
      </c>
      <c r="EH1679">
        <v>0</v>
      </c>
      <c r="EI1679" s="2">
        <v>0</v>
      </c>
      <c r="EK1679" t="str">
        <f t="shared" si="2194"/>
        <v/>
      </c>
      <c r="EL1679" t="str">
        <f t="shared" si="2195"/>
        <v/>
      </c>
      <c r="EM1679" s="2" t="str">
        <f t="shared" si="2188"/>
        <v/>
      </c>
      <c r="EP1679" t="b">
        <f>IF(ISNUMBER(BU1679),IF(ABS(BU1679-[1]QC_indicators!$B$2)&gt;3*[1]QC_indicators!$C$2,"C ratio",IF(ISNUMBER(BY1679),IF(ABS(BY1679-[1]QC_indicators!$B$1)&gt;3*[1]QC_indicators!$C$1,"DF","no"))),IF(ISNUMBER(BY1679),IF(ABS(BY1679-[1]QC_indicators!$B$1)&gt;3*[1]QC_indicators!$C$1,"DF","no")))</f>
        <v>0</v>
      </c>
    </row>
    <row r="1680" spans="1:151" hidden="1">
      <c r="A1680" s="1" t="s">
        <v>4370</v>
      </c>
      <c r="B1680" t="s">
        <v>4371</v>
      </c>
      <c r="C1680" t="s">
        <v>4372</v>
      </c>
      <c r="D1680" t="s">
        <v>4373</v>
      </c>
      <c r="E1680" t="s">
        <v>4374</v>
      </c>
      <c r="F1680" t="s">
        <v>4375</v>
      </c>
      <c r="G1680" t="s">
        <v>4376</v>
      </c>
      <c r="H1680" t="s">
        <v>254</v>
      </c>
      <c r="I1680">
        <v>2015</v>
      </c>
      <c r="J1680">
        <v>3</v>
      </c>
      <c r="K1680" t="s">
        <v>4377</v>
      </c>
      <c r="M1680" t="str">
        <f t="shared" si="2193"/>
        <v>Zhou_2015</v>
      </c>
      <c r="N1680" s="311" t="s">
        <v>4382</v>
      </c>
      <c r="O1680" s="145" t="s">
        <v>1153</v>
      </c>
      <c r="Q1680" s="311" t="s">
        <v>256</v>
      </c>
      <c r="R1680" s="312"/>
      <c r="S1680" s="1" t="s">
        <v>4378</v>
      </c>
      <c r="T1680" t="s">
        <v>1196</v>
      </c>
      <c r="U1680" t="s">
        <v>1197</v>
      </c>
      <c r="V1680">
        <v>0</v>
      </c>
      <c r="W1680">
        <v>0</v>
      </c>
      <c r="X1680">
        <v>0</v>
      </c>
      <c r="Y1680">
        <v>0</v>
      </c>
      <c r="Z1680">
        <v>0</v>
      </c>
      <c r="AA1680">
        <v>0</v>
      </c>
      <c r="AB1680">
        <v>0</v>
      </c>
      <c r="AC1680">
        <v>0</v>
      </c>
      <c r="AD1680">
        <v>0</v>
      </c>
      <c r="AE1680">
        <v>0</v>
      </c>
      <c r="AF1680">
        <v>0</v>
      </c>
      <c r="AG1680">
        <v>0</v>
      </c>
      <c r="AH1680">
        <v>0</v>
      </c>
      <c r="AI1680">
        <v>0</v>
      </c>
      <c r="AJ1680">
        <v>1</v>
      </c>
      <c r="AK1680">
        <v>0</v>
      </c>
      <c r="AL1680">
        <v>0</v>
      </c>
      <c r="AM1680">
        <v>0</v>
      </c>
      <c r="AN1680">
        <v>0</v>
      </c>
      <c r="AO1680">
        <v>0</v>
      </c>
      <c r="AP1680">
        <v>0</v>
      </c>
      <c r="AQ1680">
        <v>0</v>
      </c>
      <c r="AR1680">
        <v>0</v>
      </c>
      <c r="AS1680">
        <v>0</v>
      </c>
      <c r="AT1680">
        <v>0</v>
      </c>
      <c r="AU1680">
        <v>0</v>
      </c>
      <c r="AV1680">
        <v>0</v>
      </c>
      <c r="AW1680">
        <v>0</v>
      </c>
      <c r="AX1680" s="141">
        <f t="shared" si="2220"/>
        <v>1</v>
      </c>
      <c r="AY1680" s="141">
        <f t="shared" si="2221"/>
        <v>1</v>
      </c>
      <c r="AZ1680">
        <f t="shared" si="2222"/>
        <v>0</v>
      </c>
      <c r="BA1680">
        <f t="shared" si="2223"/>
        <v>0</v>
      </c>
      <c r="BB1680">
        <f t="shared" si="2224"/>
        <v>1</v>
      </c>
      <c r="BC1680">
        <f t="shared" si="2225"/>
        <v>0</v>
      </c>
      <c r="BD1680">
        <f t="shared" si="2226"/>
        <v>0</v>
      </c>
      <c r="BE1680" t="str" cm="1">
        <f t="array" ref="BE1680">IF(AY1680=1,INDEX($V$7:$AL$7,MATCH(TRUE,INDEX($V1680:$AW1680&lt;&gt;0,),0)),IF(AY1680=0,INDEX($AM$7:$AW$7,MATCH(1,$AM1680:$AW1680,0)),IF(BF1680="Multiple strategies","mixed drivers",IF(BF1680="Supply chain","multiple supply","multiple silviculture"))))</f>
        <v>efficiency improvement</v>
      </c>
      <c r="BF1680" s="2" t="str" cm="1">
        <f t="array" ref="BF1680">IF(COUNTIF(AZ1680:BB1680,"&lt;&gt;0")=1,INDEX($V$4:$AW$4,MATCH(TRUE,INDEX($V1680:$AW1680&lt;&gt;0,),0)),IF(COUNTIF(AZ1680:BB1680,"&lt;&gt;0")=0,INDEX($AM$4:$AW$4,MATCH(1,$AM1680:$AW1680,0)),"Multiple strategies"))</f>
        <v>Technology</v>
      </c>
      <c r="BM1680" s="143"/>
      <c r="BN1680" s="143"/>
      <c r="BP1680" t="s">
        <v>232</v>
      </c>
      <c r="BR1680" t="s">
        <v>4379</v>
      </c>
      <c r="BS1680">
        <v>-14.633000000000001</v>
      </c>
      <c r="BT1680">
        <v>-12.265999999999998</v>
      </c>
      <c r="BU1680" s="144">
        <f t="shared" si="2227"/>
        <v>0.83824232898243678</v>
      </c>
      <c r="BV1680" s="144">
        <f t="shared" si="2228"/>
        <v>2.3670000000000027</v>
      </c>
      <c r="BW1680" s="144"/>
      <c r="BX1680">
        <f t="shared" si="2229"/>
        <v>2.3670000000000028E-3</v>
      </c>
      <c r="BY1680" t="str">
        <f t="shared" si="2185"/>
        <v/>
      </c>
      <c r="BZ1680">
        <v>0</v>
      </c>
      <c r="CA1680">
        <v>0</v>
      </c>
      <c r="CB1680">
        <v>0</v>
      </c>
      <c r="CC1680">
        <v>0</v>
      </c>
      <c r="CD1680">
        <v>0</v>
      </c>
      <c r="CE1680">
        <v>0</v>
      </c>
      <c r="CF1680">
        <v>0</v>
      </c>
      <c r="CG1680">
        <v>0</v>
      </c>
      <c r="CH1680">
        <v>0</v>
      </c>
      <c r="CI1680">
        <v>0</v>
      </c>
      <c r="CJ1680">
        <v>0</v>
      </c>
      <c r="CK1680">
        <v>0</v>
      </c>
      <c r="CL1680">
        <v>0</v>
      </c>
      <c r="CM1680">
        <v>0</v>
      </c>
      <c r="CN1680" t="str">
        <f t="shared" si="2230"/>
        <v>refOK</v>
      </c>
      <c r="CO1680"/>
      <c r="CP1680"/>
      <c r="CQ1680"/>
      <c r="CR1680">
        <f t="shared" si="2231"/>
        <v>-14.633000000000001</v>
      </c>
      <c r="CS1680">
        <f t="shared" si="2232"/>
        <v>-12.265999999999998</v>
      </c>
      <c r="CT1680">
        <f t="shared" si="2233"/>
        <v>2.3670000000000028E-3</v>
      </c>
      <c r="CU1680" t="str">
        <f t="shared" si="2234"/>
        <v/>
      </c>
      <c r="CV1680" s="2">
        <f t="shared" si="2235"/>
        <v>0.16175767101756322</v>
      </c>
      <c r="CW1680" s="1" t="s">
        <v>263</v>
      </c>
      <c r="CX1680" s="311" t="str">
        <f t="shared" si="2236"/>
        <v>loc</v>
      </c>
      <c r="CY1680" t="s">
        <v>690</v>
      </c>
      <c r="DB1680">
        <f t="shared" si="2237"/>
        <v>0</v>
      </c>
      <c r="DC1680" t="str">
        <f t="shared" si="2238"/>
        <v>0</v>
      </c>
      <c r="DD1680">
        <v>1</v>
      </c>
      <c r="DE1680">
        <v>0</v>
      </c>
      <c r="DF1680">
        <v>0</v>
      </c>
      <c r="DG1680">
        <v>0</v>
      </c>
      <c r="DH1680">
        <v>0</v>
      </c>
      <c r="DI1680">
        <f t="shared" si="2239"/>
        <v>1</v>
      </c>
      <c r="DJ1680" t="str">
        <f t="shared" si="2240"/>
        <v>UpstreamInput</v>
      </c>
      <c r="DK1680" t="str">
        <f t="shared" si="2241"/>
        <v>Upstream</v>
      </c>
      <c r="DL1680">
        <f t="shared" si="2241"/>
        <v>0</v>
      </c>
      <c r="DM1680">
        <f t="shared" si="2241"/>
        <v>0</v>
      </c>
      <c r="DN1680">
        <f t="shared" si="2241"/>
        <v>0</v>
      </c>
      <c r="DO1680">
        <v>0</v>
      </c>
      <c r="DP1680">
        <v>0</v>
      </c>
      <c r="DQ1680">
        <v>0</v>
      </c>
      <c r="DR1680">
        <v>0</v>
      </c>
      <c r="DS1680">
        <v>0</v>
      </c>
      <c r="DT1680">
        <f t="shared" si="2242"/>
        <v>0</v>
      </c>
      <c r="DU1680" s="143" t="str">
        <f t="shared" si="2243"/>
        <v>explicit C balance</v>
      </c>
      <c r="DV1680">
        <v>0</v>
      </c>
      <c r="DW1680">
        <v>0</v>
      </c>
      <c r="DX1680">
        <v>0</v>
      </c>
      <c r="DY1680">
        <v>0</v>
      </c>
      <c r="DZ1680">
        <v>0</v>
      </c>
      <c r="EA1680" s="143">
        <v>0</v>
      </c>
      <c r="EB1680">
        <v>1</v>
      </c>
      <c r="EC1680">
        <v>1</v>
      </c>
      <c r="ED1680">
        <v>0</v>
      </c>
      <c r="EE1680">
        <v>0</v>
      </c>
      <c r="EF1680">
        <v>0</v>
      </c>
      <c r="EG1680">
        <v>0</v>
      </c>
      <c r="EH1680">
        <v>0</v>
      </c>
      <c r="EI1680" s="2">
        <v>0</v>
      </c>
      <c r="EK1680" t="str">
        <f t="shared" si="2194"/>
        <v/>
      </c>
      <c r="EL1680" t="str">
        <f t="shared" si="2195"/>
        <v/>
      </c>
      <c r="EM1680" s="2" t="str">
        <f t="shared" si="2188"/>
        <v>Technology approach</v>
      </c>
      <c r="EP1680" t="b">
        <f>IF(ISNUMBER(BU1680),IF(ABS(BU1680-[1]QC_indicators!$B$2)&gt;3*[1]QC_indicators!$C$2,"C ratio",IF(ISNUMBER(BY1680),IF(ABS(BY1680-[1]QC_indicators!$B$1)&gt;3*[1]QC_indicators!$C$1,"DF","no"))),IF(ISNUMBER(BY1680),IF(ABS(BY1680-[1]QC_indicators!$B$1)&gt;3*[1]QC_indicators!$C$1,"DF","no")))</f>
        <v>0</v>
      </c>
    </row>
    <row r="1681" spans="1:150" hidden="1">
      <c r="A1681" s="1" t="s">
        <v>4370</v>
      </c>
      <c r="B1681" t="s">
        <v>4371</v>
      </c>
      <c r="C1681" t="s">
        <v>4372</v>
      </c>
      <c r="D1681" t="s">
        <v>4373</v>
      </c>
      <c r="E1681" t="s">
        <v>4374</v>
      </c>
      <c r="F1681" t="s">
        <v>4375</v>
      </c>
      <c r="G1681" t="s">
        <v>4376</v>
      </c>
      <c r="H1681" t="s">
        <v>254</v>
      </c>
      <c r="I1681">
        <v>2015</v>
      </c>
      <c r="J1681">
        <v>3</v>
      </c>
      <c r="K1681" t="s">
        <v>4377</v>
      </c>
      <c r="M1681" t="str">
        <f t="shared" si="2193"/>
        <v>Zhou_2015</v>
      </c>
      <c r="N1681" s="311" t="s">
        <v>4382</v>
      </c>
      <c r="O1681" s="145" t="s">
        <v>1153</v>
      </c>
      <c r="Q1681" s="311" t="s">
        <v>256</v>
      </c>
      <c r="R1681" s="312"/>
      <c r="S1681" s="1" t="s">
        <v>4380</v>
      </c>
      <c r="T1681" t="s">
        <v>1196</v>
      </c>
      <c r="U1681" t="s">
        <v>1197</v>
      </c>
      <c r="V1681">
        <v>0</v>
      </c>
      <c r="W1681">
        <v>0</v>
      </c>
      <c r="X1681">
        <v>0</v>
      </c>
      <c r="Y1681">
        <v>0</v>
      </c>
      <c r="Z1681">
        <v>0</v>
      </c>
      <c r="AA1681">
        <v>0</v>
      </c>
      <c r="AB1681">
        <v>0</v>
      </c>
      <c r="AC1681">
        <v>0</v>
      </c>
      <c r="AD1681">
        <v>1</v>
      </c>
      <c r="AE1681">
        <v>0</v>
      </c>
      <c r="AF1681">
        <v>0</v>
      </c>
      <c r="AG1681">
        <v>0</v>
      </c>
      <c r="AH1681">
        <v>0</v>
      </c>
      <c r="AI1681">
        <v>0</v>
      </c>
      <c r="AJ1681">
        <v>0</v>
      </c>
      <c r="AK1681">
        <v>0</v>
      </c>
      <c r="AL1681">
        <v>0</v>
      </c>
      <c r="AM1681">
        <v>0</v>
      </c>
      <c r="AN1681">
        <v>0</v>
      </c>
      <c r="AO1681">
        <v>0</v>
      </c>
      <c r="AP1681">
        <v>0</v>
      </c>
      <c r="AQ1681">
        <v>0</v>
      </c>
      <c r="AR1681">
        <v>0</v>
      </c>
      <c r="AS1681">
        <v>0</v>
      </c>
      <c r="AT1681">
        <v>0</v>
      </c>
      <c r="AU1681">
        <v>0</v>
      </c>
      <c r="AV1681">
        <v>0</v>
      </c>
      <c r="AW1681">
        <v>0</v>
      </c>
      <c r="AX1681" s="141">
        <f t="shared" si="2220"/>
        <v>1</v>
      </c>
      <c r="AY1681" s="141">
        <f t="shared" si="2221"/>
        <v>1</v>
      </c>
      <c r="AZ1681">
        <f t="shared" si="2222"/>
        <v>0</v>
      </c>
      <c r="BA1681">
        <f t="shared" si="2223"/>
        <v>1</v>
      </c>
      <c r="BB1681">
        <f t="shared" si="2224"/>
        <v>0</v>
      </c>
      <c r="BC1681">
        <f t="shared" si="2225"/>
        <v>0</v>
      </c>
      <c r="BD1681">
        <f t="shared" si="2226"/>
        <v>0</v>
      </c>
      <c r="BE1681" t="str" cm="1">
        <f t="array" ref="BE1681">IF(AY1681=1,INDEX($V$7:$AL$7,MATCH(TRUE,INDEX($V1681:$AW1681&lt;&gt;0,),0)),IF(AY1681=0,INDEX($AM$7:$AW$7,MATCH(1,$AM1681:$AW1681,0)),IF(BF1681="Multiple strategies","mixed drivers",IF(BF1681="Supply chain","multiple supply","multiple silviculture"))))</f>
        <v>harvesting system</v>
      </c>
      <c r="BF1681" s="2" t="str" cm="1">
        <f t="array" ref="BF1681">IF(COUNTIF(AZ1681:BB1681,"&lt;&gt;0")=1,INDEX($V$4:$AW$4,MATCH(TRUE,INDEX($V1681:$AW1681&lt;&gt;0,),0)),IF(COUNTIF(AZ1681:BB1681,"&lt;&gt;0")=0,INDEX($AM$4:$AW$4,MATCH(1,$AM1681:$AW1681,0)),"Multiple strategies"))</f>
        <v>Supply chain</v>
      </c>
      <c r="BM1681" s="143"/>
      <c r="BN1681" s="143"/>
      <c r="BP1681" t="s">
        <v>232</v>
      </c>
      <c r="BR1681" t="s">
        <v>4379</v>
      </c>
      <c r="BS1681">
        <v>-2.665</v>
      </c>
      <c r="BT1681">
        <v>-1.9969999999999999</v>
      </c>
      <c r="BU1681" s="144">
        <f t="shared" si="2227"/>
        <v>0.74934333958724197</v>
      </c>
      <c r="BV1681" s="144">
        <f t="shared" si="2228"/>
        <v>0.66800000000000015</v>
      </c>
      <c r="BW1681" s="144"/>
      <c r="BX1681">
        <f t="shared" si="2229"/>
        <v>6.6800000000000019E-4</v>
      </c>
      <c r="BY1681" t="str">
        <f t="shared" si="2185"/>
        <v/>
      </c>
      <c r="BZ1681">
        <v>0</v>
      </c>
      <c r="CA1681">
        <v>0</v>
      </c>
      <c r="CB1681">
        <v>0</v>
      </c>
      <c r="CC1681">
        <v>0</v>
      </c>
      <c r="CD1681">
        <v>0</v>
      </c>
      <c r="CE1681">
        <v>0</v>
      </c>
      <c r="CF1681">
        <v>0</v>
      </c>
      <c r="CG1681">
        <v>0</v>
      </c>
      <c r="CH1681">
        <v>0</v>
      </c>
      <c r="CI1681">
        <v>0</v>
      </c>
      <c r="CJ1681">
        <v>0</v>
      </c>
      <c r="CK1681">
        <v>0</v>
      </c>
      <c r="CL1681">
        <v>0</v>
      </c>
      <c r="CM1681">
        <v>0</v>
      </c>
      <c r="CN1681" t="str">
        <f t="shared" si="2230"/>
        <v>refOK</v>
      </c>
      <c r="CO1681"/>
      <c r="CP1681"/>
      <c r="CQ1681"/>
      <c r="CR1681">
        <f t="shared" si="2231"/>
        <v>-2.665</v>
      </c>
      <c r="CS1681">
        <f t="shared" si="2232"/>
        <v>-1.9969999999999999</v>
      </c>
      <c r="CT1681">
        <f t="shared" si="2233"/>
        <v>6.6800000000000019E-4</v>
      </c>
      <c r="CU1681" t="str">
        <f t="shared" si="2234"/>
        <v/>
      </c>
      <c r="CV1681" s="2">
        <f t="shared" si="2235"/>
        <v>0.25065666041275803</v>
      </c>
      <c r="CW1681" s="1" t="s">
        <v>263</v>
      </c>
      <c r="CX1681" s="311" t="str">
        <f t="shared" si="2236"/>
        <v>loc</v>
      </c>
      <c r="CY1681" t="s">
        <v>690</v>
      </c>
      <c r="DB1681">
        <f t="shared" si="2237"/>
        <v>0</v>
      </c>
      <c r="DC1681" t="str">
        <f t="shared" si="2238"/>
        <v>0</v>
      </c>
      <c r="DD1681">
        <v>1</v>
      </c>
      <c r="DE1681">
        <v>0</v>
      </c>
      <c r="DF1681">
        <v>0</v>
      </c>
      <c r="DG1681">
        <v>0</v>
      </c>
      <c r="DH1681">
        <v>0</v>
      </c>
      <c r="DI1681">
        <f t="shared" si="2239"/>
        <v>1</v>
      </c>
      <c r="DJ1681" t="str">
        <f t="shared" si="2240"/>
        <v>UpstreamInput</v>
      </c>
      <c r="DK1681" t="str">
        <f t="shared" si="2241"/>
        <v>Upstream</v>
      </c>
      <c r="DL1681">
        <f t="shared" si="2241"/>
        <v>0</v>
      </c>
      <c r="DM1681">
        <f t="shared" si="2241"/>
        <v>0</v>
      </c>
      <c r="DN1681">
        <f t="shared" si="2241"/>
        <v>0</v>
      </c>
      <c r="DO1681">
        <v>0</v>
      </c>
      <c r="DP1681">
        <v>0</v>
      </c>
      <c r="DQ1681">
        <v>0</v>
      </c>
      <c r="DR1681">
        <v>0</v>
      </c>
      <c r="DS1681">
        <v>0</v>
      </c>
      <c r="DT1681">
        <f t="shared" si="2242"/>
        <v>0</v>
      </c>
      <c r="DU1681" s="143" t="str">
        <f t="shared" si="2243"/>
        <v>explicit C balance</v>
      </c>
      <c r="DV1681">
        <v>0</v>
      </c>
      <c r="DW1681">
        <v>0</v>
      </c>
      <c r="DX1681">
        <v>0</v>
      </c>
      <c r="DY1681">
        <v>0</v>
      </c>
      <c r="DZ1681">
        <v>0</v>
      </c>
      <c r="EA1681" s="143">
        <v>0</v>
      </c>
      <c r="EB1681">
        <v>1</v>
      </c>
      <c r="EC1681">
        <v>0</v>
      </c>
      <c r="ED1681">
        <v>0</v>
      </c>
      <c r="EE1681">
        <v>0</v>
      </c>
      <c r="EF1681">
        <v>0</v>
      </c>
      <c r="EG1681">
        <v>0</v>
      </c>
      <c r="EH1681">
        <v>0</v>
      </c>
      <c r="EI1681" s="2">
        <v>0</v>
      </c>
      <c r="EK1681" t="str">
        <f t="shared" si="2194"/>
        <v/>
      </c>
      <c r="EL1681" t="str">
        <f t="shared" si="2195"/>
        <v/>
      </c>
      <c r="EM1681" s="2" t="str">
        <f t="shared" si="2188"/>
        <v/>
      </c>
      <c r="EP1681" t="b">
        <f>IF(ISNUMBER(BU1681),IF(ABS(BU1681-[1]QC_indicators!$B$2)&gt;3*[1]QC_indicators!$C$2,"C ratio",IF(ISNUMBER(BY1681),IF(ABS(BY1681-[1]QC_indicators!$B$1)&gt;3*[1]QC_indicators!$C$1,"DF","no"))),IF(ISNUMBER(BY1681),IF(ABS(BY1681-[1]QC_indicators!$B$1)&gt;3*[1]QC_indicators!$C$1,"DF","no")))</f>
        <v>0</v>
      </c>
    </row>
    <row r="1682" spans="1:150" hidden="1">
      <c r="A1682" s="1" t="s">
        <v>4370</v>
      </c>
      <c r="B1682" t="s">
        <v>4371</v>
      </c>
      <c r="C1682" t="s">
        <v>4372</v>
      </c>
      <c r="D1682" t="s">
        <v>4373</v>
      </c>
      <c r="E1682" t="s">
        <v>4374</v>
      </c>
      <c r="F1682" t="s">
        <v>4375</v>
      </c>
      <c r="G1682" t="s">
        <v>4376</v>
      </c>
      <c r="H1682" t="s">
        <v>254</v>
      </c>
      <c r="I1682">
        <v>2015</v>
      </c>
      <c r="J1682">
        <v>3</v>
      </c>
      <c r="K1682" t="s">
        <v>4377</v>
      </c>
      <c r="M1682" t="str">
        <f t="shared" si="2193"/>
        <v>Zhou_2015</v>
      </c>
      <c r="N1682" s="311" t="s">
        <v>4382</v>
      </c>
      <c r="O1682" s="145" t="s">
        <v>1153</v>
      </c>
      <c r="Q1682" s="311" t="s">
        <v>256</v>
      </c>
      <c r="R1682" s="312"/>
      <c r="S1682" s="1" t="s">
        <v>4380</v>
      </c>
      <c r="T1682" t="s">
        <v>1196</v>
      </c>
      <c r="U1682" t="s">
        <v>1197</v>
      </c>
      <c r="V1682">
        <v>0</v>
      </c>
      <c r="W1682">
        <v>0</v>
      </c>
      <c r="X1682">
        <v>0</v>
      </c>
      <c r="Y1682">
        <v>0</v>
      </c>
      <c r="Z1682">
        <v>0</v>
      </c>
      <c r="AA1682">
        <v>0</v>
      </c>
      <c r="AB1682">
        <v>0</v>
      </c>
      <c r="AC1682">
        <v>0</v>
      </c>
      <c r="AD1682">
        <v>1</v>
      </c>
      <c r="AE1682">
        <v>0</v>
      </c>
      <c r="AF1682">
        <v>0</v>
      </c>
      <c r="AG1682">
        <v>0</v>
      </c>
      <c r="AH1682">
        <v>0</v>
      </c>
      <c r="AI1682">
        <v>0</v>
      </c>
      <c r="AJ1682">
        <v>0</v>
      </c>
      <c r="AK1682">
        <v>0</v>
      </c>
      <c r="AL1682">
        <v>0</v>
      </c>
      <c r="AM1682">
        <v>0</v>
      </c>
      <c r="AN1682">
        <v>0</v>
      </c>
      <c r="AO1682">
        <v>0</v>
      </c>
      <c r="AP1682">
        <v>0</v>
      </c>
      <c r="AQ1682">
        <v>0</v>
      </c>
      <c r="AR1682">
        <v>0</v>
      </c>
      <c r="AS1682">
        <v>0</v>
      </c>
      <c r="AT1682">
        <v>0</v>
      </c>
      <c r="AU1682">
        <v>0</v>
      </c>
      <c r="AV1682">
        <v>0</v>
      </c>
      <c r="AW1682">
        <v>0</v>
      </c>
      <c r="AX1682" s="141">
        <f t="shared" si="2220"/>
        <v>1</v>
      </c>
      <c r="AY1682" s="141">
        <f t="shared" si="2221"/>
        <v>1</v>
      </c>
      <c r="AZ1682">
        <f t="shared" si="2222"/>
        <v>0</v>
      </c>
      <c r="BA1682">
        <f t="shared" si="2223"/>
        <v>1</v>
      </c>
      <c r="BB1682">
        <f t="shared" si="2224"/>
        <v>0</v>
      </c>
      <c r="BC1682">
        <f t="shared" si="2225"/>
        <v>0</v>
      </c>
      <c r="BD1682">
        <f t="shared" si="2226"/>
        <v>0</v>
      </c>
      <c r="BE1682" t="str" cm="1">
        <f t="array" ref="BE1682">IF(AY1682=1,INDEX($V$7:$AL$7,MATCH(TRUE,INDEX($V1682:$AW1682&lt;&gt;0,),0)),IF(AY1682=0,INDEX($AM$7:$AW$7,MATCH(1,$AM1682:$AW1682,0)),IF(BF1682="Multiple strategies","mixed drivers",IF(BF1682="Supply chain","multiple supply","multiple silviculture"))))</f>
        <v>harvesting system</v>
      </c>
      <c r="BF1682" s="2" t="str" cm="1">
        <f t="array" ref="BF1682">IF(COUNTIF(AZ1682:BB1682,"&lt;&gt;0")=1,INDEX($V$4:$AW$4,MATCH(TRUE,INDEX($V1682:$AW1682&lt;&gt;0,),0)),IF(COUNTIF(AZ1682:BB1682,"&lt;&gt;0")=0,INDEX($AM$4:$AW$4,MATCH(1,$AM1682:$AW1682,0)),"Multiple strategies"))</f>
        <v>Supply chain</v>
      </c>
      <c r="BM1682" s="143"/>
      <c r="BN1682" s="143"/>
      <c r="BP1682" t="s">
        <v>232</v>
      </c>
      <c r="BR1682" t="s">
        <v>4379</v>
      </c>
      <c r="BS1682">
        <v>-15.301000000000002</v>
      </c>
      <c r="BT1682">
        <v>-14.633000000000001</v>
      </c>
      <c r="BU1682" s="144">
        <f t="shared" si="2227"/>
        <v>0.9563427226978628</v>
      </c>
      <c r="BV1682" s="144">
        <f t="shared" si="2228"/>
        <v>0.66800000000000104</v>
      </c>
      <c r="BW1682" s="144"/>
      <c r="BX1682">
        <f t="shared" si="2229"/>
        <v>6.6800000000000106E-4</v>
      </c>
      <c r="BY1682" t="str">
        <f t="shared" si="2185"/>
        <v/>
      </c>
      <c r="BZ1682">
        <v>0</v>
      </c>
      <c r="CA1682">
        <v>0</v>
      </c>
      <c r="CB1682">
        <v>0</v>
      </c>
      <c r="CC1682">
        <v>0</v>
      </c>
      <c r="CD1682">
        <v>0</v>
      </c>
      <c r="CE1682">
        <v>0</v>
      </c>
      <c r="CF1682">
        <v>0</v>
      </c>
      <c r="CG1682">
        <v>0</v>
      </c>
      <c r="CH1682">
        <v>0</v>
      </c>
      <c r="CI1682">
        <v>0</v>
      </c>
      <c r="CJ1682">
        <v>0</v>
      </c>
      <c r="CK1682">
        <v>0</v>
      </c>
      <c r="CL1682">
        <v>0</v>
      </c>
      <c r="CM1682">
        <v>0</v>
      </c>
      <c r="CN1682" t="str">
        <f t="shared" si="2230"/>
        <v>refOK</v>
      </c>
      <c r="CO1682"/>
      <c r="CP1682"/>
      <c r="CQ1682"/>
      <c r="CR1682">
        <f t="shared" si="2231"/>
        <v>-15.301000000000002</v>
      </c>
      <c r="CS1682">
        <f t="shared" si="2232"/>
        <v>-14.633000000000001</v>
      </c>
      <c r="CT1682">
        <f t="shared" si="2233"/>
        <v>6.6800000000000106E-4</v>
      </c>
      <c r="CU1682" t="str">
        <f t="shared" si="2234"/>
        <v/>
      </c>
      <c r="CV1682" s="2">
        <f t="shared" si="2235"/>
        <v>4.3657277302137178E-2</v>
      </c>
      <c r="CW1682" s="1" t="s">
        <v>263</v>
      </c>
      <c r="CX1682" s="311" t="str">
        <f t="shared" si="2236"/>
        <v>loc</v>
      </c>
      <c r="CY1682" t="s">
        <v>690</v>
      </c>
      <c r="DB1682">
        <f t="shared" si="2237"/>
        <v>0</v>
      </c>
      <c r="DC1682" t="str">
        <f t="shared" si="2238"/>
        <v>0</v>
      </c>
      <c r="DD1682">
        <v>1</v>
      </c>
      <c r="DE1682">
        <v>0</v>
      </c>
      <c r="DF1682">
        <v>0</v>
      </c>
      <c r="DG1682">
        <v>0</v>
      </c>
      <c r="DH1682">
        <v>0</v>
      </c>
      <c r="DI1682">
        <f t="shared" si="2239"/>
        <v>1</v>
      </c>
      <c r="DJ1682" t="str">
        <f t="shared" si="2240"/>
        <v>UpstreamInput</v>
      </c>
      <c r="DK1682" t="str">
        <f t="shared" si="2241"/>
        <v>Upstream</v>
      </c>
      <c r="DL1682">
        <f t="shared" si="2241"/>
        <v>0</v>
      </c>
      <c r="DM1682">
        <f t="shared" si="2241"/>
        <v>0</v>
      </c>
      <c r="DN1682">
        <f t="shared" si="2241"/>
        <v>0</v>
      </c>
      <c r="DO1682">
        <v>0</v>
      </c>
      <c r="DP1682">
        <v>0</v>
      </c>
      <c r="DQ1682">
        <v>0</v>
      </c>
      <c r="DR1682">
        <v>0</v>
      </c>
      <c r="DS1682">
        <v>0</v>
      </c>
      <c r="DT1682">
        <f t="shared" si="2242"/>
        <v>0</v>
      </c>
      <c r="DU1682" s="143" t="str">
        <f t="shared" si="2243"/>
        <v>explicit C balance</v>
      </c>
      <c r="DV1682">
        <v>0</v>
      </c>
      <c r="DW1682">
        <v>0</v>
      </c>
      <c r="DX1682">
        <v>0</v>
      </c>
      <c r="DY1682">
        <v>0</v>
      </c>
      <c r="DZ1682">
        <v>0</v>
      </c>
      <c r="EA1682" s="143">
        <v>0</v>
      </c>
      <c r="EB1682">
        <v>1</v>
      </c>
      <c r="EC1682">
        <v>1</v>
      </c>
      <c r="ED1682">
        <v>0</v>
      </c>
      <c r="EE1682">
        <v>0</v>
      </c>
      <c r="EF1682">
        <v>0</v>
      </c>
      <c r="EG1682">
        <v>0</v>
      </c>
      <c r="EH1682">
        <v>0</v>
      </c>
      <c r="EI1682" s="2">
        <v>0</v>
      </c>
      <c r="EK1682" t="str">
        <f t="shared" si="2194"/>
        <v/>
      </c>
      <c r="EL1682" t="str">
        <f t="shared" si="2195"/>
        <v/>
      </c>
      <c r="EM1682" s="2" t="str">
        <f t="shared" si="2188"/>
        <v>Technology approach</v>
      </c>
      <c r="EP1682" t="b">
        <f>IF(ISNUMBER(BU1682),IF(ABS(BU1682-[1]QC_indicators!$B$2)&gt;3*[1]QC_indicators!$C$2,"C ratio",IF(ISNUMBER(BY1682),IF(ABS(BY1682-[1]QC_indicators!$B$1)&gt;3*[1]QC_indicators!$C$1,"DF","no"))),IF(ISNUMBER(BY1682),IF(ABS(BY1682-[1]QC_indicators!$B$1)&gt;3*[1]QC_indicators!$C$1,"DF","no")))</f>
        <v>0</v>
      </c>
    </row>
    <row r="1683" spans="1:150" hidden="1">
      <c r="A1683" s="1" t="s">
        <v>4370</v>
      </c>
      <c r="B1683" t="s">
        <v>4371</v>
      </c>
      <c r="C1683" t="s">
        <v>4372</v>
      </c>
      <c r="D1683" t="s">
        <v>4373</v>
      </c>
      <c r="E1683" t="s">
        <v>4374</v>
      </c>
      <c r="F1683" t="s">
        <v>4375</v>
      </c>
      <c r="G1683" t="s">
        <v>4376</v>
      </c>
      <c r="H1683" t="s">
        <v>254</v>
      </c>
      <c r="I1683">
        <v>2015</v>
      </c>
      <c r="J1683">
        <v>3</v>
      </c>
      <c r="K1683" t="s">
        <v>4377</v>
      </c>
      <c r="M1683" t="str">
        <f t="shared" si="2193"/>
        <v>Zhou_2015</v>
      </c>
      <c r="N1683" s="311" t="s">
        <v>4382</v>
      </c>
      <c r="O1683" s="145" t="s">
        <v>1153</v>
      </c>
      <c r="Q1683" s="311" t="s">
        <v>256</v>
      </c>
      <c r="R1683" s="312"/>
      <c r="S1683" s="1" t="s">
        <v>4381</v>
      </c>
      <c r="T1683" t="s">
        <v>1196</v>
      </c>
      <c r="U1683" t="s">
        <v>1197</v>
      </c>
      <c r="V1683">
        <v>0</v>
      </c>
      <c r="W1683">
        <v>0</v>
      </c>
      <c r="X1683">
        <v>0</v>
      </c>
      <c r="Y1683">
        <v>0</v>
      </c>
      <c r="Z1683">
        <v>0</v>
      </c>
      <c r="AA1683">
        <v>0</v>
      </c>
      <c r="AB1683">
        <v>0</v>
      </c>
      <c r="AC1683">
        <v>0</v>
      </c>
      <c r="AD1683">
        <v>1</v>
      </c>
      <c r="AE1683">
        <v>0</v>
      </c>
      <c r="AF1683">
        <v>0</v>
      </c>
      <c r="AG1683">
        <v>0</v>
      </c>
      <c r="AH1683">
        <v>0</v>
      </c>
      <c r="AI1683">
        <v>0</v>
      </c>
      <c r="AJ1683">
        <v>2</v>
      </c>
      <c r="AK1683">
        <v>0</v>
      </c>
      <c r="AL1683">
        <v>0</v>
      </c>
      <c r="AM1683">
        <v>0</v>
      </c>
      <c r="AN1683">
        <v>0</v>
      </c>
      <c r="AO1683">
        <v>0</v>
      </c>
      <c r="AP1683">
        <v>0</v>
      </c>
      <c r="AQ1683">
        <v>0</v>
      </c>
      <c r="AR1683">
        <v>0</v>
      </c>
      <c r="AS1683">
        <v>0</v>
      </c>
      <c r="AT1683">
        <v>0</v>
      </c>
      <c r="AU1683">
        <v>0</v>
      </c>
      <c r="AV1683">
        <v>0</v>
      </c>
      <c r="AW1683">
        <v>0</v>
      </c>
      <c r="AX1683" s="141">
        <f t="shared" si="2220"/>
        <v>2</v>
      </c>
      <c r="AY1683" s="141">
        <f t="shared" si="2221"/>
        <v>2</v>
      </c>
      <c r="AZ1683">
        <f t="shared" si="2222"/>
        <v>0</v>
      </c>
      <c r="BA1683">
        <f t="shared" si="2223"/>
        <v>1</v>
      </c>
      <c r="BB1683">
        <f t="shared" si="2224"/>
        <v>1</v>
      </c>
      <c r="BC1683">
        <f t="shared" si="2225"/>
        <v>0</v>
      </c>
      <c r="BD1683">
        <f t="shared" si="2226"/>
        <v>0</v>
      </c>
      <c r="BE1683" t="str" cm="1">
        <f t="array" ref="BE1683">IF(AY1683=1,INDEX($V$7:$AL$7,MATCH(TRUE,INDEX($V1683:$AW1683&lt;&gt;0,),0)),IF(AY1683=0,INDEX($AM$7:$AW$7,MATCH(1,$AM1683:$AW1683,0)),IF(BF1683="Multiple strategies","mixed drivers",IF(BF1683="Supply chain","multiple supply","multiple silviculture"))))</f>
        <v>mixed drivers</v>
      </c>
      <c r="BF1683" s="2" t="str" cm="1">
        <f t="array" ref="BF1683">IF(COUNTIF(AZ1683:BB1683,"&lt;&gt;0")=1,INDEX($V$4:$AW$4,MATCH(TRUE,INDEX($V1683:$AW1683&lt;&gt;0,),0)),IF(COUNTIF(AZ1683:BB1683,"&lt;&gt;0")=0,INDEX($AM$4:$AW$4,MATCH(1,$AM1683:$AW1683,0)),"Multiple strategies"))</f>
        <v>Multiple strategies</v>
      </c>
      <c r="BM1683" s="143"/>
      <c r="BN1683" s="143"/>
      <c r="BP1683" t="s">
        <v>232</v>
      </c>
      <c r="BR1683" t="s">
        <v>4379</v>
      </c>
      <c r="BS1683">
        <v>-2.665</v>
      </c>
      <c r="BT1683">
        <v>-1.9969999999999999</v>
      </c>
      <c r="BU1683" s="144">
        <f t="shared" si="2227"/>
        <v>0.74934333958724197</v>
      </c>
      <c r="BV1683" s="144">
        <f t="shared" si="2228"/>
        <v>0.66800000000000015</v>
      </c>
      <c r="BW1683" s="144"/>
      <c r="BX1683">
        <f t="shared" si="2229"/>
        <v>6.6800000000000019E-4</v>
      </c>
      <c r="BY1683" t="str">
        <f t="shared" si="2185"/>
        <v/>
      </c>
      <c r="BZ1683">
        <v>0</v>
      </c>
      <c r="CA1683">
        <v>0</v>
      </c>
      <c r="CB1683">
        <v>0</v>
      </c>
      <c r="CC1683">
        <v>0</v>
      </c>
      <c r="CD1683">
        <v>0</v>
      </c>
      <c r="CE1683">
        <v>0</v>
      </c>
      <c r="CF1683">
        <v>0</v>
      </c>
      <c r="CG1683">
        <v>0</v>
      </c>
      <c r="CH1683">
        <v>0</v>
      </c>
      <c r="CI1683">
        <v>0</v>
      </c>
      <c r="CJ1683">
        <v>0</v>
      </c>
      <c r="CK1683">
        <v>0</v>
      </c>
      <c r="CL1683">
        <v>0</v>
      </c>
      <c r="CM1683">
        <v>0</v>
      </c>
      <c r="CN1683" t="str">
        <f t="shared" si="2230"/>
        <v>refOK</v>
      </c>
      <c r="CO1683"/>
      <c r="CP1683"/>
      <c r="CQ1683"/>
      <c r="CR1683">
        <f t="shared" si="2231"/>
        <v>-2.665</v>
      </c>
      <c r="CS1683">
        <f t="shared" si="2232"/>
        <v>-1.9969999999999999</v>
      </c>
      <c r="CT1683">
        <f t="shared" si="2233"/>
        <v>6.6800000000000019E-4</v>
      </c>
      <c r="CU1683" t="str">
        <f t="shared" si="2234"/>
        <v/>
      </c>
      <c r="CV1683" s="2">
        <f t="shared" si="2235"/>
        <v>0.25065666041275803</v>
      </c>
      <c r="CW1683" s="1" t="s">
        <v>263</v>
      </c>
      <c r="CX1683" s="311" t="str">
        <f t="shared" si="2236"/>
        <v>loc</v>
      </c>
      <c r="CY1683" t="s">
        <v>690</v>
      </c>
      <c r="DB1683">
        <f t="shared" si="2237"/>
        <v>0</v>
      </c>
      <c r="DC1683" t="str">
        <f t="shared" si="2238"/>
        <v>0</v>
      </c>
      <c r="DD1683">
        <v>1</v>
      </c>
      <c r="DE1683">
        <v>0</v>
      </c>
      <c r="DF1683">
        <v>0</v>
      </c>
      <c r="DG1683">
        <v>0</v>
      </c>
      <c r="DH1683">
        <v>0</v>
      </c>
      <c r="DI1683">
        <f t="shared" si="2239"/>
        <v>1</v>
      </c>
      <c r="DJ1683" t="str">
        <f t="shared" si="2240"/>
        <v>UpstreamInput</v>
      </c>
      <c r="DK1683" t="str">
        <f t="shared" si="2241"/>
        <v>Upstream</v>
      </c>
      <c r="DL1683">
        <f t="shared" si="2241"/>
        <v>0</v>
      </c>
      <c r="DM1683">
        <f t="shared" si="2241"/>
        <v>0</v>
      </c>
      <c r="DN1683">
        <f t="shared" si="2241"/>
        <v>0</v>
      </c>
      <c r="DO1683">
        <v>0</v>
      </c>
      <c r="DP1683">
        <v>0</v>
      </c>
      <c r="DQ1683">
        <v>0</v>
      </c>
      <c r="DR1683">
        <v>0</v>
      </c>
      <c r="DS1683">
        <v>0</v>
      </c>
      <c r="DT1683">
        <f t="shared" si="2242"/>
        <v>0</v>
      </c>
      <c r="DU1683" s="143" t="str">
        <f t="shared" si="2243"/>
        <v>explicit C balance</v>
      </c>
      <c r="DV1683">
        <v>0</v>
      </c>
      <c r="DW1683">
        <v>0</v>
      </c>
      <c r="DX1683">
        <v>0</v>
      </c>
      <c r="DY1683">
        <v>0</v>
      </c>
      <c r="DZ1683">
        <v>0</v>
      </c>
      <c r="EA1683" s="143">
        <v>0</v>
      </c>
      <c r="EB1683">
        <v>1</v>
      </c>
      <c r="EC1683">
        <v>0</v>
      </c>
      <c r="ED1683">
        <v>0</v>
      </c>
      <c r="EE1683">
        <v>0</v>
      </c>
      <c r="EF1683">
        <v>0</v>
      </c>
      <c r="EG1683">
        <v>0</v>
      </c>
      <c r="EH1683">
        <v>0</v>
      </c>
      <c r="EI1683" s="2">
        <v>0</v>
      </c>
      <c r="EK1683" t="str">
        <f t="shared" si="2194"/>
        <v/>
      </c>
      <c r="EL1683" t="str">
        <f t="shared" si="2195"/>
        <v/>
      </c>
      <c r="EM1683" s="2" t="str">
        <f t="shared" si="2188"/>
        <v/>
      </c>
      <c r="EP1683" t="b">
        <f>IF(ISNUMBER(BU1683),IF(ABS(BU1683-[1]QC_indicators!$B$2)&gt;3*[1]QC_indicators!$C$2,"C ratio",IF(ISNUMBER(BY1683),IF(ABS(BY1683-[1]QC_indicators!$B$1)&gt;3*[1]QC_indicators!$C$1,"DF","no"))),IF(ISNUMBER(BY1683),IF(ABS(BY1683-[1]QC_indicators!$B$1)&gt;3*[1]QC_indicators!$C$1,"DF","no")))</f>
        <v>0</v>
      </c>
    </row>
    <row r="1684" spans="1:150" hidden="1">
      <c r="A1684" s="1" t="s">
        <v>4370</v>
      </c>
      <c r="B1684" t="s">
        <v>4371</v>
      </c>
      <c r="C1684" t="s">
        <v>4372</v>
      </c>
      <c r="D1684" t="s">
        <v>4373</v>
      </c>
      <c r="E1684" t="s">
        <v>4374</v>
      </c>
      <c r="F1684" t="s">
        <v>4375</v>
      </c>
      <c r="G1684" t="s">
        <v>4376</v>
      </c>
      <c r="H1684" t="s">
        <v>254</v>
      </c>
      <c r="I1684">
        <v>2015</v>
      </c>
      <c r="J1684">
        <v>3</v>
      </c>
      <c r="K1684" t="s">
        <v>4377</v>
      </c>
      <c r="M1684" t="str">
        <f t="shared" si="2193"/>
        <v>Zhou_2015</v>
      </c>
      <c r="N1684" s="311" t="s">
        <v>4382</v>
      </c>
      <c r="O1684" s="145" t="s">
        <v>1153</v>
      </c>
      <c r="Q1684" s="311" t="s">
        <v>256</v>
      </c>
      <c r="R1684" s="312"/>
      <c r="S1684" s="1" t="s">
        <v>4381</v>
      </c>
      <c r="T1684" t="s">
        <v>1196</v>
      </c>
      <c r="U1684" t="s">
        <v>1197</v>
      </c>
      <c r="V1684">
        <v>0</v>
      </c>
      <c r="W1684">
        <v>0</v>
      </c>
      <c r="X1684">
        <v>0</v>
      </c>
      <c r="Y1684">
        <v>0</v>
      </c>
      <c r="Z1684">
        <v>0</v>
      </c>
      <c r="AA1684">
        <v>0</v>
      </c>
      <c r="AB1684">
        <v>0</v>
      </c>
      <c r="AC1684">
        <v>0</v>
      </c>
      <c r="AD1684">
        <v>1</v>
      </c>
      <c r="AE1684">
        <v>0</v>
      </c>
      <c r="AF1684">
        <v>0</v>
      </c>
      <c r="AG1684">
        <v>0</v>
      </c>
      <c r="AH1684">
        <v>0</v>
      </c>
      <c r="AI1684">
        <v>0</v>
      </c>
      <c r="AJ1684">
        <v>2</v>
      </c>
      <c r="AK1684">
        <v>0</v>
      </c>
      <c r="AL1684">
        <v>0</v>
      </c>
      <c r="AM1684">
        <v>0</v>
      </c>
      <c r="AN1684">
        <v>0</v>
      </c>
      <c r="AO1684">
        <v>0</v>
      </c>
      <c r="AP1684">
        <v>0</v>
      </c>
      <c r="AQ1684">
        <v>0</v>
      </c>
      <c r="AR1684">
        <v>0</v>
      </c>
      <c r="AS1684">
        <v>0</v>
      </c>
      <c r="AT1684">
        <v>0</v>
      </c>
      <c r="AU1684">
        <v>0</v>
      </c>
      <c r="AV1684">
        <v>0</v>
      </c>
      <c r="AW1684">
        <v>0</v>
      </c>
      <c r="AX1684" s="141">
        <f t="shared" si="2220"/>
        <v>2</v>
      </c>
      <c r="AY1684" s="141">
        <f t="shared" si="2221"/>
        <v>2</v>
      </c>
      <c r="AZ1684">
        <f t="shared" si="2222"/>
        <v>0</v>
      </c>
      <c r="BA1684">
        <f t="shared" si="2223"/>
        <v>1</v>
      </c>
      <c r="BB1684">
        <f t="shared" si="2224"/>
        <v>1</v>
      </c>
      <c r="BC1684">
        <f t="shared" si="2225"/>
        <v>0</v>
      </c>
      <c r="BD1684">
        <f t="shared" si="2226"/>
        <v>0</v>
      </c>
      <c r="BE1684" t="str" cm="1">
        <f t="array" ref="BE1684">IF(AY1684=1,INDEX($V$7:$AL$7,MATCH(TRUE,INDEX($V1684:$AW1684&lt;&gt;0,),0)),IF(AY1684=0,INDEX($AM$7:$AW$7,MATCH(1,$AM1684:$AW1684,0)),IF(BF1684="Multiple strategies","mixed drivers",IF(BF1684="Supply chain","multiple supply","multiple silviculture"))))</f>
        <v>mixed drivers</v>
      </c>
      <c r="BF1684" s="2" t="str" cm="1">
        <f t="array" ref="BF1684">IF(COUNTIF(AZ1684:BB1684,"&lt;&gt;0")=1,INDEX($V$4:$AW$4,MATCH(TRUE,INDEX($V1684:$AW1684&lt;&gt;0,),0)),IF(COUNTIF(AZ1684:BB1684,"&lt;&gt;0")=0,INDEX($AM$4:$AW$4,MATCH(1,$AM1684:$AW1684,0)),"Multiple strategies"))</f>
        <v>Multiple strategies</v>
      </c>
      <c r="BM1684" s="143"/>
      <c r="BN1684" s="143"/>
      <c r="BP1684" t="s">
        <v>232</v>
      </c>
      <c r="BR1684" t="s">
        <v>4379</v>
      </c>
      <c r="BS1684">
        <v>-15.301000000000002</v>
      </c>
      <c r="BT1684">
        <v>-11.597999999999999</v>
      </c>
      <c r="BU1684" s="144">
        <f t="shared" si="2227"/>
        <v>0.75798967387752414</v>
      </c>
      <c r="BV1684" s="144">
        <f t="shared" si="2228"/>
        <v>3.703000000000003</v>
      </c>
      <c r="BW1684" s="144"/>
      <c r="BX1684">
        <f t="shared" si="2229"/>
        <v>3.7030000000000032E-3</v>
      </c>
      <c r="BY1684" t="str">
        <f t="shared" si="2185"/>
        <v/>
      </c>
      <c r="BZ1684">
        <v>0</v>
      </c>
      <c r="CA1684">
        <v>0</v>
      </c>
      <c r="CB1684">
        <v>0</v>
      </c>
      <c r="CC1684">
        <v>0</v>
      </c>
      <c r="CD1684">
        <v>0</v>
      </c>
      <c r="CE1684">
        <v>0</v>
      </c>
      <c r="CF1684">
        <v>0</v>
      </c>
      <c r="CG1684">
        <v>0</v>
      </c>
      <c r="CH1684">
        <v>0</v>
      </c>
      <c r="CI1684">
        <v>0</v>
      </c>
      <c r="CJ1684">
        <v>0</v>
      </c>
      <c r="CK1684">
        <v>0</v>
      </c>
      <c r="CL1684">
        <v>0</v>
      </c>
      <c r="CM1684">
        <v>0</v>
      </c>
      <c r="CN1684" t="str">
        <f t="shared" si="2230"/>
        <v>refOK</v>
      </c>
      <c r="CO1684"/>
      <c r="CP1684"/>
      <c r="CQ1684"/>
      <c r="CR1684">
        <f t="shared" si="2231"/>
        <v>-15.301000000000002</v>
      </c>
      <c r="CS1684">
        <f t="shared" si="2232"/>
        <v>-11.597999999999999</v>
      </c>
      <c r="CT1684">
        <f t="shared" si="2233"/>
        <v>3.7030000000000032E-3</v>
      </c>
      <c r="CU1684" t="str">
        <f t="shared" si="2234"/>
        <v/>
      </c>
      <c r="CV1684" s="2">
        <f t="shared" si="2235"/>
        <v>0.24201032612247581</v>
      </c>
      <c r="CW1684" s="1" t="s">
        <v>263</v>
      </c>
      <c r="CX1684" s="311" t="str">
        <f t="shared" si="2236"/>
        <v>loc</v>
      </c>
      <c r="CY1684" t="s">
        <v>690</v>
      </c>
      <c r="DB1684">
        <f t="shared" si="2237"/>
        <v>0</v>
      </c>
      <c r="DC1684" t="str">
        <f t="shared" si="2238"/>
        <v>0</v>
      </c>
      <c r="DD1684">
        <v>1</v>
      </c>
      <c r="DE1684">
        <v>0</v>
      </c>
      <c r="DF1684">
        <v>0</v>
      </c>
      <c r="DG1684">
        <v>0</v>
      </c>
      <c r="DH1684">
        <v>0</v>
      </c>
      <c r="DI1684">
        <f t="shared" si="2239"/>
        <v>1</v>
      </c>
      <c r="DJ1684" t="str">
        <f t="shared" si="2240"/>
        <v>UpstreamInput</v>
      </c>
      <c r="DK1684" t="str">
        <f t="shared" si="2241"/>
        <v>Upstream</v>
      </c>
      <c r="DL1684">
        <f t="shared" si="2241"/>
        <v>0</v>
      </c>
      <c r="DM1684">
        <f t="shared" si="2241"/>
        <v>0</v>
      </c>
      <c r="DN1684">
        <f t="shared" si="2241"/>
        <v>0</v>
      </c>
      <c r="DO1684">
        <v>0</v>
      </c>
      <c r="DP1684">
        <v>0</v>
      </c>
      <c r="DQ1684">
        <v>0</v>
      </c>
      <c r="DR1684">
        <v>0</v>
      </c>
      <c r="DS1684">
        <v>0</v>
      </c>
      <c r="DT1684">
        <f t="shared" si="2242"/>
        <v>0</v>
      </c>
      <c r="DU1684" s="143" t="str">
        <f t="shared" si="2243"/>
        <v>explicit C balance</v>
      </c>
      <c r="DV1684">
        <v>0</v>
      </c>
      <c r="DW1684">
        <v>0</v>
      </c>
      <c r="DX1684">
        <v>0</v>
      </c>
      <c r="DY1684">
        <v>0</v>
      </c>
      <c r="DZ1684">
        <v>0</v>
      </c>
      <c r="EA1684" s="143">
        <v>0</v>
      </c>
      <c r="EB1684">
        <v>1</v>
      </c>
      <c r="EC1684">
        <v>1</v>
      </c>
      <c r="ED1684">
        <v>0</v>
      </c>
      <c r="EE1684">
        <v>0</v>
      </c>
      <c r="EF1684">
        <v>0</v>
      </c>
      <c r="EG1684">
        <v>0</v>
      </c>
      <c r="EH1684">
        <v>0</v>
      </c>
      <c r="EI1684" s="2">
        <v>0</v>
      </c>
      <c r="EK1684" t="str">
        <f t="shared" si="2194"/>
        <v/>
      </c>
      <c r="EL1684" t="str">
        <f t="shared" si="2195"/>
        <v/>
      </c>
      <c r="EM1684" s="2" t="str">
        <f t="shared" si="2188"/>
        <v>Technology approach</v>
      </c>
      <c r="EP1684" t="b">
        <f>IF(ISNUMBER(BU1684),IF(ABS(BU1684-[1]QC_indicators!$B$2)&gt;3*[1]QC_indicators!$C$2,"C ratio",IF(ISNUMBER(BY1684),IF(ABS(BY1684-[1]QC_indicators!$B$1)&gt;3*[1]QC_indicators!$C$1,"DF","no"))),IF(ISNUMBER(BY1684),IF(ABS(BY1684-[1]QC_indicators!$B$1)&gt;3*[1]QC_indicators!$C$1,"DF","no")))</f>
        <v>0</v>
      </c>
    </row>
    <row r="1685" spans="1:150" hidden="1">
      <c r="A1685" s="1" t="s">
        <v>4292</v>
      </c>
      <c r="B1685" t="s">
        <v>5196</v>
      </c>
      <c r="C1685" t="s">
        <v>5197</v>
      </c>
      <c r="D1685" t="s">
        <v>5198</v>
      </c>
      <c r="E1685" t="s">
        <v>5199</v>
      </c>
      <c r="F1685" t="s">
        <v>5200</v>
      </c>
      <c r="G1685" t="s">
        <v>4298</v>
      </c>
      <c r="H1685" t="s">
        <v>3790</v>
      </c>
      <c r="I1685">
        <v>2022</v>
      </c>
      <c r="J1685">
        <v>1</v>
      </c>
      <c r="K1685" t="s">
        <v>5201</v>
      </c>
      <c r="M1685" t="str">
        <f t="shared" si="2193"/>
        <v>Zhou_2022</v>
      </c>
      <c r="N1685" t="s">
        <v>2585</v>
      </c>
      <c r="BE1685"/>
      <c r="BF1685" s="2"/>
      <c r="BY1685" t="str">
        <f t="shared" si="2185"/>
        <v/>
      </c>
      <c r="CN1685"/>
      <c r="CO1685"/>
      <c r="CP1685"/>
      <c r="CQ1685"/>
      <c r="CR1685"/>
      <c r="CS1685"/>
      <c r="CT1685"/>
      <c r="CU1685"/>
      <c r="CV1685" s="2"/>
      <c r="CX1685"/>
      <c r="DC1685"/>
      <c r="DI1685"/>
      <c r="DJ1685"/>
      <c r="DK1685"/>
      <c r="DL1685"/>
      <c r="DM1685"/>
      <c r="DN1685"/>
      <c r="DT1685"/>
      <c r="DU1685"/>
      <c r="EJ1685" s="186"/>
      <c r="EK1685" t="str">
        <f t="shared" si="2194"/>
        <v/>
      </c>
      <c r="EL1685" t="str">
        <f t="shared" si="2195"/>
        <v/>
      </c>
      <c r="EM1685" s="2" t="str">
        <f t="shared" si="2188"/>
        <v/>
      </c>
      <c r="EP1685" t="b">
        <f>IF(ISNUMBER(BU1685),IF(ABS(BU1685-[1]QC_indicators!$B$2)&gt;3*[1]QC_indicators!$C$2,"C ratio",IF(ISNUMBER(BY1685),IF(ABS(BY1685-[1]QC_indicators!$B$1)&gt;3*[1]QC_indicators!$C$1,"DF","no"))),IF(ISNUMBER(BY1685),IF(ABS(BY1685-[1]QC_indicators!$B$1)&gt;3*[1]QC_indicators!$C$1,"DF","no")))</f>
        <v>0</v>
      </c>
    </row>
    <row r="1686" spans="1:150" hidden="1">
      <c r="A1686" s="1" t="s">
        <v>1422</v>
      </c>
      <c r="B1686" t="s">
        <v>2489</v>
      </c>
      <c r="C1686" t="s">
        <v>2490</v>
      </c>
      <c r="D1686" t="s">
        <v>2491</v>
      </c>
      <c r="E1686" t="s">
        <v>2492</v>
      </c>
      <c r="F1686" t="s">
        <v>2493</v>
      </c>
      <c r="G1686" t="s">
        <v>1428</v>
      </c>
      <c r="H1686" t="s">
        <v>254</v>
      </c>
      <c r="I1686">
        <v>2016</v>
      </c>
      <c r="J1686">
        <v>24</v>
      </c>
      <c r="K1686" t="s">
        <v>2494</v>
      </c>
      <c r="M1686" t="str">
        <f t="shared" si="2193"/>
        <v>Zubizarreta-Gerendiain_2016</v>
      </c>
      <c r="N1686" t="s">
        <v>222</v>
      </c>
      <c r="O1686" s="145" t="s">
        <v>1153</v>
      </c>
      <c r="Q1686" t="s">
        <v>256</v>
      </c>
      <c r="R1686" s="262" t="s">
        <v>223</v>
      </c>
      <c r="S1686" s="1" t="s">
        <v>2495</v>
      </c>
      <c r="T1686" t="s">
        <v>2496</v>
      </c>
      <c r="U1686" t="s">
        <v>2497</v>
      </c>
      <c r="V1686">
        <v>0</v>
      </c>
      <c r="W1686">
        <v>0</v>
      </c>
      <c r="X1686">
        <v>0</v>
      </c>
      <c r="Y1686">
        <v>1</v>
      </c>
      <c r="Z1686">
        <v>0</v>
      </c>
      <c r="AA1686">
        <v>0</v>
      </c>
      <c r="AB1686">
        <v>0</v>
      </c>
      <c r="AC1686">
        <v>0</v>
      </c>
      <c r="AD1686">
        <v>0</v>
      </c>
      <c r="AE1686">
        <v>0</v>
      </c>
      <c r="AF1686">
        <v>0</v>
      </c>
      <c r="AG1686">
        <v>0</v>
      </c>
      <c r="AH1686">
        <v>0</v>
      </c>
      <c r="AI1686">
        <v>0</v>
      </c>
      <c r="AJ1686">
        <v>0</v>
      </c>
      <c r="AK1686">
        <v>0</v>
      </c>
      <c r="AL1686">
        <v>0</v>
      </c>
      <c r="AM1686">
        <v>0</v>
      </c>
      <c r="AN1686">
        <v>0</v>
      </c>
      <c r="AO1686">
        <v>0</v>
      </c>
      <c r="AP1686">
        <v>0</v>
      </c>
      <c r="AQ1686">
        <v>0</v>
      </c>
      <c r="AR1686">
        <v>0</v>
      </c>
      <c r="AS1686">
        <v>0</v>
      </c>
      <c r="AT1686">
        <v>0</v>
      </c>
      <c r="AU1686">
        <v>0</v>
      </c>
      <c r="AV1686">
        <v>0</v>
      </c>
      <c r="AW1686">
        <v>0</v>
      </c>
      <c r="AX1686" s="141">
        <f t="shared" ref="AX1686:AX1717" si="2244">COUNTIF(V1686:AW1686,"&lt;&gt;0")</f>
        <v>1</v>
      </c>
      <c r="AY1686" s="141">
        <f t="shared" ref="AY1686:AY1717" si="2245">COUNTIF(V1686:AL1686,"&lt;&gt;0")</f>
        <v>1</v>
      </c>
      <c r="AZ1686">
        <f t="shared" ref="AZ1686:AZ1717" si="2246">COUNTIF(V1686:AC1686,"&lt;&gt;0")</f>
        <v>1</v>
      </c>
      <c r="BA1686">
        <f t="shared" ref="BA1686:BA1717" si="2247">COUNTIF(AD1686:AI1686,"&lt;&gt;0")</f>
        <v>0</v>
      </c>
      <c r="BB1686">
        <f t="shared" ref="BB1686:BB1717" si="2248">COUNTIF(AJ1686:AL1686,"&lt;&gt;0")</f>
        <v>0</v>
      </c>
      <c r="BC1686">
        <f t="shared" ref="BC1686:BC1717" si="2249">COUNTIF(AS1686:AW1686,"&lt;&gt;0")</f>
        <v>0</v>
      </c>
      <c r="BD1686">
        <f t="shared" ref="BD1686:BD1717" si="2250">COUNTIF(AM1686:AR1686,"&lt;&gt;0")</f>
        <v>0</v>
      </c>
      <c r="BE1686" t="str">
        <f t="array" ref="BE1686">IF(AY1686=1,INDEX($V$7:$AL$7,MATCH(TRUE,INDEX($V1686:$AW1686&lt;&gt;0,),0)),IF(AY1686=0,INDEX($AM$7:$AW$7,MATCH(1,$AM1686:$AW1686,0)),IF(BF1686="Multiple strategies","mixed drivers",IF(BF1686="Supply chain","multiple supply","multiple silviculture"))))</f>
        <v xml:space="preserve">cutting intensity </v>
      </c>
      <c r="BF1686" s="2" t="str" cm="1">
        <f t="array" ref="BF1686">IF(COUNTIF(AZ1686:BB1686,"&lt;&gt;0")=1,INDEX($V$4:$AW$4,MATCH(TRUE,INDEX($V1686:$AW1686&lt;&gt;0,),0)),IF(COUNTIF(AZ1686:BB1686,"&lt;&gt;0")=0,INDEX($AM$4:$AW$4,MATCH(1,$AM1686:$AW1686,0)),"Multiple strategies"))</f>
        <v>Silviculture for removals</v>
      </c>
      <c r="BG1686" s="1" t="s">
        <v>321</v>
      </c>
      <c r="BH1686" t="s">
        <v>2498</v>
      </c>
      <c r="BI1686" s="264" t="s">
        <v>2112</v>
      </c>
      <c r="BJ1686" t="s">
        <v>2499</v>
      </c>
      <c r="BK1686">
        <v>77.868338557993695</v>
      </c>
      <c r="BL1686">
        <v>82.946708463949804</v>
      </c>
      <c r="BM1686" s="143">
        <f t="shared" ref="BM1686:BM1715" si="2251">BL1686/BK1686</f>
        <v>1.0652173913043479</v>
      </c>
      <c r="BN1686">
        <f t="shared" ref="BN1686:BN1715" si="2252">BL1686-BK1686</f>
        <v>5.0783699059561087</v>
      </c>
      <c r="BO1686">
        <f t="shared" ref="BO1686:BO1715" si="2253">BN1686*1000*t_to_m3</f>
        <v>10364.020216236957</v>
      </c>
      <c r="BP1686" s="143" t="s">
        <v>232</v>
      </c>
      <c r="BQ1686" s="143" t="s">
        <v>3255</v>
      </c>
      <c r="BR1686" t="s">
        <v>1194</v>
      </c>
      <c r="BS1686">
        <v>22260.374748603492</v>
      </c>
      <c r="BT1686">
        <v>-46788.009888268192</v>
      </c>
      <c r="BU1686" s="144">
        <f t="shared" ref="BU1686:BU1717" si="2254">IFERROR(BT1686/BS1686,"")</f>
        <v>-2.1018518518518401</v>
      </c>
      <c r="BV1686" s="144">
        <f t="shared" ref="BV1686:BV1717" si="2255">BT1686-BS1686</f>
        <v>-69048.384636871691</v>
      </c>
      <c r="BW1686" s="144"/>
      <c r="BX1686" s="144">
        <f t="shared" ref="BX1686:BX1717" si="2256">BV1686</f>
        <v>-69048.384636871691</v>
      </c>
      <c r="BY1686">
        <f t="shared" si="2185"/>
        <v>-6.6623166682650758</v>
      </c>
      <c r="BZ1686">
        <v>0</v>
      </c>
      <c r="CA1686">
        <v>0</v>
      </c>
      <c r="CB1686">
        <v>0</v>
      </c>
      <c r="CC1686">
        <v>0</v>
      </c>
      <c r="CD1686">
        <v>0</v>
      </c>
      <c r="CE1686">
        <v>0</v>
      </c>
      <c r="CF1686">
        <v>0</v>
      </c>
      <c r="CG1686">
        <v>0</v>
      </c>
      <c r="CH1686">
        <v>0</v>
      </c>
      <c r="CI1686">
        <v>0</v>
      </c>
      <c r="CJ1686">
        <v>0</v>
      </c>
      <c r="CK1686">
        <v>0</v>
      </c>
      <c r="CL1686">
        <v>0</v>
      </c>
      <c r="CM1686">
        <v>1</v>
      </c>
      <c r="CN1686" t="str">
        <f t="shared" ref="CN1686:CN1715" si="2257">IF($BL1686&lt;$BK1686,"refNeedCorrection","refOK")</f>
        <v>refOK</v>
      </c>
      <c r="CO1686">
        <f t="shared" ref="CO1686:CO1715" si="2258">IF($CN1686="refOK",$BK1686,$BL1686)</f>
        <v>77.868338557993695</v>
      </c>
      <c r="CP1686">
        <f t="shared" ref="CP1686:CP1715" si="2259">IF($CN1686="refOK",$BL1686,$BK1686)</f>
        <v>82.946708463949804</v>
      </c>
      <c r="CQ1686">
        <f t="shared" ref="CQ1686:CQ1715" si="2260">IF($CN1686="refOK",$BO1686,-$BO1686)</f>
        <v>10364.020216236957</v>
      </c>
      <c r="CR1686">
        <f t="shared" ref="CR1686:CR1717" si="2261">IF($CN1686="refOK",$BS1686,$BT1686)*IF($BP1686="Emissions positive",-1,1)</f>
        <v>22260.374748603492</v>
      </c>
      <c r="CS1686">
        <f t="shared" ref="CS1686:CS1717" si="2262">IF($CN1686="refOK",$BT1686,$BS1686)*IF($BP1686="Emissions positive",-1,1)</f>
        <v>-46788.009888268192</v>
      </c>
      <c r="CT1686">
        <f t="shared" ref="CT1686:CT1717" si="2263">IF($CN1686="refNeedCorrection",-BX1686,BX1686)*IF($BP1686="Emissions positive",-1,1)</f>
        <v>-69048.384636871691</v>
      </c>
      <c r="CU1686">
        <f t="shared" ref="CU1686:CU1717" si="2264">IFERROR(CT1686/CQ1686,"")</f>
        <v>-6.6623166682650758</v>
      </c>
      <c r="CV1686" s="2">
        <f t="shared" ref="CV1686:CV1717" si="2265">IFERROR((CS1686-CR1686)/ABS(CR1686),"")</f>
        <v>-3.1018518518518405</v>
      </c>
      <c r="CW1686" s="1" t="s">
        <v>1198</v>
      </c>
      <c r="CX1686" t="str">
        <f t="shared" ref="CX1686:CX1717" si="2266">IF(OR($CW1686="prd",$CW1686="std",$CW1686="cit"),"loc",IF(OR($CW1686="eur",$CW1686="reg",$CW1686="coy"),"reg",$CW1686))</f>
        <v>reg</v>
      </c>
      <c r="CY1686" t="s">
        <v>235</v>
      </c>
      <c r="CZ1686">
        <v>2010</v>
      </c>
      <c r="DA1686">
        <v>2070</v>
      </c>
      <c r="DB1686">
        <f t="shared" ref="DB1686:DB1717" si="2267">DA1686-CZ1686</f>
        <v>60</v>
      </c>
      <c r="DC1686" t="str">
        <f t="shared" ref="DC1686:DC1717" si="2268">IF(DB1686=0,"0",IF(AND(DB1686&gt;=1,DB1686&lt;=30),"1-30",IF(AND(DB1686&gt;30,DB1686&lt;=70),"31-70",IF(AND(DB1686&gt;70,DB1686&lt;=100),"71-100",IF(DB1686&gt;100,"+100")))))</f>
        <v>31-70</v>
      </c>
      <c r="DD1686">
        <v>1</v>
      </c>
      <c r="DE1686">
        <v>0</v>
      </c>
      <c r="DF1686">
        <v>0</v>
      </c>
      <c r="DG1686">
        <v>0</v>
      </c>
      <c r="DH1686">
        <v>0</v>
      </c>
      <c r="DI1686">
        <f t="shared" ref="DI1686:DI1717" si="2269">SUM(DD1686:DG1686)</f>
        <v>1</v>
      </c>
      <c r="DJ1686" t="str">
        <f t="shared" ref="DJ1686:DJ1717" si="2270">IF(DI1686=1,INDEX($DD$7:$DG$7,MATCH(1,$DD1686:$DG1686,0)),"mixedProduct")</f>
        <v>UpstreamInput</v>
      </c>
      <c r="DK1686" t="str">
        <f t="shared" ref="DK1686:DK1717" si="2271">IF(DD1686=1,DK$7,0)</f>
        <v>Upstream</v>
      </c>
      <c r="DL1686">
        <f t="shared" ref="DL1686:DL1717" si="2272">IF(DE1686=1,DL$7,0)</f>
        <v>0</v>
      </c>
      <c r="DM1686">
        <f t="shared" ref="DM1686:DM1717" si="2273">IF(DF1686=1,DM$7,0)</f>
        <v>0</v>
      </c>
      <c r="DN1686">
        <f t="shared" ref="DN1686:DN1717" si="2274">IF(DG1686=1,DN$7,0)</f>
        <v>0</v>
      </c>
      <c r="DO1686">
        <v>0</v>
      </c>
      <c r="DP1686">
        <v>0</v>
      </c>
      <c r="DQ1686">
        <v>0</v>
      </c>
      <c r="DR1686">
        <v>0</v>
      </c>
      <c r="DS1686">
        <v>0</v>
      </c>
      <c r="DT1686">
        <f t="shared" ref="DT1686:DT1717" si="2275">SUM(DO1686:DP1686)</f>
        <v>0</v>
      </c>
      <c r="DU1686" s="143" t="str">
        <f t="shared" ref="DU1686:DU1717" si="2276">IF(DO1686=1,"self-calculated DF",IF(DP1686=1,"external DF used","explicit C balance"))</f>
        <v>explicit C balance</v>
      </c>
      <c r="DV1686">
        <v>1</v>
      </c>
      <c r="DW1686">
        <v>1</v>
      </c>
      <c r="DX1686">
        <v>1</v>
      </c>
      <c r="DY1686">
        <v>1</v>
      </c>
      <c r="DZ1686">
        <v>0</v>
      </c>
      <c r="EA1686" s="143">
        <v>0</v>
      </c>
      <c r="EB1686">
        <v>0</v>
      </c>
      <c r="EC1686">
        <v>0</v>
      </c>
      <c r="ED1686">
        <v>0</v>
      </c>
      <c r="EE1686">
        <v>0</v>
      </c>
      <c r="EF1686">
        <v>1</v>
      </c>
      <c r="EG1686">
        <v>0</v>
      </c>
      <c r="EH1686">
        <v>0</v>
      </c>
      <c r="EI1686" s="2">
        <v>0</v>
      </c>
      <c r="EK1686" t="str">
        <f t="shared" ref="EK1686:EK1717" si="2277">IF(AND(AND(AND(OR($DX1686=1,$DW1686=1),OR($EC1686=1,$EA1686=1)),SUM($DV1686:$DZ1686,$EF1686)&gt;=4),SUM($EA1686:$EE1686)&gt;=2),"Whole sector","")</f>
        <v/>
      </c>
      <c r="EL1686" t="str">
        <f t="shared" ref="EL1686:EL1717" si="2278">IF(AND(AND(OR($DX1686=1,$DW1686=1),AND($EC1686=0,$EA1686=0)),SUM($DV1686:$DZ1686,$EF1686)&gt;=4),"Ecosystem approach","")</f>
        <v>Ecosystem approach</v>
      </c>
      <c r="EM1686" s="2" t="str">
        <f t="shared" si="2188"/>
        <v/>
      </c>
      <c r="EP1686" t="str">
        <f>IF(ISNUMBER(BU1686),IF(ABS(BU1686-[3]QC_indicators!$B$2)&gt;3*[3]QC_indicators!$C$2,"C ratio",IF(ISNUMBER(BY1686),IF(ABS(BY1686-[3]QC_indicators!$B$1)&gt;3*[3]QC_indicators!$C$1,"DF","no"))),IF(ISNUMBER(BY1686),IF(ABS(BY1686-[3]QC_indicators!$B$1)&gt;3*[3]QC_indicators!$C$1,"DF","no")))</f>
        <v>no</v>
      </c>
      <c r="EQ1686" t="s">
        <v>2500</v>
      </c>
      <c r="ET1686" s="264" t="s">
        <v>3256</v>
      </c>
    </row>
    <row r="1687" spans="1:150" hidden="1">
      <c r="A1687" s="1" t="s">
        <v>1422</v>
      </c>
      <c r="B1687" t="s">
        <v>2489</v>
      </c>
      <c r="C1687" t="s">
        <v>2490</v>
      </c>
      <c r="D1687" t="s">
        <v>2491</v>
      </c>
      <c r="E1687" t="s">
        <v>2492</v>
      </c>
      <c r="F1687" t="s">
        <v>2493</v>
      </c>
      <c r="G1687" t="s">
        <v>1428</v>
      </c>
      <c r="H1687" t="s">
        <v>254</v>
      </c>
      <c r="I1687">
        <v>2016</v>
      </c>
      <c r="J1687">
        <v>24</v>
      </c>
      <c r="K1687" t="s">
        <v>2494</v>
      </c>
      <c r="M1687" t="str">
        <f t="shared" si="2193"/>
        <v>Zubizarreta-Gerendiain_2016</v>
      </c>
      <c r="N1687" t="s">
        <v>222</v>
      </c>
      <c r="O1687" s="145" t="s">
        <v>1153</v>
      </c>
      <c r="Q1687" t="s">
        <v>256</v>
      </c>
      <c r="R1687" s="262" t="s">
        <v>223</v>
      </c>
      <c r="S1687" s="1" t="s">
        <v>2495</v>
      </c>
      <c r="T1687" t="s">
        <v>2496</v>
      </c>
      <c r="U1687" t="s">
        <v>2497</v>
      </c>
      <c r="V1687">
        <v>0</v>
      </c>
      <c r="W1687">
        <v>0</v>
      </c>
      <c r="X1687">
        <v>0</v>
      </c>
      <c r="Y1687">
        <v>2</v>
      </c>
      <c r="Z1687">
        <v>0</v>
      </c>
      <c r="AA1687">
        <v>0</v>
      </c>
      <c r="AB1687">
        <v>0</v>
      </c>
      <c r="AC1687">
        <v>0</v>
      </c>
      <c r="AD1687">
        <v>0</v>
      </c>
      <c r="AE1687">
        <v>0</v>
      </c>
      <c r="AF1687">
        <v>1</v>
      </c>
      <c r="AG1687">
        <v>0</v>
      </c>
      <c r="AH1687">
        <v>0</v>
      </c>
      <c r="AI1687">
        <v>0</v>
      </c>
      <c r="AJ1687">
        <v>0</v>
      </c>
      <c r="AK1687">
        <v>0</v>
      </c>
      <c r="AL1687">
        <v>0</v>
      </c>
      <c r="AM1687">
        <v>0</v>
      </c>
      <c r="AN1687">
        <v>0</v>
      </c>
      <c r="AO1687">
        <v>0</v>
      </c>
      <c r="AP1687">
        <v>0</v>
      </c>
      <c r="AQ1687">
        <v>0</v>
      </c>
      <c r="AR1687">
        <v>0</v>
      </c>
      <c r="AS1687">
        <v>0</v>
      </c>
      <c r="AT1687">
        <v>0</v>
      </c>
      <c r="AU1687">
        <v>0</v>
      </c>
      <c r="AV1687">
        <v>0</v>
      </c>
      <c r="AW1687">
        <v>0</v>
      </c>
      <c r="AX1687" s="141">
        <f t="shared" si="2244"/>
        <v>2</v>
      </c>
      <c r="AY1687" s="141">
        <f t="shared" si="2245"/>
        <v>2</v>
      </c>
      <c r="AZ1687">
        <f t="shared" si="2246"/>
        <v>1</v>
      </c>
      <c r="BA1687">
        <f t="shared" si="2247"/>
        <v>1</v>
      </c>
      <c r="BB1687">
        <f t="shared" si="2248"/>
        <v>0</v>
      </c>
      <c r="BC1687">
        <f t="shared" si="2249"/>
        <v>0</v>
      </c>
      <c r="BD1687">
        <f t="shared" si="2250"/>
        <v>0</v>
      </c>
      <c r="BE1687" t="str">
        <f t="array" ref="BE1687">IF(AY1687=1,INDEX($V$7:$AL$7,MATCH(TRUE,INDEX($V1687:$AW1687&lt;&gt;0,),0)),IF(AY1687=0,INDEX($AM$7:$AW$7,MATCH(1,$AM1687:$AW1687,0)),IF(BF1687="Multiple strategies","mixed drivers",IF(BF1687="Supply chain","multiple supply","multiple silviculture"))))</f>
        <v>mixed drivers</v>
      </c>
      <c r="BF1687" s="2" t="str" cm="1">
        <f t="array" ref="BF1687">IF(COUNTIF(AZ1687:BB1687,"&lt;&gt;0")=1,INDEX($V$4:$AW$4,MATCH(TRUE,INDEX($V1687:$AW1687&lt;&gt;0,),0)),IF(COUNTIF(AZ1687:BB1687,"&lt;&gt;0")=0,INDEX($AM$4:$AW$4,MATCH(1,$AM1687:$AW1687,0)),"Multiple strategies"))</f>
        <v>Multiple strategies</v>
      </c>
      <c r="BG1687" s="1" t="s">
        <v>321</v>
      </c>
      <c r="BH1687" t="s">
        <v>2498</v>
      </c>
      <c r="BI1687" s="264" t="s">
        <v>2112</v>
      </c>
      <c r="BJ1687" t="s">
        <v>2499</v>
      </c>
      <c r="BK1687">
        <v>77.868338557993695</v>
      </c>
      <c r="BL1687">
        <v>82.946708463949804</v>
      </c>
      <c r="BM1687" s="143">
        <f t="shared" si="2251"/>
        <v>1.0652173913043479</v>
      </c>
      <c r="BN1687">
        <f t="shared" si="2252"/>
        <v>5.0783699059561087</v>
      </c>
      <c r="BO1687">
        <f t="shared" si="2253"/>
        <v>10364.020216236957</v>
      </c>
      <c r="BP1687" s="143" t="s">
        <v>232</v>
      </c>
      <c r="BQ1687" s="143" t="s">
        <v>3255</v>
      </c>
      <c r="BR1687" t="s">
        <v>1194</v>
      </c>
      <c r="BS1687">
        <v>-52765.33273743005</v>
      </c>
      <c r="BT1687">
        <v>-114599.70703910608</v>
      </c>
      <c r="BU1687" s="144">
        <f t="shared" si="2254"/>
        <v>2.1718750000000036</v>
      </c>
      <c r="BV1687" s="144">
        <f t="shared" si="2255"/>
        <v>-61834.374301676035</v>
      </c>
      <c r="BW1687" s="144"/>
      <c r="BX1687" s="144">
        <f t="shared" si="2256"/>
        <v>-61834.374301676035</v>
      </c>
      <c r="BY1687">
        <f t="shared" si="2185"/>
        <v>-5.9662537327746845</v>
      </c>
      <c r="BZ1687">
        <v>0</v>
      </c>
      <c r="CA1687">
        <v>0</v>
      </c>
      <c r="CB1687">
        <v>0</v>
      </c>
      <c r="CC1687">
        <v>0</v>
      </c>
      <c r="CD1687">
        <v>0</v>
      </c>
      <c r="CE1687">
        <v>0</v>
      </c>
      <c r="CF1687">
        <v>0</v>
      </c>
      <c r="CG1687">
        <v>0</v>
      </c>
      <c r="CH1687">
        <v>0</v>
      </c>
      <c r="CI1687">
        <v>0</v>
      </c>
      <c r="CJ1687">
        <v>0</v>
      </c>
      <c r="CK1687">
        <v>0</v>
      </c>
      <c r="CL1687">
        <v>0</v>
      </c>
      <c r="CM1687">
        <v>1</v>
      </c>
      <c r="CN1687" t="str">
        <f t="shared" si="2257"/>
        <v>refOK</v>
      </c>
      <c r="CO1687">
        <f t="shared" si="2258"/>
        <v>77.868338557993695</v>
      </c>
      <c r="CP1687">
        <f t="shared" si="2259"/>
        <v>82.946708463949804</v>
      </c>
      <c r="CQ1687">
        <f t="shared" si="2260"/>
        <v>10364.020216236957</v>
      </c>
      <c r="CR1687">
        <f t="shared" si="2261"/>
        <v>-52765.33273743005</v>
      </c>
      <c r="CS1687">
        <f t="shared" si="2262"/>
        <v>-114599.70703910608</v>
      </c>
      <c r="CT1687">
        <f t="shared" si="2263"/>
        <v>-61834.374301676035</v>
      </c>
      <c r="CU1687">
        <f t="shared" si="2264"/>
        <v>-5.9662537327746845</v>
      </c>
      <c r="CV1687" s="2">
        <f t="shared" si="2265"/>
        <v>-1.1718750000000038</v>
      </c>
      <c r="CW1687" s="1" t="s">
        <v>1198</v>
      </c>
      <c r="CX1687" t="str">
        <f t="shared" si="2266"/>
        <v>reg</v>
      </c>
      <c r="CY1687" t="s">
        <v>235</v>
      </c>
      <c r="CZ1687">
        <v>2010</v>
      </c>
      <c r="DA1687">
        <v>2070</v>
      </c>
      <c r="DB1687">
        <f t="shared" si="2267"/>
        <v>60</v>
      </c>
      <c r="DC1687" t="str">
        <f t="shared" si="2268"/>
        <v>31-70</v>
      </c>
      <c r="DD1687">
        <v>1</v>
      </c>
      <c r="DE1687">
        <v>1</v>
      </c>
      <c r="DF1687">
        <v>1</v>
      </c>
      <c r="DG1687">
        <v>1</v>
      </c>
      <c r="DH1687">
        <v>0</v>
      </c>
      <c r="DI1687">
        <f t="shared" si="2269"/>
        <v>4</v>
      </c>
      <c r="DJ1687" t="str">
        <f t="shared" si="2270"/>
        <v>mixedProduct</v>
      </c>
      <c r="DK1687" t="str">
        <f t="shared" si="2271"/>
        <v>Upstream</v>
      </c>
      <c r="DL1687" t="str">
        <f t="shared" si="2272"/>
        <v>Energy</v>
      </c>
      <c r="DM1687" t="str">
        <f t="shared" si="2273"/>
        <v>Pulp/Paper</v>
      </c>
      <c r="DN1687" t="str">
        <f t="shared" si="2274"/>
        <v>Timber</v>
      </c>
      <c r="DO1687">
        <v>0</v>
      </c>
      <c r="DP1687">
        <v>0</v>
      </c>
      <c r="DQ1687">
        <v>0</v>
      </c>
      <c r="DR1687">
        <v>0</v>
      </c>
      <c r="DS1687">
        <v>0</v>
      </c>
      <c r="DT1687">
        <f t="shared" si="2275"/>
        <v>0</v>
      </c>
      <c r="DU1687" s="143" t="str">
        <f t="shared" si="2276"/>
        <v>explicit C balance</v>
      </c>
      <c r="DV1687">
        <v>1</v>
      </c>
      <c r="DW1687">
        <v>1</v>
      </c>
      <c r="DX1687">
        <v>1</v>
      </c>
      <c r="DY1687">
        <v>0</v>
      </c>
      <c r="DZ1687">
        <v>0</v>
      </c>
      <c r="EA1687" s="143">
        <v>0</v>
      </c>
      <c r="EB1687">
        <v>1</v>
      </c>
      <c r="EC1687">
        <v>1</v>
      </c>
      <c r="ED1687">
        <v>0</v>
      </c>
      <c r="EE1687">
        <v>0</v>
      </c>
      <c r="EF1687">
        <v>1</v>
      </c>
      <c r="EG1687">
        <v>0</v>
      </c>
      <c r="EH1687">
        <v>0</v>
      </c>
      <c r="EI1687" s="2">
        <v>0</v>
      </c>
      <c r="EK1687" t="str">
        <f t="shared" si="2277"/>
        <v>Whole sector</v>
      </c>
      <c r="EL1687" t="str">
        <f t="shared" si="2278"/>
        <v/>
      </c>
      <c r="EM1687" s="2" t="str">
        <f t="shared" si="2188"/>
        <v/>
      </c>
      <c r="EP1687" t="str">
        <f>IF(ISNUMBER(BU1687),IF(ABS(BU1687-[3]QC_indicators!$B$2)&gt;3*[3]QC_indicators!$C$2,"C ratio",IF(ISNUMBER(BY1687),IF(ABS(BY1687-[3]QC_indicators!$B$1)&gt;3*[3]QC_indicators!$C$1,"DF","no"))),IF(ISNUMBER(BY1687),IF(ABS(BY1687-[3]QC_indicators!$B$1)&gt;3*[3]QC_indicators!$C$1,"DF","no")))</f>
        <v>no</v>
      </c>
      <c r="EQ1687" t="s">
        <v>2500</v>
      </c>
      <c r="ET1687" s="264" t="s">
        <v>3256</v>
      </c>
    </row>
    <row r="1688" spans="1:150" hidden="1">
      <c r="A1688" s="1" t="s">
        <v>1422</v>
      </c>
      <c r="B1688" t="s">
        <v>2489</v>
      </c>
      <c r="C1688" t="s">
        <v>2490</v>
      </c>
      <c r="D1688" t="s">
        <v>2491</v>
      </c>
      <c r="E1688" t="s">
        <v>2492</v>
      </c>
      <c r="F1688" t="s">
        <v>2493</v>
      </c>
      <c r="G1688" t="s">
        <v>1428</v>
      </c>
      <c r="H1688" t="s">
        <v>254</v>
      </c>
      <c r="I1688">
        <v>2016</v>
      </c>
      <c r="J1688">
        <v>24</v>
      </c>
      <c r="K1688" t="s">
        <v>2494</v>
      </c>
      <c r="M1688" t="str">
        <f t="shared" si="2193"/>
        <v>Zubizarreta-Gerendiain_2016</v>
      </c>
      <c r="N1688" t="s">
        <v>222</v>
      </c>
      <c r="O1688" s="145" t="s">
        <v>1153</v>
      </c>
      <c r="Q1688" t="s">
        <v>256</v>
      </c>
      <c r="R1688" s="262" t="s">
        <v>223</v>
      </c>
      <c r="S1688" s="1" t="s">
        <v>2495</v>
      </c>
      <c r="T1688" t="s">
        <v>2496</v>
      </c>
      <c r="U1688" t="s">
        <v>2497</v>
      </c>
      <c r="V1688">
        <v>0</v>
      </c>
      <c r="W1688">
        <v>0</v>
      </c>
      <c r="X1688">
        <v>0</v>
      </c>
      <c r="Y1688">
        <v>2</v>
      </c>
      <c r="Z1688">
        <v>0</v>
      </c>
      <c r="AA1688">
        <v>0</v>
      </c>
      <c r="AB1688">
        <v>0</v>
      </c>
      <c r="AC1688">
        <v>0</v>
      </c>
      <c r="AD1688">
        <v>0</v>
      </c>
      <c r="AE1688">
        <v>0</v>
      </c>
      <c r="AF1688">
        <v>1</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s="141">
        <f t="shared" si="2244"/>
        <v>2</v>
      </c>
      <c r="AY1688" s="141">
        <f t="shared" si="2245"/>
        <v>2</v>
      </c>
      <c r="AZ1688">
        <f t="shared" si="2246"/>
        <v>1</v>
      </c>
      <c r="BA1688">
        <f t="shared" si="2247"/>
        <v>1</v>
      </c>
      <c r="BB1688">
        <f t="shared" si="2248"/>
        <v>0</v>
      </c>
      <c r="BC1688">
        <f t="shared" si="2249"/>
        <v>0</v>
      </c>
      <c r="BD1688">
        <f t="shared" si="2250"/>
        <v>0</v>
      </c>
      <c r="BE1688" t="str">
        <f t="array" ref="BE1688">IF(AY1688=1,INDEX($V$7:$AL$7,MATCH(TRUE,INDEX($V1688:$AW1688&lt;&gt;0,),0)),IF(AY1688=0,INDEX($AM$7:$AW$7,MATCH(1,$AM1688:$AW1688,0)),IF(BF1688="Multiple strategies","mixed drivers",IF(BF1688="Supply chain","multiple supply","multiple silviculture"))))</f>
        <v>mixed drivers</v>
      </c>
      <c r="BF1688" s="2" t="str" cm="1">
        <f t="array" ref="BF1688">IF(COUNTIF(AZ1688:BB1688,"&lt;&gt;0")=1,INDEX($V$4:$AW$4,MATCH(TRUE,INDEX($V1688:$AW1688&lt;&gt;0,),0)),IF(COUNTIF(AZ1688:BB1688,"&lt;&gt;0")=0,INDEX($AM$4:$AW$4,MATCH(1,$AM1688:$AW1688,0)),"Multiple strategies"))</f>
        <v>Multiple strategies</v>
      </c>
      <c r="BG1688" s="1" t="s">
        <v>321</v>
      </c>
      <c r="BH1688" t="s">
        <v>2498</v>
      </c>
      <c r="BI1688" s="264" t="s">
        <v>2112</v>
      </c>
      <c r="BJ1688" t="s">
        <v>2499</v>
      </c>
      <c r="BK1688">
        <v>77.868338557993695</v>
      </c>
      <c r="BL1688">
        <v>82.946708463949804</v>
      </c>
      <c r="BM1688" s="143">
        <f t="shared" si="2251"/>
        <v>1.0652173913043479</v>
      </c>
      <c r="BN1688">
        <f t="shared" si="2252"/>
        <v>5.0783699059561087</v>
      </c>
      <c r="BO1688">
        <f t="shared" si="2253"/>
        <v>10364.020216236957</v>
      </c>
      <c r="BP1688" s="143" t="s">
        <v>232</v>
      </c>
      <c r="BQ1688" s="143" t="s">
        <v>3255</v>
      </c>
      <c r="BR1688" t="s">
        <v>1194</v>
      </c>
      <c r="BS1688">
        <v>22397.784469273742</v>
      </c>
      <c r="BT1688">
        <v>-27756.76357541895</v>
      </c>
      <c r="BU1688" s="144">
        <f t="shared" si="2254"/>
        <v>-1.2392638036809798</v>
      </c>
      <c r="BV1688" s="144">
        <f t="shared" si="2255"/>
        <v>-50154.548044692696</v>
      </c>
      <c r="BW1688" s="144"/>
      <c r="BX1688" s="144">
        <f t="shared" si="2256"/>
        <v>-50154.548044692696</v>
      </c>
      <c r="BY1688">
        <f t="shared" si="2185"/>
        <v>-4.8392946943616799</v>
      </c>
      <c r="BZ1688">
        <v>0</v>
      </c>
      <c r="CA1688">
        <v>0</v>
      </c>
      <c r="CB1688">
        <v>0</v>
      </c>
      <c r="CC1688">
        <v>0</v>
      </c>
      <c r="CD1688">
        <v>0</v>
      </c>
      <c r="CE1688">
        <v>0</v>
      </c>
      <c r="CF1688">
        <v>0</v>
      </c>
      <c r="CG1688">
        <v>0</v>
      </c>
      <c r="CH1688">
        <v>0</v>
      </c>
      <c r="CI1688">
        <v>0</v>
      </c>
      <c r="CJ1688">
        <v>0</v>
      </c>
      <c r="CK1688">
        <v>0</v>
      </c>
      <c r="CL1688">
        <v>0</v>
      </c>
      <c r="CM1688">
        <v>1</v>
      </c>
      <c r="CN1688" t="str">
        <f t="shared" si="2257"/>
        <v>refOK</v>
      </c>
      <c r="CO1688">
        <f t="shared" si="2258"/>
        <v>77.868338557993695</v>
      </c>
      <c r="CP1688">
        <f t="shared" si="2259"/>
        <v>82.946708463949804</v>
      </c>
      <c r="CQ1688">
        <f t="shared" si="2260"/>
        <v>10364.020216236957</v>
      </c>
      <c r="CR1688">
        <f t="shared" si="2261"/>
        <v>22397.784469273742</v>
      </c>
      <c r="CS1688">
        <f t="shared" si="2262"/>
        <v>-27756.76357541895</v>
      </c>
      <c r="CT1688">
        <f t="shared" si="2263"/>
        <v>-50154.548044692696</v>
      </c>
      <c r="CU1688">
        <f t="shared" si="2264"/>
        <v>-4.8392946943616799</v>
      </c>
      <c r="CV1688" s="2">
        <f t="shared" si="2265"/>
        <v>-2.2392638036809798</v>
      </c>
      <c r="CW1688" s="1" t="s">
        <v>1198</v>
      </c>
      <c r="CX1688" t="str">
        <f t="shared" si="2266"/>
        <v>reg</v>
      </c>
      <c r="CY1688" t="s">
        <v>235</v>
      </c>
      <c r="CZ1688">
        <v>2010</v>
      </c>
      <c r="DA1688">
        <v>2070</v>
      </c>
      <c r="DB1688">
        <f t="shared" si="2267"/>
        <v>60</v>
      </c>
      <c r="DC1688" t="str">
        <f t="shared" si="2268"/>
        <v>31-70</v>
      </c>
      <c r="DD1688">
        <v>1</v>
      </c>
      <c r="DE1688">
        <v>1</v>
      </c>
      <c r="DF1688">
        <v>1</v>
      </c>
      <c r="DG1688">
        <v>1</v>
      </c>
      <c r="DH1688">
        <v>0</v>
      </c>
      <c r="DI1688">
        <f t="shared" si="2269"/>
        <v>4</v>
      </c>
      <c r="DJ1688" t="str">
        <f t="shared" si="2270"/>
        <v>mixedProduct</v>
      </c>
      <c r="DK1688" t="str">
        <f t="shared" si="2271"/>
        <v>Upstream</v>
      </c>
      <c r="DL1688" t="str">
        <f t="shared" si="2272"/>
        <v>Energy</v>
      </c>
      <c r="DM1688" t="str">
        <f t="shared" si="2273"/>
        <v>Pulp/Paper</v>
      </c>
      <c r="DN1688" t="str">
        <f t="shared" si="2274"/>
        <v>Timber</v>
      </c>
      <c r="DO1688">
        <v>0</v>
      </c>
      <c r="DP1688">
        <v>1</v>
      </c>
      <c r="DQ1688" t="s">
        <v>2523</v>
      </c>
      <c r="DR1688" t="s">
        <v>2524</v>
      </c>
      <c r="DS1688">
        <v>0</v>
      </c>
      <c r="DT1688">
        <f t="shared" si="2275"/>
        <v>1</v>
      </c>
      <c r="DU1688" s="143" t="str">
        <f t="shared" si="2276"/>
        <v>external DF used</v>
      </c>
      <c r="DV1688">
        <v>1</v>
      </c>
      <c r="DW1688">
        <v>1</v>
      </c>
      <c r="DX1688">
        <v>1</v>
      </c>
      <c r="DY1688">
        <v>1</v>
      </c>
      <c r="DZ1688">
        <v>0</v>
      </c>
      <c r="EA1688" s="143">
        <v>1</v>
      </c>
      <c r="EB1688">
        <v>1</v>
      </c>
      <c r="EC1688">
        <v>1</v>
      </c>
      <c r="ED1688">
        <v>0</v>
      </c>
      <c r="EE1688">
        <v>0</v>
      </c>
      <c r="EF1688">
        <v>1</v>
      </c>
      <c r="EG1688">
        <v>0</v>
      </c>
      <c r="EH1688">
        <v>0</v>
      </c>
      <c r="EI1688" s="2">
        <v>0</v>
      </c>
      <c r="EK1688" t="str">
        <f t="shared" si="2277"/>
        <v>Whole sector</v>
      </c>
      <c r="EL1688" t="str">
        <f t="shared" si="2278"/>
        <v/>
      </c>
      <c r="EM1688" s="2" t="str">
        <f t="shared" si="2188"/>
        <v/>
      </c>
      <c r="EP1688" t="str">
        <f>IF(ISNUMBER(BU1688),IF(ABS(BU1688-[3]QC_indicators!$B$2)&gt;3*[3]QC_indicators!$C$2,"C ratio",IF(ISNUMBER(BY1688),IF(ABS(BY1688-[3]QC_indicators!$B$1)&gt;3*[3]QC_indicators!$C$1,"DF","no"))),IF(ISNUMBER(BY1688),IF(ABS(BY1688-[3]QC_indicators!$B$1)&gt;3*[3]QC_indicators!$C$1,"DF","no")))</f>
        <v>no</v>
      </c>
      <c r="EQ1688" t="s">
        <v>2500</v>
      </c>
      <c r="ET1688" s="264" t="s">
        <v>3256</v>
      </c>
    </row>
    <row r="1689" spans="1:150" hidden="1">
      <c r="A1689" s="1" t="s">
        <v>1422</v>
      </c>
      <c r="B1689" t="s">
        <v>2489</v>
      </c>
      <c r="C1689" t="s">
        <v>2490</v>
      </c>
      <c r="D1689" t="s">
        <v>2491</v>
      </c>
      <c r="E1689" t="s">
        <v>2492</v>
      </c>
      <c r="F1689" t="s">
        <v>2493</v>
      </c>
      <c r="G1689" t="s">
        <v>1428</v>
      </c>
      <c r="H1689" t="s">
        <v>254</v>
      </c>
      <c r="I1689">
        <v>2016</v>
      </c>
      <c r="J1689">
        <v>24</v>
      </c>
      <c r="K1689" t="s">
        <v>2494</v>
      </c>
      <c r="M1689" t="str">
        <f t="shared" si="2193"/>
        <v>Zubizarreta-Gerendiain_2016</v>
      </c>
      <c r="N1689" t="s">
        <v>222</v>
      </c>
      <c r="O1689" s="145" t="s">
        <v>1153</v>
      </c>
      <c r="Q1689" t="s">
        <v>256</v>
      </c>
      <c r="R1689" s="262" t="s">
        <v>223</v>
      </c>
      <c r="S1689" s="1" t="s">
        <v>2495</v>
      </c>
      <c r="T1689" t="s">
        <v>2501</v>
      </c>
      <c r="U1689" t="s">
        <v>2497</v>
      </c>
      <c r="V1689">
        <v>0</v>
      </c>
      <c r="W1689">
        <v>0</v>
      </c>
      <c r="X1689">
        <v>0</v>
      </c>
      <c r="Y1689">
        <v>2</v>
      </c>
      <c r="Z1689">
        <v>0</v>
      </c>
      <c r="AA1689">
        <v>0</v>
      </c>
      <c r="AB1689">
        <v>0</v>
      </c>
      <c r="AC1689">
        <v>0</v>
      </c>
      <c r="AD1689">
        <v>0</v>
      </c>
      <c r="AE1689">
        <v>0</v>
      </c>
      <c r="AF1689">
        <v>1</v>
      </c>
      <c r="AG1689">
        <v>0</v>
      </c>
      <c r="AH1689">
        <v>0</v>
      </c>
      <c r="AI1689">
        <v>0</v>
      </c>
      <c r="AJ1689">
        <v>0</v>
      </c>
      <c r="AK1689">
        <v>0</v>
      </c>
      <c r="AL1689">
        <v>0</v>
      </c>
      <c r="AM1689">
        <v>0</v>
      </c>
      <c r="AN1689">
        <v>0</v>
      </c>
      <c r="AO1689">
        <v>0</v>
      </c>
      <c r="AP1689">
        <v>0</v>
      </c>
      <c r="AQ1689">
        <v>0</v>
      </c>
      <c r="AR1689">
        <v>0</v>
      </c>
      <c r="AS1689">
        <v>0</v>
      </c>
      <c r="AT1689">
        <v>0</v>
      </c>
      <c r="AU1689">
        <v>0</v>
      </c>
      <c r="AV1689">
        <v>0</v>
      </c>
      <c r="AW1689">
        <v>0</v>
      </c>
      <c r="AX1689" s="141">
        <f t="shared" si="2244"/>
        <v>2</v>
      </c>
      <c r="AY1689" s="141">
        <f t="shared" si="2245"/>
        <v>2</v>
      </c>
      <c r="AZ1689">
        <f t="shared" si="2246"/>
        <v>1</v>
      </c>
      <c r="BA1689">
        <f t="shared" si="2247"/>
        <v>1</v>
      </c>
      <c r="BB1689">
        <f t="shared" si="2248"/>
        <v>0</v>
      </c>
      <c r="BC1689">
        <f t="shared" si="2249"/>
        <v>0</v>
      </c>
      <c r="BD1689">
        <f t="shared" si="2250"/>
        <v>0</v>
      </c>
      <c r="BE1689" t="str">
        <f t="array" ref="BE1689">IF(AY1689=1,INDEX($V$7:$AL$7,MATCH(TRUE,INDEX($V1689:$AW1689&lt;&gt;0,),0)),IF(AY1689=0,INDEX($AM$7:$AW$7,MATCH(1,$AM1689:$AW1689,0)),IF(BF1689="Multiple strategies","mixed drivers",IF(BF1689="Supply chain","multiple supply","multiple silviculture"))))</f>
        <v>mixed drivers</v>
      </c>
      <c r="BF1689" s="2" t="str" cm="1">
        <f t="array" ref="BF1689">IF(COUNTIF(AZ1689:BB1689,"&lt;&gt;0")=1,INDEX($V$4:$AW$4,MATCH(TRUE,INDEX($V1689:$AW1689&lt;&gt;0,),0)),IF(COUNTIF(AZ1689:BB1689,"&lt;&gt;0")=0,INDEX($AM$4:$AW$4,MATCH(1,$AM1689:$AW1689,0)),"Multiple strategies"))</f>
        <v>Multiple strategies</v>
      </c>
      <c r="BG1689" s="1" t="s">
        <v>321</v>
      </c>
      <c r="BH1689" t="s">
        <v>2498</v>
      </c>
      <c r="BI1689" s="264" t="s">
        <v>2112</v>
      </c>
      <c r="BJ1689" t="s">
        <v>2499</v>
      </c>
      <c r="BK1689">
        <v>70.532915360501505</v>
      </c>
      <c r="BL1689">
        <v>82.946708463949804</v>
      </c>
      <c r="BM1689" s="143">
        <f t="shared" si="2251"/>
        <v>1.1760000000000004</v>
      </c>
      <c r="BN1689">
        <f t="shared" si="2252"/>
        <v>12.413793103448299</v>
      </c>
      <c r="BO1689">
        <f t="shared" si="2253"/>
        <v>25334.271639690407</v>
      </c>
      <c r="BP1689" s="143" t="s">
        <v>232</v>
      </c>
      <c r="BQ1689" s="143" t="s">
        <v>3255</v>
      </c>
      <c r="BR1689" t="s">
        <v>1194</v>
      </c>
      <c r="BS1689">
        <v>64513.863854748583</v>
      </c>
      <c r="BT1689">
        <v>-46788.009888268192</v>
      </c>
      <c r="BU1689" s="144">
        <f t="shared" si="2254"/>
        <v>-0.72523961661341929</v>
      </c>
      <c r="BV1689" s="144">
        <f t="shared" si="2255"/>
        <v>-111301.87374301677</v>
      </c>
      <c r="BW1689" s="144"/>
      <c r="BX1689" s="144">
        <f t="shared" si="2256"/>
        <v>-111301.87374301677</v>
      </c>
      <c r="BY1689">
        <f t="shared" si="2185"/>
        <v>-4.39333229413407</v>
      </c>
      <c r="BZ1689">
        <v>0</v>
      </c>
      <c r="CA1689">
        <v>0</v>
      </c>
      <c r="CB1689">
        <v>0</v>
      </c>
      <c r="CC1689">
        <v>0</v>
      </c>
      <c r="CD1689">
        <v>0</v>
      </c>
      <c r="CE1689">
        <v>0</v>
      </c>
      <c r="CF1689">
        <v>0</v>
      </c>
      <c r="CG1689">
        <v>0</v>
      </c>
      <c r="CH1689">
        <v>0</v>
      </c>
      <c r="CI1689">
        <v>0</v>
      </c>
      <c r="CJ1689">
        <v>0</v>
      </c>
      <c r="CK1689">
        <v>0</v>
      </c>
      <c r="CL1689">
        <v>0</v>
      </c>
      <c r="CM1689">
        <v>1</v>
      </c>
      <c r="CN1689" t="str">
        <f t="shared" si="2257"/>
        <v>refOK</v>
      </c>
      <c r="CO1689">
        <f t="shared" si="2258"/>
        <v>70.532915360501505</v>
      </c>
      <c r="CP1689">
        <f t="shared" si="2259"/>
        <v>82.946708463949804</v>
      </c>
      <c r="CQ1689">
        <f t="shared" si="2260"/>
        <v>25334.271639690407</v>
      </c>
      <c r="CR1689">
        <f t="shared" si="2261"/>
        <v>64513.863854748583</v>
      </c>
      <c r="CS1689">
        <f t="shared" si="2262"/>
        <v>-46788.009888268192</v>
      </c>
      <c r="CT1689">
        <f t="shared" si="2263"/>
        <v>-111301.87374301677</v>
      </c>
      <c r="CU1689">
        <f t="shared" si="2264"/>
        <v>-4.39333229413407</v>
      </c>
      <c r="CV1689" s="2">
        <f t="shared" si="2265"/>
        <v>-1.7252396166134192</v>
      </c>
      <c r="CW1689" s="1" t="s">
        <v>1198</v>
      </c>
      <c r="CX1689" t="str">
        <f t="shared" si="2266"/>
        <v>reg</v>
      </c>
      <c r="CY1689" t="s">
        <v>235</v>
      </c>
      <c r="CZ1689">
        <v>2010</v>
      </c>
      <c r="DA1689">
        <v>2070</v>
      </c>
      <c r="DB1689">
        <f t="shared" si="2267"/>
        <v>60</v>
      </c>
      <c r="DC1689" t="str">
        <f t="shared" si="2268"/>
        <v>31-70</v>
      </c>
      <c r="DD1689">
        <v>1</v>
      </c>
      <c r="DE1689">
        <v>0</v>
      </c>
      <c r="DF1689">
        <v>0</v>
      </c>
      <c r="DG1689">
        <v>0</v>
      </c>
      <c r="DH1689">
        <v>0</v>
      </c>
      <c r="DI1689">
        <f t="shared" si="2269"/>
        <v>1</v>
      </c>
      <c r="DJ1689" t="str">
        <f t="shared" si="2270"/>
        <v>UpstreamInput</v>
      </c>
      <c r="DK1689" t="str">
        <f t="shared" si="2271"/>
        <v>Upstream</v>
      </c>
      <c r="DL1689">
        <f t="shared" si="2272"/>
        <v>0</v>
      </c>
      <c r="DM1689">
        <f t="shared" si="2273"/>
        <v>0</v>
      </c>
      <c r="DN1689">
        <f t="shared" si="2274"/>
        <v>0</v>
      </c>
      <c r="DO1689">
        <v>0</v>
      </c>
      <c r="DP1689">
        <v>0</v>
      </c>
      <c r="DQ1689">
        <v>0</v>
      </c>
      <c r="DR1689">
        <v>0</v>
      </c>
      <c r="DS1689">
        <v>0</v>
      </c>
      <c r="DT1689">
        <f t="shared" si="2275"/>
        <v>0</v>
      </c>
      <c r="DU1689" s="143" t="str">
        <f t="shared" si="2276"/>
        <v>explicit C balance</v>
      </c>
      <c r="DV1689">
        <v>1</v>
      </c>
      <c r="DW1689">
        <v>1</v>
      </c>
      <c r="DX1689">
        <v>1</v>
      </c>
      <c r="DY1689">
        <v>1</v>
      </c>
      <c r="DZ1689">
        <v>0</v>
      </c>
      <c r="EA1689" s="143">
        <v>0</v>
      </c>
      <c r="EB1689">
        <v>0</v>
      </c>
      <c r="EC1689">
        <v>0</v>
      </c>
      <c r="ED1689">
        <v>0</v>
      </c>
      <c r="EE1689">
        <v>0</v>
      </c>
      <c r="EF1689">
        <v>1</v>
      </c>
      <c r="EG1689">
        <v>0</v>
      </c>
      <c r="EH1689">
        <v>0</v>
      </c>
      <c r="EI1689" s="2">
        <v>0</v>
      </c>
      <c r="EK1689" t="str">
        <f t="shared" si="2277"/>
        <v/>
      </c>
      <c r="EL1689" t="str">
        <f t="shared" si="2278"/>
        <v>Ecosystem approach</v>
      </c>
      <c r="EM1689" s="2" t="str">
        <f t="shared" si="2188"/>
        <v/>
      </c>
      <c r="EP1689" t="str">
        <f>IF(ISNUMBER(BU1689),IF(ABS(BU1689-[3]QC_indicators!$B$2)&gt;3*[3]QC_indicators!$C$2,"C ratio",IF(ISNUMBER(BY1689),IF(ABS(BY1689-[3]QC_indicators!$B$1)&gt;3*[3]QC_indicators!$C$1,"DF","no"))),IF(ISNUMBER(BY1689),IF(ABS(BY1689-[3]QC_indicators!$B$1)&gt;3*[3]QC_indicators!$C$1,"DF","no")))</f>
        <v>no</v>
      </c>
      <c r="EQ1689" t="s">
        <v>2500</v>
      </c>
      <c r="ET1689" s="264" t="s">
        <v>3256</v>
      </c>
    </row>
    <row r="1690" spans="1:150" hidden="1">
      <c r="A1690" s="1" t="s">
        <v>1422</v>
      </c>
      <c r="B1690" t="s">
        <v>2489</v>
      </c>
      <c r="C1690" t="s">
        <v>2490</v>
      </c>
      <c r="D1690" t="s">
        <v>2491</v>
      </c>
      <c r="E1690" t="s">
        <v>2492</v>
      </c>
      <c r="F1690" t="s">
        <v>2493</v>
      </c>
      <c r="G1690" t="s">
        <v>1428</v>
      </c>
      <c r="H1690" t="s">
        <v>254</v>
      </c>
      <c r="I1690">
        <v>2016</v>
      </c>
      <c r="J1690">
        <v>24</v>
      </c>
      <c r="K1690" t="s">
        <v>2494</v>
      </c>
      <c r="M1690" t="str">
        <f t="shared" si="2193"/>
        <v>Zubizarreta-Gerendiain_2016</v>
      </c>
      <c r="N1690" t="s">
        <v>222</v>
      </c>
      <c r="O1690" s="145" t="s">
        <v>1153</v>
      </c>
      <c r="Q1690" t="s">
        <v>256</v>
      </c>
      <c r="R1690" s="262" t="s">
        <v>223</v>
      </c>
      <c r="S1690" s="1" t="s">
        <v>2495</v>
      </c>
      <c r="T1690" t="s">
        <v>2502</v>
      </c>
      <c r="U1690" t="s">
        <v>2503</v>
      </c>
      <c r="V1690">
        <v>0</v>
      </c>
      <c r="W1690">
        <v>0</v>
      </c>
      <c r="X1690">
        <v>0</v>
      </c>
      <c r="Y1690">
        <v>2</v>
      </c>
      <c r="Z1690">
        <v>0</v>
      </c>
      <c r="AA1690">
        <v>0</v>
      </c>
      <c r="AB1690">
        <v>0</v>
      </c>
      <c r="AC1690">
        <v>0</v>
      </c>
      <c r="AD1690">
        <v>0</v>
      </c>
      <c r="AE1690">
        <v>0</v>
      </c>
      <c r="AF1690">
        <v>1</v>
      </c>
      <c r="AG1690">
        <v>0</v>
      </c>
      <c r="AH1690">
        <v>0</v>
      </c>
      <c r="AI1690">
        <v>0</v>
      </c>
      <c r="AJ1690">
        <v>0</v>
      </c>
      <c r="AK1690">
        <v>0</v>
      </c>
      <c r="AL1690">
        <v>0</v>
      </c>
      <c r="AM1690">
        <v>0</v>
      </c>
      <c r="AN1690">
        <v>0</v>
      </c>
      <c r="AO1690">
        <v>0</v>
      </c>
      <c r="AP1690">
        <v>0</v>
      </c>
      <c r="AQ1690">
        <v>0</v>
      </c>
      <c r="AR1690">
        <v>0</v>
      </c>
      <c r="AS1690">
        <v>0</v>
      </c>
      <c r="AT1690">
        <v>0</v>
      </c>
      <c r="AU1690">
        <v>0</v>
      </c>
      <c r="AV1690">
        <v>0</v>
      </c>
      <c r="AW1690">
        <v>0</v>
      </c>
      <c r="AX1690" s="141">
        <f t="shared" si="2244"/>
        <v>2</v>
      </c>
      <c r="AY1690" s="141">
        <f t="shared" si="2245"/>
        <v>2</v>
      </c>
      <c r="AZ1690">
        <f t="shared" si="2246"/>
        <v>1</v>
      </c>
      <c r="BA1690">
        <f t="shared" si="2247"/>
        <v>1</v>
      </c>
      <c r="BB1690">
        <f t="shared" si="2248"/>
        <v>0</v>
      </c>
      <c r="BC1690">
        <f t="shared" si="2249"/>
        <v>0</v>
      </c>
      <c r="BD1690">
        <f t="shared" si="2250"/>
        <v>0</v>
      </c>
      <c r="BE1690" t="str">
        <f t="array" ref="BE1690">IF(AY1690=1,INDEX($V$7:$AL$7,MATCH(TRUE,INDEX($V1690:$AW1690&lt;&gt;0,),0)),IF(AY1690=0,INDEX($AM$7:$AW$7,MATCH(1,$AM1690:$AW1690,0)),IF(BF1690="Multiple strategies","mixed drivers",IF(BF1690="Supply chain","multiple supply","multiple silviculture"))))</f>
        <v>mixed drivers</v>
      </c>
      <c r="BF1690" s="2" t="str" cm="1">
        <f t="array" ref="BF1690">IF(COUNTIF(AZ1690:BB1690,"&lt;&gt;0")=1,INDEX($V$4:$AW$4,MATCH(TRUE,INDEX($V1690:$AW1690&lt;&gt;0,),0)),IF(COUNTIF(AZ1690:BB1690,"&lt;&gt;0")=0,INDEX($AM$4:$AW$4,MATCH(1,$AM1690:$AW1690,0)),"Multiple strategies"))</f>
        <v>Multiple strategies</v>
      </c>
      <c r="BG1690" s="1" t="s">
        <v>321</v>
      </c>
      <c r="BH1690" t="s">
        <v>2498</v>
      </c>
      <c r="BI1690" s="264" t="s">
        <v>2112</v>
      </c>
      <c r="BJ1690" t="s">
        <v>2499</v>
      </c>
      <c r="BK1690">
        <v>74.117647058823493</v>
      </c>
      <c r="BL1690">
        <v>82.634271099744197</v>
      </c>
      <c r="BM1690" s="143">
        <f t="shared" si="2251"/>
        <v>1.1149068322981366</v>
      </c>
      <c r="BN1690">
        <f t="shared" si="2252"/>
        <v>8.5166240409207035</v>
      </c>
      <c r="BO1690">
        <f t="shared" si="2253"/>
        <v>17380.865389634091</v>
      </c>
      <c r="BP1690" t="s">
        <v>232</v>
      </c>
      <c r="BQ1690" s="143" t="s">
        <v>3255</v>
      </c>
      <c r="BR1690" t="s">
        <v>1194</v>
      </c>
      <c r="BS1690">
        <v>52731.920127795442</v>
      </c>
      <c r="BT1690">
        <v>-22456.178913738113</v>
      </c>
      <c r="BU1690" s="144">
        <f t="shared" si="2254"/>
        <v>-0.42585551330798727</v>
      </c>
      <c r="BV1690" s="144">
        <f t="shared" si="2255"/>
        <v>-75188.099041533555</v>
      </c>
      <c r="BW1690" s="144"/>
      <c r="BX1690" s="144">
        <f t="shared" si="2256"/>
        <v>-75188.099041533555</v>
      </c>
      <c r="BY1690">
        <f t="shared" si="2185"/>
        <v>-4.3259122808911208</v>
      </c>
      <c r="BZ1690">
        <v>0</v>
      </c>
      <c r="CA1690">
        <v>0</v>
      </c>
      <c r="CB1690">
        <v>0</v>
      </c>
      <c r="CC1690">
        <v>0</v>
      </c>
      <c r="CD1690">
        <v>0</v>
      </c>
      <c r="CE1690">
        <v>0</v>
      </c>
      <c r="CF1690">
        <v>0</v>
      </c>
      <c r="CG1690">
        <v>0</v>
      </c>
      <c r="CH1690">
        <v>0</v>
      </c>
      <c r="CI1690">
        <v>0</v>
      </c>
      <c r="CJ1690">
        <v>0</v>
      </c>
      <c r="CK1690">
        <v>0</v>
      </c>
      <c r="CL1690">
        <v>0</v>
      </c>
      <c r="CM1690">
        <v>1</v>
      </c>
      <c r="CN1690" t="str">
        <f t="shared" si="2257"/>
        <v>refOK</v>
      </c>
      <c r="CO1690">
        <f t="shared" si="2258"/>
        <v>74.117647058823493</v>
      </c>
      <c r="CP1690">
        <f t="shared" si="2259"/>
        <v>82.634271099744197</v>
      </c>
      <c r="CQ1690">
        <f t="shared" si="2260"/>
        <v>17380.865389634091</v>
      </c>
      <c r="CR1690">
        <f t="shared" si="2261"/>
        <v>52731.920127795442</v>
      </c>
      <c r="CS1690">
        <f t="shared" si="2262"/>
        <v>-22456.178913738113</v>
      </c>
      <c r="CT1690">
        <f t="shared" si="2263"/>
        <v>-75188.099041533555</v>
      </c>
      <c r="CU1690">
        <f t="shared" si="2264"/>
        <v>-4.3259122808911208</v>
      </c>
      <c r="CV1690" s="2">
        <f t="shared" si="2265"/>
        <v>-1.4258555133079873</v>
      </c>
      <c r="CW1690" s="1" t="s">
        <v>1198</v>
      </c>
      <c r="CX1690" t="str">
        <f t="shared" si="2266"/>
        <v>reg</v>
      </c>
      <c r="CY1690" t="s">
        <v>235</v>
      </c>
      <c r="CZ1690">
        <v>2010</v>
      </c>
      <c r="DA1690">
        <v>2070</v>
      </c>
      <c r="DB1690">
        <f t="shared" si="2267"/>
        <v>60</v>
      </c>
      <c r="DC1690" t="str">
        <f t="shared" si="2268"/>
        <v>31-70</v>
      </c>
      <c r="DD1690">
        <v>1</v>
      </c>
      <c r="DE1690">
        <v>0</v>
      </c>
      <c r="DF1690">
        <v>0</v>
      </c>
      <c r="DG1690">
        <v>0</v>
      </c>
      <c r="DH1690">
        <v>0</v>
      </c>
      <c r="DI1690">
        <f t="shared" si="2269"/>
        <v>1</v>
      </c>
      <c r="DJ1690" t="str">
        <f t="shared" si="2270"/>
        <v>UpstreamInput</v>
      </c>
      <c r="DK1690" t="str">
        <f t="shared" si="2271"/>
        <v>Upstream</v>
      </c>
      <c r="DL1690">
        <f t="shared" si="2272"/>
        <v>0</v>
      </c>
      <c r="DM1690">
        <f t="shared" si="2273"/>
        <v>0</v>
      </c>
      <c r="DN1690">
        <f t="shared" si="2274"/>
        <v>0</v>
      </c>
      <c r="DO1690">
        <v>0</v>
      </c>
      <c r="DP1690">
        <v>0</v>
      </c>
      <c r="DQ1690">
        <v>0</v>
      </c>
      <c r="DR1690">
        <v>0</v>
      </c>
      <c r="DS1690">
        <v>0</v>
      </c>
      <c r="DT1690">
        <f t="shared" si="2275"/>
        <v>0</v>
      </c>
      <c r="DU1690" s="143" t="str">
        <f t="shared" si="2276"/>
        <v>explicit C balance</v>
      </c>
      <c r="DV1690">
        <v>1</v>
      </c>
      <c r="DW1690">
        <v>1</v>
      </c>
      <c r="DX1690">
        <v>1</v>
      </c>
      <c r="DY1690">
        <v>1</v>
      </c>
      <c r="DZ1690">
        <v>0</v>
      </c>
      <c r="EA1690" s="143">
        <v>0</v>
      </c>
      <c r="EB1690">
        <v>0</v>
      </c>
      <c r="EC1690">
        <v>0</v>
      </c>
      <c r="ED1690">
        <v>0</v>
      </c>
      <c r="EE1690">
        <v>0</v>
      </c>
      <c r="EF1690">
        <v>1</v>
      </c>
      <c r="EG1690">
        <v>0</v>
      </c>
      <c r="EH1690">
        <v>0</v>
      </c>
      <c r="EI1690" s="2">
        <v>0</v>
      </c>
      <c r="EK1690" t="str">
        <f t="shared" si="2277"/>
        <v/>
      </c>
      <c r="EL1690" t="str">
        <f t="shared" si="2278"/>
        <v>Ecosystem approach</v>
      </c>
      <c r="EM1690" s="2" t="str">
        <f t="shared" si="2188"/>
        <v/>
      </c>
      <c r="EP1690" t="str">
        <f>IF(ISNUMBER(BU1690),IF(ABS(BU1690-[3]QC_indicators!$B$2)&gt;3*[3]QC_indicators!$C$2,"C ratio",IF(ISNUMBER(BY1690),IF(ABS(BY1690-[3]QC_indicators!$B$1)&gt;3*[3]QC_indicators!$C$1,"DF","no"))),IF(ISNUMBER(BY1690),IF(ABS(BY1690-[3]QC_indicators!$B$1)&gt;3*[3]QC_indicators!$C$1,"DF","no")))</f>
        <v>no</v>
      </c>
      <c r="EQ1690" t="s">
        <v>2500</v>
      </c>
      <c r="ET1690" s="264" t="s">
        <v>3256</v>
      </c>
    </row>
    <row r="1691" spans="1:150" hidden="1">
      <c r="A1691" s="1" t="s">
        <v>1422</v>
      </c>
      <c r="B1691" t="s">
        <v>2489</v>
      </c>
      <c r="C1691" t="s">
        <v>2490</v>
      </c>
      <c r="D1691" t="s">
        <v>2491</v>
      </c>
      <c r="E1691" t="s">
        <v>2492</v>
      </c>
      <c r="F1691" t="s">
        <v>2493</v>
      </c>
      <c r="G1691" t="s">
        <v>1428</v>
      </c>
      <c r="H1691" t="s">
        <v>254</v>
      </c>
      <c r="I1691">
        <v>2016</v>
      </c>
      <c r="J1691">
        <v>24</v>
      </c>
      <c r="K1691" t="s">
        <v>2494</v>
      </c>
      <c r="M1691" t="str">
        <f t="shared" si="2193"/>
        <v>Zubizarreta-Gerendiain_2016</v>
      </c>
      <c r="N1691" t="s">
        <v>222</v>
      </c>
      <c r="O1691" s="145" t="s">
        <v>1153</v>
      </c>
      <c r="Q1691" t="s">
        <v>256</v>
      </c>
      <c r="R1691" s="262" t="s">
        <v>223</v>
      </c>
      <c r="S1691" s="1" t="s">
        <v>2495</v>
      </c>
      <c r="T1691" t="s">
        <v>2501</v>
      </c>
      <c r="U1691" t="s">
        <v>2497</v>
      </c>
      <c r="V1691">
        <v>0</v>
      </c>
      <c r="W1691">
        <v>0</v>
      </c>
      <c r="X1691">
        <v>0</v>
      </c>
      <c r="Y1691">
        <v>2</v>
      </c>
      <c r="Z1691">
        <v>0</v>
      </c>
      <c r="AA1691">
        <v>0</v>
      </c>
      <c r="AB1691">
        <v>0</v>
      </c>
      <c r="AC1691">
        <v>0</v>
      </c>
      <c r="AD1691">
        <v>0</v>
      </c>
      <c r="AE1691">
        <v>0</v>
      </c>
      <c r="AF1691">
        <v>1</v>
      </c>
      <c r="AG1691">
        <v>0</v>
      </c>
      <c r="AH1691">
        <v>0</v>
      </c>
      <c r="AI1691">
        <v>0</v>
      </c>
      <c r="AJ1691">
        <v>0</v>
      </c>
      <c r="AK1691">
        <v>0</v>
      </c>
      <c r="AL1691">
        <v>0</v>
      </c>
      <c r="AM1691">
        <v>0</v>
      </c>
      <c r="AN1691">
        <v>0</v>
      </c>
      <c r="AO1691">
        <v>0</v>
      </c>
      <c r="AP1691">
        <v>0</v>
      </c>
      <c r="AQ1691">
        <v>0</v>
      </c>
      <c r="AR1691">
        <v>0</v>
      </c>
      <c r="AS1691">
        <v>0</v>
      </c>
      <c r="AT1691">
        <v>0</v>
      </c>
      <c r="AU1691">
        <v>0</v>
      </c>
      <c r="AV1691">
        <v>0</v>
      </c>
      <c r="AW1691">
        <v>0</v>
      </c>
      <c r="AX1691" s="141">
        <f t="shared" si="2244"/>
        <v>2</v>
      </c>
      <c r="AY1691" s="141">
        <f t="shared" si="2245"/>
        <v>2</v>
      </c>
      <c r="AZ1691">
        <f t="shared" si="2246"/>
        <v>1</v>
      </c>
      <c r="BA1691">
        <f t="shared" si="2247"/>
        <v>1</v>
      </c>
      <c r="BB1691">
        <f t="shared" si="2248"/>
        <v>0</v>
      </c>
      <c r="BC1691">
        <f t="shared" si="2249"/>
        <v>0</v>
      </c>
      <c r="BD1691">
        <f t="shared" si="2250"/>
        <v>0</v>
      </c>
      <c r="BE1691" t="str">
        <f t="array" ref="BE1691">IF(AY1691=1,INDEX($V$7:$AL$7,MATCH(TRUE,INDEX($V1691:$AW1691&lt;&gt;0,),0)),IF(AY1691=0,INDEX($AM$7:$AW$7,MATCH(1,$AM1691:$AW1691,0)),IF(BF1691="Multiple strategies","mixed drivers",IF(BF1691="Supply chain","multiple supply","multiple silviculture"))))</f>
        <v>mixed drivers</v>
      </c>
      <c r="BF1691" s="2" t="str" cm="1">
        <f t="array" ref="BF1691">IF(COUNTIF(AZ1691:BB1691,"&lt;&gt;0")=1,INDEX($V$4:$AW$4,MATCH(TRUE,INDEX($V1691:$AW1691&lt;&gt;0,),0)),IF(COUNTIF(AZ1691:BB1691,"&lt;&gt;0")=0,INDEX($AM$4:$AW$4,MATCH(1,$AM1691:$AW1691,0)),"Multiple strategies"))</f>
        <v>Multiple strategies</v>
      </c>
      <c r="BG1691" s="1" t="s">
        <v>321</v>
      </c>
      <c r="BH1691" t="s">
        <v>2498</v>
      </c>
      <c r="BI1691" s="264" t="s">
        <v>2112</v>
      </c>
      <c r="BJ1691" t="s">
        <v>2499</v>
      </c>
      <c r="BK1691">
        <v>70.532915360501505</v>
      </c>
      <c r="BL1691">
        <v>82.946708463949804</v>
      </c>
      <c r="BM1691" s="143">
        <f t="shared" si="2251"/>
        <v>1.1760000000000004</v>
      </c>
      <c r="BN1691">
        <f t="shared" si="2252"/>
        <v>12.413793103448299</v>
      </c>
      <c r="BO1691">
        <f t="shared" si="2253"/>
        <v>25334.271639690407</v>
      </c>
      <c r="BP1691" s="143" t="s">
        <v>232</v>
      </c>
      <c r="BQ1691" s="143" t="s">
        <v>3255</v>
      </c>
      <c r="BR1691" t="s">
        <v>1194</v>
      </c>
      <c r="BS1691">
        <v>-7420.1249162010854</v>
      </c>
      <c r="BT1691">
        <v>-114599.70703910608</v>
      </c>
      <c r="BU1691" s="144">
        <f t="shared" si="2254"/>
        <v>15.444444444444503</v>
      </c>
      <c r="BV1691" s="144">
        <f t="shared" si="2255"/>
        <v>-107179.58212290501</v>
      </c>
      <c r="BW1691" s="144"/>
      <c r="BX1691" s="144">
        <f t="shared" si="2256"/>
        <v>-107179.58212290501</v>
      </c>
      <c r="BY1691">
        <f t="shared" si="2185"/>
        <v>-4.2306162832402148</v>
      </c>
      <c r="BZ1691">
        <v>0</v>
      </c>
      <c r="CA1691">
        <v>0</v>
      </c>
      <c r="CB1691">
        <v>0</v>
      </c>
      <c r="CC1691">
        <v>0</v>
      </c>
      <c r="CD1691">
        <v>0</v>
      </c>
      <c r="CE1691">
        <v>0</v>
      </c>
      <c r="CF1691">
        <v>0</v>
      </c>
      <c r="CG1691">
        <v>0</v>
      </c>
      <c r="CH1691">
        <v>0</v>
      </c>
      <c r="CI1691">
        <v>0</v>
      </c>
      <c r="CJ1691">
        <v>0</v>
      </c>
      <c r="CK1691">
        <v>0</v>
      </c>
      <c r="CL1691">
        <v>0</v>
      </c>
      <c r="CM1691">
        <v>1</v>
      </c>
      <c r="CN1691" t="str">
        <f t="shared" si="2257"/>
        <v>refOK</v>
      </c>
      <c r="CO1691">
        <f t="shared" si="2258"/>
        <v>70.532915360501505</v>
      </c>
      <c r="CP1691">
        <f t="shared" si="2259"/>
        <v>82.946708463949804</v>
      </c>
      <c r="CQ1691">
        <f t="shared" si="2260"/>
        <v>25334.271639690407</v>
      </c>
      <c r="CR1691">
        <f t="shared" si="2261"/>
        <v>-7420.1249162010854</v>
      </c>
      <c r="CS1691">
        <f t="shared" si="2262"/>
        <v>-114599.70703910608</v>
      </c>
      <c r="CT1691">
        <f t="shared" si="2263"/>
        <v>-107179.58212290501</v>
      </c>
      <c r="CU1691">
        <f t="shared" si="2264"/>
        <v>-4.2306162832402148</v>
      </c>
      <c r="CV1691" s="2">
        <f t="shared" si="2265"/>
        <v>-14.444444444444503</v>
      </c>
      <c r="CW1691" s="1" t="s">
        <v>1198</v>
      </c>
      <c r="CX1691" t="str">
        <f t="shared" si="2266"/>
        <v>reg</v>
      </c>
      <c r="CY1691" t="s">
        <v>235</v>
      </c>
      <c r="CZ1691">
        <v>2010</v>
      </c>
      <c r="DA1691">
        <v>2070</v>
      </c>
      <c r="DB1691">
        <f t="shared" si="2267"/>
        <v>60</v>
      </c>
      <c r="DC1691" t="str">
        <f t="shared" si="2268"/>
        <v>31-70</v>
      </c>
      <c r="DD1691">
        <v>1</v>
      </c>
      <c r="DE1691">
        <v>1</v>
      </c>
      <c r="DF1691">
        <v>1</v>
      </c>
      <c r="DG1691">
        <v>1</v>
      </c>
      <c r="DH1691">
        <v>0</v>
      </c>
      <c r="DI1691">
        <f t="shared" si="2269"/>
        <v>4</v>
      </c>
      <c r="DJ1691" t="str">
        <f t="shared" si="2270"/>
        <v>mixedProduct</v>
      </c>
      <c r="DK1691" t="str">
        <f t="shared" si="2271"/>
        <v>Upstream</v>
      </c>
      <c r="DL1691" t="str">
        <f t="shared" si="2272"/>
        <v>Energy</v>
      </c>
      <c r="DM1691" t="str">
        <f t="shared" si="2273"/>
        <v>Pulp/Paper</v>
      </c>
      <c r="DN1691" t="str">
        <f t="shared" si="2274"/>
        <v>Timber</v>
      </c>
      <c r="DO1691">
        <v>0</v>
      </c>
      <c r="DP1691">
        <v>0</v>
      </c>
      <c r="DQ1691">
        <v>0</v>
      </c>
      <c r="DR1691">
        <v>0</v>
      </c>
      <c r="DS1691">
        <v>0</v>
      </c>
      <c r="DT1691">
        <f t="shared" si="2275"/>
        <v>0</v>
      </c>
      <c r="DU1691" s="143" t="str">
        <f t="shared" si="2276"/>
        <v>explicit C balance</v>
      </c>
      <c r="DV1691">
        <v>1</v>
      </c>
      <c r="DW1691">
        <v>1</v>
      </c>
      <c r="DX1691">
        <v>1</v>
      </c>
      <c r="DY1691">
        <v>0</v>
      </c>
      <c r="DZ1691">
        <v>0</v>
      </c>
      <c r="EA1691" s="143">
        <v>0</v>
      </c>
      <c r="EB1691">
        <v>1</v>
      </c>
      <c r="EC1691">
        <v>1</v>
      </c>
      <c r="ED1691">
        <v>0</v>
      </c>
      <c r="EE1691">
        <v>0</v>
      </c>
      <c r="EF1691">
        <v>1</v>
      </c>
      <c r="EG1691">
        <v>0</v>
      </c>
      <c r="EH1691">
        <v>0</v>
      </c>
      <c r="EI1691" s="2">
        <v>0</v>
      </c>
      <c r="EK1691" t="str">
        <f t="shared" si="2277"/>
        <v>Whole sector</v>
      </c>
      <c r="EL1691" t="str">
        <f t="shared" si="2278"/>
        <v/>
      </c>
      <c r="EM1691" s="2" t="str">
        <f t="shared" si="2188"/>
        <v/>
      </c>
      <c r="EP1691" t="str">
        <f>IF(ISNUMBER(BU1691),IF(ABS(BU1691-[3]QC_indicators!$B$2)&gt;3*[3]QC_indicators!$C$2,"C ratio",IF(ISNUMBER(BY1691),IF(ABS(BY1691-[3]QC_indicators!$B$1)&gt;3*[3]QC_indicators!$C$1,"DF","no"))),IF(ISNUMBER(BY1691),IF(ABS(BY1691-[3]QC_indicators!$B$1)&gt;3*[3]QC_indicators!$C$1,"DF","no")))</f>
        <v>C ratio</v>
      </c>
      <c r="EQ1691" t="s">
        <v>2500</v>
      </c>
      <c r="ET1691" s="264" t="s">
        <v>3256</v>
      </c>
    </row>
    <row r="1692" spans="1:150" hidden="1">
      <c r="A1692" s="1" t="s">
        <v>1422</v>
      </c>
      <c r="B1692" t="s">
        <v>2489</v>
      </c>
      <c r="C1692" t="s">
        <v>2490</v>
      </c>
      <c r="D1692" t="s">
        <v>2491</v>
      </c>
      <c r="E1692" t="s">
        <v>2492</v>
      </c>
      <c r="F1692" t="s">
        <v>2493</v>
      </c>
      <c r="G1692" t="s">
        <v>1428</v>
      </c>
      <c r="H1692" t="s">
        <v>254</v>
      </c>
      <c r="I1692">
        <v>2016</v>
      </c>
      <c r="J1692">
        <v>24</v>
      </c>
      <c r="K1692" t="s">
        <v>2494</v>
      </c>
      <c r="M1692" t="str">
        <f t="shared" si="2193"/>
        <v>Zubizarreta-Gerendiain_2016</v>
      </c>
      <c r="N1692" t="s">
        <v>222</v>
      </c>
      <c r="O1692" s="145" t="s">
        <v>1153</v>
      </c>
      <c r="Q1692" t="s">
        <v>256</v>
      </c>
      <c r="R1692" s="262" t="s">
        <v>223</v>
      </c>
      <c r="S1692" s="1" t="s">
        <v>2495</v>
      </c>
      <c r="T1692" t="s">
        <v>2504</v>
      </c>
      <c r="U1692" t="s">
        <v>2503</v>
      </c>
      <c r="V1692">
        <v>0</v>
      </c>
      <c r="W1692">
        <v>0</v>
      </c>
      <c r="X1692">
        <v>0</v>
      </c>
      <c r="Y1692">
        <v>2</v>
      </c>
      <c r="Z1692">
        <v>0</v>
      </c>
      <c r="AA1692">
        <v>0</v>
      </c>
      <c r="AB1692">
        <v>0</v>
      </c>
      <c r="AC1692">
        <v>0</v>
      </c>
      <c r="AD1692">
        <v>0</v>
      </c>
      <c r="AE1692">
        <v>0</v>
      </c>
      <c r="AF1692">
        <v>1</v>
      </c>
      <c r="AG1692">
        <v>0</v>
      </c>
      <c r="AH1692">
        <v>0</v>
      </c>
      <c r="AI1692">
        <v>0</v>
      </c>
      <c r="AJ1692">
        <v>0</v>
      </c>
      <c r="AK1692">
        <v>0</v>
      </c>
      <c r="AL1692">
        <v>0</v>
      </c>
      <c r="AM1692">
        <v>0</v>
      </c>
      <c r="AN1692">
        <v>0</v>
      </c>
      <c r="AO1692">
        <v>0</v>
      </c>
      <c r="AP1692">
        <v>0</v>
      </c>
      <c r="AQ1692">
        <v>0</v>
      </c>
      <c r="AR1692">
        <v>0</v>
      </c>
      <c r="AS1692">
        <v>0</v>
      </c>
      <c r="AT1692">
        <v>0</v>
      </c>
      <c r="AU1692">
        <v>0</v>
      </c>
      <c r="AV1692">
        <v>0</v>
      </c>
      <c r="AW1692">
        <v>0</v>
      </c>
      <c r="AX1692" s="141">
        <f t="shared" si="2244"/>
        <v>2</v>
      </c>
      <c r="AY1692" s="141">
        <f t="shared" si="2245"/>
        <v>2</v>
      </c>
      <c r="AZ1692">
        <f t="shared" si="2246"/>
        <v>1</v>
      </c>
      <c r="BA1692">
        <f t="shared" si="2247"/>
        <v>1</v>
      </c>
      <c r="BB1692">
        <f t="shared" si="2248"/>
        <v>0</v>
      </c>
      <c r="BC1692">
        <f t="shared" si="2249"/>
        <v>0</v>
      </c>
      <c r="BD1692">
        <f t="shared" si="2250"/>
        <v>0</v>
      </c>
      <c r="BE1692" t="str">
        <f t="array" ref="BE1692">IF(AY1692=1,INDEX($V$7:$AL$7,MATCH(TRUE,INDEX($V1692:$AW1692&lt;&gt;0,),0)),IF(AY1692=0,INDEX($AM$7:$AW$7,MATCH(1,$AM1692:$AW1692,0)),IF(BF1692="Multiple strategies","mixed drivers",IF(BF1692="Supply chain","multiple supply","multiple silviculture"))))</f>
        <v>mixed drivers</v>
      </c>
      <c r="BF1692" s="2" t="str" cm="1">
        <f t="array" ref="BF1692">IF(COUNTIF(AZ1692:BB1692,"&lt;&gt;0")=1,INDEX($V$4:$AW$4,MATCH(TRUE,INDEX($V1692:$AW1692&lt;&gt;0,),0)),IF(COUNTIF(AZ1692:BB1692,"&lt;&gt;0")=0,INDEX($AM$4:$AW$4,MATCH(1,$AM1692:$AW1692,0)),"Multiple strategies"))</f>
        <v>Multiple strategies</v>
      </c>
      <c r="BG1692" s="1" t="s">
        <v>321</v>
      </c>
      <c r="BH1692" t="s">
        <v>2498</v>
      </c>
      <c r="BI1692" s="264" t="s">
        <v>2112</v>
      </c>
      <c r="BJ1692" t="s">
        <v>2499</v>
      </c>
      <c r="BK1692">
        <v>70.434782608695599</v>
      </c>
      <c r="BL1692">
        <v>82.634271099744197</v>
      </c>
      <c r="BM1692" s="143">
        <f t="shared" si="2251"/>
        <v>1.1732026143790852</v>
      </c>
      <c r="BN1692">
        <f t="shared" si="2252"/>
        <v>12.199488491048598</v>
      </c>
      <c r="BO1692">
        <f t="shared" si="2253"/>
        <v>24896.915287854281</v>
      </c>
      <c r="BP1692" s="143" t="s">
        <v>232</v>
      </c>
      <c r="BQ1692" s="143" t="s">
        <v>3255</v>
      </c>
      <c r="BR1692" t="s">
        <v>1194</v>
      </c>
      <c r="BS1692">
        <v>82807.159744408913</v>
      </c>
      <c r="BT1692">
        <v>-22456.178913738113</v>
      </c>
      <c r="BU1692" s="144">
        <f t="shared" si="2254"/>
        <v>-0.27118644067796732</v>
      </c>
      <c r="BV1692" s="144">
        <f t="shared" si="2255"/>
        <v>-105263.33865814703</v>
      </c>
      <c r="BW1692" s="144"/>
      <c r="BX1692" s="144">
        <f t="shared" si="2256"/>
        <v>-105263.33865814703</v>
      </c>
      <c r="BY1692">
        <f t="shared" si="2185"/>
        <v>-4.2279670971728267</v>
      </c>
      <c r="BZ1692">
        <v>0</v>
      </c>
      <c r="CA1692">
        <v>0</v>
      </c>
      <c r="CB1692">
        <v>0</v>
      </c>
      <c r="CC1692">
        <v>0</v>
      </c>
      <c r="CD1692">
        <v>0</v>
      </c>
      <c r="CE1692">
        <v>0</v>
      </c>
      <c r="CF1692">
        <v>0</v>
      </c>
      <c r="CG1692">
        <v>0</v>
      </c>
      <c r="CH1692">
        <v>0</v>
      </c>
      <c r="CI1692">
        <v>0</v>
      </c>
      <c r="CJ1692">
        <v>0</v>
      </c>
      <c r="CK1692">
        <v>0</v>
      </c>
      <c r="CL1692">
        <v>0</v>
      </c>
      <c r="CM1692">
        <v>1</v>
      </c>
      <c r="CN1692" t="str">
        <f t="shared" si="2257"/>
        <v>refOK</v>
      </c>
      <c r="CO1692">
        <f t="shared" si="2258"/>
        <v>70.434782608695599</v>
      </c>
      <c r="CP1692">
        <f t="shared" si="2259"/>
        <v>82.634271099744197</v>
      </c>
      <c r="CQ1692">
        <f t="shared" si="2260"/>
        <v>24896.915287854281</v>
      </c>
      <c r="CR1692">
        <f t="shared" si="2261"/>
        <v>82807.159744408913</v>
      </c>
      <c r="CS1692">
        <f t="shared" si="2262"/>
        <v>-22456.178913738113</v>
      </c>
      <c r="CT1692">
        <f t="shared" si="2263"/>
        <v>-105263.33865814703</v>
      </c>
      <c r="CU1692">
        <f t="shared" si="2264"/>
        <v>-4.2279670971728267</v>
      </c>
      <c r="CV1692" s="2">
        <f t="shared" si="2265"/>
        <v>-1.2711864406779674</v>
      </c>
      <c r="CW1692" s="1" t="s">
        <v>1198</v>
      </c>
      <c r="CX1692" t="str">
        <f t="shared" si="2266"/>
        <v>reg</v>
      </c>
      <c r="CY1692" t="s">
        <v>235</v>
      </c>
      <c r="CZ1692">
        <v>2010</v>
      </c>
      <c r="DA1692">
        <v>2070</v>
      </c>
      <c r="DB1692">
        <f t="shared" si="2267"/>
        <v>60</v>
      </c>
      <c r="DC1692" t="str">
        <f t="shared" si="2268"/>
        <v>31-70</v>
      </c>
      <c r="DD1692">
        <v>1</v>
      </c>
      <c r="DE1692">
        <v>0</v>
      </c>
      <c r="DF1692">
        <v>0</v>
      </c>
      <c r="DG1692">
        <v>0</v>
      </c>
      <c r="DH1692">
        <v>0</v>
      </c>
      <c r="DI1692">
        <f t="shared" si="2269"/>
        <v>1</v>
      </c>
      <c r="DJ1692" t="str">
        <f t="shared" si="2270"/>
        <v>UpstreamInput</v>
      </c>
      <c r="DK1692" t="str">
        <f t="shared" si="2271"/>
        <v>Upstream</v>
      </c>
      <c r="DL1692">
        <f t="shared" si="2272"/>
        <v>0</v>
      </c>
      <c r="DM1692">
        <f t="shared" si="2273"/>
        <v>0</v>
      </c>
      <c r="DN1692">
        <f t="shared" si="2274"/>
        <v>0</v>
      </c>
      <c r="DO1692">
        <v>0</v>
      </c>
      <c r="DP1692">
        <v>0</v>
      </c>
      <c r="DQ1692">
        <v>0</v>
      </c>
      <c r="DR1692">
        <v>0</v>
      </c>
      <c r="DS1692">
        <v>0</v>
      </c>
      <c r="DT1692">
        <f t="shared" si="2275"/>
        <v>0</v>
      </c>
      <c r="DU1692" s="143" t="str">
        <f t="shared" si="2276"/>
        <v>explicit C balance</v>
      </c>
      <c r="DV1692">
        <v>1</v>
      </c>
      <c r="DW1692">
        <v>1</v>
      </c>
      <c r="DX1692">
        <v>1</v>
      </c>
      <c r="DY1692">
        <v>1</v>
      </c>
      <c r="DZ1692">
        <v>0</v>
      </c>
      <c r="EA1692" s="143">
        <v>0</v>
      </c>
      <c r="EB1692">
        <v>0</v>
      </c>
      <c r="EC1692">
        <v>0</v>
      </c>
      <c r="ED1692">
        <v>0</v>
      </c>
      <c r="EE1692">
        <v>0</v>
      </c>
      <c r="EF1692">
        <v>1</v>
      </c>
      <c r="EG1692">
        <v>0</v>
      </c>
      <c r="EH1692">
        <v>0</v>
      </c>
      <c r="EI1692" s="2">
        <v>0</v>
      </c>
      <c r="EK1692" t="str">
        <f t="shared" si="2277"/>
        <v/>
      </c>
      <c r="EL1692" t="str">
        <f t="shared" si="2278"/>
        <v>Ecosystem approach</v>
      </c>
      <c r="EM1692" s="2" t="str">
        <f t="shared" si="2188"/>
        <v/>
      </c>
      <c r="EP1692" t="str">
        <f>IF(ISNUMBER(BU1692),IF(ABS(BU1692-[3]QC_indicators!$B$2)&gt;3*[3]QC_indicators!$C$2,"C ratio",IF(ISNUMBER(BY1692),IF(ABS(BY1692-[3]QC_indicators!$B$1)&gt;3*[3]QC_indicators!$C$1,"DF","no"))),IF(ISNUMBER(BY1692),IF(ABS(BY1692-[3]QC_indicators!$B$1)&gt;3*[3]QC_indicators!$C$1,"DF","no")))</f>
        <v>no</v>
      </c>
      <c r="EQ1692" t="s">
        <v>2500</v>
      </c>
      <c r="ET1692" s="264" t="s">
        <v>3256</v>
      </c>
    </row>
    <row r="1693" spans="1:150" hidden="1">
      <c r="A1693" s="1" t="s">
        <v>1422</v>
      </c>
      <c r="B1693" t="s">
        <v>2489</v>
      </c>
      <c r="C1693" t="s">
        <v>2490</v>
      </c>
      <c r="D1693" t="s">
        <v>2491</v>
      </c>
      <c r="E1693" t="s">
        <v>2492</v>
      </c>
      <c r="F1693" t="s">
        <v>2493</v>
      </c>
      <c r="G1693" t="s">
        <v>1428</v>
      </c>
      <c r="H1693" t="s">
        <v>254</v>
      </c>
      <c r="I1693">
        <v>2016</v>
      </c>
      <c r="J1693">
        <v>24</v>
      </c>
      <c r="K1693" t="s">
        <v>2494</v>
      </c>
      <c r="M1693" t="str">
        <f t="shared" si="2193"/>
        <v>Zubizarreta-Gerendiain_2016</v>
      </c>
      <c r="N1693" t="s">
        <v>222</v>
      </c>
      <c r="O1693" s="145" t="s">
        <v>1153</v>
      </c>
      <c r="Q1693" t="s">
        <v>256</v>
      </c>
      <c r="R1693" s="262" t="s">
        <v>223</v>
      </c>
      <c r="S1693" s="1" t="s">
        <v>2495</v>
      </c>
      <c r="T1693" t="s">
        <v>2502</v>
      </c>
      <c r="U1693" t="s">
        <v>2503</v>
      </c>
      <c r="V1693">
        <v>0</v>
      </c>
      <c r="W1693">
        <v>0</v>
      </c>
      <c r="X1693">
        <v>0</v>
      </c>
      <c r="Y1693">
        <v>2</v>
      </c>
      <c r="Z1693">
        <v>0</v>
      </c>
      <c r="AA1693">
        <v>0</v>
      </c>
      <c r="AB1693">
        <v>0</v>
      </c>
      <c r="AC1693">
        <v>0</v>
      </c>
      <c r="AD1693">
        <v>0</v>
      </c>
      <c r="AE1693">
        <v>0</v>
      </c>
      <c r="AF1693">
        <v>1</v>
      </c>
      <c r="AG1693">
        <v>0</v>
      </c>
      <c r="AH1693">
        <v>0</v>
      </c>
      <c r="AI1693">
        <v>0</v>
      </c>
      <c r="AJ1693">
        <v>0</v>
      </c>
      <c r="AK1693">
        <v>0</v>
      </c>
      <c r="AL1693">
        <v>0</v>
      </c>
      <c r="AM1693">
        <v>0</v>
      </c>
      <c r="AN1693">
        <v>0</v>
      </c>
      <c r="AO1693">
        <v>0</v>
      </c>
      <c r="AP1693">
        <v>0</v>
      </c>
      <c r="AQ1693">
        <v>0</v>
      </c>
      <c r="AR1693">
        <v>0</v>
      </c>
      <c r="AS1693">
        <v>0</v>
      </c>
      <c r="AT1693">
        <v>0</v>
      </c>
      <c r="AU1693">
        <v>0</v>
      </c>
      <c r="AV1693">
        <v>0</v>
      </c>
      <c r="AW1693">
        <v>0</v>
      </c>
      <c r="AX1693" s="141">
        <f t="shared" si="2244"/>
        <v>2</v>
      </c>
      <c r="AY1693" s="141">
        <f t="shared" si="2245"/>
        <v>2</v>
      </c>
      <c r="AZ1693">
        <f t="shared" si="2246"/>
        <v>1</v>
      </c>
      <c r="BA1693">
        <f t="shared" si="2247"/>
        <v>1</v>
      </c>
      <c r="BB1693">
        <f t="shared" si="2248"/>
        <v>0</v>
      </c>
      <c r="BC1693">
        <f t="shared" si="2249"/>
        <v>0</v>
      </c>
      <c r="BD1693">
        <f t="shared" si="2250"/>
        <v>0</v>
      </c>
      <c r="BE1693" t="str">
        <f t="array" ref="BE1693">IF(AY1693=1,INDEX($V$7:$AL$7,MATCH(TRUE,INDEX($V1693:$AW1693&lt;&gt;0,),0)),IF(AY1693=0,INDEX($AM$7:$AW$7,MATCH(1,$AM1693:$AW1693,0)),IF(BF1693="Multiple strategies","mixed drivers",IF(BF1693="Supply chain","multiple supply","multiple silviculture"))))</f>
        <v>mixed drivers</v>
      </c>
      <c r="BF1693" s="2" t="str" cm="1">
        <f t="array" ref="BF1693">IF(COUNTIF(AZ1693:BB1693,"&lt;&gt;0")=1,INDEX($V$4:$AW$4,MATCH(TRUE,INDEX($V1693:$AW1693&lt;&gt;0,),0)),IF(COUNTIF(AZ1693:BB1693,"&lt;&gt;0")=0,INDEX($AM$4:$AW$4,MATCH(1,$AM1693:$AW1693,0)),"Multiple strategies"))</f>
        <v>Multiple strategies</v>
      </c>
      <c r="BG1693" s="1" t="s">
        <v>321</v>
      </c>
      <c r="BH1693" t="s">
        <v>2498</v>
      </c>
      <c r="BI1693" s="264" t="s">
        <v>2112</v>
      </c>
      <c r="BJ1693" t="s">
        <v>2499</v>
      </c>
      <c r="BK1693">
        <v>74.117647058823493</v>
      </c>
      <c r="BL1693">
        <v>82.634271099744197</v>
      </c>
      <c r="BM1693" s="143">
        <f t="shared" si="2251"/>
        <v>1.1149068322981366</v>
      </c>
      <c r="BN1693">
        <f t="shared" si="2252"/>
        <v>8.5166240409207035</v>
      </c>
      <c r="BO1693">
        <f t="shared" si="2253"/>
        <v>17380.865389634091</v>
      </c>
      <c r="BP1693" t="s">
        <v>232</v>
      </c>
      <c r="BQ1693" s="143" t="s">
        <v>3255</v>
      </c>
      <c r="BR1693" t="s">
        <v>1194</v>
      </c>
      <c r="BS1693">
        <v>-14436.115015974412</v>
      </c>
      <c r="BT1693">
        <v>-87418.696485623019</v>
      </c>
      <c r="BU1693" s="144">
        <f t="shared" si="2254"/>
        <v>6.0555555555555687</v>
      </c>
      <c r="BV1693" s="144">
        <f t="shared" si="2255"/>
        <v>-72982.581469648605</v>
      </c>
      <c r="BW1693" s="144"/>
      <c r="BX1693" s="144">
        <f t="shared" si="2256"/>
        <v>-72982.581469648605</v>
      </c>
      <c r="BY1693">
        <f t="shared" si="2185"/>
        <v>-4.1990188539849838</v>
      </c>
      <c r="BZ1693">
        <v>0</v>
      </c>
      <c r="CA1693">
        <v>0</v>
      </c>
      <c r="CB1693">
        <v>0</v>
      </c>
      <c r="CC1693">
        <v>0</v>
      </c>
      <c r="CD1693">
        <v>0</v>
      </c>
      <c r="CE1693">
        <v>0</v>
      </c>
      <c r="CF1693">
        <v>0</v>
      </c>
      <c r="CG1693">
        <v>0</v>
      </c>
      <c r="CH1693">
        <v>0</v>
      </c>
      <c r="CI1693">
        <v>0</v>
      </c>
      <c r="CJ1693">
        <v>0</v>
      </c>
      <c r="CK1693">
        <v>0</v>
      </c>
      <c r="CL1693">
        <v>0</v>
      </c>
      <c r="CM1693">
        <v>1</v>
      </c>
      <c r="CN1693" t="str">
        <f t="shared" si="2257"/>
        <v>refOK</v>
      </c>
      <c r="CO1693">
        <f t="shared" si="2258"/>
        <v>74.117647058823493</v>
      </c>
      <c r="CP1693">
        <f t="shared" si="2259"/>
        <v>82.634271099744197</v>
      </c>
      <c r="CQ1693">
        <f t="shared" si="2260"/>
        <v>17380.865389634091</v>
      </c>
      <c r="CR1693">
        <f t="shared" si="2261"/>
        <v>-14436.115015974412</v>
      </c>
      <c r="CS1693">
        <f t="shared" si="2262"/>
        <v>-87418.696485623019</v>
      </c>
      <c r="CT1693">
        <f t="shared" si="2263"/>
        <v>-72982.581469648605</v>
      </c>
      <c r="CU1693">
        <f t="shared" si="2264"/>
        <v>-4.1990188539849838</v>
      </c>
      <c r="CV1693" s="2">
        <f t="shared" si="2265"/>
        <v>-5.0555555555555687</v>
      </c>
      <c r="CW1693" s="1" t="s">
        <v>1198</v>
      </c>
      <c r="CX1693" t="str">
        <f t="shared" si="2266"/>
        <v>reg</v>
      </c>
      <c r="CY1693" t="s">
        <v>235</v>
      </c>
      <c r="CZ1693">
        <v>2010</v>
      </c>
      <c r="DA1693">
        <v>2070</v>
      </c>
      <c r="DB1693">
        <f t="shared" si="2267"/>
        <v>60</v>
      </c>
      <c r="DC1693" t="str">
        <f t="shared" si="2268"/>
        <v>31-70</v>
      </c>
      <c r="DD1693">
        <v>1</v>
      </c>
      <c r="DE1693">
        <v>1</v>
      </c>
      <c r="DF1693">
        <v>1</v>
      </c>
      <c r="DG1693">
        <v>1</v>
      </c>
      <c r="DH1693">
        <v>0</v>
      </c>
      <c r="DI1693">
        <f t="shared" si="2269"/>
        <v>4</v>
      </c>
      <c r="DJ1693" t="str">
        <f t="shared" si="2270"/>
        <v>mixedProduct</v>
      </c>
      <c r="DK1693" t="str">
        <f t="shared" si="2271"/>
        <v>Upstream</v>
      </c>
      <c r="DL1693" t="str">
        <f t="shared" si="2272"/>
        <v>Energy</v>
      </c>
      <c r="DM1693" t="str">
        <f t="shared" si="2273"/>
        <v>Pulp/Paper</v>
      </c>
      <c r="DN1693" t="str">
        <f t="shared" si="2274"/>
        <v>Timber</v>
      </c>
      <c r="DO1693">
        <v>0</v>
      </c>
      <c r="DP1693">
        <v>0</v>
      </c>
      <c r="DQ1693">
        <v>0</v>
      </c>
      <c r="DR1693">
        <v>0</v>
      </c>
      <c r="DS1693">
        <v>0</v>
      </c>
      <c r="DT1693">
        <f t="shared" si="2275"/>
        <v>0</v>
      </c>
      <c r="DU1693" s="143" t="str">
        <f t="shared" si="2276"/>
        <v>explicit C balance</v>
      </c>
      <c r="DV1693">
        <v>1</v>
      </c>
      <c r="DW1693">
        <v>1</v>
      </c>
      <c r="DX1693">
        <v>1</v>
      </c>
      <c r="DY1693">
        <v>0</v>
      </c>
      <c r="DZ1693">
        <v>0</v>
      </c>
      <c r="EA1693" s="143">
        <v>0</v>
      </c>
      <c r="EB1693">
        <v>1</v>
      </c>
      <c r="EC1693">
        <v>1</v>
      </c>
      <c r="ED1693">
        <v>0</v>
      </c>
      <c r="EE1693">
        <v>0</v>
      </c>
      <c r="EF1693">
        <v>1</v>
      </c>
      <c r="EG1693">
        <v>0</v>
      </c>
      <c r="EH1693">
        <v>0</v>
      </c>
      <c r="EI1693" s="2">
        <v>0</v>
      </c>
      <c r="EK1693" t="str">
        <f t="shared" si="2277"/>
        <v>Whole sector</v>
      </c>
      <c r="EL1693" t="str">
        <f t="shared" si="2278"/>
        <v/>
      </c>
      <c r="EM1693" s="2" t="str">
        <f t="shared" si="2188"/>
        <v/>
      </c>
      <c r="EP1693" t="str">
        <f>IF(ISNUMBER(BU1693),IF(ABS(BU1693-[3]QC_indicators!$B$2)&gt;3*[3]QC_indicators!$C$2,"C ratio",IF(ISNUMBER(BY1693),IF(ABS(BY1693-[3]QC_indicators!$B$1)&gt;3*[3]QC_indicators!$C$1,"DF","no"))),IF(ISNUMBER(BY1693),IF(ABS(BY1693-[3]QC_indicators!$B$1)&gt;3*[3]QC_indicators!$C$1,"DF","no")))</f>
        <v>no</v>
      </c>
      <c r="EQ1693" t="s">
        <v>2500</v>
      </c>
      <c r="ET1693" s="264" t="s">
        <v>3256</v>
      </c>
    </row>
    <row r="1694" spans="1:150" hidden="1">
      <c r="A1694" s="1" t="s">
        <v>1422</v>
      </c>
      <c r="B1694" t="s">
        <v>2489</v>
      </c>
      <c r="C1694" t="s">
        <v>2490</v>
      </c>
      <c r="D1694" t="s">
        <v>2491</v>
      </c>
      <c r="E1694" t="s">
        <v>2492</v>
      </c>
      <c r="F1694" t="s">
        <v>2493</v>
      </c>
      <c r="G1694" t="s">
        <v>1428</v>
      </c>
      <c r="H1694" t="s">
        <v>254</v>
      </c>
      <c r="I1694">
        <v>2016</v>
      </c>
      <c r="J1694">
        <v>24</v>
      </c>
      <c r="K1694" t="s">
        <v>2494</v>
      </c>
      <c r="M1694" t="str">
        <f t="shared" si="2193"/>
        <v>Zubizarreta-Gerendiain_2016</v>
      </c>
      <c r="N1694" t="s">
        <v>222</v>
      </c>
      <c r="O1694" s="145" t="s">
        <v>1153</v>
      </c>
      <c r="Q1694" t="s">
        <v>256</v>
      </c>
      <c r="R1694" s="262" t="s">
        <v>223</v>
      </c>
      <c r="S1694" s="1" t="s">
        <v>2495</v>
      </c>
      <c r="T1694" t="s">
        <v>2504</v>
      </c>
      <c r="U1694" t="s">
        <v>2503</v>
      </c>
      <c r="V1694">
        <v>0</v>
      </c>
      <c r="W1694">
        <v>0</v>
      </c>
      <c r="X1694">
        <v>0</v>
      </c>
      <c r="Y1694">
        <v>2</v>
      </c>
      <c r="Z1694">
        <v>0</v>
      </c>
      <c r="AA1694">
        <v>0</v>
      </c>
      <c r="AB1694">
        <v>0</v>
      </c>
      <c r="AC1694">
        <v>0</v>
      </c>
      <c r="AD1694">
        <v>0</v>
      </c>
      <c r="AE1694">
        <v>0</v>
      </c>
      <c r="AF1694">
        <v>1</v>
      </c>
      <c r="AG1694">
        <v>0</v>
      </c>
      <c r="AH1694">
        <v>0</v>
      </c>
      <c r="AI1694">
        <v>0</v>
      </c>
      <c r="AJ1694">
        <v>0</v>
      </c>
      <c r="AK1694">
        <v>0</v>
      </c>
      <c r="AL1694">
        <v>0</v>
      </c>
      <c r="AM1694">
        <v>0</v>
      </c>
      <c r="AN1694">
        <v>0</v>
      </c>
      <c r="AO1694">
        <v>0</v>
      </c>
      <c r="AP1694">
        <v>0</v>
      </c>
      <c r="AQ1694">
        <v>0</v>
      </c>
      <c r="AR1694">
        <v>0</v>
      </c>
      <c r="AS1694">
        <v>0</v>
      </c>
      <c r="AT1694">
        <v>0</v>
      </c>
      <c r="AU1694">
        <v>0</v>
      </c>
      <c r="AV1694">
        <v>0</v>
      </c>
      <c r="AW1694">
        <v>0</v>
      </c>
      <c r="AX1694" s="141">
        <f t="shared" si="2244"/>
        <v>2</v>
      </c>
      <c r="AY1694" s="141">
        <f t="shared" si="2245"/>
        <v>2</v>
      </c>
      <c r="AZ1694">
        <f t="shared" si="2246"/>
        <v>1</v>
      </c>
      <c r="BA1694">
        <f t="shared" si="2247"/>
        <v>1</v>
      </c>
      <c r="BB1694">
        <f t="shared" si="2248"/>
        <v>0</v>
      </c>
      <c r="BC1694">
        <f t="shared" si="2249"/>
        <v>0</v>
      </c>
      <c r="BD1694">
        <f t="shared" si="2250"/>
        <v>0</v>
      </c>
      <c r="BE1694" t="str">
        <f t="array" ref="BE1694">IF(AY1694=1,INDEX($V$7:$AL$7,MATCH(TRUE,INDEX($V1694:$AW1694&lt;&gt;0,),0)),IF(AY1694=0,INDEX($AM$7:$AW$7,MATCH(1,$AM1694:$AW1694,0)),IF(BF1694="Multiple strategies","mixed drivers",IF(BF1694="Supply chain","multiple supply","multiple silviculture"))))</f>
        <v>mixed drivers</v>
      </c>
      <c r="BF1694" s="2" t="str" cm="1">
        <f t="array" ref="BF1694">IF(COUNTIF(AZ1694:BB1694,"&lt;&gt;0")=1,INDEX($V$4:$AW$4,MATCH(TRUE,INDEX($V1694:$AW1694&lt;&gt;0,),0)),IF(COUNTIF(AZ1694:BB1694,"&lt;&gt;0")=0,INDEX($AM$4:$AW$4,MATCH(1,$AM1694:$AW1694,0)),"Multiple strategies"))</f>
        <v>Multiple strategies</v>
      </c>
      <c r="BG1694" s="1" t="s">
        <v>321</v>
      </c>
      <c r="BH1694" t="s">
        <v>2498</v>
      </c>
      <c r="BI1694" s="264" t="s">
        <v>2112</v>
      </c>
      <c r="BJ1694" t="s">
        <v>2499</v>
      </c>
      <c r="BK1694">
        <v>70.434782608695599</v>
      </c>
      <c r="BL1694">
        <v>82.634271099744197</v>
      </c>
      <c r="BM1694" s="143">
        <f t="shared" si="2251"/>
        <v>1.1732026143790852</v>
      </c>
      <c r="BN1694">
        <f t="shared" si="2252"/>
        <v>12.199488491048598</v>
      </c>
      <c r="BO1694">
        <f t="shared" si="2253"/>
        <v>24896.915287854281</v>
      </c>
      <c r="BP1694" t="s">
        <v>232</v>
      </c>
      <c r="BQ1694" s="143" t="s">
        <v>3255</v>
      </c>
      <c r="BR1694" t="s">
        <v>1194</v>
      </c>
      <c r="BS1694">
        <v>15639.124600638877</v>
      </c>
      <c r="BT1694">
        <v>-87418.696485623019</v>
      </c>
      <c r="BU1694" s="144">
        <f t="shared" si="2254"/>
        <v>-5.5897435897436267</v>
      </c>
      <c r="BV1694" s="144">
        <f t="shared" si="2255"/>
        <v>-103057.8210862619</v>
      </c>
      <c r="BW1694" s="144"/>
      <c r="BX1694" s="144">
        <f t="shared" si="2256"/>
        <v>-103057.8210862619</v>
      </c>
      <c r="BY1694">
        <f t="shared" si="2185"/>
        <v>-4.1393811198987231</v>
      </c>
      <c r="BZ1694">
        <v>0</v>
      </c>
      <c r="CA1694">
        <v>0</v>
      </c>
      <c r="CB1694">
        <v>0</v>
      </c>
      <c r="CC1694">
        <v>0</v>
      </c>
      <c r="CD1694">
        <v>0</v>
      </c>
      <c r="CE1694">
        <v>0</v>
      </c>
      <c r="CF1694">
        <v>0</v>
      </c>
      <c r="CG1694">
        <v>0</v>
      </c>
      <c r="CH1694">
        <v>0</v>
      </c>
      <c r="CI1694">
        <v>0</v>
      </c>
      <c r="CJ1694">
        <v>0</v>
      </c>
      <c r="CK1694">
        <v>0</v>
      </c>
      <c r="CL1694">
        <v>0</v>
      </c>
      <c r="CM1694">
        <v>1</v>
      </c>
      <c r="CN1694" t="str">
        <f t="shared" si="2257"/>
        <v>refOK</v>
      </c>
      <c r="CO1694">
        <f t="shared" si="2258"/>
        <v>70.434782608695599</v>
      </c>
      <c r="CP1694">
        <f t="shared" si="2259"/>
        <v>82.634271099744197</v>
      </c>
      <c r="CQ1694">
        <f t="shared" si="2260"/>
        <v>24896.915287854281</v>
      </c>
      <c r="CR1694">
        <f t="shared" si="2261"/>
        <v>15639.124600638877</v>
      </c>
      <c r="CS1694">
        <f t="shared" si="2262"/>
        <v>-87418.696485623019</v>
      </c>
      <c r="CT1694">
        <f t="shared" si="2263"/>
        <v>-103057.8210862619</v>
      </c>
      <c r="CU1694">
        <f t="shared" si="2264"/>
        <v>-4.1393811198987231</v>
      </c>
      <c r="CV1694" s="2">
        <f t="shared" si="2265"/>
        <v>-6.5897435897436267</v>
      </c>
      <c r="CW1694" s="1" t="s">
        <v>1198</v>
      </c>
      <c r="CX1694" t="str">
        <f t="shared" si="2266"/>
        <v>reg</v>
      </c>
      <c r="CY1694" t="s">
        <v>235</v>
      </c>
      <c r="CZ1694">
        <v>2010</v>
      </c>
      <c r="DA1694">
        <v>2070</v>
      </c>
      <c r="DB1694">
        <f t="shared" si="2267"/>
        <v>60</v>
      </c>
      <c r="DC1694" t="str">
        <f t="shared" si="2268"/>
        <v>31-70</v>
      </c>
      <c r="DD1694">
        <v>1</v>
      </c>
      <c r="DE1694">
        <v>1</v>
      </c>
      <c r="DF1694">
        <v>1</v>
      </c>
      <c r="DG1694">
        <v>1</v>
      </c>
      <c r="DH1694">
        <v>0</v>
      </c>
      <c r="DI1694">
        <f t="shared" si="2269"/>
        <v>4</v>
      </c>
      <c r="DJ1694" t="str">
        <f t="shared" si="2270"/>
        <v>mixedProduct</v>
      </c>
      <c r="DK1694" t="str">
        <f t="shared" si="2271"/>
        <v>Upstream</v>
      </c>
      <c r="DL1694" t="str">
        <f t="shared" si="2272"/>
        <v>Energy</v>
      </c>
      <c r="DM1694" t="str">
        <f t="shared" si="2273"/>
        <v>Pulp/Paper</v>
      </c>
      <c r="DN1694" t="str">
        <f t="shared" si="2274"/>
        <v>Timber</v>
      </c>
      <c r="DO1694">
        <v>0</v>
      </c>
      <c r="DP1694">
        <v>0</v>
      </c>
      <c r="DQ1694">
        <v>0</v>
      </c>
      <c r="DR1694">
        <v>0</v>
      </c>
      <c r="DS1694">
        <v>0</v>
      </c>
      <c r="DT1694">
        <f t="shared" si="2275"/>
        <v>0</v>
      </c>
      <c r="DU1694" s="143" t="str">
        <f t="shared" si="2276"/>
        <v>explicit C balance</v>
      </c>
      <c r="DV1694">
        <v>1</v>
      </c>
      <c r="DW1694">
        <v>1</v>
      </c>
      <c r="DX1694">
        <v>1</v>
      </c>
      <c r="DY1694">
        <v>0</v>
      </c>
      <c r="DZ1694">
        <v>0</v>
      </c>
      <c r="EA1694" s="143">
        <v>0</v>
      </c>
      <c r="EB1694">
        <v>1</v>
      </c>
      <c r="EC1694">
        <v>1</v>
      </c>
      <c r="ED1694">
        <v>0</v>
      </c>
      <c r="EE1694">
        <v>0</v>
      </c>
      <c r="EF1694">
        <v>1</v>
      </c>
      <c r="EG1694">
        <v>0</v>
      </c>
      <c r="EH1694">
        <v>0</v>
      </c>
      <c r="EI1694" s="2">
        <v>0</v>
      </c>
      <c r="EK1694" t="str">
        <f t="shared" si="2277"/>
        <v>Whole sector</v>
      </c>
      <c r="EL1694" t="str">
        <f t="shared" si="2278"/>
        <v/>
      </c>
      <c r="EM1694" s="2" t="str">
        <f t="shared" si="2188"/>
        <v/>
      </c>
      <c r="EP1694" t="str">
        <f>IF(ISNUMBER(BU1694),IF(ABS(BU1694-[3]QC_indicators!$B$2)&gt;3*[3]QC_indicators!$C$2,"C ratio",IF(ISNUMBER(BY1694),IF(ABS(BY1694-[3]QC_indicators!$B$1)&gt;3*[3]QC_indicators!$C$1,"DF","no"))),IF(ISNUMBER(BY1694),IF(ABS(BY1694-[3]QC_indicators!$B$1)&gt;3*[3]QC_indicators!$C$1,"DF","no")))</f>
        <v>no</v>
      </c>
      <c r="EQ1694" t="s">
        <v>2500</v>
      </c>
      <c r="ET1694" s="264" t="s">
        <v>3256</v>
      </c>
    </row>
    <row r="1695" spans="1:150" hidden="1">
      <c r="A1695" s="1" t="s">
        <v>1422</v>
      </c>
      <c r="B1695" t="s">
        <v>2489</v>
      </c>
      <c r="C1695" t="s">
        <v>2490</v>
      </c>
      <c r="D1695" t="s">
        <v>2491</v>
      </c>
      <c r="E1695" t="s">
        <v>2492</v>
      </c>
      <c r="F1695" t="s">
        <v>2493</v>
      </c>
      <c r="G1695" t="s">
        <v>1428</v>
      </c>
      <c r="H1695" t="s">
        <v>254</v>
      </c>
      <c r="I1695">
        <v>2016</v>
      </c>
      <c r="J1695">
        <v>24</v>
      </c>
      <c r="K1695" t="s">
        <v>2494</v>
      </c>
      <c r="M1695" t="str">
        <f t="shared" si="2193"/>
        <v>Zubizarreta-Gerendiain_2016</v>
      </c>
      <c r="N1695" t="s">
        <v>222</v>
      </c>
      <c r="O1695" s="145" t="s">
        <v>1153</v>
      </c>
      <c r="Q1695" t="s">
        <v>256</v>
      </c>
      <c r="R1695" s="262" t="s">
        <v>223</v>
      </c>
      <c r="S1695" s="1" t="s">
        <v>2495</v>
      </c>
      <c r="T1695" t="s">
        <v>2504</v>
      </c>
      <c r="U1695" t="s">
        <v>2503</v>
      </c>
      <c r="V1695">
        <v>0</v>
      </c>
      <c r="W1695">
        <v>0</v>
      </c>
      <c r="X1695">
        <v>0</v>
      </c>
      <c r="Y1695">
        <v>2</v>
      </c>
      <c r="Z1695">
        <v>0</v>
      </c>
      <c r="AA1695">
        <v>0</v>
      </c>
      <c r="AB1695">
        <v>0</v>
      </c>
      <c r="AC1695">
        <v>0</v>
      </c>
      <c r="AD1695">
        <v>0</v>
      </c>
      <c r="AE1695">
        <v>0</v>
      </c>
      <c r="AF1695">
        <v>1</v>
      </c>
      <c r="AG1695">
        <v>0</v>
      </c>
      <c r="AH1695">
        <v>0</v>
      </c>
      <c r="AI1695">
        <v>0</v>
      </c>
      <c r="AJ1695">
        <v>0</v>
      </c>
      <c r="AK1695">
        <v>0</v>
      </c>
      <c r="AL1695">
        <v>0</v>
      </c>
      <c r="AM1695">
        <v>0</v>
      </c>
      <c r="AN1695">
        <v>0</v>
      </c>
      <c r="AO1695">
        <v>0</v>
      </c>
      <c r="AP1695">
        <v>0</v>
      </c>
      <c r="AQ1695">
        <v>0</v>
      </c>
      <c r="AR1695">
        <v>0</v>
      </c>
      <c r="AS1695">
        <v>0</v>
      </c>
      <c r="AT1695">
        <v>0</v>
      </c>
      <c r="AU1695">
        <v>0</v>
      </c>
      <c r="AV1695">
        <v>0</v>
      </c>
      <c r="AW1695">
        <v>0</v>
      </c>
      <c r="AX1695" s="141">
        <f t="shared" si="2244"/>
        <v>2</v>
      </c>
      <c r="AY1695" s="141">
        <f t="shared" si="2245"/>
        <v>2</v>
      </c>
      <c r="AZ1695">
        <f t="shared" si="2246"/>
        <v>1</v>
      </c>
      <c r="BA1695">
        <f t="shared" si="2247"/>
        <v>1</v>
      </c>
      <c r="BB1695">
        <f t="shared" si="2248"/>
        <v>0</v>
      </c>
      <c r="BC1695">
        <f t="shared" si="2249"/>
        <v>0</v>
      </c>
      <c r="BD1695">
        <f t="shared" si="2250"/>
        <v>0</v>
      </c>
      <c r="BE1695" t="str">
        <f t="array" ref="BE1695">IF(AY1695=1,INDEX($V$7:$AL$7,MATCH(TRUE,INDEX($V1695:$AW1695&lt;&gt;0,),0)),IF(AY1695=0,INDEX($AM$7:$AW$7,MATCH(1,$AM1695:$AW1695,0)),IF(BF1695="Multiple strategies","mixed drivers",IF(BF1695="Supply chain","multiple supply","multiple silviculture"))))</f>
        <v>mixed drivers</v>
      </c>
      <c r="BF1695" s="2" t="str" cm="1">
        <f t="array" ref="BF1695">IF(COUNTIF(AZ1695:BB1695,"&lt;&gt;0")=1,INDEX($V$4:$AW$4,MATCH(TRUE,INDEX($V1695:$AW1695&lt;&gt;0,),0)),IF(COUNTIF(AZ1695:BB1695,"&lt;&gt;0")=0,INDEX($AM$4:$AW$4,MATCH(1,$AM1695:$AW1695,0)),"Multiple strategies"))</f>
        <v>Multiple strategies</v>
      </c>
      <c r="BG1695" s="1" t="s">
        <v>321</v>
      </c>
      <c r="BH1695" t="s">
        <v>2498</v>
      </c>
      <c r="BI1695" s="264" t="s">
        <v>2112</v>
      </c>
      <c r="BJ1695" t="s">
        <v>2499</v>
      </c>
      <c r="BK1695">
        <v>70.434782608695599</v>
      </c>
      <c r="BL1695">
        <v>82.634271099744197</v>
      </c>
      <c r="BM1695" s="143">
        <f t="shared" si="2251"/>
        <v>1.1732026143790852</v>
      </c>
      <c r="BN1695">
        <f t="shared" si="2252"/>
        <v>12.199488491048598</v>
      </c>
      <c r="BO1695">
        <f t="shared" si="2253"/>
        <v>24896.915287854281</v>
      </c>
      <c r="BP1695" s="143" t="s">
        <v>232</v>
      </c>
      <c r="BQ1695" s="143" t="s">
        <v>3255</v>
      </c>
      <c r="BR1695" t="s">
        <v>1194</v>
      </c>
      <c r="BS1695">
        <v>105771.90289102923</v>
      </c>
      <c r="BT1695">
        <v>12625.588954781248</v>
      </c>
      <c r="BU1695" s="144">
        <f t="shared" si="2254"/>
        <v>0.11936618903215417</v>
      </c>
      <c r="BV1695" s="144">
        <f t="shared" si="2255"/>
        <v>-93146.313936247985</v>
      </c>
      <c r="BW1695" s="144"/>
      <c r="BX1695" s="144">
        <f t="shared" si="2256"/>
        <v>-93146.313936247985</v>
      </c>
      <c r="BY1695">
        <f t="shared" si="2185"/>
        <v>-3.7412793054603237</v>
      </c>
      <c r="BZ1695">
        <v>0</v>
      </c>
      <c r="CA1695">
        <v>0</v>
      </c>
      <c r="CB1695">
        <v>0</v>
      </c>
      <c r="CC1695">
        <v>0</v>
      </c>
      <c r="CD1695">
        <v>0</v>
      </c>
      <c r="CE1695">
        <v>0</v>
      </c>
      <c r="CF1695">
        <v>0</v>
      </c>
      <c r="CG1695">
        <v>0</v>
      </c>
      <c r="CH1695">
        <v>0</v>
      </c>
      <c r="CI1695">
        <v>0</v>
      </c>
      <c r="CJ1695">
        <v>0</v>
      </c>
      <c r="CK1695">
        <v>0</v>
      </c>
      <c r="CL1695">
        <v>0</v>
      </c>
      <c r="CM1695">
        <v>1</v>
      </c>
      <c r="CN1695" t="str">
        <f t="shared" si="2257"/>
        <v>refOK</v>
      </c>
      <c r="CO1695">
        <f t="shared" si="2258"/>
        <v>70.434782608695599</v>
      </c>
      <c r="CP1695">
        <f t="shared" si="2259"/>
        <v>82.634271099744197</v>
      </c>
      <c r="CQ1695">
        <f t="shared" si="2260"/>
        <v>24896.915287854281</v>
      </c>
      <c r="CR1695">
        <f t="shared" si="2261"/>
        <v>105771.90289102923</v>
      </c>
      <c r="CS1695">
        <f t="shared" si="2262"/>
        <v>12625.588954781248</v>
      </c>
      <c r="CT1695">
        <f t="shared" si="2263"/>
        <v>-93146.313936247985</v>
      </c>
      <c r="CU1695">
        <f t="shared" si="2264"/>
        <v>-3.7412793054603237</v>
      </c>
      <c r="CV1695" s="2">
        <f t="shared" si="2265"/>
        <v>-0.88063381096784588</v>
      </c>
      <c r="CW1695" s="1" t="s">
        <v>1198</v>
      </c>
      <c r="CX1695" t="str">
        <f t="shared" si="2266"/>
        <v>reg</v>
      </c>
      <c r="CY1695" t="s">
        <v>235</v>
      </c>
      <c r="CZ1695">
        <v>2010</v>
      </c>
      <c r="DA1695">
        <v>2070</v>
      </c>
      <c r="DB1695">
        <f t="shared" si="2267"/>
        <v>60</v>
      </c>
      <c r="DC1695" t="str">
        <f t="shared" si="2268"/>
        <v>31-70</v>
      </c>
      <c r="DD1695">
        <v>1</v>
      </c>
      <c r="DE1695">
        <v>1</v>
      </c>
      <c r="DF1695">
        <v>1</v>
      </c>
      <c r="DG1695">
        <v>1</v>
      </c>
      <c r="DH1695">
        <v>0</v>
      </c>
      <c r="DI1695">
        <f t="shared" si="2269"/>
        <v>4</v>
      </c>
      <c r="DJ1695" t="str">
        <f t="shared" si="2270"/>
        <v>mixedProduct</v>
      </c>
      <c r="DK1695" t="str">
        <f t="shared" si="2271"/>
        <v>Upstream</v>
      </c>
      <c r="DL1695" t="str">
        <f t="shared" si="2272"/>
        <v>Energy</v>
      </c>
      <c r="DM1695" t="str">
        <f t="shared" si="2273"/>
        <v>Pulp/Paper</v>
      </c>
      <c r="DN1695" t="str">
        <f t="shared" si="2274"/>
        <v>Timber</v>
      </c>
      <c r="DO1695">
        <v>0</v>
      </c>
      <c r="DP1695">
        <v>1</v>
      </c>
      <c r="DQ1695" t="s">
        <v>2523</v>
      </c>
      <c r="DR1695" t="s">
        <v>2524</v>
      </c>
      <c r="DS1695">
        <v>0</v>
      </c>
      <c r="DT1695">
        <f t="shared" si="2275"/>
        <v>1</v>
      </c>
      <c r="DU1695" s="143" t="str">
        <f t="shared" si="2276"/>
        <v>external DF used</v>
      </c>
      <c r="DV1695">
        <v>1</v>
      </c>
      <c r="DW1695">
        <v>1</v>
      </c>
      <c r="DX1695">
        <v>1</v>
      </c>
      <c r="DY1695">
        <v>1</v>
      </c>
      <c r="DZ1695">
        <v>0</v>
      </c>
      <c r="EA1695" s="143">
        <v>1</v>
      </c>
      <c r="EB1695">
        <v>1</v>
      </c>
      <c r="EC1695">
        <v>1</v>
      </c>
      <c r="ED1695">
        <v>0</v>
      </c>
      <c r="EE1695">
        <v>0</v>
      </c>
      <c r="EF1695">
        <v>1</v>
      </c>
      <c r="EG1695">
        <v>0</v>
      </c>
      <c r="EH1695">
        <v>0</v>
      </c>
      <c r="EI1695" s="2">
        <v>0</v>
      </c>
      <c r="EK1695" t="str">
        <f t="shared" si="2277"/>
        <v>Whole sector</v>
      </c>
      <c r="EL1695" t="str">
        <f t="shared" si="2278"/>
        <v/>
      </c>
      <c r="EM1695" s="2" t="str">
        <f t="shared" si="2188"/>
        <v/>
      </c>
      <c r="EP1695" t="str">
        <f>IF(ISNUMBER(BU1695),IF(ABS(BU1695-[3]QC_indicators!$B$2)&gt;3*[3]QC_indicators!$C$2,"C ratio",IF(ISNUMBER(BY1695),IF(ABS(BY1695-[3]QC_indicators!$B$1)&gt;3*[3]QC_indicators!$C$1,"DF","no"))),IF(ISNUMBER(BY1695),IF(ABS(BY1695-[3]QC_indicators!$B$1)&gt;3*[3]QC_indicators!$C$1,"DF","no")))</f>
        <v>no</v>
      </c>
      <c r="ET1695" s="264" t="s">
        <v>3259</v>
      </c>
    </row>
    <row r="1696" spans="1:150" hidden="1">
      <c r="A1696" s="1" t="s">
        <v>1422</v>
      </c>
      <c r="B1696" t="s">
        <v>2489</v>
      </c>
      <c r="C1696" t="s">
        <v>2490</v>
      </c>
      <c r="D1696" t="s">
        <v>2491</v>
      </c>
      <c r="E1696" t="s">
        <v>2492</v>
      </c>
      <c r="F1696" t="s">
        <v>2493</v>
      </c>
      <c r="G1696" t="s">
        <v>1428</v>
      </c>
      <c r="H1696" t="s">
        <v>254</v>
      </c>
      <c r="I1696">
        <v>2016</v>
      </c>
      <c r="J1696">
        <v>24</v>
      </c>
      <c r="K1696" t="s">
        <v>2494</v>
      </c>
      <c r="M1696" t="str">
        <f t="shared" si="2193"/>
        <v>Zubizarreta-Gerendiain_2016</v>
      </c>
      <c r="N1696" t="s">
        <v>222</v>
      </c>
      <c r="O1696" s="145" t="s">
        <v>1153</v>
      </c>
      <c r="Q1696" t="s">
        <v>256</v>
      </c>
      <c r="R1696" s="262" t="s">
        <v>223</v>
      </c>
      <c r="S1696" s="1" t="s">
        <v>2495</v>
      </c>
      <c r="T1696" t="s">
        <v>2501</v>
      </c>
      <c r="U1696" t="s">
        <v>2497</v>
      </c>
      <c r="V1696">
        <v>0</v>
      </c>
      <c r="W1696">
        <v>0</v>
      </c>
      <c r="X1696">
        <v>0</v>
      </c>
      <c r="Y1696">
        <v>2</v>
      </c>
      <c r="Z1696">
        <v>0</v>
      </c>
      <c r="AA1696">
        <v>0</v>
      </c>
      <c r="AB1696">
        <v>0</v>
      </c>
      <c r="AC1696">
        <v>0</v>
      </c>
      <c r="AD1696">
        <v>0</v>
      </c>
      <c r="AE1696">
        <v>0</v>
      </c>
      <c r="AF1696">
        <v>1</v>
      </c>
      <c r="AG1696">
        <v>0</v>
      </c>
      <c r="AH1696">
        <v>0</v>
      </c>
      <c r="AI1696">
        <v>0</v>
      </c>
      <c r="AJ1696">
        <v>0</v>
      </c>
      <c r="AK1696">
        <v>0</v>
      </c>
      <c r="AL1696">
        <v>0</v>
      </c>
      <c r="AM1696">
        <v>0</v>
      </c>
      <c r="AN1696">
        <v>0</v>
      </c>
      <c r="AO1696">
        <v>0</v>
      </c>
      <c r="AP1696">
        <v>0</v>
      </c>
      <c r="AQ1696">
        <v>0</v>
      </c>
      <c r="AR1696">
        <v>0</v>
      </c>
      <c r="AS1696">
        <v>0</v>
      </c>
      <c r="AT1696">
        <v>0</v>
      </c>
      <c r="AU1696">
        <v>0</v>
      </c>
      <c r="AV1696">
        <v>0</v>
      </c>
      <c r="AW1696">
        <v>0</v>
      </c>
      <c r="AX1696" s="141">
        <f t="shared" si="2244"/>
        <v>2</v>
      </c>
      <c r="AY1696" s="141">
        <f t="shared" si="2245"/>
        <v>2</v>
      </c>
      <c r="AZ1696">
        <f t="shared" si="2246"/>
        <v>1</v>
      </c>
      <c r="BA1696">
        <f t="shared" si="2247"/>
        <v>1</v>
      </c>
      <c r="BB1696">
        <f t="shared" si="2248"/>
        <v>0</v>
      </c>
      <c r="BC1696">
        <f t="shared" si="2249"/>
        <v>0</v>
      </c>
      <c r="BD1696">
        <f t="shared" si="2250"/>
        <v>0</v>
      </c>
      <c r="BE1696" t="str">
        <f t="array" ref="BE1696">IF(AY1696=1,INDEX($V$7:$AL$7,MATCH(TRUE,INDEX($V1696:$AW1696&lt;&gt;0,),0)),IF(AY1696=0,INDEX($AM$7:$AW$7,MATCH(1,$AM1696:$AW1696,0)),IF(BF1696="Multiple strategies","mixed drivers",IF(BF1696="Supply chain","multiple supply","multiple silviculture"))))</f>
        <v>mixed drivers</v>
      </c>
      <c r="BF1696" s="2" t="str" cm="1">
        <f t="array" ref="BF1696">IF(COUNTIF(AZ1696:BB1696,"&lt;&gt;0")=1,INDEX($V$4:$AW$4,MATCH(TRUE,INDEX($V1696:$AW1696&lt;&gt;0,),0)),IF(COUNTIF(AZ1696:BB1696,"&lt;&gt;0")=0,INDEX($AM$4:$AW$4,MATCH(1,$AM1696:$AW1696,0)),"Multiple strategies"))</f>
        <v>Multiple strategies</v>
      </c>
      <c r="BG1696" s="1" t="s">
        <v>321</v>
      </c>
      <c r="BH1696" t="s">
        <v>2498</v>
      </c>
      <c r="BI1696" s="264" t="s">
        <v>2112</v>
      </c>
      <c r="BJ1696" t="s">
        <v>2499</v>
      </c>
      <c r="BK1696">
        <v>70.532915360501505</v>
      </c>
      <c r="BL1696">
        <v>82.946708463949804</v>
      </c>
      <c r="BM1696" s="143">
        <f t="shared" si="2251"/>
        <v>1.1760000000000004</v>
      </c>
      <c r="BN1696">
        <f t="shared" si="2252"/>
        <v>12.413793103448299</v>
      </c>
      <c r="BO1696">
        <f t="shared" si="2253"/>
        <v>25334.271639690407</v>
      </c>
      <c r="BP1696" s="143" t="s">
        <v>232</v>
      </c>
      <c r="BQ1696" s="143" t="s">
        <v>3255</v>
      </c>
      <c r="BR1696" t="s">
        <v>1194</v>
      </c>
      <c r="BS1696">
        <v>65681.846480446824</v>
      </c>
      <c r="BT1696">
        <v>-27756.76357541895</v>
      </c>
      <c r="BU1696" s="144">
        <f t="shared" si="2254"/>
        <v>-0.42259414225941422</v>
      </c>
      <c r="BV1696" s="144">
        <f t="shared" si="2255"/>
        <v>-93438.610055865778</v>
      </c>
      <c r="BW1696" s="144"/>
      <c r="BX1696" s="144">
        <f t="shared" si="2256"/>
        <v>-93438.610055865778</v>
      </c>
      <c r="BY1696">
        <f t="shared" si="2185"/>
        <v>-3.6882295802606948</v>
      </c>
      <c r="BZ1696">
        <v>0</v>
      </c>
      <c r="CA1696">
        <v>0</v>
      </c>
      <c r="CB1696">
        <v>0</v>
      </c>
      <c r="CC1696">
        <v>0</v>
      </c>
      <c r="CD1696">
        <v>0</v>
      </c>
      <c r="CE1696">
        <v>0</v>
      </c>
      <c r="CF1696">
        <v>0</v>
      </c>
      <c r="CG1696">
        <v>0</v>
      </c>
      <c r="CH1696">
        <v>0</v>
      </c>
      <c r="CI1696">
        <v>0</v>
      </c>
      <c r="CJ1696">
        <v>0</v>
      </c>
      <c r="CK1696">
        <v>0</v>
      </c>
      <c r="CL1696">
        <v>0</v>
      </c>
      <c r="CM1696">
        <v>1</v>
      </c>
      <c r="CN1696" t="str">
        <f t="shared" si="2257"/>
        <v>refOK</v>
      </c>
      <c r="CO1696">
        <f t="shared" si="2258"/>
        <v>70.532915360501505</v>
      </c>
      <c r="CP1696">
        <f t="shared" si="2259"/>
        <v>82.946708463949804</v>
      </c>
      <c r="CQ1696">
        <f t="shared" si="2260"/>
        <v>25334.271639690407</v>
      </c>
      <c r="CR1696">
        <f t="shared" si="2261"/>
        <v>65681.846480446824</v>
      </c>
      <c r="CS1696">
        <f t="shared" si="2262"/>
        <v>-27756.76357541895</v>
      </c>
      <c r="CT1696">
        <f t="shared" si="2263"/>
        <v>-93438.610055865778</v>
      </c>
      <c r="CU1696">
        <f t="shared" si="2264"/>
        <v>-3.6882295802606948</v>
      </c>
      <c r="CV1696" s="2">
        <f t="shared" si="2265"/>
        <v>-1.4225941422594144</v>
      </c>
      <c r="CW1696" s="1" t="s">
        <v>1198</v>
      </c>
      <c r="CX1696" t="str">
        <f t="shared" si="2266"/>
        <v>reg</v>
      </c>
      <c r="CY1696" t="s">
        <v>235</v>
      </c>
      <c r="CZ1696">
        <v>2010</v>
      </c>
      <c r="DA1696">
        <v>2070</v>
      </c>
      <c r="DB1696">
        <f t="shared" si="2267"/>
        <v>60</v>
      </c>
      <c r="DC1696" t="str">
        <f t="shared" si="2268"/>
        <v>31-70</v>
      </c>
      <c r="DD1696">
        <v>1</v>
      </c>
      <c r="DE1696">
        <v>1</v>
      </c>
      <c r="DF1696">
        <v>1</v>
      </c>
      <c r="DG1696">
        <v>1</v>
      </c>
      <c r="DH1696">
        <v>0</v>
      </c>
      <c r="DI1696">
        <f t="shared" si="2269"/>
        <v>4</v>
      </c>
      <c r="DJ1696" t="str">
        <f t="shared" si="2270"/>
        <v>mixedProduct</v>
      </c>
      <c r="DK1696" t="str">
        <f t="shared" si="2271"/>
        <v>Upstream</v>
      </c>
      <c r="DL1696" t="str">
        <f t="shared" si="2272"/>
        <v>Energy</v>
      </c>
      <c r="DM1696" t="str">
        <f t="shared" si="2273"/>
        <v>Pulp/Paper</v>
      </c>
      <c r="DN1696" t="str">
        <f t="shared" si="2274"/>
        <v>Timber</v>
      </c>
      <c r="DO1696">
        <v>0</v>
      </c>
      <c r="DP1696">
        <v>1</v>
      </c>
      <c r="DQ1696" t="s">
        <v>2523</v>
      </c>
      <c r="DR1696" t="s">
        <v>2524</v>
      </c>
      <c r="DS1696">
        <v>0</v>
      </c>
      <c r="DT1696">
        <f t="shared" si="2275"/>
        <v>1</v>
      </c>
      <c r="DU1696" s="143" t="str">
        <f t="shared" si="2276"/>
        <v>external DF used</v>
      </c>
      <c r="DV1696">
        <v>1</v>
      </c>
      <c r="DW1696">
        <v>1</v>
      </c>
      <c r="DX1696">
        <v>1</v>
      </c>
      <c r="DY1696">
        <v>1</v>
      </c>
      <c r="DZ1696">
        <v>0</v>
      </c>
      <c r="EA1696" s="143">
        <v>1</v>
      </c>
      <c r="EB1696">
        <v>1</v>
      </c>
      <c r="EC1696">
        <v>1</v>
      </c>
      <c r="ED1696">
        <v>0</v>
      </c>
      <c r="EE1696">
        <v>0</v>
      </c>
      <c r="EF1696">
        <v>1</v>
      </c>
      <c r="EG1696">
        <v>0</v>
      </c>
      <c r="EH1696">
        <v>0</v>
      </c>
      <c r="EI1696" s="2">
        <v>0</v>
      </c>
      <c r="EK1696" t="str">
        <f t="shared" si="2277"/>
        <v>Whole sector</v>
      </c>
      <c r="EL1696" t="str">
        <f t="shared" si="2278"/>
        <v/>
      </c>
      <c r="EM1696" s="2" t="str">
        <f t="shared" si="2188"/>
        <v/>
      </c>
      <c r="EP1696" t="str">
        <f>IF(ISNUMBER(BU1696),IF(ABS(BU1696-[3]QC_indicators!$B$2)&gt;3*[3]QC_indicators!$C$2,"C ratio",IF(ISNUMBER(BY1696),IF(ABS(BY1696-[3]QC_indicators!$B$1)&gt;3*[3]QC_indicators!$C$1,"DF","no"))),IF(ISNUMBER(BY1696),IF(ABS(BY1696-[3]QC_indicators!$B$1)&gt;3*[3]QC_indicators!$C$1,"DF","no")))</f>
        <v>no</v>
      </c>
      <c r="ET1696" s="264" t="s">
        <v>3259</v>
      </c>
    </row>
    <row r="1697" spans="1:150" hidden="1">
      <c r="A1697" s="1" t="s">
        <v>1422</v>
      </c>
      <c r="B1697" t="s">
        <v>2489</v>
      </c>
      <c r="C1697" t="s">
        <v>2490</v>
      </c>
      <c r="D1697" t="s">
        <v>2491</v>
      </c>
      <c r="E1697" t="s">
        <v>2492</v>
      </c>
      <c r="F1697" t="s">
        <v>2493</v>
      </c>
      <c r="G1697" t="s">
        <v>1428</v>
      </c>
      <c r="H1697" t="s">
        <v>254</v>
      </c>
      <c r="I1697">
        <v>2016</v>
      </c>
      <c r="J1697">
        <v>24</v>
      </c>
      <c r="K1697" t="s">
        <v>2494</v>
      </c>
      <c r="M1697" t="str">
        <f t="shared" si="2193"/>
        <v>Zubizarreta-Gerendiain_2016</v>
      </c>
      <c r="N1697" t="s">
        <v>222</v>
      </c>
      <c r="O1697" s="145" t="s">
        <v>1153</v>
      </c>
      <c r="Q1697" t="s">
        <v>256</v>
      </c>
      <c r="R1697" s="262" t="s">
        <v>223</v>
      </c>
      <c r="S1697" s="1" t="s">
        <v>2505</v>
      </c>
      <c r="T1697" t="s">
        <v>2506</v>
      </c>
      <c r="U1697" t="s">
        <v>2503</v>
      </c>
      <c r="V1697">
        <v>0</v>
      </c>
      <c r="W1697">
        <v>0</v>
      </c>
      <c r="X1697">
        <v>0</v>
      </c>
      <c r="Y1697">
        <v>2</v>
      </c>
      <c r="Z1697">
        <v>0</v>
      </c>
      <c r="AA1697">
        <v>0</v>
      </c>
      <c r="AB1697">
        <v>0</v>
      </c>
      <c r="AC1697">
        <v>0</v>
      </c>
      <c r="AD1697">
        <v>0</v>
      </c>
      <c r="AE1697">
        <v>0</v>
      </c>
      <c r="AF1697">
        <v>1</v>
      </c>
      <c r="AG1697">
        <v>0</v>
      </c>
      <c r="AH1697">
        <v>0</v>
      </c>
      <c r="AI1697">
        <v>0</v>
      </c>
      <c r="AJ1697">
        <v>0</v>
      </c>
      <c r="AK1697">
        <v>0</v>
      </c>
      <c r="AL1697">
        <v>0</v>
      </c>
      <c r="AM1697">
        <v>0</v>
      </c>
      <c r="AN1697">
        <v>0</v>
      </c>
      <c r="AO1697">
        <v>0</v>
      </c>
      <c r="AP1697">
        <v>0</v>
      </c>
      <c r="AQ1697">
        <v>0</v>
      </c>
      <c r="AR1697">
        <v>0</v>
      </c>
      <c r="AS1697">
        <v>0</v>
      </c>
      <c r="AT1697">
        <v>0</v>
      </c>
      <c r="AU1697">
        <v>0</v>
      </c>
      <c r="AV1697">
        <v>0</v>
      </c>
      <c r="AW1697">
        <v>0</v>
      </c>
      <c r="AX1697" s="141">
        <f t="shared" si="2244"/>
        <v>2</v>
      </c>
      <c r="AY1697" s="141">
        <f t="shared" si="2245"/>
        <v>2</v>
      </c>
      <c r="AZ1697">
        <f t="shared" si="2246"/>
        <v>1</v>
      </c>
      <c r="BA1697">
        <f t="shared" si="2247"/>
        <v>1</v>
      </c>
      <c r="BB1697">
        <f t="shared" si="2248"/>
        <v>0</v>
      </c>
      <c r="BC1697">
        <f t="shared" si="2249"/>
        <v>0</v>
      </c>
      <c r="BD1697">
        <f t="shared" si="2250"/>
        <v>0</v>
      </c>
      <c r="BE1697" t="str">
        <f t="array" ref="BE1697">IF(AY1697=1,INDEX($V$7:$AL$7,MATCH(TRUE,INDEX($V1697:$AW1697&lt;&gt;0,),0)),IF(AY1697=0,INDEX($AM$7:$AW$7,MATCH(1,$AM1697:$AW1697,0)),IF(BF1697="Multiple strategies","mixed drivers",IF(BF1697="Supply chain","multiple supply","multiple silviculture"))))</f>
        <v>mixed drivers</v>
      </c>
      <c r="BF1697" s="2" t="str" cm="1">
        <f t="array" ref="BF1697">IF(COUNTIF(AZ1697:BB1697,"&lt;&gt;0")=1,INDEX($V$4:$AW$4,MATCH(TRUE,INDEX($V1697:$AW1697&lt;&gt;0,),0)),IF(COUNTIF(AZ1697:BB1697,"&lt;&gt;0")=0,INDEX($AM$4:$AW$4,MATCH(1,$AM1697:$AW1697,0)),"Multiple strategies"))</f>
        <v>Multiple strategies</v>
      </c>
      <c r="BG1697" s="1" t="s">
        <v>321</v>
      </c>
      <c r="BH1697" t="s">
        <v>2498</v>
      </c>
      <c r="BI1697" s="264" t="s">
        <v>2112</v>
      </c>
      <c r="BJ1697" t="s">
        <v>2499</v>
      </c>
      <c r="BK1697">
        <v>64.910485933503793</v>
      </c>
      <c r="BL1697">
        <v>82.634271099744197</v>
      </c>
      <c r="BM1697" s="143">
        <f t="shared" si="2251"/>
        <v>1.273049645390071</v>
      </c>
      <c r="BN1697">
        <f t="shared" si="2252"/>
        <v>17.723785166240404</v>
      </c>
      <c r="BO1697">
        <f t="shared" si="2253"/>
        <v>36170.990135184496</v>
      </c>
      <c r="BP1697" s="143" t="s">
        <v>232</v>
      </c>
      <c r="BQ1697" s="143" t="s">
        <v>3255</v>
      </c>
      <c r="BR1697" t="s">
        <v>1194</v>
      </c>
      <c r="BS1697">
        <v>103859.82747603832</v>
      </c>
      <c r="BT1697">
        <v>-22456.178913738113</v>
      </c>
      <c r="BU1697" s="144">
        <f t="shared" si="2254"/>
        <v>-0.21621621621621714</v>
      </c>
      <c r="BV1697" s="144">
        <f t="shared" si="2255"/>
        <v>-126316.00638977643</v>
      </c>
      <c r="BW1697" s="144"/>
      <c r="BX1697" s="144">
        <f t="shared" si="2256"/>
        <v>-126316.00638977643</v>
      </c>
      <c r="BY1697">
        <f t="shared" si="2185"/>
        <v>-3.4921910049375575</v>
      </c>
      <c r="BZ1697">
        <v>0</v>
      </c>
      <c r="CA1697">
        <v>0</v>
      </c>
      <c r="CB1697">
        <v>0</v>
      </c>
      <c r="CC1697">
        <v>0</v>
      </c>
      <c r="CD1697">
        <v>0</v>
      </c>
      <c r="CE1697">
        <v>0</v>
      </c>
      <c r="CF1697">
        <v>0</v>
      </c>
      <c r="CG1697">
        <v>0</v>
      </c>
      <c r="CH1697">
        <v>0</v>
      </c>
      <c r="CI1697">
        <v>0</v>
      </c>
      <c r="CJ1697">
        <v>0</v>
      </c>
      <c r="CK1697">
        <v>0</v>
      </c>
      <c r="CL1697">
        <v>0</v>
      </c>
      <c r="CM1697">
        <v>1</v>
      </c>
      <c r="CN1697" t="str">
        <f t="shared" si="2257"/>
        <v>refOK</v>
      </c>
      <c r="CO1697">
        <f t="shared" si="2258"/>
        <v>64.910485933503793</v>
      </c>
      <c r="CP1697">
        <f t="shared" si="2259"/>
        <v>82.634271099744197</v>
      </c>
      <c r="CQ1697">
        <f t="shared" si="2260"/>
        <v>36170.990135184496</v>
      </c>
      <c r="CR1697">
        <f t="shared" si="2261"/>
        <v>103859.82747603832</v>
      </c>
      <c r="CS1697">
        <f t="shared" si="2262"/>
        <v>-22456.178913738113</v>
      </c>
      <c r="CT1697">
        <f t="shared" si="2263"/>
        <v>-126316.00638977643</v>
      </c>
      <c r="CU1697">
        <f t="shared" si="2264"/>
        <v>-3.4921910049375575</v>
      </c>
      <c r="CV1697" s="2">
        <f t="shared" si="2265"/>
        <v>-1.2162162162162171</v>
      </c>
      <c r="CW1697" s="1" t="s">
        <v>1198</v>
      </c>
      <c r="CX1697" t="str">
        <f t="shared" si="2266"/>
        <v>reg</v>
      </c>
      <c r="CY1697" t="s">
        <v>235</v>
      </c>
      <c r="CZ1697">
        <v>2010</v>
      </c>
      <c r="DA1697">
        <v>2070</v>
      </c>
      <c r="DB1697">
        <f t="shared" si="2267"/>
        <v>60</v>
      </c>
      <c r="DC1697" t="str">
        <f t="shared" si="2268"/>
        <v>31-70</v>
      </c>
      <c r="DD1697">
        <v>1</v>
      </c>
      <c r="DE1697">
        <v>0</v>
      </c>
      <c r="DF1697">
        <v>0</v>
      </c>
      <c r="DG1697">
        <v>0</v>
      </c>
      <c r="DH1697">
        <v>0</v>
      </c>
      <c r="DI1697">
        <f t="shared" si="2269"/>
        <v>1</v>
      </c>
      <c r="DJ1697" t="str">
        <f t="shared" si="2270"/>
        <v>UpstreamInput</v>
      </c>
      <c r="DK1697" t="str">
        <f t="shared" si="2271"/>
        <v>Upstream</v>
      </c>
      <c r="DL1697">
        <f t="shared" si="2272"/>
        <v>0</v>
      </c>
      <c r="DM1697">
        <f t="shared" si="2273"/>
        <v>0</v>
      </c>
      <c r="DN1697">
        <f t="shared" si="2274"/>
        <v>0</v>
      </c>
      <c r="DO1697">
        <v>0</v>
      </c>
      <c r="DP1697">
        <v>0</v>
      </c>
      <c r="DQ1697">
        <v>0</v>
      </c>
      <c r="DR1697">
        <v>0</v>
      </c>
      <c r="DS1697">
        <v>0</v>
      </c>
      <c r="DT1697">
        <f t="shared" si="2275"/>
        <v>0</v>
      </c>
      <c r="DU1697" s="143" t="str">
        <f t="shared" si="2276"/>
        <v>explicit C balance</v>
      </c>
      <c r="DV1697">
        <v>1</v>
      </c>
      <c r="DW1697">
        <v>1</v>
      </c>
      <c r="DX1697">
        <v>1</v>
      </c>
      <c r="DY1697">
        <v>1</v>
      </c>
      <c r="DZ1697">
        <v>0</v>
      </c>
      <c r="EA1697" s="143">
        <v>0</v>
      </c>
      <c r="EB1697">
        <v>0</v>
      </c>
      <c r="EC1697">
        <v>0</v>
      </c>
      <c r="ED1697">
        <v>0</v>
      </c>
      <c r="EE1697">
        <v>0</v>
      </c>
      <c r="EF1697">
        <v>1</v>
      </c>
      <c r="EG1697">
        <v>0</v>
      </c>
      <c r="EH1697">
        <v>0</v>
      </c>
      <c r="EI1697" s="2">
        <v>0</v>
      </c>
      <c r="EK1697" t="str">
        <f t="shared" si="2277"/>
        <v/>
      </c>
      <c r="EL1697" t="str">
        <f t="shared" si="2278"/>
        <v>Ecosystem approach</v>
      </c>
      <c r="EM1697" s="2" t="str">
        <f t="shared" si="2188"/>
        <v/>
      </c>
      <c r="EN1697" t="s">
        <v>2507</v>
      </c>
      <c r="EP1697" t="str">
        <f>IF(ISNUMBER(BU1697),IF(ABS(BU1697-[3]QC_indicators!$B$2)&gt;3*[3]QC_indicators!$C$2,"C ratio",IF(ISNUMBER(BY1697),IF(ABS(BY1697-[3]QC_indicators!$B$1)&gt;3*[3]QC_indicators!$C$1,"DF","no"))),IF(ISNUMBER(BY1697),IF(ABS(BY1697-[3]QC_indicators!$B$1)&gt;3*[3]QC_indicators!$C$1,"DF","no")))</f>
        <v>no</v>
      </c>
      <c r="ET1697" s="264" t="s">
        <v>3256</v>
      </c>
    </row>
    <row r="1698" spans="1:150" hidden="1">
      <c r="A1698" s="1" t="s">
        <v>1422</v>
      </c>
      <c r="B1698" t="s">
        <v>2489</v>
      </c>
      <c r="C1698" t="s">
        <v>2490</v>
      </c>
      <c r="D1698" t="s">
        <v>2491</v>
      </c>
      <c r="E1698" t="s">
        <v>2492</v>
      </c>
      <c r="F1698" t="s">
        <v>2493</v>
      </c>
      <c r="G1698" t="s">
        <v>1428</v>
      </c>
      <c r="H1698" t="s">
        <v>254</v>
      </c>
      <c r="I1698">
        <v>2016</v>
      </c>
      <c r="J1698">
        <v>24</v>
      </c>
      <c r="K1698" t="s">
        <v>2494</v>
      </c>
      <c r="M1698" t="str">
        <f t="shared" si="2193"/>
        <v>Zubizarreta-Gerendiain_2016</v>
      </c>
      <c r="N1698" t="s">
        <v>222</v>
      </c>
      <c r="O1698" s="145" t="s">
        <v>1153</v>
      </c>
      <c r="Q1698" t="s">
        <v>256</v>
      </c>
      <c r="R1698" s="262" t="s">
        <v>223</v>
      </c>
      <c r="S1698" s="1" t="s">
        <v>2495</v>
      </c>
      <c r="T1698" t="s">
        <v>2502</v>
      </c>
      <c r="U1698" t="s">
        <v>2503</v>
      </c>
      <c r="V1698">
        <v>0</v>
      </c>
      <c r="W1698">
        <v>0</v>
      </c>
      <c r="X1698">
        <v>0</v>
      </c>
      <c r="Y1698">
        <v>2</v>
      </c>
      <c r="Z1698">
        <v>0</v>
      </c>
      <c r="AA1698">
        <v>0</v>
      </c>
      <c r="AB1698">
        <v>0</v>
      </c>
      <c r="AC1698">
        <v>0</v>
      </c>
      <c r="AD1698">
        <v>0</v>
      </c>
      <c r="AE1698">
        <v>0</v>
      </c>
      <c r="AF1698">
        <v>1</v>
      </c>
      <c r="AG1698">
        <v>0</v>
      </c>
      <c r="AH1698">
        <v>0</v>
      </c>
      <c r="AI1698">
        <v>0</v>
      </c>
      <c r="AJ1698">
        <v>0</v>
      </c>
      <c r="AK1698">
        <v>0</v>
      </c>
      <c r="AL1698">
        <v>0</v>
      </c>
      <c r="AM1698">
        <v>0</v>
      </c>
      <c r="AN1698">
        <v>0</v>
      </c>
      <c r="AO1698">
        <v>0</v>
      </c>
      <c r="AP1698">
        <v>0</v>
      </c>
      <c r="AQ1698">
        <v>0</v>
      </c>
      <c r="AR1698">
        <v>0</v>
      </c>
      <c r="AS1698">
        <v>0</v>
      </c>
      <c r="AT1698">
        <v>0</v>
      </c>
      <c r="AU1698">
        <v>0</v>
      </c>
      <c r="AV1698">
        <v>0</v>
      </c>
      <c r="AW1698">
        <v>0</v>
      </c>
      <c r="AX1698" s="141">
        <f t="shared" si="2244"/>
        <v>2</v>
      </c>
      <c r="AY1698" s="141">
        <f t="shared" si="2245"/>
        <v>2</v>
      </c>
      <c r="AZ1698">
        <f t="shared" si="2246"/>
        <v>1</v>
      </c>
      <c r="BA1698">
        <f t="shared" si="2247"/>
        <v>1</v>
      </c>
      <c r="BB1698">
        <f t="shared" si="2248"/>
        <v>0</v>
      </c>
      <c r="BC1698">
        <f t="shared" si="2249"/>
        <v>0</v>
      </c>
      <c r="BD1698">
        <f t="shared" si="2250"/>
        <v>0</v>
      </c>
      <c r="BE1698" t="str">
        <f t="array" ref="BE1698">IF(AY1698=1,INDEX($V$7:$AL$7,MATCH(TRUE,INDEX($V1698:$AW1698&lt;&gt;0,),0)),IF(AY1698=0,INDEX($AM$7:$AW$7,MATCH(1,$AM1698:$AW1698,0)),IF(BF1698="Multiple strategies","mixed drivers",IF(BF1698="Supply chain","multiple supply","multiple silviculture"))))</f>
        <v>mixed drivers</v>
      </c>
      <c r="BF1698" s="2" t="str" cm="1">
        <f t="array" ref="BF1698">IF(COUNTIF(AZ1698:BB1698,"&lt;&gt;0")=1,INDEX($V$4:$AW$4,MATCH(TRUE,INDEX($V1698:$AW1698&lt;&gt;0,),0)),IF(COUNTIF(AZ1698:BB1698,"&lt;&gt;0")=0,INDEX($AM$4:$AW$4,MATCH(1,$AM1698:$AW1698,0)),"Multiple strategies"))</f>
        <v>Multiple strategies</v>
      </c>
      <c r="BG1698" s="1" t="s">
        <v>321</v>
      </c>
      <c r="BH1698" t="s">
        <v>2498</v>
      </c>
      <c r="BI1698" s="264" t="s">
        <v>2112</v>
      </c>
      <c r="BJ1698" t="s">
        <v>2499</v>
      </c>
      <c r="BK1698">
        <v>74.117647058823493</v>
      </c>
      <c r="BL1698">
        <v>82.634271099744197</v>
      </c>
      <c r="BM1698" s="143">
        <f t="shared" si="2251"/>
        <v>1.1149068322981366</v>
      </c>
      <c r="BN1698">
        <f t="shared" si="2252"/>
        <v>8.5166240409207035</v>
      </c>
      <c r="BO1698">
        <f t="shared" si="2253"/>
        <v>17380.865389634091</v>
      </c>
      <c r="BP1698" t="s">
        <v>232</v>
      </c>
      <c r="BQ1698" s="143" t="s">
        <v>3255</v>
      </c>
      <c r="BR1698" t="s">
        <v>1194</v>
      </c>
      <c r="BS1698">
        <v>72024.702186804221</v>
      </c>
      <c r="BT1698">
        <v>12625.588954781248</v>
      </c>
      <c r="BU1698" s="144">
        <f t="shared" si="2254"/>
        <v>0.17529526081253835</v>
      </c>
      <c r="BV1698" s="144">
        <f t="shared" si="2255"/>
        <v>-59399.113232022974</v>
      </c>
      <c r="BW1698" s="144"/>
      <c r="BX1698" s="144">
        <f t="shared" si="2256"/>
        <v>-59399.113232022974</v>
      </c>
      <c r="BY1698">
        <f t="shared" si="2185"/>
        <v>-3.4175003315685575</v>
      </c>
      <c r="BZ1698">
        <v>0</v>
      </c>
      <c r="CA1698">
        <v>0</v>
      </c>
      <c r="CB1698">
        <v>0</v>
      </c>
      <c r="CC1698">
        <v>0</v>
      </c>
      <c r="CD1698">
        <v>0</v>
      </c>
      <c r="CE1698">
        <v>0</v>
      </c>
      <c r="CF1698">
        <v>0</v>
      </c>
      <c r="CG1698">
        <v>0</v>
      </c>
      <c r="CH1698">
        <v>0</v>
      </c>
      <c r="CI1698">
        <v>0</v>
      </c>
      <c r="CJ1698">
        <v>0</v>
      </c>
      <c r="CK1698">
        <v>0</v>
      </c>
      <c r="CL1698">
        <v>0</v>
      </c>
      <c r="CM1698">
        <v>1</v>
      </c>
      <c r="CN1698" t="str">
        <f t="shared" si="2257"/>
        <v>refOK</v>
      </c>
      <c r="CO1698">
        <f t="shared" si="2258"/>
        <v>74.117647058823493</v>
      </c>
      <c r="CP1698">
        <f t="shared" si="2259"/>
        <v>82.634271099744197</v>
      </c>
      <c r="CQ1698">
        <f t="shared" si="2260"/>
        <v>17380.865389634091</v>
      </c>
      <c r="CR1698">
        <f t="shared" si="2261"/>
        <v>72024.702186804221</v>
      </c>
      <c r="CS1698">
        <f t="shared" si="2262"/>
        <v>12625.588954781248</v>
      </c>
      <c r="CT1698">
        <f t="shared" si="2263"/>
        <v>-59399.113232022974</v>
      </c>
      <c r="CU1698">
        <f t="shared" si="2264"/>
        <v>-3.4175003315685575</v>
      </c>
      <c r="CV1698" s="2">
        <f t="shared" si="2265"/>
        <v>-0.82470473918746168</v>
      </c>
      <c r="CW1698" s="1" t="s">
        <v>1198</v>
      </c>
      <c r="CX1698" t="str">
        <f t="shared" si="2266"/>
        <v>reg</v>
      </c>
      <c r="CY1698" t="s">
        <v>235</v>
      </c>
      <c r="CZ1698">
        <v>2010</v>
      </c>
      <c r="DA1698">
        <v>2070</v>
      </c>
      <c r="DB1698">
        <f t="shared" si="2267"/>
        <v>60</v>
      </c>
      <c r="DC1698" t="str">
        <f t="shared" si="2268"/>
        <v>31-70</v>
      </c>
      <c r="DD1698">
        <v>1</v>
      </c>
      <c r="DE1698">
        <v>1</v>
      </c>
      <c r="DF1698">
        <v>1</v>
      </c>
      <c r="DG1698">
        <v>1</v>
      </c>
      <c r="DH1698">
        <v>0</v>
      </c>
      <c r="DI1698">
        <f t="shared" si="2269"/>
        <v>4</v>
      </c>
      <c r="DJ1698" t="str">
        <f t="shared" si="2270"/>
        <v>mixedProduct</v>
      </c>
      <c r="DK1698" t="str">
        <f t="shared" si="2271"/>
        <v>Upstream</v>
      </c>
      <c r="DL1698" t="str">
        <f t="shared" si="2272"/>
        <v>Energy</v>
      </c>
      <c r="DM1698" t="str">
        <f t="shared" si="2273"/>
        <v>Pulp/Paper</v>
      </c>
      <c r="DN1698" t="str">
        <f t="shared" si="2274"/>
        <v>Timber</v>
      </c>
      <c r="DO1698">
        <v>0</v>
      </c>
      <c r="DP1698">
        <v>1</v>
      </c>
      <c r="DQ1698" t="s">
        <v>2523</v>
      </c>
      <c r="DR1698" t="s">
        <v>2524</v>
      </c>
      <c r="DS1698">
        <v>0</v>
      </c>
      <c r="DT1698">
        <f t="shared" si="2275"/>
        <v>1</v>
      </c>
      <c r="DU1698" s="143" t="str">
        <f t="shared" si="2276"/>
        <v>external DF used</v>
      </c>
      <c r="DV1698">
        <v>1</v>
      </c>
      <c r="DW1698">
        <v>1</v>
      </c>
      <c r="DX1698">
        <v>1</v>
      </c>
      <c r="DY1698">
        <v>1</v>
      </c>
      <c r="DZ1698">
        <v>0</v>
      </c>
      <c r="EA1698" s="143">
        <v>1</v>
      </c>
      <c r="EB1698">
        <v>1</v>
      </c>
      <c r="EC1698">
        <v>1</v>
      </c>
      <c r="ED1698">
        <v>0</v>
      </c>
      <c r="EE1698">
        <v>0</v>
      </c>
      <c r="EF1698">
        <v>1</v>
      </c>
      <c r="EG1698">
        <v>0</v>
      </c>
      <c r="EH1698">
        <v>0</v>
      </c>
      <c r="EI1698" s="2">
        <v>0</v>
      </c>
      <c r="EK1698" t="str">
        <f t="shared" si="2277"/>
        <v>Whole sector</v>
      </c>
      <c r="EL1698" t="str">
        <f t="shared" si="2278"/>
        <v/>
      </c>
      <c r="EM1698" s="2" t="str">
        <f t="shared" si="2188"/>
        <v/>
      </c>
      <c r="EP1698" t="str">
        <f>IF(ISNUMBER(BU1698),IF(ABS(BU1698-[3]QC_indicators!$B$2)&gt;3*[3]QC_indicators!$C$2,"C ratio",IF(ISNUMBER(BY1698),IF(ABS(BY1698-[3]QC_indicators!$B$1)&gt;3*[3]QC_indicators!$C$1,"DF","no"))),IF(ISNUMBER(BY1698),IF(ABS(BY1698-[3]QC_indicators!$B$1)&gt;3*[3]QC_indicators!$C$1,"DF","no")))</f>
        <v>no</v>
      </c>
      <c r="ET1698" s="264" t="s">
        <v>3259</v>
      </c>
    </row>
    <row r="1699" spans="1:150" hidden="1">
      <c r="A1699" s="1" t="s">
        <v>1422</v>
      </c>
      <c r="B1699" t="s">
        <v>2489</v>
      </c>
      <c r="C1699" t="s">
        <v>2490</v>
      </c>
      <c r="D1699" t="s">
        <v>2491</v>
      </c>
      <c r="E1699" t="s">
        <v>2492</v>
      </c>
      <c r="F1699" t="s">
        <v>2493</v>
      </c>
      <c r="G1699" t="s">
        <v>1428</v>
      </c>
      <c r="H1699" t="s">
        <v>254</v>
      </c>
      <c r="I1699">
        <v>2016</v>
      </c>
      <c r="J1699">
        <v>24</v>
      </c>
      <c r="K1699" t="s">
        <v>2494</v>
      </c>
      <c r="M1699" t="str">
        <f t="shared" si="2193"/>
        <v>Zubizarreta-Gerendiain_2016</v>
      </c>
      <c r="N1699" t="s">
        <v>222</v>
      </c>
      <c r="O1699" s="145" t="s">
        <v>1153</v>
      </c>
      <c r="Q1699" t="s">
        <v>256</v>
      </c>
      <c r="R1699" s="262" t="s">
        <v>223</v>
      </c>
      <c r="S1699" s="1" t="s">
        <v>2505</v>
      </c>
      <c r="T1699" t="s">
        <v>2508</v>
      </c>
      <c r="U1699" t="s">
        <v>2497</v>
      </c>
      <c r="V1699">
        <v>0</v>
      </c>
      <c r="W1699">
        <v>0</v>
      </c>
      <c r="X1699">
        <v>0</v>
      </c>
      <c r="Y1699">
        <v>2</v>
      </c>
      <c r="Z1699">
        <v>0</v>
      </c>
      <c r="AA1699">
        <v>0</v>
      </c>
      <c r="AB1699">
        <v>0</v>
      </c>
      <c r="AC1699">
        <v>0</v>
      </c>
      <c r="AD1699">
        <v>0</v>
      </c>
      <c r="AE1699">
        <v>0</v>
      </c>
      <c r="AF1699">
        <v>1</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s="141">
        <f t="shared" si="2244"/>
        <v>2</v>
      </c>
      <c r="AY1699" s="141">
        <f t="shared" si="2245"/>
        <v>2</v>
      </c>
      <c r="AZ1699">
        <f t="shared" si="2246"/>
        <v>1</v>
      </c>
      <c r="BA1699">
        <f t="shared" si="2247"/>
        <v>1</v>
      </c>
      <c r="BB1699">
        <f t="shared" si="2248"/>
        <v>0</v>
      </c>
      <c r="BC1699">
        <f t="shared" si="2249"/>
        <v>0</v>
      </c>
      <c r="BD1699">
        <f t="shared" si="2250"/>
        <v>0</v>
      </c>
      <c r="BE1699" t="str">
        <f t="array" ref="BE1699">IF(AY1699=1,INDEX($V$7:$AL$7,MATCH(TRUE,INDEX($V1699:$AW1699&lt;&gt;0,),0)),IF(AY1699=0,INDEX($AM$7:$AW$7,MATCH(1,$AM1699:$AW1699,0)),IF(BF1699="Multiple strategies","mixed drivers",IF(BF1699="Supply chain","multiple supply","multiple silviculture"))))</f>
        <v>mixed drivers</v>
      </c>
      <c r="BF1699" s="2" t="str" cm="1">
        <f t="array" ref="BF1699">IF(COUNTIF(AZ1699:BB1699,"&lt;&gt;0")=1,INDEX($V$4:$AW$4,MATCH(TRUE,INDEX($V1699:$AW1699&lt;&gt;0,),0)),IF(COUNTIF(AZ1699:BB1699,"&lt;&gt;0")=0,INDEX($AM$4:$AW$4,MATCH(1,$AM1699:$AW1699,0)),"Multiple strategies"))</f>
        <v>Multiple strategies</v>
      </c>
      <c r="BG1699" s="1" t="s">
        <v>321</v>
      </c>
      <c r="BH1699" t="s">
        <v>2498</v>
      </c>
      <c r="BI1699" s="264" t="s">
        <v>2112</v>
      </c>
      <c r="BJ1699" t="s">
        <v>2499</v>
      </c>
      <c r="BK1699">
        <v>64.910485933503793</v>
      </c>
      <c r="BL1699">
        <v>82.946708463949804</v>
      </c>
      <c r="BM1699" s="143">
        <f t="shared" si="2251"/>
        <v>1.2778630027346098</v>
      </c>
      <c r="BN1699">
        <f t="shared" si="2252"/>
        <v>18.036222530446011</v>
      </c>
      <c r="BO1699">
        <f t="shared" si="2253"/>
        <v>36808.617409073493</v>
      </c>
      <c r="BP1699" s="143" t="s">
        <v>232</v>
      </c>
      <c r="BQ1699" s="143" t="s">
        <v>3255</v>
      </c>
      <c r="BR1699" t="s">
        <v>1194</v>
      </c>
      <c r="BS1699">
        <v>78941.884525139583</v>
      </c>
      <c r="BT1699">
        <v>-46788.009888268192</v>
      </c>
      <c r="BU1699" s="144">
        <f t="shared" si="2254"/>
        <v>-0.59268929503916556</v>
      </c>
      <c r="BV1699" s="144">
        <f t="shared" si="2255"/>
        <v>-125729.89441340778</v>
      </c>
      <c r="BW1699" s="144"/>
      <c r="BX1699" s="144">
        <f t="shared" si="2256"/>
        <v>-125729.89441340778</v>
      </c>
      <c r="BY1699">
        <f t="shared" si="2185"/>
        <v>-3.4157733504658823</v>
      </c>
      <c r="BZ1699">
        <v>0</v>
      </c>
      <c r="CA1699">
        <v>0</v>
      </c>
      <c r="CB1699">
        <v>0</v>
      </c>
      <c r="CC1699">
        <v>0</v>
      </c>
      <c r="CD1699">
        <v>0</v>
      </c>
      <c r="CE1699">
        <v>0</v>
      </c>
      <c r="CF1699">
        <v>0</v>
      </c>
      <c r="CG1699">
        <v>0</v>
      </c>
      <c r="CH1699">
        <v>0</v>
      </c>
      <c r="CI1699">
        <v>0</v>
      </c>
      <c r="CJ1699">
        <v>0</v>
      </c>
      <c r="CK1699">
        <v>0</v>
      </c>
      <c r="CL1699">
        <v>0</v>
      </c>
      <c r="CM1699">
        <v>1</v>
      </c>
      <c r="CN1699" t="str">
        <f t="shared" si="2257"/>
        <v>refOK</v>
      </c>
      <c r="CO1699">
        <f t="shared" si="2258"/>
        <v>64.910485933503793</v>
      </c>
      <c r="CP1699">
        <f t="shared" si="2259"/>
        <v>82.946708463949804</v>
      </c>
      <c r="CQ1699">
        <f t="shared" si="2260"/>
        <v>36808.617409073493</v>
      </c>
      <c r="CR1699">
        <f t="shared" si="2261"/>
        <v>78941.884525139583</v>
      </c>
      <c r="CS1699">
        <f t="shared" si="2262"/>
        <v>-46788.009888268192</v>
      </c>
      <c r="CT1699">
        <f t="shared" si="2263"/>
        <v>-125729.89441340778</v>
      </c>
      <c r="CU1699">
        <f t="shared" si="2264"/>
        <v>-3.4157733504658823</v>
      </c>
      <c r="CV1699" s="2">
        <f t="shared" si="2265"/>
        <v>-1.5926892950391656</v>
      </c>
      <c r="CW1699" s="1" t="s">
        <v>1198</v>
      </c>
      <c r="CX1699" t="str">
        <f t="shared" si="2266"/>
        <v>reg</v>
      </c>
      <c r="CY1699" t="s">
        <v>235</v>
      </c>
      <c r="CZ1699">
        <v>2010</v>
      </c>
      <c r="DA1699">
        <v>2070</v>
      </c>
      <c r="DB1699">
        <f t="shared" si="2267"/>
        <v>60</v>
      </c>
      <c r="DC1699" t="str">
        <f t="shared" si="2268"/>
        <v>31-70</v>
      </c>
      <c r="DD1699">
        <v>1</v>
      </c>
      <c r="DE1699">
        <v>0</v>
      </c>
      <c r="DF1699">
        <v>0</v>
      </c>
      <c r="DG1699">
        <v>0</v>
      </c>
      <c r="DH1699">
        <v>0</v>
      </c>
      <c r="DI1699">
        <f t="shared" si="2269"/>
        <v>1</v>
      </c>
      <c r="DJ1699" t="str">
        <f t="shared" si="2270"/>
        <v>UpstreamInput</v>
      </c>
      <c r="DK1699" t="str">
        <f t="shared" si="2271"/>
        <v>Upstream</v>
      </c>
      <c r="DL1699">
        <f t="shared" si="2272"/>
        <v>0</v>
      </c>
      <c r="DM1699">
        <f t="shared" si="2273"/>
        <v>0</v>
      </c>
      <c r="DN1699">
        <f t="shared" si="2274"/>
        <v>0</v>
      </c>
      <c r="DO1699">
        <v>0</v>
      </c>
      <c r="DP1699">
        <v>0</v>
      </c>
      <c r="DQ1699">
        <v>0</v>
      </c>
      <c r="DR1699">
        <v>0</v>
      </c>
      <c r="DS1699">
        <v>0</v>
      </c>
      <c r="DT1699">
        <f t="shared" si="2275"/>
        <v>0</v>
      </c>
      <c r="DU1699" s="143" t="str">
        <f t="shared" si="2276"/>
        <v>explicit C balance</v>
      </c>
      <c r="DV1699">
        <v>1</v>
      </c>
      <c r="DW1699">
        <v>1</v>
      </c>
      <c r="DX1699">
        <v>1</v>
      </c>
      <c r="DY1699">
        <v>1</v>
      </c>
      <c r="DZ1699">
        <v>0</v>
      </c>
      <c r="EA1699" s="143">
        <v>0</v>
      </c>
      <c r="EB1699">
        <v>0</v>
      </c>
      <c r="EC1699">
        <v>0</v>
      </c>
      <c r="ED1699">
        <v>0</v>
      </c>
      <c r="EE1699">
        <v>0</v>
      </c>
      <c r="EF1699">
        <v>1</v>
      </c>
      <c r="EG1699">
        <v>0</v>
      </c>
      <c r="EH1699">
        <v>0</v>
      </c>
      <c r="EI1699" s="2">
        <v>0</v>
      </c>
      <c r="EK1699" t="str">
        <f t="shared" si="2277"/>
        <v/>
      </c>
      <c r="EL1699" t="str">
        <f t="shared" si="2278"/>
        <v>Ecosystem approach</v>
      </c>
      <c r="EM1699" s="2" t="str">
        <f t="shared" si="2188"/>
        <v/>
      </c>
      <c r="EN1699" t="s">
        <v>2507</v>
      </c>
      <c r="EP1699" t="str">
        <f>IF(ISNUMBER(BU1699),IF(ABS(BU1699-[3]QC_indicators!$B$2)&gt;3*[3]QC_indicators!$C$2,"C ratio",IF(ISNUMBER(BY1699),IF(ABS(BY1699-[3]QC_indicators!$B$1)&gt;3*[3]QC_indicators!$C$1,"DF","no"))),IF(ISNUMBER(BY1699),IF(ABS(BY1699-[3]QC_indicators!$B$1)&gt;3*[3]QC_indicators!$C$1,"DF","no")))</f>
        <v>no</v>
      </c>
      <c r="ET1699" s="264" t="s">
        <v>3256</v>
      </c>
    </row>
    <row r="1700" spans="1:150" hidden="1">
      <c r="A1700" s="1" t="s">
        <v>1422</v>
      </c>
      <c r="B1700" t="s">
        <v>2489</v>
      </c>
      <c r="C1700" t="s">
        <v>2490</v>
      </c>
      <c r="D1700" t="s">
        <v>2491</v>
      </c>
      <c r="E1700" t="s">
        <v>2492</v>
      </c>
      <c r="F1700" t="s">
        <v>2493</v>
      </c>
      <c r="G1700" t="s">
        <v>1428</v>
      </c>
      <c r="H1700" t="s">
        <v>254</v>
      </c>
      <c r="I1700">
        <v>2016</v>
      </c>
      <c r="J1700">
        <v>24</v>
      </c>
      <c r="K1700" t="s">
        <v>2494</v>
      </c>
      <c r="M1700" t="str">
        <f t="shared" si="2193"/>
        <v>Zubizarreta-Gerendiain_2016</v>
      </c>
      <c r="N1700" t="s">
        <v>222</v>
      </c>
      <c r="O1700" s="145" t="s">
        <v>1153</v>
      </c>
      <c r="Q1700" t="s">
        <v>256</v>
      </c>
      <c r="R1700" s="262" t="s">
        <v>223</v>
      </c>
      <c r="S1700" s="1" t="s">
        <v>2505</v>
      </c>
      <c r="T1700" t="s">
        <v>2508</v>
      </c>
      <c r="U1700" t="s">
        <v>2497</v>
      </c>
      <c r="V1700">
        <v>0</v>
      </c>
      <c r="W1700">
        <v>0</v>
      </c>
      <c r="X1700">
        <v>0</v>
      </c>
      <c r="Y1700">
        <v>2</v>
      </c>
      <c r="Z1700">
        <v>0</v>
      </c>
      <c r="AA1700">
        <v>0</v>
      </c>
      <c r="AB1700">
        <v>0</v>
      </c>
      <c r="AC1700">
        <v>0</v>
      </c>
      <c r="AD1700">
        <v>0</v>
      </c>
      <c r="AE1700">
        <v>0</v>
      </c>
      <c r="AF1700">
        <v>1</v>
      </c>
      <c r="AG1700">
        <v>0</v>
      </c>
      <c r="AH1700">
        <v>0</v>
      </c>
      <c r="AI1700">
        <v>0</v>
      </c>
      <c r="AJ1700">
        <v>0</v>
      </c>
      <c r="AK1700">
        <v>0</v>
      </c>
      <c r="AL1700">
        <v>0</v>
      </c>
      <c r="AM1700">
        <v>0</v>
      </c>
      <c r="AN1700">
        <v>0</v>
      </c>
      <c r="AO1700">
        <v>0</v>
      </c>
      <c r="AP1700">
        <v>0</v>
      </c>
      <c r="AQ1700">
        <v>0</v>
      </c>
      <c r="AR1700">
        <v>0</v>
      </c>
      <c r="AS1700">
        <v>0</v>
      </c>
      <c r="AT1700">
        <v>0</v>
      </c>
      <c r="AU1700">
        <v>0</v>
      </c>
      <c r="AV1700">
        <v>0</v>
      </c>
      <c r="AW1700">
        <v>0</v>
      </c>
      <c r="AX1700" s="141">
        <f t="shared" si="2244"/>
        <v>2</v>
      </c>
      <c r="AY1700" s="141">
        <f t="shared" si="2245"/>
        <v>2</v>
      </c>
      <c r="AZ1700">
        <f t="shared" si="2246"/>
        <v>1</v>
      </c>
      <c r="BA1700">
        <f t="shared" si="2247"/>
        <v>1</v>
      </c>
      <c r="BB1700">
        <f t="shared" si="2248"/>
        <v>0</v>
      </c>
      <c r="BC1700">
        <f t="shared" si="2249"/>
        <v>0</v>
      </c>
      <c r="BD1700">
        <f t="shared" si="2250"/>
        <v>0</v>
      </c>
      <c r="BE1700" t="str">
        <f t="array" ref="BE1700">IF(AY1700=1,INDEX($V$7:$AL$7,MATCH(TRUE,INDEX($V1700:$AW1700&lt;&gt;0,),0)),IF(AY1700=0,INDEX($AM$7:$AW$7,MATCH(1,$AM1700:$AW1700,0)),IF(BF1700="Multiple strategies","mixed drivers",IF(BF1700="Supply chain","multiple supply","multiple silviculture"))))</f>
        <v>mixed drivers</v>
      </c>
      <c r="BF1700" s="2" t="str" cm="1">
        <f t="array" ref="BF1700">IF(COUNTIF(AZ1700:BB1700,"&lt;&gt;0")=1,INDEX($V$4:$AW$4,MATCH(TRUE,INDEX($V1700:$AW1700&lt;&gt;0,),0)),IF(COUNTIF(AZ1700:BB1700,"&lt;&gt;0")=0,INDEX($AM$4:$AW$4,MATCH(1,$AM1700:$AW1700,0)),"Multiple strategies"))</f>
        <v>Multiple strategies</v>
      </c>
      <c r="BG1700" s="1" t="s">
        <v>321</v>
      </c>
      <c r="BH1700" t="s">
        <v>2498</v>
      </c>
      <c r="BI1700" s="264" t="s">
        <v>2112</v>
      </c>
      <c r="BJ1700" t="s">
        <v>2499</v>
      </c>
      <c r="BK1700">
        <v>64.910485933503793</v>
      </c>
      <c r="BL1700">
        <v>82.946708463949804</v>
      </c>
      <c r="BM1700" s="143">
        <f t="shared" si="2251"/>
        <v>1.2778630027346098</v>
      </c>
      <c r="BN1700">
        <f t="shared" si="2252"/>
        <v>18.036222530446011</v>
      </c>
      <c r="BO1700">
        <f t="shared" si="2253"/>
        <v>36808.617409073493</v>
      </c>
      <c r="BP1700" s="143" t="s">
        <v>232</v>
      </c>
      <c r="BQ1700" s="143" t="s">
        <v>3255</v>
      </c>
      <c r="BR1700" t="s">
        <v>1194</v>
      </c>
      <c r="BS1700">
        <v>-4328.4062011172464</v>
      </c>
      <c r="BT1700">
        <v>-114599.70703910608</v>
      </c>
      <c r="BU1700" s="144">
        <f t="shared" si="2254"/>
        <v>26.476190476190904</v>
      </c>
      <c r="BV1700" s="144">
        <f t="shared" si="2255"/>
        <v>-110271.30083798883</v>
      </c>
      <c r="BW1700" s="144"/>
      <c r="BX1700" s="144">
        <f t="shared" si="2256"/>
        <v>-110271.30083798883</v>
      </c>
      <c r="BY1700">
        <f t="shared" si="2185"/>
        <v>-2.995801217211882</v>
      </c>
      <c r="BZ1700">
        <v>0</v>
      </c>
      <c r="CA1700">
        <v>0</v>
      </c>
      <c r="CB1700">
        <v>0</v>
      </c>
      <c r="CC1700">
        <v>0</v>
      </c>
      <c r="CD1700">
        <v>0</v>
      </c>
      <c r="CE1700">
        <v>0</v>
      </c>
      <c r="CF1700">
        <v>0</v>
      </c>
      <c r="CG1700">
        <v>0</v>
      </c>
      <c r="CH1700">
        <v>0</v>
      </c>
      <c r="CI1700">
        <v>0</v>
      </c>
      <c r="CJ1700">
        <v>0</v>
      </c>
      <c r="CK1700">
        <v>0</v>
      </c>
      <c r="CL1700">
        <v>0</v>
      </c>
      <c r="CM1700">
        <v>1</v>
      </c>
      <c r="CN1700" t="str">
        <f t="shared" si="2257"/>
        <v>refOK</v>
      </c>
      <c r="CO1700">
        <f t="shared" si="2258"/>
        <v>64.910485933503793</v>
      </c>
      <c r="CP1700">
        <f t="shared" si="2259"/>
        <v>82.946708463949804</v>
      </c>
      <c r="CQ1700">
        <f t="shared" si="2260"/>
        <v>36808.617409073493</v>
      </c>
      <c r="CR1700">
        <f t="shared" si="2261"/>
        <v>-4328.4062011172464</v>
      </c>
      <c r="CS1700">
        <f t="shared" si="2262"/>
        <v>-114599.70703910608</v>
      </c>
      <c r="CT1700">
        <f t="shared" si="2263"/>
        <v>-110271.30083798883</v>
      </c>
      <c r="CU1700">
        <f t="shared" si="2264"/>
        <v>-2.995801217211882</v>
      </c>
      <c r="CV1700" s="2">
        <f t="shared" si="2265"/>
        <v>-25.476190476190901</v>
      </c>
      <c r="CW1700" s="1" t="s">
        <v>1198</v>
      </c>
      <c r="CX1700" t="str">
        <f t="shared" si="2266"/>
        <v>reg</v>
      </c>
      <c r="CY1700" t="s">
        <v>235</v>
      </c>
      <c r="CZ1700">
        <v>2010</v>
      </c>
      <c r="DA1700">
        <v>2070</v>
      </c>
      <c r="DB1700">
        <f t="shared" si="2267"/>
        <v>60</v>
      </c>
      <c r="DC1700" t="str">
        <f t="shared" si="2268"/>
        <v>31-70</v>
      </c>
      <c r="DD1700">
        <v>1</v>
      </c>
      <c r="DE1700">
        <v>1</v>
      </c>
      <c r="DF1700">
        <v>1</v>
      </c>
      <c r="DG1700">
        <v>1</v>
      </c>
      <c r="DH1700">
        <v>0</v>
      </c>
      <c r="DI1700">
        <f t="shared" si="2269"/>
        <v>4</v>
      </c>
      <c r="DJ1700" t="str">
        <f t="shared" si="2270"/>
        <v>mixedProduct</v>
      </c>
      <c r="DK1700" t="str">
        <f t="shared" si="2271"/>
        <v>Upstream</v>
      </c>
      <c r="DL1700" t="str">
        <f t="shared" si="2272"/>
        <v>Energy</v>
      </c>
      <c r="DM1700" t="str">
        <f t="shared" si="2273"/>
        <v>Pulp/Paper</v>
      </c>
      <c r="DN1700" t="str">
        <f t="shared" si="2274"/>
        <v>Timber</v>
      </c>
      <c r="DO1700">
        <v>0</v>
      </c>
      <c r="DP1700">
        <v>0</v>
      </c>
      <c r="DQ1700">
        <v>0</v>
      </c>
      <c r="DR1700">
        <v>0</v>
      </c>
      <c r="DS1700">
        <v>0</v>
      </c>
      <c r="DT1700">
        <f t="shared" si="2275"/>
        <v>0</v>
      </c>
      <c r="DU1700" s="143" t="str">
        <f t="shared" si="2276"/>
        <v>explicit C balance</v>
      </c>
      <c r="DV1700">
        <v>1</v>
      </c>
      <c r="DW1700">
        <v>1</v>
      </c>
      <c r="DX1700">
        <v>1</v>
      </c>
      <c r="DY1700">
        <v>0</v>
      </c>
      <c r="DZ1700">
        <v>0</v>
      </c>
      <c r="EA1700" s="143">
        <v>0</v>
      </c>
      <c r="EB1700">
        <v>1</v>
      </c>
      <c r="EC1700">
        <v>1</v>
      </c>
      <c r="ED1700">
        <v>0</v>
      </c>
      <c r="EE1700">
        <v>0</v>
      </c>
      <c r="EF1700">
        <v>1</v>
      </c>
      <c r="EG1700">
        <v>0</v>
      </c>
      <c r="EH1700">
        <v>0</v>
      </c>
      <c r="EI1700" s="2">
        <v>0</v>
      </c>
      <c r="EK1700" t="str">
        <f t="shared" si="2277"/>
        <v>Whole sector</v>
      </c>
      <c r="EL1700" t="str">
        <f t="shared" si="2278"/>
        <v/>
      </c>
      <c r="EM1700" s="2" t="str">
        <f t="shared" si="2188"/>
        <v/>
      </c>
      <c r="EN1700" t="s">
        <v>2507</v>
      </c>
      <c r="EP1700" t="str">
        <f>IF(ISNUMBER(BU1700),IF(ABS(BU1700-[3]QC_indicators!$B$2)&gt;3*[3]QC_indicators!$C$2,"C ratio",IF(ISNUMBER(BY1700),IF(ABS(BY1700-[3]QC_indicators!$B$1)&gt;3*[3]QC_indicators!$C$1,"DF","no"))),IF(ISNUMBER(BY1700),IF(ABS(BY1700-[3]QC_indicators!$B$1)&gt;3*[3]QC_indicators!$C$1,"DF","no")))</f>
        <v>C ratio</v>
      </c>
      <c r="EQ1700" t="s">
        <v>2500</v>
      </c>
      <c r="ET1700" s="264" t="s">
        <v>3256</v>
      </c>
    </row>
    <row r="1701" spans="1:150" hidden="1">
      <c r="A1701" s="1" t="s">
        <v>1422</v>
      </c>
      <c r="B1701" t="s">
        <v>2489</v>
      </c>
      <c r="C1701" t="s">
        <v>2490</v>
      </c>
      <c r="D1701" t="s">
        <v>2491</v>
      </c>
      <c r="E1701" t="s">
        <v>2492</v>
      </c>
      <c r="F1701" t="s">
        <v>2493</v>
      </c>
      <c r="G1701" t="s">
        <v>1428</v>
      </c>
      <c r="H1701" t="s">
        <v>254</v>
      </c>
      <c r="I1701">
        <v>2016</v>
      </c>
      <c r="J1701">
        <v>24</v>
      </c>
      <c r="K1701" t="s">
        <v>2494</v>
      </c>
      <c r="M1701" t="str">
        <f t="shared" si="2193"/>
        <v>Zubizarreta-Gerendiain_2016</v>
      </c>
      <c r="N1701" t="s">
        <v>222</v>
      </c>
      <c r="O1701" s="145" t="s">
        <v>1153</v>
      </c>
      <c r="Q1701" t="s">
        <v>256</v>
      </c>
      <c r="R1701" s="262" t="s">
        <v>223</v>
      </c>
      <c r="S1701" s="1" t="s">
        <v>2505</v>
      </c>
      <c r="T1701" t="s">
        <v>2506</v>
      </c>
      <c r="U1701" t="s">
        <v>2503</v>
      </c>
      <c r="V1701">
        <v>0</v>
      </c>
      <c r="W1701">
        <v>0</v>
      </c>
      <c r="X1701">
        <v>0</v>
      </c>
      <c r="Y1701">
        <v>2</v>
      </c>
      <c r="Z1701">
        <v>0</v>
      </c>
      <c r="AA1701">
        <v>0</v>
      </c>
      <c r="AB1701">
        <v>0</v>
      </c>
      <c r="AC1701">
        <v>0</v>
      </c>
      <c r="AD1701">
        <v>0</v>
      </c>
      <c r="AE1701">
        <v>0</v>
      </c>
      <c r="AF1701">
        <v>1</v>
      </c>
      <c r="AG1701">
        <v>0</v>
      </c>
      <c r="AH1701">
        <v>0</v>
      </c>
      <c r="AI1701">
        <v>0</v>
      </c>
      <c r="AJ1701">
        <v>0</v>
      </c>
      <c r="AK1701">
        <v>0</v>
      </c>
      <c r="AL1701">
        <v>0</v>
      </c>
      <c r="AM1701">
        <v>0</v>
      </c>
      <c r="AN1701">
        <v>0</v>
      </c>
      <c r="AO1701">
        <v>0</v>
      </c>
      <c r="AP1701">
        <v>0</v>
      </c>
      <c r="AQ1701">
        <v>0</v>
      </c>
      <c r="AR1701">
        <v>0</v>
      </c>
      <c r="AS1701">
        <v>0</v>
      </c>
      <c r="AT1701">
        <v>0</v>
      </c>
      <c r="AU1701">
        <v>0</v>
      </c>
      <c r="AV1701">
        <v>0</v>
      </c>
      <c r="AW1701">
        <v>0</v>
      </c>
      <c r="AX1701" s="141">
        <f t="shared" si="2244"/>
        <v>2</v>
      </c>
      <c r="AY1701" s="141">
        <f t="shared" si="2245"/>
        <v>2</v>
      </c>
      <c r="AZ1701">
        <f t="shared" si="2246"/>
        <v>1</v>
      </c>
      <c r="BA1701">
        <f t="shared" si="2247"/>
        <v>1</v>
      </c>
      <c r="BB1701">
        <f t="shared" si="2248"/>
        <v>0</v>
      </c>
      <c r="BC1701">
        <f t="shared" si="2249"/>
        <v>0</v>
      </c>
      <c r="BD1701">
        <f t="shared" si="2250"/>
        <v>0</v>
      </c>
      <c r="BE1701" t="str">
        <f t="array" ref="BE1701">IF(AY1701=1,INDEX($V$7:$AL$7,MATCH(TRUE,INDEX($V1701:$AW1701&lt;&gt;0,),0)),IF(AY1701=0,INDEX($AM$7:$AW$7,MATCH(1,$AM1701:$AW1701,0)),IF(BF1701="Multiple strategies","mixed drivers",IF(BF1701="Supply chain","multiple supply","multiple silviculture"))))</f>
        <v>mixed drivers</v>
      </c>
      <c r="BF1701" s="2" t="str" cm="1">
        <f t="array" ref="BF1701">IF(COUNTIF(AZ1701:BB1701,"&lt;&gt;0")=1,INDEX($V$4:$AW$4,MATCH(TRUE,INDEX($V1701:$AW1701&lt;&gt;0,),0)),IF(COUNTIF(AZ1701:BB1701,"&lt;&gt;0")=0,INDEX($AM$4:$AW$4,MATCH(1,$AM1701:$AW1701,0)),"Multiple strategies"))</f>
        <v>Multiple strategies</v>
      </c>
      <c r="BG1701" s="1" t="s">
        <v>321</v>
      </c>
      <c r="BH1701" t="s">
        <v>2498</v>
      </c>
      <c r="BI1701" s="264" t="s">
        <v>2112</v>
      </c>
      <c r="BJ1701" t="s">
        <v>2499</v>
      </c>
      <c r="BK1701">
        <v>64.910485933503793</v>
      </c>
      <c r="BL1701">
        <v>82.634271099744197</v>
      </c>
      <c r="BM1701" s="143">
        <f t="shared" si="2251"/>
        <v>1.273049645390071</v>
      </c>
      <c r="BN1701">
        <f t="shared" si="2252"/>
        <v>17.723785166240404</v>
      </c>
      <c r="BO1701">
        <f t="shared" si="2253"/>
        <v>36170.990135184496</v>
      </c>
      <c r="BP1701" s="143" t="s">
        <v>232</v>
      </c>
      <c r="BQ1701" s="143" t="s">
        <v>3255</v>
      </c>
      <c r="BR1701" t="s">
        <v>1194</v>
      </c>
      <c r="BS1701">
        <v>120401.57301704831</v>
      </c>
      <c r="BT1701">
        <v>12625.588954781248</v>
      </c>
      <c r="BU1701" s="144">
        <f t="shared" si="2254"/>
        <v>0.10486232561923026</v>
      </c>
      <c r="BV1701" s="144">
        <f t="shared" si="2255"/>
        <v>-107775.98406226706</v>
      </c>
      <c r="BW1701" s="144"/>
      <c r="BX1701" s="144">
        <f t="shared" si="2256"/>
        <v>-107775.98406226706</v>
      </c>
      <c r="BY1701">
        <f t="shared" si="2185"/>
        <v>-2.9796249331154043</v>
      </c>
      <c r="BZ1701">
        <v>0</v>
      </c>
      <c r="CA1701">
        <v>0</v>
      </c>
      <c r="CB1701">
        <v>0</v>
      </c>
      <c r="CC1701">
        <v>0</v>
      </c>
      <c r="CD1701">
        <v>0</v>
      </c>
      <c r="CE1701">
        <v>0</v>
      </c>
      <c r="CF1701">
        <v>0</v>
      </c>
      <c r="CG1701">
        <v>0</v>
      </c>
      <c r="CH1701">
        <v>0</v>
      </c>
      <c r="CI1701">
        <v>0</v>
      </c>
      <c r="CJ1701">
        <v>0</v>
      </c>
      <c r="CK1701">
        <v>0</v>
      </c>
      <c r="CL1701">
        <v>0</v>
      </c>
      <c r="CM1701">
        <v>1</v>
      </c>
      <c r="CN1701" t="str">
        <f t="shared" si="2257"/>
        <v>refOK</v>
      </c>
      <c r="CO1701">
        <f t="shared" si="2258"/>
        <v>64.910485933503793</v>
      </c>
      <c r="CP1701">
        <f t="shared" si="2259"/>
        <v>82.634271099744197</v>
      </c>
      <c r="CQ1701">
        <f t="shared" si="2260"/>
        <v>36170.990135184496</v>
      </c>
      <c r="CR1701">
        <f t="shared" si="2261"/>
        <v>120401.57301704831</v>
      </c>
      <c r="CS1701">
        <f t="shared" si="2262"/>
        <v>12625.588954781248</v>
      </c>
      <c r="CT1701">
        <f t="shared" si="2263"/>
        <v>-107775.98406226706</v>
      </c>
      <c r="CU1701">
        <f t="shared" si="2264"/>
        <v>-2.9796249331154043</v>
      </c>
      <c r="CV1701" s="2">
        <f t="shared" si="2265"/>
        <v>-0.89513767438076963</v>
      </c>
      <c r="CW1701" s="1" t="s">
        <v>1198</v>
      </c>
      <c r="CX1701" t="str">
        <f t="shared" si="2266"/>
        <v>reg</v>
      </c>
      <c r="CY1701" t="s">
        <v>235</v>
      </c>
      <c r="CZ1701">
        <v>2010</v>
      </c>
      <c r="DA1701">
        <v>2070</v>
      </c>
      <c r="DB1701">
        <f t="shared" si="2267"/>
        <v>60</v>
      </c>
      <c r="DC1701" t="str">
        <f t="shared" si="2268"/>
        <v>31-70</v>
      </c>
      <c r="DD1701">
        <v>1</v>
      </c>
      <c r="DE1701">
        <v>1</v>
      </c>
      <c r="DF1701">
        <v>1</v>
      </c>
      <c r="DG1701">
        <v>1</v>
      </c>
      <c r="DH1701">
        <v>0</v>
      </c>
      <c r="DI1701">
        <f t="shared" si="2269"/>
        <v>4</v>
      </c>
      <c r="DJ1701" t="str">
        <f t="shared" si="2270"/>
        <v>mixedProduct</v>
      </c>
      <c r="DK1701" t="str">
        <f t="shared" si="2271"/>
        <v>Upstream</v>
      </c>
      <c r="DL1701" t="str">
        <f t="shared" si="2272"/>
        <v>Energy</v>
      </c>
      <c r="DM1701" t="str">
        <f t="shared" si="2273"/>
        <v>Pulp/Paper</v>
      </c>
      <c r="DN1701" t="str">
        <f t="shared" si="2274"/>
        <v>Timber</v>
      </c>
      <c r="DO1701">
        <v>0</v>
      </c>
      <c r="DP1701">
        <v>1</v>
      </c>
      <c r="DQ1701" t="s">
        <v>2523</v>
      </c>
      <c r="DR1701" t="s">
        <v>2524</v>
      </c>
      <c r="DS1701">
        <v>0</v>
      </c>
      <c r="DT1701">
        <f t="shared" si="2275"/>
        <v>1</v>
      </c>
      <c r="DU1701" s="143" t="str">
        <f t="shared" si="2276"/>
        <v>external DF used</v>
      </c>
      <c r="DV1701">
        <v>1</v>
      </c>
      <c r="DW1701">
        <v>1</v>
      </c>
      <c r="DX1701">
        <v>1</v>
      </c>
      <c r="DY1701">
        <v>1</v>
      </c>
      <c r="DZ1701">
        <v>0</v>
      </c>
      <c r="EA1701" s="143">
        <v>1</v>
      </c>
      <c r="EB1701">
        <v>1</v>
      </c>
      <c r="EC1701">
        <v>1</v>
      </c>
      <c r="ED1701">
        <v>0</v>
      </c>
      <c r="EE1701">
        <v>0</v>
      </c>
      <c r="EF1701">
        <v>1</v>
      </c>
      <c r="EG1701">
        <v>0</v>
      </c>
      <c r="EH1701">
        <v>0</v>
      </c>
      <c r="EI1701" s="2">
        <v>0</v>
      </c>
      <c r="EK1701" t="str">
        <f t="shared" si="2277"/>
        <v>Whole sector</v>
      </c>
      <c r="EL1701" t="str">
        <f t="shared" si="2278"/>
        <v/>
      </c>
      <c r="EM1701" s="2" t="str">
        <f t="shared" si="2188"/>
        <v/>
      </c>
      <c r="EN1701" t="s">
        <v>2507</v>
      </c>
      <c r="EP1701" t="str">
        <f>IF(ISNUMBER(BU1701),IF(ABS(BU1701-[3]QC_indicators!$B$2)&gt;3*[3]QC_indicators!$C$2,"C ratio",IF(ISNUMBER(BY1701),IF(ABS(BY1701-[3]QC_indicators!$B$1)&gt;3*[3]QC_indicators!$C$1,"DF","no"))),IF(ISNUMBER(BY1701),IF(ABS(BY1701-[3]QC_indicators!$B$1)&gt;3*[3]QC_indicators!$C$1,"DF","no")))</f>
        <v>no</v>
      </c>
      <c r="ET1701" s="264" t="s">
        <v>3259</v>
      </c>
    </row>
    <row r="1702" spans="1:150" hidden="1">
      <c r="A1702" s="1" t="s">
        <v>1422</v>
      </c>
      <c r="B1702" t="s">
        <v>2489</v>
      </c>
      <c r="C1702" t="s">
        <v>2490</v>
      </c>
      <c r="D1702" t="s">
        <v>2491</v>
      </c>
      <c r="E1702" t="s">
        <v>2492</v>
      </c>
      <c r="F1702" t="s">
        <v>2493</v>
      </c>
      <c r="G1702" t="s">
        <v>1428</v>
      </c>
      <c r="H1702" t="s">
        <v>254</v>
      </c>
      <c r="I1702">
        <v>2016</v>
      </c>
      <c r="J1702">
        <v>24</v>
      </c>
      <c r="K1702" t="s">
        <v>2494</v>
      </c>
      <c r="M1702" t="str">
        <f t="shared" si="2193"/>
        <v>Zubizarreta-Gerendiain_2016</v>
      </c>
      <c r="N1702" t="s">
        <v>222</v>
      </c>
      <c r="O1702" s="145" t="s">
        <v>1153</v>
      </c>
      <c r="Q1702" t="s">
        <v>256</v>
      </c>
      <c r="R1702" s="262" t="s">
        <v>223</v>
      </c>
      <c r="S1702" s="1" t="s">
        <v>2505</v>
      </c>
      <c r="T1702" t="s">
        <v>2508</v>
      </c>
      <c r="U1702" t="s">
        <v>2497</v>
      </c>
      <c r="V1702">
        <v>0</v>
      </c>
      <c r="W1702">
        <v>0</v>
      </c>
      <c r="X1702">
        <v>0</v>
      </c>
      <c r="Y1702">
        <v>2</v>
      </c>
      <c r="Z1702">
        <v>0</v>
      </c>
      <c r="AA1702">
        <v>0</v>
      </c>
      <c r="AB1702">
        <v>0</v>
      </c>
      <c r="AC1702">
        <v>0</v>
      </c>
      <c r="AD1702">
        <v>0</v>
      </c>
      <c r="AE1702">
        <v>0</v>
      </c>
      <c r="AF1702">
        <v>1</v>
      </c>
      <c r="AG1702">
        <v>0</v>
      </c>
      <c r="AH1702">
        <v>0</v>
      </c>
      <c r="AI1702">
        <v>0</v>
      </c>
      <c r="AJ1702">
        <v>0</v>
      </c>
      <c r="AK1702">
        <v>0</v>
      </c>
      <c r="AL1702">
        <v>0</v>
      </c>
      <c r="AM1702">
        <v>0</v>
      </c>
      <c r="AN1702">
        <v>0</v>
      </c>
      <c r="AO1702">
        <v>0</v>
      </c>
      <c r="AP1702">
        <v>0</v>
      </c>
      <c r="AQ1702">
        <v>0</v>
      </c>
      <c r="AR1702">
        <v>0</v>
      </c>
      <c r="AS1702">
        <v>0</v>
      </c>
      <c r="AT1702">
        <v>0</v>
      </c>
      <c r="AU1702">
        <v>0</v>
      </c>
      <c r="AV1702">
        <v>0</v>
      </c>
      <c r="AW1702">
        <v>0</v>
      </c>
      <c r="AX1702" s="141">
        <f t="shared" si="2244"/>
        <v>2</v>
      </c>
      <c r="AY1702" s="141">
        <f t="shared" si="2245"/>
        <v>2</v>
      </c>
      <c r="AZ1702">
        <f t="shared" si="2246"/>
        <v>1</v>
      </c>
      <c r="BA1702">
        <f t="shared" si="2247"/>
        <v>1</v>
      </c>
      <c r="BB1702">
        <f t="shared" si="2248"/>
        <v>0</v>
      </c>
      <c r="BC1702">
        <f t="shared" si="2249"/>
        <v>0</v>
      </c>
      <c r="BD1702">
        <f t="shared" si="2250"/>
        <v>0</v>
      </c>
      <c r="BE1702" t="str">
        <f t="array" ref="BE1702">IF(AY1702=1,INDEX($V$7:$AL$7,MATCH(TRUE,INDEX($V1702:$AW1702&lt;&gt;0,),0)),IF(AY1702=0,INDEX($AM$7:$AW$7,MATCH(1,$AM1702:$AW1702,0)),IF(BF1702="Multiple strategies","mixed drivers",IF(BF1702="Supply chain","multiple supply","multiple silviculture"))))</f>
        <v>mixed drivers</v>
      </c>
      <c r="BF1702" s="2" t="str" cm="1">
        <f t="array" ref="BF1702">IF(COUNTIF(AZ1702:BB1702,"&lt;&gt;0")=1,INDEX($V$4:$AW$4,MATCH(TRUE,INDEX($V1702:$AW1702&lt;&gt;0,),0)),IF(COUNTIF(AZ1702:BB1702,"&lt;&gt;0")=0,INDEX($AM$4:$AW$4,MATCH(1,$AM1702:$AW1702,0)),"Multiple strategies"))</f>
        <v>Multiple strategies</v>
      </c>
      <c r="BG1702" s="1" t="s">
        <v>321</v>
      </c>
      <c r="BH1702" t="s">
        <v>2498</v>
      </c>
      <c r="BI1702" s="264" t="s">
        <v>2112</v>
      </c>
      <c r="BJ1702" t="s">
        <v>2499</v>
      </c>
      <c r="BK1702">
        <v>64.910485933503793</v>
      </c>
      <c r="BL1702">
        <v>82.946708463949804</v>
      </c>
      <c r="BM1702" s="143">
        <f t="shared" si="2251"/>
        <v>1.2778630027346098</v>
      </c>
      <c r="BN1702">
        <f t="shared" si="2252"/>
        <v>18.036222530446011</v>
      </c>
      <c r="BO1702">
        <f t="shared" si="2253"/>
        <v>36808.617409073493</v>
      </c>
      <c r="BP1702" s="143" t="s">
        <v>232</v>
      </c>
      <c r="BQ1702" s="143" t="s">
        <v>3255</v>
      </c>
      <c r="BR1702" t="s">
        <v>1194</v>
      </c>
      <c r="BS1702">
        <v>79079.294245810015</v>
      </c>
      <c r="BT1702">
        <v>-27756.76357541895</v>
      </c>
      <c r="BU1702" s="144">
        <f t="shared" si="2254"/>
        <v>-0.35099913119026893</v>
      </c>
      <c r="BV1702" s="144">
        <f t="shared" si="2255"/>
        <v>-106836.05782122897</v>
      </c>
      <c r="BW1702" s="144"/>
      <c r="BX1702" s="144">
        <f t="shared" si="2256"/>
        <v>-106836.05782122897</v>
      </c>
      <c r="BY1702">
        <f t="shared" si="2185"/>
        <v>-2.902474076488768</v>
      </c>
      <c r="BZ1702">
        <v>0</v>
      </c>
      <c r="CA1702">
        <v>0</v>
      </c>
      <c r="CB1702">
        <v>0</v>
      </c>
      <c r="CC1702">
        <v>0</v>
      </c>
      <c r="CD1702">
        <v>0</v>
      </c>
      <c r="CE1702">
        <v>0</v>
      </c>
      <c r="CF1702">
        <v>0</v>
      </c>
      <c r="CG1702">
        <v>0</v>
      </c>
      <c r="CH1702">
        <v>0</v>
      </c>
      <c r="CI1702">
        <v>0</v>
      </c>
      <c r="CJ1702">
        <v>0</v>
      </c>
      <c r="CK1702">
        <v>0</v>
      </c>
      <c r="CL1702">
        <v>0</v>
      </c>
      <c r="CM1702">
        <v>1</v>
      </c>
      <c r="CN1702" t="str">
        <f t="shared" si="2257"/>
        <v>refOK</v>
      </c>
      <c r="CO1702">
        <f t="shared" si="2258"/>
        <v>64.910485933503793</v>
      </c>
      <c r="CP1702">
        <f t="shared" si="2259"/>
        <v>82.946708463949804</v>
      </c>
      <c r="CQ1702">
        <f t="shared" si="2260"/>
        <v>36808.617409073493</v>
      </c>
      <c r="CR1702">
        <f t="shared" si="2261"/>
        <v>79079.294245810015</v>
      </c>
      <c r="CS1702">
        <f t="shared" si="2262"/>
        <v>-27756.76357541895</v>
      </c>
      <c r="CT1702">
        <f t="shared" si="2263"/>
        <v>-106836.05782122897</v>
      </c>
      <c r="CU1702">
        <f t="shared" si="2264"/>
        <v>-2.902474076488768</v>
      </c>
      <c r="CV1702" s="2">
        <f t="shared" si="2265"/>
        <v>-1.3509991311902689</v>
      </c>
      <c r="CW1702" s="1" t="s">
        <v>1198</v>
      </c>
      <c r="CX1702" t="str">
        <f t="shared" si="2266"/>
        <v>reg</v>
      </c>
      <c r="CY1702" t="s">
        <v>235</v>
      </c>
      <c r="CZ1702">
        <v>2010</v>
      </c>
      <c r="DA1702">
        <v>2070</v>
      </c>
      <c r="DB1702">
        <f t="shared" si="2267"/>
        <v>60</v>
      </c>
      <c r="DC1702" t="str">
        <f t="shared" si="2268"/>
        <v>31-70</v>
      </c>
      <c r="DD1702">
        <v>1</v>
      </c>
      <c r="DE1702">
        <v>1</v>
      </c>
      <c r="DF1702">
        <v>1</v>
      </c>
      <c r="DG1702">
        <v>1</v>
      </c>
      <c r="DH1702">
        <v>0</v>
      </c>
      <c r="DI1702">
        <f t="shared" si="2269"/>
        <v>4</v>
      </c>
      <c r="DJ1702" t="str">
        <f t="shared" si="2270"/>
        <v>mixedProduct</v>
      </c>
      <c r="DK1702" t="str">
        <f t="shared" si="2271"/>
        <v>Upstream</v>
      </c>
      <c r="DL1702" t="str">
        <f t="shared" si="2272"/>
        <v>Energy</v>
      </c>
      <c r="DM1702" t="str">
        <f t="shared" si="2273"/>
        <v>Pulp/Paper</v>
      </c>
      <c r="DN1702" t="str">
        <f t="shared" si="2274"/>
        <v>Timber</v>
      </c>
      <c r="DO1702">
        <v>0</v>
      </c>
      <c r="DP1702">
        <v>1</v>
      </c>
      <c r="DQ1702" t="s">
        <v>2523</v>
      </c>
      <c r="DR1702" t="s">
        <v>2524</v>
      </c>
      <c r="DS1702">
        <v>0</v>
      </c>
      <c r="DT1702">
        <f t="shared" si="2275"/>
        <v>1</v>
      </c>
      <c r="DU1702" s="143" t="str">
        <f t="shared" si="2276"/>
        <v>external DF used</v>
      </c>
      <c r="DV1702">
        <v>1</v>
      </c>
      <c r="DW1702">
        <v>1</v>
      </c>
      <c r="DX1702">
        <v>1</v>
      </c>
      <c r="DY1702">
        <v>1</v>
      </c>
      <c r="DZ1702">
        <v>0</v>
      </c>
      <c r="EA1702" s="143">
        <v>1</v>
      </c>
      <c r="EB1702">
        <v>1</v>
      </c>
      <c r="EC1702">
        <v>1</v>
      </c>
      <c r="ED1702">
        <v>0</v>
      </c>
      <c r="EE1702">
        <v>0</v>
      </c>
      <c r="EF1702">
        <v>1</v>
      </c>
      <c r="EG1702">
        <v>0</v>
      </c>
      <c r="EH1702">
        <v>0</v>
      </c>
      <c r="EI1702" s="2">
        <v>0</v>
      </c>
      <c r="EK1702" t="str">
        <f t="shared" si="2277"/>
        <v>Whole sector</v>
      </c>
      <c r="EL1702" t="str">
        <f t="shared" si="2278"/>
        <v/>
      </c>
      <c r="EM1702" s="2" t="str">
        <f t="shared" si="2188"/>
        <v/>
      </c>
      <c r="EN1702" t="s">
        <v>2507</v>
      </c>
      <c r="EP1702" t="str">
        <f>IF(ISNUMBER(BU1702),IF(ABS(BU1702-[3]QC_indicators!$B$2)&gt;3*[3]QC_indicators!$C$2,"C ratio",IF(ISNUMBER(BY1702),IF(ABS(BY1702-[3]QC_indicators!$B$1)&gt;3*[3]QC_indicators!$C$1,"DF","no"))),IF(ISNUMBER(BY1702),IF(ABS(BY1702-[3]QC_indicators!$B$1)&gt;3*[3]QC_indicators!$C$1,"DF","no")))</f>
        <v>no</v>
      </c>
      <c r="ET1702" s="264" t="s">
        <v>3259</v>
      </c>
    </row>
    <row r="1703" spans="1:150" hidden="1">
      <c r="A1703" s="1" t="s">
        <v>1422</v>
      </c>
      <c r="B1703" t="s">
        <v>2489</v>
      </c>
      <c r="C1703" t="s">
        <v>2490</v>
      </c>
      <c r="D1703" t="s">
        <v>2491</v>
      </c>
      <c r="E1703" t="s">
        <v>2492</v>
      </c>
      <c r="F1703" t="s">
        <v>2493</v>
      </c>
      <c r="G1703" t="s">
        <v>1428</v>
      </c>
      <c r="H1703" t="s">
        <v>254</v>
      </c>
      <c r="I1703">
        <v>2016</v>
      </c>
      <c r="J1703">
        <v>24</v>
      </c>
      <c r="K1703" t="s">
        <v>2494</v>
      </c>
      <c r="M1703" t="str">
        <f t="shared" si="2193"/>
        <v>Zubizarreta-Gerendiain_2016</v>
      </c>
      <c r="N1703" t="s">
        <v>222</v>
      </c>
      <c r="O1703" s="145" t="s">
        <v>1153</v>
      </c>
      <c r="Q1703" t="s">
        <v>256</v>
      </c>
      <c r="R1703" s="262" t="s">
        <v>223</v>
      </c>
      <c r="S1703" s="1" t="s">
        <v>2505</v>
      </c>
      <c r="T1703" t="s">
        <v>2506</v>
      </c>
      <c r="U1703" t="s">
        <v>2503</v>
      </c>
      <c r="V1703">
        <v>0</v>
      </c>
      <c r="W1703">
        <v>0</v>
      </c>
      <c r="X1703">
        <v>0</v>
      </c>
      <c r="Y1703">
        <v>2</v>
      </c>
      <c r="Z1703">
        <v>0</v>
      </c>
      <c r="AA1703">
        <v>0</v>
      </c>
      <c r="AB1703">
        <v>0</v>
      </c>
      <c r="AC1703">
        <v>0</v>
      </c>
      <c r="AD1703">
        <v>0</v>
      </c>
      <c r="AE1703">
        <v>0</v>
      </c>
      <c r="AF1703">
        <v>1</v>
      </c>
      <c r="AG1703">
        <v>0</v>
      </c>
      <c r="AH1703">
        <v>0</v>
      </c>
      <c r="AI1703">
        <v>0</v>
      </c>
      <c r="AJ1703">
        <v>0</v>
      </c>
      <c r="AK1703">
        <v>0</v>
      </c>
      <c r="AL1703">
        <v>0</v>
      </c>
      <c r="AM1703">
        <v>0</v>
      </c>
      <c r="AN1703">
        <v>0</v>
      </c>
      <c r="AO1703">
        <v>0</v>
      </c>
      <c r="AP1703">
        <v>0</v>
      </c>
      <c r="AQ1703">
        <v>0</v>
      </c>
      <c r="AR1703">
        <v>0</v>
      </c>
      <c r="AS1703">
        <v>0</v>
      </c>
      <c r="AT1703">
        <v>0</v>
      </c>
      <c r="AU1703">
        <v>0</v>
      </c>
      <c r="AV1703">
        <v>0</v>
      </c>
      <c r="AW1703">
        <v>0</v>
      </c>
      <c r="AX1703" s="141">
        <f t="shared" si="2244"/>
        <v>2</v>
      </c>
      <c r="AY1703" s="141">
        <f t="shared" si="2245"/>
        <v>2</v>
      </c>
      <c r="AZ1703">
        <f t="shared" si="2246"/>
        <v>1</v>
      </c>
      <c r="BA1703">
        <f t="shared" si="2247"/>
        <v>1</v>
      </c>
      <c r="BB1703">
        <f t="shared" si="2248"/>
        <v>0</v>
      </c>
      <c r="BC1703">
        <f t="shared" si="2249"/>
        <v>0</v>
      </c>
      <c r="BD1703">
        <f t="shared" si="2250"/>
        <v>0</v>
      </c>
      <c r="BE1703" t="str">
        <f t="array" ref="BE1703">IF(AY1703=1,INDEX($V$7:$AL$7,MATCH(TRUE,INDEX($V1703:$AW1703&lt;&gt;0,),0)),IF(AY1703=0,INDEX($AM$7:$AW$7,MATCH(1,$AM1703:$AW1703,0)),IF(BF1703="Multiple strategies","mixed drivers",IF(BF1703="Supply chain","multiple supply","multiple silviculture"))))</f>
        <v>mixed drivers</v>
      </c>
      <c r="BF1703" s="2" t="str" cm="1">
        <f t="array" ref="BF1703">IF(COUNTIF(AZ1703:BB1703,"&lt;&gt;0")=1,INDEX($V$4:$AW$4,MATCH(TRUE,INDEX($V1703:$AW1703&lt;&gt;0,),0)),IF(COUNTIF(AZ1703:BB1703,"&lt;&gt;0")=0,INDEX($AM$4:$AW$4,MATCH(1,$AM1703:$AW1703,0)),"Multiple strategies"))</f>
        <v>Multiple strategies</v>
      </c>
      <c r="BG1703" s="1" t="s">
        <v>321</v>
      </c>
      <c r="BH1703" t="s">
        <v>2498</v>
      </c>
      <c r="BI1703" s="264" t="s">
        <v>2112</v>
      </c>
      <c r="BJ1703" t="s">
        <v>2499</v>
      </c>
      <c r="BK1703">
        <v>64.910485933503793</v>
      </c>
      <c r="BL1703">
        <v>82.634271099744197</v>
      </c>
      <c r="BM1703" s="143">
        <f t="shared" si="2251"/>
        <v>1.273049645390071</v>
      </c>
      <c r="BN1703">
        <f t="shared" si="2252"/>
        <v>17.723785166240404</v>
      </c>
      <c r="BO1703">
        <f t="shared" si="2253"/>
        <v>36170.990135184496</v>
      </c>
      <c r="BP1703" s="143" t="s">
        <v>232</v>
      </c>
      <c r="BQ1703" s="143" t="s">
        <v>3255</v>
      </c>
      <c r="BR1703" t="s">
        <v>1194</v>
      </c>
      <c r="BS1703">
        <v>10626.584664536607</v>
      </c>
      <c r="BT1703">
        <v>-87418.696485623019</v>
      </c>
      <c r="BU1703" s="144">
        <f t="shared" si="2254"/>
        <v>-8.2264150943397283</v>
      </c>
      <c r="BV1703" s="144">
        <f t="shared" si="2255"/>
        <v>-98045.28115015963</v>
      </c>
      <c r="BW1703" s="144"/>
      <c r="BX1703" s="144">
        <f t="shared" si="2256"/>
        <v>-98045.28115015963</v>
      </c>
      <c r="BY1703">
        <f t="shared" si="2185"/>
        <v>-2.7106053990705758</v>
      </c>
      <c r="BZ1703">
        <v>0</v>
      </c>
      <c r="CA1703">
        <v>0</v>
      </c>
      <c r="CB1703">
        <v>0</v>
      </c>
      <c r="CC1703">
        <v>0</v>
      </c>
      <c r="CD1703">
        <v>0</v>
      </c>
      <c r="CE1703">
        <v>0</v>
      </c>
      <c r="CF1703">
        <v>0</v>
      </c>
      <c r="CG1703">
        <v>0</v>
      </c>
      <c r="CH1703">
        <v>0</v>
      </c>
      <c r="CI1703">
        <v>0</v>
      </c>
      <c r="CJ1703">
        <v>0</v>
      </c>
      <c r="CK1703">
        <v>0</v>
      </c>
      <c r="CL1703">
        <v>0</v>
      </c>
      <c r="CM1703">
        <v>1</v>
      </c>
      <c r="CN1703" t="str">
        <f t="shared" si="2257"/>
        <v>refOK</v>
      </c>
      <c r="CO1703">
        <f t="shared" si="2258"/>
        <v>64.910485933503793</v>
      </c>
      <c r="CP1703">
        <f t="shared" si="2259"/>
        <v>82.634271099744197</v>
      </c>
      <c r="CQ1703">
        <f t="shared" si="2260"/>
        <v>36170.990135184496</v>
      </c>
      <c r="CR1703">
        <f t="shared" si="2261"/>
        <v>10626.584664536607</v>
      </c>
      <c r="CS1703">
        <f t="shared" si="2262"/>
        <v>-87418.696485623019</v>
      </c>
      <c r="CT1703">
        <f t="shared" si="2263"/>
        <v>-98045.28115015963</v>
      </c>
      <c r="CU1703">
        <f t="shared" si="2264"/>
        <v>-2.7106053990705758</v>
      </c>
      <c r="CV1703" s="2">
        <f t="shared" si="2265"/>
        <v>-9.2264150943397283</v>
      </c>
      <c r="CW1703" s="1" t="s">
        <v>1198</v>
      </c>
      <c r="CX1703" t="str">
        <f t="shared" si="2266"/>
        <v>reg</v>
      </c>
      <c r="CY1703" t="s">
        <v>235</v>
      </c>
      <c r="CZ1703">
        <v>2010</v>
      </c>
      <c r="DA1703">
        <v>2070</v>
      </c>
      <c r="DB1703">
        <f t="shared" si="2267"/>
        <v>60</v>
      </c>
      <c r="DC1703" t="str">
        <f t="shared" si="2268"/>
        <v>31-70</v>
      </c>
      <c r="DD1703">
        <v>1</v>
      </c>
      <c r="DE1703">
        <v>1</v>
      </c>
      <c r="DF1703">
        <v>1</v>
      </c>
      <c r="DG1703">
        <v>1</v>
      </c>
      <c r="DH1703">
        <v>0</v>
      </c>
      <c r="DI1703">
        <f t="shared" si="2269"/>
        <v>4</v>
      </c>
      <c r="DJ1703" t="str">
        <f t="shared" si="2270"/>
        <v>mixedProduct</v>
      </c>
      <c r="DK1703" t="str">
        <f t="shared" si="2271"/>
        <v>Upstream</v>
      </c>
      <c r="DL1703" t="str">
        <f t="shared" si="2272"/>
        <v>Energy</v>
      </c>
      <c r="DM1703" t="str">
        <f t="shared" si="2273"/>
        <v>Pulp/Paper</v>
      </c>
      <c r="DN1703" t="str">
        <f t="shared" si="2274"/>
        <v>Timber</v>
      </c>
      <c r="DO1703">
        <v>0</v>
      </c>
      <c r="DP1703">
        <v>0</v>
      </c>
      <c r="DQ1703">
        <v>0</v>
      </c>
      <c r="DR1703">
        <v>0</v>
      </c>
      <c r="DS1703">
        <v>0</v>
      </c>
      <c r="DT1703">
        <f t="shared" si="2275"/>
        <v>0</v>
      </c>
      <c r="DU1703" s="143" t="str">
        <f t="shared" si="2276"/>
        <v>explicit C balance</v>
      </c>
      <c r="DV1703">
        <v>1</v>
      </c>
      <c r="DW1703">
        <v>1</v>
      </c>
      <c r="DX1703">
        <v>1</v>
      </c>
      <c r="DY1703">
        <v>0</v>
      </c>
      <c r="DZ1703">
        <v>0</v>
      </c>
      <c r="EA1703" s="143">
        <v>0</v>
      </c>
      <c r="EB1703">
        <v>1</v>
      </c>
      <c r="EC1703">
        <v>1</v>
      </c>
      <c r="ED1703">
        <v>0</v>
      </c>
      <c r="EE1703">
        <v>0</v>
      </c>
      <c r="EF1703">
        <v>1</v>
      </c>
      <c r="EG1703">
        <v>0</v>
      </c>
      <c r="EH1703">
        <v>0</v>
      </c>
      <c r="EI1703" s="2">
        <v>0</v>
      </c>
      <c r="EK1703" t="str">
        <f t="shared" si="2277"/>
        <v>Whole sector</v>
      </c>
      <c r="EL1703" t="str">
        <f t="shared" si="2278"/>
        <v/>
      </c>
      <c r="EM1703" s="2" t="str">
        <f t="shared" si="2188"/>
        <v/>
      </c>
      <c r="EN1703" t="s">
        <v>2507</v>
      </c>
      <c r="EP1703" t="str">
        <f>IF(ISNUMBER(BU1703),IF(ABS(BU1703-[3]QC_indicators!$B$2)&gt;3*[3]QC_indicators!$C$2,"C ratio",IF(ISNUMBER(BY1703),IF(ABS(BY1703-[3]QC_indicators!$B$1)&gt;3*[3]QC_indicators!$C$1,"DF","no"))),IF(ISNUMBER(BY1703),IF(ABS(BY1703-[3]QC_indicators!$B$1)&gt;3*[3]QC_indicators!$C$1,"DF","no")))</f>
        <v>no</v>
      </c>
      <c r="ET1703" s="264" t="s">
        <v>3256</v>
      </c>
    </row>
    <row r="1704" spans="1:150" hidden="1">
      <c r="A1704" s="1" t="s">
        <v>1422</v>
      </c>
      <c r="B1704" t="s">
        <v>2489</v>
      </c>
      <c r="C1704" t="s">
        <v>2490</v>
      </c>
      <c r="D1704" t="s">
        <v>2491</v>
      </c>
      <c r="E1704" t="s">
        <v>2492</v>
      </c>
      <c r="F1704" t="s">
        <v>2493</v>
      </c>
      <c r="G1704" t="s">
        <v>1428</v>
      </c>
      <c r="H1704" t="s">
        <v>254</v>
      </c>
      <c r="I1704">
        <v>2016</v>
      </c>
      <c r="J1704">
        <v>24</v>
      </c>
      <c r="K1704" t="s">
        <v>2494</v>
      </c>
      <c r="M1704" t="str">
        <f t="shared" si="2193"/>
        <v>Zubizarreta-Gerendiain_2016</v>
      </c>
      <c r="N1704" t="s">
        <v>222</v>
      </c>
      <c r="O1704" s="145" t="s">
        <v>1153</v>
      </c>
      <c r="Q1704" t="s">
        <v>256</v>
      </c>
      <c r="R1704" s="262" t="s">
        <v>223</v>
      </c>
      <c r="S1704" s="1" t="s">
        <v>2525</v>
      </c>
      <c r="T1704" t="s">
        <v>2508</v>
      </c>
      <c r="U1704" t="s">
        <v>2526</v>
      </c>
      <c r="V1704">
        <v>0</v>
      </c>
      <c r="W1704">
        <v>0</v>
      </c>
      <c r="X1704">
        <v>0</v>
      </c>
      <c r="Y1704">
        <v>1</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s="141">
        <f t="shared" si="2244"/>
        <v>1</v>
      </c>
      <c r="AY1704" s="141">
        <f t="shared" si="2245"/>
        <v>1</v>
      </c>
      <c r="AZ1704">
        <f t="shared" si="2246"/>
        <v>1</v>
      </c>
      <c r="BA1704">
        <f t="shared" si="2247"/>
        <v>0</v>
      </c>
      <c r="BB1704">
        <f t="shared" si="2248"/>
        <v>0</v>
      </c>
      <c r="BC1704">
        <f t="shared" si="2249"/>
        <v>0</v>
      </c>
      <c r="BD1704">
        <f t="shared" si="2250"/>
        <v>0</v>
      </c>
      <c r="BE1704" t="str">
        <f t="array" ref="BE1704">IF(AY1704=1,INDEX($V$7:$AL$7,MATCH(TRUE,INDEX($V1704:$AW1704&lt;&gt;0,),0)),IF(AY1704=0,INDEX($AM$7:$AW$7,MATCH(1,$AM1704:$AW1704,0)),IF(BF1704="Multiple strategies","mixed drivers",IF(BF1704="Supply chain","multiple supply","multiple silviculture"))))</f>
        <v xml:space="preserve">cutting intensity </v>
      </c>
      <c r="BF1704" s="2" t="str" cm="1">
        <f t="array" ref="BF1704">IF(COUNTIF(AZ1704:BB1704,"&lt;&gt;0")=1,INDEX($V$4:$AW$4,MATCH(TRUE,INDEX($V1704:$AW1704&lt;&gt;0,),0)),IF(COUNTIF(AZ1704:BB1704,"&lt;&gt;0")=0,INDEX($AM$4:$AW$4,MATCH(1,$AM1704:$AW1704,0)),"Multiple strategies"))</f>
        <v>Silviculture for removals</v>
      </c>
      <c r="BG1704" s="1" t="s">
        <v>321</v>
      </c>
      <c r="BH1704" t="s">
        <v>2498</v>
      </c>
      <c r="BI1704" s="264" t="s">
        <v>2112</v>
      </c>
      <c r="BJ1704" t="s">
        <v>2499</v>
      </c>
      <c r="BK1704">
        <v>64.910485933503793</v>
      </c>
      <c r="BL1704">
        <v>77.586206896551701</v>
      </c>
      <c r="BM1704" s="143">
        <f t="shared" si="2251"/>
        <v>1.1952800195646862</v>
      </c>
      <c r="BN1704">
        <f t="shared" si="2252"/>
        <v>12.675720963047908</v>
      </c>
      <c r="BO1704">
        <f t="shared" si="2253"/>
        <v>25868.818291934509</v>
      </c>
      <c r="BP1704" t="s">
        <v>232</v>
      </c>
      <c r="BQ1704" s="143" t="s">
        <v>3255</v>
      </c>
      <c r="BR1704" t="s">
        <v>1194</v>
      </c>
      <c r="BS1704">
        <v>-4328.4062011172464</v>
      </c>
      <c r="BT1704">
        <v>-5358.9791061452015</v>
      </c>
      <c r="BU1704" s="144">
        <f t="shared" si="2254"/>
        <v>1.2380952380952472</v>
      </c>
      <c r="BV1704" s="144">
        <f t="shared" si="2255"/>
        <v>-1030.5729050279551</v>
      </c>
      <c r="BW1704" s="144"/>
      <c r="BX1704" s="144">
        <f t="shared" si="2256"/>
        <v>-1030.5729050279551</v>
      </c>
      <c r="BY1704">
        <f t="shared" si="2185"/>
        <v>-3.9838422203818703E-2</v>
      </c>
      <c r="BZ1704">
        <v>0</v>
      </c>
      <c r="CA1704">
        <v>0</v>
      </c>
      <c r="CB1704">
        <v>0</v>
      </c>
      <c r="CC1704">
        <v>0</v>
      </c>
      <c r="CD1704">
        <v>0</v>
      </c>
      <c r="CE1704">
        <v>0</v>
      </c>
      <c r="CF1704">
        <v>0</v>
      </c>
      <c r="CG1704">
        <v>0</v>
      </c>
      <c r="CH1704">
        <v>0</v>
      </c>
      <c r="CI1704">
        <v>0</v>
      </c>
      <c r="CJ1704">
        <v>0</v>
      </c>
      <c r="CK1704">
        <v>0</v>
      </c>
      <c r="CL1704">
        <v>0</v>
      </c>
      <c r="CM1704">
        <v>1</v>
      </c>
      <c r="CN1704" t="str">
        <f t="shared" si="2257"/>
        <v>refOK</v>
      </c>
      <c r="CO1704">
        <f t="shared" si="2258"/>
        <v>64.910485933503793</v>
      </c>
      <c r="CP1704">
        <f t="shared" si="2259"/>
        <v>77.586206896551701</v>
      </c>
      <c r="CQ1704">
        <f t="shared" si="2260"/>
        <v>25868.818291934509</v>
      </c>
      <c r="CR1704">
        <f t="shared" si="2261"/>
        <v>-4328.4062011172464</v>
      </c>
      <c r="CS1704">
        <f t="shared" si="2262"/>
        <v>-5358.9791061452015</v>
      </c>
      <c r="CT1704">
        <f t="shared" si="2263"/>
        <v>-1030.5729050279551</v>
      </c>
      <c r="CU1704">
        <f t="shared" si="2264"/>
        <v>-3.9838422203818703E-2</v>
      </c>
      <c r="CV1704" s="2">
        <f t="shared" si="2265"/>
        <v>-0.23809523809524719</v>
      </c>
      <c r="CW1704" s="1" t="s">
        <v>1198</v>
      </c>
      <c r="CX1704" t="str">
        <f t="shared" si="2266"/>
        <v>reg</v>
      </c>
      <c r="CY1704" t="s">
        <v>235</v>
      </c>
      <c r="CZ1704">
        <v>2010</v>
      </c>
      <c r="DA1704">
        <v>2070</v>
      </c>
      <c r="DB1704">
        <f t="shared" si="2267"/>
        <v>60</v>
      </c>
      <c r="DC1704" t="str">
        <f t="shared" si="2268"/>
        <v>31-70</v>
      </c>
      <c r="DD1704">
        <v>1</v>
      </c>
      <c r="DE1704">
        <v>1</v>
      </c>
      <c r="DF1704">
        <v>1</v>
      </c>
      <c r="DG1704">
        <v>1</v>
      </c>
      <c r="DH1704">
        <v>0</v>
      </c>
      <c r="DI1704">
        <f t="shared" si="2269"/>
        <v>4</v>
      </c>
      <c r="DJ1704" t="str">
        <f t="shared" si="2270"/>
        <v>mixedProduct</v>
      </c>
      <c r="DK1704" t="str">
        <f t="shared" si="2271"/>
        <v>Upstream</v>
      </c>
      <c r="DL1704" t="str">
        <f t="shared" si="2272"/>
        <v>Energy</v>
      </c>
      <c r="DM1704" t="str">
        <f t="shared" si="2273"/>
        <v>Pulp/Paper</v>
      </c>
      <c r="DN1704" t="str">
        <f t="shared" si="2274"/>
        <v>Timber</v>
      </c>
      <c r="DO1704">
        <v>0</v>
      </c>
      <c r="DP1704">
        <v>0</v>
      </c>
      <c r="DQ1704">
        <v>0</v>
      </c>
      <c r="DR1704">
        <v>0</v>
      </c>
      <c r="DS1704">
        <v>0</v>
      </c>
      <c r="DT1704">
        <f t="shared" si="2275"/>
        <v>0</v>
      </c>
      <c r="DU1704" s="143" t="str">
        <f t="shared" si="2276"/>
        <v>explicit C balance</v>
      </c>
      <c r="DV1704">
        <v>1</v>
      </c>
      <c r="DW1704">
        <v>1</v>
      </c>
      <c r="DX1704">
        <v>1</v>
      </c>
      <c r="DY1704">
        <v>0</v>
      </c>
      <c r="DZ1704">
        <v>0</v>
      </c>
      <c r="EA1704" s="143">
        <v>0</v>
      </c>
      <c r="EB1704">
        <v>1</v>
      </c>
      <c r="EC1704">
        <v>1</v>
      </c>
      <c r="ED1704">
        <v>0</v>
      </c>
      <c r="EE1704">
        <v>0</v>
      </c>
      <c r="EF1704">
        <v>1</v>
      </c>
      <c r="EG1704">
        <v>0</v>
      </c>
      <c r="EH1704">
        <v>0</v>
      </c>
      <c r="EI1704" s="2">
        <v>0</v>
      </c>
      <c r="EK1704" t="str">
        <f t="shared" si="2277"/>
        <v>Whole sector</v>
      </c>
      <c r="EL1704" t="str">
        <f t="shared" si="2278"/>
        <v/>
      </c>
      <c r="EM1704" s="2" t="str">
        <f t="shared" si="2188"/>
        <v/>
      </c>
      <c r="EP1704" t="str">
        <f>IF(ISNUMBER(BU1704),IF(ABS(BU1704-[3]QC_indicators!$B$2)&gt;3*[3]QC_indicators!$C$2,"C ratio",IF(ISNUMBER(BY1704),IF(ABS(BY1704-[3]QC_indicators!$B$1)&gt;3*[3]QC_indicators!$C$1,"DF","no"))),IF(ISNUMBER(BY1704),IF(ABS(BY1704-[3]QC_indicators!$B$1)&gt;3*[3]QC_indicators!$C$1,"DF","no")))</f>
        <v>no</v>
      </c>
      <c r="ET1704" s="264" t="s">
        <v>3257</v>
      </c>
    </row>
    <row r="1705" spans="1:150" hidden="1">
      <c r="A1705" s="1" t="s">
        <v>1422</v>
      </c>
      <c r="B1705" t="s">
        <v>2489</v>
      </c>
      <c r="C1705" t="s">
        <v>2490</v>
      </c>
      <c r="D1705" t="s">
        <v>2491</v>
      </c>
      <c r="E1705" t="s">
        <v>2492</v>
      </c>
      <c r="F1705" t="s">
        <v>2493</v>
      </c>
      <c r="G1705" t="s">
        <v>1428</v>
      </c>
      <c r="H1705" t="s">
        <v>254</v>
      </c>
      <c r="I1705">
        <v>2016</v>
      </c>
      <c r="J1705">
        <v>24</v>
      </c>
      <c r="K1705" t="s">
        <v>2494</v>
      </c>
      <c r="M1705" t="str">
        <f t="shared" si="2193"/>
        <v>Zubizarreta-Gerendiain_2016</v>
      </c>
      <c r="N1705" t="s">
        <v>222</v>
      </c>
      <c r="O1705" s="145" t="s">
        <v>1153</v>
      </c>
      <c r="Q1705" t="s">
        <v>256</v>
      </c>
      <c r="R1705" s="262" t="s">
        <v>223</v>
      </c>
      <c r="S1705" s="1" t="s">
        <v>2525</v>
      </c>
      <c r="T1705" t="s">
        <v>2506</v>
      </c>
      <c r="U1705" t="s">
        <v>2527</v>
      </c>
      <c r="V1705">
        <v>0</v>
      </c>
      <c r="W1705">
        <v>0</v>
      </c>
      <c r="X1705">
        <v>0</v>
      </c>
      <c r="Y1705">
        <v>1</v>
      </c>
      <c r="Z1705">
        <v>0</v>
      </c>
      <c r="AA1705">
        <v>0</v>
      </c>
      <c r="AB1705">
        <v>0</v>
      </c>
      <c r="AC1705">
        <v>0</v>
      </c>
      <c r="AD1705">
        <v>0</v>
      </c>
      <c r="AE1705">
        <v>0</v>
      </c>
      <c r="AF1705">
        <v>0</v>
      </c>
      <c r="AG1705">
        <v>0</v>
      </c>
      <c r="AH1705">
        <v>0</v>
      </c>
      <c r="AI1705">
        <v>0</v>
      </c>
      <c r="AJ1705">
        <v>0</v>
      </c>
      <c r="AK1705">
        <v>0</v>
      </c>
      <c r="AL1705">
        <v>0</v>
      </c>
      <c r="AM1705">
        <v>0</v>
      </c>
      <c r="AN1705">
        <v>0</v>
      </c>
      <c r="AO1705">
        <v>0</v>
      </c>
      <c r="AP1705">
        <v>0</v>
      </c>
      <c r="AQ1705">
        <v>0</v>
      </c>
      <c r="AR1705">
        <v>0</v>
      </c>
      <c r="AS1705">
        <v>0</v>
      </c>
      <c r="AT1705">
        <v>0</v>
      </c>
      <c r="AU1705">
        <v>0</v>
      </c>
      <c r="AV1705">
        <v>0</v>
      </c>
      <c r="AW1705">
        <v>0</v>
      </c>
      <c r="AX1705" s="141">
        <f t="shared" si="2244"/>
        <v>1</v>
      </c>
      <c r="AY1705" s="141">
        <f t="shared" si="2245"/>
        <v>1</v>
      </c>
      <c r="AZ1705">
        <f t="shared" si="2246"/>
        <v>1</v>
      </c>
      <c r="BA1705">
        <f t="shared" si="2247"/>
        <v>0</v>
      </c>
      <c r="BB1705">
        <f t="shared" si="2248"/>
        <v>0</v>
      </c>
      <c r="BC1705">
        <f t="shared" si="2249"/>
        <v>0</v>
      </c>
      <c r="BD1705">
        <f t="shared" si="2250"/>
        <v>0</v>
      </c>
      <c r="BE1705" t="str">
        <f t="array" ref="BE1705">IF(AY1705=1,INDEX($V$7:$AL$7,MATCH(TRUE,INDEX($V1705:$AW1705&lt;&gt;0,),0)),IF(AY1705=0,INDEX($AM$7:$AW$7,MATCH(1,$AM1705:$AW1705,0)),IF(BF1705="Multiple strategies","mixed drivers",IF(BF1705="Supply chain","multiple supply","multiple silviculture"))))</f>
        <v xml:space="preserve">cutting intensity </v>
      </c>
      <c r="BF1705" s="2" t="str" cm="1">
        <f t="array" ref="BF1705">IF(COUNTIF(AZ1705:BB1705,"&lt;&gt;0")=1,INDEX($V$4:$AW$4,MATCH(TRUE,INDEX($V1705:$AW1705&lt;&gt;0,),0)),IF(COUNTIF(AZ1705:BB1705,"&lt;&gt;0")=0,INDEX($AM$4:$AW$4,MATCH(1,$AM1705:$AW1705,0)),"Multiple strategies"))</f>
        <v>Silviculture for removals</v>
      </c>
      <c r="BG1705" s="1" t="s">
        <v>321</v>
      </c>
      <c r="BH1705" t="s">
        <v>2498</v>
      </c>
      <c r="BI1705" s="264" t="s">
        <v>2112</v>
      </c>
      <c r="BJ1705" t="s">
        <v>2499</v>
      </c>
      <c r="BK1705">
        <v>64.910485933503793</v>
      </c>
      <c r="BL1705">
        <v>71.585677749360599</v>
      </c>
      <c r="BM1705" s="143">
        <f t="shared" si="2251"/>
        <v>1.1028368794326247</v>
      </c>
      <c r="BN1705">
        <f t="shared" si="2252"/>
        <v>6.675191815856806</v>
      </c>
      <c r="BO1705">
        <f t="shared" si="2253"/>
        <v>13622.840440524094</v>
      </c>
      <c r="BP1705" t="s">
        <v>232</v>
      </c>
      <c r="BQ1705" s="143" t="s">
        <v>3255</v>
      </c>
      <c r="BR1705" t="s">
        <v>1194</v>
      </c>
      <c r="BS1705">
        <v>10626.584664536607</v>
      </c>
      <c r="BT1705">
        <v>10626.584664536607</v>
      </c>
      <c r="BU1705" s="144">
        <f t="shared" si="2254"/>
        <v>1</v>
      </c>
      <c r="BV1705" s="144">
        <f t="shared" si="2255"/>
        <v>0</v>
      </c>
      <c r="BW1705" s="144"/>
      <c r="BX1705" s="144">
        <f t="shared" si="2256"/>
        <v>0</v>
      </c>
      <c r="BY1705">
        <f t="shared" si="2185"/>
        <v>0</v>
      </c>
      <c r="BZ1705">
        <v>0</v>
      </c>
      <c r="CA1705">
        <v>0</v>
      </c>
      <c r="CB1705">
        <v>0</v>
      </c>
      <c r="CC1705">
        <v>0</v>
      </c>
      <c r="CD1705">
        <v>0</v>
      </c>
      <c r="CE1705">
        <v>0</v>
      </c>
      <c r="CF1705">
        <v>0</v>
      </c>
      <c r="CG1705">
        <v>0</v>
      </c>
      <c r="CH1705">
        <v>0</v>
      </c>
      <c r="CI1705">
        <v>0</v>
      </c>
      <c r="CJ1705">
        <v>0</v>
      </c>
      <c r="CK1705">
        <v>0</v>
      </c>
      <c r="CL1705">
        <v>0</v>
      </c>
      <c r="CM1705">
        <v>1</v>
      </c>
      <c r="CN1705" t="str">
        <f t="shared" si="2257"/>
        <v>refOK</v>
      </c>
      <c r="CO1705">
        <f t="shared" si="2258"/>
        <v>64.910485933503793</v>
      </c>
      <c r="CP1705">
        <f t="shared" si="2259"/>
        <v>71.585677749360599</v>
      </c>
      <c r="CQ1705">
        <f t="shared" si="2260"/>
        <v>13622.840440524094</v>
      </c>
      <c r="CR1705">
        <f t="shared" si="2261"/>
        <v>10626.584664536607</v>
      </c>
      <c r="CS1705">
        <f t="shared" si="2262"/>
        <v>10626.584664536607</v>
      </c>
      <c r="CT1705">
        <f t="shared" si="2263"/>
        <v>0</v>
      </c>
      <c r="CU1705">
        <f t="shared" si="2264"/>
        <v>0</v>
      </c>
      <c r="CV1705" s="2">
        <f t="shared" si="2265"/>
        <v>0</v>
      </c>
      <c r="CW1705" s="1" t="s">
        <v>1198</v>
      </c>
      <c r="CX1705" t="str">
        <f t="shared" si="2266"/>
        <v>reg</v>
      </c>
      <c r="CY1705" t="s">
        <v>235</v>
      </c>
      <c r="CZ1705">
        <v>2010</v>
      </c>
      <c r="DA1705">
        <v>2070</v>
      </c>
      <c r="DB1705">
        <f t="shared" si="2267"/>
        <v>60</v>
      </c>
      <c r="DC1705" t="str">
        <f t="shared" si="2268"/>
        <v>31-70</v>
      </c>
      <c r="DD1705">
        <v>1</v>
      </c>
      <c r="DE1705">
        <v>1</v>
      </c>
      <c r="DF1705">
        <v>1</v>
      </c>
      <c r="DG1705">
        <v>1</v>
      </c>
      <c r="DH1705">
        <v>0</v>
      </c>
      <c r="DI1705">
        <f t="shared" si="2269"/>
        <v>4</v>
      </c>
      <c r="DJ1705" t="str">
        <f t="shared" si="2270"/>
        <v>mixedProduct</v>
      </c>
      <c r="DK1705" t="str">
        <f t="shared" si="2271"/>
        <v>Upstream</v>
      </c>
      <c r="DL1705" t="str">
        <f t="shared" si="2272"/>
        <v>Energy</v>
      </c>
      <c r="DM1705" t="str">
        <f t="shared" si="2273"/>
        <v>Pulp/Paper</v>
      </c>
      <c r="DN1705" t="str">
        <f t="shared" si="2274"/>
        <v>Timber</v>
      </c>
      <c r="DO1705">
        <v>0</v>
      </c>
      <c r="DP1705">
        <v>0</v>
      </c>
      <c r="DQ1705">
        <v>0</v>
      </c>
      <c r="DR1705">
        <v>0</v>
      </c>
      <c r="DS1705">
        <v>0</v>
      </c>
      <c r="DT1705">
        <f t="shared" si="2275"/>
        <v>0</v>
      </c>
      <c r="DU1705" s="143" t="str">
        <f t="shared" si="2276"/>
        <v>explicit C balance</v>
      </c>
      <c r="DV1705">
        <v>1</v>
      </c>
      <c r="DW1705">
        <v>1</v>
      </c>
      <c r="DX1705">
        <v>1</v>
      </c>
      <c r="DY1705">
        <v>0</v>
      </c>
      <c r="DZ1705">
        <v>0</v>
      </c>
      <c r="EA1705" s="143">
        <v>0</v>
      </c>
      <c r="EB1705">
        <v>1</v>
      </c>
      <c r="EC1705">
        <v>1</v>
      </c>
      <c r="ED1705">
        <v>0</v>
      </c>
      <c r="EE1705">
        <v>0</v>
      </c>
      <c r="EF1705">
        <v>1</v>
      </c>
      <c r="EG1705">
        <v>0</v>
      </c>
      <c r="EH1705">
        <v>0</v>
      </c>
      <c r="EI1705" s="2">
        <v>0</v>
      </c>
      <c r="EK1705" t="str">
        <f t="shared" si="2277"/>
        <v>Whole sector</v>
      </c>
      <c r="EL1705" t="str">
        <f t="shared" si="2278"/>
        <v/>
      </c>
      <c r="EM1705" s="2" t="str">
        <f t="shared" si="2188"/>
        <v/>
      </c>
      <c r="EP1705" t="str">
        <f>IF(ISNUMBER(BU1705),IF(ABS(BU1705-[3]QC_indicators!$B$2)&gt;3*[3]QC_indicators!$C$2,"C ratio",IF(ISNUMBER(BY1705),IF(ABS(BY1705-[3]QC_indicators!$B$1)&gt;3*[3]QC_indicators!$C$1,"DF","no"))),IF(ISNUMBER(BY1705),IF(ABS(BY1705-[3]QC_indicators!$B$1)&gt;3*[3]QC_indicators!$C$1,"DF","no")))</f>
        <v>no</v>
      </c>
      <c r="ET1705" s="264" t="s">
        <v>3257</v>
      </c>
    </row>
    <row r="1706" spans="1:150" hidden="1">
      <c r="A1706" s="1" t="s">
        <v>1422</v>
      </c>
      <c r="B1706" t="s">
        <v>2489</v>
      </c>
      <c r="C1706" t="s">
        <v>2490</v>
      </c>
      <c r="D1706" t="s">
        <v>2491</v>
      </c>
      <c r="E1706" t="s">
        <v>2492</v>
      </c>
      <c r="F1706" t="s">
        <v>2493</v>
      </c>
      <c r="G1706" t="s">
        <v>1428</v>
      </c>
      <c r="H1706" t="s">
        <v>254</v>
      </c>
      <c r="I1706">
        <v>2016</v>
      </c>
      <c r="J1706">
        <v>24</v>
      </c>
      <c r="K1706" t="s">
        <v>2494</v>
      </c>
      <c r="M1706" t="str">
        <f t="shared" si="2193"/>
        <v>Zubizarreta-Gerendiain_2016</v>
      </c>
      <c r="N1706" t="s">
        <v>222</v>
      </c>
      <c r="O1706" s="145" t="s">
        <v>1153</v>
      </c>
      <c r="Q1706" t="s">
        <v>256</v>
      </c>
      <c r="R1706" s="262" t="s">
        <v>223</v>
      </c>
      <c r="S1706" s="1" t="s">
        <v>2525</v>
      </c>
      <c r="T1706" t="s">
        <v>2508</v>
      </c>
      <c r="U1706" t="s">
        <v>2526</v>
      </c>
      <c r="V1706">
        <v>0</v>
      </c>
      <c r="W1706">
        <v>0</v>
      </c>
      <c r="X1706">
        <v>0</v>
      </c>
      <c r="Y1706">
        <v>1</v>
      </c>
      <c r="Z1706">
        <v>0</v>
      </c>
      <c r="AA1706">
        <v>0</v>
      </c>
      <c r="AB1706">
        <v>0</v>
      </c>
      <c r="AC1706">
        <v>0</v>
      </c>
      <c r="AD1706">
        <v>0</v>
      </c>
      <c r="AE1706">
        <v>0</v>
      </c>
      <c r="AF1706">
        <v>0</v>
      </c>
      <c r="AG1706">
        <v>0</v>
      </c>
      <c r="AH1706">
        <v>0</v>
      </c>
      <c r="AI1706">
        <v>0</v>
      </c>
      <c r="AJ1706">
        <v>0</v>
      </c>
      <c r="AK1706">
        <v>0</v>
      </c>
      <c r="AL1706">
        <v>0</v>
      </c>
      <c r="AM1706">
        <v>0</v>
      </c>
      <c r="AN1706">
        <v>0</v>
      </c>
      <c r="AO1706">
        <v>0</v>
      </c>
      <c r="AP1706">
        <v>0</v>
      </c>
      <c r="AQ1706">
        <v>0</v>
      </c>
      <c r="AR1706">
        <v>0</v>
      </c>
      <c r="AS1706">
        <v>0</v>
      </c>
      <c r="AT1706">
        <v>0</v>
      </c>
      <c r="AU1706">
        <v>0</v>
      </c>
      <c r="AV1706">
        <v>0</v>
      </c>
      <c r="AW1706">
        <v>0</v>
      </c>
      <c r="AX1706" s="141">
        <f t="shared" si="2244"/>
        <v>1</v>
      </c>
      <c r="AY1706" s="141">
        <f t="shared" si="2245"/>
        <v>1</v>
      </c>
      <c r="AZ1706">
        <f t="shared" si="2246"/>
        <v>1</v>
      </c>
      <c r="BA1706">
        <f t="shared" si="2247"/>
        <v>0</v>
      </c>
      <c r="BB1706">
        <f t="shared" si="2248"/>
        <v>0</v>
      </c>
      <c r="BC1706">
        <f t="shared" si="2249"/>
        <v>0</v>
      </c>
      <c r="BD1706">
        <f t="shared" si="2250"/>
        <v>0</v>
      </c>
      <c r="BE1706" t="str">
        <f t="array" ref="BE1706">IF(AY1706=1,INDEX($V$7:$AL$7,MATCH(TRUE,INDEX($V1706:$AW1706&lt;&gt;0,),0)),IF(AY1706=0,INDEX($AM$7:$AW$7,MATCH(1,$AM1706:$AW1706,0)),IF(BF1706="Multiple strategies","mixed drivers",IF(BF1706="Supply chain","multiple supply","multiple silviculture"))))</f>
        <v xml:space="preserve">cutting intensity </v>
      </c>
      <c r="BF1706" s="2" t="str" cm="1">
        <f t="array" ref="BF1706">IF(COUNTIF(AZ1706:BB1706,"&lt;&gt;0")=1,INDEX($V$4:$AW$4,MATCH(TRUE,INDEX($V1706:$AW1706&lt;&gt;0,),0)),IF(COUNTIF(AZ1706:BB1706,"&lt;&gt;0")=0,INDEX($AM$4:$AW$4,MATCH(1,$AM1706:$AW1706,0)),"Multiple strategies"))</f>
        <v>Silviculture for removals</v>
      </c>
      <c r="BG1706" s="1" t="s">
        <v>321</v>
      </c>
      <c r="BH1706" t="s">
        <v>2498</v>
      </c>
      <c r="BI1706" s="264" t="s">
        <v>2112</v>
      </c>
      <c r="BJ1706" t="s">
        <v>2499</v>
      </c>
      <c r="BK1706">
        <v>64.910485933503793</v>
      </c>
      <c r="BL1706">
        <v>77.586206896551701</v>
      </c>
      <c r="BM1706" s="143">
        <f t="shared" si="2251"/>
        <v>1.1952800195646862</v>
      </c>
      <c r="BN1706">
        <f t="shared" si="2252"/>
        <v>12.675720963047908</v>
      </c>
      <c r="BO1706">
        <f t="shared" si="2253"/>
        <v>25868.818291934509</v>
      </c>
      <c r="BP1706" t="s">
        <v>232</v>
      </c>
      <c r="BQ1706" s="143" t="s">
        <v>3255</v>
      </c>
      <c r="BR1706" t="s">
        <v>1194</v>
      </c>
      <c r="BS1706">
        <v>79079.294245810015</v>
      </c>
      <c r="BT1706">
        <v>84232.158770949667</v>
      </c>
      <c r="BU1706" s="144">
        <f t="shared" si="2254"/>
        <v>1.0651607298001737</v>
      </c>
      <c r="BV1706" s="144">
        <f t="shared" si="2255"/>
        <v>5152.864525139652</v>
      </c>
      <c r="BW1706" s="144"/>
      <c r="BX1706" s="144">
        <f t="shared" si="2256"/>
        <v>5152.864525139652</v>
      </c>
      <c r="BY1706">
        <f t="shared" ref="BY1706:BY1769" si="2279">IFERROR(BX1706/BO1706,"")</f>
        <v>0.19919211101908874</v>
      </c>
      <c r="BZ1706">
        <v>0</v>
      </c>
      <c r="CA1706">
        <v>0</v>
      </c>
      <c r="CB1706">
        <v>0</v>
      </c>
      <c r="CC1706">
        <v>0</v>
      </c>
      <c r="CD1706">
        <v>0</v>
      </c>
      <c r="CE1706">
        <v>0</v>
      </c>
      <c r="CF1706">
        <v>0</v>
      </c>
      <c r="CG1706">
        <v>0</v>
      </c>
      <c r="CH1706">
        <v>0</v>
      </c>
      <c r="CI1706">
        <v>0</v>
      </c>
      <c r="CJ1706">
        <v>0</v>
      </c>
      <c r="CK1706">
        <v>0</v>
      </c>
      <c r="CL1706">
        <v>0</v>
      </c>
      <c r="CM1706">
        <v>1</v>
      </c>
      <c r="CN1706" t="str">
        <f t="shared" si="2257"/>
        <v>refOK</v>
      </c>
      <c r="CO1706">
        <f t="shared" si="2258"/>
        <v>64.910485933503793</v>
      </c>
      <c r="CP1706">
        <f t="shared" si="2259"/>
        <v>77.586206896551701</v>
      </c>
      <c r="CQ1706">
        <f t="shared" si="2260"/>
        <v>25868.818291934509</v>
      </c>
      <c r="CR1706">
        <f t="shared" si="2261"/>
        <v>79079.294245810015</v>
      </c>
      <c r="CS1706">
        <f t="shared" si="2262"/>
        <v>84232.158770949667</v>
      </c>
      <c r="CT1706">
        <f t="shared" si="2263"/>
        <v>5152.864525139652</v>
      </c>
      <c r="CU1706">
        <f t="shared" si="2264"/>
        <v>0.19919211101908874</v>
      </c>
      <c r="CV1706" s="2">
        <f t="shared" si="2265"/>
        <v>6.5160729800173636E-2</v>
      </c>
      <c r="CW1706" s="1" t="s">
        <v>1198</v>
      </c>
      <c r="CX1706" t="str">
        <f t="shared" si="2266"/>
        <v>reg</v>
      </c>
      <c r="CY1706" t="s">
        <v>235</v>
      </c>
      <c r="CZ1706">
        <v>2010</v>
      </c>
      <c r="DA1706">
        <v>2070</v>
      </c>
      <c r="DB1706">
        <f t="shared" si="2267"/>
        <v>60</v>
      </c>
      <c r="DC1706" t="str">
        <f t="shared" si="2268"/>
        <v>31-70</v>
      </c>
      <c r="DD1706">
        <v>1</v>
      </c>
      <c r="DE1706">
        <v>1</v>
      </c>
      <c r="DF1706">
        <v>1</v>
      </c>
      <c r="DG1706">
        <v>1</v>
      </c>
      <c r="DH1706">
        <v>0</v>
      </c>
      <c r="DI1706">
        <f t="shared" si="2269"/>
        <v>4</v>
      </c>
      <c r="DJ1706" t="str">
        <f t="shared" si="2270"/>
        <v>mixedProduct</v>
      </c>
      <c r="DK1706" t="str">
        <f t="shared" si="2271"/>
        <v>Upstream</v>
      </c>
      <c r="DL1706" t="str">
        <f t="shared" si="2272"/>
        <v>Energy</v>
      </c>
      <c r="DM1706" t="str">
        <f t="shared" si="2273"/>
        <v>Pulp/Paper</v>
      </c>
      <c r="DN1706" t="str">
        <f t="shared" si="2274"/>
        <v>Timber</v>
      </c>
      <c r="DO1706">
        <v>0</v>
      </c>
      <c r="DP1706">
        <v>1</v>
      </c>
      <c r="DQ1706" t="s">
        <v>2523</v>
      </c>
      <c r="DR1706" t="s">
        <v>2524</v>
      </c>
      <c r="DS1706">
        <v>0</v>
      </c>
      <c r="DT1706">
        <f t="shared" si="2275"/>
        <v>1</v>
      </c>
      <c r="DU1706" s="143" t="str">
        <f t="shared" si="2276"/>
        <v>external DF used</v>
      </c>
      <c r="DV1706">
        <v>1</v>
      </c>
      <c r="DW1706">
        <v>1</v>
      </c>
      <c r="DX1706">
        <v>1</v>
      </c>
      <c r="DY1706">
        <v>1</v>
      </c>
      <c r="DZ1706">
        <v>0</v>
      </c>
      <c r="EA1706" s="143">
        <v>1</v>
      </c>
      <c r="EB1706">
        <v>1</v>
      </c>
      <c r="EC1706">
        <v>1</v>
      </c>
      <c r="ED1706">
        <v>0</v>
      </c>
      <c r="EE1706">
        <v>0</v>
      </c>
      <c r="EF1706">
        <v>1</v>
      </c>
      <c r="EG1706">
        <v>0</v>
      </c>
      <c r="EH1706">
        <v>0</v>
      </c>
      <c r="EI1706" s="2">
        <v>0</v>
      </c>
      <c r="EK1706" t="str">
        <f t="shared" si="2277"/>
        <v>Whole sector</v>
      </c>
      <c r="EL1706" t="str">
        <f t="shared" si="2278"/>
        <v/>
      </c>
      <c r="EM1706" s="2" t="str">
        <f t="shared" si="2188"/>
        <v/>
      </c>
      <c r="EP1706" t="str">
        <f>IF(ISNUMBER(BU1706),IF(ABS(BU1706-[3]QC_indicators!$B$2)&gt;3*[3]QC_indicators!$C$2,"C ratio",IF(ISNUMBER(BY1706),IF(ABS(BY1706-[3]QC_indicators!$B$1)&gt;3*[3]QC_indicators!$C$1,"DF","no"))),IF(ISNUMBER(BY1706),IF(ABS(BY1706-[3]QC_indicators!$B$1)&gt;3*[3]QC_indicators!$C$1,"DF","no")))</f>
        <v>no</v>
      </c>
      <c r="ET1706" s="264" t="s">
        <v>3258</v>
      </c>
    </row>
    <row r="1707" spans="1:150" hidden="1">
      <c r="A1707" s="1" t="s">
        <v>1422</v>
      </c>
      <c r="B1707" t="s">
        <v>2489</v>
      </c>
      <c r="C1707" t="s">
        <v>2490</v>
      </c>
      <c r="D1707" t="s">
        <v>2491</v>
      </c>
      <c r="E1707" t="s">
        <v>2492</v>
      </c>
      <c r="F1707" t="s">
        <v>2493</v>
      </c>
      <c r="G1707" t="s">
        <v>1428</v>
      </c>
      <c r="H1707" t="s">
        <v>254</v>
      </c>
      <c r="I1707">
        <v>2016</v>
      </c>
      <c r="J1707">
        <v>24</v>
      </c>
      <c r="K1707" t="s">
        <v>2494</v>
      </c>
      <c r="M1707" t="str">
        <f t="shared" si="2193"/>
        <v>Zubizarreta-Gerendiain_2016</v>
      </c>
      <c r="N1707" t="s">
        <v>222</v>
      </c>
      <c r="O1707" s="145" t="s">
        <v>1153</v>
      </c>
      <c r="Q1707" t="s">
        <v>256</v>
      </c>
      <c r="R1707" s="262" t="s">
        <v>223</v>
      </c>
      <c r="S1707" s="1" t="s">
        <v>2525</v>
      </c>
      <c r="T1707" t="s">
        <v>2508</v>
      </c>
      <c r="U1707" t="s">
        <v>2526</v>
      </c>
      <c r="V1707">
        <v>0</v>
      </c>
      <c r="W1707">
        <v>0</v>
      </c>
      <c r="X1707">
        <v>0</v>
      </c>
      <c r="Y1707">
        <v>1</v>
      </c>
      <c r="Z1707">
        <v>0</v>
      </c>
      <c r="AA1707">
        <v>0</v>
      </c>
      <c r="AB1707">
        <v>0</v>
      </c>
      <c r="AC1707">
        <v>0</v>
      </c>
      <c r="AD1707">
        <v>0</v>
      </c>
      <c r="AE1707">
        <v>0</v>
      </c>
      <c r="AF1707">
        <v>0</v>
      </c>
      <c r="AG1707">
        <v>0</v>
      </c>
      <c r="AH1707">
        <v>0</v>
      </c>
      <c r="AI1707">
        <v>0</v>
      </c>
      <c r="AJ1707">
        <v>0</v>
      </c>
      <c r="AK1707">
        <v>0</v>
      </c>
      <c r="AL1707">
        <v>0</v>
      </c>
      <c r="AM1707">
        <v>0</v>
      </c>
      <c r="AN1707">
        <v>0</v>
      </c>
      <c r="AO1707">
        <v>0</v>
      </c>
      <c r="AP1707">
        <v>0</v>
      </c>
      <c r="AQ1707">
        <v>0</v>
      </c>
      <c r="AR1707">
        <v>0</v>
      </c>
      <c r="AS1707">
        <v>0</v>
      </c>
      <c r="AT1707">
        <v>0</v>
      </c>
      <c r="AU1707">
        <v>0</v>
      </c>
      <c r="AV1707">
        <v>0</v>
      </c>
      <c r="AW1707">
        <v>0</v>
      </c>
      <c r="AX1707" s="141">
        <f t="shared" si="2244"/>
        <v>1</v>
      </c>
      <c r="AY1707" s="141">
        <f t="shared" si="2245"/>
        <v>1</v>
      </c>
      <c r="AZ1707">
        <f t="shared" si="2246"/>
        <v>1</v>
      </c>
      <c r="BA1707">
        <f t="shared" si="2247"/>
        <v>0</v>
      </c>
      <c r="BB1707">
        <f t="shared" si="2248"/>
        <v>0</v>
      </c>
      <c r="BC1707">
        <f t="shared" si="2249"/>
        <v>0</v>
      </c>
      <c r="BD1707">
        <f t="shared" si="2250"/>
        <v>0</v>
      </c>
      <c r="BE1707" t="str">
        <f t="array" ref="BE1707">IF(AY1707=1,INDEX($V$7:$AL$7,MATCH(TRUE,INDEX($V1707:$AW1707&lt;&gt;0,),0)),IF(AY1707=0,INDEX($AM$7:$AW$7,MATCH(1,$AM1707:$AW1707,0)),IF(BF1707="Multiple strategies","mixed drivers",IF(BF1707="Supply chain","multiple supply","multiple silviculture"))))</f>
        <v xml:space="preserve">cutting intensity </v>
      </c>
      <c r="BF1707" s="2" t="str" cm="1">
        <f t="array" ref="BF1707">IF(COUNTIF(AZ1707:BB1707,"&lt;&gt;0")=1,INDEX($V$4:$AW$4,MATCH(TRUE,INDEX($V1707:$AW1707&lt;&gt;0,),0)),IF(COUNTIF(AZ1707:BB1707,"&lt;&gt;0")=0,INDEX($AM$4:$AW$4,MATCH(1,$AM1707:$AW1707,0)),"Multiple strategies"))</f>
        <v>Silviculture for removals</v>
      </c>
      <c r="BG1707" s="1" t="s">
        <v>321</v>
      </c>
      <c r="BH1707" t="s">
        <v>2498</v>
      </c>
      <c r="BI1707" s="264" t="s">
        <v>2112</v>
      </c>
      <c r="BJ1707" t="s">
        <v>2499</v>
      </c>
      <c r="BK1707">
        <v>64.910485933503793</v>
      </c>
      <c r="BL1707">
        <v>77.586206896551701</v>
      </c>
      <c r="BM1707" s="143">
        <f t="shared" si="2251"/>
        <v>1.1952800195646862</v>
      </c>
      <c r="BN1707">
        <f t="shared" si="2252"/>
        <v>12.675720963047908</v>
      </c>
      <c r="BO1707">
        <f t="shared" si="2253"/>
        <v>25868.818291934509</v>
      </c>
      <c r="BP1707" t="s">
        <v>232</v>
      </c>
      <c r="BQ1707" s="143" t="s">
        <v>3255</v>
      </c>
      <c r="BR1707" t="s">
        <v>1194</v>
      </c>
      <c r="BS1707">
        <v>78941.884525139583</v>
      </c>
      <c r="BT1707">
        <v>87186.467765363064</v>
      </c>
      <c r="BU1707" s="144">
        <f t="shared" si="2254"/>
        <v>1.1044386422976504</v>
      </c>
      <c r="BV1707" s="144">
        <f t="shared" si="2255"/>
        <v>8244.583240223481</v>
      </c>
      <c r="BW1707" s="144"/>
      <c r="BX1707" s="144">
        <f t="shared" si="2256"/>
        <v>8244.583240223481</v>
      </c>
      <c r="BY1707">
        <f t="shared" si="2279"/>
        <v>0.31870737763054341</v>
      </c>
      <c r="BZ1707">
        <v>0</v>
      </c>
      <c r="CA1707">
        <v>0</v>
      </c>
      <c r="CB1707">
        <v>0</v>
      </c>
      <c r="CC1707">
        <v>0</v>
      </c>
      <c r="CD1707">
        <v>0</v>
      </c>
      <c r="CE1707">
        <v>0</v>
      </c>
      <c r="CF1707">
        <v>0</v>
      </c>
      <c r="CG1707">
        <v>0</v>
      </c>
      <c r="CH1707">
        <v>0</v>
      </c>
      <c r="CI1707">
        <v>0</v>
      </c>
      <c r="CJ1707">
        <v>0</v>
      </c>
      <c r="CK1707">
        <v>0</v>
      </c>
      <c r="CL1707">
        <v>0</v>
      </c>
      <c r="CM1707">
        <v>1</v>
      </c>
      <c r="CN1707" t="str">
        <f t="shared" si="2257"/>
        <v>refOK</v>
      </c>
      <c r="CO1707">
        <f t="shared" si="2258"/>
        <v>64.910485933503793</v>
      </c>
      <c r="CP1707">
        <f t="shared" si="2259"/>
        <v>77.586206896551701</v>
      </c>
      <c r="CQ1707">
        <f t="shared" si="2260"/>
        <v>25868.818291934509</v>
      </c>
      <c r="CR1707">
        <f t="shared" si="2261"/>
        <v>78941.884525139583</v>
      </c>
      <c r="CS1707">
        <f t="shared" si="2262"/>
        <v>87186.467765363064</v>
      </c>
      <c r="CT1707">
        <f t="shared" si="2263"/>
        <v>8244.583240223481</v>
      </c>
      <c r="CU1707">
        <f t="shared" si="2264"/>
        <v>0.31870737763054341</v>
      </c>
      <c r="CV1707" s="2">
        <f t="shared" si="2265"/>
        <v>0.10443864229765046</v>
      </c>
      <c r="CW1707" s="1" t="s">
        <v>1198</v>
      </c>
      <c r="CX1707" t="str">
        <f t="shared" si="2266"/>
        <v>reg</v>
      </c>
      <c r="CY1707" t="s">
        <v>235</v>
      </c>
      <c r="CZ1707">
        <v>2010</v>
      </c>
      <c r="DA1707">
        <v>2070</v>
      </c>
      <c r="DB1707">
        <f t="shared" si="2267"/>
        <v>60</v>
      </c>
      <c r="DC1707" t="str">
        <f t="shared" si="2268"/>
        <v>31-70</v>
      </c>
      <c r="DD1707">
        <v>1</v>
      </c>
      <c r="DE1707">
        <v>1</v>
      </c>
      <c r="DF1707">
        <v>1</v>
      </c>
      <c r="DG1707">
        <v>1</v>
      </c>
      <c r="DH1707">
        <v>0</v>
      </c>
      <c r="DI1707">
        <f t="shared" si="2269"/>
        <v>4</v>
      </c>
      <c r="DJ1707" t="str">
        <f t="shared" si="2270"/>
        <v>mixedProduct</v>
      </c>
      <c r="DK1707" t="str">
        <f t="shared" si="2271"/>
        <v>Upstream</v>
      </c>
      <c r="DL1707" t="str">
        <f t="shared" si="2272"/>
        <v>Energy</v>
      </c>
      <c r="DM1707" t="str">
        <f t="shared" si="2273"/>
        <v>Pulp/Paper</v>
      </c>
      <c r="DN1707" t="str">
        <f t="shared" si="2274"/>
        <v>Timber</v>
      </c>
      <c r="DO1707">
        <v>0</v>
      </c>
      <c r="DP1707">
        <v>0</v>
      </c>
      <c r="DQ1707">
        <v>0</v>
      </c>
      <c r="DR1707">
        <v>0</v>
      </c>
      <c r="DS1707">
        <v>0</v>
      </c>
      <c r="DT1707">
        <f t="shared" si="2275"/>
        <v>0</v>
      </c>
      <c r="DU1707" s="143" t="str">
        <f t="shared" si="2276"/>
        <v>explicit C balance</v>
      </c>
      <c r="DV1707">
        <v>1</v>
      </c>
      <c r="DW1707">
        <v>1</v>
      </c>
      <c r="DX1707">
        <v>1</v>
      </c>
      <c r="DY1707">
        <v>1</v>
      </c>
      <c r="DZ1707">
        <v>0</v>
      </c>
      <c r="EA1707" s="143">
        <v>0</v>
      </c>
      <c r="EB1707">
        <v>0</v>
      </c>
      <c r="EC1707">
        <v>0</v>
      </c>
      <c r="ED1707">
        <v>0</v>
      </c>
      <c r="EE1707">
        <v>0</v>
      </c>
      <c r="EF1707">
        <v>1</v>
      </c>
      <c r="EG1707">
        <v>0</v>
      </c>
      <c r="EH1707">
        <v>0</v>
      </c>
      <c r="EI1707" s="2">
        <v>0</v>
      </c>
      <c r="EK1707" t="str">
        <f t="shared" si="2277"/>
        <v/>
      </c>
      <c r="EL1707" t="str">
        <f t="shared" si="2278"/>
        <v>Ecosystem approach</v>
      </c>
      <c r="EM1707" s="2" t="str">
        <f t="shared" si="2188"/>
        <v/>
      </c>
      <c r="EP1707" t="str">
        <f>IF(ISNUMBER(BU1707),IF(ABS(BU1707-[3]QC_indicators!$B$2)&gt;3*[3]QC_indicators!$C$2,"C ratio",IF(ISNUMBER(BY1707),IF(ABS(BY1707-[3]QC_indicators!$B$1)&gt;3*[3]QC_indicators!$C$1,"DF","no"))),IF(ISNUMBER(BY1707),IF(ABS(BY1707-[3]QC_indicators!$B$1)&gt;3*[3]QC_indicators!$C$1,"DF","no")))</f>
        <v>no</v>
      </c>
      <c r="ET1707" s="264" t="s">
        <v>3257</v>
      </c>
    </row>
    <row r="1708" spans="1:150" hidden="1">
      <c r="A1708" s="1" t="s">
        <v>1422</v>
      </c>
      <c r="B1708" t="s">
        <v>2489</v>
      </c>
      <c r="C1708" t="s">
        <v>2490</v>
      </c>
      <c r="D1708" t="s">
        <v>2491</v>
      </c>
      <c r="E1708" t="s">
        <v>2492</v>
      </c>
      <c r="F1708" t="s">
        <v>2493</v>
      </c>
      <c r="G1708" t="s">
        <v>1428</v>
      </c>
      <c r="H1708" t="s">
        <v>254</v>
      </c>
      <c r="I1708">
        <v>2016</v>
      </c>
      <c r="J1708">
        <v>24</v>
      </c>
      <c r="K1708" t="s">
        <v>2494</v>
      </c>
      <c r="M1708" t="str">
        <f t="shared" si="2193"/>
        <v>Zubizarreta-Gerendiain_2016</v>
      </c>
      <c r="N1708" t="s">
        <v>222</v>
      </c>
      <c r="O1708" s="145" t="s">
        <v>1153</v>
      </c>
      <c r="Q1708" t="s">
        <v>256</v>
      </c>
      <c r="R1708" s="262" t="s">
        <v>223</v>
      </c>
      <c r="S1708" s="1" t="s">
        <v>2517</v>
      </c>
      <c r="T1708" t="s">
        <v>2497</v>
      </c>
      <c r="U1708" t="s">
        <v>2518</v>
      </c>
      <c r="V1708">
        <v>0</v>
      </c>
      <c r="W1708">
        <v>0</v>
      </c>
      <c r="X1708">
        <v>0</v>
      </c>
      <c r="Y1708">
        <v>0</v>
      </c>
      <c r="Z1708">
        <v>0</v>
      </c>
      <c r="AA1708">
        <v>0</v>
      </c>
      <c r="AB1708">
        <v>0</v>
      </c>
      <c r="AC1708">
        <v>0</v>
      </c>
      <c r="AD1708">
        <v>0</v>
      </c>
      <c r="AE1708">
        <v>0</v>
      </c>
      <c r="AF1708">
        <v>1</v>
      </c>
      <c r="AG1708">
        <v>0</v>
      </c>
      <c r="AH1708">
        <v>0</v>
      </c>
      <c r="AI1708">
        <v>0</v>
      </c>
      <c r="AJ1708">
        <v>0</v>
      </c>
      <c r="AK1708">
        <v>0</v>
      </c>
      <c r="AL1708">
        <v>0</v>
      </c>
      <c r="AM1708">
        <v>0</v>
      </c>
      <c r="AN1708">
        <v>0</v>
      </c>
      <c r="AO1708">
        <v>0</v>
      </c>
      <c r="AP1708">
        <v>0</v>
      </c>
      <c r="AQ1708">
        <v>0</v>
      </c>
      <c r="AR1708">
        <v>0</v>
      </c>
      <c r="AS1708">
        <v>0</v>
      </c>
      <c r="AT1708">
        <v>0</v>
      </c>
      <c r="AU1708">
        <v>0</v>
      </c>
      <c r="AV1708">
        <v>0</v>
      </c>
      <c r="AW1708">
        <v>0</v>
      </c>
      <c r="AX1708" s="141">
        <f t="shared" si="2244"/>
        <v>1</v>
      </c>
      <c r="AY1708" s="141">
        <f t="shared" si="2245"/>
        <v>1</v>
      </c>
      <c r="AZ1708">
        <f t="shared" si="2246"/>
        <v>0</v>
      </c>
      <c r="BA1708">
        <f t="shared" si="2247"/>
        <v>1</v>
      </c>
      <c r="BB1708">
        <f t="shared" si="2248"/>
        <v>0</v>
      </c>
      <c r="BC1708">
        <f t="shared" si="2249"/>
        <v>0</v>
      </c>
      <c r="BD1708">
        <f t="shared" si="2250"/>
        <v>0</v>
      </c>
      <c r="BE1708" t="str">
        <f t="array" ref="BE1708">IF(AY1708=1,INDEX($V$7:$AL$7,MATCH(TRUE,INDEX($V1708:$AW1708&lt;&gt;0,),0)),IF(AY1708=0,INDEX($AM$7:$AW$7,MATCH(1,$AM1708:$AW1708,0)),IF(BF1708="Multiple strategies","mixed drivers",IF(BF1708="Supply chain","multiple supply","multiple silviculture"))))</f>
        <v>supply chain organization</v>
      </c>
      <c r="BF1708" s="2" t="str" cm="1">
        <f t="array" ref="BF1708">IF(COUNTIF(AZ1708:BB1708,"&lt;&gt;0")=1,INDEX($V$4:$AW$4,MATCH(TRUE,INDEX($V1708:$AW1708&lt;&gt;0,),0)),IF(COUNTIF(AZ1708:BB1708,"&lt;&gt;0")=0,INDEX($AM$4:$AW$4,MATCH(1,$AM1708:$AW1708,0)),"Multiple strategies"))</f>
        <v>Supply chain</v>
      </c>
      <c r="BG1708" s="1" t="s">
        <v>321</v>
      </c>
      <c r="BH1708" t="s">
        <v>2498</v>
      </c>
      <c r="BI1708" s="264" t="s">
        <v>2112</v>
      </c>
      <c r="BJ1708" t="s">
        <v>2499</v>
      </c>
      <c r="BK1708">
        <v>82.946708463949804</v>
      </c>
      <c r="BL1708">
        <v>84.921630094043806</v>
      </c>
      <c r="BM1708" s="143">
        <f t="shared" si="2251"/>
        <v>1.0238095238095233</v>
      </c>
      <c r="BN1708">
        <f t="shared" si="2252"/>
        <v>1.974921630094002</v>
      </c>
      <c r="BO1708">
        <f t="shared" si="2253"/>
        <v>4030.4523063142901</v>
      </c>
      <c r="BP1708" s="143" t="s">
        <v>232</v>
      </c>
      <c r="BQ1708" s="143" t="s">
        <v>3255</v>
      </c>
      <c r="BR1708" t="s">
        <v>1194</v>
      </c>
      <c r="BS1708">
        <v>-114599.70703910608</v>
      </c>
      <c r="BT1708">
        <v>-112538.56122905009</v>
      </c>
      <c r="BU1708" s="144">
        <f t="shared" si="2254"/>
        <v>0.98201438848920752</v>
      </c>
      <c r="BV1708" s="144">
        <f t="shared" si="2255"/>
        <v>2061.1458100559976</v>
      </c>
      <c r="BW1708" s="144"/>
      <c r="BX1708" s="144">
        <f t="shared" si="2256"/>
        <v>2061.1458100559976</v>
      </c>
      <c r="BY1708">
        <f t="shared" si="2279"/>
        <v>0.51139317709501553</v>
      </c>
      <c r="BZ1708">
        <v>0</v>
      </c>
      <c r="CA1708">
        <v>0</v>
      </c>
      <c r="CB1708">
        <v>0</v>
      </c>
      <c r="CC1708">
        <v>0</v>
      </c>
      <c r="CD1708">
        <v>0</v>
      </c>
      <c r="CE1708">
        <v>0</v>
      </c>
      <c r="CF1708">
        <v>0</v>
      </c>
      <c r="CG1708">
        <v>0</v>
      </c>
      <c r="CH1708">
        <v>0</v>
      </c>
      <c r="CI1708">
        <v>0</v>
      </c>
      <c r="CJ1708">
        <v>0</v>
      </c>
      <c r="CK1708">
        <v>0</v>
      </c>
      <c r="CL1708">
        <v>0</v>
      </c>
      <c r="CM1708">
        <v>1</v>
      </c>
      <c r="CN1708" t="str">
        <f t="shared" si="2257"/>
        <v>refOK</v>
      </c>
      <c r="CO1708">
        <f t="shared" si="2258"/>
        <v>82.946708463949804</v>
      </c>
      <c r="CP1708">
        <f t="shared" si="2259"/>
        <v>84.921630094043806</v>
      </c>
      <c r="CQ1708">
        <f t="shared" si="2260"/>
        <v>4030.4523063142901</v>
      </c>
      <c r="CR1708">
        <f t="shared" si="2261"/>
        <v>-114599.70703910608</v>
      </c>
      <c r="CS1708">
        <f t="shared" si="2262"/>
        <v>-112538.56122905009</v>
      </c>
      <c r="CT1708">
        <f t="shared" si="2263"/>
        <v>2061.1458100559976</v>
      </c>
      <c r="CU1708">
        <f t="shared" si="2264"/>
        <v>0.51139317709501553</v>
      </c>
      <c r="CV1708" s="2">
        <f t="shared" si="2265"/>
        <v>1.7985611510792525E-2</v>
      </c>
      <c r="CW1708" s="1" t="s">
        <v>1198</v>
      </c>
      <c r="CX1708" t="str">
        <f t="shared" si="2266"/>
        <v>reg</v>
      </c>
      <c r="CY1708" t="s">
        <v>235</v>
      </c>
      <c r="CZ1708">
        <v>2010</v>
      </c>
      <c r="DA1708">
        <v>2070</v>
      </c>
      <c r="DB1708">
        <f t="shared" si="2267"/>
        <v>60</v>
      </c>
      <c r="DC1708" t="str">
        <f t="shared" si="2268"/>
        <v>31-70</v>
      </c>
      <c r="DD1708">
        <v>1</v>
      </c>
      <c r="DE1708">
        <v>1</v>
      </c>
      <c r="DF1708">
        <v>1</v>
      </c>
      <c r="DG1708">
        <v>1</v>
      </c>
      <c r="DH1708">
        <v>0</v>
      </c>
      <c r="DI1708">
        <f t="shared" si="2269"/>
        <v>4</v>
      </c>
      <c r="DJ1708" t="str">
        <f t="shared" si="2270"/>
        <v>mixedProduct</v>
      </c>
      <c r="DK1708" t="str">
        <f t="shared" si="2271"/>
        <v>Upstream</v>
      </c>
      <c r="DL1708" t="str">
        <f t="shared" si="2272"/>
        <v>Energy</v>
      </c>
      <c r="DM1708" t="str">
        <f t="shared" si="2273"/>
        <v>Pulp/Paper</v>
      </c>
      <c r="DN1708" t="str">
        <f t="shared" si="2274"/>
        <v>Timber</v>
      </c>
      <c r="DO1708">
        <v>0</v>
      </c>
      <c r="DP1708">
        <v>0</v>
      </c>
      <c r="DQ1708">
        <v>0</v>
      </c>
      <c r="DR1708">
        <v>0</v>
      </c>
      <c r="DS1708">
        <v>0</v>
      </c>
      <c r="DT1708">
        <f t="shared" si="2275"/>
        <v>0</v>
      </c>
      <c r="DU1708" s="143" t="str">
        <f t="shared" si="2276"/>
        <v>explicit C balance</v>
      </c>
      <c r="DV1708">
        <v>1</v>
      </c>
      <c r="DW1708">
        <v>1</v>
      </c>
      <c r="DX1708">
        <v>1</v>
      </c>
      <c r="DY1708">
        <v>0</v>
      </c>
      <c r="DZ1708">
        <v>0</v>
      </c>
      <c r="EA1708" s="143">
        <v>0</v>
      </c>
      <c r="EB1708">
        <v>1</v>
      </c>
      <c r="EC1708">
        <v>1</v>
      </c>
      <c r="ED1708">
        <v>0</v>
      </c>
      <c r="EE1708">
        <v>0</v>
      </c>
      <c r="EF1708">
        <v>1</v>
      </c>
      <c r="EG1708">
        <v>0</v>
      </c>
      <c r="EH1708">
        <v>0</v>
      </c>
      <c r="EI1708" s="2">
        <v>0</v>
      </c>
      <c r="EK1708" t="str">
        <f t="shared" si="2277"/>
        <v>Whole sector</v>
      </c>
      <c r="EL1708" t="str">
        <f t="shared" si="2278"/>
        <v/>
      </c>
      <c r="EM1708" s="2" t="str">
        <f t="shared" ref="EM1708:EM1745" si="2280">IF(AND(AND(AND($DX1708=0,$DW1708=0),OR($EC1708=1,$EA1708=1)),SUM($EB1708:$EE1708)&gt;=2),"Technology approach","")</f>
        <v/>
      </c>
      <c r="EN1708" t="s">
        <v>2507</v>
      </c>
      <c r="EP1708" t="str">
        <f>IF(ISNUMBER(BU1708),IF(ABS(BU1708-[3]QC_indicators!$B$2)&gt;3*[3]QC_indicators!$C$2,"C ratio",IF(ISNUMBER(BY1708),IF(ABS(BY1708-[3]QC_indicators!$B$1)&gt;3*[3]QC_indicators!$C$1,"DF","no"))),IF(ISNUMBER(BY1708),IF(ABS(BY1708-[3]QC_indicators!$B$1)&gt;3*[3]QC_indicators!$C$1,"DF","no")))</f>
        <v>no</v>
      </c>
      <c r="ET1708" s="264" t="s">
        <v>3256</v>
      </c>
    </row>
    <row r="1709" spans="1:150" hidden="1">
      <c r="A1709" s="1" t="s">
        <v>1422</v>
      </c>
      <c r="B1709" t="s">
        <v>2489</v>
      </c>
      <c r="C1709" t="s">
        <v>2490</v>
      </c>
      <c r="D1709" t="s">
        <v>2491</v>
      </c>
      <c r="E1709" t="s">
        <v>2492</v>
      </c>
      <c r="F1709" t="s">
        <v>2493</v>
      </c>
      <c r="G1709" t="s">
        <v>1428</v>
      </c>
      <c r="H1709" t="s">
        <v>254</v>
      </c>
      <c r="I1709">
        <v>2016</v>
      </c>
      <c r="J1709">
        <v>24</v>
      </c>
      <c r="K1709" t="s">
        <v>2494</v>
      </c>
      <c r="M1709" t="str">
        <f t="shared" si="2193"/>
        <v>Zubizarreta-Gerendiain_2016</v>
      </c>
      <c r="N1709" t="s">
        <v>222</v>
      </c>
      <c r="O1709" s="145" t="s">
        <v>1153</v>
      </c>
      <c r="Q1709" t="s">
        <v>256</v>
      </c>
      <c r="R1709" s="262" t="s">
        <v>223</v>
      </c>
      <c r="S1709" s="1" t="s">
        <v>2525</v>
      </c>
      <c r="T1709" t="s">
        <v>2506</v>
      </c>
      <c r="U1709" t="s">
        <v>2527</v>
      </c>
      <c r="V1709">
        <v>0</v>
      </c>
      <c r="W1709">
        <v>0</v>
      </c>
      <c r="X1709">
        <v>0</v>
      </c>
      <c r="Y1709">
        <v>1</v>
      </c>
      <c r="Z1709">
        <v>0</v>
      </c>
      <c r="AA1709">
        <v>0</v>
      </c>
      <c r="AB1709">
        <v>0</v>
      </c>
      <c r="AC1709">
        <v>0</v>
      </c>
      <c r="AD1709">
        <v>0</v>
      </c>
      <c r="AE1709">
        <v>0</v>
      </c>
      <c r="AF1709">
        <v>0</v>
      </c>
      <c r="AG1709">
        <v>0</v>
      </c>
      <c r="AH1709">
        <v>0</v>
      </c>
      <c r="AI1709">
        <v>0</v>
      </c>
      <c r="AJ1709">
        <v>0</v>
      </c>
      <c r="AK1709">
        <v>0</v>
      </c>
      <c r="AL1709">
        <v>0</v>
      </c>
      <c r="AM1709">
        <v>0</v>
      </c>
      <c r="AN1709">
        <v>0</v>
      </c>
      <c r="AO1709">
        <v>0</v>
      </c>
      <c r="AP1709">
        <v>0</v>
      </c>
      <c r="AQ1709">
        <v>0</v>
      </c>
      <c r="AR1709">
        <v>0</v>
      </c>
      <c r="AS1709">
        <v>0</v>
      </c>
      <c r="AT1709">
        <v>0</v>
      </c>
      <c r="AU1709">
        <v>0</v>
      </c>
      <c r="AV1709">
        <v>0</v>
      </c>
      <c r="AW1709">
        <v>0</v>
      </c>
      <c r="AX1709" s="141">
        <f t="shared" si="2244"/>
        <v>1</v>
      </c>
      <c r="AY1709" s="141">
        <f t="shared" si="2245"/>
        <v>1</v>
      </c>
      <c r="AZ1709">
        <f t="shared" si="2246"/>
        <v>1</v>
      </c>
      <c r="BA1709">
        <f t="shared" si="2247"/>
        <v>0</v>
      </c>
      <c r="BB1709">
        <f t="shared" si="2248"/>
        <v>0</v>
      </c>
      <c r="BC1709">
        <f t="shared" si="2249"/>
        <v>0</v>
      </c>
      <c r="BD1709">
        <f t="shared" si="2250"/>
        <v>0</v>
      </c>
      <c r="BE1709" t="str">
        <f t="array" ref="BE1709">IF(AY1709=1,INDEX($V$7:$AL$7,MATCH(TRUE,INDEX($V1709:$AW1709&lt;&gt;0,),0)),IF(AY1709=0,INDEX($AM$7:$AW$7,MATCH(1,$AM1709:$AW1709,0)),IF(BF1709="Multiple strategies","mixed drivers",IF(BF1709="Supply chain","multiple supply","multiple silviculture"))))</f>
        <v xml:space="preserve">cutting intensity </v>
      </c>
      <c r="BF1709" s="2" t="str" cm="1">
        <f t="array" ref="BF1709">IF(COUNTIF(AZ1709:BB1709,"&lt;&gt;0")=1,INDEX($V$4:$AW$4,MATCH(TRUE,INDEX($V1709:$AW1709&lt;&gt;0,),0)),IF(COUNTIF(AZ1709:BB1709,"&lt;&gt;0")=0,INDEX($AM$4:$AW$4,MATCH(1,$AM1709:$AW1709,0)),"Multiple strategies"))</f>
        <v>Silviculture for removals</v>
      </c>
      <c r="BG1709" s="1" t="s">
        <v>321</v>
      </c>
      <c r="BH1709" t="s">
        <v>2498</v>
      </c>
      <c r="BI1709" s="264" t="s">
        <v>2112</v>
      </c>
      <c r="BJ1709" t="s">
        <v>2499</v>
      </c>
      <c r="BK1709">
        <v>64.910485933503793</v>
      </c>
      <c r="BL1709">
        <v>71.585677749360599</v>
      </c>
      <c r="BM1709" s="143">
        <f t="shared" si="2251"/>
        <v>1.1028368794326247</v>
      </c>
      <c r="BN1709">
        <f t="shared" si="2252"/>
        <v>6.675191815856806</v>
      </c>
      <c r="BO1709">
        <f t="shared" si="2253"/>
        <v>13622.840440524094</v>
      </c>
      <c r="BP1709" t="s">
        <v>232</v>
      </c>
      <c r="BQ1709" s="143" t="s">
        <v>3255</v>
      </c>
      <c r="BR1709" t="s">
        <v>1194</v>
      </c>
      <c r="BS1709">
        <v>120401.57301704831</v>
      </c>
      <c r="BT1709">
        <v>128079.5993328375</v>
      </c>
      <c r="BU1709" s="144">
        <f t="shared" si="2254"/>
        <v>1.0637701495370167</v>
      </c>
      <c r="BV1709" s="144">
        <f t="shared" si="2255"/>
        <v>7678.0263157891895</v>
      </c>
      <c r="BW1709" s="144"/>
      <c r="BX1709" s="144">
        <f t="shared" si="2256"/>
        <v>7678.0263157891895</v>
      </c>
      <c r="BY1709">
        <f t="shared" si="2279"/>
        <v>0.5636141999394807</v>
      </c>
      <c r="BZ1709">
        <v>0</v>
      </c>
      <c r="CA1709">
        <v>0</v>
      </c>
      <c r="CB1709">
        <v>0</v>
      </c>
      <c r="CC1709">
        <v>0</v>
      </c>
      <c r="CD1709">
        <v>0</v>
      </c>
      <c r="CE1709">
        <v>0</v>
      </c>
      <c r="CF1709">
        <v>0</v>
      </c>
      <c r="CG1709">
        <v>0</v>
      </c>
      <c r="CH1709">
        <v>0</v>
      </c>
      <c r="CI1709">
        <v>0</v>
      </c>
      <c r="CJ1709">
        <v>0</v>
      </c>
      <c r="CK1709">
        <v>0</v>
      </c>
      <c r="CL1709">
        <v>0</v>
      </c>
      <c r="CM1709">
        <v>1</v>
      </c>
      <c r="CN1709" t="str">
        <f t="shared" si="2257"/>
        <v>refOK</v>
      </c>
      <c r="CO1709">
        <f t="shared" si="2258"/>
        <v>64.910485933503793</v>
      </c>
      <c r="CP1709">
        <f t="shared" si="2259"/>
        <v>71.585677749360599</v>
      </c>
      <c r="CQ1709">
        <f t="shared" si="2260"/>
        <v>13622.840440524094</v>
      </c>
      <c r="CR1709">
        <f t="shared" si="2261"/>
        <v>120401.57301704831</v>
      </c>
      <c r="CS1709">
        <f t="shared" si="2262"/>
        <v>128079.5993328375</v>
      </c>
      <c r="CT1709">
        <f t="shared" si="2263"/>
        <v>7678.0263157891895</v>
      </c>
      <c r="CU1709">
        <f t="shared" si="2264"/>
        <v>0.5636141999394807</v>
      </c>
      <c r="CV1709" s="2">
        <f t="shared" si="2265"/>
        <v>6.3770149537016568E-2</v>
      </c>
      <c r="CW1709" s="1" t="s">
        <v>1198</v>
      </c>
      <c r="CX1709" t="str">
        <f t="shared" si="2266"/>
        <v>reg</v>
      </c>
      <c r="CY1709" t="s">
        <v>235</v>
      </c>
      <c r="CZ1709">
        <v>2010</v>
      </c>
      <c r="DA1709">
        <v>2070</v>
      </c>
      <c r="DB1709">
        <f t="shared" si="2267"/>
        <v>60</v>
      </c>
      <c r="DC1709" t="str">
        <f t="shared" si="2268"/>
        <v>31-70</v>
      </c>
      <c r="DD1709">
        <v>1</v>
      </c>
      <c r="DE1709">
        <v>1</v>
      </c>
      <c r="DF1709">
        <v>1</v>
      </c>
      <c r="DG1709">
        <v>1</v>
      </c>
      <c r="DH1709">
        <v>0</v>
      </c>
      <c r="DI1709">
        <f t="shared" si="2269"/>
        <v>4</v>
      </c>
      <c r="DJ1709" t="str">
        <f t="shared" si="2270"/>
        <v>mixedProduct</v>
      </c>
      <c r="DK1709" t="str">
        <f t="shared" si="2271"/>
        <v>Upstream</v>
      </c>
      <c r="DL1709" t="str">
        <f t="shared" si="2272"/>
        <v>Energy</v>
      </c>
      <c r="DM1709" t="str">
        <f t="shared" si="2273"/>
        <v>Pulp/Paper</v>
      </c>
      <c r="DN1709" t="str">
        <f t="shared" si="2274"/>
        <v>Timber</v>
      </c>
      <c r="DO1709">
        <v>0</v>
      </c>
      <c r="DP1709">
        <v>1</v>
      </c>
      <c r="DQ1709" t="s">
        <v>2523</v>
      </c>
      <c r="DR1709" t="s">
        <v>2524</v>
      </c>
      <c r="DS1709">
        <v>0</v>
      </c>
      <c r="DT1709">
        <f t="shared" si="2275"/>
        <v>1</v>
      </c>
      <c r="DU1709" s="143" t="str">
        <f t="shared" si="2276"/>
        <v>external DF used</v>
      </c>
      <c r="DV1709">
        <v>1</v>
      </c>
      <c r="DW1709">
        <v>1</v>
      </c>
      <c r="DX1709">
        <v>1</v>
      </c>
      <c r="DY1709">
        <v>1</v>
      </c>
      <c r="DZ1709">
        <v>0</v>
      </c>
      <c r="EA1709" s="143">
        <v>1</v>
      </c>
      <c r="EB1709">
        <v>1</v>
      </c>
      <c r="EC1709">
        <v>1</v>
      </c>
      <c r="ED1709">
        <v>0</v>
      </c>
      <c r="EE1709">
        <v>0</v>
      </c>
      <c r="EF1709">
        <v>1</v>
      </c>
      <c r="EG1709">
        <v>0</v>
      </c>
      <c r="EH1709">
        <v>0</v>
      </c>
      <c r="EI1709" s="2">
        <v>0</v>
      </c>
      <c r="EK1709" t="str">
        <f t="shared" si="2277"/>
        <v>Whole sector</v>
      </c>
      <c r="EL1709" t="str">
        <f t="shared" si="2278"/>
        <v/>
      </c>
      <c r="EM1709" s="2" t="str">
        <f t="shared" si="2280"/>
        <v/>
      </c>
      <c r="EP1709" t="str">
        <f>IF(ISNUMBER(BU1709),IF(ABS(BU1709-[3]QC_indicators!$B$2)&gt;3*[3]QC_indicators!$C$2,"C ratio",IF(ISNUMBER(BY1709),IF(ABS(BY1709-[3]QC_indicators!$B$1)&gt;3*[3]QC_indicators!$C$1,"DF","no"))),IF(ISNUMBER(BY1709),IF(ABS(BY1709-[3]QC_indicators!$B$1)&gt;3*[3]QC_indicators!$C$1,"DF","no")))</f>
        <v>no</v>
      </c>
      <c r="ET1709" s="264" t="s">
        <v>3258</v>
      </c>
    </row>
    <row r="1710" spans="1:150" hidden="1">
      <c r="A1710" s="1" t="s">
        <v>1422</v>
      </c>
      <c r="B1710" t="s">
        <v>2489</v>
      </c>
      <c r="C1710" t="s">
        <v>2490</v>
      </c>
      <c r="D1710" t="s">
        <v>2491</v>
      </c>
      <c r="E1710" t="s">
        <v>2492</v>
      </c>
      <c r="F1710" t="s">
        <v>2493</v>
      </c>
      <c r="G1710" t="s">
        <v>1428</v>
      </c>
      <c r="H1710" t="s">
        <v>254</v>
      </c>
      <c r="I1710">
        <v>2016</v>
      </c>
      <c r="J1710">
        <v>24</v>
      </c>
      <c r="K1710" t="s">
        <v>2494</v>
      </c>
      <c r="M1710" t="str">
        <f t="shared" si="2193"/>
        <v>Zubizarreta-Gerendiain_2016</v>
      </c>
      <c r="N1710" t="s">
        <v>222</v>
      </c>
      <c r="O1710" s="145" t="s">
        <v>1153</v>
      </c>
      <c r="Q1710" t="s">
        <v>256</v>
      </c>
      <c r="R1710" s="262" t="s">
        <v>223</v>
      </c>
      <c r="S1710" s="1" t="s">
        <v>2525</v>
      </c>
      <c r="T1710" t="s">
        <v>2506</v>
      </c>
      <c r="U1710" t="s">
        <v>2527</v>
      </c>
      <c r="V1710">
        <v>0</v>
      </c>
      <c r="W1710">
        <v>0</v>
      </c>
      <c r="X1710">
        <v>0</v>
      </c>
      <c r="Y1710">
        <v>1</v>
      </c>
      <c r="Z1710">
        <v>0</v>
      </c>
      <c r="AA1710">
        <v>0</v>
      </c>
      <c r="AB1710">
        <v>0</v>
      </c>
      <c r="AC1710">
        <v>0</v>
      </c>
      <c r="AD1710">
        <v>0</v>
      </c>
      <c r="AE1710">
        <v>0</v>
      </c>
      <c r="AF1710">
        <v>0</v>
      </c>
      <c r="AG1710">
        <v>0</v>
      </c>
      <c r="AH1710">
        <v>0</v>
      </c>
      <c r="AI1710">
        <v>0</v>
      </c>
      <c r="AJ1710">
        <v>0</v>
      </c>
      <c r="AK1710">
        <v>0</v>
      </c>
      <c r="AL1710">
        <v>0</v>
      </c>
      <c r="AM1710">
        <v>0</v>
      </c>
      <c r="AN1710">
        <v>0</v>
      </c>
      <c r="AO1710">
        <v>0</v>
      </c>
      <c r="AP1710">
        <v>0</v>
      </c>
      <c r="AQ1710">
        <v>0</v>
      </c>
      <c r="AR1710">
        <v>0</v>
      </c>
      <c r="AS1710">
        <v>0</v>
      </c>
      <c r="AT1710">
        <v>0</v>
      </c>
      <c r="AU1710">
        <v>0</v>
      </c>
      <c r="AV1710">
        <v>0</v>
      </c>
      <c r="AW1710">
        <v>0</v>
      </c>
      <c r="AX1710" s="141">
        <f t="shared" si="2244"/>
        <v>1</v>
      </c>
      <c r="AY1710" s="141">
        <f t="shared" si="2245"/>
        <v>1</v>
      </c>
      <c r="AZ1710">
        <f t="shared" si="2246"/>
        <v>1</v>
      </c>
      <c r="BA1710">
        <f t="shared" si="2247"/>
        <v>0</v>
      </c>
      <c r="BB1710">
        <f t="shared" si="2248"/>
        <v>0</v>
      </c>
      <c r="BC1710">
        <f t="shared" si="2249"/>
        <v>0</v>
      </c>
      <c r="BD1710">
        <f t="shared" si="2250"/>
        <v>0</v>
      </c>
      <c r="BE1710" t="str">
        <f t="array" ref="BE1710">IF(AY1710=1,INDEX($V$7:$AL$7,MATCH(TRUE,INDEX($V1710:$AW1710&lt;&gt;0,),0)),IF(AY1710=0,INDEX($AM$7:$AW$7,MATCH(1,$AM1710:$AW1710,0)),IF(BF1710="Multiple strategies","mixed drivers",IF(BF1710="Supply chain","multiple supply","multiple silviculture"))))</f>
        <v xml:space="preserve">cutting intensity </v>
      </c>
      <c r="BF1710" s="2" t="str" cm="1">
        <f t="array" ref="BF1710">IF(COUNTIF(AZ1710:BB1710,"&lt;&gt;0")=1,INDEX($V$4:$AW$4,MATCH(TRUE,INDEX($V1710:$AW1710&lt;&gt;0,),0)),IF(COUNTIF(AZ1710:BB1710,"&lt;&gt;0")=0,INDEX($AM$4:$AW$4,MATCH(1,$AM1710:$AW1710,0)),"Multiple strategies"))</f>
        <v>Silviculture for removals</v>
      </c>
      <c r="BG1710" s="1" t="s">
        <v>321</v>
      </c>
      <c r="BH1710" t="s">
        <v>2498</v>
      </c>
      <c r="BI1710" s="264" t="s">
        <v>2112</v>
      </c>
      <c r="BJ1710" t="s">
        <v>2499</v>
      </c>
      <c r="BK1710">
        <v>64.910485933503793</v>
      </c>
      <c r="BL1710">
        <v>71.585677749360599</v>
      </c>
      <c r="BM1710" s="143">
        <f t="shared" si="2251"/>
        <v>1.1028368794326247</v>
      </c>
      <c r="BN1710">
        <f t="shared" si="2252"/>
        <v>6.675191815856806</v>
      </c>
      <c r="BO1710">
        <f t="shared" si="2253"/>
        <v>13622.840440524094</v>
      </c>
      <c r="BP1710" t="s">
        <v>232</v>
      </c>
      <c r="BQ1710" s="143" t="s">
        <v>3255</v>
      </c>
      <c r="BR1710" t="s">
        <v>1194</v>
      </c>
      <c r="BS1710">
        <v>103859.82747603832</v>
      </c>
      <c r="BT1710">
        <v>113884.90734824278</v>
      </c>
      <c r="BU1710" s="144">
        <f t="shared" si="2254"/>
        <v>1.0965250965250963</v>
      </c>
      <c r="BV1710" s="144">
        <f t="shared" si="2255"/>
        <v>10025.079872204456</v>
      </c>
      <c r="BW1710" s="144"/>
      <c r="BX1710" s="144">
        <f t="shared" si="2256"/>
        <v>10025.079872204456</v>
      </c>
      <c r="BY1710">
        <f t="shared" si="2279"/>
        <v>0.7359023190481393</v>
      </c>
      <c r="BZ1710">
        <v>0</v>
      </c>
      <c r="CA1710">
        <v>0</v>
      </c>
      <c r="CB1710">
        <v>0</v>
      </c>
      <c r="CC1710">
        <v>0</v>
      </c>
      <c r="CD1710">
        <v>0</v>
      </c>
      <c r="CE1710">
        <v>0</v>
      </c>
      <c r="CF1710">
        <v>0</v>
      </c>
      <c r="CG1710">
        <v>0</v>
      </c>
      <c r="CH1710">
        <v>0</v>
      </c>
      <c r="CI1710">
        <v>0</v>
      </c>
      <c r="CJ1710">
        <v>0</v>
      </c>
      <c r="CK1710">
        <v>0</v>
      </c>
      <c r="CL1710">
        <v>0</v>
      </c>
      <c r="CM1710">
        <v>1</v>
      </c>
      <c r="CN1710" t="str">
        <f t="shared" si="2257"/>
        <v>refOK</v>
      </c>
      <c r="CO1710">
        <f t="shared" si="2258"/>
        <v>64.910485933503793</v>
      </c>
      <c r="CP1710">
        <f t="shared" si="2259"/>
        <v>71.585677749360599</v>
      </c>
      <c r="CQ1710">
        <f t="shared" si="2260"/>
        <v>13622.840440524094</v>
      </c>
      <c r="CR1710">
        <f t="shared" si="2261"/>
        <v>103859.82747603832</v>
      </c>
      <c r="CS1710">
        <f t="shared" si="2262"/>
        <v>113884.90734824278</v>
      </c>
      <c r="CT1710">
        <f t="shared" si="2263"/>
        <v>10025.079872204456</v>
      </c>
      <c r="CU1710">
        <f t="shared" si="2264"/>
        <v>0.7359023190481393</v>
      </c>
      <c r="CV1710" s="2">
        <f t="shared" si="2265"/>
        <v>9.6525096525096388E-2</v>
      </c>
      <c r="CW1710" s="1" t="s">
        <v>1198</v>
      </c>
      <c r="CX1710" t="str">
        <f t="shared" si="2266"/>
        <v>reg</v>
      </c>
      <c r="CY1710" t="s">
        <v>235</v>
      </c>
      <c r="CZ1710">
        <v>2010</v>
      </c>
      <c r="DA1710">
        <v>2070</v>
      </c>
      <c r="DB1710">
        <f t="shared" si="2267"/>
        <v>60</v>
      </c>
      <c r="DC1710" t="str">
        <f t="shared" si="2268"/>
        <v>31-70</v>
      </c>
      <c r="DD1710">
        <v>1</v>
      </c>
      <c r="DE1710">
        <v>1</v>
      </c>
      <c r="DF1710">
        <v>1</v>
      </c>
      <c r="DG1710">
        <v>1</v>
      </c>
      <c r="DH1710">
        <v>0</v>
      </c>
      <c r="DI1710">
        <f t="shared" si="2269"/>
        <v>4</v>
      </c>
      <c r="DJ1710" t="str">
        <f t="shared" si="2270"/>
        <v>mixedProduct</v>
      </c>
      <c r="DK1710" t="str">
        <f t="shared" si="2271"/>
        <v>Upstream</v>
      </c>
      <c r="DL1710" t="str">
        <f t="shared" si="2272"/>
        <v>Energy</v>
      </c>
      <c r="DM1710" t="str">
        <f t="shared" si="2273"/>
        <v>Pulp/Paper</v>
      </c>
      <c r="DN1710" t="str">
        <f t="shared" si="2274"/>
        <v>Timber</v>
      </c>
      <c r="DO1710">
        <v>0</v>
      </c>
      <c r="DP1710">
        <v>0</v>
      </c>
      <c r="DQ1710">
        <v>0</v>
      </c>
      <c r="DR1710">
        <v>0</v>
      </c>
      <c r="DS1710">
        <v>0</v>
      </c>
      <c r="DT1710">
        <f t="shared" si="2275"/>
        <v>0</v>
      </c>
      <c r="DU1710" s="143" t="str">
        <f t="shared" si="2276"/>
        <v>explicit C balance</v>
      </c>
      <c r="DV1710">
        <v>1</v>
      </c>
      <c r="DW1710">
        <v>1</v>
      </c>
      <c r="DX1710">
        <v>1</v>
      </c>
      <c r="DY1710">
        <v>1</v>
      </c>
      <c r="DZ1710">
        <v>0</v>
      </c>
      <c r="EA1710" s="143">
        <v>0</v>
      </c>
      <c r="EB1710">
        <v>0</v>
      </c>
      <c r="EC1710">
        <v>0</v>
      </c>
      <c r="ED1710">
        <v>0</v>
      </c>
      <c r="EE1710">
        <v>0</v>
      </c>
      <c r="EF1710">
        <v>1</v>
      </c>
      <c r="EG1710">
        <v>0</v>
      </c>
      <c r="EH1710">
        <v>0</v>
      </c>
      <c r="EI1710" s="2">
        <v>0</v>
      </c>
      <c r="EK1710" t="str">
        <f t="shared" si="2277"/>
        <v/>
      </c>
      <c r="EL1710" t="str">
        <f t="shared" si="2278"/>
        <v>Ecosystem approach</v>
      </c>
      <c r="EM1710" s="2" t="str">
        <f t="shared" si="2280"/>
        <v/>
      </c>
      <c r="EP1710" t="str">
        <f>IF(ISNUMBER(BU1710),IF(ABS(BU1710-[3]QC_indicators!$B$2)&gt;3*[3]QC_indicators!$C$2,"C ratio",IF(ISNUMBER(BY1710),IF(ABS(BY1710-[3]QC_indicators!$B$1)&gt;3*[3]QC_indicators!$C$1,"DF","no"))),IF(ISNUMBER(BY1710),IF(ABS(BY1710-[3]QC_indicators!$B$1)&gt;3*[3]QC_indicators!$C$1,"DF","no")))</f>
        <v>no</v>
      </c>
      <c r="ET1710" s="264" t="s">
        <v>3257</v>
      </c>
    </row>
    <row r="1711" spans="1:150" hidden="1">
      <c r="A1711" s="1" t="s">
        <v>1422</v>
      </c>
      <c r="B1711" t="s">
        <v>2489</v>
      </c>
      <c r="C1711" t="s">
        <v>2490</v>
      </c>
      <c r="D1711" t="s">
        <v>2491</v>
      </c>
      <c r="E1711" t="s">
        <v>2492</v>
      </c>
      <c r="F1711" t="s">
        <v>2493</v>
      </c>
      <c r="G1711" t="s">
        <v>1428</v>
      </c>
      <c r="H1711" t="s">
        <v>254</v>
      </c>
      <c r="I1711">
        <v>2016</v>
      </c>
      <c r="J1711">
        <v>24</v>
      </c>
      <c r="K1711" t="s">
        <v>2494</v>
      </c>
      <c r="M1711" t="str">
        <f t="shared" si="2193"/>
        <v>Zubizarreta-Gerendiain_2016</v>
      </c>
      <c r="N1711" t="s">
        <v>222</v>
      </c>
      <c r="O1711" s="145" t="s">
        <v>1153</v>
      </c>
      <c r="Q1711" t="s">
        <v>256</v>
      </c>
      <c r="R1711" s="262" t="s">
        <v>223</v>
      </c>
      <c r="S1711" s="1" t="s">
        <v>2517</v>
      </c>
      <c r="T1711" t="s">
        <v>2503</v>
      </c>
      <c r="U1711" t="s">
        <v>2519</v>
      </c>
      <c r="V1711">
        <v>0</v>
      </c>
      <c r="W1711">
        <v>0</v>
      </c>
      <c r="X1711">
        <v>0</v>
      </c>
      <c r="Y1711">
        <v>0</v>
      </c>
      <c r="Z1711">
        <v>0</v>
      </c>
      <c r="AA1711">
        <v>0</v>
      </c>
      <c r="AB1711">
        <v>0</v>
      </c>
      <c r="AC1711">
        <v>0</v>
      </c>
      <c r="AD1711">
        <v>0</v>
      </c>
      <c r="AE1711">
        <v>0</v>
      </c>
      <c r="AF1711">
        <v>1</v>
      </c>
      <c r="AG1711">
        <v>0</v>
      </c>
      <c r="AH1711">
        <v>0</v>
      </c>
      <c r="AI1711">
        <v>0</v>
      </c>
      <c r="AJ1711">
        <v>0</v>
      </c>
      <c r="AK1711">
        <v>0</v>
      </c>
      <c r="AL1711">
        <v>0</v>
      </c>
      <c r="AM1711">
        <v>0</v>
      </c>
      <c r="AN1711">
        <v>0</v>
      </c>
      <c r="AO1711">
        <v>0</v>
      </c>
      <c r="AP1711">
        <v>0</v>
      </c>
      <c r="AQ1711">
        <v>0</v>
      </c>
      <c r="AR1711">
        <v>0</v>
      </c>
      <c r="AS1711">
        <v>0</v>
      </c>
      <c r="AT1711">
        <v>0</v>
      </c>
      <c r="AU1711">
        <v>0</v>
      </c>
      <c r="AV1711">
        <v>0</v>
      </c>
      <c r="AW1711">
        <v>0</v>
      </c>
      <c r="AX1711" s="141">
        <f t="shared" si="2244"/>
        <v>1</v>
      </c>
      <c r="AY1711" s="141">
        <f t="shared" si="2245"/>
        <v>1</v>
      </c>
      <c r="AZ1711">
        <f t="shared" si="2246"/>
        <v>0</v>
      </c>
      <c r="BA1711">
        <f t="shared" si="2247"/>
        <v>1</v>
      </c>
      <c r="BB1711">
        <f t="shared" si="2248"/>
        <v>0</v>
      </c>
      <c r="BC1711">
        <f t="shared" si="2249"/>
        <v>0</v>
      </c>
      <c r="BD1711">
        <f t="shared" si="2250"/>
        <v>0</v>
      </c>
      <c r="BE1711" t="str">
        <f t="array" ref="BE1711">IF(AY1711=1,INDEX($V$7:$AL$7,MATCH(TRUE,INDEX($V1711:$AW1711&lt;&gt;0,),0)),IF(AY1711=0,INDEX($AM$7:$AW$7,MATCH(1,$AM1711:$AW1711,0)),IF(BF1711="Multiple strategies","mixed drivers",IF(BF1711="Supply chain","multiple supply","multiple silviculture"))))</f>
        <v>supply chain organization</v>
      </c>
      <c r="BF1711" s="2" t="str" cm="1">
        <f t="array" ref="BF1711">IF(COUNTIF(AZ1711:BB1711,"&lt;&gt;0")=1,INDEX($V$4:$AW$4,MATCH(TRUE,INDEX($V1711:$AW1711&lt;&gt;0,),0)),IF(COUNTIF(AZ1711:BB1711,"&lt;&gt;0")=0,INDEX($AM$4:$AW$4,MATCH(1,$AM1711:$AW1711,0)),"Multiple strategies"))</f>
        <v>Supply chain</v>
      </c>
      <c r="BG1711" s="1" t="s">
        <v>321</v>
      </c>
      <c r="BH1711" t="s">
        <v>2498</v>
      </c>
      <c r="BI1711" s="264" t="s">
        <v>2112</v>
      </c>
      <c r="BJ1711" t="s">
        <v>2499</v>
      </c>
      <c r="BK1711">
        <v>82.634271099744197</v>
      </c>
      <c r="BL1711">
        <v>84.015345268542205</v>
      </c>
      <c r="BM1711" s="143">
        <f t="shared" si="2251"/>
        <v>1.0167130919220062</v>
      </c>
      <c r="BN1711">
        <f t="shared" si="2252"/>
        <v>1.3810741687980084</v>
      </c>
      <c r="BO1711">
        <f t="shared" si="2253"/>
        <v>2818.5187118326703</v>
      </c>
      <c r="BP1711" s="143" t="s">
        <v>232</v>
      </c>
      <c r="BQ1711" s="143" t="s">
        <v>3255</v>
      </c>
      <c r="BR1711" t="s">
        <v>1194</v>
      </c>
      <c r="BS1711">
        <v>-87418.696485623019</v>
      </c>
      <c r="BT1711">
        <v>-82406.156549520776</v>
      </c>
      <c r="BU1711" s="144">
        <f t="shared" si="2254"/>
        <v>0.94266055045871555</v>
      </c>
      <c r="BV1711" s="144">
        <f t="shared" si="2255"/>
        <v>5012.5399361022428</v>
      </c>
      <c r="BW1711" s="144"/>
      <c r="BX1711" s="144">
        <f t="shared" si="2256"/>
        <v>5012.5399361022428</v>
      </c>
      <c r="BY1711">
        <f t="shared" si="2279"/>
        <v>1.7784306043662792</v>
      </c>
      <c r="BZ1711">
        <v>0</v>
      </c>
      <c r="CA1711">
        <v>0</v>
      </c>
      <c r="CB1711">
        <v>0</v>
      </c>
      <c r="CC1711">
        <v>0</v>
      </c>
      <c r="CD1711">
        <v>0</v>
      </c>
      <c r="CE1711">
        <v>0</v>
      </c>
      <c r="CF1711">
        <v>0</v>
      </c>
      <c r="CG1711">
        <v>0</v>
      </c>
      <c r="CH1711">
        <v>0</v>
      </c>
      <c r="CI1711">
        <v>0</v>
      </c>
      <c r="CJ1711">
        <v>0</v>
      </c>
      <c r="CK1711">
        <v>0</v>
      </c>
      <c r="CL1711">
        <v>0</v>
      </c>
      <c r="CM1711">
        <v>1</v>
      </c>
      <c r="CN1711" t="str">
        <f t="shared" si="2257"/>
        <v>refOK</v>
      </c>
      <c r="CO1711">
        <f t="shared" si="2258"/>
        <v>82.634271099744197</v>
      </c>
      <c r="CP1711">
        <f t="shared" si="2259"/>
        <v>84.015345268542205</v>
      </c>
      <c r="CQ1711">
        <f t="shared" si="2260"/>
        <v>2818.5187118326703</v>
      </c>
      <c r="CR1711">
        <f t="shared" si="2261"/>
        <v>-87418.696485623019</v>
      </c>
      <c r="CS1711">
        <f t="shared" si="2262"/>
        <v>-82406.156549520776</v>
      </c>
      <c r="CT1711">
        <f t="shared" si="2263"/>
        <v>5012.5399361022428</v>
      </c>
      <c r="CU1711">
        <f t="shared" si="2264"/>
        <v>1.7784306043662792</v>
      </c>
      <c r="CV1711" s="2">
        <f t="shared" si="2265"/>
        <v>5.7339449541284469E-2</v>
      </c>
      <c r="CW1711" s="1" t="s">
        <v>1198</v>
      </c>
      <c r="CX1711" t="str">
        <f t="shared" si="2266"/>
        <v>reg</v>
      </c>
      <c r="CY1711" t="s">
        <v>235</v>
      </c>
      <c r="CZ1711">
        <v>2010</v>
      </c>
      <c r="DA1711">
        <v>2070</v>
      </c>
      <c r="DB1711">
        <f t="shared" si="2267"/>
        <v>60</v>
      </c>
      <c r="DC1711" t="str">
        <f t="shared" si="2268"/>
        <v>31-70</v>
      </c>
      <c r="DD1711">
        <v>1</v>
      </c>
      <c r="DE1711">
        <v>1</v>
      </c>
      <c r="DF1711">
        <v>1</v>
      </c>
      <c r="DG1711">
        <v>1</v>
      </c>
      <c r="DH1711">
        <v>0</v>
      </c>
      <c r="DI1711">
        <f t="shared" si="2269"/>
        <v>4</v>
      </c>
      <c r="DJ1711" t="str">
        <f t="shared" si="2270"/>
        <v>mixedProduct</v>
      </c>
      <c r="DK1711" t="str">
        <f t="shared" si="2271"/>
        <v>Upstream</v>
      </c>
      <c r="DL1711" t="str">
        <f t="shared" si="2272"/>
        <v>Energy</v>
      </c>
      <c r="DM1711" t="str">
        <f t="shared" si="2273"/>
        <v>Pulp/Paper</v>
      </c>
      <c r="DN1711" t="str">
        <f t="shared" si="2274"/>
        <v>Timber</v>
      </c>
      <c r="DO1711">
        <v>0</v>
      </c>
      <c r="DP1711">
        <v>0</v>
      </c>
      <c r="DQ1711">
        <v>0</v>
      </c>
      <c r="DR1711">
        <v>0</v>
      </c>
      <c r="DS1711">
        <v>0</v>
      </c>
      <c r="DT1711">
        <f t="shared" si="2275"/>
        <v>0</v>
      </c>
      <c r="DU1711" s="143" t="str">
        <f t="shared" si="2276"/>
        <v>explicit C balance</v>
      </c>
      <c r="DV1711">
        <v>1</v>
      </c>
      <c r="DW1711">
        <v>1</v>
      </c>
      <c r="DX1711">
        <v>1</v>
      </c>
      <c r="DY1711">
        <v>0</v>
      </c>
      <c r="DZ1711">
        <v>0</v>
      </c>
      <c r="EA1711" s="143">
        <v>0</v>
      </c>
      <c r="EB1711">
        <v>1</v>
      </c>
      <c r="EC1711">
        <v>1</v>
      </c>
      <c r="ED1711">
        <v>0</v>
      </c>
      <c r="EE1711">
        <v>0</v>
      </c>
      <c r="EF1711">
        <v>1</v>
      </c>
      <c r="EG1711">
        <v>0</v>
      </c>
      <c r="EH1711">
        <v>0</v>
      </c>
      <c r="EI1711" s="2">
        <v>0</v>
      </c>
      <c r="EK1711" t="str">
        <f t="shared" si="2277"/>
        <v>Whole sector</v>
      </c>
      <c r="EL1711" t="str">
        <f t="shared" si="2278"/>
        <v/>
      </c>
      <c r="EM1711" s="2" t="str">
        <f t="shared" si="2280"/>
        <v/>
      </c>
      <c r="EN1711" t="s">
        <v>2507</v>
      </c>
      <c r="EP1711" t="str">
        <f>IF(ISNUMBER(BU1711),IF(ABS(BU1711-[3]QC_indicators!$B$2)&gt;3*[3]QC_indicators!$C$2,"C ratio",IF(ISNUMBER(BY1711),IF(ABS(BY1711-[3]QC_indicators!$B$1)&gt;3*[3]QC_indicators!$C$1,"DF","no"))),IF(ISNUMBER(BY1711),IF(ABS(BY1711-[3]QC_indicators!$B$1)&gt;3*[3]QC_indicators!$C$1,"DF","no")))</f>
        <v>no</v>
      </c>
      <c r="ET1711" s="264" t="s">
        <v>3256</v>
      </c>
    </row>
    <row r="1712" spans="1:150" hidden="1">
      <c r="A1712" s="1" t="s">
        <v>1422</v>
      </c>
      <c r="B1712" t="s">
        <v>2489</v>
      </c>
      <c r="C1712" t="s">
        <v>2490</v>
      </c>
      <c r="D1712" t="s">
        <v>2491</v>
      </c>
      <c r="E1712" t="s">
        <v>2492</v>
      </c>
      <c r="F1712" t="s">
        <v>2493</v>
      </c>
      <c r="G1712" t="s">
        <v>1428</v>
      </c>
      <c r="H1712" t="s">
        <v>254</v>
      </c>
      <c r="I1712">
        <v>2016</v>
      </c>
      <c r="J1712">
        <v>24</v>
      </c>
      <c r="K1712" t="s">
        <v>2494</v>
      </c>
      <c r="M1712" t="str">
        <f t="shared" si="2193"/>
        <v>Zubizarreta-Gerendiain_2016</v>
      </c>
      <c r="N1712" t="s">
        <v>222</v>
      </c>
      <c r="O1712" s="145" t="s">
        <v>1153</v>
      </c>
      <c r="Q1712" t="s">
        <v>256</v>
      </c>
      <c r="R1712" s="262" t="s">
        <v>223</v>
      </c>
      <c r="S1712" s="1" t="s">
        <v>2517</v>
      </c>
      <c r="T1712" t="s">
        <v>2503</v>
      </c>
      <c r="U1712" t="s">
        <v>2519</v>
      </c>
      <c r="V1712">
        <v>0</v>
      </c>
      <c r="W1712">
        <v>0</v>
      </c>
      <c r="X1712">
        <v>0</v>
      </c>
      <c r="Y1712">
        <v>0</v>
      </c>
      <c r="Z1712">
        <v>0</v>
      </c>
      <c r="AA1712">
        <v>0</v>
      </c>
      <c r="AB1712">
        <v>0</v>
      </c>
      <c r="AC1712">
        <v>0</v>
      </c>
      <c r="AD1712">
        <v>0</v>
      </c>
      <c r="AE1712">
        <v>0</v>
      </c>
      <c r="AF1712">
        <v>1</v>
      </c>
      <c r="AG1712">
        <v>0</v>
      </c>
      <c r="AH1712">
        <v>0</v>
      </c>
      <c r="AI1712">
        <v>0</v>
      </c>
      <c r="AJ1712">
        <v>0</v>
      </c>
      <c r="AK1712">
        <v>0</v>
      </c>
      <c r="AL1712">
        <v>0</v>
      </c>
      <c r="AM1712">
        <v>0</v>
      </c>
      <c r="AN1712">
        <v>0</v>
      </c>
      <c r="AO1712">
        <v>0</v>
      </c>
      <c r="AP1712">
        <v>0</v>
      </c>
      <c r="AQ1712">
        <v>0</v>
      </c>
      <c r="AR1712">
        <v>0</v>
      </c>
      <c r="AS1712">
        <v>0</v>
      </c>
      <c r="AT1712">
        <v>0</v>
      </c>
      <c r="AU1712">
        <v>0</v>
      </c>
      <c r="AV1712">
        <v>0</v>
      </c>
      <c r="AW1712">
        <v>0</v>
      </c>
      <c r="AX1712" s="141">
        <f t="shared" si="2244"/>
        <v>1</v>
      </c>
      <c r="AY1712" s="141">
        <f t="shared" si="2245"/>
        <v>1</v>
      </c>
      <c r="AZ1712">
        <f t="shared" si="2246"/>
        <v>0</v>
      </c>
      <c r="BA1712">
        <f t="shared" si="2247"/>
        <v>1</v>
      </c>
      <c r="BB1712">
        <f t="shared" si="2248"/>
        <v>0</v>
      </c>
      <c r="BC1712">
        <f t="shared" si="2249"/>
        <v>0</v>
      </c>
      <c r="BD1712">
        <f t="shared" si="2250"/>
        <v>0</v>
      </c>
      <c r="BE1712" t="str">
        <f t="array" ref="BE1712">IF(AY1712=1,INDEX($V$7:$AL$7,MATCH(TRUE,INDEX($V1712:$AW1712&lt;&gt;0,),0)),IF(AY1712=0,INDEX($AM$7:$AW$7,MATCH(1,$AM1712:$AW1712,0)),IF(BF1712="Multiple strategies","mixed drivers",IF(BF1712="Supply chain","multiple supply","multiple silviculture"))))</f>
        <v>supply chain organization</v>
      </c>
      <c r="BF1712" s="2" t="str" cm="1">
        <f t="array" ref="BF1712">IF(COUNTIF(AZ1712:BB1712,"&lt;&gt;0")=1,INDEX($V$4:$AW$4,MATCH(TRUE,INDEX($V1712:$AW1712&lt;&gt;0,),0)),IF(COUNTIF(AZ1712:BB1712,"&lt;&gt;0")=0,INDEX($AM$4:$AW$4,MATCH(1,$AM1712:$AW1712,0)),"Multiple strategies"))</f>
        <v>Supply chain</v>
      </c>
      <c r="BG1712" s="1" t="s">
        <v>321</v>
      </c>
      <c r="BH1712" t="s">
        <v>2498</v>
      </c>
      <c r="BI1712" s="264" t="s">
        <v>2112</v>
      </c>
      <c r="BJ1712" t="s">
        <v>2499</v>
      </c>
      <c r="BK1712">
        <v>82.634271099744197</v>
      </c>
      <c r="BL1712">
        <v>84.015345268542205</v>
      </c>
      <c r="BM1712" s="143">
        <f t="shared" si="2251"/>
        <v>1.0167130919220062</v>
      </c>
      <c r="BN1712">
        <f t="shared" si="2252"/>
        <v>1.3810741687980084</v>
      </c>
      <c r="BO1712">
        <f t="shared" si="2253"/>
        <v>2818.5187118326703</v>
      </c>
      <c r="BP1712" s="143" t="s">
        <v>232</v>
      </c>
      <c r="BQ1712" s="143" t="s">
        <v>3255</v>
      </c>
      <c r="BR1712" t="s">
        <v>1194</v>
      </c>
      <c r="BS1712">
        <v>12625.588954781248</v>
      </c>
      <c r="BT1712">
        <v>20883.088954780931</v>
      </c>
      <c r="BU1712" s="144">
        <f t="shared" si="2254"/>
        <v>1.6540288955686784</v>
      </c>
      <c r="BV1712" s="144">
        <f t="shared" si="2255"/>
        <v>8257.4999999996835</v>
      </c>
      <c r="BW1712" s="144"/>
      <c r="BX1712" s="144">
        <f t="shared" si="2256"/>
        <v>8257.4999999996835</v>
      </c>
      <c r="BY1712">
        <f t="shared" si="2279"/>
        <v>2.9297304166664389</v>
      </c>
      <c r="BZ1712">
        <v>0</v>
      </c>
      <c r="CA1712">
        <v>0</v>
      </c>
      <c r="CB1712">
        <v>0</v>
      </c>
      <c r="CC1712">
        <v>0</v>
      </c>
      <c r="CD1712">
        <v>0</v>
      </c>
      <c r="CE1712">
        <v>0</v>
      </c>
      <c r="CF1712">
        <v>0</v>
      </c>
      <c r="CG1712">
        <v>0</v>
      </c>
      <c r="CH1712">
        <v>0</v>
      </c>
      <c r="CI1712">
        <v>0</v>
      </c>
      <c r="CJ1712">
        <v>0</v>
      </c>
      <c r="CK1712">
        <v>0</v>
      </c>
      <c r="CL1712">
        <v>0</v>
      </c>
      <c r="CM1712">
        <v>1</v>
      </c>
      <c r="CN1712" t="str">
        <f t="shared" si="2257"/>
        <v>refOK</v>
      </c>
      <c r="CO1712">
        <f t="shared" si="2258"/>
        <v>82.634271099744197</v>
      </c>
      <c r="CP1712">
        <f t="shared" si="2259"/>
        <v>84.015345268542205</v>
      </c>
      <c r="CQ1712">
        <f t="shared" si="2260"/>
        <v>2818.5187118326703</v>
      </c>
      <c r="CR1712">
        <f t="shared" si="2261"/>
        <v>12625.588954781248</v>
      </c>
      <c r="CS1712">
        <f t="shared" si="2262"/>
        <v>20883.088954780931</v>
      </c>
      <c r="CT1712">
        <f t="shared" si="2263"/>
        <v>8257.4999999996835</v>
      </c>
      <c r="CU1712">
        <f t="shared" si="2264"/>
        <v>2.9297304166664389</v>
      </c>
      <c r="CV1712" s="2">
        <f t="shared" si="2265"/>
        <v>0.65402889556867838</v>
      </c>
      <c r="CW1712" s="1" t="s">
        <v>1198</v>
      </c>
      <c r="CX1712" t="str">
        <f t="shared" si="2266"/>
        <v>reg</v>
      </c>
      <c r="CY1712" t="s">
        <v>235</v>
      </c>
      <c r="CZ1712">
        <v>2010</v>
      </c>
      <c r="DA1712">
        <v>2070</v>
      </c>
      <c r="DB1712">
        <f t="shared" si="2267"/>
        <v>60</v>
      </c>
      <c r="DC1712" t="str">
        <f t="shared" si="2268"/>
        <v>31-70</v>
      </c>
      <c r="DD1712">
        <v>1</v>
      </c>
      <c r="DE1712">
        <v>1</v>
      </c>
      <c r="DF1712">
        <v>1</v>
      </c>
      <c r="DG1712">
        <v>1</v>
      </c>
      <c r="DH1712">
        <v>0</v>
      </c>
      <c r="DI1712">
        <f t="shared" si="2269"/>
        <v>4</v>
      </c>
      <c r="DJ1712" t="str">
        <f t="shared" si="2270"/>
        <v>mixedProduct</v>
      </c>
      <c r="DK1712" t="str">
        <f t="shared" si="2271"/>
        <v>Upstream</v>
      </c>
      <c r="DL1712" t="str">
        <f t="shared" si="2272"/>
        <v>Energy</v>
      </c>
      <c r="DM1712" t="str">
        <f t="shared" si="2273"/>
        <v>Pulp/Paper</v>
      </c>
      <c r="DN1712" t="str">
        <f t="shared" si="2274"/>
        <v>Timber</v>
      </c>
      <c r="DO1712">
        <v>0</v>
      </c>
      <c r="DP1712">
        <v>1</v>
      </c>
      <c r="DQ1712" t="s">
        <v>2523</v>
      </c>
      <c r="DR1712" t="s">
        <v>2524</v>
      </c>
      <c r="DS1712">
        <v>0</v>
      </c>
      <c r="DT1712">
        <f t="shared" si="2275"/>
        <v>1</v>
      </c>
      <c r="DU1712" s="143" t="str">
        <f t="shared" si="2276"/>
        <v>external DF used</v>
      </c>
      <c r="DV1712">
        <v>1</v>
      </c>
      <c r="DW1712">
        <v>1</v>
      </c>
      <c r="DX1712">
        <v>1</v>
      </c>
      <c r="DY1712">
        <v>1</v>
      </c>
      <c r="DZ1712">
        <v>0</v>
      </c>
      <c r="EA1712" s="143">
        <v>1</v>
      </c>
      <c r="EB1712">
        <v>1</v>
      </c>
      <c r="EC1712">
        <v>1</v>
      </c>
      <c r="ED1712">
        <v>0</v>
      </c>
      <c r="EE1712">
        <v>0</v>
      </c>
      <c r="EF1712">
        <v>1</v>
      </c>
      <c r="EG1712">
        <v>0</v>
      </c>
      <c r="EH1712">
        <v>0</v>
      </c>
      <c r="EI1712" s="2">
        <v>0</v>
      </c>
      <c r="EK1712" t="str">
        <f t="shared" si="2277"/>
        <v>Whole sector</v>
      </c>
      <c r="EL1712" t="str">
        <f t="shared" si="2278"/>
        <v/>
      </c>
      <c r="EM1712" s="2" t="str">
        <f t="shared" si="2280"/>
        <v/>
      </c>
      <c r="EN1712" t="s">
        <v>2507</v>
      </c>
      <c r="EP1712" t="str">
        <f>IF(ISNUMBER(BU1712),IF(ABS(BU1712-[3]QC_indicators!$B$2)&gt;3*[3]QC_indicators!$C$2,"C ratio",IF(ISNUMBER(BY1712),IF(ABS(BY1712-[3]QC_indicators!$B$1)&gt;3*[3]QC_indicators!$C$1,"DF","no"))),IF(ISNUMBER(BY1712),IF(ABS(BY1712-[3]QC_indicators!$B$1)&gt;3*[3]QC_indicators!$C$1,"DF","no")))</f>
        <v>no</v>
      </c>
      <c r="ET1712" s="264" t="s">
        <v>3259</v>
      </c>
    </row>
    <row r="1713" spans="1:150" hidden="1">
      <c r="A1713" s="1" t="s">
        <v>1422</v>
      </c>
      <c r="B1713" t="s">
        <v>2489</v>
      </c>
      <c r="C1713" t="s">
        <v>2490</v>
      </c>
      <c r="D1713" t="s">
        <v>2491</v>
      </c>
      <c r="E1713" t="s">
        <v>2492</v>
      </c>
      <c r="F1713" t="s">
        <v>2493</v>
      </c>
      <c r="G1713" t="s">
        <v>1428</v>
      </c>
      <c r="H1713" t="s">
        <v>254</v>
      </c>
      <c r="I1713">
        <v>2016</v>
      </c>
      <c r="J1713">
        <v>24</v>
      </c>
      <c r="K1713" t="s">
        <v>2494</v>
      </c>
      <c r="M1713" t="str">
        <f t="shared" si="2193"/>
        <v>Zubizarreta-Gerendiain_2016</v>
      </c>
      <c r="N1713" t="s">
        <v>222</v>
      </c>
      <c r="O1713" s="145" t="s">
        <v>1153</v>
      </c>
      <c r="Q1713" t="s">
        <v>256</v>
      </c>
      <c r="R1713" s="262" t="s">
        <v>223</v>
      </c>
      <c r="S1713" s="1" t="s">
        <v>2517</v>
      </c>
      <c r="T1713" t="s">
        <v>2497</v>
      </c>
      <c r="U1713" t="s">
        <v>2518</v>
      </c>
      <c r="V1713">
        <v>0</v>
      </c>
      <c r="W1713">
        <v>0</v>
      </c>
      <c r="X1713">
        <v>0</v>
      </c>
      <c r="Y1713">
        <v>0</v>
      </c>
      <c r="Z1713">
        <v>0</v>
      </c>
      <c r="AA1713">
        <v>0</v>
      </c>
      <c r="AB1713">
        <v>0</v>
      </c>
      <c r="AC1713">
        <v>0</v>
      </c>
      <c r="AD1713">
        <v>0</v>
      </c>
      <c r="AE1713">
        <v>0</v>
      </c>
      <c r="AF1713">
        <v>1</v>
      </c>
      <c r="AG1713">
        <v>0</v>
      </c>
      <c r="AH1713">
        <v>0</v>
      </c>
      <c r="AI1713">
        <v>0</v>
      </c>
      <c r="AJ1713">
        <v>0</v>
      </c>
      <c r="AK1713">
        <v>0</v>
      </c>
      <c r="AL1713">
        <v>0</v>
      </c>
      <c r="AM1713">
        <v>0</v>
      </c>
      <c r="AN1713">
        <v>0</v>
      </c>
      <c r="AO1713">
        <v>0</v>
      </c>
      <c r="AP1713">
        <v>0</v>
      </c>
      <c r="AQ1713">
        <v>0</v>
      </c>
      <c r="AR1713">
        <v>0</v>
      </c>
      <c r="AS1713">
        <v>0</v>
      </c>
      <c r="AT1713">
        <v>0</v>
      </c>
      <c r="AU1713">
        <v>0</v>
      </c>
      <c r="AV1713">
        <v>0</v>
      </c>
      <c r="AW1713">
        <v>0</v>
      </c>
      <c r="AX1713" s="141">
        <f t="shared" si="2244"/>
        <v>1</v>
      </c>
      <c r="AY1713" s="141">
        <f t="shared" si="2245"/>
        <v>1</v>
      </c>
      <c r="AZ1713">
        <f t="shared" si="2246"/>
        <v>0</v>
      </c>
      <c r="BA1713">
        <f t="shared" si="2247"/>
        <v>1</v>
      </c>
      <c r="BB1713">
        <f t="shared" si="2248"/>
        <v>0</v>
      </c>
      <c r="BC1713">
        <f t="shared" si="2249"/>
        <v>0</v>
      </c>
      <c r="BD1713">
        <f t="shared" si="2250"/>
        <v>0</v>
      </c>
      <c r="BE1713" t="str">
        <f t="array" ref="BE1713">IF(AY1713=1,INDEX($V$7:$AL$7,MATCH(TRUE,INDEX($V1713:$AW1713&lt;&gt;0,),0)),IF(AY1713=0,INDEX($AM$7:$AW$7,MATCH(1,$AM1713:$AW1713,0)),IF(BF1713="Multiple strategies","mixed drivers",IF(BF1713="Supply chain","multiple supply","multiple silviculture"))))</f>
        <v>supply chain organization</v>
      </c>
      <c r="BF1713" s="2" t="str" cm="1">
        <f t="array" ref="BF1713">IF(COUNTIF(AZ1713:BB1713,"&lt;&gt;0")=1,INDEX($V$4:$AW$4,MATCH(TRUE,INDEX($V1713:$AW1713&lt;&gt;0,),0)),IF(COUNTIF(AZ1713:BB1713,"&lt;&gt;0")=0,INDEX($AM$4:$AW$4,MATCH(1,$AM1713:$AW1713,0)),"Multiple strategies"))</f>
        <v>Supply chain</v>
      </c>
      <c r="BG1713" s="1" t="s">
        <v>321</v>
      </c>
      <c r="BH1713" t="s">
        <v>2498</v>
      </c>
      <c r="BI1713" s="264" t="s">
        <v>2112</v>
      </c>
      <c r="BJ1713" t="s">
        <v>2499</v>
      </c>
      <c r="BK1713">
        <v>82.946708463949804</v>
      </c>
      <c r="BL1713">
        <v>84.921630094043806</v>
      </c>
      <c r="BM1713" s="143">
        <f t="shared" si="2251"/>
        <v>1.0238095238095233</v>
      </c>
      <c r="BN1713">
        <f t="shared" si="2252"/>
        <v>1.974921630094002</v>
      </c>
      <c r="BO1713">
        <f t="shared" si="2253"/>
        <v>4030.4523063142901</v>
      </c>
      <c r="BP1713" s="143" t="s">
        <v>232</v>
      </c>
      <c r="BQ1713" s="143" t="s">
        <v>3255</v>
      </c>
      <c r="BR1713" t="s">
        <v>1194</v>
      </c>
      <c r="BS1713">
        <v>-27756.76357541895</v>
      </c>
      <c r="BT1713">
        <v>-15389.888715083767</v>
      </c>
      <c r="BU1713" s="144">
        <f t="shared" si="2254"/>
        <v>0.55445544554455417</v>
      </c>
      <c r="BV1713" s="144">
        <f t="shared" si="2255"/>
        <v>12366.874860335183</v>
      </c>
      <c r="BW1713" s="144"/>
      <c r="BX1713" s="144">
        <f t="shared" si="2256"/>
        <v>12366.874860335183</v>
      </c>
      <c r="BY1713">
        <f t="shared" si="2279"/>
        <v>3.0683590625698942</v>
      </c>
      <c r="BZ1713">
        <v>0</v>
      </c>
      <c r="CA1713">
        <v>0</v>
      </c>
      <c r="CB1713">
        <v>0</v>
      </c>
      <c r="CC1713">
        <v>0</v>
      </c>
      <c r="CD1713">
        <v>0</v>
      </c>
      <c r="CE1713">
        <v>0</v>
      </c>
      <c r="CF1713">
        <v>0</v>
      </c>
      <c r="CG1713">
        <v>0</v>
      </c>
      <c r="CH1713">
        <v>0</v>
      </c>
      <c r="CI1713">
        <v>0</v>
      </c>
      <c r="CJ1713">
        <v>0</v>
      </c>
      <c r="CK1713">
        <v>0</v>
      </c>
      <c r="CL1713">
        <v>0</v>
      </c>
      <c r="CM1713">
        <v>1</v>
      </c>
      <c r="CN1713" t="str">
        <f t="shared" si="2257"/>
        <v>refOK</v>
      </c>
      <c r="CO1713">
        <f t="shared" si="2258"/>
        <v>82.946708463949804</v>
      </c>
      <c r="CP1713">
        <f t="shared" si="2259"/>
        <v>84.921630094043806</v>
      </c>
      <c r="CQ1713">
        <f t="shared" si="2260"/>
        <v>4030.4523063142901</v>
      </c>
      <c r="CR1713">
        <f t="shared" si="2261"/>
        <v>-27756.76357541895</v>
      </c>
      <c r="CS1713">
        <f t="shared" si="2262"/>
        <v>-15389.888715083767</v>
      </c>
      <c r="CT1713">
        <f t="shared" si="2263"/>
        <v>12366.874860335183</v>
      </c>
      <c r="CU1713">
        <f t="shared" si="2264"/>
        <v>3.0683590625698942</v>
      </c>
      <c r="CV1713" s="2">
        <f t="shared" si="2265"/>
        <v>0.44554455445544583</v>
      </c>
      <c r="CW1713" s="1" t="s">
        <v>1198</v>
      </c>
      <c r="CX1713" t="str">
        <f t="shared" si="2266"/>
        <v>reg</v>
      </c>
      <c r="CY1713" t="s">
        <v>235</v>
      </c>
      <c r="CZ1713">
        <v>2010</v>
      </c>
      <c r="DA1713">
        <v>2070</v>
      </c>
      <c r="DB1713">
        <f t="shared" si="2267"/>
        <v>60</v>
      </c>
      <c r="DC1713" t="str">
        <f t="shared" si="2268"/>
        <v>31-70</v>
      </c>
      <c r="DD1713">
        <v>1</v>
      </c>
      <c r="DE1713">
        <v>1</v>
      </c>
      <c r="DF1713">
        <v>1</v>
      </c>
      <c r="DG1713">
        <v>1</v>
      </c>
      <c r="DH1713">
        <v>0</v>
      </c>
      <c r="DI1713">
        <f t="shared" si="2269"/>
        <v>4</v>
      </c>
      <c r="DJ1713" t="str">
        <f t="shared" si="2270"/>
        <v>mixedProduct</v>
      </c>
      <c r="DK1713" t="str">
        <f t="shared" si="2271"/>
        <v>Upstream</v>
      </c>
      <c r="DL1713" t="str">
        <f t="shared" si="2272"/>
        <v>Energy</v>
      </c>
      <c r="DM1713" t="str">
        <f t="shared" si="2273"/>
        <v>Pulp/Paper</v>
      </c>
      <c r="DN1713" t="str">
        <f t="shared" si="2274"/>
        <v>Timber</v>
      </c>
      <c r="DO1713">
        <v>0</v>
      </c>
      <c r="DP1713">
        <v>1</v>
      </c>
      <c r="DQ1713" t="s">
        <v>2523</v>
      </c>
      <c r="DR1713" t="s">
        <v>2524</v>
      </c>
      <c r="DS1713">
        <v>0</v>
      </c>
      <c r="DT1713">
        <f t="shared" si="2275"/>
        <v>1</v>
      </c>
      <c r="DU1713" s="143" t="str">
        <f t="shared" si="2276"/>
        <v>external DF used</v>
      </c>
      <c r="DV1713">
        <v>1</v>
      </c>
      <c r="DW1713">
        <v>1</v>
      </c>
      <c r="DX1713">
        <v>1</v>
      </c>
      <c r="DY1713">
        <v>1</v>
      </c>
      <c r="DZ1713">
        <v>0</v>
      </c>
      <c r="EA1713" s="143">
        <v>1</v>
      </c>
      <c r="EB1713">
        <v>1</v>
      </c>
      <c r="EC1713">
        <v>1</v>
      </c>
      <c r="ED1713">
        <v>0</v>
      </c>
      <c r="EE1713">
        <v>0</v>
      </c>
      <c r="EF1713">
        <v>1</v>
      </c>
      <c r="EG1713">
        <v>0</v>
      </c>
      <c r="EH1713">
        <v>0</v>
      </c>
      <c r="EI1713" s="2">
        <v>0</v>
      </c>
      <c r="EK1713" t="str">
        <f t="shared" si="2277"/>
        <v>Whole sector</v>
      </c>
      <c r="EL1713" t="str">
        <f t="shared" si="2278"/>
        <v/>
      </c>
      <c r="EM1713" s="2" t="str">
        <f t="shared" si="2280"/>
        <v/>
      </c>
      <c r="EN1713" t="s">
        <v>2507</v>
      </c>
      <c r="EP1713" t="str">
        <f>IF(ISNUMBER(BU1713),IF(ABS(BU1713-[3]QC_indicators!$B$2)&gt;3*[3]QC_indicators!$C$2,"C ratio",IF(ISNUMBER(BY1713),IF(ABS(BY1713-[3]QC_indicators!$B$1)&gt;3*[3]QC_indicators!$C$1,"DF","no"))),IF(ISNUMBER(BY1713),IF(ABS(BY1713-[3]QC_indicators!$B$1)&gt;3*[3]QC_indicators!$C$1,"DF","no")))</f>
        <v>no</v>
      </c>
      <c r="ET1713" s="264" t="s">
        <v>3259</v>
      </c>
    </row>
    <row r="1714" spans="1:150" hidden="1">
      <c r="A1714" s="1" t="s">
        <v>1422</v>
      </c>
      <c r="B1714" t="s">
        <v>2489</v>
      </c>
      <c r="C1714" t="s">
        <v>2490</v>
      </c>
      <c r="D1714" t="s">
        <v>2491</v>
      </c>
      <c r="E1714" t="s">
        <v>2492</v>
      </c>
      <c r="F1714" t="s">
        <v>2493</v>
      </c>
      <c r="G1714" t="s">
        <v>1428</v>
      </c>
      <c r="H1714" t="s">
        <v>254</v>
      </c>
      <c r="I1714">
        <v>2016</v>
      </c>
      <c r="J1714">
        <v>24</v>
      </c>
      <c r="K1714" t="s">
        <v>2494</v>
      </c>
      <c r="M1714" t="str">
        <f t="shared" si="2193"/>
        <v>Zubizarreta-Gerendiain_2016</v>
      </c>
      <c r="N1714" t="s">
        <v>222</v>
      </c>
      <c r="O1714" s="145" t="s">
        <v>1153</v>
      </c>
      <c r="Q1714" t="s">
        <v>256</v>
      </c>
      <c r="R1714" s="262" t="s">
        <v>223</v>
      </c>
      <c r="S1714" s="1" t="s">
        <v>2517</v>
      </c>
      <c r="T1714" t="s">
        <v>2497</v>
      </c>
      <c r="U1714" t="s">
        <v>2518</v>
      </c>
      <c r="V1714">
        <v>0</v>
      </c>
      <c r="W1714">
        <v>0</v>
      </c>
      <c r="X1714">
        <v>0</v>
      </c>
      <c r="Y1714">
        <v>0</v>
      </c>
      <c r="Z1714">
        <v>0</v>
      </c>
      <c r="AA1714">
        <v>0</v>
      </c>
      <c r="AB1714">
        <v>0</v>
      </c>
      <c r="AC1714">
        <v>0</v>
      </c>
      <c r="AD1714">
        <v>0</v>
      </c>
      <c r="AE1714">
        <v>0</v>
      </c>
      <c r="AF1714">
        <v>1</v>
      </c>
      <c r="AG1714">
        <v>0</v>
      </c>
      <c r="AH1714">
        <v>0</v>
      </c>
      <c r="AI1714">
        <v>0</v>
      </c>
      <c r="AJ1714">
        <v>0</v>
      </c>
      <c r="AK1714">
        <v>0</v>
      </c>
      <c r="AL1714">
        <v>0</v>
      </c>
      <c r="AM1714">
        <v>0</v>
      </c>
      <c r="AN1714">
        <v>0</v>
      </c>
      <c r="AO1714">
        <v>0</v>
      </c>
      <c r="AP1714">
        <v>0</v>
      </c>
      <c r="AQ1714">
        <v>0</v>
      </c>
      <c r="AR1714">
        <v>0</v>
      </c>
      <c r="AS1714">
        <v>0</v>
      </c>
      <c r="AT1714">
        <v>0</v>
      </c>
      <c r="AU1714">
        <v>0</v>
      </c>
      <c r="AV1714">
        <v>0</v>
      </c>
      <c r="AW1714">
        <v>0</v>
      </c>
      <c r="AX1714" s="141">
        <f t="shared" si="2244"/>
        <v>1</v>
      </c>
      <c r="AY1714" s="141">
        <f t="shared" si="2245"/>
        <v>1</v>
      </c>
      <c r="AZ1714">
        <f t="shared" si="2246"/>
        <v>0</v>
      </c>
      <c r="BA1714">
        <f t="shared" si="2247"/>
        <v>1</v>
      </c>
      <c r="BB1714">
        <f t="shared" si="2248"/>
        <v>0</v>
      </c>
      <c r="BC1714">
        <f t="shared" si="2249"/>
        <v>0</v>
      </c>
      <c r="BD1714">
        <f t="shared" si="2250"/>
        <v>0</v>
      </c>
      <c r="BE1714" t="str">
        <f t="array" ref="BE1714">IF(AY1714=1,INDEX($V$7:$AL$7,MATCH(TRUE,INDEX($V1714:$AW1714&lt;&gt;0,),0)),IF(AY1714=0,INDEX($AM$7:$AW$7,MATCH(1,$AM1714:$AW1714,0)),IF(BF1714="Multiple strategies","mixed drivers",IF(BF1714="Supply chain","multiple supply","multiple silviculture"))))</f>
        <v>supply chain organization</v>
      </c>
      <c r="BF1714" s="2" t="str" cm="1">
        <f t="array" ref="BF1714">IF(COUNTIF(AZ1714:BB1714,"&lt;&gt;0")=1,INDEX($V$4:$AW$4,MATCH(TRUE,INDEX($V1714:$AW1714&lt;&gt;0,),0)),IF(COUNTIF(AZ1714:BB1714,"&lt;&gt;0")=0,INDEX($AM$4:$AW$4,MATCH(1,$AM1714:$AW1714,0)),"Multiple strategies"))</f>
        <v>Supply chain</v>
      </c>
      <c r="BG1714" s="1" t="s">
        <v>321</v>
      </c>
      <c r="BH1714" t="s">
        <v>2498</v>
      </c>
      <c r="BI1714" s="264" t="s">
        <v>2112</v>
      </c>
      <c r="BJ1714" t="s">
        <v>2499</v>
      </c>
      <c r="BK1714">
        <v>82.946708463949804</v>
      </c>
      <c r="BL1714">
        <v>84.921630094043806</v>
      </c>
      <c r="BM1714" s="143">
        <f t="shared" si="2251"/>
        <v>1.0238095238095233</v>
      </c>
      <c r="BN1714">
        <f t="shared" si="2252"/>
        <v>1.974921630094002</v>
      </c>
      <c r="BO1714">
        <f t="shared" si="2253"/>
        <v>4030.4523063142901</v>
      </c>
      <c r="BP1714" s="143" t="s">
        <v>232</v>
      </c>
      <c r="BQ1714" s="143" t="s">
        <v>3255</v>
      </c>
      <c r="BR1714" t="s">
        <v>1194</v>
      </c>
      <c r="BS1714">
        <v>-46788.009888268192</v>
      </c>
      <c r="BT1714">
        <v>-28237.697597765364</v>
      </c>
      <c r="BU1714" s="144">
        <f t="shared" si="2254"/>
        <v>0.60352422907488945</v>
      </c>
      <c r="BV1714" s="144">
        <f t="shared" si="2255"/>
        <v>18550.312290502829</v>
      </c>
      <c r="BW1714" s="144"/>
      <c r="BX1714" s="144">
        <f t="shared" si="2256"/>
        <v>18550.312290502829</v>
      </c>
      <c r="BY1714">
        <f t="shared" si="2279"/>
        <v>4.6025385938548542</v>
      </c>
      <c r="BZ1714">
        <v>0</v>
      </c>
      <c r="CA1714">
        <v>0</v>
      </c>
      <c r="CB1714">
        <v>0</v>
      </c>
      <c r="CC1714">
        <v>0</v>
      </c>
      <c r="CD1714">
        <v>0</v>
      </c>
      <c r="CE1714">
        <v>0</v>
      </c>
      <c r="CF1714">
        <v>0</v>
      </c>
      <c r="CG1714">
        <v>0</v>
      </c>
      <c r="CH1714">
        <v>0</v>
      </c>
      <c r="CI1714">
        <v>0</v>
      </c>
      <c r="CJ1714">
        <v>0</v>
      </c>
      <c r="CK1714">
        <v>0</v>
      </c>
      <c r="CL1714">
        <v>0</v>
      </c>
      <c r="CM1714">
        <v>1</v>
      </c>
      <c r="CN1714" t="str">
        <f t="shared" si="2257"/>
        <v>refOK</v>
      </c>
      <c r="CO1714">
        <f t="shared" si="2258"/>
        <v>82.946708463949804</v>
      </c>
      <c r="CP1714">
        <f t="shared" si="2259"/>
        <v>84.921630094043806</v>
      </c>
      <c r="CQ1714">
        <f t="shared" si="2260"/>
        <v>4030.4523063142901</v>
      </c>
      <c r="CR1714">
        <f t="shared" si="2261"/>
        <v>-46788.009888268192</v>
      </c>
      <c r="CS1714">
        <f t="shared" si="2262"/>
        <v>-28237.697597765364</v>
      </c>
      <c r="CT1714">
        <f t="shared" si="2263"/>
        <v>18550.312290502829</v>
      </c>
      <c r="CU1714">
        <f t="shared" si="2264"/>
        <v>4.6025385938548542</v>
      </c>
      <c r="CV1714" s="2">
        <f t="shared" si="2265"/>
        <v>0.3964757709251106</v>
      </c>
      <c r="CW1714" s="1" t="s">
        <v>1198</v>
      </c>
      <c r="CX1714" t="str">
        <f t="shared" si="2266"/>
        <v>reg</v>
      </c>
      <c r="CY1714" t="s">
        <v>235</v>
      </c>
      <c r="CZ1714">
        <v>2010</v>
      </c>
      <c r="DA1714">
        <v>2070</v>
      </c>
      <c r="DB1714">
        <f t="shared" si="2267"/>
        <v>60</v>
      </c>
      <c r="DC1714" t="str">
        <f t="shared" si="2268"/>
        <v>31-70</v>
      </c>
      <c r="DD1714">
        <v>1</v>
      </c>
      <c r="DE1714">
        <v>0</v>
      </c>
      <c r="DF1714">
        <v>0</v>
      </c>
      <c r="DG1714">
        <v>0</v>
      </c>
      <c r="DH1714">
        <v>0</v>
      </c>
      <c r="DI1714">
        <f t="shared" si="2269"/>
        <v>1</v>
      </c>
      <c r="DJ1714" t="str">
        <f t="shared" si="2270"/>
        <v>UpstreamInput</v>
      </c>
      <c r="DK1714" t="str">
        <f t="shared" si="2271"/>
        <v>Upstream</v>
      </c>
      <c r="DL1714">
        <f t="shared" si="2272"/>
        <v>0</v>
      </c>
      <c r="DM1714">
        <f t="shared" si="2273"/>
        <v>0</v>
      </c>
      <c r="DN1714">
        <f t="shared" si="2274"/>
        <v>0</v>
      </c>
      <c r="DO1714">
        <v>0</v>
      </c>
      <c r="DP1714">
        <v>0</v>
      </c>
      <c r="DQ1714">
        <v>0</v>
      </c>
      <c r="DR1714">
        <v>0</v>
      </c>
      <c r="DS1714">
        <v>0</v>
      </c>
      <c r="DT1714">
        <f t="shared" si="2275"/>
        <v>0</v>
      </c>
      <c r="DU1714" s="143" t="str">
        <f t="shared" si="2276"/>
        <v>explicit C balance</v>
      </c>
      <c r="DV1714">
        <v>1</v>
      </c>
      <c r="DW1714">
        <v>1</v>
      </c>
      <c r="DX1714">
        <v>1</v>
      </c>
      <c r="DY1714">
        <v>1</v>
      </c>
      <c r="DZ1714">
        <v>0</v>
      </c>
      <c r="EA1714" s="143">
        <v>0</v>
      </c>
      <c r="EB1714">
        <v>0</v>
      </c>
      <c r="EC1714">
        <v>0</v>
      </c>
      <c r="ED1714">
        <v>0</v>
      </c>
      <c r="EE1714">
        <v>0</v>
      </c>
      <c r="EF1714">
        <v>1</v>
      </c>
      <c r="EG1714">
        <v>0</v>
      </c>
      <c r="EH1714">
        <v>0</v>
      </c>
      <c r="EI1714" s="2">
        <v>0</v>
      </c>
      <c r="EK1714" t="str">
        <f t="shared" si="2277"/>
        <v/>
      </c>
      <c r="EL1714" t="str">
        <f t="shared" si="2278"/>
        <v>Ecosystem approach</v>
      </c>
      <c r="EM1714" s="2" t="str">
        <f t="shared" si="2280"/>
        <v/>
      </c>
      <c r="EN1714" t="s">
        <v>2507</v>
      </c>
      <c r="EP1714" t="str">
        <f>IF(ISNUMBER(BU1714),IF(ABS(BU1714-[3]QC_indicators!$B$2)&gt;3*[3]QC_indicators!$C$2,"C ratio",IF(ISNUMBER(BY1714),IF(ABS(BY1714-[3]QC_indicators!$B$1)&gt;3*[3]QC_indicators!$C$1,"DF","no"))),IF(ISNUMBER(BY1714),IF(ABS(BY1714-[3]QC_indicators!$B$1)&gt;3*[3]QC_indicators!$C$1,"DF","no")))</f>
        <v>no</v>
      </c>
      <c r="EQ1714" t="s">
        <v>2500</v>
      </c>
      <c r="ET1714" s="264" t="s">
        <v>3256</v>
      </c>
    </row>
    <row r="1715" spans="1:150" hidden="1">
      <c r="A1715" s="1" t="s">
        <v>1422</v>
      </c>
      <c r="B1715" t="s">
        <v>2489</v>
      </c>
      <c r="C1715" t="s">
        <v>2490</v>
      </c>
      <c r="D1715" t="s">
        <v>2491</v>
      </c>
      <c r="E1715" t="s">
        <v>2492</v>
      </c>
      <c r="F1715" t="s">
        <v>2493</v>
      </c>
      <c r="G1715" t="s">
        <v>1428</v>
      </c>
      <c r="H1715" t="s">
        <v>254</v>
      </c>
      <c r="I1715">
        <v>2016</v>
      </c>
      <c r="J1715">
        <v>24</v>
      </c>
      <c r="K1715" t="s">
        <v>2494</v>
      </c>
      <c r="M1715" t="str">
        <f t="shared" si="2193"/>
        <v>Zubizarreta-Gerendiain_2016</v>
      </c>
      <c r="N1715" t="s">
        <v>222</v>
      </c>
      <c r="O1715" s="145" t="s">
        <v>1153</v>
      </c>
      <c r="Q1715" t="s">
        <v>256</v>
      </c>
      <c r="R1715" s="262" t="s">
        <v>223</v>
      </c>
      <c r="S1715" s="1" t="s">
        <v>2517</v>
      </c>
      <c r="T1715" t="s">
        <v>2503</v>
      </c>
      <c r="U1715" t="s">
        <v>2519</v>
      </c>
      <c r="V1715">
        <v>0</v>
      </c>
      <c r="W1715">
        <v>0</v>
      </c>
      <c r="X1715">
        <v>0</v>
      </c>
      <c r="Y1715">
        <v>0</v>
      </c>
      <c r="Z1715">
        <v>0</v>
      </c>
      <c r="AA1715">
        <v>0</v>
      </c>
      <c r="AB1715">
        <v>0</v>
      </c>
      <c r="AC1715">
        <v>0</v>
      </c>
      <c r="AD1715">
        <v>0</v>
      </c>
      <c r="AE1715">
        <v>0</v>
      </c>
      <c r="AF1715">
        <v>1</v>
      </c>
      <c r="AG1715">
        <v>0</v>
      </c>
      <c r="AH1715">
        <v>0</v>
      </c>
      <c r="AI1715">
        <v>0</v>
      </c>
      <c r="AJ1715">
        <v>0</v>
      </c>
      <c r="AK1715">
        <v>0</v>
      </c>
      <c r="AL1715">
        <v>0</v>
      </c>
      <c r="AM1715">
        <v>0</v>
      </c>
      <c r="AN1715">
        <v>0</v>
      </c>
      <c r="AO1715">
        <v>0</v>
      </c>
      <c r="AP1715">
        <v>0</v>
      </c>
      <c r="AQ1715">
        <v>0</v>
      </c>
      <c r="AR1715">
        <v>0</v>
      </c>
      <c r="AS1715">
        <v>0</v>
      </c>
      <c r="AT1715">
        <v>0</v>
      </c>
      <c r="AU1715">
        <v>0</v>
      </c>
      <c r="AV1715">
        <v>0</v>
      </c>
      <c r="AW1715">
        <v>0</v>
      </c>
      <c r="AX1715" s="141">
        <f t="shared" si="2244"/>
        <v>1</v>
      </c>
      <c r="AY1715" s="141">
        <f t="shared" si="2245"/>
        <v>1</v>
      </c>
      <c r="AZ1715">
        <f t="shared" si="2246"/>
        <v>0</v>
      </c>
      <c r="BA1715">
        <f t="shared" si="2247"/>
        <v>1</v>
      </c>
      <c r="BB1715">
        <f t="shared" si="2248"/>
        <v>0</v>
      </c>
      <c r="BC1715">
        <f t="shared" si="2249"/>
        <v>0</v>
      </c>
      <c r="BD1715">
        <f t="shared" si="2250"/>
        <v>0</v>
      </c>
      <c r="BE1715" t="str">
        <f t="array" ref="BE1715">IF(AY1715=1,INDEX($V$7:$AL$7,MATCH(TRUE,INDEX($V1715:$AW1715&lt;&gt;0,),0)),IF(AY1715=0,INDEX($AM$7:$AW$7,MATCH(1,$AM1715:$AW1715,0)),IF(BF1715="Multiple strategies","mixed drivers",IF(BF1715="Supply chain","multiple supply","multiple silviculture"))))</f>
        <v>supply chain organization</v>
      </c>
      <c r="BF1715" s="2" t="str" cm="1">
        <f t="array" ref="BF1715">IF(COUNTIF(AZ1715:BB1715,"&lt;&gt;0")=1,INDEX($V$4:$AW$4,MATCH(TRUE,INDEX($V1715:$AW1715&lt;&gt;0,),0)),IF(COUNTIF(AZ1715:BB1715,"&lt;&gt;0")=0,INDEX($AM$4:$AW$4,MATCH(1,$AM1715:$AW1715,0)),"Multiple strategies"))</f>
        <v>Supply chain</v>
      </c>
      <c r="BG1715" s="1" t="s">
        <v>321</v>
      </c>
      <c r="BH1715" t="s">
        <v>2498</v>
      </c>
      <c r="BI1715" s="264" t="s">
        <v>2112</v>
      </c>
      <c r="BJ1715" t="s">
        <v>2499</v>
      </c>
      <c r="BK1715">
        <v>82.634271099744197</v>
      </c>
      <c r="BL1715">
        <v>84.015345268542205</v>
      </c>
      <c r="BM1715" s="143">
        <f t="shared" si="2251"/>
        <v>1.0167130919220062</v>
      </c>
      <c r="BN1715">
        <f t="shared" si="2252"/>
        <v>1.3810741687980084</v>
      </c>
      <c r="BO1715">
        <f t="shared" si="2253"/>
        <v>2818.5187118326703</v>
      </c>
      <c r="BP1715" s="143" t="s">
        <v>232</v>
      </c>
      <c r="BQ1715" s="143" t="s">
        <v>3255</v>
      </c>
      <c r="BR1715" t="s">
        <v>1194</v>
      </c>
      <c r="BS1715">
        <v>-22456.178913738113</v>
      </c>
      <c r="BT1715">
        <v>-5413.5431309905543</v>
      </c>
      <c r="BU1715" s="144">
        <f t="shared" si="2254"/>
        <v>0.24107142857143377</v>
      </c>
      <c r="BV1715" s="144">
        <f t="shared" si="2255"/>
        <v>17042.635782747559</v>
      </c>
      <c r="BW1715" s="144"/>
      <c r="BX1715" s="144">
        <f t="shared" si="2256"/>
        <v>17042.635782747559</v>
      </c>
      <c r="BY1715">
        <f t="shared" si="2279"/>
        <v>6.0466640548453254</v>
      </c>
      <c r="BZ1715">
        <v>0</v>
      </c>
      <c r="CA1715">
        <v>0</v>
      </c>
      <c r="CB1715">
        <v>0</v>
      </c>
      <c r="CC1715">
        <v>0</v>
      </c>
      <c r="CD1715">
        <v>0</v>
      </c>
      <c r="CE1715">
        <v>0</v>
      </c>
      <c r="CF1715">
        <v>0</v>
      </c>
      <c r="CG1715">
        <v>0</v>
      </c>
      <c r="CH1715">
        <v>0</v>
      </c>
      <c r="CI1715">
        <v>0</v>
      </c>
      <c r="CJ1715">
        <v>0</v>
      </c>
      <c r="CK1715">
        <v>0</v>
      </c>
      <c r="CL1715">
        <v>0</v>
      </c>
      <c r="CM1715">
        <v>1</v>
      </c>
      <c r="CN1715" t="str">
        <f t="shared" si="2257"/>
        <v>refOK</v>
      </c>
      <c r="CO1715">
        <f t="shared" si="2258"/>
        <v>82.634271099744197</v>
      </c>
      <c r="CP1715">
        <f t="shared" si="2259"/>
        <v>84.015345268542205</v>
      </c>
      <c r="CQ1715">
        <f t="shared" si="2260"/>
        <v>2818.5187118326703</v>
      </c>
      <c r="CR1715">
        <f t="shared" si="2261"/>
        <v>-22456.178913738113</v>
      </c>
      <c r="CS1715">
        <f t="shared" si="2262"/>
        <v>-5413.5431309905543</v>
      </c>
      <c r="CT1715">
        <f t="shared" si="2263"/>
        <v>17042.635782747559</v>
      </c>
      <c r="CU1715">
        <f t="shared" si="2264"/>
        <v>6.0466640548453254</v>
      </c>
      <c r="CV1715" s="2">
        <f t="shared" si="2265"/>
        <v>0.75892857142856629</v>
      </c>
      <c r="CW1715" s="1" t="s">
        <v>1198</v>
      </c>
      <c r="CX1715" t="str">
        <f t="shared" si="2266"/>
        <v>reg</v>
      </c>
      <c r="CY1715" t="s">
        <v>235</v>
      </c>
      <c r="CZ1715">
        <v>2010</v>
      </c>
      <c r="DA1715">
        <v>2070</v>
      </c>
      <c r="DB1715">
        <f t="shared" si="2267"/>
        <v>60</v>
      </c>
      <c r="DC1715" t="str">
        <f t="shared" si="2268"/>
        <v>31-70</v>
      </c>
      <c r="DD1715">
        <v>1</v>
      </c>
      <c r="DE1715">
        <v>0</v>
      </c>
      <c r="DF1715">
        <v>0</v>
      </c>
      <c r="DG1715">
        <v>0</v>
      </c>
      <c r="DH1715">
        <v>0</v>
      </c>
      <c r="DI1715">
        <f t="shared" si="2269"/>
        <v>1</v>
      </c>
      <c r="DJ1715" t="str">
        <f t="shared" si="2270"/>
        <v>UpstreamInput</v>
      </c>
      <c r="DK1715" t="str">
        <f t="shared" si="2271"/>
        <v>Upstream</v>
      </c>
      <c r="DL1715">
        <f t="shared" si="2272"/>
        <v>0</v>
      </c>
      <c r="DM1715">
        <f t="shared" si="2273"/>
        <v>0</v>
      </c>
      <c r="DN1715">
        <f t="shared" si="2274"/>
        <v>0</v>
      </c>
      <c r="DO1715">
        <v>0</v>
      </c>
      <c r="DP1715">
        <v>0</v>
      </c>
      <c r="DQ1715">
        <v>0</v>
      </c>
      <c r="DR1715">
        <v>0</v>
      </c>
      <c r="DS1715">
        <v>0</v>
      </c>
      <c r="DT1715">
        <f t="shared" si="2275"/>
        <v>0</v>
      </c>
      <c r="DU1715" s="143" t="str">
        <f t="shared" si="2276"/>
        <v>explicit C balance</v>
      </c>
      <c r="DV1715">
        <v>1</v>
      </c>
      <c r="DW1715">
        <v>1</v>
      </c>
      <c r="DX1715">
        <v>1</v>
      </c>
      <c r="DY1715">
        <v>1</v>
      </c>
      <c r="DZ1715">
        <v>0</v>
      </c>
      <c r="EA1715" s="143">
        <v>0</v>
      </c>
      <c r="EB1715">
        <v>0</v>
      </c>
      <c r="EC1715">
        <v>0</v>
      </c>
      <c r="ED1715">
        <v>0</v>
      </c>
      <c r="EE1715">
        <v>0</v>
      </c>
      <c r="EF1715">
        <v>1</v>
      </c>
      <c r="EG1715">
        <v>0</v>
      </c>
      <c r="EH1715">
        <v>0</v>
      </c>
      <c r="EI1715" s="2">
        <v>0</v>
      </c>
      <c r="EK1715" t="str">
        <f t="shared" si="2277"/>
        <v/>
      </c>
      <c r="EL1715" t="str">
        <f t="shared" si="2278"/>
        <v>Ecosystem approach</v>
      </c>
      <c r="EM1715" s="2" t="str">
        <f t="shared" si="2280"/>
        <v/>
      </c>
      <c r="EN1715" t="s">
        <v>2507</v>
      </c>
      <c r="EP1715" t="str">
        <f>IF(ISNUMBER(BU1715),IF(ABS(BU1715-[3]QC_indicators!$B$2)&gt;3*[3]QC_indicators!$C$2,"C ratio",IF(ISNUMBER(BY1715),IF(ABS(BY1715-[3]QC_indicators!$B$1)&gt;3*[3]QC_indicators!$C$1,"DF","no"))),IF(ISNUMBER(BY1715),IF(ABS(BY1715-[3]QC_indicators!$B$1)&gt;3*[3]QC_indicators!$C$1,"DF","no")))</f>
        <v>no</v>
      </c>
      <c r="EQ1715" t="s">
        <v>2500</v>
      </c>
      <c r="ET1715" s="264" t="s">
        <v>3256</v>
      </c>
    </row>
    <row r="1716" spans="1:150" hidden="1">
      <c r="A1716" s="1" t="s">
        <v>1422</v>
      </c>
      <c r="B1716" t="s">
        <v>2489</v>
      </c>
      <c r="C1716" t="s">
        <v>2490</v>
      </c>
      <c r="D1716" t="s">
        <v>2491</v>
      </c>
      <c r="E1716" t="s">
        <v>2492</v>
      </c>
      <c r="F1716" t="s">
        <v>2493</v>
      </c>
      <c r="G1716" t="s">
        <v>1428</v>
      </c>
      <c r="H1716" t="s">
        <v>254</v>
      </c>
      <c r="I1716">
        <v>2016</v>
      </c>
      <c r="J1716">
        <v>24</v>
      </c>
      <c r="K1716" t="s">
        <v>2494</v>
      </c>
      <c r="M1716" t="str">
        <f t="shared" si="2193"/>
        <v>Zubizarreta-Gerendiain_2016</v>
      </c>
      <c r="N1716" t="s">
        <v>222</v>
      </c>
      <c r="O1716" s="145" t="s">
        <v>1153</v>
      </c>
      <c r="Q1716" t="s">
        <v>256</v>
      </c>
      <c r="R1716" s="262" t="s">
        <v>223</v>
      </c>
      <c r="S1716" s="1" t="s">
        <v>2495</v>
      </c>
      <c r="T1716" t="s">
        <v>2511</v>
      </c>
      <c r="U1716" t="s">
        <v>2510</v>
      </c>
      <c r="V1716">
        <v>0</v>
      </c>
      <c r="W1716">
        <v>0</v>
      </c>
      <c r="X1716">
        <v>0</v>
      </c>
      <c r="Y1716">
        <v>2</v>
      </c>
      <c r="Z1716">
        <v>0</v>
      </c>
      <c r="AA1716">
        <v>0</v>
      </c>
      <c r="AB1716">
        <v>0</v>
      </c>
      <c r="AC1716">
        <v>0</v>
      </c>
      <c r="AD1716">
        <v>0</v>
      </c>
      <c r="AE1716">
        <v>0</v>
      </c>
      <c r="AF1716">
        <v>1</v>
      </c>
      <c r="AG1716">
        <v>0</v>
      </c>
      <c r="AH1716">
        <v>0</v>
      </c>
      <c r="AI1716">
        <v>0</v>
      </c>
      <c r="AJ1716">
        <v>0</v>
      </c>
      <c r="AK1716">
        <v>0</v>
      </c>
      <c r="AL1716">
        <v>0</v>
      </c>
      <c r="AM1716">
        <v>0</v>
      </c>
      <c r="AN1716">
        <v>2</v>
      </c>
      <c r="AO1716">
        <v>2</v>
      </c>
      <c r="AP1716">
        <v>0</v>
      </c>
      <c r="AQ1716">
        <v>0</v>
      </c>
      <c r="AR1716">
        <v>0</v>
      </c>
      <c r="AS1716">
        <v>0</v>
      </c>
      <c r="AT1716">
        <v>0</v>
      </c>
      <c r="AU1716">
        <v>0</v>
      </c>
      <c r="AV1716">
        <v>0</v>
      </c>
      <c r="AW1716">
        <v>0</v>
      </c>
      <c r="AX1716" s="141">
        <f t="shared" si="2244"/>
        <v>4</v>
      </c>
      <c r="AY1716" s="141">
        <f t="shared" si="2245"/>
        <v>2</v>
      </c>
      <c r="AZ1716">
        <f t="shared" si="2246"/>
        <v>1</v>
      </c>
      <c r="BA1716">
        <f t="shared" si="2247"/>
        <v>1</v>
      </c>
      <c r="BB1716">
        <f t="shared" si="2248"/>
        <v>0</v>
      </c>
      <c r="BC1716">
        <f t="shared" si="2249"/>
        <v>0</v>
      </c>
      <c r="BD1716">
        <f t="shared" si="2250"/>
        <v>2</v>
      </c>
      <c r="BE1716" t="str">
        <f t="array" ref="BE1716">IF(AY1716=1,INDEX($V$7:$AL$7,MATCH(TRUE,INDEX($V1716:$AW1716&lt;&gt;0,),0)),IF(AY1716=0,INDEX($AM$7:$AW$7,MATCH(1,$AM1716:$AW1716,0)),IF(BF1716="Multiple strategies","mixed drivers",IF(BF1716="Supply chain","multiple supply","multiple silviculture"))))</f>
        <v>mixed drivers</v>
      </c>
      <c r="BF1716" s="2" t="str" cm="1">
        <f t="array" ref="BF1716">IF(COUNTIF(AZ1716:BB1716,"&lt;&gt;0")=1,INDEX($V$4:$AW$4,MATCH(TRUE,INDEX($V1716:$AW1716&lt;&gt;0,),0)),IF(COUNTIF(AZ1716:BB1716,"&lt;&gt;0")=0,INDEX($AM$4:$AW$4,MATCH(1,$AM1716:$AW1716,0)),"Multiple strategies"))</f>
        <v>Multiple strategies</v>
      </c>
      <c r="BM1716" s="143"/>
      <c r="BN1716" s="143"/>
      <c r="BP1716" s="143" t="s">
        <v>232</v>
      </c>
      <c r="BQ1716" s="143"/>
      <c r="BR1716" t="s">
        <v>1194</v>
      </c>
      <c r="BS1716">
        <v>125518.89696071042</v>
      </c>
      <c r="BT1716">
        <v>29471.133802816759</v>
      </c>
      <c r="BU1716" s="144">
        <f t="shared" si="2254"/>
        <v>0.23479439762796619</v>
      </c>
      <c r="BV1716" s="144">
        <f t="shared" si="2255"/>
        <v>-96047.763157893671</v>
      </c>
      <c r="BW1716" s="144"/>
      <c r="BX1716" s="144">
        <f t="shared" si="2256"/>
        <v>-96047.763157893671</v>
      </c>
      <c r="BY1716" t="str">
        <f t="shared" si="2279"/>
        <v/>
      </c>
      <c r="BZ1716">
        <v>0</v>
      </c>
      <c r="CA1716">
        <v>0</v>
      </c>
      <c r="CB1716">
        <v>0</v>
      </c>
      <c r="CC1716">
        <v>0</v>
      </c>
      <c r="CD1716">
        <v>0</v>
      </c>
      <c r="CE1716">
        <v>0</v>
      </c>
      <c r="CF1716">
        <v>0</v>
      </c>
      <c r="CG1716">
        <v>0</v>
      </c>
      <c r="CH1716">
        <v>0</v>
      </c>
      <c r="CI1716">
        <v>0</v>
      </c>
      <c r="CJ1716">
        <v>0</v>
      </c>
      <c r="CK1716">
        <v>0</v>
      </c>
      <c r="CL1716">
        <v>0</v>
      </c>
      <c r="CM1716">
        <v>1</v>
      </c>
      <c r="CN1716" t="str">
        <f t="shared" ref="CN1716:CN1745" si="2281">IF(BL1716&lt;BK1716,"refNeedCorrection","refOK")</f>
        <v>refOK</v>
      </c>
      <c r="CO1716"/>
      <c r="CP1716"/>
      <c r="CQ1716"/>
      <c r="CR1716">
        <f t="shared" si="2261"/>
        <v>125518.89696071042</v>
      </c>
      <c r="CS1716">
        <f t="shared" si="2262"/>
        <v>29471.133802816759</v>
      </c>
      <c r="CT1716">
        <f t="shared" si="2263"/>
        <v>-96047.763157893671</v>
      </c>
      <c r="CU1716" t="str">
        <f t="shared" si="2264"/>
        <v/>
      </c>
      <c r="CV1716" s="2">
        <f t="shared" si="2265"/>
        <v>-0.76520560237203383</v>
      </c>
      <c r="CW1716" s="1" t="s">
        <v>1198</v>
      </c>
      <c r="CX1716" t="str">
        <f t="shared" si="2266"/>
        <v>reg</v>
      </c>
      <c r="CY1716" t="s">
        <v>235</v>
      </c>
      <c r="CZ1716">
        <v>2010</v>
      </c>
      <c r="DA1716">
        <v>2070</v>
      </c>
      <c r="DB1716">
        <f t="shared" si="2267"/>
        <v>60</v>
      </c>
      <c r="DC1716" t="str">
        <f t="shared" si="2268"/>
        <v>31-70</v>
      </c>
      <c r="DD1716">
        <v>1</v>
      </c>
      <c r="DE1716">
        <v>1</v>
      </c>
      <c r="DF1716">
        <v>1</v>
      </c>
      <c r="DG1716">
        <v>1</v>
      </c>
      <c r="DH1716">
        <v>0</v>
      </c>
      <c r="DI1716">
        <f t="shared" si="2269"/>
        <v>4</v>
      </c>
      <c r="DJ1716" t="str">
        <f t="shared" si="2270"/>
        <v>mixedProduct</v>
      </c>
      <c r="DK1716" t="str">
        <f t="shared" si="2271"/>
        <v>Upstream</v>
      </c>
      <c r="DL1716" t="str">
        <f t="shared" si="2272"/>
        <v>Energy</v>
      </c>
      <c r="DM1716" t="str">
        <f t="shared" si="2273"/>
        <v>Pulp/Paper</v>
      </c>
      <c r="DN1716" t="str">
        <f t="shared" si="2274"/>
        <v>Timber</v>
      </c>
      <c r="DO1716">
        <v>0</v>
      </c>
      <c r="DP1716">
        <v>1</v>
      </c>
      <c r="DQ1716" t="s">
        <v>2523</v>
      </c>
      <c r="DR1716" t="s">
        <v>2524</v>
      </c>
      <c r="DS1716">
        <v>0</v>
      </c>
      <c r="DT1716">
        <f t="shared" si="2275"/>
        <v>1</v>
      </c>
      <c r="DU1716" s="143" t="str">
        <f t="shared" si="2276"/>
        <v>external DF used</v>
      </c>
      <c r="DV1716">
        <v>1</v>
      </c>
      <c r="DW1716">
        <v>1</v>
      </c>
      <c r="DX1716">
        <v>1</v>
      </c>
      <c r="DY1716">
        <v>1</v>
      </c>
      <c r="DZ1716">
        <v>0</v>
      </c>
      <c r="EA1716" s="143">
        <v>0</v>
      </c>
      <c r="EB1716">
        <v>1</v>
      </c>
      <c r="EC1716">
        <v>1</v>
      </c>
      <c r="ED1716">
        <v>0</v>
      </c>
      <c r="EE1716">
        <v>0</v>
      </c>
      <c r="EF1716">
        <v>1</v>
      </c>
      <c r="EG1716">
        <v>0</v>
      </c>
      <c r="EH1716">
        <v>0</v>
      </c>
      <c r="EI1716" s="2">
        <v>0</v>
      </c>
      <c r="EK1716" t="str">
        <f t="shared" si="2277"/>
        <v>Whole sector</v>
      </c>
      <c r="EL1716" t="str">
        <f t="shared" si="2278"/>
        <v/>
      </c>
      <c r="EM1716" s="2" t="str">
        <f t="shared" si="2280"/>
        <v/>
      </c>
      <c r="EP1716" t="b">
        <f>IF(ISNUMBER(BU1716),IF(ABS(BU1716-[3]QC_indicators!$B$2)&gt;3*[3]QC_indicators!$C$2,"C ratio",IF(ISNUMBER(BY1716),IF(ABS(BY1716-[3]QC_indicators!$B$1)&gt;3*[3]QC_indicators!$C$1,"DF","no"))),IF(ISNUMBER(BY1716),IF(ABS(BY1716-[3]QC_indicators!$B$1)&gt;3*[3]QC_indicators!$C$1,"DF","no")))</f>
        <v>0</v>
      </c>
      <c r="ET1716" s="264" t="s">
        <v>3272</v>
      </c>
    </row>
    <row r="1717" spans="1:150" hidden="1">
      <c r="A1717" s="1" t="s">
        <v>1422</v>
      </c>
      <c r="B1717" t="s">
        <v>2489</v>
      </c>
      <c r="C1717" t="s">
        <v>2490</v>
      </c>
      <c r="D1717" t="s">
        <v>2491</v>
      </c>
      <c r="E1717" t="s">
        <v>2492</v>
      </c>
      <c r="F1717" t="s">
        <v>2493</v>
      </c>
      <c r="G1717" t="s">
        <v>1428</v>
      </c>
      <c r="H1717" t="s">
        <v>254</v>
      </c>
      <c r="I1717">
        <v>2016</v>
      </c>
      <c r="J1717">
        <v>24</v>
      </c>
      <c r="K1717" t="s">
        <v>2494</v>
      </c>
      <c r="M1717" t="str">
        <f t="shared" si="2193"/>
        <v>Zubizarreta-Gerendiain_2016</v>
      </c>
      <c r="N1717" t="s">
        <v>222</v>
      </c>
      <c r="O1717" s="145" t="s">
        <v>1153</v>
      </c>
      <c r="Q1717" t="s">
        <v>256</v>
      </c>
      <c r="R1717" s="262" t="s">
        <v>223</v>
      </c>
      <c r="S1717" s="1" t="s">
        <v>2495</v>
      </c>
      <c r="T1717" t="s">
        <v>2511</v>
      </c>
      <c r="U1717" t="s">
        <v>2510</v>
      </c>
      <c r="V1717">
        <v>0</v>
      </c>
      <c r="W1717">
        <v>0</v>
      </c>
      <c r="X1717">
        <v>0</v>
      </c>
      <c r="Y1717">
        <v>2</v>
      </c>
      <c r="Z1717">
        <v>0</v>
      </c>
      <c r="AA1717">
        <v>0</v>
      </c>
      <c r="AB1717">
        <v>0</v>
      </c>
      <c r="AC1717">
        <v>0</v>
      </c>
      <c r="AD1717">
        <v>0</v>
      </c>
      <c r="AE1717">
        <v>0</v>
      </c>
      <c r="AF1717">
        <v>1</v>
      </c>
      <c r="AG1717">
        <v>0</v>
      </c>
      <c r="AH1717">
        <v>0</v>
      </c>
      <c r="AI1717">
        <v>0</v>
      </c>
      <c r="AJ1717">
        <v>0</v>
      </c>
      <c r="AK1717">
        <v>0</v>
      </c>
      <c r="AL1717">
        <v>0</v>
      </c>
      <c r="AM1717">
        <v>0</v>
      </c>
      <c r="AN1717">
        <v>2</v>
      </c>
      <c r="AO1717">
        <v>2</v>
      </c>
      <c r="AP1717">
        <v>0</v>
      </c>
      <c r="AQ1717">
        <v>0</v>
      </c>
      <c r="AR1717">
        <v>0</v>
      </c>
      <c r="AS1717">
        <v>0</v>
      </c>
      <c r="AT1717">
        <v>0</v>
      </c>
      <c r="AU1717">
        <v>0</v>
      </c>
      <c r="AV1717">
        <v>0</v>
      </c>
      <c r="AW1717">
        <v>0</v>
      </c>
      <c r="AX1717" s="141">
        <f t="shared" si="2244"/>
        <v>4</v>
      </c>
      <c r="AY1717" s="141">
        <f t="shared" si="2245"/>
        <v>2</v>
      </c>
      <c r="AZ1717">
        <f t="shared" si="2246"/>
        <v>1</v>
      </c>
      <c r="BA1717">
        <f t="shared" si="2247"/>
        <v>1</v>
      </c>
      <c r="BB1717">
        <f t="shared" si="2248"/>
        <v>0</v>
      </c>
      <c r="BC1717">
        <f t="shared" si="2249"/>
        <v>0</v>
      </c>
      <c r="BD1717">
        <f t="shared" si="2250"/>
        <v>2</v>
      </c>
      <c r="BE1717" t="str">
        <f t="array" ref="BE1717">IF(AY1717=1,INDEX($V$7:$AL$7,MATCH(TRUE,INDEX($V1717:$AW1717&lt;&gt;0,),0)),IF(AY1717=0,INDEX($AM$7:$AW$7,MATCH(1,$AM1717:$AW1717,0)),IF(BF1717="Multiple strategies","mixed drivers",IF(BF1717="Supply chain","multiple supply","multiple silviculture"))))</f>
        <v>mixed drivers</v>
      </c>
      <c r="BF1717" s="2" t="str" cm="1">
        <f t="array" ref="BF1717">IF(COUNTIF(AZ1717:BB1717,"&lt;&gt;0")=1,INDEX($V$4:$AW$4,MATCH(TRUE,INDEX($V1717:$AW1717&lt;&gt;0,),0)),IF(COUNTIF(AZ1717:BB1717,"&lt;&gt;0")=0,INDEX($AM$4:$AW$4,MATCH(1,$AM1717:$AW1717,0)),"Multiple strategies"))</f>
        <v>Multiple strategies</v>
      </c>
      <c r="BM1717" s="143"/>
      <c r="BN1717" s="143"/>
      <c r="BP1717" s="143" t="s">
        <v>232</v>
      </c>
      <c r="BQ1717" s="143"/>
      <c r="BR1717" t="s">
        <v>1194</v>
      </c>
      <c r="BS1717">
        <v>30676.744408945775</v>
      </c>
      <c r="BT1717">
        <v>-70376.060702875271</v>
      </c>
      <c r="BU1717" s="144">
        <f t="shared" si="2254"/>
        <v>-2.2941176470588127</v>
      </c>
      <c r="BV1717" s="144">
        <f t="shared" si="2255"/>
        <v>-101052.80511182104</v>
      </c>
      <c r="BW1717" s="144"/>
      <c r="BX1717" s="144">
        <f t="shared" si="2256"/>
        <v>-101052.80511182104</v>
      </c>
      <c r="BY1717" t="str">
        <f t="shared" si="2279"/>
        <v/>
      </c>
      <c r="BZ1717">
        <v>0</v>
      </c>
      <c r="CA1717">
        <v>0</v>
      </c>
      <c r="CB1717">
        <v>0</v>
      </c>
      <c r="CC1717">
        <v>0</v>
      </c>
      <c r="CD1717">
        <v>0</v>
      </c>
      <c r="CE1717">
        <v>0</v>
      </c>
      <c r="CF1717">
        <v>0</v>
      </c>
      <c r="CG1717">
        <v>0</v>
      </c>
      <c r="CH1717">
        <v>0</v>
      </c>
      <c r="CI1717">
        <v>0</v>
      </c>
      <c r="CJ1717">
        <v>0</v>
      </c>
      <c r="CK1717">
        <v>0</v>
      </c>
      <c r="CL1717">
        <v>0</v>
      </c>
      <c r="CM1717">
        <v>1</v>
      </c>
      <c r="CN1717" t="str">
        <f t="shared" si="2281"/>
        <v>refOK</v>
      </c>
      <c r="CO1717"/>
      <c r="CP1717"/>
      <c r="CQ1717"/>
      <c r="CR1717">
        <f t="shared" si="2261"/>
        <v>30676.744408945775</v>
      </c>
      <c r="CS1717">
        <f t="shared" si="2262"/>
        <v>-70376.060702875271</v>
      </c>
      <c r="CT1717">
        <f t="shared" si="2263"/>
        <v>-101052.80511182104</v>
      </c>
      <c r="CU1717" t="str">
        <f t="shared" si="2264"/>
        <v/>
      </c>
      <c r="CV1717" s="2">
        <f t="shared" si="2265"/>
        <v>-3.2941176470588127</v>
      </c>
      <c r="CW1717" s="1" t="s">
        <v>1198</v>
      </c>
      <c r="CX1717" t="str">
        <f t="shared" si="2266"/>
        <v>reg</v>
      </c>
      <c r="CY1717" t="s">
        <v>235</v>
      </c>
      <c r="CZ1717">
        <v>2010</v>
      </c>
      <c r="DA1717">
        <v>2070</v>
      </c>
      <c r="DB1717">
        <f t="shared" si="2267"/>
        <v>60</v>
      </c>
      <c r="DC1717" t="str">
        <f t="shared" si="2268"/>
        <v>31-70</v>
      </c>
      <c r="DD1717">
        <v>1</v>
      </c>
      <c r="DE1717">
        <v>1</v>
      </c>
      <c r="DF1717">
        <v>1</v>
      </c>
      <c r="DG1717">
        <v>1</v>
      </c>
      <c r="DH1717">
        <v>0</v>
      </c>
      <c r="DI1717">
        <f t="shared" si="2269"/>
        <v>4</v>
      </c>
      <c r="DJ1717" t="str">
        <f t="shared" si="2270"/>
        <v>mixedProduct</v>
      </c>
      <c r="DK1717" t="str">
        <f t="shared" si="2271"/>
        <v>Upstream</v>
      </c>
      <c r="DL1717" t="str">
        <f t="shared" si="2272"/>
        <v>Energy</v>
      </c>
      <c r="DM1717" t="str">
        <f t="shared" si="2273"/>
        <v>Pulp/Paper</v>
      </c>
      <c r="DN1717" t="str">
        <f t="shared" si="2274"/>
        <v>Timber</v>
      </c>
      <c r="DO1717">
        <v>0</v>
      </c>
      <c r="DP1717">
        <v>0</v>
      </c>
      <c r="DQ1717">
        <v>0</v>
      </c>
      <c r="DR1717">
        <v>0</v>
      </c>
      <c r="DS1717">
        <v>0</v>
      </c>
      <c r="DT1717">
        <f t="shared" si="2275"/>
        <v>0</v>
      </c>
      <c r="DU1717" s="143" t="str">
        <f t="shared" si="2276"/>
        <v>explicit C balance</v>
      </c>
      <c r="DV1717">
        <v>1</v>
      </c>
      <c r="DW1717">
        <v>1</v>
      </c>
      <c r="DX1717">
        <v>1</v>
      </c>
      <c r="DY1717">
        <v>0</v>
      </c>
      <c r="DZ1717">
        <v>0</v>
      </c>
      <c r="EA1717" s="143">
        <v>0</v>
      </c>
      <c r="EB1717">
        <v>1</v>
      </c>
      <c r="EC1717">
        <v>1</v>
      </c>
      <c r="ED1717">
        <v>0</v>
      </c>
      <c r="EE1717">
        <v>0</v>
      </c>
      <c r="EF1717">
        <v>1</v>
      </c>
      <c r="EG1717">
        <v>0</v>
      </c>
      <c r="EH1717">
        <v>0</v>
      </c>
      <c r="EI1717" s="2">
        <v>0</v>
      </c>
      <c r="EK1717" t="str">
        <f t="shared" si="2277"/>
        <v>Whole sector</v>
      </c>
      <c r="EL1717" t="str">
        <f t="shared" si="2278"/>
        <v/>
      </c>
      <c r="EM1717" s="2" t="str">
        <f t="shared" si="2280"/>
        <v/>
      </c>
      <c r="EP1717" t="b">
        <f>IF(ISNUMBER(BU1717),IF(ABS(BU1717-[3]QC_indicators!$B$2)&gt;3*[3]QC_indicators!$C$2,"C ratio",IF(ISNUMBER(BY1717),IF(ABS(BY1717-[3]QC_indicators!$B$1)&gt;3*[3]QC_indicators!$C$1,"DF","no"))),IF(ISNUMBER(BY1717),IF(ABS(BY1717-[3]QC_indicators!$B$1)&gt;3*[3]QC_indicators!$C$1,"DF","no")))</f>
        <v>0</v>
      </c>
      <c r="ET1717" s="264" t="s">
        <v>3272</v>
      </c>
    </row>
    <row r="1718" spans="1:150" hidden="1">
      <c r="A1718" s="1" t="s">
        <v>1422</v>
      </c>
      <c r="B1718" t="s">
        <v>2489</v>
      </c>
      <c r="C1718" t="s">
        <v>2490</v>
      </c>
      <c r="D1718" t="s">
        <v>2491</v>
      </c>
      <c r="E1718" t="s">
        <v>2492</v>
      </c>
      <c r="F1718" t="s">
        <v>2493</v>
      </c>
      <c r="G1718" t="s">
        <v>1428</v>
      </c>
      <c r="H1718" t="s">
        <v>254</v>
      </c>
      <c r="I1718">
        <v>2016</v>
      </c>
      <c r="J1718">
        <v>24</v>
      </c>
      <c r="K1718" t="s">
        <v>2494</v>
      </c>
      <c r="M1718" t="str">
        <f t="shared" si="2193"/>
        <v>Zubizarreta-Gerendiain_2016</v>
      </c>
      <c r="N1718" t="s">
        <v>222</v>
      </c>
      <c r="O1718" s="145" t="s">
        <v>1153</v>
      </c>
      <c r="Q1718" t="s">
        <v>256</v>
      </c>
      <c r="R1718" s="262" t="s">
        <v>223</v>
      </c>
      <c r="S1718" s="1" t="s">
        <v>2505</v>
      </c>
      <c r="T1718" t="s">
        <v>2509</v>
      </c>
      <c r="U1718" t="s">
        <v>2510</v>
      </c>
      <c r="V1718">
        <v>0</v>
      </c>
      <c r="W1718">
        <v>0</v>
      </c>
      <c r="X1718">
        <v>0</v>
      </c>
      <c r="Y1718">
        <v>2</v>
      </c>
      <c r="Z1718">
        <v>0</v>
      </c>
      <c r="AA1718">
        <v>0</v>
      </c>
      <c r="AB1718">
        <v>0</v>
      </c>
      <c r="AC1718">
        <v>0</v>
      </c>
      <c r="AD1718">
        <v>0</v>
      </c>
      <c r="AE1718">
        <v>0</v>
      </c>
      <c r="AF1718">
        <v>1</v>
      </c>
      <c r="AG1718">
        <v>0</v>
      </c>
      <c r="AH1718">
        <v>0</v>
      </c>
      <c r="AI1718">
        <v>0</v>
      </c>
      <c r="AJ1718">
        <v>0</v>
      </c>
      <c r="AK1718">
        <v>0</v>
      </c>
      <c r="AL1718">
        <v>0</v>
      </c>
      <c r="AM1718">
        <v>0</v>
      </c>
      <c r="AN1718">
        <v>2</v>
      </c>
      <c r="AO1718">
        <v>2</v>
      </c>
      <c r="AP1718">
        <v>0</v>
      </c>
      <c r="AQ1718">
        <v>0</v>
      </c>
      <c r="AR1718">
        <v>0</v>
      </c>
      <c r="AS1718">
        <v>0</v>
      </c>
      <c r="AT1718">
        <v>0</v>
      </c>
      <c r="AU1718">
        <v>0</v>
      </c>
      <c r="AV1718">
        <v>0</v>
      </c>
      <c r="AW1718">
        <v>0</v>
      </c>
      <c r="AX1718" s="141">
        <f t="shared" ref="AX1718:AX1749" si="2282">COUNTIF(V1718:AW1718,"&lt;&gt;0")</f>
        <v>4</v>
      </c>
      <c r="AY1718" s="141">
        <f t="shared" ref="AY1718:AY1745" si="2283">COUNTIF(V1718:AL1718,"&lt;&gt;0")</f>
        <v>2</v>
      </c>
      <c r="AZ1718">
        <f t="shared" ref="AZ1718:AZ1745" si="2284">COUNTIF(V1718:AC1718,"&lt;&gt;0")</f>
        <v>1</v>
      </c>
      <c r="BA1718">
        <f t="shared" ref="BA1718:BA1745" si="2285">COUNTIF(AD1718:AI1718,"&lt;&gt;0")</f>
        <v>1</v>
      </c>
      <c r="BB1718">
        <f t="shared" ref="BB1718:BB1745" si="2286">COUNTIF(AJ1718:AL1718,"&lt;&gt;0")</f>
        <v>0</v>
      </c>
      <c r="BC1718">
        <f t="shared" ref="BC1718:BC1745" si="2287">COUNTIF(AS1718:AW1718,"&lt;&gt;0")</f>
        <v>0</v>
      </c>
      <c r="BD1718">
        <f t="shared" ref="BD1718:BD1745" si="2288">COUNTIF(AM1718:AR1718,"&lt;&gt;0")</f>
        <v>2</v>
      </c>
      <c r="BE1718" t="str">
        <f t="array" ref="BE1718">IF(AY1718=1,INDEX($V$7:$AL$7,MATCH(TRUE,INDEX($V1718:$AW1718&lt;&gt;0,),0)),IF(AY1718=0,INDEX($AM$7:$AW$7,MATCH(1,$AM1718:$AW1718,0)),IF(BF1718="Multiple strategies","mixed drivers",IF(BF1718="Supply chain","multiple supply","multiple silviculture"))))</f>
        <v>mixed drivers</v>
      </c>
      <c r="BF1718" s="2" t="str" cm="1">
        <f t="array" ref="BF1718">IF(COUNTIF(AZ1718:BB1718,"&lt;&gt;0")=1,INDEX($V$4:$AW$4,MATCH(TRUE,INDEX($V1718:$AW1718&lt;&gt;0,),0)),IF(COUNTIF(AZ1718:BB1718,"&lt;&gt;0")=0,INDEX($AM$4:$AW$4,MATCH(1,$AM1718:$AW1718,0)),"Multiple strategies"))</f>
        <v>Multiple strategies</v>
      </c>
      <c r="BM1718" s="143"/>
      <c r="BN1718" s="143"/>
      <c r="BP1718" s="143" t="s">
        <v>232</v>
      </c>
      <c r="BQ1718" s="143"/>
      <c r="BR1718" t="s">
        <v>1194</v>
      </c>
      <c r="BS1718">
        <v>144211.00407709272</v>
      </c>
      <c r="BT1718">
        <v>29471.133802816759</v>
      </c>
      <c r="BU1718" s="144">
        <f t="shared" ref="BU1718:BU1749" si="2289">IFERROR(BT1718/BS1718,"")</f>
        <v>0.20436119969778449</v>
      </c>
      <c r="BV1718" s="144">
        <f t="shared" ref="BV1718:BV1745" si="2290">BT1718-BS1718</f>
        <v>-114739.87027427595</v>
      </c>
      <c r="BW1718" s="144"/>
      <c r="BX1718" s="144">
        <f t="shared" ref="BX1718:BX1745" si="2291">BV1718</f>
        <v>-114739.87027427595</v>
      </c>
      <c r="BY1718" t="str">
        <f t="shared" si="2279"/>
        <v/>
      </c>
      <c r="BZ1718">
        <v>0</v>
      </c>
      <c r="CA1718">
        <v>0</v>
      </c>
      <c r="CB1718">
        <v>0</v>
      </c>
      <c r="CC1718">
        <v>0</v>
      </c>
      <c r="CD1718">
        <v>0</v>
      </c>
      <c r="CE1718">
        <v>0</v>
      </c>
      <c r="CF1718">
        <v>0</v>
      </c>
      <c r="CG1718">
        <v>0</v>
      </c>
      <c r="CH1718">
        <v>0</v>
      </c>
      <c r="CI1718">
        <v>0</v>
      </c>
      <c r="CJ1718">
        <v>0</v>
      </c>
      <c r="CK1718">
        <v>0</v>
      </c>
      <c r="CL1718">
        <v>0</v>
      </c>
      <c r="CM1718">
        <v>1</v>
      </c>
      <c r="CN1718" t="str">
        <f t="shared" si="2281"/>
        <v>refOK</v>
      </c>
      <c r="CO1718"/>
      <c r="CP1718"/>
      <c r="CQ1718"/>
      <c r="CR1718">
        <f t="shared" ref="CR1718:CR1745" si="2292">IF($CN1718="refOK",$BS1718,$BT1718)*IF($BP1718="Emissions positive",-1,1)</f>
        <v>144211.00407709272</v>
      </c>
      <c r="CS1718">
        <f t="shared" ref="CS1718:CS1745" si="2293">IF($CN1718="refOK",$BT1718,$BS1718)*IF($BP1718="Emissions positive",-1,1)</f>
        <v>29471.133802816759</v>
      </c>
      <c r="CT1718">
        <f t="shared" ref="CT1718:CT1745" si="2294">IF($CN1718="refNeedCorrection",-BX1718,BX1718)*IF($BP1718="Emissions positive",-1,1)</f>
        <v>-114739.87027427595</v>
      </c>
      <c r="CU1718" t="str">
        <f t="shared" ref="CU1718:CU1749" si="2295">IFERROR(CT1718/CQ1718,"")</f>
        <v/>
      </c>
      <c r="CV1718" s="2">
        <f t="shared" ref="CV1718:CV1745" si="2296">IFERROR((CS1718-CR1718)/ABS(CR1718),"")</f>
        <v>-0.79563880030221545</v>
      </c>
      <c r="CW1718" s="1" t="s">
        <v>1198</v>
      </c>
      <c r="CX1718" t="str">
        <f t="shared" ref="CX1718:CX1745" si="2297">IF(OR($CW1718="prd",$CW1718="std",$CW1718="cit"),"loc",IF(OR($CW1718="eur",$CW1718="reg",$CW1718="coy"),"reg",$CW1718))</f>
        <v>reg</v>
      </c>
      <c r="CY1718" t="s">
        <v>235</v>
      </c>
      <c r="CZ1718">
        <v>2010</v>
      </c>
      <c r="DA1718">
        <v>2070</v>
      </c>
      <c r="DB1718">
        <f t="shared" ref="DB1718:DB1749" si="2298">DA1718-CZ1718</f>
        <v>60</v>
      </c>
      <c r="DC1718" t="str">
        <f t="shared" ref="DC1718:DC1749" si="2299">IF(DB1718=0,"0",IF(AND(DB1718&gt;=1,DB1718&lt;=30),"1-30",IF(AND(DB1718&gt;30,DB1718&lt;=70),"31-70",IF(AND(DB1718&gt;70,DB1718&lt;=100),"71-100",IF(DB1718&gt;100,"+100")))))</f>
        <v>31-70</v>
      </c>
      <c r="DD1718">
        <v>1</v>
      </c>
      <c r="DE1718">
        <v>1</v>
      </c>
      <c r="DF1718">
        <v>1</v>
      </c>
      <c r="DG1718">
        <v>1</v>
      </c>
      <c r="DH1718">
        <v>0</v>
      </c>
      <c r="DI1718">
        <f t="shared" ref="DI1718:DI1745" si="2300">SUM(DD1718:DG1718)</f>
        <v>4</v>
      </c>
      <c r="DJ1718" t="str">
        <f t="shared" ref="DJ1718:DJ1749" si="2301">IF(DI1718=1,INDEX($DD$7:$DG$7,MATCH(1,$DD1718:$DG1718,0)),"mixedProduct")</f>
        <v>mixedProduct</v>
      </c>
      <c r="DK1718" t="str">
        <f t="shared" ref="DK1718:DK1745" si="2302">IF(DD1718=1,DK$7,0)</f>
        <v>Upstream</v>
      </c>
      <c r="DL1718" t="str">
        <f t="shared" ref="DL1718:DL1745" si="2303">IF(DE1718=1,DL$7,0)</f>
        <v>Energy</v>
      </c>
      <c r="DM1718" t="str">
        <f t="shared" ref="DM1718:DM1745" si="2304">IF(DF1718=1,DM$7,0)</f>
        <v>Pulp/Paper</v>
      </c>
      <c r="DN1718" t="str">
        <f t="shared" ref="DN1718:DN1745" si="2305">IF(DG1718=1,DN$7,0)</f>
        <v>Timber</v>
      </c>
      <c r="DO1718">
        <v>0</v>
      </c>
      <c r="DP1718">
        <v>1</v>
      </c>
      <c r="DQ1718" t="s">
        <v>2523</v>
      </c>
      <c r="DR1718" t="s">
        <v>2524</v>
      </c>
      <c r="DS1718">
        <v>0</v>
      </c>
      <c r="DT1718">
        <f t="shared" ref="DT1718:DT1745" si="2306">SUM(DO1718:DP1718)</f>
        <v>1</v>
      </c>
      <c r="DU1718" s="143" t="str">
        <f t="shared" ref="DU1718:DU1745" si="2307">IF(DO1718=1,"self-calculated DF",IF(DP1718=1,"external DF used","explicit C balance"))</f>
        <v>external DF used</v>
      </c>
      <c r="DV1718">
        <v>1</v>
      </c>
      <c r="DW1718">
        <v>1</v>
      </c>
      <c r="DX1718">
        <v>1</v>
      </c>
      <c r="DY1718">
        <v>1</v>
      </c>
      <c r="DZ1718">
        <v>0</v>
      </c>
      <c r="EA1718" s="143">
        <v>0</v>
      </c>
      <c r="EB1718">
        <v>1</v>
      </c>
      <c r="EC1718">
        <v>1</v>
      </c>
      <c r="ED1718">
        <v>0</v>
      </c>
      <c r="EE1718">
        <v>0</v>
      </c>
      <c r="EF1718">
        <v>1</v>
      </c>
      <c r="EG1718">
        <v>0</v>
      </c>
      <c r="EH1718">
        <v>0</v>
      </c>
      <c r="EI1718" s="2">
        <v>0</v>
      </c>
      <c r="EK1718" t="str">
        <f t="shared" ref="EK1718:EK1745" si="2308">IF(AND(AND(AND(OR($DX1718=1,$DW1718=1),OR($EC1718=1,$EA1718=1)),SUM($DV1718:$DZ1718,$EF1718)&gt;=4),SUM($EA1718:$EE1718)&gt;=2),"Whole sector","")</f>
        <v>Whole sector</v>
      </c>
      <c r="EL1718" t="str">
        <f t="shared" ref="EL1718:EL1745" si="2309">IF(AND(AND(OR($DX1718=1,$DW1718=1),AND($EC1718=0,$EA1718=0)),SUM($DV1718:$DZ1718,$EF1718)&gt;=4),"Ecosystem approach","")</f>
        <v/>
      </c>
      <c r="EM1718" s="2" t="str">
        <f t="shared" si="2280"/>
        <v/>
      </c>
      <c r="EN1718" t="s">
        <v>2507</v>
      </c>
      <c r="EP1718" t="b">
        <f>IF(ISNUMBER(BU1718),IF(ABS(BU1718-[3]QC_indicators!$B$2)&gt;3*[3]QC_indicators!$C$2,"C ratio",IF(ISNUMBER(BY1718),IF(ABS(BY1718-[3]QC_indicators!$B$1)&gt;3*[3]QC_indicators!$C$1,"DF","no"))),IF(ISNUMBER(BY1718),IF(ABS(BY1718-[3]QC_indicators!$B$1)&gt;3*[3]QC_indicators!$C$1,"DF","no")))</f>
        <v>0</v>
      </c>
      <c r="ET1718" s="264" t="s">
        <v>3272</v>
      </c>
    </row>
    <row r="1719" spans="1:150" hidden="1">
      <c r="A1719" s="1" t="s">
        <v>1422</v>
      </c>
      <c r="B1719" t="s">
        <v>2489</v>
      </c>
      <c r="C1719" t="s">
        <v>2490</v>
      </c>
      <c r="D1719" t="s">
        <v>2491</v>
      </c>
      <c r="E1719" t="s">
        <v>2492</v>
      </c>
      <c r="F1719" t="s">
        <v>2493</v>
      </c>
      <c r="G1719" t="s">
        <v>1428</v>
      </c>
      <c r="H1719" t="s">
        <v>254</v>
      </c>
      <c r="I1719">
        <v>2016</v>
      </c>
      <c r="J1719">
        <v>24</v>
      </c>
      <c r="K1719" t="s">
        <v>2494</v>
      </c>
      <c r="M1719" t="str">
        <f t="shared" si="2193"/>
        <v>Zubizarreta-Gerendiain_2016</v>
      </c>
      <c r="N1719" t="s">
        <v>222</v>
      </c>
      <c r="O1719" s="145" t="s">
        <v>1153</v>
      </c>
      <c r="Q1719" t="s">
        <v>256</v>
      </c>
      <c r="R1719" s="262" t="s">
        <v>223</v>
      </c>
      <c r="S1719" s="1" t="s">
        <v>2505</v>
      </c>
      <c r="T1719" t="s">
        <v>2509</v>
      </c>
      <c r="U1719" t="s">
        <v>2510</v>
      </c>
      <c r="V1719">
        <v>0</v>
      </c>
      <c r="W1719">
        <v>0</v>
      </c>
      <c r="X1719">
        <v>0</v>
      </c>
      <c r="Y1719">
        <v>2</v>
      </c>
      <c r="Z1719">
        <v>0</v>
      </c>
      <c r="AA1719">
        <v>0</v>
      </c>
      <c r="AB1719">
        <v>0</v>
      </c>
      <c r="AC1719">
        <v>0</v>
      </c>
      <c r="AD1719">
        <v>0</v>
      </c>
      <c r="AE1719">
        <v>0</v>
      </c>
      <c r="AF1719">
        <v>1</v>
      </c>
      <c r="AG1719">
        <v>0</v>
      </c>
      <c r="AH1719">
        <v>0</v>
      </c>
      <c r="AI1719">
        <v>0</v>
      </c>
      <c r="AJ1719">
        <v>0</v>
      </c>
      <c r="AK1719">
        <v>0</v>
      </c>
      <c r="AL1719">
        <v>0</v>
      </c>
      <c r="AM1719">
        <v>0</v>
      </c>
      <c r="AN1719">
        <v>2</v>
      </c>
      <c r="AO1719">
        <v>2</v>
      </c>
      <c r="AP1719">
        <v>0</v>
      </c>
      <c r="AQ1719">
        <v>0</v>
      </c>
      <c r="AR1719">
        <v>0</v>
      </c>
      <c r="AS1719">
        <v>0</v>
      </c>
      <c r="AT1719">
        <v>0</v>
      </c>
      <c r="AU1719">
        <v>0</v>
      </c>
      <c r="AV1719">
        <v>0</v>
      </c>
      <c r="AW1719">
        <v>0</v>
      </c>
      <c r="AX1719" s="141">
        <f t="shared" si="2282"/>
        <v>4</v>
      </c>
      <c r="AY1719" s="141">
        <f t="shared" si="2283"/>
        <v>2</v>
      </c>
      <c r="AZ1719">
        <f t="shared" si="2284"/>
        <v>1</v>
      </c>
      <c r="BA1719">
        <f t="shared" si="2285"/>
        <v>1</v>
      </c>
      <c r="BB1719">
        <f t="shared" si="2286"/>
        <v>0</v>
      </c>
      <c r="BC1719">
        <f t="shared" si="2287"/>
        <v>0</v>
      </c>
      <c r="BD1719">
        <f t="shared" si="2288"/>
        <v>2</v>
      </c>
      <c r="BE1719" t="str">
        <f t="array" ref="BE1719">IF(AY1719=1,INDEX($V$7:$AL$7,MATCH(TRUE,INDEX($V1719:$AW1719&lt;&gt;0,),0)),IF(AY1719=0,INDEX($AM$7:$AW$7,MATCH(1,$AM1719:$AW1719,0)),IF(BF1719="Multiple strategies","mixed drivers",IF(BF1719="Supply chain","multiple supply","multiple silviculture"))))</f>
        <v>mixed drivers</v>
      </c>
      <c r="BF1719" s="2" t="str" cm="1">
        <f t="array" ref="BF1719">IF(COUNTIF(AZ1719:BB1719,"&lt;&gt;0")=1,INDEX($V$4:$AW$4,MATCH(TRUE,INDEX($V1719:$AW1719&lt;&gt;0,),0)),IF(COUNTIF(AZ1719:BB1719,"&lt;&gt;0")=0,INDEX($AM$4:$AW$4,MATCH(1,$AM1719:$AW1719,0)),"Multiple strategies"))</f>
        <v>Multiple strategies</v>
      </c>
      <c r="BM1719" s="143"/>
      <c r="BN1719" s="143"/>
      <c r="BP1719" s="143" t="s">
        <v>232</v>
      </c>
      <c r="BQ1719" s="143"/>
      <c r="BR1719" t="s">
        <v>1194</v>
      </c>
      <c r="BS1719">
        <v>29674.236421725247</v>
      </c>
      <c r="BT1719">
        <v>-70376.060702875271</v>
      </c>
      <c r="BU1719" s="144">
        <f t="shared" si="2289"/>
        <v>-2.3716216216216166</v>
      </c>
      <c r="BV1719" s="144">
        <f t="shared" si="2290"/>
        <v>-100050.29712460052</v>
      </c>
      <c r="BW1719" s="144"/>
      <c r="BX1719" s="144">
        <f t="shared" si="2291"/>
        <v>-100050.29712460052</v>
      </c>
      <c r="BY1719" t="str">
        <f t="shared" si="2279"/>
        <v/>
      </c>
      <c r="BZ1719">
        <v>0</v>
      </c>
      <c r="CA1719">
        <v>0</v>
      </c>
      <c r="CB1719">
        <v>0</v>
      </c>
      <c r="CC1719">
        <v>0</v>
      </c>
      <c r="CD1719">
        <v>0</v>
      </c>
      <c r="CE1719">
        <v>0</v>
      </c>
      <c r="CF1719">
        <v>0</v>
      </c>
      <c r="CG1719">
        <v>0</v>
      </c>
      <c r="CH1719">
        <v>0</v>
      </c>
      <c r="CI1719">
        <v>0</v>
      </c>
      <c r="CJ1719">
        <v>0</v>
      </c>
      <c r="CK1719">
        <v>0</v>
      </c>
      <c r="CL1719">
        <v>0</v>
      </c>
      <c r="CM1719">
        <v>1</v>
      </c>
      <c r="CN1719" t="str">
        <f t="shared" si="2281"/>
        <v>refOK</v>
      </c>
      <c r="CO1719"/>
      <c r="CP1719"/>
      <c r="CQ1719"/>
      <c r="CR1719">
        <f t="shared" si="2292"/>
        <v>29674.236421725247</v>
      </c>
      <c r="CS1719">
        <f t="shared" si="2293"/>
        <v>-70376.060702875271</v>
      </c>
      <c r="CT1719">
        <f t="shared" si="2294"/>
        <v>-100050.29712460052</v>
      </c>
      <c r="CU1719" t="str">
        <f t="shared" si="2295"/>
        <v/>
      </c>
      <c r="CV1719" s="2">
        <f t="shared" si="2296"/>
        <v>-3.3716216216216166</v>
      </c>
      <c r="CW1719" s="1" t="s">
        <v>1198</v>
      </c>
      <c r="CX1719" t="str">
        <f t="shared" si="2297"/>
        <v>reg</v>
      </c>
      <c r="CY1719" t="s">
        <v>235</v>
      </c>
      <c r="CZ1719">
        <v>2010</v>
      </c>
      <c r="DA1719">
        <v>2070</v>
      </c>
      <c r="DB1719">
        <f t="shared" si="2298"/>
        <v>60</v>
      </c>
      <c r="DC1719" t="str">
        <f t="shared" si="2299"/>
        <v>31-70</v>
      </c>
      <c r="DD1719">
        <v>1</v>
      </c>
      <c r="DE1719">
        <v>1</v>
      </c>
      <c r="DF1719">
        <v>1</v>
      </c>
      <c r="DG1719">
        <v>1</v>
      </c>
      <c r="DH1719">
        <v>0</v>
      </c>
      <c r="DI1719">
        <f t="shared" si="2300"/>
        <v>4</v>
      </c>
      <c r="DJ1719" t="str">
        <f t="shared" si="2301"/>
        <v>mixedProduct</v>
      </c>
      <c r="DK1719" t="str">
        <f t="shared" si="2302"/>
        <v>Upstream</v>
      </c>
      <c r="DL1719" t="str">
        <f t="shared" si="2303"/>
        <v>Energy</v>
      </c>
      <c r="DM1719" t="str">
        <f t="shared" si="2304"/>
        <v>Pulp/Paper</v>
      </c>
      <c r="DN1719" t="str">
        <f t="shared" si="2305"/>
        <v>Timber</v>
      </c>
      <c r="DO1719">
        <v>0</v>
      </c>
      <c r="DP1719">
        <v>0</v>
      </c>
      <c r="DQ1719">
        <v>0</v>
      </c>
      <c r="DR1719">
        <v>0</v>
      </c>
      <c r="DS1719">
        <v>0</v>
      </c>
      <c r="DT1719">
        <f t="shared" si="2306"/>
        <v>0</v>
      </c>
      <c r="DU1719" s="143" t="str">
        <f t="shared" si="2307"/>
        <v>explicit C balance</v>
      </c>
      <c r="DV1719">
        <v>1</v>
      </c>
      <c r="DW1719">
        <v>1</v>
      </c>
      <c r="DX1719">
        <v>1</v>
      </c>
      <c r="DY1719">
        <v>0</v>
      </c>
      <c r="DZ1719">
        <v>0</v>
      </c>
      <c r="EA1719" s="143">
        <v>0</v>
      </c>
      <c r="EB1719">
        <v>1</v>
      </c>
      <c r="EC1719">
        <v>1</v>
      </c>
      <c r="ED1719">
        <v>0</v>
      </c>
      <c r="EE1719">
        <v>0</v>
      </c>
      <c r="EF1719">
        <v>1</v>
      </c>
      <c r="EG1719">
        <v>0</v>
      </c>
      <c r="EH1719">
        <v>0</v>
      </c>
      <c r="EI1719" s="2">
        <v>0</v>
      </c>
      <c r="EK1719" t="str">
        <f t="shared" si="2308"/>
        <v>Whole sector</v>
      </c>
      <c r="EL1719" t="str">
        <f t="shared" si="2309"/>
        <v/>
      </c>
      <c r="EM1719" s="2" t="str">
        <f t="shared" si="2280"/>
        <v/>
      </c>
      <c r="EN1719" t="s">
        <v>2507</v>
      </c>
      <c r="EP1719" t="b">
        <f>IF(ISNUMBER(BU1719),IF(ABS(BU1719-[3]QC_indicators!$B$2)&gt;3*[3]QC_indicators!$C$2,"C ratio",IF(ISNUMBER(BY1719),IF(ABS(BY1719-[3]QC_indicators!$B$1)&gt;3*[3]QC_indicators!$C$1,"DF","no"))),IF(ISNUMBER(BY1719),IF(ABS(BY1719-[3]QC_indicators!$B$1)&gt;3*[3]QC_indicators!$C$1,"DF","no")))</f>
        <v>0</v>
      </c>
      <c r="ET1719" s="264" t="s">
        <v>3272</v>
      </c>
    </row>
    <row r="1720" spans="1:150" hidden="1">
      <c r="A1720" s="1" t="s">
        <v>1422</v>
      </c>
      <c r="B1720" t="s">
        <v>2489</v>
      </c>
      <c r="C1720" t="s">
        <v>2490</v>
      </c>
      <c r="D1720" t="s">
        <v>2491</v>
      </c>
      <c r="E1720" t="s">
        <v>2492</v>
      </c>
      <c r="F1720" t="s">
        <v>2493</v>
      </c>
      <c r="G1720" t="s">
        <v>1428</v>
      </c>
      <c r="H1720" t="s">
        <v>254</v>
      </c>
      <c r="I1720">
        <v>2016</v>
      </c>
      <c r="J1720">
        <v>24</v>
      </c>
      <c r="K1720" t="s">
        <v>2494</v>
      </c>
      <c r="M1720" t="str">
        <f t="shared" si="2193"/>
        <v>Zubizarreta-Gerendiain_2016</v>
      </c>
      <c r="N1720" t="s">
        <v>222</v>
      </c>
      <c r="O1720" s="145" t="s">
        <v>1153</v>
      </c>
      <c r="Q1720" t="s">
        <v>256</v>
      </c>
      <c r="R1720" s="262" t="s">
        <v>223</v>
      </c>
      <c r="S1720" s="1" t="s">
        <v>2495</v>
      </c>
      <c r="T1720" t="s">
        <v>2512</v>
      </c>
      <c r="U1720" t="s">
        <v>2510</v>
      </c>
      <c r="V1720">
        <v>0</v>
      </c>
      <c r="W1720">
        <v>0</v>
      </c>
      <c r="X1720">
        <v>0</v>
      </c>
      <c r="Y1720">
        <v>2</v>
      </c>
      <c r="Z1720">
        <v>0</v>
      </c>
      <c r="AA1720">
        <v>0</v>
      </c>
      <c r="AB1720">
        <v>0</v>
      </c>
      <c r="AC1720">
        <v>0</v>
      </c>
      <c r="AD1720">
        <v>0</v>
      </c>
      <c r="AE1720">
        <v>0</v>
      </c>
      <c r="AF1720">
        <v>1</v>
      </c>
      <c r="AG1720">
        <v>0</v>
      </c>
      <c r="AH1720">
        <v>0</v>
      </c>
      <c r="AI1720">
        <v>0</v>
      </c>
      <c r="AJ1720">
        <v>0</v>
      </c>
      <c r="AK1720">
        <v>0</v>
      </c>
      <c r="AL1720">
        <v>0</v>
      </c>
      <c r="AM1720">
        <v>0</v>
      </c>
      <c r="AN1720">
        <v>2</v>
      </c>
      <c r="AO1720">
        <v>2</v>
      </c>
      <c r="AP1720">
        <v>0</v>
      </c>
      <c r="AQ1720">
        <v>0</v>
      </c>
      <c r="AR1720">
        <v>0</v>
      </c>
      <c r="AS1720">
        <v>0</v>
      </c>
      <c r="AT1720">
        <v>0</v>
      </c>
      <c r="AU1720">
        <v>0</v>
      </c>
      <c r="AV1720">
        <v>0</v>
      </c>
      <c r="AW1720">
        <v>0</v>
      </c>
      <c r="AX1720" s="141">
        <f t="shared" si="2282"/>
        <v>4</v>
      </c>
      <c r="AY1720" s="141">
        <f t="shared" si="2283"/>
        <v>2</v>
      </c>
      <c r="AZ1720">
        <f t="shared" si="2284"/>
        <v>1</v>
      </c>
      <c r="BA1720">
        <f t="shared" si="2285"/>
        <v>1</v>
      </c>
      <c r="BB1720">
        <f t="shared" si="2286"/>
        <v>0</v>
      </c>
      <c r="BC1720">
        <f t="shared" si="2287"/>
        <v>0</v>
      </c>
      <c r="BD1720">
        <f t="shared" si="2288"/>
        <v>2</v>
      </c>
      <c r="BE1720" t="str">
        <f t="array" ref="BE1720">IF(AY1720=1,INDEX($V$7:$AL$7,MATCH(TRUE,INDEX($V1720:$AW1720&lt;&gt;0,),0)),IF(AY1720=0,INDEX($AM$7:$AW$7,MATCH(1,$AM1720:$AW1720,0)),IF(BF1720="Multiple strategies","mixed drivers",IF(BF1720="Supply chain","multiple supply","multiple silviculture"))))</f>
        <v>mixed drivers</v>
      </c>
      <c r="BF1720" s="2" t="str" cm="1">
        <f t="array" ref="BF1720">IF(COUNTIF(AZ1720:BB1720,"&lt;&gt;0")=1,INDEX($V$4:$AW$4,MATCH(TRUE,INDEX($V1720:$AW1720&lt;&gt;0,),0)),IF(COUNTIF(AZ1720:BB1720,"&lt;&gt;0")=0,INDEX($AM$4:$AW$4,MATCH(1,$AM1720:$AW1720,0)),"Multiple strategies"))</f>
        <v>Multiple strategies</v>
      </c>
      <c r="BM1720" s="143"/>
      <c r="BN1720" s="143"/>
      <c r="BP1720" s="143" t="s">
        <v>232</v>
      </c>
      <c r="BQ1720" s="143"/>
      <c r="BR1720" t="s">
        <v>1194</v>
      </c>
      <c r="BS1720">
        <v>88283.631949591363</v>
      </c>
      <c r="BT1720">
        <v>29471.133802816759</v>
      </c>
      <c r="BU1720" s="144">
        <f t="shared" si="2289"/>
        <v>0.33382330509062358</v>
      </c>
      <c r="BV1720" s="144">
        <f t="shared" si="2290"/>
        <v>-58812.498146774604</v>
      </c>
      <c r="BW1720" s="144"/>
      <c r="BX1720" s="144">
        <f t="shared" si="2291"/>
        <v>-58812.498146774604</v>
      </c>
      <c r="BY1720" t="str">
        <f t="shared" si="2279"/>
        <v/>
      </c>
      <c r="BZ1720">
        <v>0</v>
      </c>
      <c r="CA1720">
        <v>0</v>
      </c>
      <c r="CB1720">
        <v>0</v>
      </c>
      <c r="CC1720">
        <v>0</v>
      </c>
      <c r="CD1720">
        <v>0</v>
      </c>
      <c r="CE1720">
        <v>0</v>
      </c>
      <c r="CF1720">
        <v>0</v>
      </c>
      <c r="CG1720">
        <v>0</v>
      </c>
      <c r="CH1720">
        <v>0</v>
      </c>
      <c r="CI1720">
        <v>0</v>
      </c>
      <c r="CJ1720">
        <v>0</v>
      </c>
      <c r="CK1720">
        <v>0</v>
      </c>
      <c r="CL1720">
        <v>0</v>
      </c>
      <c r="CM1720">
        <v>1</v>
      </c>
      <c r="CN1720" t="str">
        <f t="shared" si="2281"/>
        <v>refOK</v>
      </c>
      <c r="CO1720"/>
      <c r="CP1720"/>
      <c r="CQ1720"/>
      <c r="CR1720">
        <f t="shared" si="2292"/>
        <v>88283.631949591363</v>
      </c>
      <c r="CS1720">
        <f t="shared" si="2293"/>
        <v>29471.133802816759</v>
      </c>
      <c r="CT1720">
        <f t="shared" si="2294"/>
        <v>-58812.498146774604</v>
      </c>
      <c r="CU1720" t="str">
        <f t="shared" si="2295"/>
        <v/>
      </c>
      <c r="CV1720" s="2">
        <f t="shared" si="2296"/>
        <v>-0.66617669490937648</v>
      </c>
      <c r="CW1720" s="1" t="s">
        <v>1198</v>
      </c>
      <c r="CX1720" t="str">
        <f t="shared" si="2297"/>
        <v>reg</v>
      </c>
      <c r="CY1720" t="s">
        <v>235</v>
      </c>
      <c r="CZ1720">
        <v>2010</v>
      </c>
      <c r="DA1720">
        <v>2070</v>
      </c>
      <c r="DB1720">
        <f t="shared" si="2298"/>
        <v>60</v>
      </c>
      <c r="DC1720" t="str">
        <f t="shared" si="2299"/>
        <v>31-70</v>
      </c>
      <c r="DD1720">
        <v>1</v>
      </c>
      <c r="DE1720">
        <v>1</v>
      </c>
      <c r="DF1720">
        <v>1</v>
      </c>
      <c r="DG1720">
        <v>1</v>
      </c>
      <c r="DH1720">
        <v>0</v>
      </c>
      <c r="DI1720">
        <f t="shared" si="2300"/>
        <v>4</v>
      </c>
      <c r="DJ1720" t="str">
        <f t="shared" si="2301"/>
        <v>mixedProduct</v>
      </c>
      <c r="DK1720" t="str">
        <f t="shared" si="2302"/>
        <v>Upstream</v>
      </c>
      <c r="DL1720" t="str">
        <f t="shared" si="2303"/>
        <v>Energy</v>
      </c>
      <c r="DM1720" t="str">
        <f t="shared" si="2304"/>
        <v>Pulp/Paper</v>
      </c>
      <c r="DN1720" t="str">
        <f t="shared" si="2305"/>
        <v>Timber</v>
      </c>
      <c r="DO1720">
        <v>0</v>
      </c>
      <c r="DP1720">
        <v>1</v>
      </c>
      <c r="DQ1720" t="s">
        <v>2523</v>
      </c>
      <c r="DR1720" t="s">
        <v>2524</v>
      </c>
      <c r="DS1720">
        <v>0</v>
      </c>
      <c r="DT1720">
        <f t="shared" si="2306"/>
        <v>1</v>
      </c>
      <c r="DU1720" s="143" t="str">
        <f t="shared" si="2307"/>
        <v>external DF used</v>
      </c>
      <c r="DV1720">
        <v>1</v>
      </c>
      <c r="DW1720">
        <v>1</v>
      </c>
      <c r="DX1720">
        <v>1</v>
      </c>
      <c r="DY1720">
        <v>1</v>
      </c>
      <c r="DZ1720">
        <v>0</v>
      </c>
      <c r="EA1720" s="143">
        <v>0</v>
      </c>
      <c r="EB1720">
        <v>1</v>
      </c>
      <c r="EC1720">
        <v>1</v>
      </c>
      <c r="ED1720">
        <v>0</v>
      </c>
      <c r="EE1720">
        <v>0</v>
      </c>
      <c r="EF1720">
        <v>1</v>
      </c>
      <c r="EG1720">
        <v>0</v>
      </c>
      <c r="EH1720">
        <v>0</v>
      </c>
      <c r="EI1720" s="2">
        <v>0</v>
      </c>
      <c r="EK1720" t="str">
        <f t="shared" si="2308"/>
        <v>Whole sector</v>
      </c>
      <c r="EL1720" t="str">
        <f t="shared" si="2309"/>
        <v/>
      </c>
      <c r="EM1720" s="2" t="str">
        <f t="shared" si="2280"/>
        <v/>
      </c>
      <c r="EP1720" t="b">
        <f>IF(ISNUMBER(BU1720),IF(ABS(BU1720-[3]QC_indicators!$B$2)&gt;3*[3]QC_indicators!$C$2,"C ratio",IF(ISNUMBER(BY1720),IF(ABS(BY1720-[3]QC_indicators!$B$1)&gt;3*[3]QC_indicators!$C$1,"DF","no"))),IF(ISNUMBER(BY1720),IF(ABS(BY1720-[3]QC_indicators!$B$1)&gt;3*[3]QC_indicators!$C$1,"DF","no")))</f>
        <v>0</v>
      </c>
      <c r="ET1720" s="264" t="s">
        <v>3272</v>
      </c>
    </row>
    <row r="1721" spans="1:150" hidden="1">
      <c r="A1721" s="1" t="s">
        <v>1422</v>
      </c>
      <c r="B1721" t="s">
        <v>2489</v>
      </c>
      <c r="C1721" t="s">
        <v>2490</v>
      </c>
      <c r="D1721" t="s">
        <v>2491</v>
      </c>
      <c r="E1721" t="s">
        <v>2492</v>
      </c>
      <c r="F1721" t="s">
        <v>2493</v>
      </c>
      <c r="G1721" t="s">
        <v>1428</v>
      </c>
      <c r="H1721" t="s">
        <v>254</v>
      </c>
      <c r="I1721">
        <v>2016</v>
      </c>
      <c r="J1721">
        <v>24</v>
      </c>
      <c r="K1721" t="s">
        <v>2494</v>
      </c>
      <c r="M1721" t="str">
        <f t="shared" si="2193"/>
        <v>Zubizarreta-Gerendiain_2016</v>
      </c>
      <c r="N1721" t="s">
        <v>222</v>
      </c>
      <c r="O1721" s="145" t="s">
        <v>1153</v>
      </c>
      <c r="Q1721" t="s">
        <v>256</v>
      </c>
      <c r="R1721" s="262" t="s">
        <v>223</v>
      </c>
      <c r="S1721" s="1" t="s">
        <v>2495</v>
      </c>
      <c r="T1721" t="s">
        <v>2512</v>
      </c>
      <c r="U1721" t="s">
        <v>2510</v>
      </c>
      <c r="V1721">
        <v>0</v>
      </c>
      <c r="W1721">
        <v>0</v>
      </c>
      <c r="X1721">
        <v>0</v>
      </c>
      <c r="Y1721">
        <v>2</v>
      </c>
      <c r="Z1721">
        <v>0</v>
      </c>
      <c r="AA1721">
        <v>0</v>
      </c>
      <c r="AB1721">
        <v>0</v>
      </c>
      <c r="AC1721">
        <v>0</v>
      </c>
      <c r="AD1721">
        <v>0</v>
      </c>
      <c r="AE1721">
        <v>0</v>
      </c>
      <c r="AF1721">
        <v>1</v>
      </c>
      <c r="AG1721">
        <v>0</v>
      </c>
      <c r="AH1721">
        <v>0</v>
      </c>
      <c r="AI1721">
        <v>0</v>
      </c>
      <c r="AJ1721">
        <v>0</v>
      </c>
      <c r="AK1721">
        <v>0</v>
      </c>
      <c r="AL1721">
        <v>0</v>
      </c>
      <c r="AM1721">
        <v>0</v>
      </c>
      <c r="AN1721">
        <v>2</v>
      </c>
      <c r="AO1721">
        <v>2</v>
      </c>
      <c r="AP1721">
        <v>0</v>
      </c>
      <c r="AQ1721">
        <v>0</v>
      </c>
      <c r="AR1721">
        <v>0</v>
      </c>
      <c r="AS1721">
        <v>0</v>
      </c>
      <c r="AT1721">
        <v>0</v>
      </c>
      <c r="AU1721">
        <v>0</v>
      </c>
      <c r="AV1721">
        <v>0</v>
      </c>
      <c r="AW1721">
        <v>0</v>
      </c>
      <c r="AX1721" s="141">
        <f t="shared" si="2282"/>
        <v>4</v>
      </c>
      <c r="AY1721" s="141">
        <f t="shared" si="2283"/>
        <v>2</v>
      </c>
      <c r="AZ1721">
        <f t="shared" si="2284"/>
        <v>1</v>
      </c>
      <c r="BA1721">
        <f t="shared" si="2285"/>
        <v>1</v>
      </c>
      <c r="BB1721">
        <f t="shared" si="2286"/>
        <v>0</v>
      </c>
      <c r="BC1721">
        <f t="shared" si="2287"/>
        <v>0</v>
      </c>
      <c r="BD1721">
        <f t="shared" si="2288"/>
        <v>2</v>
      </c>
      <c r="BE1721" t="str">
        <f t="array" ref="BE1721">IF(AY1721=1,INDEX($V$7:$AL$7,MATCH(TRUE,INDEX($V1721:$AW1721&lt;&gt;0,),0)),IF(AY1721=0,INDEX($AM$7:$AW$7,MATCH(1,$AM1721:$AW1721,0)),IF(BF1721="Multiple strategies","mixed drivers",IF(BF1721="Supply chain","multiple supply","multiple silviculture"))))</f>
        <v>mixed drivers</v>
      </c>
      <c r="BF1721" s="2" t="str" cm="1">
        <f t="array" ref="BF1721">IF(COUNTIF(AZ1721:BB1721,"&lt;&gt;0")=1,INDEX($V$4:$AW$4,MATCH(TRUE,INDEX($V1721:$AW1721&lt;&gt;0,),0)),IF(COUNTIF(AZ1721:BB1721,"&lt;&gt;0")=0,INDEX($AM$4:$AW$4,MATCH(1,$AM1721:$AW1721,0)),"Multiple strategies"))</f>
        <v>Multiple strategies</v>
      </c>
      <c r="BM1721" s="143"/>
      <c r="BN1721" s="143"/>
      <c r="BP1721" s="143" t="s">
        <v>232</v>
      </c>
      <c r="BQ1721" s="143"/>
      <c r="BR1721" t="s">
        <v>1194</v>
      </c>
      <c r="BS1721">
        <v>-4411.0351437700365</v>
      </c>
      <c r="BT1721">
        <v>-70376.060702875271</v>
      </c>
      <c r="BU1721" s="144">
        <f t="shared" si="2289"/>
        <v>15.954545454545178</v>
      </c>
      <c r="BV1721" s="144">
        <f t="shared" si="2290"/>
        <v>-65965.025559105241</v>
      </c>
      <c r="BW1721" s="144"/>
      <c r="BX1721" s="144">
        <f t="shared" si="2291"/>
        <v>-65965.025559105241</v>
      </c>
      <c r="BY1721" t="str">
        <f t="shared" si="2279"/>
        <v/>
      </c>
      <c r="BZ1721">
        <v>0</v>
      </c>
      <c r="CA1721">
        <v>0</v>
      </c>
      <c r="CB1721">
        <v>0</v>
      </c>
      <c r="CC1721">
        <v>0</v>
      </c>
      <c r="CD1721">
        <v>0</v>
      </c>
      <c r="CE1721">
        <v>0</v>
      </c>
      <c r="CF1721">
        <v>0</v>
      </c>
      <c r="CG1721">
        <v>0</v>
      </c>
      <c r="CH1721">
        <v>0</v>
      </c>
      <c r="CI1721">
        <v>0</v>
      </c>
      <c r="CJ1721">
        <v>0</v>
      </c>
      <c r="CK1721">
        <v>0</v>
      </c>
      <c r="CL1721">
        <v>0</v>
      </c>
      <c r="CM1721">
        <v>1</v>
      </c>
      <c r="CN1721" t="str">
        <f t="shared" si="2281"/>
        <v>refOK</v>
      </c>
      <c r="CO1721"/>
      <c r="CP1721"/>
      <c r="CQ1721"/>
      <c r="CR1721">
        <f t="shared" si="2292"/>
        <v>-4411.0351437700365</v>
      </c>
      <c r="CS1721">
        <f t="shared" si="2293"/>
        <v>-70376.060702875271</v>
      </c>
      <c r="CT1721">
        <f t="shared" si="2294"/>
        <v>-65965.025559105241</v>
      </c>
      <c r="CU1721" t="str">
        <f t="shared" si="2295"/>
        <v/>
      </c>
      <c r="CV1721" s="2">
        <f t="shared" si="2296"/>
        <v>-14.95454545454518</v>
      </c>
      <c r="CW1721" s="1" t="s">
        <v>1198</v>
      </c>
      <c r="CX1721" t="str">
        <f t="shared" si="2297"/>
        <v>reg</v>
      </c>
      <c r="CY1721" t="s">
        <v>235</v>
      </c>
      <c r="CZ1721">
        <v>2010</v>
      </c>
      <c r="DA1721">
        <v>2070</v>
      </c>
      <c r="DB1721">
        <f t="shared" si="2298"/>
        <v>60</v>
      </c>
      <c r="DC1721" t="str">
        <f t="shared" si="2299"/>
        <v>31-70</v>
      </c>
      <c r="DD1721">
        <v>1</v>
      </c>
      <c r="DE1721">
        <v>1</v>
      </c>
      <c r="DF1721">
        <v>1</v>
      </c>
      <c r="DG1721">
        <v>1</v>
      </c>
      <c r="DH1721">
        <v>0</v>
      </c>
      <c r="DI1721">
        <f t="shared" si="2300"/>
        <v>4</v>
      </c>
      <c r="DJ1721" t="str">
        <f t="shared" si="2301"/>
        <v>mixedProduct</v>
      </c>
      <c r="DK1721" t="str">
        <f t="shared" si="2302"/>
        <v>Upstream</v>
      </c>
      <c r="DL1721" t="str">
        <f t="shared" si="2303"/>
        <v>Energy</v>
      </c>
      <c r="DM1721" t="str">
        <f t="shared" si="2304"/>
        <v>Pulp/Paper</v>
      </c>
      <c r="DN1721" t="str">
        <f t="shared" si="2305"/>
        <v>Timber</v>
      </c>
      <c r="DO1721">
        <v>0</v>
      </c>
      <c r="DP1721">
        <v>0</v>
      </c>
      <c r="DQ1721">
        <v>0</v>
      </c>
      <c r="DR1721">
        <v>0</v>
      </c>
      <c r="DS1721">
        <v>0</v>
      </c>
      <c r="DT1721">
        <f t="shared" si="2306"/>
        <v>0</v>
      </c>
      <c r="DU1721" s="143" t="str">
        <f t="shared" si="2307"/>
        <v>explicit C balance</v>
      </c>
      <c r="DV1721">
        <v>1</v>
      </c>
      <c r="DW1721">
        <v>1</v>
      </c>
      <c r="DX1721">
        <v>1</v>
      </c>
      <c r="DY1721">
        <v>0</v>
      </c>
      <c r="DZ1721">
        <v>0</v>
      </c>
      <c r="EA1721" s="143">
        <v>0</v>
      </c>
      <c r="EB1721">
        <v>1</v>
      </c>
      <c r="EC1721">
        <v>1</v>
      </c>
      <c r="ED1721">
        <v>0</v>
      </c>
      <c r="EE1721">
        <v>0</v>
      </c>
      <c r="EF1721">
        <v>1</v>
      </c>
      <c r="EG1721">
        <v>0</v>
      </c>
      <c r="EH1721">
        <v>0</v>
      </c>
      <c r="EI1721" s="2">
        <v>0</v>
      </c>
      <c r="EK1721" t="str">
        <f t="shared" si="2308"/>
        <v>Whole sector</v>
      </c>
      <c r="EL1721" t="str">
        <f t="shared" si="2309"/>
        <v/>
      </c>
      <c r="EM1721" s="2" t="str">
        <f t="shared" si="2280"/>
        <v/>
      </c>
      <c r="EP1721" t="str">
        <f>IF(ISNUMBER(BU1721),IF(ABS(BU1721-[3]QC_indicators!$B$2)&gt;3*[3]QC_indicators!$C$2,"C ratio",IF(ISNUMBER(BY1721),IF(ABS(BY1721-[3]QC_indicators!$B$1)&gt;3*[3]QC_indicators!$C$1,"DF","no"))),IF(ISNUMBER(BY1721),IF(ABS(BY1721-[3]QC_indicators!$B$1)&gt;3*[3]QC_indicators!$C$1,"DF","no")))</f>
        <v>C ratio</v>
      </c>
      <c r="EQ1721" t="s">
        <v>2500</v>
      </c>
      <c r="ET1721" s="264" t="s">
        <v>3272</v>
      </c>
    </row>
    <row r="1722" spans="1:150" hidden="1">
      <c r="A1722" s="1" t="s">
        <v>1422</v>
      </c>
      <c r="B1722" t="s">
        <v>2489</v>
      </c>
      <c r="C1722" t="s">
        <v>2490</v>
      </c>
      <c r="D1722" t="s">
        <v>2491</v>
      </c>
      <c r="E1722" t="s">
        <v>2492</v>
      </c>
      <c r="F1722" t="s">
        <v>2493</v>
      </c>
      <c r="G1722" t="s">
        <v>1428</v>
      </c>
      <c r="H1722" t="s">
        <v>254</v>
      </c>
      <c r="I1722">
        <v>2016</v>
      </c>
      <c r="J1722">
        <v>24</v>
      </c>
      <c r="K1722" t="s">
        <v>2494</v>
      </c>
      <c r="M1722" t="str">
        <f t="shared" si="2193"/>
        <v>Zubizarreta-Gerendiain_2016</v>
      </c>
      <c r="N1722" t="s">
        <v>222</v>
      </c>
      <c r="O1722" s="145" t="s">
        <v>1153</v>
      </c>
      <c r="Q1722" t="s">
        <v>256</v>
      </c>
      <c r="R1722" s="262" t="s">
        <v>223</v>
      </c>
      <c r="S1722" s="1" t="s">
        <v>2495</v>
      </c>
      <c r="T1722" t="s">
        <v>2515</v>
      </c>
      <c r="U1722" t="s">
        <v>2514</v>
      </c>
      <c r="V1722">
        <v>0</v>
      </c>
      <c r="W1722">
        <v>0</v>
      </c>
      <c r="X1722">
        <v>0</v>
      </c>
      <c r="Y1722">
        <v>2</v>
      </c>
      <c r="Z1722">
        <v>0</v>
      </c>
      <c r="AA1722">
        <v>0</v>
      </c>
      <c r="AB1722">
        <v>0</v>
      </c>
      <c r="AC1722">
        <v>0</v>
      </c>
      <c r="AD1722">
        <v>0</v>
      </c>
      <c r="AE1722">
        <v>0</v>
      </c>
      <c r="AF1722">
        <v>1</v>
      </c>
      <c r="AG1722">
        <v>0</v>
      </c>
      <c r="AH1722">
        <v>0</v>
      </c>
      <c r="AI1722">
        <v>0</v>
      </c>
      <c r="AJ1722">
        <v>0</v>
      </c>
      <c r="AK1722">
        <v>0</v>
      </c>
      <c r="AL1722">
        <v>0</v>
      </c>
      <c r="AM1722">
        <v>0</v>
      </c>
      <c r="AN1722">
        <v>2</v>
      </c>
      <c r="AO1722">
        <v>2</v>
      </c>
      <c r="AP1722">
        <v>0</v>
      </c>
      <c r="AQ1722">
        <v>0</v>
      </c>
      <c r="AR1722">
        <v>0</v>
      </c>
      <c r="AS1722">
        <v>0</v>
      </c>
      <c r="AT1722">
        <v>0</v>
      </c>
      <c r="AU1722">
        <v>0</v>
      </c>
      <c r="AV1722">
        <v>0</v>
      </c>
      <c r="AW1722">
        <v>0</v>
      </c>
      <c r="AX1722" s="141">
        <f t="shared" si="2282"/>
        <v>4</v>
      </c>
      <c r="AY1722" s="141">
        <f t="shared" si="2283"/>
        <v>2</v>
      </c>
      <c r="AZ1722">
        <f t="shared" si="2284"/>
        <v>1</v>
      </c>
      <c r="BA1722">
        <f t="shared" si="2285"/>
        <v>1</v>
      </c>
      <c r="BB1722">
        <f t="shared" si="2286"/>
        <v>0</v>
      </c>
      <c r="BC1722">
        <f t="shared" si="2287"/>
        <v>0</v>
      </c>
      <c r="BD1722">
        <f t="shared" si="2288"/>
        <v>2</v>
      </c>
      <c r="BE1722" t="str">
        <f t="array" ref="BE1722">IF(AY1722=1,INDEX($V$7:$AL$7,MATCH(TRUE,INDEX($V1722:$AW1722&lt;&gt;0,),0)),IF(AY1722=0,INDEX($AM$7:$AW$7,MATCH(1,$AM1722:$AW1722,0)),IF(BF1722="Multiple strategies","mixed drivers",IF(BF1722="Supply chain","multiple supply","multiple silviculture"))))</f>
        <v>mixed drivers</v>
      </c>
      <c r="BF1722" s="2" t="str" cm="1">
        <f t="array" ref="BF1722">IF(COUNTIF(AZ1722:BB1722,"&lt;&gt;0")=1,INDEX($V$4:$AW$4,MATCH(TRUE,INDEX($V1722:$AW1722&lt;&gt;0,),0)),IF(COUNTIF(AZ1722:BB1722,"&lt;&gt;0")=0,INDEX($AM$4:$AW$4,MATCH(1,$AM1722:$AW1722,0)),"Multiple strategies"))</f>
        <v>Multiple strategies</v>
      </c>
      <c r="BM1722" s="143"/>
      <c r="BN1722" s="143"/>
      <c r="BP1722" s="143" t="s">
        <v>232</v>
      </c>
      <c r="BQ1722" s="143"/>
      <c r="BR1722" t="s">
        <v>1194</v>
      </c>
      <c r="BS1722">
        <v>83545.110167597581</v>
      </c>
      <c r="BT1722">
        <v>-14015.791508379843</v>
      </c>
      <c r="BU1722" s="144">
        <f t="shared" si="2289"/>
        <v>-0.16776315789473667</v>
      </c>
      <c r="BV1722" s="144">
        <f t="shared" si="2290"/>
        <v>-97560.901675977424</v>
      </c>
      <c r="BW1722" s="144"/>
      <c r="BX1722" s="144">
        <f t="shared" si="2291"/>
        <v>-97560.901675977424</v>
      </c>
      <c r="BY1722" t="str">
        <f t="shared" si="2279"/>
        <v/>
      </c>
      <c r="BZ1722">
        <v>0</v>
      </c>
      <c r="CA1722">
        <v>0</v>
      </c>
      <c r="CB1722">
        <v>0</v>
      </c>
      <c r="CC1722">
        <v>0</v>
      </c>
      <c r="CD1722">
        <v>0</v>
      </c>
      <c r="CE1722">
        <v>0</v>
      </c>
      <c r="CF1722">
        <v>0</v>
      </c>
      <c r="CG1722">
        <v>0</v>
      </c>
      <c r="CH1722">
        <v>0</v>
      </c>
      <c r="CI1722">
        <v>0</v>
      </c>
      <c r="CJ1722">
        <v>0</v>
      </c>
      <c r="CK1722">
        <v>0</v>
      </c>
      <c r="CL1722">
        <v>0</v>
      </c>
      <c r="CM1722">
        <v>1</v>
      </c>
      <c r="CN1722" t="str">
        <f t="shared" si="2281"/>
        <v>refOK</v>
      </c>
      <c r="CO1722"/>
      <c r="CP1722"/>
      <c r="CQ1722"/>
      <c r="CR1722">
        <f t="shared" si="2292"/>
        <v>83545.110167597581</v>
      </c>
      <c r="CS1722">
        <f t="shared" si="2293"/>
        <v>-14015.791508379843</v>
      </c>
      <c r="CT1722">
        <f t="shared" si="2294"/>
        <v>-97560.901675977424</v>
      </c>
      <c r="CU1722" t="str">
        <f t="shared" si="2295"/>
        <v/>
      </c>
      <c r="CV1722" s="2">
        <f t="shared" si="2296"/>
        <v>-1.1677631578947367</v>
      </c>
      <c r="CW1722" s="1" t="s">
        <v>1198</v>
      </c>
      <c r="CX1722" t="str">
        <f t="shared" si="2297"/>
        <v>reg</v>
      </c>
      <c r="CY1722" t="s">
        <v>235</v>
      </c>
      <c r="CZ1722">
        <v>2010</v>
      </c>
      <c r="DA1722">
        <v>2070</v>
      </c>
      <c r="DB1722">
        <f t="shared" si="2298"/>
        <v>60</v>
      </c>
      <c r="DC1722" t="str">
        <f t="shared" si="2299"/>
        <v>31-70</v>
      </c>
      <c r="DD1722">
        <v>1</v>
      </c>
      <c r="DE1722">
        <v>1</v>
      </c>
      <c r="DF1722">
        <v>1</v>
      </c>
      <c r="DG1722">
        <v>1</v>
      </c>
      <c r="DH1722">
        <v>0</v>
      </c>
      <c r="DI1722">
        <f t="shared" si="2300"/>
        <v>4</v>
      </c>
      <c r="DJ1722" t="str">
        <f t="shared" si="2301"/>
        <v>mixedProduct</v>
      </c>
      <c r="DK1722" t="str">
        <f t="shared" si="2302"/>
        <v>Upstream</v>
      </c>
      <c r="DL1722" t="str">
        <f t="shared" si="2303"/>
        <v>Energy</v>
      </c>
      <c r="DM1722" t="str">
        <f t="shared" si="2304"/>
        <v>Pulp/Paper</v>
      </c>
      <c r="DN1722" t="str">
        <f t="shared" si="2305"/>
        <v>Timber</v>
      </c>
      <c r="DO1722">
        <v>0</v>
      </c>
      <c r="DP1722">
        <v>1</v>
      </c>
      <c r="DQ1722" t="s">
        <v>2523</v>
      </c>
      <c r="DR1722" t="s">
        <v>2524</v>
      </c>
      <c r="DS1722">
        <v>0</v>
      </c>
      <c r="DT1722">
        <f t="shared" si="2306"/>
        <v>1</v>
      </c>
      <c r="DU1722" s="143" t="str">
        <f t="shared" si="2307"/>
        <v>external DF used</v>
      </c>
      <c r="DV1722">
        <v>1</v>
      </c>
      <c r="DW1722">
        <v>1</v>
      </c>
      <c r="DX1722">
        <v>1</v>
      </c>
      <c r="DY1722">
        <v>1</v>
      </c>
      <c r="DZ1722">
        <v>0</v>
      </c>
      <c r="EA1722" s="143">
        <v>0</v>
      </c>
      <c r="EB1722">
        <v>1</v>
      </c>
      <c r="EC1722">
        <v>1</v>
      </c>
      <c r="ED1722">
        <v>0</v>
      </c>
      <c r="EE1722">
        <v>0</v>
      </c>
      <c r="EF1722">
        <v>1</v>
      </c>
      <c r="EG1722">
        <v>0</v>
      </c>
      <c r="EH1722">
        <v>0</v>
      </c>
      <c r="EI1722" s="2">
        <v>0</v>
      </c>
      <c r="EK1722" t="str">
        <f t="shared" si="2308"/>
        <v>Whole sector</v>
      </c>
      <c r="EL1722" t="str">
        <f t="shared" si="2309"/>
        <v/>
      </c>
      <c r="EM1722" s="2" t="str">
        <f t="shared" si="2280"/>
        <v/>
      </c>
      <c r="EP1722" t="b">
        <f>IF(ISNUMBER(BU1722),IF(ABS(BU1722-[3]QC_indicators!$B$2)&gt;3*[3]QC_indicators!$C$2,"C ratio",IF(ISNUMBER(BY1722),IF(ABS(BY1722-[3]QC_indicators!$B$1)&gt;3*[3]QC_indicators!$C$1,"DF","no"))),IF(ISNUMBER(BY1722),IF(ABS(BY1722-[3]QC_indicators!$B$1)&gt;3*[3]QC_indicators!$C$1,"DF","no")))</f>
        <v>0</v>
      </c>
      <c r="ET1722" s="264" t="s">
        <v>3272</v>
      </c>
    </row>
    <row r="1723" spans="1:150" hidden="1">
      <c r="A1723" s="1" t="s">
        <v>1422</v>
      </c>
      <c r="B1723" t="s">
        <v>2489</v>
      </c>
      <c r="C1723" t="s">
        <v>2490</v>
      </c>
      <c r="D1723" t="s">
        <v>2491</v>
      </c>
      <c r="E1723" t="s">
        <v>2492</v>
      </c>
      <c r="F1723" t="s">
        <v>2493</v>
      </c>
      <c r="G1723" t="s">
        <v>1428</v>
      </c>
      <c r="H1723" t="s">
        <v>254</v>
      </c>
      <c r="I1723">
        <v>2016</v>
      </c>
      <c r="J1723">
        <v>24</v>
      </c>
      <c r="K1723" t="s">
        <v>2494</v>
      </c>
      <c r="M1723" t="str">
        <f t="shared" si="2193"/>
        <v>Zubizarreta-Gerendiain_2016</v>
      </c>
      <c r="N1723" t="s">
        <v>222</v>
      </c>
      <c r="O1723" s="145" t="s">
        <v>1153</v>
      </c>
      <c r="Q1723" t="s">
        <v>256</v>
      </c>
      <c r="R1723" s="262" t="s">
        <v>223</v>
      </c>
      <c r="S1723" s="1" t="s">
        <v>2495</v>
      </c>
      <c r="T1723" t="s">
        <v>2515</v>
      </c>
      <c r="U1723" t="s">
        <v>2514</v>
      </c>
      <c r="V1723">
        <v>0</v>
      </c>
      <c r="W1723">
        <v>0</v>
      </c>
      <c r="X1723">
        <v>0</v>
      </c>
      <c r="Y1723">
        <v>2</v>
      </c>
      <c r="Z1723">
        <v>0</v>
      </c>
      <c r="AA1723">
        <v>0</v>
      </c>
      <c r="AB1723">
        <v>0</v>
      </c>
      <c r="AC1723">
        <v>0</v>
      </c>
      <c r="AD1723">
        <v>0</v>
      </c>
      <c r="AE1723">
        <v>0</v>
      </c>
      <c r="AF1723">
        <v>1</v>
      </c>
      <c r="AG1723">
        <v>0</v>
      </c>
      <c r="AH1723">
        <v>0</v>
      </c>
      <c r="AI1723">
        <v>0</v>
      </c>
      <c r="AJ1723">
        <v>0</v>
      </c>
      <c r="AK1723">
        <v>0</v>
      </c>
      <c r="AL1723">
        <v>0</v>
      </c>
      <c r="AM1723">
        <v>0</v>
      </c>
      <c r="AN1723">
        <v>2</v>
      </c>
      <c r="AO1723">
        <v>2</v>
      </c>
      <c r="AP1723">
        <v>0</v>
      </c>
      <c r="AQ1723">
        <v>0</v>
      </c>
      <c r="AR1723">
        <v>0</v>
      </c>
      <c r="AS1723">
        <v>0</v>
      </c>
      <c r="AT1723">
        <v>0</v>
      </c>
      <c r="AU1723">
        <v>0</v>
      </c>
      <c r="AV1723">
        <v>0</v>
      </c>
      <c r="AW1723">
        <v>0</v>
      </c>
      <c r="AX1723" s="141">
        <f t="shared" si="2282"/>
        <v>4</v>
      </c>
      <c r="AY1723" s="141">
        <f t="shared" si="2283"/>
        <v>2</v>
      </c>
      <c r="AZ1723">
        <f t="shared" si="2284"/>
        <v>1</v>
      </c>
      <c r="BA1723">
        <f t="shared" si="2285"/>
        <v>1</v>
      </c>
      <c r="BB1723">
        <f t="shared" si="2286"/>
        <v>0</v>
      </c>
      <c r="BC1723">
        <f t="shared" si="2287"/>
        <v>0</v>
      </c>
      <c r="BD1723">
        <f t="shared" si="2288"/>
        <v>2</v>
      </c>
      <c r="BE1723" t="str">
        <f t="array" ref="BE1723">IF(AY1723=1,INDEX($V$7:$AL$7,MATCH(TRUE,INDEX($V1723:$AW1723&lt;&gt;0,),0)),IF(AY1723=0,INDEX($AM$7:$AW$7,MATCH(1,$AM1723:$AW1723,0)),IF(BF1723="Multiple strategies","mixed drivers",IF(BF1723="Supply chain","multiple supply","multiple silviculture"))))</f>
        <v>mixed drivers</v>
      </c>
      <c r="BF1723" s="2" t="str" cm="1">
        <f t="array" ref="BF1723">IF(COUNTIF(AZ1723:BB1723,"&lt;&gt;0")=1,INDEX($V$4:$AW$4,MATCH(TRUE,INDEX($V1723:$AW1723&lt;&gt;0,),0)),IF(COUNTIF(AZ1723:BB1723,"&lt;&gt;0")=0,INDEX($AM$4:$AW$4,MATCH(1,$AM1723:$AW1723,0)),"Multiple strategies"))</f>
        <v>Multiple strategies</v>
      </c>
      <c r="BM1723" s="143"/>
      <c r="BN1723" s="143"/>
      <c r="BP1723" s="143" t="s">
        <v>232</v>
      </c>
      <c r="BQ1723" s="143"/>
      <c r="BR1723" t="s">
        <v>1194</v>
      </c>
      <c r="BS1723">
        <v>9893.4998882682703</v>
      </c>
      <c r="BT1723">
        <v>-104293.97798882655</v>
      </c>
      <c r="BU1723" s="144">
        <f t="shared" si="2289"/>
        <v>-10.541666666666519</v>
      </c>
      <c r="BV1723" s="144">
        <f t="shared" si="2290"/>
        <v>-114187.47787709482</v>
      </c>
      <c r="BW1723" s="144"/>
      <c r="BX1723" s="144">
        <f t="shared" si="2291"/>
        <v>-114187.47787709482</v>
      </c>
      <c r="BY1723" t="str">
        <f t="shared" si="2279"/>
        <v/>
      </c>
      <c r="BZ1723">
        <v>0</v>
      </c>
      <c r="CA1723">
        <v>0</v>
      </c>
      <c r="CB1723">
        <v>0</v>
      </c>
      <c r="CC1723">
        <v>0</v>
      </c>
      <c r="CD1723">
        <v>0</v>
      </c>
      <c r="CE1723">
        <v>0</v>
      </c>
      <c r="CF1723">
        <v>0</v>
      </c>
      <c r="CG1723">
        <v>0</v>
      </c>
      <c r="CH1723">
        <v>0</v>
      </c>
      <c r="CI1723">
        <v>0</v>
      </c>
      <c r="CJ1723">
        <v>0</v>
      </c>
      <c r="CK1723">
        <v>0</v>
      </c>
      <c r="CL1723">
        <v>0</v>
      </c>
      <c r="CM1723">
        <v>1</v>
      </c>
      <c r="CN1723" t="str">
        <f t="shared" si="2281"/>
        <v>refOK</v>
      </c>
      <c r="CO1723"/>
      <c r="CP1723"/>
      <c r="CQ1723"/>
      <c r="CR1723">
        <f t="shared" si="2292"/>
        <v>9893.4998882682703</v>
      </c>
      <c r="CS1723">
        <f t="shared" si="2293"/>
        <v>-104293.97798882655</v>
      </c>
      <c r="CT1723">
        <f t="shared" si="2294"/>
        <v>-114187.47787709482</v>
      </c>
      <c r="CU1723" t="str">
        <f t="shared" si="2295"/>
        <v/>
      </c>
      <c r="CV1723" s="2">
        <f t="shared" si="2296"/>
        <v>-11.541666666666519</v>
      </c>
      <c r="CW1723" s="1" t="s">
        <v>1198</v>
      </c>
      <c r="CX1723" t="str">
        <f t="shared" si="2297"/>
        <v>reg</v>
      </c>
      <c r="CY1723" t="s">
        <v>235</v>
      </c>
      <c r="CZ1723">
        <v>2010</v>
      </c>
      <c r="DA1723">
        <v>2070</v>
      </c>
      <c r="DB1723">
        <f t="shared" si="2298"/>
        <v>60</v>
      </c>
      <c r="DC1723" t="str">
        <f t="shared" si="2299"/>
        <v>31-70</v>
      </c>
      <c r="DD1723">
        <v>1</v>
      </c>
      <c r="DE1723">
        <v>1</v>
      </c>
      <c r="DF1723">
        <v>1</v>
      </c>
      <c r="DG1723">
        <v>1</v>
      </c>
      <c r="DH1723">
        <v>0</v>
      </c>
      <c r="DI1723">
        <f t="shared" si="2300"/>
        <v>4</v>
      </c>
      <c r="DJ1723" t="str">
        <f t="shared" si="2301"/>
        <v>mixedProduct</v>
      </c>
      <c r="DK1723" t="str">
        <f t="shared" si="2302"/>
        <v>Upstream</v>
      </c>
      <c r="DL1723" t="str">
        <f t="shared" si="2303"/>
        <v>Energy</v>
      </c>
      <c r="DM1723" t="str">
        <f t="shared" si="2304"/>
        <v>Pulp/Paper</v>
      </c>
      <c r="DN1723" t="str">
        <f t="shared" si="2305"/>
        <v>Timber</v>
      </c>
      <c r="DO1723">
        <v>0</v>
      </c>
      <c r="DP1723">
        <v>0</v>
      </c>
      <c r="DQ1723">
        <v>0</v>
      </c>
      <c r="DR1723">
        <v>0</v>
      </c>
      <c r="DS1723">
        <v>0</v>
      </c>
      <c r="DT1723">
        <f t="shared" si="2306"/>
        <v>0</v>
      </c>
      <c r="DU1723" s="143" t="str">
        <f t="shared" si="2307"/>
        <v>explicit C balance</v>
      </c>
      <c r="DV1723">
        <v>1</v>
      </c>
      <c r="DW1723">
        <v>1</v>
      </c>
      <c r="DX1723">
        <v>1</v>
      </c>
      <c r="DY1723">
        <v>0</v>
      </c>
      <c r="DZ1723">
        <v>0</v>
      </c>
      <c r="EA1723" s="143">
        <v>0</v>
      </c>
      <c r="EB1723">
        <v>1</v>
      </c>
      <c r="EC1723">
        <v>1</v>
      </c>
      <c r="ED1723">
        <v>0</v>
      </c>
      <c r="EE1723">
        <v>0</v>
      </c>
      <c r="EF1723">
        <v>1</v>
      </c>
      <c r="EG1723">
        <v>0</v>
      </c>
      <c r="EH1723">
        <v>0</v>
      </c>
      <c r="EI1723" s="2">
        <v>0</v>
      </c>
      <c r="EK1723" t="str">
        <f t="shared" si="2308"/>
        <v>Whole sector</v>
      </c>
      <c r="EL1723" t="str">
        <f t="shared" si="2309"/>
        <v/>
      </c>
      <c r="EM1723" s="2" t="str">
        <f t="shared" si="2280"/>
        <v/>
      </c>
      <c r="EP1723" t="str">
        <f>IF(ISNUMBER(BU1723),IF(ABS(BU1723-[3]QC_indicators!$B$2)&gt;3*[3]QC_indicators!$C$2,"C ratio",IF(ISNUMBER(BY1723),IF(ABS(BY1723-[3]QC_indicators!$B$1)&gt;3*[3]QC_indicators!$C$1,"DF","no"))),IF(ISNUMBER(BY1723),IF(ABS(BY1723-[3]QC_indicators!$B$1)&gt;3*[3]QC_indicators!$C$1,"DF","no")))</f>
        <v>C ratio</v>
      </c>
      <c r="EQ1723" t="s">
        <v>2500</v>
      </c>
      <c r="ET1723" s="264" t="s">
        <v>3272</v>
      </c>
    </row>
    <row r="1724" spans="1:150" hidden="1">
      <c r="A1724" s="1" t="s">
        <v>1422</v>
      </c>
      <c r="B1724" t="s">
        <v>2489</v>
      </c>
      <c r="C1724" t="s">
        <v>2490</v>
      </c>
      <c r="D1724" t="s">
        <v>2491</v>
      </c>
      <c r="E1724" t="s">
        <v>2492</v>
      </c>
      <c r="F1724" t="s">
        <v>2493</v>
      </c>
      <c r="G1724" t="s">
        <v>1428</v>
      </c>
      <c r="H1724" t="s">
        <v>254</v>
      </c>
      <c r="I1724">
        <v>2016</v>
      </c>
      <c r="J1724">
        <v>24</v>
      </c>
      <c r="K1724" t="s">
        <v>2494</v>
      </c>
      <c r="M1724" t="str">
        <f t="shared" si="2193"/>
        <v>Zubizarreta-Gerendiain_2016</v>
      </c>
      <c r="N1724" t="s">
        <v>222</v>
      </c>
      <c r="O1724" s="145" t="s">
        <v>1153</v>
      </c>
      <c r="Q1724" t="s">
        <v>256</v>
      </c>
      <c r="R1724" s="262" t="s">
        <v>223</v>
      </c>
      <c r="S1724" s="1" t="s">
        <v>2505</v>
      </c>
      <c r="T1724" t="s">
        <v>2513</v>
      </c>
      <c r="U1724" t="s">
        <v>2514</v>
      </c>
      <c r="V1724">
        <v>0</v>
      </c>
      <c r="W1724">
        <v>0</v>
      </c>
      <c r="X1724">
        <v>0</v>
      </c>
      <c r="Y1724">
        <v>2</v>
      </c>
      <c r="Z1724">
        <v>0</v>
      </c>
      <c r="AA1724">
        <v>0</v>
      </c>
      <c r="AB1724">
        <v>0</v>
      </c>
      <c r="AC1724">
        <v>0</v>
      </c>
      <c r="AD1724">
        <v>0</v>
      </c>
      <c r="AE1724">
        <v>0</v>
      </c>
      <c r="AF1724">
        <v>1</v>
      </c>
      <c r="AG1724">
        <v>0</v>
      </c>
      <c r="AH1724">
        <v>0</v>
      </c>
      <c r="AI1724">
        <v>0</v>
      </c>
      <c r="AJ1724">
        <v>0</v>
      </c>
      <c r="AK1724">
        <v>0</v>
      </c>
      <c r="AL1724">
        <v>0</v>
      </c>
      <c r="AM1724">
        <v>0</v>
      </c>
      <c r="AN1724">
        <v>2</v>
      </c>
      <c r="AO1724">
        <v>2</v>
      </c>
      <c r="AP1724">
        <v>0</v>
      </c>
      <c r="AQ1724">
        <v>0</v>
      </c>
      <c r="AR1724">
        <v>0</v>
      </c>
      <c r="AS1724">
        <v>0</v>
      </c>
      <c r="AT1724">
        <v>0</v>
      </c>
      <c r="AU1724">
        <v>0</v>
      </c>
      <c r="AV1724">
        <v>0</v>
      </c>
      <c r="AW1724">
        <v>0</v>
      </c>
      <c r="AX1724" s="141">
        <f t="shared" si="2282"/>
        <v>4</v>
      </c>
      <c r="AY1724" s="141">
        <f t="shared" si="2283"/>
        <v>2</v>
      </c>
      <c r="AZ1724">
        <f t="shared" si="2284"/>
        <v>1</v>
      </c>
      <c r="BA1724">
        <f t="shared" si="2285"/>
        <v>1</v>
      </c>
      <c r="BB1724">
        <f t="shared" si="2286"/>
        <v>0</v>
      </c>
      <c r="BC1724">
        <f t="shared" si="2287"/>
        <v>0</v>
      </c>
      <c r="BD1724">
        <f t="shared" si="2288"/>
        <v>2</v>
      </c>
      <c r="BE1724" t="str">
        <f t="array" ref="BE1724">IF(AY1724=1,INDEX($V$7:$AL$7,MATCH(TRUE,INDEX($V1724:$AW1724&lt;&gt;0,),0)),IF(AY1724=0,INDEX($AM$7:$AW$7,MATCH(1,$AM1724:$AW1724,0)),IF(BF1724="Multiple strategies","mixed drivers",IF(BF1724="Supply chain","multiple supply","multiple silviculture"))))</f>
        <v>mixed drivers</v>
      </c>
      <c r="BF1724" s="2" t="str" cm="1">
        <f t="array" ref="BF1724">IF(COUNTIF(AZ1724:BB1724,"&lt;&gt;0")=1,INDEX($V$4:$AW$4,MATCH(TRUE,INDEX($V1724:$AW1724&lt;&gt;0,),0)),IF(COUNTIF(AZ1724:BB1724,"&lt;&gt;0")=0,INDEX($AM$4:$AW$4,MATCH(1,$AM1724:$AW1724,0)),"Multiple strategies"))</f>
        <v>Multiple strategies</v>
      </c>
      <c r="BM1724" s="143"/>
      <c r="BN1724" s="143"/>
      <c r="BP1724" s="143" t="s">
        <v>232</v>
      </c>
      <c r="BQ1724" s="143"/>
      <c r="BR1724" t="s">
        <v>1194</v>
      </c>
      <c r="BS1724">
        <v>88354.450391061444</v>
      </c>
      <c r="BT1724">
        <v>-14015.791508379843</v>
      </c>
      <c r="BU1724" s="144">
        <f t="shared" si="2289"/>
        <v>-0.15863141524105706</v>
      </c>
      <c r="BV1724" s="144">
        <f t="shared" si="2290"/>
        <v>-102370.24189944129</v>
      </c>
      <c r="BW1724" s="144"/>
      <c r="BX1724" s="144">
        <f t="shared" si="2291"/>
        <v>-102370.24189944129</v>
      </c>
      <c r="BY1724" t="str">
        <f t="shared" si="2279"/>
        <v/>
      </c>
      <c r="BZ1724">
        <v>0</v>
      </c>
      <c r="CA1724">
        <v>0</v>
      </c>
      <c r="CB1724">
        <v>0</v>
      </c>
      <c r="CC1724">
        <v>0</v>
      </c>
      <c r="CD1724">
        <v>0</v>
      </c>
      <c r="CE1724">
        <v>0</v>
      </c>
      <c r="CF1724">
        <v>0</v>
      </c>
      <c r="CG1724">
        <v>0</v>
      </c>
      <c r="CH1724">
        <v>0</v>
      </c>
      <c r="CI1724">
        <v>0</v>
      </c>
      <c r="CJ1724">
        <v>0</v>
      </c>
      <c r="CK1724">
        <v>0</v>
      </c>
      <c r="CL1724">
        <v>0</v>
      </c>
      <c r="CM1724">
        <v>1</v>
      </c>
      <c r="CN1724" t="str">
        <f t="shared" si="2281"/>
        <v>refOK</v>
      </c>
      <c r="CO1724"/>
      <c r="CP1724"/>
      <c r="CQ1724"/>
      <c r="CR1724">
        <f t="shared" si="2292"/>
        <v>88354.450391061444</v>
      </c>
      <c r="CS1724">
        <f t="shared" si="2293"/>
        <v>-14015.791508379843</v>
      </c>
      <c r="CT1724">
        <f t="shared" si="2294"/>
        <v>-102370.24189944129</v>
      </c>
      <c r="CU1724" t="str">
        <f t="shared" si="2295"/>
        <v/>
      </c>
      <c r="CV1724" s="2">
        <f t="shared" si="2296"/>
        <v>-1.1586314152410571</v>
      </c>
      <c r="CW1724" s="1" t="s">
        <v>1198</v>
      </c>
      <c r="CX1724" t="str">
        <f t="shared" si="2297"/>
        <v>reg</v>
      </c>
      <c r="CY1724" t="s">
        <v>235</v>
      </c>
      <c r="CZ1724">
        <v>2010</v>
      </c>
      <c r="DA1724">
        <v>2070</v>
      </c>
      <c r="DB1724">
        <f t="shared" si="2298"/>
        <v>60</v>
      </c>
      <c r="DC1724" t="str">
        <f t="shared" si="2299"/>
        <v>31-70</v>
      </c>
      <c r="DD1724">
        <v>1</v>
      </c>
      <c r="DE1724">
        <v>1</v>
      </c>
      <c r="DF1724">
        <v>1</v>
      </c>
      <c r="DG1724">
        <v>1</v>
      </c>
      <c r="DH1724">
        <v>0</v>
      </c>
      <c r="DI1724">
        <f t="shared" si="2300"/>
        <v>4</v>
      </c>
      <c r="DJ1724" t="str">
        <f t="shared" si="2301"/>
        <v>mixedProduct</v>
      </c>
      <c r="DK1724" t="str">
        <f t="shared" si="2302"/>
        <v>Upstream</v>
      </c>
      <c r="DL1724" t="str">
        <f t="shared" si="2303"/>
        <v>Energy</v>
      </c>
      <c r="DM1724" t="str">
        <f t="shared" si="2304"/>
        <v>Pulp/Paper</v>
      </c>
      <c r="DN1724" t="str">
        <f t="shared" si="2305"/>
        <v>Timber</v>
      </c>
      <c r="DO1724">
        <v>0</v>
      </c>
      <c r="DP1724">
        <v>1</v>
      </c>
      <c r="DQ1724" t="s">
        <v>2523</v>
      </c>
      <c r="DR1724" t="s">
        <v>2524</v>
      </c>
      <c r="DS1724">
        <v>0</v>
      </c>
      <c r="DT1724">
        <f t="shared" si="2306"/>
        <v>1</v>
      </c>
      <c r="DU1724" s="143" t="str">
        <f t="shared" si="2307"/>
        <v>external DF used</v>
      </c>
      <c r="DV1724">
        <v>1</v>
      </c>
      <c r="DW1724">
        <v>1</v>
      </c>
      <c r="DX1724">
        <v>1</v>
      </c>
      <c r="DY1724">
        <v>1</v>
      </c>
      <c r="DZ1724">
        <v>0</v>
      </c>
      <c r="EA1724" s="143">
        <v>0</v>
      </c>
      <c r="EB1724">
        <v>1</v>
      </c>
      <c r="EC1724">
        <v>1</v>
      </c>
      <c r="ED1724">
        <v>0</v>
      </c>
      <c r="EE1724">
        <v>0</v>
      </c>
      <c r="EF1724">
        <v>1</v>
      </c>
      <c r="EG1724">
        <v>0</v>
      </c>
      <c r="EH1724">
        <v>0</v>
      </c>
      <c r="EI1724" s="2">
        <v>0</v>
      </c>
      <c r="EK1724" t="str">
        <f t="shared" si="2308"/>
        <v>Whole sector</v>
      </c>
      <c r="EL1724" t="str">
        <f t="shared" si="2309"/>
        <v/>
      </c>
      <c r="EM1724" s="2" t="str">
        <f t="shared" si="2280"/>
        <v/>
      </c>
      <c r="EN1724" t="s">
        <v>2507</v>
      </c>
      <c r="EP1724" t="b">
        <f>IF(ISNUMBER(BU1724),IF(ABS(BU1724-[3]QC_indicators!$B$2)&gt;3*[3]QC_indicators!$C$2,"C ratio",IF(ISNUMBER(BY1724),IF(ABS(BY1724-[3]QC_indicators!$B$1)&gt;3*[3]QC_indicators!$C$1,"DF","no"))),IF(ISNUMBER(BY1724),IF(ABS(BY1724-[3]QC_indicators!$B$1)&gt;3*[3]QC_indicators!$C$1,"DF","no")))</f>
        <v>0</v>
      </c>
      <c r="ET1724" s="264" t="s">
        <v>3272</v>
      </c>
    </row>
    <row r="1725" spans="1:150" hidden="1">
      <c r="A1725" s="1" t="s">
        <v>1422</v>
      </c>
      <c r="B1725" t="s">
        <v>2489</v>
      </c>
      <c r="C1725" t="s">
        <v>2490</v>
      </c>
      <c r="D1725" t="s">
        <v>2491</v>
      </c>
      <c r="E1725" t="s">
        <v>2492</v>
      </c>
      <c r="F1725" t="s">
        <v>2493</v>
      </c>
      <c r="G1725" t="s">
        <v>1428</v>
      </c>
      <c r="H1725" t="s">
        <v>254</v>
      </c>
      <c r="I1725">
        <v>2016</v>
      </c>
      <c r="J1725">
        <v>24</v>
      </c>
      <c r="K1725" t="s">
        <v>2494</v>
      </c>
      <c r="M1725" t="str">
        <f t="shared" si="2193"/>
        <v>Zubizarreta-Gerendiain_2016</v>
      </c>
      <c r="N1725" t="s">
        <v>222</v>
      </c>
      <c r="O1725" s="145" t="s">
        <v>1153</v>
      </c>
      <c r="Q1725" t="s">
        <v>256</v>
      </c>
      <c r="R1725" s="262" t="s">
        <v>223</v>
      </c>
      <c r="S1725" s="1" t="s">
        <v>2505</v>
      </c>
      <c r="T1725" t="s">
        <v>2513</v>
      </c>
      <c r="U1725" t="s">
        <v>2514</v>
      </c>
      <c r="V1725">
        <v>0</v>
      </c>
      <c r="W1725">
        <v>0</v>
      </c>
      <c r="X1725">
        <v>0</v>
      </c>
      <c r="Y1725">
        <v>2</v>
      </c>
      <c r="Z1725">
        <v>0</v>
      </c>
      <c r="AA1725">
        <v>0</v>
      </c>
      <c r="AB1725">
        <v>0</v>
      </c>
      <c r="AC1725">
        <v>0</v>
      </c>
      <c r="AD1725">
        <v>0</v>
      </c>
      <c r="AE1725">
        <v>0</v>
      </c>
      <c r="AF1725">
        <v>1</v>
      </c>
      <c r="AG1725">
        <v>0</v>
      </c>
      <c r="AH1725">
        <v>0</v>
      </c>
      <c r="AI1725">
        <v>0</v>
      </c>
      <c r="AJ1725">
        <v>0</v>
      </c>
      <c r="AK1725">
        <v>0</v>
      </c>
      <c r="AL1725">
        <v>0</v>
      </c>
      <c r="AM1725">
        <v>0</v>
      </c>
      <c r="AN1725">
        <v>2</v>
      </c>
      <c r="AO1725">
        <v>2</v>
      </c>
      <c r="AP1725">
        <v>0</v>
      </c>
      <c r="AQ1725">
        <v>0</v>
      </c>
      <c r="AR1725">
        <v>0</v>
      </c>
      <c r="AS1725">
        <v>0</v>
      </c>
      <c r="AT1725">
        <v>0</v>
      </c>
      <c r="AU1725">
        <v>0</v>
      </c>
      <c r="AV1725">
        <v>0</v>
      </c>
      <c r="AW1725">
        <v>0</v>
      </c>
      <c r="AX1725" s="141">
        <f t="shared" si="2282"/>
        <v>4</v>
      </c>
      <c r="AY1725" s="141">
        <f t="shared" si="2283"/>
        <v>2</v>
      </c>
      <c r="AZ1725">
        <f t="shared" si="2284"/>
        <v>1</v>
      </c>
      <c r="BA1725">
        <f t="shared" si="2285"/>
        <v>1</v>
      </c>
      <c r="BB1725">
        <f t="shared" si="2286"/>
        <v>0</v>
      </c>
      <c r="BC1725">
        <f t="shared" si="2287"/>
        <v>0</v>
      </c>
      <c r="BD1725">
        <f t="shared" si="2288"/>
        <v>2</v>
      </c>
      <c r="BE1725" t="str">
        <f t="array" ref="BE1725">IF(AY1725=1,INDEX($V$7:$AL$7,MATCH(TRUE,INDEX($V1725:$AW1725&lt;&gt;0,),0)),IF(AY1725=0,INDEX($AM$7:$AW$7,MATCH(1,$AM1725:$AW1725,0)),IF(BF1725="Multiple strategies","mixed drivers",IF(BF1725="Supply chain","multiple supply","multiple silviculture"))))</f>
        <v>mixed drivers</v>
      </c>
      <c r="BF1725" s="2" t="str" cm="1">
        <f t="array" ref="BF1725">IF(COUNTIF(AZ1725:BB1725,"&lt;&gt;0")=1,INDEX($V$4:$AW$4,MATCH(TRUE,INDEX($V1725:$AW1725&lt;&gt;0,),0)),IF(COUNTIF(AZ1725:BB1725,"&lt;&gt;0")=0,INDEX($AM$4:$AW$4,MATCH(1,$AM1725:$AW1725,0)),"Multiple strategies"))</f>
        <v>Multiple strategies</v>
      </c>
      <c r="BM1725" s="143"/>
      <c r="BN1725" s="143"/>
      <c r="BP1725" s="143" t="s">
        <v>232</v>
      </c>
      <c r="BQ1725" s="143"/>
      <c r="BR1725" t="s">
        <v>1194</v>
      </c>
      <c r="BS1725">
        <v>12985.218603352034</v>
      </c>
      <c r="BT1725">
        <v>-104293.97798882655</v>
      </c>
      <c r="BU1725" s="144">
        <f t="shared" si="2289"/>
        <v>-8.0317460317459624</v>
      </c>
      <c r="BV1725" s="144">
        <f t="shared" si="2290"/>
        <v>-117279.19659217857</v>
      </c>
      <c r="BW1725" s="144"/>
      <c r="BX1725" s="144">
        <f t="shared" si="2291"/>
        <v>-117279.19659217857</v>
      </c>
      <c r="BY1725" t="str">
        <f t="shared" si="2279"/>
        <v/>
      </c>
      <c r="BZ1725">
        <v>0</v>
      </c>
      <c r="CA1725">
        <v>0</v>
      </c>
      <c r="CB1725">
        <v>0</v>
      </c>
      <c r="CC1725">
        <v>0</v>
      </c>
      <c r="CD1725">
        <v>0</v>
      </c>
      <c r="CE1725">
        <v>0</v>
      </c>
      <c r="CF1725">
        <v>0</v>
      </c>
      <c r="CG1725">
        <v>0</v>
      </c>
      <c r="CH1725">
        <v>0</v>
      </c>
      <c r="CI1725">
        <v>0</v>
      </c>
      <c r="CJ1725">
        <v>0</v>
      </c>
      <c r="CK1725">
        <v>0</v>
      </c>
      <c r="CL1725">
        <v>0</v>
      </c>
      <c r="CM1725">
        <v>1</v>
      </c>
      <c r="CN1725" t="str">
        <f t="shared" si="2281"/>
        <v>refOK</v>
      </c>
      <c r="CO1725"/>
      <c r="CP1725"/>
      <c r="CQ1725"/>
      <c r="CR1725">
        <f t="shared" si="2292"/>
        <v>12985.218603352034</v>
      </c>
      <c r="CS1725">
        <f t="shared" si="2293"/>
        <v>-104293.97798882655</v>
      </c>
      <c r="CT1725">
        <f t="shared" si="2294"/>
        <v>-117279.19659217857</v>
      </c>
      <c r="CU1725" t="str">
        <f t="shared" si="2295"/>
        <v/>
      </c>
      <c r="CV1725" s="2">
        <f t="shared" si="2296"/>
        <v>-9.0317460317459624</v>
      </c>
      <c r="CW1725" s="1" t="s">
        <v>1198</v>
      </c>
      <c r="CX1725" t="str">
        <f t="shared" si="2297"/>
        <v>reg</v>
      </c>
      <c r="CY1725" t="s">
        <v>235</v>
      </c>
      <c r="CZ1725">
        <v>2010</v>
      </c>
      <c r="DA1725">
        <v>2070</v>
      </c>
      <c r="DB1725">
        <f t="shared" si="2298"/>
        <v>60</v>
      </c>
      <c r="DC1725" t="str">
        <f t="shared" si="2299"/>
        <v>31-70</v>
      </c>
      <c r="DD1725">
        <v>1</v>
      </c>
      <c r="DE1725">
        <v>1</v>
      </c>
      <c r="DF1725">
        <v>1</v>
      </c>
      <c r="DG1725">
        <v>1</v>
      </c>
      <c r="DH1725">
        <v>0</v>
      </c>
      <c r="DI1725">
        <f t="shared" si="2300"/>
        <v>4</v>
      </c>
      <c r="DJ1725" t="str">
        <f t="shared" si="2301"/>
        <v>mixedProduct</v>
      </c>
      <c r="DK1725" t="str">
        <f t="shared" si="2302"/>
        <v>Upstream</v>
      </c>
      <c r="DL1725" t="str">
        <f t="shared" si="2303"/>
        <v>Energy</v>
      </c>
      <c r="DM1725" t="str">
        <f t="shared" si="2304"/>
        <v>Pulp/Paper</v>
      </c>
      <c r="DN1725" t="str">
        <f t="shared" si="2305"/>
        <v>Timber</v>
      </c>
      <c r="DO1725">
        <v>0</v>
      </c>
      <c r="DP1725">
        <v>0</v>
      </c>
      <c r="DQ1725">
        <v>0</v>
      </c>
      <c r="DR1725">
        <v>0</v>
      </c>
      <c r="DS1725">
        <v>0</v>
      </c>
      <c r="DT1725">
        <f t="shared" si="2306"/>
        <v>0</v>
      </c>
      <c r="DU1725" s="143" t="str">
        <f t="shared" si="2307"/>
        <v>explicit C balance</v>
      </c>
      <c r="DV1725">
        <v>1</v>
      </c>
      <c r="DW1725">
        <v>1</v>
      </c>
      <c r="DX1725">
        <v>1</v>
      </c>
      <c r="DY1725">
        <v>0</v>
      </c>
      <c r="DZ1725">
        <v>0</v>
      </c>
      <c r="EA1725" s="143">
        <v>0</v>
      </c>
      <c r="EB1725">
        <v>1</v>
      </c>
      <c r="EC1725">
        <v>1</v>
      </c>
      <c r="ED1725">
        <v>0</v>
      </c>
      <c r="EE1725">
        <v>0</v>
      </c>
      <c r="EF1725">
        <v>1</v>
      </c>
      <c r="EG1725">
        <v>0</v>
      </c>
      <c r="EH1725">
        <v>0</v>
      </c>
      <c r="EI1725" s="2">
        <v>0</v>
      </c>
      <c r="EK1725" t="str">
        <f t="shared" si="2308"/>
        <v>Whole sector</v>
      </c>
      <c r="EL1725" t="str">
        <f t="shared" si="2309"/>
        <v/>
      </c>
      <c r="EM1725" s="2" t="str">
        <f t="shared" si="2280"/>
        <v/>
      </c>
      <c r="EN1725" t="s">
        <v>2507</v>
      </c>
      <c r="EP1725" t="b">
        <f>IF(ISNUMBER(BU1725),IF(ABS(BU1725-[3]QC_indicators!$B$2)&gt;3*[3]QC_indicators!$C$2,"C ratio",IF(ISNUMBER(BY1725),IF(ABS(BY1725-[3]QC_indicators!$B$1)&gt;3*[3]QC_indicators!$C$1,"DF","no"))),IF(ISNUMBER(BY1725),IF(ABS(BY1725-[3]QC_indicators!$B$1)&gt;3*[3]QC_indicators!$C$1,"DF","no")))</f>
        <v>0</v>
      </c>
      <c r="ET1725" s="264" t="s">
        <v>3272</v>
      </c>
    </row>
    <row r="1726" spans="1:150" hidden="1">
      <c r="A1726" s="1" t="s">
        <v>1422</v>
      </c>
      <c r="B1726" t="s">
        <v>2489</v>
      </c>
      <c r="C1726" t="s">
        <v>2490</v>
      </c>
      <c r="D1726" t="s">
        <v>2491</v>
      </c>
      <c r="E1726" t="s">
        <v>2492</v>
      </c>
      <c r="F1726" t="s">
        <v>2493</v>
      </c>
      <c r="G1726" t="s">
        <v>1428</v>
      </c>
      <c r="H1726" t="s">
        <v>254</v>
      </c>
      <c r="I1726">
        <v>2016</v>
      </c>
      <c r="J1726">
        <v>24</v>
      </c>
      <c r="K1726" t="s">
        <v>2494</v>
      </c>
      <c r="M1726" t="str">
        <f t="shared" si="2193"/>
        <v>Zubizarreta-Gerendiain_2016</v>
      </c>
      <c r="N1726" t="s">
        <v>222</v>
      </c>
      <c r="O1726" s="145" t="s">
        <v>1153</v>
      </c>
      <c r="Q1726" t="s">
        <v>256</v>
      </c>
      <c r="R1726" s="262" t="s">
        <v>223</v>
      </c>
      <c r="S1726" s="1" t="s">
        <v>2495</v>
      </c>
      <c r="T1726" t="s">
        <v>2516</v>
      </c>
      <c r="U1726" t="s">
        <v>2514</v>
      </c>
      <c r="V1726">
        <v>0</v>
      </c>
      <c r="W1726">
        <v>0</v>
      </c>
      <c r="X1726">
        <v>0</v>
      </c>
      <c r="Y1726">
        <v>2</v>
      </c>
      <c r="Z1726">
        <v>0</v>
      </c>
      <c r="AA1726">
        <v>0</v>
      </c>
      <c r="AB1726">
        <v>0</v>
      </c>
      <c r="AC1726">
        <v>0</v>
      </c>
      <c r="AD1726">
        <v>0</v>
      </c>
      <c r="AE1726">
        <v>0</v>
      </c>
      <c r="AF1726">
        <v>1</v>
      </c>
      <c r="AG1726">
        <v>0</v>
      </c>
      <c r="AH1726">
        <v>0</v>
      </c>
      <c r="AI1726">
        <v>0</v>
      </c>
      <c r="AJ1726">
        <v>0</v>
      </c>
      <c r="AK1726">
        <v>0</v>
      </c>
      <c r="AL1726">
        <v>0</v>
      </c>
      <c r="AM1726">
        <v>0</v>
      </c>
      <c r="AN1726">
        <v>2</v>
      </c>
      <c r="AO1726">
        <v>2</v>
      </c>
      <c r="AP1726">
        <v>0</v>
      </c>
      <c r="AQ1726">
        <v>0</v>
      </c>
      <c r="AR1726">
        <v>0</v>
      </c>
      <c r="AS1726">
        <v>0</v>
      </c>
      <c r="AT1726">
        <v>0</v>
      </c>
      <c r="AU1726">
        <v>0</v>
      </c>
      <c r="AV1726">
        <v>0</v>
      </c>
      <c r="AW1726">
        <v>0</v>
      </c>
      <c r="AX1726" s="141">
        <f t="shared" si="2282"/>
        <v>4</v>
      </c>
      <c r="AY1726" s="141">
        <f t="shared" si="2283"/>
        <v>2</v>
      </c>
      <c r="AZ1726">
        <f t="shared" si="2284"/>
        <v>1</v>
      </c>
      <c r="BA1726">
        <f t="shared" si="2285"/>
        <v>1</v>
      </c>
      <c r="BB1726">
        <f t="shared" si="2286"/>
        <v>0</v>
      </c>
      <c r="BC1726">
        <f t="shared" si="2287"/>
        <v>0</v>
      </c>
      <c r="BD1726">
        <f t="shared" si="2288"/>
        <v>2</v>
      </c>
      <c r="BE1726" t="str">
        <f t="array" ref="BE1726">IF(AY1726=1,INDEX($V$7:$AL$7,MATCH(TRUE,INDEX($V1726:$AW1726&lt;&gt;0,),0)),IF(AY1726=0,INDEX($AM$7:$AW$7,MATCH(1,$AM1726:$AW1726,0)),IF(BF1726="Multiple strategies","mixed drivers",IF(BF1726="Supply chain","multiple supply","multiple silviculture"))))</f>
        <v>mixed drivers</v>
      </c>
      <c r="BF1726" s="2" t="str" cm="1">
        <f t="array" ref="BF1726">IF(COUNTIF(AZ1726:BB1726,"&lt;&gt;0")=1,INDEX($V$4:$AW$4,MATCH(TRUE,INDEX($V1726:$AW1726&lt;&gt;0,),0)),IF(COUNTIF(AZ1726:BB1726,"&lt;&gt;0")=0,INDEX($AM$4:$AW$4,MATCH(1,$AM1726:$AW1726,0)),"Multiple strategies"))</f>
        <v>Multiple strategies</v>
      </c>
      <c r="BM1726" s="143"/>
      <c r="BN1726" s="143"/>
      <c r="BP1726" s="143" t="s">
        <v>232</v>
      </c>
      <c r="BQ1726" s="143"/>
      <c r="BR1726" t="s">
        <v>1194</v>
      </c>
      <c r="BS1726">
        <v>36825.805139664684</v>
      </c>
      <c r="BT1726">
        <v>-14015.791508379843</v>
      </c>
      <c r="BU1726" s="144">
        <f t="shared" si="2289"/>
        <v>-0.38059701492537318</v>
      </c>
      <c r="BV1726" s="144">
        <f t="shared" si="2290"/>
        <v>-50841.596648044528</v>
      </c>
      <c r="BW1726" s="144"/>
      <c r="BX1726" s="144">
        <f t="shared" si="2291"/>
        <v>-50841.596648044528</v>
      </c>
      <c r="BY1726" t="str">
        <f t="shared" si="2279"/>
        <v/>
      </c>
      <c r="BZ1726">
        <v>0</v>
      </c>
      <c r="CA1726">
        <v>0</v>
      </c>
      <c r="CB1726">
        <v>0</v>
      </c>
      <c r="CC1726">
        <v>0</v>
      </c>
      <c r="CD1726">
        <v>0</v>
      </c>
      <c r="CE1726">
        <v>0</v>
      </c>
      <c r="CF1726">
        <v>0</v>
      </c>
      <c r="CG1726">
        <v>0</v>
      </c>
      <c r="CH1726">
        <v>0</v>
      </c>
      <c r="CI1726">
        <v>0</v>
      </c>
      <c r="CJ1726">
        <v>0</v>
      </c>
      <c r="CK1726">
        <v>0</v>
      </c>
      <c r="CL1726">
        <v>0</v>
      </c>
      <c r="CM1726">
        <v>1</v>
      </c>
      <c r="CN1726" t="str">
        <f t="shared" si="2281"/>
        <v>refOK</v>
      </c>
      <c r="CO1726"/>
      <c r="CP1726"/>
      <c r="CQ1726"/>
      <c r="CR1726">
        <f t="shared" si="2292"/>
        <v>36825.805139664684</v>
      </c>
      <c r="CS1726">
        <f t="shared" si="2293"/>
        <v>-14015.791508379843</v>
      </c>
      <c r="CT1726">
        <f t="shared" si="2294"/>
        <v>-50841.596648044528</v>
      </c>
      <c r="CU1726" t="str">
        <f t="shared" si="2295"/>
        <v/>
      </c>
      <c r="CV1726" s="2">
        <f t="shared" si="2296"/>
        <v>-1.3805970149253732</v>
      </c>
      <c r="CW1726" s="1" t="s">
        <v>1198</v>
      </c>
      <c r="CX1726" t="str">
        <f t="shared" si="2297"/>
        <v>reg</v>
      </c>
      <c r="CY1726" t="s">
        <v>235</v>
      </c>
      <c r="CZ1726">
        <v>2010</v>
      </c>
      <c r="DA1726">
        <v>2070</v>
      </c>
      <c r="DB1726">
        <f t="shared" si="2298"/>
        <v>60</v>
      </c>
      <c r="DC1726" t="str">
        <f t="shared" si="2299"/>
        <v>31-70</v>
      </c>
      <c r="DD1726">
        <v>1</v>
      </c>
      <c r="DE1726">
        <v>1</v>
      </c>
      <c r="DF1726">
        <v>1</v>
      </c>
      <c r="DG1726">
        <v>1</v>
      </c>
      <c r="DH1726">
        <v>0</v>
      </c>
      <c r="DI1726">
        <f t="shared" si="2300"/>
        <v>4</v>
      </c>
      <c r="DJ1726" t="str">
        <f t="shared" si="2301"/>
        <v>mixedProduct</v>
      </c>
      <c r="DK1726" t="str">
        <f t="shared" si="2302"/>
        <v>Upstream</v>
      </c>
      <c r="DL1726" t="str">
        <f t="shared" si="2303"/>
        <v>Energy</v>
      </c>
      <c r="DM1726" t="str">
        <f t="shared" si="2304"/>
        <v>Pulp/Paper</v>
      </c>
      <c r="DN1726" t="str">
        <f t="shared" si="2305"/>
        <v>Timber</v>
      </c>
      <c r="DO1726">
        <v>0</v>
      </c>
      <c r="DP1726">
        <v>1</v>
      </c>
      <c r="DQ1726" t="s">
        <v>2523</v>
      </c>
      <c r="DR1726" t="s">
        <v>2524</v>
      </c>
      <c r="DS1726">
        <v>0</v>
      </c>
      <c r="DT1726">
        <f t="shared" si="2306"/>
        <v>1</v>
      </c>
      <c r="DU1726" s="143" t="str">
        <f t="shared" si="2307"/>
        <v>external DF used</v>
      </c>
      <c r="DV1726">
        <v>1</v>
      </c>
      <c r="DW1726">
        <v>1</v>
      </c>
      <c r="DX1726">
        <v>1</v>
      </c>
      <c r="DY1726">
        <v>1</v>
      </c>
      <c r="DZ1726">
        <v>0</v>
      </c>
      <c r="EA1726" s="143">
        <v>0</v>
      </c>
      <c r="EB1726">
        <v>1</v>
      </c>
      <c r="EC1726">
        <v>1</v>
      </c>
      <c r="ED1726">
        <v>0</v>
      </c>
      <c r="EE1726">
        <v>0</v>
      </c>
      <c r="EF1726">
        <v>1</v>
      </c>
      <c r="EG1726">
        <v>0</v>
      </c>
      <c r="EH1726">
        <v>0</v>
      </c>
      <c r="EI1726" s="2">
        <v>0</v>
      </c>
      <c r="EK1726" t="str">
        <f t="shared" si="2308"/>
        <v>Whole sector</v>
      </c>
      <c r="EL1726" t="str">
        <f t="shared" si="2309"/>
        <v/>
      </c>
      <c r="EM1726" s="2" t="str">
        <f t="shared" si="2280"/>
        <v/>
      </c>
      <c r="EP1726" t="b">
        <f>IF(ISNUMBER(BU1726),IF(ABS(BU1726-[3]QC_indicators!$B$2)&gt;3*[3]QC_indicators!$C$2,"C ratio",IF(ISNUMBER(BY1726),IF(ABS(BY1726-[3]QC_indicators!$B$1)&gt;3*[3]QC_indicators!$C$1,"DF","no"))),IF(ISNUMBER(BY1726),IF(ABS(BY1726-[3]QC_indicators!$B$1)&gt;3*[3]QC_indicators!$C$1,"DF","no")))</f>
        <v>0</v>
      </c>
      <c r="ET1726" s="264" t="s">
        <v>3272</v>
      </c>
    </row>
    <row r="1727" spans="1:150" hidden="1">
      <c r="A1727" s="1" t="s">
        <v>1422</v>
      </c>
      <c r="B1727" t="s">
        <v>2489</v>
      </c>
      <c r="C1727" t="s">
        <v>2490</v>
      </c>
      <c r="D1727" t="s">
        <v>2491</v>
      </c>
      <c r="E1727" t="s">
        <v>2492</v>
      </c>
      <c r="F1727" t="s">
        <v>2493</v>
      </c>
      <c r="G1727" t="s">
        <v>1428</v>
      </c>
      <c r="H1727" t="s">
        <v>254</v>
      </c>
      <c r="I1727">
        <v>2016</v>
      </c>
      <c r="J1727">
        <v>24</v>
      </c>
      <c r="K1727" t="s">
        <v>2494</v>
      </c>
      <c r="M1727" t="str">
        <f t="shared" si="2193"/>
        <v>Zubizarreta-Gerendiain_2016</v>
      </c>
      <c r="N1727" t="s">
        <v>222</v>
      </c>
      <c r="O1727" s="145" t="s">
        <v>1153</v>
      </c>
      <c r="Q1727" t="s">
        <v>256</v>
      </c>
      <c r="R1727" s="262" t="s">
        <v>223</v>
      </c>
      <c r="S1727" s="1" t="s">
        <v>2495</v>
      </c>
      <c r="T1727" t="s">
        <v>2516</v>
      </c>
      <c r="U1727" t="s">
        <v>2514</v>
      </c>
      <c r="V1727">
        <v>0</v>
      </c>
      <c r="W1727">
        <v>0</v>
      </c>
      <c r="X1727">
        <v>0</v>
      </c>
      <c r="Y1727">
        <v>2</v>
      </c>
      <c r="Z1727">
        <v>0</v>
      </c>
      <c r="AA1727">
        <v>0</v>
      </c>
      <c r="AB1727">
        <v>0</v>
      </c>
      <c r="AC1727">
        <v>0</v>
      </c>
      <c r="AD1727">
        <v>0</v>
      </c>
      <c r="AE1727">
        <v>0</v>
      </c>
      <c r="AF1727">
        <v>1</v>
      </c>
      <c r="AG1727">
        <v>0</v>
      </c>
      <c r="AH1727">
        <v>0</v>
      </c>
      <c r="AI1727">
        <v>0</v>
      </c>
      <c r="AJ1727">
        <v>0</v>
      </c>
      <c r="AK1727">
        <v>0</v>
      </c>
      <c r="AL1727">
        <v>0</v>
      </c>
      <c r="AM1727">
        <v>0</v>
      </c>
      <c r="AN1727">
        <v>2</v>
      </c>
      <c r="AO1727">
        <v>2</v>
      </c>
      <c r="AP1727">
        <v>0</v>
      </c>
      <c r="AQ1727">
        <v>0</v>
      </c>
      <c r="AR1727">
        <v>0</v>
      </c>
      <c r="AS1727">
        <v>0</v>
      </c>
      <c r="AT1727">
        <v>0</v>
      </c>
      <c r="AU1727">
        <v>0</v>
      </c>
      <c r="AV1727">
        <v>0</v>
      </c>
      <c r="AW1727">
        <v>0</v>
      </c>
      <c r="AX1727" s="141">
        <f t="shared" si="2282"/>
        <v>4</v>
      </c>
      <c r="AY1727" s="141">
        <f t="shared" si="2283"/>
        <v>2</v>
      </c>
      <c r="AZ1727">
        <f t="shared" si="2284"/>
        <v>1</v>
      </c>
      <c r="BA1727">
        <f t="shared" si="2285"/>
        <v>1</v>
      </c>
      <c r="BB1727">
        <f t="shared" si="2286"/>
        <v>0</v>
      </c>
      <c r="BC1727">
        <f t="shared" si="2287"/>
        <v>0</v>
      </c>
      <c r="BD1727">
        <f t="shared" si="2288"/>
        <v>2</v>
      </c>
      <c r="BE1727" t="str">
        <f t="array" ref="BE1727">IF(AY1727=1,INDEX($V$7:$AL$7,MATCH(TRUE,INDEX($V1727:$AW1727&lt;&gt;0,),0)),IF(AY1727=0,INDEX($AM$7:$AW$7,MATCH(1,$AM1727:$AW1727,0)),IF(BF1727="Multiple strategies","mixed drivers",IF(BF1727="Supply chain","multiple supply","multiple silviculture"))))</f>
        <v>mixed drivers</v>
      </c>
      <c r="BF1727" s="2" t="str" cm="1">
        <f t="array" ref="BF1727">IF(COUNTIF(AZ1727:BB1727,"&lt;&gt;0")=1,INDEX($V$4:$AW$4,MATCH(TRUE,INDEX($V1727:$AW1727&lt;&gt;0,),0)),IF(COUNTIF(AZ1727:BB1727,"&lt;&gt;0")=0,INDEX($AM$4:$AW$4,MATCH(1,$AM1727:$AW1727,0)),"Multiple strategies"))</f>
        <v>Multiple strategies</v>
      </c>
      <c r="BM1727" s="143"/>
      <c r="BN1727" s="143"/>
      <c r="BP1727" s="143" t="s">
        <v>232</v>
      </c>
      <c r="BQ1727" s="143"/>
      <c r="BR1727" t="s">
        <v>1194</v>
      </c>
      <c r="BS1727">
        <v>-38337.312067038984</v>
      </c>
      <c r="BT1727">
        <v>-104293.97798882655</v>
      </c>
      <c r="BU1727" s="144">
        <f t="shared" si="2289"/>
        <v>2.7204301075268833</v>
      </c>
      <c r="BV1727" s="144">
        <f t="shared" si="2290"/>
        <v>-65956.665921787557</v>
      </c>
      <c r="BW1727" s="144"/>
      <c r="BX1727" s="144">
        <f t="shared" si="2291"/>
        <v>-65956.665921787557</v>
      </c>
      <c r="BY1727" t="str">
        <f t="shared" si="2279"/>
        <v/>
      </c>
      <c r="BZ1727">
        <v>0</v>
      </c>
      <c r="CA1727">
        <v>0</v>
      </c>
      <c r="CB1727">
        <v>0</v>
      </c>
      <c r="CC1727">
        <v>0</v>
      </c>
      <c r="CD1727">
        <v>0</v>
      </c>
      <c r="CE1727">
        <v>0</v>
      </c>
      <c r="CF1727">
        <v>0</v>
      </c>
      <c r="CG1727">
        <v>0</v>
      </c>
      <c r="CH1727">
        <v>0</v>
      </c>
      <c r="CI1727">
        <v>0</v>
      </c>
      <c r="CJ1727">
        <v>0</v>
      </c>
      <c r="CK1727">
        <v>0</v>
      </c>
      <c r="CL1727">
        <v>0</v>
      </c>
      <c r="CM1727">
        <v>1</v>
      </c>
      <c r="CN1727" t="str">
        <f t="shared" si="2281"/>
        <v>refOK</v>
      </c>
      <c r="CO1727"/>
      <c r="CP1727"/>
      <c r="CQ1727"/>
      <c r="CR1727">
        <f t="shared" si="2292"/>
        <v>-38337.312067038984</v>
      </c>
      <c r="CS1727">
        <f t="shared" si="2293"/>
        <v>-104293.97798882655</v>
      </c>
      <c r="CT1727">
        <f t="shared" si="2294"/>
        <v>-65956.665921787557</v>
      </c>
      <c r="CU1727" t="str">
        <f t="shared" si="2295"/>
        <v/>
      </c>
      <c r="CV1727" s="2">
        <f t="shared" si="2296"/>
        <v>-1.7204301075268833</v>
      </c>
      <c r="CW1727" s="1" t="s">
        <v>1198</v>
      </c>
      <c r="CX1727" t="str">
        <f t="shared" si="2297"/>
        <v>reg</v>
      </c>
      <c r="CY1727" t="s">
        <v>235</v>
      </c>
      <c r="CZ1727">
        <v>2010</v>
      </c>
      <c r="DA1727">
        <v>2070</v>
      </c>
      <c r="DB1727">
        <f t="shared" si="2298"/>
        <v>60</v>
      </c>
      <c r="DC1727" t="str">
        <f t="shared" si="2299"/>
        <v>31-70</v>
      </c>
      <c r="DD1727">
        <v>1</v>
      </c>
      <c r="DE1727">
        <v>1</v>
      </c>
      <c r="DF1727">
        <v>1</v>
      </c>
      <c r="DG1727">
        <v>1</v>
      </c>
      <c r="DH1727">
        <v>0</v>
      </c>
      <c r="DI1727">
        <f t="shared" si="2300"/>
        <v>4</v>
      </c>
      <c r="DJ1727" t="str">
        <f t="shared" si="2301"/>
        <v>mixedProduct</v>
      </c>
      <c r="DK1727" t="str">
        <f t="shared" si="2302"/>
        <v>Upstream</v>
      </c>
      <c r="DL1727" t="str">
        <f t="shared" si="2303"/>
        <v>Energy</v>
      </c>
      <c r="DM1727" t="str">
        <f t="shared" si="2304"/>
        <v>Pulp/Paper</v>
      </c>
      <c r="DN1727" t="str">
        <f t="shared" si="2305"/>
        <v>Timber</v>
      </c>
      <c r="DO1727">
        <v>0</v>
      </c>
      <c r="DP1727">
        <v>0</v>
      </c>
      <c r="DQ1727">
        <v>0</v>
      </c>
      <c r="DR1727">
        <v>0</v>
      </c>
      <c r="DS1727">
        <v>0</v>
      </c>
      <c r="DT1727">
        <f t="shared" si="2306"/>
        <v>0</v>
      </c>
      <c r="DU1727" s="143" t="str">
        <f t="shared" si="2307"/>
        <v>explicit C balance</v>
      </c>
      <c r="DV1727">
        <v>1</v>
      </c>
      <c r="DW1727">
        <v>1</v>
      </c>
      <c r="DX1727">
        <v>1</v>
      </c>
      <c r="DY1727">
        <v>0</v>
      </c>
      <c r="DZ1727">
        <v>0</v>
      </c>
      <c r="EA1727" s="143">
        <v>0</v>
      </c>
      <c r="EB1727">
        <v>1</v>
      </c>
      <c r="EC1727">
        <v>1</v>
      </c>
      <c r="ED1727">
        <v>0</v>
      </c>
      <c r="EE1727">
        <v>0</v>
      </c>
      <c r="EF1727">
        <v>1</v>
      </c>
      <c r="EG1727">
        <v>0</v>
      </c>
      <c r="EH1727">
        <v>0</v>
      </c>
      <c r="EI1727" s="2">
        <v>0</v>
      </c>
      <c r="EK1727" t="str">
        <f t="shared" si="2308"/>
        <v>Whole sector</v>
      </c>
      <c r="EL1727" t="str">
        <f t="shared" si="2309"/>
        <v/>
      </c>
      <c r="EM1727" s="2" t="str">
        <f t="shared" si="2280"/>
        <v/>
      </c>
      <c r="EP1727" t="b">
        <f>IF(ISNUMBER(BU1727),IF(ABS(BU1727-[3]QC_indicators!$B$2)&gt;3*[3]QC_indicators!$C$2,"C ratio",IF(ISNUMBER(BY1727),IF(ABS(BY1727-[3]QC_indicators!$B$1)&gt;3*[3]QC_indicators!$C$1,"DF","no"))),IF(ISNUMBER(BY1727),IF(ABS(BY1727-[3]QC_indicators!$B$1)&gt;3*[3]QC_indicators!$C$1,"DF","no")))</f>
        <v>0</v>
      </c>
      <c r="ET1727" s="264" t="s">
        <v>3272</v>
      </c>
    </row>
    <row r="1728" spans="1:150" ht="15" hidden="1" customHeight="1">
      <c r="A1728" s="1" t="s">
        <v>1422</v>
      </c>
      <c r="B1728" t="s">
        <v>2489</v>
      </c>
      <c r="C1728" t="s">
        <v>2490</v>
      </c>
      <c r="D1728" t="s">
        <v>2491</v>
      </c>
      <c r="E1728" t="s">
        <v>2492</v>
      </c>
      <c r="F1728" t="s">
        <v>2493</v>
      </c>
      <c r="G1728" t="s">
        <v>1428</v>
      </c>
      <c r="H1728" t="s">
        <v>254</v>
      </c>
      <c r="I1728">
        <v>2016</v>
      </c>
      <c r="J1728">
        <v>24</v>
      </c>
      <c r="K1728" t="s">
        <v>2494</v>
      </c>
      <c r="M1728" t="str">
        <f t="shared" si="2193"/>
        <v>Zubizarreta-Gerendiain_2016</v>
      </c>
      <c r="N1728" t="s">
        <v>222</v>
      </c>
      <c r="O1728" s="145" t="s">
        <v>1153</v>
      </c>
      <c r="Q1728" t="s">
        <v>256</v>
      </c>
      <c r="R1728" s="262" t="s">
        <v>223</v>
      </c>
      <c r="S1728" s="1" t="s">
        <v>2495</v>
      </c>
      <c r="T1728" t="s">
        <v>2511</v>
      </c>
      <c r="U1728" t="s">
        <v>2510</v>
      </c>
      <c r="V1728">
        <v>0</v>
      </c>
      <c r="W1728">
        <v>0</v>
      </c>
      <c r="X1728">
        <v>0</v>
      </c>
      <c r="Y1728">
        <v>2</v>
      </c>
      <c r="Z1728">
        <v>0</v>
      </c>
      <c r="AA1728">
        <v>0</v>
      </c>
      <c r="AB1728">
        <v>0</v>
      </c>
      <c r="AC1728">
        <v>0</v>
      </c>
      <c r="AD1728">
        <v>0</v>
      </c>
      <c r="AE1728">
        <v>0</v>
      </c>
      <c r="AF1728">
        <v>1</v>
      </c>
      <c r="AG1728">
        <v>0</v>
      </c>
      <c r="AH1728">
        <v>0</v>
      </c>
      <c r="AI1728">
        <v>0</v>
      </c>
      <c r="AJ1728">
        <v>0</v>
      </c>
      <c r="AK1728">
        <v>0</v>
      </c>
      <c r="AL1728">
        <v>0</v>
      </c>
      <c r="AM1728">
        <v>0</v>
      </c>
      <c r="AN1728">
        <v>2</v>
      </c>
      <c r="AO1728">
        <v>2</v>
      </c>
      <c r="AP1728">
        <v>0</v>
      </c>
      <c r="AQ1728">
        <v>0</v>
      </c>
      <c r="AR1728">
        <v>0</v>
      </c>
      <c r="AS1728">
        <v>0</v>
      </c>
      <c r="AT1728">
        <v>0</v>
      </c>
      <c r="AU1728">
        <v>0</v>
      </c>
      <c r="AV1728">
        <v>0</v>
      </c>
      <c r="AW1728">
        <v>0</v>
      </c>
      <c r="AX1728" s="141">
        <f t="shared" si="2282"/>
        <v>4</v>
      </c>
      <c r="AY1728" s="141">
        <f t="shared" si="2283"/>
        <v>2</v>
      </c>
      <c r="AZ1728">
        <f t="shared" si="2284"/>
        <v>1</v>
      </c>
      <c r="BA1728">
        <f t="shared" si="2285"/>
        <v>1</v>
      </c>
      <c r="BB1728">
        <f t="shared" si="2286"/>
        <v>0</v>
      </c>
      <c r="BC1728">
        <f t="shared" si="2287"/>
        <v>0</v>
      </c>
      <c r="BD1728">
        <f t="shared" si="2288"/>
        <v>2</v>
      </c>
      <c r="BE1728" t="str">
        <f t="array" ref="BE1728">IF(AY1728=1,INDEX($V$7:$AL$7,MATCH(TRUE,INDEX($V1728:$AW1728&lt;&gt;0,),0)),IF(AY1728=0,INDEX($AM$7:$AW$7,MATCH(1,$AM1728:$AW1728,0)),IF(BF1728="Multiple strategies","mixed drivers",IF(BF1728="Supply chain","multiple supply","multiple silviculture"))))</f>
        <v>mixed drivers</v>
      </c>
      <c r="BF1728" s="2" t="str" cm="1">
        <f t="array" ref="BF1728">IF(COUNTIF(AZ1728:BB1728,"&lt;&gt;0")=1,INDEX($V$4:$AW$4,MATCH(TRUE,INDEX($V1728:$AW1728&lt;&gt;0,),0)),IF(COUNTIF(AZ1728:BB1728,"&lt;&gt;0")=0,INDEX($AM$4:$AW$4,MATCH(1,$AM1728:$AW1728,0)),"Multiple strategies"))</f>
        <v>Multiple strategies</v>
      </c>
      <c r="BM1728" s="143"/>
      <c r="BN1728" s="143"/>
      <c r="BP1728" s="143" t="s">
        <v>232</v>
      </c>
      <c r="BQ1728" s="143"/>
      <c r="BR1728" t="s">
        <v>1194</v>
      </c>
      <c r="BS1728">
        <v>96842.271565495292</v>
      </c>
      <c r="BT1728">
        <v>-3408.5271565495204</v>
      </c>
      <c r="BU1728" s="144">
        <f t="shared" si="2289"/>
        <v>-3.5196687370600381E-2</v>
      </c>
      <c r="BV1728" s="144">
        <f t="shared" si="2290"/>
        <v>-100250.79872204481</v>
      </c>
      <c r="BW1728" s="144"/>
      <c r="BX1728" s="144">
        <f t="shared" si="2291"/>
        <v>-100250.79872204481</v>
      </c>
      <c r="BY1728" t="str">
        <f t="shared" si="2279"/>
        <v/>
      </c>
      <c r="BZ1728">
        <v>0</v>
      </c>
      <c r="CA1728">
        <v>0</v>
      </c>
      <c r="CB1728">
        <v>0</v>
      </c>
      <c r="CC1728">
        <v>0</v>
      </c>
      <c r="CD1728">
        <v>0</v>
      </c>
      <c r="CE1728">
        <v>0</v>
      </c>
      <c r="CF1728">
        <v>0</v>
      </c>
      <c r="CG1728">
        <v>0</v>
      </c>
      <c r="CH1728">
        <v>0</v>
      </c>
      <c r="CI1728">
        <v>0</v>
      </c>
      <c r="CJ1728">
        <v>0</v>
      </c>
      <c r="CK1728">
        <v>0</v>
      </c>
      <c r="CL1728">
        <v>0</v>
      </c>
      <c r="CM1728">
        <v>1</v>
      </c>
      <c r="CN1728" t="str">
        <f t="shared" si="2281"/>
        <v>refOK</v>
      </c>
      <c r="CO1728"/>
      <c r="CP1728"/>
      <c r="CQ1728"/>
      <c r="CR1728">
        <f t="shared" si="2292"/>
        <v>96842.271565495292</v>
      </c>
      <c r="CS1728">
        <f t="shared" si="2293"/>
        <v>-3408.5271565495204</v>
      </c>
      <c r="CT1728">
        <f t="shared" si="2294"/>
        <v>-100250.79872204481</v>
      </c>
      <c r="CU1728" t="str">
        <f t="shared" si="2295"/>
        <v/>
      </c>
      <c r="CV1728" s="2">
        <f t="shared" si="2296"/>
        <v>-1.0351966873706004</v>
      </c>
      <c r="CW1728" s="1" t="s">
        <v>1198</v>
      </c>
      <c r="CX1728" t="str">
        <f t="shared" si="2297"/>
        <v>reg</v>
      </c>
      <c r="CY1728" t="s">
        <v>235</v>
      </c>
      <c r="CZ1728">
        <v>2010</v>
      </c>
      <c r="DA1728">
        <v>2070</v>
      </c>
      <c r="DB1728">
        <f t="shared" si="2298"/>
        <v>60</v>
      </c>
      <c r="DC1728" t="str">
        <f t="shared" si="2299"/>
        <v>31-70</v>
      </c>
      <c r="DD1728">
        <v>1</v>
      </c>
      <c r="DE1728">
        <v>0</v>
      </c>
      <c r="DF1728">
        <v>0</v>
      </c>
      <c r="DG1728">
        <v>0</v>
      </c>
      <c r="DH1728">
        <v>0</v>
      </c>
      <c r="DI1728">
        <f t="shared" si="2300"/>
        <v>1</v>
      </c>
      <c r="DJ1728" t="str">
        <f t="shared" si="2301"/>
        <v>UpstreamInput</v>
      </c>
      <c r="DK1728" t="str">
        <f t="shared" si="2302"/>
        <v>Upstream</v>
      </c>
      <c r="DL1728">
        <f t="shared" si="2303"/>
        <v>0</v>
      </c>
      <c r="DM1728">
        <f t="shared" si="2304"/>
        <v>0</v>
      </c>
      <c r="DN1728">
        <f t="shared" si="2305"/>
        <v>0</v>
      </c>
      <c r="DO1728">
        <v>0</v>
      </c>
      <c r="DP1728">
        <v>0</v>
      </c>
      <c r="DQ1728">
        <v>0</v>
      </c>
      <c r="DR1728">
        <v>0</v>
      </c>
      <c r="DS1728">
        <v>0</v>
      </c>
      <c r="DT1728">
        <f t="shared" si="2306"/>
        <v>0</v>
      </c>
      <c r="DU1728" s="143" t="str">
        <f t="shared" si="2307"/>
        <v>explicit C balance</v>
      </c>
      <c r="DV1728">
        <v>1</v>
      </c>
      <c r="DW1728">
        <v>1</v>
      </c>
      <c r="DX1728">
        <v>1</v>
      </c>
      <c r="DY1728">
        <v>1</v>
      </c>
      <c r="DZ1728">
        <v>0</v>
      </c>
      <c r="EA1728" s="143">
        <v>0</v>
      </c>
      <c r="EB1728">
        <v>0</v>
      </c>
      <c r="EC1728">
        <v>0</v>
      </c>
      <c r="ED1728">
        <v>0</v>
      </c>
      <c r="EE1728">
        <v>0</v>
      </c>
      <c r="EF1728">
        <v>1</v>
      </c>
      <c r="EG1728">
        <v>0</v>
      </c>
      <c r="EH1728">
        <v>0</v>
      </c>
      <c r="EI1728" s="2">
        <v>0</v>
      </c>
      <c r="EK1728" t="str">
        <f t="shared" si="2308"/>
        <v/>
      </c>
      <c r="EL1728" t="str">
        <f t="shared" si="2309"/>
        <v>Ecosystem approach</v>
      </c>
      <c r="EM1728" s="2" t="str">
        <f t="shared" si="2280"/>
        <v/>
      </c>
      <c r="EP1728" t="b">
        <f>IF(ISNUMBER(BU1728),IF(ABS(BU1728-[3]QC_indicators!$B$2)&gt;3*[3]QC_indicators!$C$2,"C ratio",IF(ISNUMBER(BY1728),IF(ABS(BY1728-[3]QC_indicators!$B$1)&gt;3*[3]QC_indicators!$C$1,"DF","no"))),IF(ISNUMBER(BY1728),IF(ABS(BY1728-[3]QC_indicators!$B$1)&gt;3*[3]QC_indicators!$C$1,"DF","no")))</f>
        <v>0</v>
      </c>
      <c r="ET1728" s="264" t="s">
        <v>3272</v>
      </c>
    </row>
    <row r="1729" spans="1:151" hidden="1">
      <c r="A1729" s="1" t="s">
        <v>1422</v>
      </c>
      <c r="B1729" t="s">
        <v>2489</v>
      </c>
      <c r="C1729" t="s">
        <v>2490</v>
      </c>
      <c r="D1729" t="s">
        <v>2491</v>
      </c>
      <c r="E1729" t="s">
        <v>2492</v>
      </c>
      <c r="F1729" t="s">
        <v>2493</v>
      </c>
      <c r="G1729" t="s">
        <v>1428</v>
      </c>
      <c r="H1729" t="s">
        <v>254</v>
      </c>
      <c r="I1729">
        <v>2016</v>
      </c>
      <c r="J1729">
        <v>24</v>
      </c>
      <c r="K1729" t="s">
        <v>2494</v>
      </c>
      <c r="M1729" t="str">
        <f t="shared" ref="M1729:M1792" si="2310">LEFT($D1729,FIND(",",$D1729)-1)&amp;"_"&amp;I1729&amp;L1729</f>
        <v>Zubizarreta-Gerendiain_2016</v>
      </c>
      <c r="N1729" t="s">
        <v>222</v>
      </c>
      <c r="O1729" s="145" t="s">
        <v>1153</v>
      </c>
      <c r="Q1729" t="s">
        <v>256</v>
      </c>
      <c r="R1729" s="262" t="s">
        <v>223</v>
      </c>
      <c r="S1729" s="1" t="s">
        <v>2505</v>
      </c>
      <c r="T1729" t="s">
        <v>2509</v>
      </c>
      <c r="U1729" t="s">
        <v>2510</v>
      </c>
      <c r="V1729">
        <v>0</v>
      </c>
      <c r="W1729">
        <v>0</v>
      </c>
      <c r="X1729">
        <v>0</v>
      </c>
      <c r="Y1729">
        <v>2</v>
      </c>
      <c r="Z1729">
        <v>0</v>
      </c>
      <c r="AA1729">
        <v>0</v>
      </c>
      <c r="AB1729">
        <v>0</v>
      </c>
      <c r="AC1729">
        <v>0</v>
      </c>
      <c r="AD1729">
        <v>0</v>
      </c>
      <c r="AE1729">
        <v>0</v>
      </c>
      <c r="AF1729">
        <v>1</v>
      </c>
      <c r="AG1729">
        <v>0</v>
      </c>
      <c r="AH1729">
        <v>0</v>
      </c>
      <c r="AI1729">
        <v>0</v>
      </c>
      <c r="AJ1729">
        <v>0</v>
      </c>
      <c r="AK1729">
        <v>0</v>
      </c>
      <c r="AL1729">
        <v>0</v>
      </c>
      <c r="AM1729">
        <v>0</v>
      </c>
      <c r="AN1729">
        <v>2</v>
      </c>
      <c r="AO1729">
        <v>2</v>
      </c>
      <c r="AP1729">
        <v>0</v>
      </c>
      <c r="AQ1729">
        <v>0</v>
      </c>
      <c r="AR1729">
        <v>0</v>
      </c>
      <c r="AS1729">
        <v>0</v>
      </c>
      <c r="AT1729">
        <v>0</v>
      </c>
      <c r="AU1729">
        <v>0</v>
      </c>
      <c r="AV1729">
        <v>0</v>
      </c>
      <c r="AW1729">
        <v>0</v>
      </c>
      <c r="AX1729" s="141">
        <f t="shared" si="2282"/>
        <v>4</v>
      </c>
      <c r="AY1729" s="141">
        <f t="shared" si="2283"/>
        <v>2</v>
      </c>
      <c r="AZ1729">
        <f t="shared" si="2284"/>
        <v>1</v>
      </c>
      <c r="BA1729">
        <f t="shared" si="2285"/>
        <v>1</v>
      </c>
      <c r="BB1729">
        <f t="shared" si="2286"/>
        <v>0</v>
      </c>
      <c r="BC1729">
        <f t="shared" si="2287"/>
        <v>0</v>
      </c>
      <c r="BD1729">
        <f t="shared" si="2288"/>
        <v>2</v>
      </c>
      <c r="BE1729" t="str">
        <f t="array" ref="BE1729">IF(AY1729=1,INDEX($V$7:$AL$7,MATCH(TRUE,INDEX($V1729:$AW1729&lt;&gt;0,),0)),IF(AY1729=0,INDEX($AM$7:$AW$7,MATCH(1,$AM1729:$AW1729,0)),IF(BF1729="Multiple strategies","mixed drivers",IF(BF1729="Supply chain","multiple supply","multiple silviculture"))))</f>
        <v>mixed drivers</v>
      </c>
      <c r="BF1729" s="2" t="str" cm="1">
        <f t="array" ref="BF1729">IF(COUNTIF(AZ1729:BB1729,"&lt;&gt;0")=1,INDEX($V$4:$AW$4,MATCH(TRUE,INDEX($V1729:$AW1729&lt;&gt;0,),0)),IF(COUNTIF(AZ1729:BB1729,"&lt;&gt;0")=0,INDEX($AM$4:$AW$4,MATCH(1,$AM1729:$AW1729,0)),"Multiple strategies"))</f>
        <v>Multiple strategies</v>
      </c>
      <c r="BM1729" s="143"/>
      <c r="BN1729" s="143"/>
      <c r="BP1729" s="143" t="s">
        <v>232</v>
      </c>
      <c r="BQ1729" s="143"/>
      <c r="BR1729" t="s">
        <v>1194</v>
      </c>
      <c r="BS1729">
        <v>121904.97124600642</v>
      </c>
      <c r="BT1729">
        <v>-3408.5271565495204</v>
      </c>
      <c r="BU1729" s="144">
        <f t="shared" si="2289"/>
        <v>-2.7960526315789463E-2</v>
      </c>
      <c r="BV1729" s="144">
        <f t="shared" si="2290"/>
        <v>-125313.49840255594</v>
      </c>
      <c r="BW1729" s="144"/>
      <c r="BX1729" s="144">
        <f t="shared" si="2291"/>
        <v>-125313.49840255594</v>
      </c>
      <c r="BY1729" t="str">
        <f t="shared" si="2279"/>
        <v/>
      </c>
      <c r="BZ1729">
        <v>0</v>
      </c>
      <c r="CA1729">
        <v>0</v>
      </c>
      <c r="CB1729">
        <v>0</v>
      </c>
      <c r="CC1729">
        <v>0</v>
      </c>
      <c r="CD1729">
        <v>0</v>
      </c>
      <c r="CE1729">
        <v>0</v>
      </c>
      <c r="CF1729">
        <v>0</v>
      </c>
      <c r="CG1729">
        <v>0</v>
      </c>
      <c r="CH1729">
        <v>0</v>
      </c>
      <c r="CI1729">
        <v>0</v>
      </c>
      <c r="CJ1729">
        <v>0</v>
      </c>
      <c r="CK1729">
        <v>0</v>
      </c>
      <c r="CL1729">
        <v>0</v>
      </c>
      <c r="CM1729">
        <v>1</v>
      </c>
      <c r="CN1729" t="str">
        <f t="shared" si="2281"/>
        <v>refOK</v>
      </c>
      <c r="CO1729"/>
      <c r="CP1729"/>
      <c r="CQ1729"/>
      <c r="CR1729">
        <f t="shared" si="2292"/>
        <v>121904.97124600642</v>
      </c>
      <c r="CS1729">
        <f t="shared" si="2293"/>
        <v>-3408.5271565495204</v>
      </c>
      <c r="CT1729">
        <f t="shared" si="2294"/>
        <v>-125313.49840255594</v>
      </c>
      <c r="CU1729" t="str">
        <f t="shared" si="2295"/>
        <v/>
      </c>
      <c r="CV1729" s="2">
        <f t="shared" si="2296"/>
        <v>-1.0279605263157894</v>
      </c>
      <c r="CW1729" s="1" t="s">
        <v>1198</v>
      </c>
      <c r="CX1729" t="str">
        <f t="shared" si="2297"/>
        <v>reg</v>
      </c>
      <c r="CY1729" t="s">
        <v>235</v>
      </c>
      <c r="CZ1729">
        <v>2010</v>
      </c>
      <c r="DA1729">
        <v>2070</v>
      </c>
      <c r="DB1729">
        <f t="shared" si="2298"/>
        <v>60</v>
      </c>
      <c r="DC1729" t="str">
        <f t="shared" si="2299"/>
        <v>31-70</v>
      </c>
      <c r="DD1729">
        <v>1</v>
      </c>
      <c r="DE1729">
        <v>0</v>
      </c>
      <c r="DF1729">
        <v>0</v>
      </c>
      <c r="DG1729">
        <v>0</v>
      </c>
      <c r="DH1729">
        <v>0</v>
      </c>
      <c r="DI1729">
        <f t="shared" si="2300"/>
        <v>1</v>
      </c>
      <c r="DJ1729" t="str">
        <f t="shared" si="2301"/>
        <v>UpstreamInput</v>
      </c>
      <c r="DK1729" t="str">
        <f t="shared" si="2302"/>
        <v>Upstream</v>
      </c>
      <c r="DL1729">
        <f t="shared" si="2303"/>
        <v>0</v>
      </c>
      <c r="DM1729">
        <f t="shared" si="2304"/>
        <v>0</v>
      </c>
      <c r="DN1729">
        <f t="shared" si="2305"/>
        <v>0</v>
      </c>
      <c r="DO1729">
        <v>0</v>
      </c>
      <c r="DP1729">
        <v>0</v>
      </c>
      <c r="DQ1729">
        <v>0</v>
      </c>
      <c r="DR1729">
        <v>0</v>
      </c>
      <c r="DS1729">
        <v>0</v>
      </c>
      <c r="DT1729">
        <f t="shared" si="2306"/>
        <v>0</v>
      </c>
      <c r="DU1729" s="143" t="str">
        <f t="shared" si="2307"/>
        <v>explicit C balance</v>
      </c>
      <c r="DV1729">
        <v>1</v>
      </c>
      <c r="DW1729">
        <v>1</v>
      </c>
      <c r="DX1729">
        <v>1</v>
      </c>
      <c r="DY1729">
        <v>1</v>
      </c>
      <c r="DZ1729">
        <v>0</v>
      </c>
      <c r="EA1729" s="143">
        <v>0</v>
      </c>
      <c r="EB1729">
        <v>0</v>
      </c>
      <c r="EC1729">
        <v>0</v>
      </c>
      <c r="ED1729">
        <v>0</v>
      </c>
      <c r="EE1729">
        <v>0</v>
      </c>
      <c r="EF1729">
        <v>1</v>
      </c>
      <c r="EG1729">
        <v>0</v>
      </c>
      <c r="EH1729">
        <v>0</v>
      </c>
      <c r="EI1729" s="2">
        <v>0</v>
      </c>
      <c r="EK1729" t="str">
        <f t="shared" si="2308"/>
        <v/>
      </c>
      <c r="EL1729" t="str">
        <f t="shared" si="2309"/>
        <v>Ecosystem approach</v>
      </c>
      <c r="EM1729" s="2" t="str">
        <f t="shared" si="2280"/>
        <v/>
      </c>
      <c r="EN1729" t="s">
        <v>2507</v>
      </c>
      <c r="EP1729" t="b">
        <f>IF(ISNUMBER(BU1729),IF(ABS(BU1729-[3]QC_indicators!$B$2)&gt;3*[3]QC_indicators!$C$2,"C ratio",IF(ISNUMBER(BY1729),IF(ABS(BY1729-[3]QC_indicators!$B$1)&gt;3*[3]QC_indicators!$C$1,"DF","no"))),IF(ISNUMBER(BY1729),IF(ABS(BY1729-[3]QC_indicators!$B$1)&gt;3*[3]QC_indicators!$C$1,"DF","no")))</f>
        <v>0</v>
      </c>
      <c r="ET1729" s="264" t="s">
        <v>3272</v>
      </c>
    </row>
    <row r="1730" spans="1:151" hidden="1">
      <c r="A1730" s="1" t="s">
        <v>1422</v>
      </c>
      <c r="B1730" t="s">
        <v>2489</v>
      </c>
      <c r="C1730" t="s">
        <v>2490</v>
      </c>
      <c r="D1730" t="s">
        <v>2491</v>
      </c>
      <c r="E1730" t="s">
        <v>2492</v>
      </c>
      <c r="F1730" t="s">
        <v>2493</v>
      </c>
      <c r="G1730" t="s">
        <v>1428</v>
      </c>
      <c r="H1730" t="s">
        <v>254</v>
      </c>
      <c r="I1730">
        <v>2016</v>
      </c>
      <c r="J1730">
        <v>24</v>
      </c>
      <c r="K1730" t="s">
        <v>2494</v>
      </c>
      <c r="M1730" t="str">
        <f t="shared" si="2310"/>
        <v>Zubizarreta-Gerendiain_2016</v>
      </c>
      <c r="N1730" t="s">
        <v>222</v>
      </c>
      <c r="O1730" s="145" t="s">
        <v>1153</v>
      </c>
      <c r="Q1730" t="s">
        <v>256</v>
      </c>
      <c r="R1730" s="262" t="s">
        <v>223</v>
      </c>
      <c r="S1730" s="1" t="s">
        <v>2495</v>
      </c>
      <c r="T1730" t="s">
        <v>2512</v>
      </c>
      <c r="U1730" t="s">
        <v>2510</v>
      </c>
      <c r="V1730">
        <v>0</v>
      </c>
      <c r="W1730">
        <v>0</v>
      </c>
      <c r="X1730">
        <v>0</v>
      </c>
      <c r="Y1730">
        <v>2</v>
      </c>
      <c r="Z1730">
        <v>0</v>
      </c>
      <c r="AA1730">
        <v>0</v>
      </c>
      <c r="AB1730">
        <v>0</v>
      </c>
      <c r="AC1730">
        <v>0</v>
      </c>
      <c r="AD1730">
        <v>0</v>
      </c>
      <c r="AE1730">
        <v>0</v>
      </c>
      <c r="AF1730">
        <v>1</v>
      </c>
      <c r="AG1730">
        <v>0</v>
      </c>
      <c r="AH1730">
        <v>0</v>
      </c>
      <c r="AI1730">
        <v>0</v>
      </c>
      <c r="AJ1730">
        <v>0</v>
      </c>
      <c r="AK1730">
        <v>0</v>
      </c>
      <c r="AL1730">
        <v>0</v>
      </c>
      <c r="AM1730">
        <v>0</v>
      </c>
      <c r="AN1730">
        <v>2</v>
      </c>
      <c r="AO1730">
        <v>2</v>
      </c>
      <c r="AP1730">
        <v>0</v>
      </c>
      <c r="AQ1730">
        <v>0</v>
      </c>
      <c r="AR1730">
        <v>0</v>
      </c>
      <c r="AS1730">
        <v>0</v>
      </c>
      <c r="AT1730">
        <v>0</v>
      </c>
      <c r="AU1730">
        <v>0</v>
      </c>
      <c r="AV1730">
        <v>0</v>
      </c>
      <c r="AW1730">
        <v>0</v>
      </c>
      <c r="AX1730" s="141">
        <f t="shared" si="2282"/>
        <v>4</v>
      </c>
      <c r="AY1730" s="141">
        <f t="shared" si="2283"/>
        <v>2</v>
      </c>
      <c r="AZ1730">
        <f t="shared" si="2284"/>
        <v>1</v>
      </c>
      <c r="BA1730">
        <f t="shared" si="2285"/>
        <v>1</v>
      </c>
      <c r="BB1730">
        <f t="shared" si="2286"/>
        <v>0</v>
      </c>
      <c r="BC1730">
        <f t="shared" si="2287"/>
        <v>0</v>
      </c>
      <c r="BD1730">
        <f t="shared" si="2288"/>
        <v>2</v>
      </c>
      <c r="BE1730" t="str">
        <f t="array" ref="BE1730">IF(AY1730=1,INDEX($V$7:$AL$7,MATCH(TRUE,INDEX($V1730:$AW1730&lt;&gt;0,),0)),IF(AY1730=0,INDEX($AM$7:$AW$7,MATCH(1,$AM1730:$AW1730,0)),IF(BF1730="Multiple strategies","mixed drivers",IF(BF1730="Supply chain","multiple supply","multiple silviculture"))))</f>
        <v>mixed drivers</v>
      </c>
      <c r="BF1730" s="2" t="str" cm="1">
        <f t="array" ref="BF1730">IF(COUNTIF(AZ1730:BB1730,"&lt;&gt;0")=1,INDEX($V$4:$AW$4,MATCH(TRUE,INDEX($V1730:$AW1730&lt;&gt;0,),0)),IF(COUNTIF(AZ1730:BB1730,"&lt;&gt;0")=0,INDEX($AM$4:$AW$4,MATCH(1,$AM1730:$AW1730,0)),"Multiple strategies"))</f>
        <v>Multiple strategies</v>
      </c>
      <c r="BM1730" s="143"/>
      <c r="BN1730" s="143"/>
      <c r="BP1730" s="143" t="s">
        <v>232</v>
      </c>
      <c r="BQ1730" s="143"/>
      <c r="BR1730" t="s">
        <v>1194</v>
      </c>
      <c r="BS1730">
        <v>65764.523961661384</v>
      </c>
      <c r="BT1730">
        <v>-3408.5271565495204</v>
      </c>
      <c r="BU1730" s="144">
        <f t="shared" si="2289"/>
        <v>-5.182926829268289E-2</v>
      </c>
      <c r="BV1730" s="144">
        <f t="shared" si="2290"/>
        <v>-69173.051118210904</v>
      </c>
      <c r="BW1730" s="144"/>
      <c r="BX1730" s="144">
        <f t="shared" si="2291"/>
        <v>-69173.051118210904</v>
      </c>
      <c r="BY1730" t="str">
        <f t="shared" si="2279"/>
        <v/>
      </c>
      <c r="BZ1730">
        <v>0</v>
      </c>
      <c r="CA1730">
        <v>0</v>
      </c>
      <c r="CB1730">
        <v>0</v>
      </c>
      <c r="CC1730">
        <v>0</v>
      </c>
      <c r="CD1730">
        <v>0</v>
      </c>
      <c r="CE1730">
        <v>0</v>
      </c>
      <c r="CF1730">
        <v>0</v>
      </c>
      <c r="CG1730">
        <v>0</v>
      </c>
      <c r="CH1730">
        <v>0</v>
      </c>
      <c r="CI1730">
        <v>0</v>
      </c>
      <c r="CJ1730">
        <v>0</v>
      </c>
      <c r="CK1730">
        <v>0</v>
      </c>
      <c r="CL1730">
        <v>0</v>
      </c>
      <c r="CM1730">
        <v>1</v>
      </c>
      <c r="CN1730" t="str">
        <f t="shared" si="2281"/>
        <v>refOK</v>
      </c>
      <c r="CO1730"/>
      <c r="CP1730"/>
      <c r="CQ1730"/>
      <c r="CR1730">
        <f t="shared" si="2292"/>
        <v>65764.523961661384</v>
      </c>
      <c r="CS1730">
        <f t="shared" si="2293"/>
        <v>-3408.5271565495204</v>
      </c>
      <c r="CT1730">
        <f t="shared" si="2294"/>
        <v>-69173.051118210904</v>
      </c>
      <c r="CU1730" t="str">
        <f t="shared" si="2295"/>
        <v/>
      </c>
      <c r="CV1730" s="2">
        <f t="shared" si="2296"/>
        <v>-1.0518292682926829</v>
      </c>
      <c r="CW1730" s="1" t="s">
        <v>1198</v>
      </c>
      <c r="CX1730" t="str">
        <f t="shared" si="2297"/>
        <v>reg</v>
      </c>
      <c r="CY1730" t="s">
        <v>235</v>
      </c>
      <c r="CZ1730">
        <v>2010</v>
      </c>
      <c r="DA1730">
        <v>2070</v>
      </c>
      <c r="DB1730">
        <f t="shared" si="2298"/>
        <v>60</v>
      </c>
      <c r="DC1730" t="str">
        <f t="shared" si="2299"/>
        <v>31-70</v>
      </c>
      <c r="DD1730">
        <v>1</v>
      </c>
      <c r="DE1730">
        <v>0</v>
      </c>
      <c r="DF1730">
        <v>0</v>
      </c>
      <c r="DG1730">
        <v>0</v>
      </c>
      <c r="DH1730">
        <v>0</v>
      </c>
      <c r="DI1730">
        <f t="shared" si="2300"/>
        <v>1</v>
      </c>
      <c r="DJ1730" t="str">
        <f t="shared" si="2301"/>
        <v>UpstreamInput</v>
      </c>
      <c r="DK1730" t="str">
        <f t="shared" si="2302"/>
        <v>Upstream</v>
      </c>
      <c r="DL1730">
        <f t="shared" si="2303"/>
        <v>0</v>
      </c>
      <c r="DM1730">
        <f t="shared" si="2304"/>
        <v>0</v>
      </c>
      <c r="DN1730">
        <f t="shared" si="2305"/>
        <v>0</v>
      </c>
      <c r="DO1730">
        <v>0</v>
      </c>
      <c r="DP1730">
        <v>0</v>
      </c>
      <c r="DQ1730">
        <v>0</v>
      </c>
      <c r="DR1730">
        <v>0</v>
      </c>
      <c r="DS1730">
        <v>0</v>
      </c>
      <c r="DT1730">
        <f t="shared" si="2306"/>
        <v>0</v>
      </c>
      <c r="DU1730" s="143" t="str">
        <f t="shared" si="2307"/>
        <v>explicit C balance</v>
      </c>
      <c r="DV1730">
        <v>1</v>
      </c>
      <c r="DW1730">
        <v>1</v>
      </c>
      <c r="DX1730">
        <v>1</v>
      </c>
      <c r="DY1730">
        <v>1</v>
      </c>
      <c r="DZ1730">
        <v>0</v>
      </c>
      <c r="EA1730" s="143">
        <v>0</v>
      </c>
      <c r="EB1730">
        <v>0</v>
      </c>
      <c r="EC1730">
        <v>0</v>
      </c>
      <c r="ED1730">
        <v>0</v>
      </c>
      <c r="EE1730">
        <v>0</v>
      </c>
      <c r="EF1730">
        <v>1</v>
      </c>
      <c r="EG1730">
        <v>0</v>
      </c>
      <c r="EH1730">
        <v>0</v>
      </c>
      <c r="EI1730" s="2">
        <v>0</v>
      </c>
      <c r="EK1730" t="str">
        <f t="shared" si="2308"/>
        <v/>
      </c>
      <c r="EL1730" t="str">
        <f t="shared" si="2309"/>
        <v>Ecosystem approach</v>
      </c>
      <c r="EM1730" s="2" t="str">
        <f t="shared" si="2280"/>
        <v/>
      </c>
      <c r="EP1730" t="b">
        <f>IF(ISNUMBER(BU1730),IF(ABS(BU1730-[3]QC_indicators!$B$2)&gt;3*[3]QC_indicators!$C$2,"C ratio",IF(ISNUMBER(BY1730),IF(ABS(BY1730-[3]QC_indicators!$B$1)&gt;3*[3]QC_indicators!$C$1,"DF","no"))),IF(ISNUMBER(BY1730),IF(ABS(BY1730-[3]QC_indicators!$B$1)&gt;3*[3]QC_indicators!$C$1,"DF","no")))</f>
        <v>0</v>
      </c>
      <c r="ET1730" s="264" t="s">
        <v>3272</v>
      </c>
    </row>
    <row r="1731" spans="1:151" hidden="1">
      <c r="A1731" s="1" t="s">
        <v>1422</v>
      </c>
      <c r="B1731" t="s">
        <v>2489</v>
      </c>
      <c r="C1731" t="s">
        <v>2490</v>
      </c>
      <c r="D1731" t="s">
        <v>2491</v>
      </c>
      <c r="E1731" t="s">
        <v>2492</v>
      </c>
      <c r="F1731" t="s">
        <v>2493</v>
      </c>
      <c r="G1731" t="s">
        <v>1428</v>
      </c>
      <c r="H1731" t="s">
        <v>254</v>
      </c>
      <c r="I1731">
        <v>2016</v>
      </c>
      <c r="J1731">
        <v>24</v>
      </c>
      <c r="K1731" t="s">
        <v>2494</v>
      </c>
      <c r="M1731" t="str">
        <f t="shared" si="2310"/>
        <v>Zubizarreta-Gerendiain_2016</v>
      </c>
      <c r="N1731" t="s">
        <v>222</v>
      </c>
      <c r="O1731" s="145" t="s">
        <v>1153</v>
      </c>
      <c r="Q1731" t="s">
        <v>256</v>
      </c>
      <c r="R1731" s="262" t="s">
        <v>223</v>
      </c>
      <c r="S1731" s="1" t="s">
        <v>2495</v>
      </c>
      <c r="T1731" t="s">
        <v>2515</v>
      </c>
      <c r="U1731" t="s">
        <v>2514</v>
      </c>
      <c r="V1731">
        <v>0</v>
      </c>
      <c r="W1731">
        <v>0</v>
      </c>
      <c r="X1731">
        <v>0</v>
      </c>
      <c r="Y1731">
        <v>2</v>
      </c>
      <c r="Z1731">
        <v>0</v>
      </c>
      <c r="AA1731">
        <v>0</v>
      </c>
      <c r="AB1731">
        <v>0</v>
      </c>
      <c r="AC1731">
        <v>0</v>
      </c>
      <c r="AD1731">
        <v>0</v>
      </c>
      <c r="AE1731">
        <v>0</v>
      </c>
      <c r="AF1731">
        <v>1</v>
      </c>
      <c r="AG1731">
        <v>0</v>
      </c>
      <c r="AH1731">
        <v>0</v>
      </c>
      <c r="AI1731">
        <v>0</v>
      </c>
      <c r="AJ1731">
        <v>0</v>
      </c>
      <c r="AK1731">
        <v>0</v>
      </c>
      <c r="AL1731">
        <v>0</v>
      </c>
      <c r="AM1731">
        <v>0</v>
      </c>
      <c r="AN1731">
        <v>2</v>
      </c>
      <c r="AO1731">
        <v>2</v>
      </c>
      <c r="AP1731">
        <v>0</v>
      </c>
      <c r="AQ1731">
        <v>0</v>
      </c>
      <c r="AR1731">
        <v>0</v>
      </c>
      <c r="AS1731">
        <v>0</v>
      </c>
      <c r="AT1731">
        <v>0</v>
      </c>
      <c r="AU1731">
        <v>0</v>
      </c>
      <c r="AV1731">
        <v>0</v>
      </c>
      <c r="AW1731">
        <v>0</v>
      </c>
      <c r="AX1731" s="141">
        <f t="shared" si="2282"/>
        <v>4</v>
      </c>
      <c r="AY1731" s="141">
        <f t="shared" si="2283"/>
        <v>2</v>
      </c>
      <c r="AZ1731">
        <f t="shared" si="2284"/>
        <v>1</v>
      </c>
      <c r="BA1731">
        <f t="shared" si="2285"/>
        <v>1</v>
      </c>
      <c r="BB1731">
        <f t="shared" si="2286"/>
        <v>0</v>
      </c>
      <c r="BC1731">
        <f t="shared" si="2287"/>
        <v>0</v>
      </c>
      <c r="BD1731">
        <f t="shared" si="2288"/>
        <v>2</v>
      </c>
      <c r="BE1731" t="str">
        <f t="array" ref="BE1731">IF(AY1731=1,INDEX($V$7:$AL$7,MATCH(TRUE,INDEX($V1731:$AW1731&lt;&gt;0,),0)),IF(AY1731=0,INDEX($AM$7:$AW$7,MATCH(1,$AM1731:$AW1731,0)),IF(BF1731="Multiple strategies","mixed drivers",IF(BF1731="Supply chain","multiple supply","multiple silviculture"))))</f>
        <v>mixed drivers</v>
      </c>
      <c r="BF1731" s="2" t="str" cm="1">
        <f t="array" ref="BF1731">IF(COUNTIF(AZ1731:BB1731,"&lt;&gt;0")=1,INDEX($V$4:$AW$4,MATCH(TRUE,INDEX($V1731:$AW1731&lt;&gt;0,),0)),IF(COUNTIF(AZ1731:BB1731,"&lt;&gt;0")=0,INDEX($AM$4:$AW$4,MATCH(1,$AM1731:$AW1731,0)),"Multiple strategies"))</f>
        <v>Multiple strategies</v>
      </c>
      <c r="BM1731" s="143"/>
      <c r="BN1731" s="143"/>
      <c r="BP1731" s="143" t="s">
        <v>232</v>
      </c>
      <c r="BQ1731" s="143"/>
      <c r="BR1731" t="s">
        <v>1194</v>
      </c>
      <c r="BS1731">
        <v>83064.176145251418</v>
      </c>
      <c r="BT1731">
        <v>-35451.70793296078</v>
      </c>
      <c r="BU1731" s="144">
        <f t="shared" si="2289"/>
        <v>-0.42679900744416727</v>
      </c>
      <c r="BV1731" s="144">
        <f t="shared" si="2290"/>
        <v>-118515.8840782122</v>
      </c>
      <c r="BW1731" s="144"/>
      <c r="BX1731" s="144">
        <f t="shared" si="2291"/>
        <v>-118515.8840782122</v>
      </c>
      <c r="BY1731" t="str">
        <f t="shared" si="2279"/>
        <v/>
      </c>
      <c r="BZ1731">
        <v>0</v>
      </c>
      <c r="CA1731">
        <v>0</v>
      </c>
      <c r="CB1731">
        <v>0</v>
      </c>
      <c r="CC1731">
        <v>0</v>
      </c>
      <c r="CD1731">
        <v>0</v>
      </c>
      <c r="CE1731">
        <v>0</v>
      </c>
      <c r="CF1731">
        <v>0</v>
      </c>
      <c r="CG1731">
        <v>0</v>
      </c>
      <c r="CH1731">
        <v>0</v>
      </c>
      <c r="CI1731">
        <v>0</v>
      </c>
      <c r="CJ1731">
        <v>0</v>
      </c>
      <c r="CK1731">
        <v>0</v>
      </c>
      <c r="CL1731">
        <v>0</v>
      </c>
      <c r="CM1731">
        <v>1</v>
      </c>
      <c r="CN1731" t="str">
        <f t="shared" si="2281"/>
        <v>refOK</v>
      </c>
      <c r="CO1731"/>
      <c r="CP1731"/>
      <c r="CQ1731"/>
      <c r="CR1731">
        <f t="shared" si="2292"/>
        <v>83064.176145251418</v>
      </c>
      <c r="CS1731">
        <f t="shared" si="2293"/>
        <v>-35451.70793296078</v>
      </c>
      <c r="CT1731">
        <f t="shared" si="2294"/>
        <v>-118515.8840782122</v>
      </c>
      <c r="CU1731" t="str">
        <f t="shared" si="2295"/>
        <v/>
      </c>
      <c r="CV1731" s="2">
        <f t="shared" si="2296"/>
        <v>-1.4267990074441672</v>
      </c>
      <c r="CW1731" s="1" t="s">
        <v>1198</v>
      </c>
      <c r="CX1731" t="str">
        <f t="shared" si="2297"/>
        <v>reg</v>
      </c>
      <c r="CY1731" t="s">
        <v>235</v>
      </c>
      <c r="CZ1731">
        <v>2010</v>
      </c>
      <c r="DA1731">
        <v>2070</v>
      </c>
      <c r="DB1731">
        <f t="shared" si="2298"/>
        <v>60</v>
      </c>
      <c r="DC1731" t="str">
        <f t="shared" si="2299"/>
        <v>31-70</v>
      </c>
      <c r="DD1731">
        <v>1</v>
      </c>
      <c r="DE1731">
        <v>0</v>
      </c>
      <c r="DF1731">
        <v>0</v>
      </c>
      <c r="DG1731">
        <v>0</v>
      </c>
      <c r="DH1731">
        <v>0</v>
      </c>
      <c r="DI1731">
        <f t="shared" si="2300"/>
        <v>1</v>
      </c>
      <c r="DJ1731" t="str">
        <f t="shared" si="2301"/>
        <v>UpstreamInput</v>
      </c>
      <c r="DK1731" t="str">
        <f t="shared" si="2302"/>
        <v>Upstream</v>
      </c>
      <c r="DL1731">
        <f t="shared" si="2303"/>
        <v>0</v>
      </c>
      <c r="DM1731">
        <f t="shared" si="2304"/>
        <v>0</v>
      </c>
      <c r="DN1731">
        <f t="shared" si="2305"/>
        <v>0</v>
      </c>
      <c r="DO1731">
        <v>0</v>
      </c>
      <c r="DP1731">
        <v>0</v>
      </c>
      <c r="DQ1731">
        <v>0</v>
      </c>
      <c r="DR1731">
        <v>0</v>
      </c>
      <c r="DS1731">
        <v>0</v>
      </c>
      <c r="DT1731">
        <f t="shared" si="2306"/>
        <v>0</v>
      </c>
      <c r="DU1731" s="143" t="str">
        <f t="shared" si="2307"/>
        <v>explicit C balance</v>
      </c>
      <c r="DV1731">
        <v>1</v>
      </c>
      <c r="DW1731">
        <v>1</v>
      </c>
      <c r="DX1731">
        <v>1</v>
      </c>
      <c r="DY1731">
        <v>1</v>
      </c>
      <c r="DZ1731">
        <v>0</v>
      </c>
      <c r="EA1731" s="143">
        <v>0</v>
      </c>
      <c r="EB1731">
        <v>0</v>
      </c>
      <c r="EC1731">
        <v>0</v>
      </c>
      <c r="ED1731">
        <v>0</v>
      </c>
      <c r="EE1731">
        <v>0</v>
      </c>
      <c r="EF1731">
        <v>1</v>
      </c>
      <c r="EG1731">
        <v>0</v>
      </c>
      <c r="EH1731">
        <v>0</v>
      </c>
      <c r="EI1731" s="2">
        <v>0</v>
      </c>
      <c r="EK1731" t="str">
        <f t="shared" si="2308"/>
        <v/>
      </c>
      <c r="EL1731" t="str">
        <f t="shared" si="2309"/>
        <v>Ecosystem approach</v>
      </c>
      <c r="EM1731" s="2" t="str">
        <f t="shared" si="2280"/>
        <v/>
      </c>
      <c r="EP1731" t="b">
        <f>IF(ISNUMBER(BU1731),IF(ABS(BU1731-[3]QC_indicators!$B$2)&gt;3*[3]QC_indicators!$C$2,"C ratio",IF(ISNUMBER(BY1731),IF(ABS(BY1731-[3]QC_indicators!$B$1)&gt;3*[3]QC_indicators!$C$1,"DF","no"))),IF(ISNUMBER(BY1731),IF(ABS(BY1731-[3]QC_indicators!$B$1)&gt;3*[3]QC_indicators!$C$1,"DF","no")))</f>
        <v>0</v>
      </c>
      <c r="ET1731" s="264" t="s">
        <v>3272</v>
      </c>
    </row>
    <row r="1732" spans="1:151" hidden="1">
      <c r="A1732" s="1" t="s">
        <v>1422</v>
      </c>
      <c r="B1732" t="s">
        <v>2489</v>
      </c>
      <c r="C1732" t="s">
        <v>2490</v>
      </c>
      <c r="D1732" t="s">
        <v>2491</v>
      </c>
      <c r="E1732" t="s">
        <v>2492</v>
      </c>
      <c r="F1732" t="s">
        <v>2493</v>
      </c>
      <c r="G1732" t="s">
        <v>1428</v>
      </c>
      <c r="H1732" t="s">
        <v>254</v>
      </c>
      <c r="I1732">
        <v>2016</v>
      </c>
      <c r="J1732">
        <v>24</v>
      </c>
      <c r="K1732" t="s">
        <v>2494</v>
      </c>
      <c r="M1732" t="str">
        <f t="shared" si="2310"/>
        <v>Zubizarreta-Gerendiain_2016</v>
      </c>
      <c r="N1732" t="s">
        <v>222</v>
      </c>
      <c r="O1732" s="145" t="s">
        <v>1153</v>
      </c>
      <c r="Q1732" t="s">
        <v>256</v>
      </c>
      <c r="R1732" s="262" t="s">
        <v>223</v>
      </c>
      <c r="S1732" s="1" t="s">
        <v>2505</v>
      </c>
      <c r="T1732" t="s">
        <v>2513</v>
      </c>
      <c r="U1732" t="s">
        <v>2514</v>
      </c>
      <c r="V1732">
        <v>0</v>
      </c>
      <c r="W1732">
        <v>0</v>
      </c>
      <c r="X1732">
        <v>0</v>
      </c>
      <c r="Y1732">
        <v>2</v>
      </c>
      <c r="Z1732">
        <v>0</v>
      </c>
      <c r="AA1732">
        <v>0</v>
      </c>
      <c r="AB1732">
        <v>0</v>
      </c>
      <c r="AC1732">
        <v>0</v>
      </c>
      <c r="AD1732">
        <v>0</v>
      </c>
      <c r="AE1732">
        <v>0</v>
      </c>
      <c r="AF1732">
        <v>1</v>
      </c>
      <c r="AG1732">
        <v>0</v>
      </c>
      <c r="AH1732">
        <v>0</v>
      </c>
      <c r="AI1732">
        <v>0</v>
      </c>
      <c r="AJ1732">
        <v>0</v>
      </c>
      <c r="AK1732">
        <v>0</v>
      </c>
      <c r="AL1732">
        <v>0</v>
      </c>
      <c r="AM1732">
        <v>0</v>
      </c>
      <c r="AN1732">
        <v>2</v>
      </c>
      <c r="AO1732">
        <v>2</v>
      </c>
      <c r="AP1732">
        <v>0</v>
      </c>
      <c r="AQ1732">
        <v>0</v>
      </c>
      <c r="AR1732">
        <v>0</v>
      </c>
      <c r="AS1732">
        <v>0</v>
      </c>
      <c r="AT1732">
        <v>0</v>
      </c>
      <c r="AU1732">
        <v>0</v>
      </c>
      <c r="AV1732">
        <v>0</v>
      </c>
      <c r="AW1732">
        <v>0</v>
      </c>
      <c r="AX1732" s="141">
        <f t="shared" si="2282"/>
        <v>4</v>
      </c>
      <c r="AY1732" s="141">
        <f t="shared" si="2283"/>
        <v>2</v>
      </c>
      <c r="AZ1732">
        <f t="shared" si="2284"/>
        <v>1</v>
      </c>
      <c r="BA1732">
        <f t="shared" si="2285"/>
        <v>1</v>
      </c>
      <c r="BB1732">
        <f t="shared" si="2286"/>
        <v>0</v>
      </c>
      <c r="BC1732">
        <f t="shared" si="2287"/>
        <v>0</v>
      </c>
      <c r="BD1732">
        <f t="shared" si="2288"/>
        <v>2</v>
      </c>
      <c r="BE1732" t="str">
        <f t="array" ref="BE1732">IF(AY1732=1,INDEX($V$7:$AL$7,MATCH(TRUE,INDEX($V1732:$AW1732&lt;&gt;0,),0)),IF(AY1732=0,INDEX($AM$7:$AW$7,MATCH(1,$AM1732:$AW1732,0)),IF(BF1732="Multiple strategies","mixed drivers",IF(BF1732="Supply chain","multiple supply","multiple silviculture"))))</f>
        <v>mixed drivers</v>
      </c>
      <c r="BF1732" s="2" t="str" cm="1">
        <f t="array" ref="BF1732">IF(COUNTIF(AZ1732:BB1732,"&lt;&gt;0")=1,INDEX($V$4:$AW$4,MATCH(TRUE,INDEX($V1732:$AW1732&lt;&gt;0,),0)),IF(COUNTIF(AZ1732:BB1732,"&lt;&gt;0")=0,INDEX($AM$4:$AW$4,MATCH(1,$AM1732:$AW1732,0)),"Multiple strategies"))</f>
        <v>Multiple strategies</v>
      </c>
      <c r="BM1732" s="143"/>
      <c r="BN1732" s="143"/>
      <c r="BP1732" s="143" t="s">
        <v>232</v>
      </c>
      <c r="BQ1732" s="143"/>
      <c r="BR1732" t="s">
        <v>1194</v>
      </c>
      <c r="BS1732">
        <v>99553.342625698249</v>
      </c>
      <c r="BT1732">
        <v>-35451.70793296078</v>
      </c>
      <c r="BU1732" s="144">
        <f t="shared" si="2289"/>
        <v>-0.3561076604554857</v>
      </c>
      <c r="BV1732" s="144">
        <f t="shared" si="2290"/>
        <v>-135005.05055865902</v>
      </c>
      <c r="BW1732" s="144"/>
      <c r="BX1732" s="144">
        <f t="shared" si="2291"/>
        <v>-135005.05055865902</v>
      </c>
      <c r="BY1732" t="str">
        <f t="shared" si="2279"/>
        <v/>
      </c>
      <c r="BZ1732">
        <v>0</v>
      </c>
      <c r="CA1732">
        <v>0</v>
      </c>
      <c r="CB1732">
        <v>0</v>
      </c>
      <c r="CC1732">
        <v>0</v>
      </c>
      <c r="CD1732">
        <v>0</v>
      </c>
      <c r="CE1732">
        <v>0</v>
      </c>
      <c r="CF1732">
        <v>0</v>
      </c>
      <c r="CG1732">
        <v>0</v>
      </c>
      <c r="CH1732">
        <v>0</v>
      </c>
      <c r="CI1732">
        <v>0</v>
      </c>
      <c r="CJ1732">
        <v>0</v>
      </c>
      <c r="CK1732">
        <v>0</v>
      </c>
      <c r="CL1732">
        <v>0</v>
      </c>
      <c r="CM1732">
        <v>1</v>
      </c>
      <c r="CN1732" t="str">
        <f t="shared" si="2281"/>
        <v>refOK</v>
      </c>
      <c r="CO1732"/>
      <c r="CP1732"/>
      <c r="CQ1732"/>
      <c r="CR1732">
        <f t="shared" si="2292"/>
        <v>99553.342625698249</v>
      </c>
      <c r="CS1732">
        <f t="shared" si="2293"/>
        <v>-35451.70793296078</v>
      </c>
      <c r="CT1732">
        <f t="shared" si="2294"/>
        <v>-135005.05055865902</v>
      </c>
      <c r="CU1732" t="str">
        <f t="shared" si="2295"/>
        <v/>
      </c>
      <c r="CV1732" s="2">
        <f t="shared" si="2296"/>
        <v>-1.3561076604554856</v>
      </c>
      <c r="CW1732" s="1" t="s">
        <v>1198</v>
      </c>
      <c r="CX1732" t="str">
        <f t="shared" si="2297"/>
        <v>reg</v>
      </c>
      <c r="CY1732" t="s">
        <v>235</v>
      </c>
      <c r="CZ1732">
        <v>2010</v>
      </c>
      <c r="DA1732">
        <v>2070</v>
      </c>
      <c r="DB1732">
        <f t="shared" si="2298"/>
        <v>60</v>
      </c>
      <c r="DC1732" t="str">
        <f t="shared" si="2299"/>
        <v>31-70</v>
      </c>
      <c r="DD1732">
        <v>1</v>
      </c>
      <c r="DE1732">
        <v>0</v>
      </c>
      <c r="DF1732">
        <v>0</v>
      </c>
      <c r="DG1732">
        <v>0</v>
      </c>
      <c r="DH1732">
        <v>0</v>
      </c>
      <c r="DI1732">
        <f t="shared" si="2300"/>
        <v>1</v>
      </c>
      <c r="DJ1732" t="str">
        <f t="shared" si="2301"/>
        <v>UpstreamInput</v>
      </c>
      <c r="DK1732" t="str">
        <f t="shared" si="2302"/>
        <v>Upstream</v>
      </c>
      <c r="DL1732">
        <f t="shared" si="2303"/>
        <v>0</v>
      </c>
      <c r="DM1732">
        <f t="shared" si="2304"/>
        <v>0</v>
      </c>
      <c r="DN1732">
        <f t="shared" si="2305"/>
        <v>0</v>
      </c>
      <c r="DO1732">
        <v>0</v>
      </c>
      <c r="DP1732">
        <v>0</v>
      </c>
      <c r="DQ1732">
        <v>0</v>
      </c>
      <c r="DR1732">
        <v>0</v>
      </c>
      <c r="DS1732">
        <v>0</v>
      </c>
      <c r="DT1732">
        <f t="shared" si="2306"/>
        <v>0</v>
      </c>
      <c r="DU1732" s="143" t="str">
        <f t="shared" si="2307"/>
        <v>explicit C balance</v>
      </c>
      <c r="DV1732">
        <v>1</v>
      </c>
      <c r="DW1732">
        <v>1</v>
      </c>
      <c r="DX1732">
        <v>1</v>
      </c>
      <c r="DY1732">
        <v>1</v>
      </c>
      <c r="DZ1732">
        <v>0</v>
      </c>
      <c r="EA1732" s="143">
        <v>0</v>
      </c>
      <c r="EB1732">
        <v>0</v>
      </c>
      <c r="EC1732">
        <v>0</v>
      </c>
      <c r="ED1732">
        <v>0</v>
      </c>
      <c r="EE1732">
        <v>0</v>
      </c>
      <c r="EF1732">
        <v>1</v>
      </c>
      <c r="EG1732">
        <v>0</v>
      </c>
      <c r="EH1732">
        <v>0</v>
      </c>
      <c r="EI1732" s="2">
        <v>0</v>
      </c>
      <c r="EK1732" t="str">
        <f t="shared" si="2308"/>
        <v/>
      </c>
      <c r="EL1732" t="str">
        <f t="shared" si="2309"/>
        <v>Ecosystem approach</v>
      </c>
      <c r="EM1732" s="2" t="str">
        <f t="shared" si="2280"/>
        <v/>
      </c>
      <c r="EN1732" t="s">
        <v>2507</v>
      </c>
      <c r="EP1732" t="b">
        <f>IF(ISNUMBER(BU1732),IF(ABS(BU1732-[3]QC_indicators!$B$2)&gt;3*[3]QC_indicators!$C$2,"C ratio",IF(ISNUMBER(BY1732),IF(ABS(BY1732-[3]QC_indicators!$B$1)&gt;3*[3]QC_indicators!$C$1,"DF","no"))),IF(ISNUMBER(BY1732),IF(ABS(BY1732-[3]QC_indicators!$B$1)&gt;3*[3]QC_indicators!$C$1,"DF","no")))</f>
        <v>0</v>
      </c>
      <c r="ET1732" s="264" t="s">
        <v>3272</v>
      </c>
    </row>
    <row r="1733" spans="1:151" ht="15" hidden="1" customHeight="1">
      <c r="A1733" s="1" t="s">
        <v>1422</v>
      </c>
      <c r="B1733" t="s">
        <v>2489</v>
      </c>
      <c r="C1733" t="s">
        <v>2490</v>
      </c>
      <c r="D1733" t="s">
        <v>2491</v>
      </c>
      <c r="E1733" t="s">
        <v>2492</v>
      </c>
      <c r="F1733" t="s">
        <v>2493</v>
      </c>
      <c r="G1733" t="s">
        <v>1428</v>
      </c>
      <c r="H1733" t="s">
        <v>254</v>
      </c>
      <c r="I1733">
        <v>2016</v>
      </c>
      <c r="J1733">
        <v>24</v>
      </c>
      <c r="K1733" t="s">
        <v>2494</v>
      </c>
      <c r="M1733" t="str">
        <f t="shared" si="2310"/>
        <v>Zubizarreta-Gerendiain_2016</v>
      </c>
      <c r="N1733" t="s">
        <v>222</v>
      </c>
      <c r="O1733" s="145" t="s">
        <v>1153</v>
      </c>
      <c r="Q1733" t="s">
        <v>256</v>
      </c>
      <c r="R1733" s="262" t="s">
        <v>223</v>
      </c>
      <c r="S1733" s="1" t="s">
        <v>2495</v>
      </c>
      <c r="T1733" t="s">
        <v>2516</v>
      </c>
      <c r="U1733" t="s">
        <v>2514</v>
      </c>
      <c r="V1733">
        <v>0</v>
      </c>
      <c r="W1733">
        <v>0</v>
      </c>
      <c r="X1733">
        <v>0</v>
      </c>
      <c r="Y1733">
        <v>2</v>
      </c>
      <c r="Z1733">
        <v>0</v>
      </c>
      <c r="AA1733">
        <v>0</v>
      </c>
      <c r="AB1733">
        <v>0</v>
      </c>
      <c r="AC1733">
        <v>0</v>
      </c>
      <c r="AD1733">
        <v>0</v>
      </c>
      <c r="AE1733">
        <v>0</v>
      </c>
      <c r="AF1733">
        <v>1</v>
      </c>
      <c r="AG1733">
        <v>0</v>
      </c>
      <c r="AH1733">
        <v>0</v>
      </c>
      <c r="AI1733">
        <v>0</v>
      </c>
      <c r="AJ1733">
        <v>0</v>
      </c>
      <c r="AK1733">
        <v>0</v>
      </c>
      <c r="AL1733">
        <v>0</v>
      </c>
      <c r="AM1733">
        <v>0</v>
      </c>
      <c r="AN1733">
        <v>2</v>
      </c>
      <c r="AO1733">
        <v>2</v>
      </c>
      <c r="AP1733">
        <v>0</v>
      </c>
      <c r="AQ1733">
        <v>0</v>
      </c>
      <c r="AR1733">
        <v>0</v>
      </c>
      <c r="AS1733">
        <v>0</v>
      </c>
      <c r="AT1733">
        <v>0</v>
      </c>
      <c r="AU1733">
        <v>0</v>
      </c>
      <c r="AV1733">
        <v>0</v>
      </c>
      <c r="AW1733">
        <v>0</v>
      </c>
      <c r="AX1733" s="141">
        <f t="shared" si="2282"/>
        <v>4</v>
      </c>
      <c r="AY1733" s="141">
        <f t="shared" si="2283"/>
        <v>2</v>
      </c>
      <c r="AZ1733">
        <f t="shared" si="2284"/>
        <v>1</v>
      </c>
      <c r="BA1733">
        <f t="shared" si="2285"/>
        <v>1</v>
      </c>
      <c r="BB1733">
        <f t="shared" si="2286"/>
        <v>0</v>
      </c>
      <c r="BC1733">
        <f t="shared" si="2287"/>
        <v>0</v>
      </c>
      <c r="BD1733">
        <f t="shared" si="2288"/>
        <v>2</v>
      </c>
      <c r="BE1733" t="str">
        <f t="array" ref="BE1733">IF(AY1733=1,INDEX($V$7:$AL$7,MATCH(TRUE,INDEX($V1733:$AW1733&lt;&gt;0,),0)),IF(AY1733=0,INDEX($AM$7:$AW$7,MATCH(1,$AM1733:$AW1733,0)),IF(BF1733="Multiple strategies","mixed drivers",IF(BF1733="Supply chain","multiple supply","multiple silviculture"))))</f>
        <v>mixed drivers</v>
      </c>
      <c r="BF1733" s="2" t="str" cm="1">
        <f t="array" ref="BF1733">IF(COUNTIF(AZ1733:BB1733,"&lt;&gt;0")=1,INDEX($V$4:$AW$4,MATCH(TRUE,INDEX($V1733:$AW1733&lt;&gt;0,),0)),IF(COUNTIF(AZ1733:BB1733,"&lt;&gt;0")=0,INDEX($AM$4:$AW$4,MATCH(1,$AM1733:$AW1733,0)),"Multiple strategies"))</f>
        <v>Multiple strategies</v>
      </c>
      <c r="BM1733" s="143"/>
      <c r="BN1733" s="143"/>
      <c r="BP1733" s="143" t="s">
        <v>232</v>
      </c>
      <c r="BQ1733" s="143"/>
      <c r="BR1733" t="s">
        <v>1194</v>
      </c>
      <c r="BS1733">
        <v>37718.968324022448</v>
      </c>
      <c r="BT1733">
        <v>-35451.70793296078</v>
      </c>
      <c r="BU1733" s="144">
        <f t="shared" si="2289"/>
        <v>-0.93989071038250815</v>
      </c>
      <c r="BV1733" s="144">
        <f t="shared" si="2290"/>
        <v>-73170.676256983221</v>
      </c>
      <c r="BW1733" s="144"/>
      <c r="BX1733" s="144">
        <f t="shared" si="2291"/>
        <v>-73170.676256983221</v>
      </c>
      <c r="BY1733" t="str">
        <f t="shared" si="2279"/>
        <v/>
      </c>
      <c r="BZ1733">
        <v>0</v>
      </c>
      <c r="CA1733">
        <v>0</v>
      </c>
      <c r="CB1733">
        <v>0</v>
      </c>
      <c r="CC1733">
        <v>0</v>
      </c>
      <c r="CD1733">
        <v>0</v>
      </c>
      <c r="CE1733">
        <v>0</v>
      </c>
      <c r="CF1733">
        <v>0</v>
      </c>
      <c r="CG1733">
        <v>0</v>
      </c>
      <c r="CH1733">
        <v>0</v>
      </c>
      <c r="CI1733">
        <v>0</v>
      </c>
      <c r="CJ1733">
        <v>0</v>
      </c>
      <c r="CK1733">
        <v>0</v>
      </c>
      <c r="CL1733">
        <v>0</v>
      </c>
      <c r="CM1733">
        <v>1</v>
      </c>
      <c r="CN1733" t="str">
        <f t="shared" si="2281"/>
        <v>refOK</v>
      </c>
      <c r="CO1733"/>
      <c r="CP1733"/>
      <c r="CQ1733"/>
      <c r="CR1733">
        <f t="shared" si="2292"/>
        <v>37718.968324022448</v>
      </c>
      <c r="CS1733">
        <f t="shared" si="2293"/>
        <v>-35451.70793296078</v>
      </c>
      <c r="CT1733">
        <f t="shared" si="2294"/>
        <v>-73170.676256983221</v>
      </c>
      <c r="CU1733" t="str">
        <f t="shared" si="2295"/>
        <v/>
      </c>
      <c r="CV1733" s="2">
        <f t="shared" si="2296"/>
        <v>-1.939890710382508</v>
      </c>
      <c r="CW1733" s="1" t="s">
        <v>1198</v>
      </c>
      <c r="CX1733" t="str">
        <f t="shared" si="2297"/>
        <v>reg</v>
      </c>
      <c r="CY1733" t="s">
        <v>235</v>
      </c>
      <c r="CZ1733">
        <v>2010</v>
      </c>
      <c r="DA1733">
        <v>2070</v>
      </c>
      <c r="DB1733">
        <f t="shared" si="2298"/>
        <v>60</v>
      </c>
      <c r="DC1733" t="str">
        <f t="shared" si="2299"/>
        <v>31-70</v>
      </c>
      <c r="DD1733">
        <v>1</v>
      </c>
      <c r="DE1733">
        <v>0</v>
      </c>
      <c r="DF1733">
        <v>0</v>
      </c>
      <c r="DG1733">
        <v>0</v>
      </c>
      <c r="DH1733">
        <v>0</v>
      </c>
      <c r="DI1733">
        <f t="shared" si="2300"/>
        <v>1</v>
      </c>
      <c r="DJ1733" t="str">
        <f t="shared" si="2301"/>
        <v>UpstreamInput</v>
      </c>
      <c r="DK1733" t="str">
        <f t="shared" si="2302"/>
        <v>Upstream</v>
      </c>
      <c r="DL1733">
        <f t="shared" si="2303"/>
        <v>0</v>
      </c>
      <c r="DM1733">
        <f t="shared" si="2304"/>
        <v>0</v>
      </c>
      <c r="DN1733">
        <f t="shared" si="2305"/>
        <v>0</v>
      </c>
      <c r="DO1733">
        <v>0</v>
      </c>
      <c r="DP1733">
        <v>0</v>
      </c>
      <c r="DQ1733">
        <v>0</v>
      </c>
      <c r="DR1733">
        <v>0</v>
      </c>
      <c r="DS1733">
        <v>0</v>
      </c>
      <c r="DT1733">
        <f t="shared" si="2306"/>
        <v>0</v>
      </c>
      <c r="DU1733" s="143" t="str">
        <f t="shared" si="2307"/>
        <v>explicit C balance</v>
      </c>
      <c r="DV1733">
        <v>1</v>
      </c>
      <c r="DW1733">
        <v>1</v>
      </c>
      <c r="DX1733">
        <v>1</v>
      </c>
      <c r="DY1733">
        <v>1</v>
      </c>
      <c r="DZ1733">
        <v>0</v>
      </c>
      <c r="EA1733" s="143">
        <v>0</v>
      </c>
      <c r="EB1733">
        <v>0</v>
      </c>
      <c r="EC1733">
        <v>0</v>
      </c>
      <c r="ED1733">
        <v>0</v>
      </c>
      <c r="EE1733">
        <v>0</v>
      </c>
      <c r="EF1733">
        <v>1</v>
      </c>
      <c r="EG1733">
        <v>0</v>
      </c>
      <c r="EH1733">
        <v>0</v>
      </c>
      <c r="EI1733" s="2">
        <v>0</v>
      </c>
      <c r="EK1733" t="str">
        <f t="shared" si="2308"/>
        <v/>
      </c>
      <c r="EL1733" t="str">
        <f t="shared" si="2309"/>
        <v>Ecosystem approach</v>
      </c>
      <c r="EM1733" s="2" t="str">
        <f t="shared" si="2280"/>
        <v/>
      </c>
      <c r="EP1733" t="b">
        <f>IF(ISNUMBER(BU1733),IF(ABS(BU1733-[3]QC_indicators!$B$2)&gt;3*[3]QC_indicators!$C$2,"C ratio",IF(ISNUMBER(BY1733),IF(ABS(BY1733-[3]QC_indicators!$B$1)&gt;3*[3]QC_indicators!$C$1,"DF","no"))),IF(ISNUMBER(BY1733),IF(ABS(BY1733-[3]QC_indicators!$B$1)&gt;3*[3]QC_indicators!$C$1,"DF","no")))</f>
        <v>0</v>
      </c>
      <c r="ET1733" s="264" t="s">
        <v>3272</v>
      </c>
    </row>
    <row r="1734" spans="1:151" ht="15" hidden="1" customHeight="1">
      <c r="A1734" s="1" t="s">
        <v>1422</v>
      </c>
      <c r="B1734" t="s">
        <v>2489</v>
      </c>
      <c r="C1734" t="s">
        <v>2490</v>
      </c>
      <c r="D1734" t="s">
        <v>2491</v>
      </c>
      <c r="E1734" t="s">
        <v>2492</v>
      </c>
      <c r="F1734" t="s">
        <v>2493</v>
      </c>
      <c r="G1734" t="s">
        <v>1428</v>
      </c>
      <c r="H1734" t="s">
        <v>254</v>
      </c>
      <c r="I1734">
        <v>2016</v>
      </c>
      <c r="J1734">
        <v>24</v>
      </c>
      <c r="K1734" t="s">
        <v>2494</v>
      </c>
      <c r="M1734" t="str">
        <f t="shared" si="2310"/>
        <v>Zubizarreta-Gerendiain_2016</v>
      </c>
      <c r="N1734" t="s">
        <v>222</v>
      </c>
      <c r="O1734" s="145" t="s">
        <v>1153</v>
      </c>
      <c r="Q1734" t="s">
        <v>256</v>
      </c>
      <c r="R1734" s="262" t="s">
        <v>223</v>
      </c>
      <c r="S1734" s="1" t="s">
        <v>2525</v>
      </c>
      <c r="T1734" t="s">
        <v>2509</v>
      </c>
      <c r="U1734" t="s">
        <v>2528</v>
      </c>
      <c r="V1734">
        <v>0</v>
      </c>
      <c r="W1734">
        <v>0</v>
      </c>
      <c r="X1734">
        <v>0</v>
      </c>
      <c r="Y1734">
        <v>1</v>
      </c>
      <c r="Z1734">
        <v>0</v>
      </c>
      <c r="AA1734">
        <v>0</v>
      </c>
      <c r="AB1734">
        <v>0</v>
      </c>
      <c r="AC1734">
        <v>0</v>
      </c>
      <c r="AD1734">
        <v>0</v>
      </c>
      <c r="AE1734">
        <v>0</v>
      </c>
      <c r="AF1734">
        <v>0</v>
      </c>
      <c r="AG1734">
        <v>0</v>
      </c>
      <c r="AH1734">
        <v>0</v>
      </c>
      <c r="AI1734">
        <v>0</v>
      </c>
      <c r="AJ1734">
        <v>0</v>
      </c>
      <c r="AK1734">
        <v>0</v>
      </c>
      <c r="AL1734">
        <v>0</v>
      </c>
      <c r="AM1734">
        <v>0</v>
      </c>
      <c r="AN1734">
        <v>2</v>
      </c>
      <c r="AO1734">
        <v>2</v>
      </c>
      <c r="AP1734">
        <v>0</v>
      </c>
      <c r="AQ1734">
        <v>0</v>
      </c>
      <c r="AR1734">
        <v>0</v>
      </c>
      <c r="AS1734">
        <v>0</v>
      </c>
      <c r="AT1734">
        <v>0</v>
      </c>
      <c r="AU1734">
        <v>0</v>
      </c>
      <c r="AV1734">
        <v>0</v>
      </c>
      <c r="AW1734">
        <v>0</v>
      </c>
      <c r="AX1734" s="141">
        <f t="shared" si="2282"/>
        <v>3</v>
      </c>
      <c r="AY1734" s="141">
        <f t="shared" si="2283"/>
        <v>1</v>
      </c>
      <c r="AZ1734">
        <f t="shared" si="2284"/>
        <v>1</v>
      </c>
      <c r="BA1734">
        <f t="shared" si="2285"/>
        <v>0</v>
      </c>
      <c r="BB1734">
        <f t="shared" si="2286"/>
        <v>0</v>
      </c>
      <c r="BC1734">
        <f t="shared" si="2287"/>
        <v>0</v>
      </c>
      <c r="BD1734">
        <f t="shared" si="2288"/>
        <v>2</v>
      </c>
      <c r="BE1734" t="str">
        <f t="array" ref="BE1734">IF(AY1734=1,INDEX($V$7:$AL$7,MATCH(TRUE,INDEX($V1734:$AW1734&lt;&gt;0,),0)),IF(AY1734=0,INDEX($AM$7:$AW$7,MATCH(1,$AM1734:$AW1734,0)),IF(BF1734="Multiple strategies","mixed drivers",IF(BF1734="Supply chain","multiple supply","multiple silviculture"))))</f>
        <v xml:space="preserve">cutting intensity </v>
      </c>
      <c r="BF1734" s="2" t="str" cm="1">
        <f t="array" ref="BF1734">IF(COUNTIF(AZ1734:BB1734,"&lt;&gt;0")=1,INDEX($V$4:$AW$4,MATCH(TRUE,INDEX($V1734:$AW1734&lt;&gt;0,),0)),IF(COUNTIF(AZ1734:BB1734,"&lt;&gt;0")=0,INDEX($AM$4:$AW$4,MATCH(1,$AM1734:$AW1734,0)),"Multiple strategies"))</f>
        <v>Silviculture for removals</v>
      </c>
      <c r="BM1734" s="143"/>
      <c r="BN1734" s="143"/>
      <c r="BP1734" s="143" t="s">
        <v>232</v>
      </c>
      <c r="BQ1734" s="143"/>
      <c r="BR1734" t="s">
        <v>1194</v>
      </c>
      <c r="BS1734">
        <v>121904.97124600642</v>
      </c>
      <c r="BT1734">
        <v>130927.54313099037</v>
      </c>
      <c r="BU1734" s="144">
        <f t="shared" si="2289"/>
        <v>1.0740131578947363</v>
      </c>
      <c r="BV1734" s="144">
        <f t="shared" si="2290"/>
        <v>9022.5718849839468</v>
      </c>
      <c r="BW1734" s="144"/>
      <c r="BX1734" s="144">
        <f t="shared" si="2291"/>
        <v>9022.5718849839468</v>
      </c>
      <c r="BY1734" t="str">
        <f t="shared" si="2279"/>
        <v/>
      </c>
      <c r="BZ1734">
        <v>0</v>
      </c>
      <c r="CA1734">
        <v>0</v>
      </c>
      <c r="CB1734">
        <v>0</v>
      </c>
      <c r="CC1734">
        <v>0</v>
      </c>
      <c r="CD1734">
        <v>0</v>
      </c>
      <c r="CE1734">
        <v>0</v>
      </c>
      <c r="CF1734">
        <v>0</v>
      </c>
      <c r="CG1734">
        <v>0</v>
      </c>
      <c r="CH1734">
        <v>0</v>
      </c>
      <c r="CI1734">
        <v>0</v>
      </c>
      <c r="CJ1734">
        <v>0</v>
      </c>
      <c r="CK1734">
        <v>0</v>
      </c>
      <c r="CL1734">
        <v>0</v>
      </c>
      <c r="CM1734">
        <v>1</v>
      </c>
      <c r="CN1734" t="str">
        <f t="shared" si="2281"/>
        <v>refOK</v>
      </c>
      <c r="CO1734"/>
      <c r="CP1734"/>
      <c r="CQ1734"/>
      <c r="CR1734">
        <f t="shared" si="2292"/>
        <v>121904.97124600642</v>
      </c>
      <c r="CS1734">
        <f t="shared" si="2293"/>
        <v>130927.54313099037</v>
      </c>
      <c r="CT1734">
        <f t="shared" si="2294"/>
        <v>9022.5718849839468</v>
      </c>
      <c r="CU1734" t="str">
        <f t="shared" si="2295"/>
        <v/>
      </c>
      <c r="CV1734" s="2">
        <f t="shared" si="2296"/>
        <v>7.4013157894736184E-2</v>
      </c>
      <c r="CW1734" s="1" t="s">
        <v>1198</v>
      </c>
      <c r="CX1734" t="str">
        <f t="shared" si="2297"/>
        <v>reg</v>
      </c>
      <c r="CY1734" t="s">
        <v>235</v>
      </c>
      <c r="CZ1734">
        <v>2010</v>
      </c>
      <c r="DA1734">
        <v>2070</v>
      </c>
      <c r="DB1734">
        <f t="shared" si="2298"/>
        <v>60</v>
      </c>
      <c r="DC1734" t="str">
        <f t="shared" si="2299"/>
        <v>31-70</v>
      </c>
      <c r="DD1734">
        <v>0</v>
      </c>
      <c r="DE1734">
        <v>1</v>
      </c>
      <c r="DF1734">
        <v>0</v>
      </c>
      <c r="DG1734">
        <v>0</v>
      </c>
      <c r="DH1734">
        <v>0</v>
      </c>
      <c r="DI1734">
        <f t="shared" si="2300"/>
        <v>1</v>
      </c>
      <c r="DJ1734" t="str">
        <f t="shared" si="2301"/>
        <v>EnergyInput</v>
      </c>
      <c r="DK1734">
        <f t="shared" si="2302"/>
        <v>0</v>
      </c>
      <c r="DL1734" t="str">
        <f t="shared" si="2303"/>
        <v>Energy</v>
      </c>
      <c r="DM1734">
        <f t="shared" si="2304"/>
        <v>0</v>
      </c>
      <c r="DN1734">
        <f t="shared" si="2305"/>
        <v>0</v>
      </c>
      <c r="DO1734">
        <v>0</v>
      </c>
      <c r="DP1734">
        <v>0</v>
      </c>
      <c r="DQ1734">
        <v>0</v>
      </c>
      <c r="DR1734">
        <v>0</v>
      </c>
      <c r="DS1734">
        <v>0</v>
      </c>
      <c r="DT1734">
        <f t="shared" si="2306"/>
        <v>0</v>
      </c>
      <c r="DU1734" s="143" t="str">
        <f t="shared" si="2307"/>
        <v>explicit C balance</v>
      </c>
      <c r="DV1734">
        <v>1</v>
      </c>
      <c r="DW1734">
        <v>1</v>
      </c>
      <c r="DX1734">
        <v>1</v>
      </c>
      <c r="DY1734">
        <v>1</v>
      </c>
      <c r="DZ1734">
        <v>0</v>
      </c>
      <c r="EA1734" s="143">
        <v>0</v>
      </c>
      <c r="EB1734">
        <v>0</v>
      </c>
      <c r="EC1734">
        <v>0</v>
      </c>
      <c r="ED1734">
        <v>0</v>
      </c>
      <c r="EE1734">
        <v>0</v>
      </c>
      <c r="EF1734">
        <v>1</v>
      </c>
      <c r="EG1734">
        <v>0</v>
      </c>
      <c r="EH1734">
        <v>0</v>
      </c>
      <c r="EI1734" s="2">
        <v>0</v>
      </c>
      <c r="EK1734" t="str">
        <f t="shared" si="2308"/>
        <v/>
      </c>
      <c r="EL1734" t="str">
        <f t="shared" si="2309"/>
        <v>Ecosystem approach</v>
      </c>
      <c r="EM1734" s="2" t="str">
        <f t="shared" si="2280"/>
        <v/>
      </c>
      <c r="EP1734" t="b">
        <f>IF(ISNUMBER(BU1734),IF(ABS(BU1734-[3]QC_indicators!$B$2)&gt;3*[3]QC_indicators!$C$2,"C ratio",IF(ISNUMBER(BY1734),IF(ABS(BY1734-[3]QC_indicators!$B$1)&gt;3*[3]QC_indicators!$C$1,"DF","no"))),IF(ISNUMBER(BY1734),IF(ABS(BY1734-[3]QC_indicators!$B$1)&gt;3*[3]QC_indicators!$C$1,"DF","no")))</f>
        <v>0</v>
      </c>
      <c r="ET1734" s="264" t="s">
        <v>3272</v>
      </c>
    </row>
    <row r="1735" spans="1:151" ht="15" hidden="1" customHeight="1">
      <c r="A1735" s="1" t="s">
        <v>1422</v>
      </c>
      <c r="B1735" t="s">
        <v>2489</v>
      </c>
      <c r="C1735" t="s">
        <v>2490</v>
      </c>
      <c r="D1735" t="s">
        <v>2491</v>
      </c>
      <c r="E1735" t="s">
        <v>2492</v>
      </c>
      <c r="F1735" t="s">
        <v>2493</v>
      </c>
      <c r="G1735" t="s">
        <v>1428</v>
      </c>
      <c r="H1735" t="s">
        <v>254</v>
      </c>
      <c r="I1735">
        <v>2016</v>
      </c>
      <c r="J1735">
        <v>24</v>
      </c>
      <c r="K1735" t="s">
        <v>2494</v>
      </c>
      <c r="M1735" t="str">
        <f t="shared" si="2310"/>
        <v>Zubizarreta-Gerendiain_2016</v>
      </c>
      <c r="N1735" t="s">
        <v>222</v>
      </c>
      <c r="O1735" s="145" t="s">
        <v>1153</v>
      </c>
      <c r="Q1735" t="s">
        <v>256</v>
      </c>
      <c r="R1735" s="262" t="s">
        <v>223</v>
      </c>
      <c r="S1735" s="1" t="s">
        <v>2525</v>
      </c>
      <c r="T1735" t="s">
        <v>2513</v>
      </c>
      <c r="U1735" t="s">
        <v>2529</v>
      </c>
      <c r="V1735">
        <v>0</v>
      </c>
      <c r="W1735">
        <v>0</v>
      </c>
      <c r="X1735">
        <v>0</v>
      </c>
      <c r="Y1735">
        <v>1</v>
      </c>
      <c r="Z1735">
        <v>0</v>
      </c>
      <c r="AA1735">
        <v>0</v>
      </c>
      <c r="AB1735">
        <v>0</v>
      </c>
      <c r="AC1735">
        <v>0</v>
      </c>
      <c r="AD1735">
        <v>0</v>
      </c>
      <c r="AE1735">
        <v>0</v>
      </c>
      <c r="AF1735">
        <v>0</v>
      </c>
      <c r="AG1735">
        <v>0</v>
      </c>
      <c r="AH1735">
        <v>0</v>
      </c>
      <c r="AI1735">
        <v>0</v>
      </c>
      <c r="AJ1735">
        <v>0</v>
      </c>
      <c r="AK1735">
        <v>0</v>
      </c>
      <c r="AL1735">
        <v>0</v>
      </c>
      <c r="AM1735">
        <v>0</v>
      </c>
      <c r="AN1735">
        <v>2</v>
      </c>
      <c r="AO1735">
        <v>2</v>
      </c>
      <c r="AP1735">
        <v>0</v>
      </c>
      <c r="AQ1735">
        <v>0</v>
      </c>
      <c r="AR1735">
        <v>0</v>
      </c>
      <c r="AS1735">
        <v>0</v>
      </c>
      <c r="AT1735">
        <v>0</v>
      </c>
      <c r="AU1735">
        <v>0</v>
      </c>
      <c r="AV1735">
        <v>0</v>
      </c>
      <c r="AW1735">
        <v>0</v>
      </c>
      <c r="AX1735" s="141">
        <f t="shared" si="2282"/>
        <v>3</v>
      </c>
      <c r="AY1735" s="141">
        <f t="shared" si="2283"/>
        <v>1</v>
      </c>
      <c r="AZ1735">
        <f t="shared" si="2284"/>
        <v>1</v>
      </c>
      <c r="BA1735">
        <f t="shared" si="2285"/>
        <v>0</v>
      </c>
      <c r="BB1735">
        <f t="shared" si="2286"/>
        <v>0</v>
      </c>
      <c r="BC1735">
        <f t="shared" si="2287"/>
        <v>0</v>
      </c>
      <c r="BD1735">
        <f t="shared" si="2288"/>
        <v>2</v>
      </c>
      <c r="BE1735" t="str">
        <f t="array" ref="BE1735">IF(AY1735=1,INDEX($V$7:$AL$7,MATCH(TRUE,INDEX($V1735:$AW1735&lt;&gt;0,),0)),IF(AY1735=0,INDEX($AM$7:$AW$7,MATCH(1,$AM1735:$AW1735,0)),IF(BF1735="Multiple strategies","mixed drivers",IF(BF1735="Supply chain","multiple supply","multiple silviculture"))))</f>
        <v xml:space="preserve">cutting intensity </v>
      </c>
      <c r="BF1735" s="2" t="str" cm="1">
        <f t="array" ref="BF1735">IF(COUNTIF(AZ1735:BB1735,"&lt;&gt;0")=1,INDEX($V$4:$AW$4,MATCH(TRUE,INDEX($V1735:$AW1735&lt;&gt;0,),0)),IF(COUNTIF(AZ1735:BB1735,"&lt;&gt;0")=0,INDEX($AM$4:$AW$4,MATCH(1,$AM1735:$AW1735,0)),"Multiple strategies"))</f>
        <v>Silviculture for removals</v>
      </c>
      <c r="BM1735" s="143"/>
      <c r="BN1735" s="143"/>
      <c r="BP1735" s="143" t="s">
        <v>232</v>
      </c>
      <c r="BQ1735" s="143"/>
      <c r="BR1735" t="s">
        <v>1194</v>
      </c>
      <c r="BS1735">
        <v>99553.342625698249</v>
      </c>
      <c r="BT1735">
        <v>105736.78005586576</v>
      </c>
      <c r="BU1735" s="144">
        <f t="shared" si="2289"/>
        <v>1.0621118012422353</v>
      </c>
      <c r="BV1735" s="144">
        <f t="shared" si="2290"/>
        <v>6183.4374301675125</v>
      </c>
      <c r="BW1735" s="144"/>
      <c r="BX1735" s="144">
        <f t="shared" si="2291"/>
        <v>6183.4374301675125</v>
      </c>
      <c r="BY1735" t="str">
        <f t="shared" si="2279"/>
        <v/>
      </c>
      <c r="BZ1735">
        <v>0</v>
      </c>
      <c r="CA1735">
        <v>0</v>
      </c>
      <c r="CB1735">
        <v>0</v>
      </c>
      <c r="CC1735">
        <v>0</v>
      </c>
      <c r="CD1735">
        <v>0</v>
      </c>
      <c r="CE1735">
        <v>0</v>
      </c>
      <c r="CF1735">
        <v>0</v>
      </c>
      <c r="CG1735">
        <v>0</v>
      </c>
      <c r="CH1735">
        <v>0</v>
      </c>
      <c r="CI1735">
        <v>0</v>
      </c>
      <c r="CJ1735">
        <v>0</v>
      </c>
      <c r="CK1735">
        <v>0</v>
      </c>
      <c r="CL1735">
        <v>0</v>
      </c>
      <c r="CM1735">
        <v>1</v>
      </c>
      <c r="CN1735" t="str">
        <f t="shared" si="2281"/>
        <v>refOK</v>
      </c>
      <c r="CO1735"/>
      <c r="CP1735"/>
      <c r="CQ1735"/>
      <c r="CR1735">
        <f t="shared" si="2292"/>
        <v>99553.342625698249</v>
      </c>
      <c r="CS1735">
        <f t="shared" si="2293"/>
        <v>105736.78005586576</v>
      </c>
      <c r="CT1735">
        <f t="shared" si="2294"/>
        <v>6183.4374301675125</v>
      </c>
      <c r="CU1735" t="str">
        <f t="shared" si="2295"/>
        <v/>
      </c>
      <c r="CV1735" s="2">
        <f t="shared" si="2296"/>
        <v>6.2111801242235212E-2</v>
      </c>
      <c r="CW1735" s="1" t="s">
        <v>1198</v>
      </c>
      <c r="CX1735" t="str">
        <f t="shared" si="2297"/>
        <v>reg</v>
      </c>
      <c r="CY1735" t="s">
        <v>235</v>
      </c>
      <c r="CZ1735">
        <v>2010</v>
      </c>
      <c r="DA1735">
        <v>2070</v>
      </c>
      <c r="DB1735">
        <f t="shared" si="2298"/>
        <v>60</v>
      </c>
      <c r="DC1735" t="str">
        <f t="shared" si="2299"/>
        <v>31-70</v>
      </c>
      <c r="DD1735">
        <v>0</v>
      </c>
      <c r="DE1735">
        <v>1</v>
      </c>
      <c r="DF1735">
        <v>0</v>
      </c>
      <c r="DG1735">
        <v>0</v>
      </c>
      <c r="DH1735">
        <v>0</v>
      </c>
      <c r="DI1735">
        <f t="shared" si="2300"/>
        <v>1</v>
      </c>
      <c r="DJ1735" t="str">
        <f t="shared" si="2301"/>
        <v>EnergyInput</v>
      </c>
      <c r="DK1735">
        <f t="shared" si="2302"/>
        <v>0</v>
      </c>
      <c r="DL1735" t="str">
        <f t="shared" si="2303"/>
        <v>Energy</v>
      </c>
      <c r="DM1735">
        <f t="shared" si="2304"/>
        <v>0</v>
      </c>
      <c r="DN1735">
        <f t="shared" si="2305"/>
        <v>0</v>
      </c>
      <c r="DO1735">
        <v>0</v>
      </c>
      <c r="DP1735">
        <v>0</v>
      </c>
      <c r="DQ1735">
        <v>0</v>
      </c>
      <c r="DR1735">
        <v>0</v>
      </c>
      <c r="DS1735">
        <v>0</v>
      </c>
      <c r="DT1735">
        <f t="shared" si="2306"/>
        <v>0</v>
      </c>
      <c r="DU1735" s="143" t="str">
        <f t="shared" si="2307"/>
        <v>explicit C balance</v>
      </c>
      <c r="DV1735">
        <v>1</v>
      </c>
      <c r="DW1735">
        <v>1</v>
      </c>
      <c r="DX1735">
        <v>1</v>
      </c>
      <c r="DY1735">
        <v>1</v>
      </c>
      <c r="DZ1735">
        <v>0</v>
      </c>
      <c r="EA1735" s="143">
        <v>0</v>
      </c>
      <c r="EB1735">
        <v>0</v>
      </c>
      <c r="EC1735">
        <v>0</v>
      </c>
      <c r="ED1735">
        <v>0</v>
      </c>
      <c r="EE1735">
        <v>0</v>
      </c>
      <c r="EF1735">
        <v>1</v>
      </c>
      <c r="EG1735">
        <v>0</v>
      </c>
      <c r="EH1735">
        <v>0</v>
      </c>
      <c r="EI1735" s="2">
        <v>0</v>
      </c>
      <c r="EK1735" t="str">
        <f t="shared" si="2308"/>
        <v/>
      </c>
      <c r="EL1735" t="str">
        <f t="shared" si="2309"/>
        <v>Ecosystem approach</v>
      </c>
      <c r="EM1735" s="2" t="str">
        <f t="shared" si="2280"/>
        <v/>
      </c>
      <c r="EP1735" t="b">
        <f>IF(ISNUMBER(BU1735),IF(ABS(BU1735-[3]QC_indicators!$B$2)&gt;3*[3]QC_indicators!$C$2,"C ratio",IF(ISNUMBER(BY1735),IF(ABS(BY1735-[3]QC_indicators!$B$1)&gt;3*[3]QC_indicators!$C$1,"DF","no"))),IF(ISNUMBER(BY1735),IF(ABS(BY1735-[3]QC_indicators!$B$1)&gt;3*[3]QC_indicators!$C$1,"DF","no")))</f>
        <v>0</v>
      </c>
      <c r="ET1735" s="264" t="s">
        <v>3272</v>
      </c>
    </row>
    <row r="1736" spans="1:151" s="185" customFormat="1" ht="15" hidden="1" customHeight="1">
      <c r="A1736" s="1" t="s">
        <v>1422</v>
      </c>
      <c r="B1736" t="s">
        <v>2489</v>
      </c>
      <c r="C1736" t="s">
        <v>2490</v>
      </c>
      <c r="D1736" t="s">
        <v>2491</v>
      </c>
      <c r="E1736" t="s">
        <v>2492</v>
      </c>
      <c r="F1736" t="s">
        <v>2493</v>
      </c>
      <c r="G1736" t="s">
        <v>1428</v>
      </c>
      <c r="H1736" t="s">
        <v>254</v>
      </c>
      <c r="I1736">
        <v>2016</v>
      </c>
      <c r="J1736">
        <v>24</v>
      </c>
      <c r="K1736" t="s">
        <v>2494</v>
      </c>
      <c r="L1736"/>
      <c r="M1736" t="str">
        <f t="shared" si="2310"/>
        <v>Zubizarreta-Gerendiain_2016</v>
      </c>
      <c r="N1736" t="s">
        <v>222</v>
      </c>
      <c r="O1736" s="145" t="s">
        <v>1153</v>
      </c>
      <c r="P1736"/>
      <c r="Q1736" t="s">
        <v>256</v>
      </c>
      <c r="R1736" s="262" t="s">
        <v>223</v>
      </c>
      <c r="S1736" s="1" t="s">
        <v>2520</v>
      </c>
      <c r="T1736" t="s">
        <v>2510</v>
      </c>
      <c r="U1736" t="s">
        <v>2522</v>
      </c>
      <c r="V1736">
        <v>0</v>
      </c>
      <c r="W1736">
        <v>0</v>
      </c>
      <c r="X1736">
        <v>0</v>
      </c>
      <c r="Y1736">
        <v>0</v>
      </c>
      <c r="Z1736">
        <v>0</v>
      </c>
      <c r="AA1736">
        <v>0</v>
      </c>
      <c r="AB1736">
        <v>0</v>
      </c>
      <c r="AC1736">
        <v>0</v>
      </c>
      <c r="AD1736">
        <v>0</v>
      </c>
      <c r="AE1736">
        <v>0</v>
      </c>
      <c r="AF1736">
        <v>2</v>
      </c>
      <c r="AG1736">
        <v>0</v>
      </c>
      <c r="AH1736">
        <v>0</v>
      </c>
      <c r="AI1736">
        <v>0</v>
      </c>
      <c r="AJ1736">
        <v>0</v>
      </c>
      <c r="AK1736">
        <v>0</v>
      </c>
      <c r="AL1736">
        <v>0</v>
      </c>
      <c r="AM1736">
        <v>0</v>
      </c>
      <c r="AN1736">
        <v>1</v>
      </c>
      <c r="AO1736">
        <v>2</v>
      </c>
      <c r="AP1736">
        <v>0</v>
      </c>
      <c r="AQ1736">
        <v>0</v>
      </c>
      <c r="AR1736">
        <v>0</v>
      </c>
      <c r="AS1736">
        <v>0</v>
      </c>
      <c r="AT1736">
        <v>0</v>
      </c>
      <c r="AU1736">
        <v>0</v>
      </c>
      <c r="AV1736">
        <v>0</v>
      </c>
      <c r="AW1736">
        <v>0</v>
      </c>
      <c r="AX1736" s="141">
        <f t="shared" si="2282"/>
        <v>3</v>
      </c>
      <c r="AY1736" s="141">
        <f t="shared" si="2283"/>
        <v>1</v>
      </c>
      <c r="AZ1736">
        <f t="shared" si="2284"/>
        <v>0</v>
      </c>
      <c r="BA1736">
        <f t="shared" si="2285"/>
        <v>1</v>
      </c>
      <c r="BB1736">
        <f t="shared" si="2286"/>
        <v>0</v>
      </c>
      <c r="BC1736">
        <f t="shared" si="2287"/>
        <v>0</v>
      </c>
      <c r="BD1736">
        <f t="shared" si="2288"/>
        <v>2</v>
      </c>
      <c r="BE1736" t="str">
        <f t="array" ref="BE1736">IF(AY1736=1,INDEX($V$7:$AL$7,MATCH(TRUE,INDEX($V1736:$AW1736&lt;&gt;0,),0)),IF(AY1736=0,INDEX($AM$7:$AW$7,MATCH(1,$AM1736:$AW1736,0)),IF(BF1736="Multiple strategies","mixed drivers",IF(BF1736="Supply chain","multiple supply","multiple silviculture"))))</f>
        <v>supply chain organization</v>
      </c>
      <c r="BF1736" s="2" t="str" cm="1">
        <f t="array" ref="BF1736">IF(COUNTIF(AZ1736:BB1736,"&lt;&gt;0")=1,INDEX($V$4:$AW$4,MATCH(TRUE,INDEX($V1736:$AW1736&lt;&gt;0,),0)),IF(COUNTIF(AZ1736:BB1736,"&lt;&gt;0")=0,INDEX($AM$4:$AW$4,MATCH(1,$AM1736:$AW1736,0)),"Multiple strategies"))</f>
        <v>Supply chain</v>
      </c>
      <c r="BG1736" s="1"/>
      <c r="BH1736"/>
      <c r="BI1736"/>
      <c r="BJ1736"/>
      <c r="BK1736"/>
      <c r="BL1736"/>
      <c r="BM1736" s="143"/>
      <c r="BN1736" s="143"/>
      <c r="BO1736"/>
      <c r="BP1736" s="143" t="s">
        <v>232</v>
      </c>
      <c r="BQ1736" s="143"/>
      <c r="BR1736" t="s">
        <v>1194</v>
      </c>
      <c r="BS1736">
        <v>-3408.5271565495204</v>
      </c>
      <c r="BT1736">
        <v>8621.5686900957953</v>
      </c>
      <c r="BU1736" s="144">
        <f t="shared" si="2289"/>
        <v>-2.5294117647058676</v>
      </c>
      <c r="BV1736" s="144">
        <f t="shared" si="2290"/>
        <v>12030.095846645316</v>
      </c>
      <c r="BW1736" s="144"/>
      <c r="BX1736" s="144">
        <f t="shared" si="2291"/>
        <v>12030.095846645316</v>
      </c>
      <c r="BY1736" t="str">
        <f t="shared" si="2279"/>
        <v/>
      </c>
      <c r="BZ1736">
        <v>0</v>
      </c>
      <c r="CA1736">
        <v>0</v>
      </c>
      <c r="CB1736">
        <v>0</v>
      </c>
      <c r="CC1736">
        <v>0</v>
      </c>
      <c r="CD1736">
        <v>0</v>
      </c>
      <c r="CE1736">
        <v>0</v>
      </c>
      <c r="CF1736">
        <v>0</v>
      </c>
      <c r="CG1736">
        <v>0</v>
      </c>
      <c r="CH1736">
        <v>0</v>
      </c>
      <c r="CI1736">
        <v>0</v>
      </c>
      <c r="CJ1736">
        <v>0</v>
      </c>
      <c r="CK1736">
        <v>0</v>
      </c>
      <c r="CL1736">
        <v>0</v>
      </c>
      <c r="CM1736">
        <v>1</v>
      </c>
      <c r="CN1736" t="str">
        <f t="shared" si="2281"/>
        <v>refOK</v>
      </c>
      <c r="CO1736"/>
      <c r="CP1736"/>
      <c r="CQ1736"/>
      <c r="CR1736">
        <f t="shared" si="2292"/>
        <v>-3408.5271565495204</v>
      </c>
      <c r="CS1736">
        <f t="shared" si="2293"/>
        <v>8621.5686900957953</v>
      </c>
      <c r="CT1736">
        <f t="shared" si="2294"/>
        <v>12030.095846645316</v>
      </c>
      <c r="CU1736" t="str">
        <f t="shared" si="2295"/>
        <v/>
      </c>
      <c r="CV1736" s="2">
        <f t="shared" si="2296"/>
        <v>3.5294117647058676</v>
      </c>
      <c r="CW1736" s="1" t="s">
        <v>1198</v>
      </c>
      <c r="CX1736" t="str">
        <f t="shared" si="2297"/>
        <v>reg</v>
      </c>
      <c r="CY1736" t="s">
        <v>235</v>
      </c>
      <c r="CZ1736">
        <v>2010</v>
      </c>
      <c r="DA1736">
        <v>2070</v>
      </c>
      <c r="DB1736">
        <f t="shared" si="2298"/>
        <v>60</v>
      </c>
      <c r="DC1736" t="str">
        <f t="shared" si="2299"/>
        <v>31-70</v>
      </c>
      <c r="DD1736">
        <v>1</v>
      </c>
      <c r="DE1736">
        <v>0</v>
      </c>
      <c r="DF1736">
        <v>0</v>
      </c>
      <c r="DG1736">
        <v>0</v>
      </c>
      <c r="DH1736">
        <v>0</v>
      </c>
      <c r="DI1736">
        <f t="shared" si="2300"/>
        <v>1</v>
      </c>
      <c r="DJ1736" t="str">
        <f t="shared" si="2301"/>
        <v>UpstreamInput</v>
      </c>
      <c r="DK1736" t="str">
        <f t="shared" si="2302"/>
        <v>Upstream</v>
      </c>
      <c r="DL1736">
        <f t="shared" si="2303"/>
        <v>0</v>
      </c>
      <c r="DM1736">
        <f t="shared" si="2304"/>
        <v>0</v>
      </c>
      <c r="DN1736">
        <f t="shared" si="2305"/>
        <v>0</v>
      </c>
      <c r="DO1736">
        <v>0</v>
      </c>
      <c r="DP1736">
        <v>0</v>
      </c>
      <c r="DQ1736">
        <v>0</v>
      </c>
      <c r="DR1736">
        <v>0</v>
      </c>
      <c r="DS1736">
        <v>0</v>
      </c>
      <c r="DT1736">
        <f t="shared" si="2306"/>
        <v>0</v>
      </c>
      <c r="DU1736" s="143" t="str">
        <f t="shared" si="2307"/>
        <v>explicit C balance</v>
      </c>
      <c r="DV1736">
        <v>1</v>
      </c>
      <c r="DW1736">
        <v>1</v>
      </c>
      <c r="DX1736">
        <v>1</v>
      </c>
      <c r="DY1736">
        <v>1</v>
      </c>
      <c r="DZ1736">
        <v>0</v>
      </c>
      <c r="EA1736" s="143">
        <v>0</v>
      </c>
      <c r="EB1736">
        <v>0</v>
      </c>
      <c r="EC1736">
        <v>0</v>
      </c>
      <c r="ED1736">
        <v>0</v>
      </c>
      <c r="EE1736">
        <v>0</v>
      </c>
      <c r="EF1736">
        <v>1</v>
      </c>
      <c r="EG1736">
        <v>0</v>
      </c>
      <c r="EH1736">
        <v>0</v>
      </c>
      <c r="EI1736" s="2">
        <v>0</v>
      </c>
      <c r="EJ1736" s="1"/>
      <c r="EK1736" t="str">
        <f t="shared" si="2308"/>
        <v/>
      </c>
      <c r="EL1736" t="str">
        <f t="shared" si="2309"/>
        <v>Ecosystem approach</v>
      </c>
      <c r="EM1736" s="2" t="str">
        <f t="shared" si="2280"/>
        <v/>
      </c>
      <c r="EN1736" t="s">
        <v>2507</v>
      </c>
      <c r="EO1736"/>
      <c r="EP1736" t="b">
        <f>IF(ISNUMBER(BU1736),IF(ABS(BU1736-[3]QC_indicators!$B$2)&gt;3*[3]QC_indicators!$C$2,"C ratio",IF(ISNUMBER(BY1736),IF(ABS(BY1736-[3]QC_indicators!$B$1)&gt;3*[3]QC_indicators!$C$1,"DF","no"))),IF(ISNUMBER(BY1736),IF(ABS(BY1736-[3]QC_indicators!$B$1)&gt;3*[3]QC_indicators!$C$1,"DF","no")))</f>
        <v>0</v>
      </c>
      <c r="EQ1736"/>
      <c r="ER1736"/>
      <c r="ES1736"/>
      <c r="ET1736" s="264" t="s">
        <v>3272</v>
      </c>
      <c r="EU1736"/>
    </row>
    <row r="1737" spans="1:151" s="185" customFormat="1" ht="15" hidden="1" customHeight="1">
      <c r="A1737" s="1" t="s">
        <v>1422</v>
      </c>
      <c r="B1737" t="s">
        <v>2489</v>
      </c>
      <c r="C1737" t="s">
        <v>2490</v>
      </c>
      <c r="D1737" t="s">
        <v>2491</v>
      </c>
      <c r="E1737" t="s">
        <v>2492</v>
      </c>
      <c r="F1737" t="s">
        <v>2493</v>
      </c>
      <c r="G1737" t="s">
        <v>1428</v>
      </c>
      <c r="H1737" t="s">
        <v>254</v>
      </c>
      <c r="I1737">
        <v>2016</v>
      </c>
      <c r="J1737">
        <v>24</v>
      </c>
      <c r="K1737" t="s">
        <v>2494</v>
      </c>
      <c r="L1737"/>
      <c r="M1737" t="str">
        <f t="shared" si="2310"/>
        <v>Zubizarreta-Gerendiain_2016</v>
      </c>
      <c r="N1737" t="s">
        <v>222</v>
      </c>
      <c r="O1737" s="145" t="s">
        <v>1153</v>
      </c>
      <c r="P1737"/>
      <c r="Q1737" t="s">
        <v>256</v>
      </c>
      <c r="R1737" s="262" t="s">
        <v>223</v>
      </c>
      <c r="S1737" s="1" t="s">
        <v>2520</v>
      </c>
      <c r="T1737" t="s">
        <v>2514</v>
      </c>
      <c r="U1737" t="s">
        <v>2521</v>
      </c>
      <c r="V1737">
        <v>0</v>
      </c>
      <c r="W1737">
        <v>0</v>
      </c>
      <c r="X1737">
        <v>0</v>
      </c>
      <c r="Y1737">
        <v>0</v>
      </c>
      <c r="Z1737">
        <v>0</v>
      </c>
      <c r="AA1737">
        <v>0</v>
      </c>
      <c r="AB1737">
        <v>0</v>
      </c>
      <c r="AC1737">
        <v>0</v>
      </c>
      <c r="AD1737">
        <v>0</v>
      </c>
      <c r="AE1737">
        <v>0</v>
      </c>
      <c r="AF1737">
        <v>2</v>
      </c>
      <c r="AG1737">
        <v>0</v>
      </c>
      <c r="AH1737">
        <v>0</v>
      </c>
      <c r="AI1737">
        <v>0</v>
      </c>
      <c r="AJ1737">
        <v>0</v>
      </c>
      <c r="AK1737">
        <v>0</v>
      </c>
      <c r="AL1737">
        <v>0</v>
      </c>
      <c r="AM1737">
        <v>0</v>
      </c>
      <c r="AN1737">
        <v>1</v>
      </c>
      <c r="AO1737">
        <v>2</v>
      </c>
      <c r="AP1737">
        <v>0</v>
      </c>
      <c r="AQ1737">
        <v>0</v>
      </c>
      <c r="AR1737">
        <v>0</v>
      </c>
      <c r="AS1737">
        <v>0</v>
      </c>
      <c r="AT1737">
        <v>0</v>
      </c>
      <c r="AU1737">
        <v>0</v>
      </c>
      <c r="AV1737">
        <v>0</v>
      </c>
      <c r="AW1737">
        <v>0</v>
      </c>
      <c r="AX1737" s="141">
        <f t="shared" si="2282"/>
        <v>3</v>
      </c>
      <c r="AY1737" s="141">
        <f t="shared" si="2283"/>
        <v>1</v>
      </c>
      <c r="AZ1737">
        <f t="shared" si="2284"/>
        <v>0</v>
      </c>
      <c r="BA1737">
        <f t="shared" si="2285"/>
        <v>1</v>
      </c>
      <c r="BB1737">
        <f t="shared" si="2286"/>
        <v>0</v>
      </c>
      <c r="BC1737">
        <f t="shared" si="2287"/>
        <v>0</v>
      </c>
      <c r="BD1737">
        <f t="shared" si="2288"/>
        <v>2</v>
      </c>
      <c r="BE1737" t="str">
        <f t="array" ref="BE1737">IF(AY1737=1,INDEX($V$7:$AL$7,MATCH(TRUE,INDEX($V1737:$AW1737&lt;&gt;0,),0)),IF(AY1737=0,INDEX($AM$7:$AW$7,MATCH(1,$AM1737:$AW1737,0)),IF(BF1737="Multiple strategies","mixed drivers",IF(BF1737="Supply chain","multiple supply","multiple silviculture"))))</f>
        <v>supply chain organization</v>
      </c>
      <c r="BF1737" s="2" t="str" cm="1">
        <f t="array" ref="BF1737">IF(COUNTIF(AZ1737:BB1737,"&lt;&gt;0")=1,INDEX($V$4:$AW$4,MATCH(TRUE,INDEX($V1737:$AW1737&lt;&gt;0,),0)),IF(COUNTIF(AZ1737:BB1737,"&lt;&gt;0")=0,INDEX($AM$4:$AW$4,MATCH(1,$AM1737:$AW1737,0)),"Multiple strategies"))</f>
        <v>Supply chain</v>
      </c>
      <c r="BG1737" s="1"/>
      <c r="BH1737"/>
      <c r="BI1737"/>
      <c r="BJ1737"/>
      <c r="BK1737"/>
      <c r="BL1737"/>
      <c r="BM1737" s="143"/>
      <c r="BN1737" s="143"/>
      <c r="BO1737"/>
      <c r="BP1737" s="143" t="s">
        <v>232</v>
      </c>
      <c r="BQ1737" s="143"/>
      <c r="BR1737" t="s">
        <v>1194</v>
      </c>
      <c r="BS1737">
        <v>-35451.70793296078</v>
      </c>
      <c r="BT1737">
        <v>-18962.541452513949</v>
      </c>
      <c r="BU1737" s="144">
        <f t="shared" si="2289"/>
        <v>0.53488372093023384</v>
      </c>
      <c r="BV1737" s="144">
        <f t="shared" si="2290"/>
        <v>16489.166480446831</v>
      </c>
      <c r="BW1737" s="144"/>
      <c r="BX1737" s="144">
        <f t="shared" si="2291"/>
        <v>16489.166480446831</v>
      </c>
      <c r="BY1737" t="str">
        <f t="shared" si="2279"/>
        <v/>
      </c>
      <c r="BZ1737">
        <v>0</v>
      </c>
      <c r="CA1737">
        <v>0</v>
      </c>
      <c r="CB1737">
        <v>0</v>
      </c>
      <c r="CC1737">
        <v>0</v>
      </c>
      <c r="CD1737">
        <v>0</v>
      </c>
      <c r="CE1737">
        <v>0</v>
      </c>
      <c r="CF1737">
        <v>0</v>
      </c>
      <c r="CG1737">
        <v>0</v>
      </c>
      <c r="CH1737">
        <v>0</v>
      </c>
      <c r="CI1737">
        <v>0</v>
      </c>
      <c r="CJ1737">
        <v>0</v>
      </c>
      <c r="CK1737">
        <v>0</v>
      </c>
      <c r="CL1737">
        <v>0</v>
      </c>
      <c r="CM1737">
        <v>1</v>
      </c>
      <c r="CN1737" t="str">
        <f t="shared" si="2281"/>
        <v>refOK</v>
      </c>
      <c r="CO1737"/>
      <c r="CP1737"/>
      <c r="CQ1737"/>
      <c r="CR1737">
        <f t="shared" si="2292"/>
        <v>-35451.70793296078</v>
      </c>
      <c r="CS1737">
        <f t="shared" si="2293"/>
        <v>-18962.541452513949</v>
      </c>
      <c r="CT1737">
        <f t="shared" si="2294"/>
        <v>16489.166480446831</v>
      </c>
      <c r="CU1737" t="str">
        <f t="shared" si="2295"/>
        <v/>
      </c>
      <c r="CV1737" s="2">
        <f t="shared" si="2296"/>
        <v>0.46511627906976621</v>
      </c>
      <c r="CW1737" s="1" t="s">
        <v>1198</v>
      </c>
      <c r="CX1737" t="str">
        <f t="shared" si="2297"/>
        <v>reg</v>
      </c>
      <c r="CY1737" t="s">
        <v>235</v>
      </c>
      <c r="CZ1737">
        <v>2010</v>
      </c>
      <c r="DA1737">
        <v>2070</v>
      </c>
      <c r="DB1737">
        <f t="shared" si="2298"/>
        <v>60</v>
      </c>
      <c r="DC1737" t="str">
        <f t="shared" si="2299"/>
        <v>31-70</v>
      </c>
      <c r="DD1737">
        <v>1</v>
      </c>
      <c r="DE1737">
        <v>0</v>
      </c>
      <c r="DF1737">
        <v>0</v>
      </c>
      <c r="DG1737">
        <v>0</v>
      </c>
      <c r="DH1737">
        <v>0</v>
      </c>
      <c r="DI1737">
        <f t="shared" si="2300"/>
        <v>1</v>
      </c>
      <c r="DJ1737" t="str">
        <f t="shared" si="2301"/>
        <v>UpstreamInput</v>
      </c>
      <c r="DK1737" t="str">
        <f t="shared" si="2302"/>
        <v>Upstream</v>
      </c>
      <c r="DL1737">
        <f t="shared" si="2303"/>
        <v>0</v>
      </c>
      <c r="DM1737">
        <f t="shared" si="2304"/>
        <v>0</v>
      </c>
      <c r="DN1737">
        <f t="shared" si="2305"/>
        <v>0</v>
      </c>
      <c r="DO1737">
        <v>0</v>
      </c>
      <c r="DP1737">
        <v>0</v>
      </c>
      <c r="DQ1737">
        <v>0</v>
      </c>
      <c r="DR1737">
        <v>0</v>
      </c>
      <c r="DS1737">
        <v>0</v>
      </c>
      <c r="DT1737">
        <f t="shared" si="2306"/>
        <v>0</v>
      </c>
      <c r="DU1737" s="143" t="str">
        <f t="shared" si="2307"/>
        <v>explicit C balance</v>
      </c>
      <c r="DV1737">
        <v>1</v>
      </c>
      <c r="DW1737">
        <v>1</v>
      </c>
      <c r="DX1737">
        <v>1</v>
      </c>
      <c r="DY1737">
        <v>1</v>
      </c>
      <c r="DZ1737">
        <v>0</v>
      </c>
      <c r="EA1737" s="143">
        <v>0</v>
      </c>
      <c r="EB1737">
        <v>0</v>
      </c>
      <c r="EC1737">
        <v>0</v>
      </c>
      <c r="ED1737">
        <v>0</v>
      </c>
      <c r="EE1737">
        <v>0</v>
      </c>
      <c r="EF1737">
        <v>1</v>
      </c>
      <c r="EG1737">
        <v>0</v>
      </c>
      <c r="EH1737">
        <v>0</v>
      </c>
      <c r="EI1737" s="2">
        <v>0</v>
      </c>
      <c r="EJ1737" s="1"/>
      <c r="EK1737" t="str">
        <f t="shared" si="2308"/>
        <v/>
      </c>
      <c r="EL1737" t="str">
        <f t="shared" si="2309"/>
        <v>Ecosystem approach</v>
      </c>
      <c r="EM1737" s="2" t="str">
        <f t="shared" si="2280"/>
        <v/>
      </c>
      <c r="EN1737" t="s">
        <v>2507</v>
      </c>
      <c r="EO1737"/>
      <c r="EP1737" t="b">
        <f>IF(ISNUMBER(BU1737),IF(ABS(BU1737-[3]QC_indicators!$B$2)&gt;3*[3]QC_indicators!$C$2,"C ratio",IF(ISNUMBER(BY1737),IF(ABS(BY1737-[3]QC_indicators!$B$1)&gt;3*[3]QC_indicators!$C$1,"DF","no"))),IF(ISNUMBER(BY1737),IF(ABS(BY1737-[3]QC_indicators!$B$1)&gt;3*[3]QC_indicators!$C$1,"DF","no")))</f>
        <v>0</v>
      </c>
      <c r="EQ1737"/>
      <c r="ER1737"/>
      <c r="ES1737"/>
      <c r="ET1737" s="264" t="s">
        <v>3272</v>
      </c>
      <c r="EU1737"/>
    </row>
    <row r="1738" spans="1:151" s="185" customFormat="1" ht="15" hidden="1" customHeight="1">
      <c r="A1738" s="1" t="s">
        <v>1422</v>
      </c>
      <c r="B1738" t="s">
        <v>2489</v>
      </c>
      <c r="C1738" t="s">
        <v>2490</v>
      </c>
      <c r="D1738" t="s">
        <v>2491</v>
      </c>
      <c r="E1738" t="s">
        <v>2492</v>
      </c>
      <c r="F1738" t="s">
        <v>2493</v>
      </c>
      <c r="G1738" t="s">
        <v>1428</v>
      </c>
      <c r="H1738" t="s">
        <v>254</v>
      </c>
      <c r="I1738">
        <v>2016</v>
      </c>
      <c r="J1738">
        <v>24</v>
      </c>
      <c r="K1738" t="s">
        <v>2494</v>
      </c>
      <c r="L1738"/>
      <c r="M1738" t="str">
        <f t="shared" si="2310"/>
        <v>Zubizarreta-Gerendiain_2016</v>
      </c>
      <c r="N1738" t="s">
        <v>222</v>
      </c>
      <c r="O1738" s="145" t="s">
        <v>1153</v>
      </c>
      <c r="P1738"/>
      <c r="Q1738" t="s">
        <v>256</v>
      </c>
      <c r="R1738" s="262" t="s">
        <v>223</v>
      </c>
      <c r="S1738" s="1" t="s">
        <v>2525</v>
      </c>
      <c r="T1738" t="s">
        <v>2509</v>
      </c>
      <c r="U1738" t="s">
        <v>2528</v>
      </c>
      <c r="V1738">
        <v>0</v>
      </c>
      <c r="W1738">
        <v>0</v>
      </c>
      <c r="X1738">
        <v>0</v>
      </c>
      <c r="Y1738">
        <v>1</v>
      </c>
      <c r="Z1738">
        <v>0</v>
      </c>
      <c r="AA1738">
        <v>0</v>
      </c>
      <c r="AB1738">
        <v>0</v>
      </c>
      <c r="AC1738">
        <v>0</v>
      </c>
      <c r="AD1738">
        <v>0</v>
      </c>
      <c r="AE1738">
        <v>0</v>
      </c>
      <c r="AF1738">
        <v>0</v>
      </c>
      <c r="AG1738">
        <v>0</v>
      </c>
      <c r="AH1738">
        <v>0</v>
      </c>
      <c r="AI1738">
        <v>0</v>
      </c>
      <c r="AJ1738">
        <v>0</v>
      </c>
      <c r="AK1738">
        <v>0</v>
      </c>
      <c r="AL1738">
        <v>0</v>
      </c>
      <c r="AM1738">
        <v>0</v>
      </c>
      <c r="AN1738">
        <v>2</v>
      </c>
      <c r="AO1738">
        <v>2</v>
      </c>
      <c r="AP1738">
        <v>0</v>
      </c>
      <c r="AQ1738">
        <v>0</v>
      </c>
      <c r="AR1738">
        <v>0</v>
      </c>
      <c r="AS1738">
        <v>0</v>
      </c>
      <c r="AT1738">
        <v>0</v>
      </c>
      <c r="AU1738">
        <v>0</v>
      </c>
      <c r="AV1738">
        <v>0</v>
      </c>
      <c r="AW1738">
        <v>0</v>
      </c>
      <c r="AX1738" s="141">
        <f t="shared" si="2282"/>
        <v>3</v>
      </c>
      <c r="AY1738" s="141">
        <f t="shared" si="2283"/>
        <v>1</v>
      </c>
      <c r="AZ1738">
        <f t="shared" si="2284"/>
        <v>1</v>
      </c>
      <c r="BA1738">
        <f t="shared" si="2285"/>
        <v>0</v>
      </c>
      <c r="BB1738">
        <f t="shared" si="2286"/>
        <v>0</v>
      </c>
      <c r="BC1738">
        <f t="shared" si="2287"/>
        <v>0</v>
      </c>
      <c r="BD1738">
        <f t="shared" si="2288"/>
        <v>2</v>
      </c>
      <c r="BE1738" t="str">
        <f t="array" ref="BE1738">IF(AY1738=1,INDEX($V$7:$AL$7,MATCH(TRUE,INDEX($V1738:$AW1738&lt;&gt;0,),0)),IF(AY1738=0,INDEX($AM$7:$AW$7,MATCH(1,$AM1738:$AW1738,0)),IF(BF1738="Multiple strategies","mixed drivers",IF(BF1738="Supply chain","multiple supply","multiple silviculture"))))</f>
        <v xml:space="preserve">cutting intensity </v>
      </c>
      <c r="BF1738" s="2" t="str" cm="1">
        <f t="array" ref="BF1738">IF(COUNTIF(AZ1738:BB1738,"&lt;&gt;0")=1,INDEX($V$4:$AW$4,MATCH(TRUE,INDEX($V1738:$AW1738&lt;&gt;0,),0)),IF(COUNTIF(AZ1738:BB1738,"&lt;&gt;0")=0,INDEX($AM$4:$AW$4,MATCH(1,$AM1738:$AW1738,0)),"Multiple strategies"))</f>
        <v>Silviculture for removals</v>
      </c>
      <c r="BG1738" s="1"/>
      <c r="BH1738"/>
      <c r="BI1738"/>
      <c r="BJ1738"/>
      <c r="BK1738"/>
      <c r="BL1738"/>
      <c r="BM1738" s="143"/>
      <c r="BN1738" s="143"/>
      <c r="BO1738"/>
      <c r="BP1738" s="143" t="s">
        <v>232</v>
      </c>
      <c r="BQ1738" s="143"/>
      <c r="BR1738" t="s">
        <v>1194</v>
      </c>
      <c r="BS1738">
        <v>144211.00407709272</v>
      </c>
      <c r="BT1738">
        <v>147828.63380281517</v>
      </c>
      <c r="BU1738" s="144">
        <f t="shared" si="2289"/>
        <v>1.025085670465123</v>
      </c>
      <c r="BV1738" s="144">
        <f t="shared" si="2290"/>
        <v>3617.6297257224505</v>
      </c>
      <c r="BW1738" s="144"/>
      <c r="BX1738" s="144">
        <f t="shared" si="2291"/>
        <v>3617.6297257224505</v>
      </c>
      <c r="BY1738" t="str">
        <f t="shared" si="2279"/>
        <v/>
      </c>
      <c r="BZ1738">
        <v>0</v>
      </c>
      <c r="CA1738">
        <v>0</v>
      </c>
      <c r="CB1738">
        <v>0</v>
      </c>
      <c r="CC1738">
        <v>0</v>
      </c>
      <c r="CD1738">
        <v>0</v>
      </c>
      <c r="CE1738">
        <v>0</v>
      </c>
      <c r="CF1738">
        <v>0</v>
      </c>
      <c r="CG1738">
        <v>0</v>
      </c>
      <c r="CH1738">
        <v>0</v>
      </c>
      <c r="CI1738">
        <v>0</v>
      </c>
      <c r="CJ1738">
        <v>0</v>
      </c>
      <c r="CK1738">
        <v>0</v>
      </c>
      <c r="CL1738">
        <v>0</v>
      </c>
      <c r="CM1738">
        <v>1</v>
      </c>
      <c r="CN1738" t="str">
        <f t="shared" si="2281"/>
        <v>refOK</v>
      </c>
      <c r="CO1738"/>
      <c r="CP1738"/>
      <c r="CQ1738"/>
      <c r="CR1738">
        <f t="shared" si="2292"/>
        <v>144211.00407709272</v>
      </c>
      <c r="CS1738">
        <f t="shared" si="2293"/>
        <v>147828.63380281517</v>
      </c>
      <c r="CT1738">
        <f t="shared" si="2294"/>
        <v>3617.6297257224505</v>
      </c>
      <c r="CU1738" t="str">
        <f t="shared" si="2295"/>
        <v/>
      </c>
      <c r="CV1738" s="2">
        <f t="shared" si="2296"/>
        <v>2.5085670465122955E-2</v>
      </c>
      <c r="CW1738" s="1" t="s">
        <v>1198</v>
      </c>
      <c r="CX1738" t="str">
        <f t="shared" si="2297"/>
        <v>reg</v>
      </c>
      <c r="CY1738" t="s">
        <v>235</v>
      </c>
      <c r="CZ1738">
        <v>2010</v>
      </c>
      <c r="DA1738">
        <v>2070</v>
      </c>
      <c r="DB1738">
        <f t="shared" si="2298"/>
        <v>60</v>
      </c>
      <c r="DC1738" t="str">
        <f t="shared" si="2299"/>
        <v>31-70</v>
      </c>
      <c r="DD1738">
        <v>0</v>
      </c>
      <c r="DE1738">
        <v>1</v>
      </c>
      <c r="DF1738">
        <v>0</v>
      </c>
      <c r="DG1738">
        <v>0</v>
      </c>
      <c r="DH1738">
        <v>0</v>
      </c>
      <c r="DI1738">
        <f t="shared" si="2300"/>
        <v>1</v>
      </c>
      <c r="DJ1738" t="str">
        <f t="shared" si="2301"/>
        <v>EnergyInput</v>
      </c>
      <c r="DK1738">
        <f t="shared" si="2302"/>
        <v>0</v>
      </c>
      <c r="DL1738" t="str">
        <f t="shared" si="2303"/>
        <v>Energy</v>
      </c>
      <c r="DM1738">
        <f t="shared" si="2304"/>
        <v>0</v>
      </c>
      <c r="DN1738">
        <f t="shared" si="2305"/>
        <v>0</v>
      </c>
      <c r="DO1738">
        <v>0</v>
      </c>
      <c r="DP1738">
        <v>1</v>
      </c>
      <c r="DQ1738" t="s">
        <v>2523</v>
      </c>
      <c r="DR1738" t="s">
        <v>2524</v>
      </c>
      <c r="DS1738">
        <v>0</v>
      </c>
      <c r="DT1738">
        <f t="shared" si="2306"/>
        <v>1</v>
      </c>
      <c r="DU1738" s="143" t="str">
        <f t="shared" si="2307"/>
        <v>external DF used</v>
      </c>
      <c r="DV1738">
        <v>1</v>
      </c>
      <c r="DW1738">
        <v>1</v>
      </c>
      <c r="DX1738">
        <v>1</v>
      </c>
      <c r="DY1738">
        <v>1</v>
      </c>
      <c r="DZ1738">
        <v>0</v>
      </c>
      <c r="EA1738" s="143">
        <v>0</v>
      </c>
      <c r="EB1738">
        <v>1</v>
      </c>
      <c r="EC1738">
        <v>1</v>
      </c>
      <c r="ED1738">
        <v>0</v>
      </c>
      <c r="EE1738">
        <v>0</v>
      </c>
      <c r="EF1738">
        <v>1</v>
      </c>
      <c r="EG1738">
        <v>0</v>
      </c>
      <c r="EH1738">
        <v>0</v>
      </c>
      <c r="EI1738" s="2">
        <v>0</v>
      </c>
      <c r="EJ1738" s="1"/>
      <c r="EK1738" t="str">
        <f t="shared" si="2308"/>
        <v>Whole sector</v>
      </c>
      <c r="EL1738" t="str">
        <f t="shared" si="2309"/>
        <v/>
      </c>
      <c r="EM1738" s="2" t="str">
        <f t="shared" si="2280"/>
        <v/>
      </c>
      <c r="EN1738"/>
      <c r="EO1738"/>
      <c r="EP1738" t="b">
        <f>IF(ISNUMBER(BU1738),IF(ABS(BU1738-[3]QC_indicators!$B$2)&gt;3*[3]QC_indicators!$C$2,"C ratio",IF(ISNUMBER(BY1738),IF(ABS(BY1738-[3]QC_indicators!$B$1)&gt;3*[3]QC_indicators!$C$1,"DF","no"))),IF(ISNUMBER(BY1738),IF(ABS(BY1738-[3]QC_indicators!$B$1)&gt;3*[3]QC_indicators!$C$1,"DF","no")))</f>
        <v>0</v>
      </c>
      <c r="EQ1738"/>
      <c r="ER1738"/>
      <c r="ES1738"/>
      <c r="ET1738" s="264" t="s">
        <v>3272</v>
      </c>
      <c r="EU1738"/>
    </row>
    <row r="1739" spans="1:151" ht="15" hidden="1" customHeight="1">
      <c r="A1739" s="1" t="s">
        <v>1422</v>
      </c>
      <c r="B1739" t="s">
        <v>2489</v>
      </c>
      <c r="C1739" t="s">
        <v>2490</v>
      </c>
      <c r="D1739" t="s">
        <v>2491</v>
      </c>
      <c r="E1739" t="s">
        <v>2492</v>
      </c>
      <c r="F1739" t="s">
        <v>2493</v>
      </c>
      <c r="G1739" t="s">
        <v>1428</v>
      </c>
      <c r="H1739" t="s">
        <v>254</v>
      </c>
      <c r="I1739">
        <v>2016</v>
      </c>
      <c r="J1739">
        <v>24</v>
      </c>
      <c r="K1739" t="s">
        <v>2494</v>
      </c>
      <c r="M1739" t="str">
        <f t="shared" si="2310"/>
        <v>Zubizarreta-Gerendiain_2016</v>
      </c>
      <c r="N1739" t="s">
        <v>222</v>
      </c>
      <c r="O1739" s="145" t="s">
        <v>1153</v>
      </c>
      <c r="Q1739" t="s">
        <v>256</v>
      </c>
      <c r="R1739" s="262" t="s">
        <v>223</v>
      </c>
      <c r="S1739" s="1" t="s">
        <v>2525</v>
      </c>
      <c r="T1739" t="s">
        <v>2509</v>
      </c>
      <c r="U1739" t="s">
        <v>2528</v>
      </c>
      <c r="V1739">
        <v>0</v>
      </c>
      <c r="W1739">
        <v>0</v>
      </c>
      <c r="X1739">
        <v>0</v>
      </c>
      <c r="Y1739">
        <v>1</v>
      </c>
      <c r="Z1739">
        <v>0</v>
      </c>
      <c r="AA1739">
        <v>0</v>
      </c>
      <c r="AB1739">
        <v>0</v>
      </c>
      <c r="AC1739">
        <v>0</v>
      </c>
      <c r="AD1739">
        <v>0</v>
      </c>
      <c r="AE1739">
        <v>0</v>
      </c>
      <c r="AF1739">
        <v>0</v>
      </c>
      <c r="AG1739">
        <v>0</v>
      </c>
      <c r="AH1739">
        <v>0</v>
      </c>
      <c r="AI1739">
        <v>0</v>
      </c>
      <c r="AJ1739">
        <v>0</v>
      </c>
      <c r="AK1739">
        <v>0</v>
      </c>
      <c r="AL1739">
        <v>0</v>
      </c>
      <c r="AM1739">
        <v>0</v>
      </c>
      <c r="AN1739">
        <v>2</v>
      </c>
      <c r="AO1739">
        <v>2</v>
      </c>
      <c r="AP1739">
        <v>0</v>
      </c>
      <c r="AQ1739">
        <v>0</v>
      </c>
      <c r="AR1739">
        <v>0</v>
      </c>
      <c r="AS1739">
        <v>0</v>
      </c>
      <c r="AT1739">
        <v>0</v>
      </c>
      <c r="AU1739">
        <v>0</v>
      </c>
      <c r="AV1739">
        <v>0</v>
      </c>
      <c r="AW1739">
        <v>0</v>
      </c>
      <c r="AX1739" s="141">
        <f t="shared" si="2282"/>
        <v>3</v>
      </c>
      <c r="AY1739" s="141">
        <f t="shared" si="2283"/>
        <v>1</v>
      </c>
      <c r="AZ1739">
        <f t="shared" si="2284"/>
        <v>1</v>
      </c>
      <c r="BA1739">
        <f t="shared" si="2285"/>
        <v>0</v>
      </c>
      <c r="BB1739">
        <f t="shared" si="2286"/>
        <v>0</v>
      </c>
      <c r="BC1739">
        <f t="shared" si="2287"/>
        <v>0</v>
      </c>
      <c r="BD1739">
        <f t="shared" si="2288"/>
        <v>2</v>
      </c>
      <c r="BE1739" t="str">
        <f t="array" ref="BE1739">IF(AY1739=1,INDEX($V$7:$AL$7,MATCH(TRUE,INDEX($V1739:$AW1739&lt;&gt;0,),0)),IF(AY1739=0,INDEX($AM$7:$AW$7,MATCH(1,$AM1739:$AW1739,0)),IF(BF1739="Multiple strategies","mixed drivers",IF(BF1739="Supply chain","multiple supply","multiple silviculture"))))</f>
        <v xml:space="preserve">cutting intensity </v>
      </c>
      <c r="BF1739" s="2" t="str" cm="1">
        <f t="array" ref="BF1739">IF(COUNTIF(AZ1739:BB1739,"&lt;&gt;0")=1,INDEX($V$4:$AW$4,MATCH(TRUE,INDEX($V1739:$AW1739&lt;&gt;0,),0)),IF(COUNTIF(AZ1739:BB1739,"&lt;&gt;0")=0,INDEX($AM$4:$AW$4,MATCH(1,$AM1739:$AW1739,0)),"Multiple strategies"))</f>
        <v>Silviculture for removals</v>
      </c>
      <c r="BM1739" s="143"/>
      <c r="BN1739" s="143"/>
      <c r="BP1739" s="143" t="s">
        <v>232</v>
      </c>
      <c r="BQ1739" s="143"/>
      <c r="BR1739" t="s">
        <v>1194</v>
      </c>
      <c r="BS1739">
        <v>29674.236421725247</v>
      </c>
      <c r="BT1739">
        <v>26666.712460063867</v>
      </c>
      <c r="BU1739" s="144">
        <f t="shared" si="2289"/>
        <v>0.89864864864864735</v>
      </c>
      <c r="BV1739" s="144">
        <f t="shared" si="2290"/>
        <v>-3007.5239616613799</v>
      </c>
      <c r="BW1739" s="144"/>
      <c r="BX1739" s="144">
        <f t="shared" si="2291"/>
        <v>-3007.5239616613799</v>
      </c>
      <c r="BY1739" t="str">
        <f t="shared" si="2279"/>
        <v/>
      </c>
      <c r="BZ1739">
        <v>0</v>
      </c>
      <c r="CA1739">
        <v>0</v>
      </c>
      <c r="CB1739">
        <v>0</v>
      </c>
      <c r="CC1739">
        <v>0</v>
      </c>
      <c r="CD1739">
        <v>0</v>
      </c>
      <c r="CE1739">
        <v>0</v>
      </c>
      <c r="CF1739">
        <v>0</v>
      </c>
      <c r="CG1739">
        <v>0</v>
      </c>
      <c r="CH1739">
        <v>0</v>
      </c>
      <c r="CI1739">
        <v>0</v>
      </c>
      <c r="CJ1739">
        <v>0</v>
      </c>
      <c r="CK1739">
        <v>0</v>
      </c>
      <c r="CL1739">
        <v>0</v>
      </c>
      <c r="CM1739">
        <v>1</v>
      </c>
      <c r="CN1739" t="str">
        <f t="shared" si="2281"/>
        <v>refOK</v>
      </c>
      <c r="CO1739"/>
      <c r="CP1739"/>
      <c r="CQ1739"/>
      <c r="CR1739">
        <f t="shared" si="2292"/>
        <v>29674.236421725247</v>
      </c>
      <c r="CS1739">
        <f t="shared" si="2293"/>
        <v>26666.712460063867</v>
      </c>
      <c r="CT1739">
        <f t="shared" si="2294"/>
        <v>-3007.5239616613799</v>
      </c>
      <c r="CU1739" t="str">
        <f t="shared" si="2295"/>
        <v/>
      </c>
      <c r="CV1739" s="2">
        <f t="shared" si="2296"/>
        <v>-0.10135135135135261</v>
      </c>
      <c r="CW1739" s="1" t="s">
        <v>1198</v>
      </c>
      <c r="CX1739" t="str">
        <f t="shared" si="2297"/>
        <v>reg</v>
      </c>
      <c r="CY1739" t="s">
        <v>235</v>
      </c>
      <c r="CZ1739">
        <v>2010</v>
      </c>
      <c r="DA1739">
        <v>2070</v>
      </c>
      <c r="DB1739">
        <f t="shared" si="2298"/>
        <v>60</v>
      </c>
      <c r="DC1739" t="str">
        <f t="shared" si="2299"/>
        <v>31-70</v>
      </c>
      <c r="DD1739">
        <v>0</v>
      </c>
      <c r="DE1739">
        <v>1</v>
      </c>
      <c r="DF1739">
        <v>0</v>
      </c>
      <c r="DG1739">
        <v>0</v>
      </c>
      <c r="DH1739">
        <v>0</v>
      </c>
      <c r="DI1739">
        <f t="shared" si="2300"/>
        <v>1</v>
      </c>
      <c r="DJ1739" t="str">
        <f t="shared" si="2301"/>
        <v>EnergyInput</v>
      </c>
      <c r="DK1739">
        <f t="shared" si="2302"/>
        <v>0</v>
      </c>
      <c r="DL1739" t="str">
        <f t="shared" si="2303"/>
        <v>Energy</v>
      </c>
      <c r="DM1739">
        <f t="shared" si="2304"/>
        <v>0</v>
      </c>
      <c r="DN1739">
        <f t="shared" si="2305"/>
        <v>0</v>
      </c>
      <c r="DO1739">
        <v>0</v>
      </c>
      <c r="DP1739">
        <v>0</v>
      </c>
      <c r="DQ1739">
        <v>0</v>
      </c>
      <c r="DR1739">
        <v>0</v>
      </c>
      <c r="DS1739">
        <v>0</v>
      </c>
      <c r="DT1739">
        <f t="shared" si="2306"/>
        <v>0</v>
      </c>
      <c r="DU1739" s="143" t="str">
        <f t="shared" si="2307"/>
        <v>explicit C balance</v>
      </c>
      <c r="DV1739">
        <v>1</v>
      </c>
      <c r="DW1739">
        <v>1</v>
      </c>
      <c r="DX1739">
        <v>1</v>
      </c>
      <c r="DY1739">
        <v>0</v>
      </c>
      <c r="DZ1739">
        <v>0</v>
      </c>
      <c r="EA1739" s="143">
        <v>0</v>
      </c>
      <c r="EB1739">
        <v>1</v>
      </c>
      <c r="EC1739">
        <v>1</v>
      </c>
      <c r="ED1739">
        <v>0</v>
      </c>
      <c r="EE1739">
        <v>0</v>
      </c>
      <c r="EF1739">
        <v>1</v>
      </c>
      <c r="EG1739">
        <v>0</v>
      </c>
      <c r="EH1739">
        <v>0</v>
      </c>
      <c r="EI1739" s="2">
        <v>0</v>
      </c>
      <c r="EK1739" t="str">
        <f t="shared" si="2308"/>
        <v>Whole sector</v>
      </c>
      <c r="EL1739" t="str">
        <f t="shared" si="2309"/>
        <v/>
      </c>
      <c r="EM1739" s="2" t="str">
        <f t="shared" si="2280"/>
        <v/>
      </c>
      <c r="EP1739" t="b">
        <f>IF(ISNUMBER(BU1739),IF(ABS(BU1739-[3]QC_indicators!$B$2)&gt;3*[3]QC_indicators!$C$2,"C ratio",IF(ISNUMBER(BY1739),IF(ABS(BY1739-[3]QC_indicators!$B$1)&gt;3*[3]QC_indicators!$C$1,"DF","no"))),IF(ISNUMBER(BY1739),IF(ABS(BY1739-[3]QC_indicators!$B$1)&gt;3*[3]QC_indicators!$C$1,"DF","no")))</f>
        <v>0</v>
      </c>
      <c r="ET1739" s="264" t="s">
        <v>3272</v>
      </c>
    </row>
    <row r="1740" spans="1:151" ht="15" hidden="1" customHeight="1">
      <c r="A1740" s="1" t="s">
        <v>1422</v>
      </c>
      <c r="B1740" t="s">
        <v>2489</v>
      </c>
      <c r="C1740" t="s">
        <v>2490</v>
      </c>
      <c r="D1740" t="s">
        <v>2491</v>
      </c>
      <c r="E1740" t="s">
        <v>2492</v>
      </c>
      <c r="F1740" t="s">
        <v>2493</v>
      </c>
      <c r="G1740" t="s">
        <v>1428</v>
      </c>
      <c r="H1740" t="s">
        <v>254</v>
      </c>
      <c r="I1740">
        <v>2016</v>
      </c>
      <c r="J1740">
        <v>24</v>
      </c>
      <c r="K1740" t="s">
        <v>2494</v>
      </c>
      <c r="M1740" t="str">
        <f t="shared" si="2310"/>
        <v>Zubizarreta-Gerendiain_2016</v>
      </c>
      <c r="N1740" t="s">
        <v>222</v>
      </c>
      <c r="O1740" s="145" t="s">
        <v>1153</v>
      </c>
      <c r="Q1740" t="s">
        <v>256</v>
      </c>
      <c r="R1740" s="262" t="s">
        <v>223</v>
      </c>
      <c r="S1740" s="1" t="s">
        <v>2525</v>
      </c>
      <c r="T1740" t="s">
        <v>2513</v>
      </c>
      <c r="U1740" t="s">
        <v>2529</v>
      </c>
      <c r="V1740">
        <v>0</v>
      </c>
      <c r="W1740">
        <v>0</v>
      </c>
      <c r="X1740">
        <v>0</v>
      </c>
      <c r="Y1740">
        <v>1</v>
      </c>
      <c r="Z1740">
        <v>0</v>
      </c>
      <c r="AA1740">
        <v>0</v>
      </c>
      <c r="AB1740">
        <v>0</v>
      </c>
      <c r="AC1740">
        <v>0</v>
      </c>
      <c r="AD1740">
        <v>0</v>
      </c>
      <c r="AE1740">
        <v>0</v>
      </c>
      <c r="AF1740">
        <v>0</v>
      </c>
      <c r="AG1740">
        <v>0</v>
      </c>
      <c r="AH1740">
        <v>0</v>
      </c>
      <c r="AI1740">
        <v>0</v>
      </c>
      <c r="AJ1740">
        <v>0</v>
      </c>
      <c r="AK1740">
        <v>0</v>
      </c>
      <c r="AL1740">
        <v>0</v>
      </c>
      <c r="AM1740">
        <v>0</v>
      </c>
      <c r="AN1740">
        <v>2</v>
      </c>
      <c r="AO1740">
        <v>2</v>
      </c>
      <c r="AP1740">
        <v>0</v>
      </c>
      <c r="AQ1740">
        <v>0</v>
      </c>
      <c r="AR1740">
        <v>0</v>
      </c>
      <c r="AS1740">
        <v>0</v>
      </c>
      <c r="AT1740">
        <v>0</v>
      </c>
      <c r="AU1740">
        <v>0</v>
      </c>
      <c r="AV1740">
        <v>0</v>
      </c>
      <c r="AW1740">
        <v>0</v>
      </c>
      <c r="AX1740" s="141">
        <f t="shared" si="2282"/>
        <v>3</v>
      </c>
      <c r="AY1740" s="141">
        <f t="shared" si="2283"/>
        <v>1</v>
      </c>
      <c r="AZ1740">
        <f t="shared" si="2284"/>
        <v>1</v>
      </c>
      <c r="BA1740">
        <f t="shared" si="2285"/>
        <v>0</v>
      </c>
      <c r="BB1740">
        <f t="shared" si="2286"/>
        <v>0</v>
      </c>
      <c r="BC1740">
        <f t="shared" si="2287"/>
        <v>0</v>
      </c>
      <c r="BD1740">
        <f t="shared" si="2288"/>
        <v>2</v>
      </c>
      <c r="BE1740" t="str">
        <f t="array" ref="BE1740">IF(AY1740=1,INDEX($V$7:$AL$7,MATCH(TRUE,INDEX($V1740:$AW1740&lt;&gt;0,),0)),IF(AY1740=0,INDEX($AM$7:$AW$7,MATCH(1,$AM1740:$AW1740,0)),IF(BF1740="Multiple strategies","mixed drivers",IF(BF1740="Supply chain","multiple supply","multiple silviculture"))))</f>
        <v xml:space="preserve">cutting intensity </v>
      </c>
      <c r="BF1740" s="2" t="str" cm="1">
        <f t="array" ref="BF1740">IF(COUNTIF(AZ1740:BB1740,"&lt;&gt;0")=1,INDEX($V$4:$AW$4,MATCH(TRUE,INDEX($V1740:$AW1740&lt;&gt;0,),0)),IF(COUNTIF(AZ1740:BB1740,"&lt;&gt;0")=0,INDEX($AM$4:$AW$4,MATCH(1,$AM1740:$AW1740,0)),"Multiple strategies"))</f>
        <v>Silviculture for removals</v>
      </c>
      <c r="BM1740" s="143"/>
      <c r="BN1740" s="143"/>
      <c r="BP1740" s="143" t="s">
        <v>232</v>
      </c>
      <c r="BQ1740" s="143"/>
      <c r="BR1740" t="s">
        <v>1194</v>
      </c>
      <c r="BS1740">
        <v>88354.450391061444</v>
      </c>
      <c r="BT1740">
        <v>96599.033631284721</v>
      </c>
      <c r="BU1740" s="144">
        <f t="shared" si="2289"/>
        <v>1.0933125972006199</v>
      </c>
      <c r="BV1740" s="144">
        <f t="shared" si="2290"/>
        <v>8244.5832402232772</v>
      </c>
      <c r="BW1740" s="144"/>
      <c r="BX1740" s="144">
        <f t="shared" si="2291"/>
        <v>8244.5832402232772</v>
      </c>
      <c r="BY1740" t="str">
        <f t="shared" si="2279"/>
        <v/>
      </c>
      <c r="BZ1740">
        <v>0</v>
      </c>
      <c r="CA1740">
        <v>0</v>
      </c>
      <c r="CB1740">
        <v>0</v>
      </c>
      <c r="CC1740">
        <v>0</v>
      </c>
      <c r="CD1740">
        <v>0</v>
      </c>
      <c r="CE1740">
        <v>0</v>
      </c>
      <c r="CF1740">
        <v>0</v>
      </c>
      <c r="CG1740">
        <v>0</v>
      </c>
      <c r="CH1740">
        <v>0</v>
      </c>
      <c r="CI1740">
        <v>0</v>
      </c>
      <c r="CJ1740">
        <v>0</v>
      </c>
      <c r="CK1740">
        <v>0</v>
      </c>
      <c r="CL1740">
        <v>0</v>
      </c>
      <c r="CM1740">
        <v>1</v>
      </c>
      <c r="CN1740" t="str">
        <f t="shared" si="2281"/>
        <v>refOK</v>
      </c>
      <c r="CO1740"/>
      <c r="CP1740"/>
      <c r="CQ1740"/>
      <c r="CR1740">
        <f t="shared" si="2292"/>
        <v>88354.450391061444</v>
      </c>
      <c r="CS1740">
        <f t="shared" si="2293"/>
        <v>96599.033631284721</v>
      </c>
      <c r="CT1740">
        <f t="shared" si="2294"/>
        <v>8244.5832402232772</v>
      </c>
      <c r="CU1740" t="str">
        <f t="shared" si="2295"/>
        <v/>
      </c>
      <c r="CV1740" s="2">
        <f t="shared" si="2296"/>
        <v>9.3312597200619976E-2</v>
      </c>
      <c r="CW1740" s="1" t="s">
        <v>1198</v>
      </c>
      <c r="CX1740" t="str">
        <f t="shared" si="2297"/>
        <v>reg</v>
      </c>
      <c r="CY1740" t="s">
        <v>235</v>
      </c>
      <c r="CZ1740">
        <v>2010</v>
      </c>
      <c r="DA1740">
        <v>2070</v>
      </c>
      <c r="DB1740">
        <f t="shared" si="2298"/>
        <v>60</v>
      </c>
      <c r="DC1740" t="str">
        <f t="shared" si="2299"/>
        <v>31-70</v>
      </c>
      <c r="DD1740">
        <v>0</v>
      </c>
      <c r="DE1740">
        <v>1</v>
      </c>
      <c r="DF1740">
        <v>0</v>
      </c>
      <c r="DG1740">
        <v>0</v>
      </c>
      <c r="DH1740">
        <v>0</v>
      </c>
      <c r="DI1740">
        <f t="shared" si="2300"/>
        <v>1</v>
      </c>
      <c r="DJ1740" t="str">
        <f t="shared" si="2301"/>
        <v>EnergyInput</v>
      </c>
      <c r="DK1740">
        <f t="shared" si="2302"/>
        <v>0</v>
      </c>
      <c r="DL1740" t="str">
        <f t="shared" si="2303"/>
        <v>Energy</v>
      </c>
      <c r="DM1740">
        <f t="shared" si="2304"/>
        <v>0</v>
      </c>
      <c r="DN1740">
        <f t="shared" si="2305"/>
        <v>0</v>
      </c>
      <c r="DO1740">
        <v>0</v>
      </c>
      <c r="DP1740">
        <v>1</v>
      </c>
      <c r="DQ1740" t="s">
        <v>2523</v>
      </c>
      <c r="DR1740" t="s">
        <v>2524</v>
      </c>
      <c r="DS1740">
        <v>0</v>
      </c>
      <c r="DT1740">
        <f t="shared" si="2306"/>
        <v>1</v>
      </c>
      <c r="DU1740" s="143" t="str">
        <f t="shared" si="2307"/>
        <v>external DF used</v>
      </c>
      <c r="DV1740">
        <v>1</v>
      </c>
      <c r="DW1740">
        <v>1</v>
      </c>
      <c r="DX1740">
        <v>1</v>
      </c>
      <c r="DY1740">
        <v>1</v>
      </c>
      <c r="DZ1740">
        <v>0</v>
      </c>
      <c r="EA1740" s="143">
        <v>0</v>
      </c>
      <c r="EB1740">
        <v>1</v>
      </c>
      <c r="EC1740">
        <v>1</v>
      </c>
      <c r="ED1740">
        <v>0</v>
      </c>
      <c r="EE1740">
        <v>0</v>
      </c>
      <c r="EF1740">
        <v>1</v>
      </c>
      <c r="EG1740">
        <v>0</v>
      </c>
      <c r="EH1740">
        <v>0</v>
      </c>
      <c r="EI1740" s="2">
        <v>0</v>
      </c>
      <c r="EK1740" t="str">
        <f t="shared" si="2308"/>
        <v>Whole sector</v>
      </c>
      <c r="EL1740" t="str">
        <f t="shared" si="2309"/>
        <v/>
      </c>
      <c r="EM1740" s="2" t="str">
        <f t="shared" si="2280"/>
        <v/>
      </c>
      <c r="EP1740" t="b">
        <f>IF(ISNUMBER(BU1740),IF(ABS(BU1740-[3]QC_indicators!$B$2)&gt;3*[3]QC_indicators!$C$2,"C ratio",IF(ISNUMBER(BY1740),IF(ABS(BY1740-[3]QC_indicators!$B$1)&gt;3*[3]QC_indicators!$C$1,"DF","no"))),IF(ISNUMBER(BY1740),IF(ABS(BY1740-[3]QC_indicators!$B$1)&gt;3*[3]QC_indicators!$C$1,"DF","no")))</f>
        <v>0</v>
      </c>
      <c r="ET1740" s="264" t="s">
        <v>3272</v>
      </c>
    </row>
    <row r="1741" spans="1:151" ht="15" hidden="1" customHeight="1">
      <c r="A1741" s="1" t="s">
        <v>1422</v>
      </c>
      <c r="B1741" t="s">
        <v>2489</v>
      </c>
      <c r="C1741" t="s">
        <v>2490</v>
      </c>
      <c r="D1741" t="s">
        <v>2491</v>
      </c>
      <c r="E1741" t="s">
        <v>2492</v>
      </c>
      <c r="F1741" t="s">
        <v>2493</v>
      </c>
      <c r="G1741" t="s">
        <v>1428</v>
      </c>
      <c r="H1741" t="s">
        <v>254</v>
      </c>
      <c r="I1741">
        <v>2016</v>
      </c>
      <c r="J1741">
        <v>24</v>
      </c>
      <c r="K1741" t="s">
        <v>2494</v>
      </c>
      <c r="M1741" t="str">
        <f t="shared" si="2310"/>
        <v>Zubizarreta-Gerendiain_2016</v>
      </c>
      <c r="N1741" t="s">
        <v>222</v>
      </c>
      <c r="O1741" s="145" t="s">
        <v>1153</v>
      </c>
      <c r="Q1741" t="s">
        <v>256</v>
      </c>
      <c r="R1741" s="262" t="s">
        <v>223</v>
      </c>
      <c r="S1741" s="1" t="s">
        <v>2525</v>
      </c>
      <c r="T1741" t="s">
        <v>2513</v>
      </c>
      <c r="U1741" t="s">
        <v>2529</v>
      </c>
      <c r="V1741">
        <v>0</v>
      </c>
      <c r="W1741">
        <v>0</v>
      </c>
      <c r="X1741">
        <v>0</v>
      </c>
      <c r="Y1741">
        <v>1</v>
      </c>
      <c r="Z1741">
        <v>0</v>
      </c>
      <c r="AA1741">
        <v>0</v>
      </c>
      <c r="AB1741">
        <v>0</v>
      </c>
      <c r="AC1741">
        <v>0</v>
      </c>
      <c r="AD1741">
        <v>0</v>
      </c>
      <c r="AE1741">
        <v>0</v>
      </c>
      <c r="AF1741">
        <v>0</v>
      </c>
      <c r="AG1741">
        <v>0</v>
      </c>
      <c r="AH1741">
        <v>0</v>
      </c>
      <c r="AI1741">
        <v>0</v>
      </c>
      <c r="AJ1741">
        <v>0</v>
      </c>
      <c r="AK1741">
        <v>0</v>
      </c>
      <c r="AL1741">
        <v>0</v>
      </c>
      <c r="AM1741">
        <v>0</v>
      </c>
      <c r="AN1741">
        <v>2</v>
      </c>
      <c r="AO1741">
        <v>2</v>
      </c>
      <c r="AP1741">
        <v>0</v>
      </c>
      <c r="AQ1741">
        <v>0</v>
      </c>
      <c r="AR1741">
        <v>0</v>
      </c>
      <c r="AS1741">
        <v>0</v>
      </c>
      <c r="AT1741">
        <v>0</v>
      </c>
      <c r="AU1741">
        <v>0</v>
      </c>
      <c r="AV1741">
        <v>0</v>
      </c>
      <c r="AW1741">
        <v>0</v>
      </c>
      <c r="AX1741" s="141">
        <f t="shared" si="2282"/>
        <v>3</v>
      </c>
      <c r="AY1741" s="141">
        <f t="shared" si="2283"/>
        <v>1</v>
      </c>
      <c r="AZ1741">
        <f t="shared" si="2284"/>
        <v>1</v>
      </c>
      <c r="BA1741">
        <f t="shared" si="2285"/>
        <v>0</v>
      </c>
      <c r="BB1741">
        <f t="shared" si="2286"/>
        <v>0</v>
      </c>
      <c r="BC1741">
        <f t="shared" si="2287"/>
        <v>0</v>
      </c>
      <c r="BD1741">
        <f t="shared" si="2288"/>
        <v>2</v>
      </c>
      <c r="BE1741" t="str">
        <f t="array" ref="BE1741">IF(AY1741=1,INDEX($V$7:$AL$7,MATCH(TRUE,INDEX($V1741:$AW1741&lt;&gt;0,),0)),IF(AY1741=0,INDEX($AM$7:$AW$7,MATCH(1,$AM1741:$AW1741,0)),IF(BF1741="Multiple strategies","mixed drivers",IF(BF1741="Supply chain","multiple supply","multiple silviculture"))))</f>
        <v xml:space="preserve">cutting intensity </v>
      </c>
      <c r="BF1741" s="2" t="str" cm="1">
        <f t="array" ref="BF1741">IF(COUNTIF(AZ1741:BB1741,"&lt;&gt;0")=1,INDEX($V$4:$AW$4,MATCH(TRUE,INDEX($V1741:$AW1741&lt;&gt;0,),0)),IF(COUNTIF(AZ1741:BB1741,"&lt;&gt;0")=0,INDEX($AM$4:$AW$4,MATCH(1,$AM1741:$AW1741,0)),"Multiple strategies"))</f>
        <v>Silviculture for removals</v>
      </c>
      <c r="BM1741" s="143"/>
      <c r="BN1741" s="143"/>
      <c r="BP1741" s="143" t="s">
        <v>232</v>
      </c>
      <c r="BQ1741" s="143"/>
      <c r="BR1741" t="s">
        <v>1194</v>
      </c>
      <c r="BS1741">
        <v>12985.218603352034</v>
      </c>
      <c r="BT1741">
        <v>14015.791508379965</v>
      </c>
      <c r="BU1741" s="144">
        <f t="shared" si="2289"/>
        <v>1.0793650793650789</v>
      </c>
      <c r="BV1741" s="144">
        <f t="shared" si="2290"/>
        <v>1030.5729050279315</v>
      </c>
      <c r="BW1741" s="144"/>
      <c r="BX1741" s="144">
        <f t="shared" si="2291"/>
        <v>1030.5729050279315</v>
      </c>
      <c r="BY1741" t="str">
        <f t="shared" si="2279"/>
        <v/>
      </c>
      <c r="BZ1741">
        <v>0</v>
      </c>
      <c r="CA1741">
        <v>0</v>
      </c>
      <c r="CB1741">
        <v>0</v>
      </c>
      <c r="CC1741">
        <v>0</v>
      </c>
      <c r="CD1741">
        <v>0</v>
      </c>
      <c r="CE1741">
        <v>0</v>
      </c>
      <c r="CF1741">
        <v>0</v>
      </c>
      <c r="CG1741">
        <v>0</v>
      </c>
      <c r="CH1741">
        <v>0</v>
      </c>
      <c r="CI1741">
        <v>0</v>
      </c>
      <c r="CJ1741">
        <v>0</v>
      </c>
      <c r="CK1741">
        <v>0</v>
      </c>
      <c r="CL1741">
        <v>0</v>
      </c>
      <c r="CM1741">
        <v>1</v>
      </c>
      <c r="CN1741" t="str">
        <f t="shared" si="2281"/>
        <v>refOK</v>
      </c>
      <c r="CO1741"/>
      <c r="CP1741"/>
      <c r="CQ1741"/>
      <c r="CR1741">
        <f t="shared" si="2292"/>
        <v>12985.218603352034</v>
      </c>
      <c r="CS1741">
        <f t="shared" si="2293"/>
        <v>14015.791508379965</v>
      </c>
      <c r="CT1741">
        <f t="shared" si="2294"/>
        <v>1030.5729050279315</v>
      </c>
      <c r="CU1741" t="str">
        <f t="shared" si="2295"/>
        <v/>
      </c>
      <c r="CV1741" s="2">
        <f t="shared" si="2296"/>
        <v>7.9365079365078778E-2</v>
      </c>
      <c r="CW1741" s="1" t="s">
        <v>1198</v>
      </c>
      <c r="CX1741" t="str">
        <f t="shared" si="2297"/>
        <v>reg</v>
      </c>
      <c r="CY1741" t="s">
        <v>235</v>
      </c>
      <c r="CZ1741">
        <v>2010</v>
      </c>
      <c r="DA1741">
        <v>2070</v>
      </c>
      <c r="DB1741">
        <f t="shared" si="2298"/>
        <v>60</v>
      </c>
      <c r="DC1741" t="str">
        <f t="shared" si="2299"/>
        <v>31-70</v>
      </c>
      <c r="DD1741">
        <v>0</v>
      </c>
      <c r="DE1741">
        <v>1</v>
      </c>
      <c r="DF1741">
        <v>0</v>
      </c>
      <c r="DG1741">
        <v>0</v>
      </c>
      <c r="DH1741">
        <v>0</v>
      </c>
      <c r="DI1741">
        <f t="shared" si="2300"/>
        <v>1</v>
      </c>
      <c r="DJ1741" t="str">
        <f t="shared" si="2301"/>
        <v>EnergyInput</v>
      </c>
      <c r="DK1741">
        <f t="shared" si="2302"/>
        <v>0</v>
      </c>
      <c r="DL1741" t="str">
        <f t="shared" si="2303"/>
        <v>Energy</v>
      </c>
      <c r="DM1741">
        <f t="shared" si="2304"/>
        <v>0</v>
      </c>
      <c r="DN1741">
        <f t="shared" si="2305"/>
        <v>0</v>
      </c>
      <c r="DO1741">
        <v>0</v>
      </c>
      <c r="DP1741">
        <v>0</v>
      </c>
      <c r="DQ1741">
        <v>0</v>
      </c>
      <c r="DR1741">
        <v>0</v>
      </c>
      <c r="DS1741">
        <v>0</v>
      </c>
      <c r="DT1741">
        <f t="shared" si="2306"/>
        <v>0</v>
      </c>
      <c r="DU1741" s="143" t="str">
        <f t="shared" si="2307"/>
        <v>explicit C balance</v>
      </c>
      <c r="DV1741">
        <v>1</v>
      </c>
      <c r="DW1741">
        <v>1</v>
      </c>
      <c r="DX1741">
        <v>1</v>
      </c>
      <c r="DY1741">
        <v>0</v>
      </c>
      <c r="DZ1741">
        <v>0</v>
      </c>
      <c r="EA1741" s="143">
        <v>0</v>
      </c>
      <c r="EB1741">
        <v>1</v>
      </c>
      <c r="EC1741">
        <v>1</v>
      </c>
      <c r="ED1741">
        <v>0</v>
      </c>
      <c r="EE1741">
        <v>0</v>
      </c>
      <c r="EF1741">
        <v>1</v>
      </c>
      <c r="EG1741">
        <v>0</v>
      </c>
      <c r="EH1741">
        <v>0</v>
      </c>
      <c r="EI1741" s="2">
        <v>0</v>
      </c>
      <c r="EK1741" t="str">
        <f t="shared" si="2308"/>
        <v>Whole sector</v>
      </c>
      <c r="EL1741" t="str">
        <f t="shared" si="2309"/>
        <v/>
      </c>
      <c r="EM1741" s="2" t="str">
        <f t="shared" si="2280"/>
        <v/>
      </c>
      <c r="EP1741" t="b">
        <f>IF(ISNUMBER(BU1741),IF(ABS(BU1741-[3]QC_indicators!$B$2)&gt;3*[3]QC_indicators!$C$2,"C ratio",IF(ISNUMBER(BY1741),IF(ABS(BY1741-[3]QC_indicators!$B$1)&gt;3*[3]QC_indicators!$C$1,"DF","no"))),IF(ISNUMBER(BY1741),IF(ABS(BY1741-[3]QC_indicators!$B$1)&gt;3*[3]QC_indicators!$C$1,"DF","no")))</f>
        <v>0</v>
      </c>
      <c r="ET1741" s="264" t="s">
        <v>3272</v>
      </c>
    </row>
    <row r="1742" spans="1:151" s="185" customFormat="1" ht="15" hidden="1" customHeight="1">
      <c r="A1742" s="1" t="s">
        <v>1422</v>
      </c>
      <c r="B1742" t="s">
        <v>2489</v>
      </c>
      <c r="C1742" t="s">
        <v>2490</v>
      </c>
      <c r="D1742" t="s">
        <v>2491</v>
      </c>
      <c r="E1742" t="s">
        <v>2492</v>
      </c>
      <c r="F1742" t="s">
        <v>2493</v>
      </c>
      <c r="G1742" t="s">
        <v>1428</v>
      </c>
      <c r="H1742" t="s">
        <v>254</v>
      </c>
      <c r="I1742">
        <v>2016</v>
      </c>
      <c r="J1742">
        <v>24</v>
      </c>
      <c r="K1742" t="s">
        <v>2494</v>
      </c>
      <c r="L1742"/>
      <c r="M1742" t="str">
        <f t="shared" si="2310"/>
        <v>Zubizarreta-Gerendiain_2016</v>
      </c>
      <c r="N1742" t="s">
        <v>222</v>
      </c>
      <c r="O1742" s="145" t="s">
        <v>1153</v>
      </c>
      <c r="P1742"/>
      <c r="Q1742" t="s">
        <v>256</v>
      </c>
      <c r="R1742" s="262" t="s">
        <v>223</v>
      </c>
      <c r="S1742" s="1" t="s">
        <v>2520</v>
      </c>
      <c r="T1742" t="s">
        <v>2510</v>
      </c>
      <c r="U1742" t="s">
        <v>2522</v>
      </c>
      <c r="V1742">
        <v>0</v>
      </c>
      <c r="W1742">
        <v>0</v>
      </c>
      <c r="X1742">
        <v>0</v>
      </c>
      <c r="Y1742">
        <v>0</v>
      </c>
      <c r="Z1742">
        <v>0</v>
      </c>
      <c r="AA1742">
        <v>0</v>
      </c>
      <c r="AB1742">
        <v>0</v>
      </c>
      <c r="AC1742">
        <v>0</v>
      </c>
      <c r="AD1742">
        <v>0</v>
      </c>
      <c r="AE1742">
        <v>0</v>
      </c>
      <c r="AF1742">
        <v>2</v>
      </c>
      <c r="AG1742">
        <v>0</v>
      </c>
      <c r="AH1742">
        <v>0</v>
      </c>
      <c r="AI1742">
        <v>0</v>
      </c>
      <c r="AJ1742">
        <v>0</v>
      </c>
      <c r="AK1742">
        <v>0</v>
      </c>
      <c r="AL1742">
        <v>0</v>
      </c>
      <c r="AM1742">
        <v>0</v>
      </c>
      <c r="AN1742">
        <v>1</v>
      </c>
      <c r="AO1742">
        <v>2</v>
      </c>
      <c r="AP1742">
        <v>0</v>
      </c>
      <c r="AQ1742">
        <v>0</v>
      </c>
      <c r="AR1742">
        <v>0</v>
      </c>
      <c r="AS1742">
        <v>0</v>
      </c>
      <c r="AT1742">
        <v>0</v>
      </c>
      <c r="AU1742">
        <v>0</v>
      </c>
      <c r="AV1742">
        <v>0</v>
      </c>
      <c r="AW1742">
        <v>0</v>
      </c>
      <c r="AX1742" s="141">
        <f t="shared" si="2282"/>
        <v>3</v>
      </c>
      <c r="AY1742" s="141">
        <f t="shared" si="2283"/>
        <v>1</v>
      </c>
      <c r="AZ1742">
        <f t="shared" si="2284"/>
        <v>0</v>
      </c>
      <c r="BA1742">
        <f t="shared" si="2285"/>
        <v>1</v>
      </c>
      <c r="BB1742">
        <f t="shared" si="2286"/>
        <v>0</v>
      </c>
      <c r="BC1742">
        <f t="shared" si="2287"/>
        <v>0</v>
      </c>
      <c r="BD1742">
        <f t="shared" si="2288"/>
        <v>2</v>
      </c>
      <c r="BE1742" t="str">
        <f t="array" ref="BE1742">IF(AY1742=1,INDEX($V$7:$AL$7,MATCH(TRUE,INDEX($V1742:$AW1742&lt;&gt;0,),0)),IF(AY1742=0,INDEX($AM$7:$AW$7,MATCH(1,$AM1742:$AW1742,0)),IF(BF1742="Multiple strategies","mixed drivers",IF(BF1742="Supply chain","multiple supply","multiple silviculture"))))</f>
        <v>supply chain organization</v>
      </c>
      <c r="BF1742" s="2" t="str" cm="1">
        <f t="array" ref="BF1742">IF(COUNTIF(AZ1742:BB1742,"&lt;&gt;0")=1,INDEX($V$4:$AW$4,MATCH(TRUE,INDEX($V1742:$AW1742&lt;&gt;0,),0)),IF(COUNTIF(AZ1742:BB1742,"&lt;&gt;0")=0,INDEX($AM$4:$AW$4,MATCH(1,$AM1742:$AW1742,0)),"Multiple strategies"))</f>
        <v>Supply chain</v>
      </c>
      <c r="BG1742" s="1"/>
      <c r="BH1742"/>
      <c r="BI1742"/>
      <c r="BJ1742"/>
      <c r="BK1742"/>
      <c r="BL1742"/>
      <c r="BM1742" s="143"/>
      <c r="BN1742" s="143"/>
      <c r="BO1742"/>
      <c r="BP1742" s="143" t="s">
        <v>232</v>
      </c>
      <c r="BQ1742" s="143"/>
      <c r="BR1742" t="s">
        <v>1194</v>
      </c>
      <c r="BS1742">
        <v>-70376.060702875271</v>
      </c>
      <c r="BT1742">
        <v>-69373.552715654951</v>
      </c>
      <c r="BU1742" s="144">
        <f t="shared" si="2289"/>
        <v>0.98575498575498754</v>
      </c>
      <c r="BV1742" s="144">
        <f t="shared" si="2290"/>
        <v>1002.5079872203205</v>
      </c>
      <c r="BW1742" s="144"/>
      <c r="BX1742" s="144">
        <f t="shared" si="2291"/>
        <v>1002.5079872203205</v>
      </c>
      <c r="BY1742" t="str">
        <f t="shared" si="2279"/>
        <v/>
      </c>
      <c r="BZ1742">
        <v>0</v>
      </c>
      <c r="CA1742">
        <v>0</v>
      </c>
      <c r="CB1742">
        <v>0</v>
      </c>
      <c r="CC1742">
        <v>0</v>
      </c>
      <c r="CD1742">
        <v>0</v>
      </c>
      <c r="CE1742">
        <v>0</v>
      </c>
      <c r="CF1742">
        <v>0</v>
      </c>
      <c r="CG1742">
        <v>0</v>
      </c>
      <c r="CH1742">
        <v>0</v>
      </c>
      <c r="CI1742">
        <v>0</v>
      </c>
      <c r="CJ1742">
        <v>0</v>
      </c>
      <c r="CK1742">
        <v>0</v>
      </c>
      <c r="CL1742">
        <v>0</v>
      </c>
      <c r="CM1742">
        <v>1</v>
      </c>
      <c r="CN1742" t="str">
        <f t="shared" si="2281"/>
        <v>refOK</v>
      </c>
      <c r="CO1742"/>
      <c r="CP1742"/>
      <c r="CQ1742"/>
      <c r="CR1742">
        <f t="shared" si="2292"/>
        <v>-70376.060702875271</v>
      </c>
      <c r="CS1742">
        <f t="shared" si="2293"/>
        <v>-69373.552715654951</v>
      </c>
      <c r="CT1742">
        <f t="shared" si="2294"/>
        <v>1002.5079872203205</v>
      </c>
      <c r="CU1742" t="str">
        <f t="shared" si="2295"/>
        <v/>
      </c>
      <c r="CV1742" s="2">
        <f t="shared" si="2296"/>
        <v>1.4245014245012469E-2</v>
      </c>
      <c r="CW1742" s="1" t="s">
        <v>1198</v>
      </c>
      <c r="CX1742" t="str">
        <f t="shared" si="2297"/>
        <v>reg</v>
      </c>
      <c r="CY1742" t="s">
        <v>235</v>
      </c>
      <c r="CZ1742">
        <v>2010</v>
      </c>
      <c r="DA1742">
        <v>2070</v>
      </c>
      <c r="DB1742">
        <f t="shared" si="2298"/>
        <v>60</v>
      </c>
      <c r="DC1742" t="str">
        <f t="shared" si="2299"/>
        <v>31-70</v>
      </c>
      <c r="DD1742">
        <v>1</v>
      </c>
      <c r="DE1742">
        <v>1</v>
      </c>
      <c r="DF1742">
        <v>1</v>
      </c>
      <c r="DG1742">
        <v>1</v>
      </c>
      <c r="DH1742">
        <v>0</v>
      </c>
      <c r="DI1742">
        <f t="shared" si="2300"/>
        <v>4</v>
      </c>
      <c r="DJ1742" t="str">
        <f t="shared" si="2301"/>
        <v>mixedProduct</v>
      </c>
      <c r="DK1742" t="str">
        <f t="shared" si="2302"/>
        <v>Upstream</v>
      </c>
      <c r="DL1742" t="str">
        <f t="shared" si="2303"/>
        <v>Energy</v>
      </c>
      <c r="DM1742" t="str">
        <f t="shared" si="2304"/>
        <v>Pulp/Paper</v>
      </c>
      <c r="DN1742" t="str">
        <f t="shared" si="2305"/>
        <v>Timber</v>
      </c>
      <c r="DO1742">
        <v>0</v>
      </c>
      <c r="DP1742">
        <v>0</v>
      </c>
      <c r="DQ1742">
        <v>0</v>
      </c>
      <c r="DR1742">
        <v>0</v>
      </c>
      <c r="DS1742">
        <v>0</v>
      </c>
      <c r="DT1742">
        <f t="shared" si="2306"/>
        <v>0</v>
      </c>
      <c r="DU1742" s="143" t="str">
        <f t="shared" si="2307"/>
        <v>explicit C balance</v>
      </c>
      <c r="DV1742">
        <v>1</v>
      </c>
      <c r="DW1742">
        <v>1</v>
      </c>
      <c r="DX1742">
        <v>1</v>
      </c>
      <c r="DY1742">
        <v>0</v>
      </c>
      <c r="DZ1742">
        <v>0</v>
      </c>
      <c r="EA1742" s="143">
        <v>0</v>
      </c>
      <c r="EB1742">
        <v>1</v>
      </c>
      <c r="EC1742">
        <v>1</v>
      </c>
      <c r="ED1742">
        <v>0</v>
      </c>
      <c r="EE1742">
        <v>0</v>
      </c>
      <c r="EF1742">
        <v>1</v>
      </c>
      <c r="EG1742">
        <v>0</v>
      </c>
      <c r="EH1742">
        <v>0</v>
      </c>
      <c r="EI1742" s="2">
        <v>0</v>
      </c>
      <c r="EJ1742" s="1"/>
      <c r="EK1742" t="str">
        <f t="shared" si="2308"/>
        <v>Whole sector</v>
      </c>
      <c r="EL1742" t="str">
        <f t="shared" si="2309"/>
        <v/>
      </c>
      <c r="EM1742" s="2" t="str">
        <f t="shared" si="2280"/>
        <v/>
      </c>
      <c r="EN1742" t="s">
        <v>2507</v>
      </c>
      <c r="EO1742"/>
      <c r="EP1742" t="b">
        <f>IF(ISNUMBER(BU1742),IF(ABS(BU1742-[3]QC_indicators!$B$2)&gt;3*[3]QC_indicators!$C$2,"C ratio",IF(ISNUMBER(BY1742),IF(ABS(BY1742-[3]QC_indicators!$B$1)&gt;3*[3]QC_indicators!$C$1,"DF","no"))),IF(ISNUMBER(BY1742),IF(ABS(BY1742-[3]QC_indicators!$B$1)&gt;3*[3]QC_indicators!$C$1,"DF","no")))</f>
        <v>0</v>
      </c>
      <c r="EQ1742"/>
      <c r="ER1742"/>
      <c r="ES1742"/>
      <c r="ET1742" s="264" t="s">
        <v>3272</v>
      </c>
      <c r="EU1742"/>
    </row>
    <row r="1743" spans="1:151" s="185" customFormat="1" ht="15" hidden="1" customHeight="1">
      <c r="A1743" s="1" t="s">
        <v>1422</v>
      </c>
      <c r="B1743" t="s">
        <v>2489</v>
      </c>
      <c r="C1743" t="s">
        <v>2490</v>
      </c>
      <c r="D1743" t="s">
        <v>2491</v>
      </c>
      <c r="E1743" t="s">
        <v>2492</v>
      </c>
      <c r="F1743" t="s">
        <v>2493</v>
      </c>
      <c r="G1743" t="s">
        <v>1428</v>
      </c>
      <c r="H1743" t="s">
        <v>254</v>
      </c>
      <c r="I1743">
        <v>2016</v>
      </c>
      <c r="J1743">
        <v>24</v>
      </c>
      <c r="K1743" t="s">
        <v>2494</v>
      </c>
      <c r="L1743"/>
      <c r="M1743" t="str">
        <f t="shared" si="2310"/>
        <v>Zubizarreta-Gerendiain_2016</v>
      </c>
      <c r="N1743" t="s">
        <v>222</v>
      </c>
      <c r="O1743" s="145" t="s">
        <v>1153</v>
      </c>
      <c r="P1743"/>
      <c r="Q1743" t="s">
        <v>256</v>
      </c>
      <c r="R1743" s="262" t="s">
        <v>223</v>
      </c>
      <c r="S1743" s="1" t="s">
        <v>2520</v>
      </c>
      <c r="T1743" t="s">
        <v>2510</v>
      </c>
      <c r="U1743" t="s">
        <v>2522</v>
      </c>
      <c r="V1743">
        <v>0</v>
      </c>
      <c r="W1743">
        <v>0</v>
      </c>
      <c r="X1743">
        <v>0</v>
      </c>
      <c r="Y1743">
        <v>0</v>
      </c>
      <c r="Z1743">
        <v>0</v>
      </c>
      <c r="AA1743">
        <v>0</v>
      </c>
      <c r="AB1743">
        <v>0</v>
      </c>
      <c r="AC1743">
        <v>0</v>
      </c>
      <c r="AD1743">
        <v>0</v>
      </c>
      <c r="AE1743">
        <v>0</v>
      </c>
      <c r="AF1743">
        <v>2</v>
      </c>
      <c r="AG1743">
        <v>0</v>
      </c>
      <c r="AH1743">
        <v>0</v>
      </c>
      <c r="AI1743">
        <v>0</v>
      </c>
      <c r="AJ1743">
        <v>0</v>
      </c>
      <c r="AK1743">
        <v>0</v>
      </c>
      <c r="AL1743">
        <v>0</v>
      </c>
      <c r="AM1743">
        <v>0</v>
      </c>
      <c r="AN1743">
        <v>1</v>
      </c>
      <c r="AO1743">
        <v>2</v>
      </c>
      <c r="AP1743">
        <v>0</v>
      </c>
      <c r="AQ1743">
        <v>0</v>
      </c>
      <c r="AR1743">
        <v>0</v>
      </c>
      <c r="AS1743">
        <v>0</v>
      </c>
      <c r="AT1743">
        <v>0</v>
      </c>
      <c r="AU1743">
        <v>0</v>
      </c>
      <c r="AV1743">
        <v>0</v>
      </c>
      <c r="AW1743">
        <v>0</v>
      </c>
      <c r="AX1743" s="141">
        <f t="shared" si="2282"/>
        <v>3</v>
      </c>
      <c r="AY1743" s="141">
        <f t="shared" si="2283"/>
        <v>1</v>
      </c>
      <c r="AZ1743">
        <f t="shared" si="2284"/>
        <v>0</v>
      </c>
      <c r="BA1743">
        <f t="shared" si="2285"/>
        <v>1</v>
      </c>
      <c r="BB1743">
        <f t="shared" si="2286"/>
        <v>0</v>
      </c>
      <c r="BC1743">
        <f t="shared" si="2287"/>
        <v>0</v>
      </c>
      <c r="BD1743">
        <f t="shared" si="2288"/>
        <v>2</v>
      </c>
      <c r="BE1743" t="str">
        <f t="array" ref="BE1743">IF(AY1743=1,INDEX($V$7:$AL$7,MATCH(TRUE,INDEX($V1743:$AW1743&lt;&gt;0,),0)),IF(AY1743=0,INDEX($AM$7:$AW$7,MATCH(1,$AM1743:$AW1743,0)),IF(BF1743="Multiple strategies","mixed drivers",IF(BF1743="Supply chain","multiple supply","multiple silviculture"))))</f>
        <v>supply chain organization</v>
      </c>
      <c r="BF1743" s="2" t="str" cm="1">
        <f t="array" ref="BF1743">IF(COUNTIF(AZ1743:BB1743,"&lt;&gt;0")=1,INDEX($V$4:$AW$4,MATCH(TRUE,INDEX($V1743:$AW1743&lt;&gt;0,),0)),IF(COUNTIF(AZ1743:BB1743,"&lt;&gt;0")=0,INDEX($AM$4:$AW$4,MATCH(1,$AM1743:$AW1743,0)),"Multiple strategies"))</f>
        <v>Supply chain</v>
      </c>
      <c r="BG1743" s="1"/>
      <c r="BH1743"/>
      <c r="BI1743"/>
      <c r="BJ1743"/>
      <c r="BK1743"/>
      <c r="BL1743"/>
      <c r="BM1743" s="143"/>
      <c r="BN1743" s="143"/>
      <c r="BO1743"/>
      <c r="BP1743" s="143" t="s">
        <v>232</v>
      </c>
      <c r="BQ1743" s="143"/>
      <c r="BR1743" t="s">
        <v>1194</v>
      </c>
      <c r="BS1743">
        <v>29471.133802816759</v>
      </c>
      <c r="BT1743">
        <v>37149.160118605767</v>
      </c>
      <c r="BU1743" s="144">
        <f t="shared" si="2289"/>
        <v>1.2605270081280404</v>
      </c>
      <c r="BV1743" s="144">
        <f t="shared" si="2290"/>
        <v>7678.0263157890076</v>
      </c>
      <c r="BW1743" s="144"/>
      <c r="BX1743" s="144">
        <f t="shared" si="2291"/>
        <v>7678.0263157890076</v>
      </c>
      <c r="BY1743" t="str">
        <f t="shared" si="2279"/>
        <v/>
      </c>
      <c r="BZ1743">
        <v>0</v>
      </c>
      <c r="CA1743">
        <v>0</v>
      </c>
      <c r="CB1743">
        <v>0</v>
      </c>
      <c r="CC1743">
        <v>0</v>
      </c>
      <c r="CD1743">
        <v>0</v>
      </c>
      <c r="CE1743">
        <v>0</v>
      </c>
      <c r="CF1743">
        <v>0</v>
      </c>
      <c r="CG1743">
        <v>0</v>
      </c>
      <c r="CH1743">
        <v>0</v>
      </c>
      <c r="CI1743">
        <v>0</v>
      </c>
      <c r="CJ1743">
        <v>0</v>
      </c>
      <c r="CK1743">
        <v>0</v>
      </c>
      <c r="CL1743">
        <v>0</v>
      </c>
      <c r="CM1743">
        <v>1</v>
      </c>
      <c r="CN1743" t="str">
        <f t="shared" si="2281"/>
        <v>refOK</v>
      </c>
      <c r="CO1743"/>
      <c r="CP1743"/>
      <c r="CQ1743"/>
      <c r="CR1743">
        <f t="shared" si="2292"/>
        <v>29471.133802816759</v>
      </c>
      <c r="CS1743">
        <f t="shared" si="2293"/>
        <v>37149.160118605767</v>
      </c>
      <c r="CT1743">
        <f t="shared" si="2294"/>
        <v>7678.0263157890076</v>
      </c>
      <c r="CU1743" t="str">
        <f t="shared" si="2295"/>
        <v/>
      </c>
      <c r="CV1743" s="2">
        <f t="shared" si="2296"/>
        <v>0.26052700812804036</v>
      </c>
      <c r="CW1743" s="1" t="s">
        <v>1198</v>
      </c>
      <c r="CX1743" t="str">
        <f t="shared" si="2297"/>
        <v>reg</v>
      </c>
      <c r="CY1743" t="s">
        <v>235</v>
      </c>
      <c r="CZ1743">
        <v>2010</v>
      </c>
      <c r="DA1743">
        <v>2070</v>
      </c>
      <c r="DB1743">
        <f t="shared" si="2298"/>
        <v>60</v>
      </c>
      <c r="DC1743" t="str">
        <f t="shared" si="2299"/>
        <v>31-70</v>
      </c>
      <c r="DD1743">
        <v>1</v>
      </c>
      <c r="DE1743">
        <v>1</v>
      </c>
      <c r="DF1743">
        <v>1</v>
      </c>
      <c r="DG1743">
        <v>1</v>
      </c>
      <c r="DH1743">
        <v>0</v>
      </c>
      <c r="DI1743">
        <f t="shared" si="2300"/>
        <v>4</v>
      </c>
      <c r="DJ1743" t="str">
        <f t="shared" si="2301"/>
        <v>mixedProduct</v>
      </c>
      <c r="DK1743" t="str">
        <f t="shared" si="2302"/>
        <v>Upstream</v>
      </c>
      <c r="DL1743" t="str">
        <f t="shared" si="2303"/>
        <v>Energy</v>
      </c>
      <c r="DM1743" t="str">
        <f t="shared" si="2304"/>
        <v>Pulp/Paper</v>
      </c>
      <c r="DN1743" t="str">
        <f t="shared" si="2305"/>
        <v>Timber</v>
      </c>
      <c r="DO1743">
        <v>0</v>
      </c>
      <c r="DP1743">
        <v>1</v>
      </c>
      <c r="DQ1743" t="s">
        <v>2523</v>
      </c>
      <c r="DR1743" t="s">
        <v>2524</v>
      </c>
      <c r="DS1743">
        <v>0</v>
      </c>
      <c r="DT1743">
        <f t="shared" si="2306"/>
        <v>1</v>
      </c>
      <c r="DU1743" s="143" t="str">
        <f t="shared" si="2307"/>
        <v>external DF used</v>
      </c>
      <c r="DV1743">
        <v>1</v>
      </c>
      <c r="DW1743">
        <v>1</v>
      </c>
      <c r="DX1743">
        <v>1</v>
      </c>
      <c r="DY1743">
        <v>1</v>
      </c>
      <c r="DZ1743">
        <v>0</v>
      </c>
      <c r="EA1743" s="143">
        <v>0</v>
      </c>
      <c r="EB1743">
        <v>1</v>
      </c>
      <c r="EC1743">
        <v>1</v>
      </c>
      <c r="ED1743">
        <v>0</v>
      </c>
      <c r="EE1743">
        <v>0</v>
      </c>
      <c r="EF1743">
        <v>1</v>
      </c>
      <c r="EG1743">
        <v>0</v>
      </c>
      <c r="EH1743">
        <v>0</v>
      </c>
      <c r="EI1743" s="2">
        <v>0</v>
      </c>
      <c r="EJ1743" s="1"/>
      <c r="EK1743" t="str">
        <f t="shared" si="2308"/>
        <v>Whole sector</v>
      </c>
      <c r="EL1743" t="str">
        <f t="shared" si="2309"/>
        <v/>
      </c>
      <c r="EM1743" s="2" t="str">
        <f t="shared" si="2280"/>
        <v/>
      </c>
      <c r="EN1743" t="s">
        <v>2507</v>
      </c>
      <c r="EO1743"/>
      <c r="EP1743" t="b">
        <f>IF(ISNUMBER(BU1743),IF(ABS(BU1743-[3]QC_indicators!$B$2)&gt;3*[3]QC_indicators!$C$2,"C ratio",IF(ISNUMBER(BY1743),IF(ABS(BY1743-[3]QC_indicators!$B$1)&gt;3*[3]QC_indicators!$C$1,"DF","no"))),IF(ISNUMBER(BY1743),IF(ABS(BY1743-[3]QC_indicators!$B$1)&gt;3*[3]QC_indicators!$C$1,"DF","no")))</f>
        <v>0</v>
      </c>
      <c r="EQ1743"/>
      <c r="ER1743"/>
      <c r="ES1743"/>
      <c r="ET1743" s="264" t="s">
        <v>3272</v>
      </c>
      <c r="EU1743"/>
    </row>
    <row r="1744" spans="1:151" s="185" customFormat="1" ht="15" hidden="1" customHeight="1">
      <c r="A1744" s="1" t="s">
        <v>1422</v>
      </c>
      <c r="B1744" t="s">
        <v>2489</v>
      </c>
      <c r="C1744" t="s">
        <v>2490</v>
      </c>
      <c r="D1744" t="s">
        <v>2491</v>
      </c>
      <c r="E1744" t="s">
        <v>2492</v>
      </c>
      <c r="F1744" t="s">
        <v>2493</v>
      </c>
      <c r="G1744" t="s">
        <v>1428</v>
      </c>
      <c r="H1744" t="s">
        <v>254</v>
      </c>
      <c r="I1744">
        <v>2016</v>
      </c>
      <c r="J1744">
        <v>24</v>
      </c>
      <c r="K1744" t="s">
        <v>2494</v>
      </c>
      <c r="L1744"/>
      <c r="M1744" t="str">
        <f t="shared" si="2310"/>
        <v>Zubizarreta-Gerendiain_2016</v>
      </c>
      <c r="N1744" t="s">
        <v>222</v>
      </c>
      <c r="O1744" s="145" t="s">
        <v>1153</v>
      </c>
      <c r="P1744"/>
      <c r="Q1744" t="s">
        <v>256</v>
      </c>
      <c r="R1744" s="262" t="s">
        <v>223</v>
      </c>
      <c r="S1744" s="1" t="s">
        <v>2520</v>
      </c>
      <c r="T1744" t="s">
        <v>2514</v>
      </c>
      <c r="U1744" t="s">
        <v>2521</v>
      </c>
      <c r="V1744">
        <v>0</v>
      </c>
      <c r="W1744">
        <v>0</v>
      </c>
      <c r="X1744">
        <v>0</v>
      </c>
      <c r="Y1744">
        <v>0</v>
      </c>
      <c r="Z1744">
        <v>0</v>
      </c>
      <c r="AA1744">
        <v>0</v>
      </c>
      <c r="AB1744">
        <v>0</v>
      </c>
      <c r="AC1744">
        <v>0</v>
      </c>
      <c r="AD1744">
        <v>0</v>
      </c>
      <c r="AE1744">
        <v>0</v>
      </c>
      <c r="AF1744">
        <v>2</v>
      </c>
      <c r="AG1744">
        <v>0</v>
      </c>
      <c r="AH1744">
        <v>0</v>
      </c>
      <c r="AI1744">
        <v>0</v>
      </c>
      <c r="AJ1744">
        <v>0</v>
      </c>
      <c r="AK1744">
        <v>0</v>
      </c>
      <c r="AL1744">
        <v>0</v>
      </c>
      <c r="AM1744">
        <v>0</v>
      </c>
      <c r="AN1744">
        <v>1</v>
      </c>
      <c r="AO1744">
        <v>2</v>
      </c>
      <c r="AP1744">
        <v>0</v>
      </c>
      <c r="AQ1744">
        <v>0</v>
      </c>
      <c r="AR1744">
        <v>0</v>
      </c>
      <c r="AS1744">
        <v>0</v>
      </c>
      <c r="AT1744">
        <v>0</v>
      </c>
      <c r="AU1744">
        <v>0</v>
      </c>
      <c r="AV1744">
        <v>0</v>
      </c>
      <c r="AW1744">
        <v>0</v>
      </c>
      <c r="AX1744" s="141">
        <f t="shared" si="2282"/>
        <v>3</v>
      </c>
      <c r="AY1744" s="141">
        <f t="shared" si="2283"/>
        <v>1</v>
      </c>
      <c r="AZ1744">
        <f t="shared" si="2284"/>
        <v>0</v>
      </c>
      <c r="BA1744">
        <f t="shared" si="2285"/>
        <v>1</v>
      </c>
      <c r="BB1744">
        <f t="shared" si="2286"/>
        <v>0</v>
      </c>
      <c r="BC1744">
        <f t="shared" si="2287"/>
        <v>0</v>
      </c>
      <c r="BD1744">
        <f t="shared" si="2288"/>
        <v>2</v>
      </c>
      <c r="BE1744" t="str">
        <f t="array" ref="BE1744">IF(AY1744=1,INDEX($V$7:$AL$7,MATCH(TRUE,INDEX($V1744:$AW1744&lt;&gt;0,),0)),IF(AY1744=0,INDEX($AM$7:$AW$7,MATCH(1,$AM1744:$AW1744,0)),IF(BF1744="Multiple strategies","mixed drivers",IF(BF1744="Supply chain","multiple supply","multiple silviculture"))))</f>
        <v>supply chain organization</v>
      </c>
      <c r="BF1744" s="2" t="str" cm="1">
        <f t="array" ref="BF1744">IF(COUNTIF(AZ1744:BB1744,"&lt;&gt;0")=1,INDEX($V$4:$AW$4,MATCH(TRUE,INDEX($V1744:$AW1744&lt;&gt;0,),0)),IF(COUNTIF(AZ1744:BB1744,"&lt;&gt;0")=0,INDEX($AM$4:$AW$4,MATCH(1,$AM1744:$AW1744,0)),"Multiple strategies"))</f>
        <v>Supply chain</v>
      </c>
      <c r="BG1744" s="1"/>
      <c r="BH1744"/>
      <c r="BI1744"/>
      <c r="BJ1744"/>
      <c r="BK1744"/>
      <c r="BL1744"/>
      <c r="BM1744" s="143"/>
      <c r="BN1744" s="143"/>
      <c r="BO1744"/>
      <c r="BP1744" s="143" t="s">
        <v>232</v>
      </c>
      <c r="BQ1744" s="143"/>
      <c r="BR1744" t="s">
        <v>1194</v>
      </c>
      <c r="BS1744">
        <v>-104293.97798882655</v>
      </c>
      <c r="BT1744">
        <v>-105324.55089385468</v>
      </c>
      <c r="BU1744" s="144">
        <f t="shared" si="2289"/>
        <v>1.0098814229249031</v>
      </c>
      <c r="BV1744" s="144">
        <f t="shared" si="2290"/>
        <v>-1030.572905028137</v>
      </c>
      <c r="BW1744" s="144"/>
      <c r="BX1744" s="144">
        <f t="shared" si="2291"/>
        <v>-1030.572905028137</v>
      </c>
      <c r="BY1744" t="str">
        <f t="shared" si="2279"/>
        <v/>
      </c>
      <c r="BZ1744">
        <v>0</v>
      </c>
      <c r="CA1744">
        <v>0</v>
      </c>
      <c r="CB1744">
        <v>0</v>
      </c>
      <c r="CC1744">
        <v>0</v>
      </c>
      <c r="CD1744">
        <v>0</v>
      </c>
      <c r="CE1744">
        <v>0</v>
      </c>
      <c r="CF1744">
        <v>0</v>
      </c>
      <c r="CG1744">
        <v>0</v>
      </c>
      <c r="CH1744">
        <v>0</v>
      </c>
      <c r="CI1744">
        <v>0</v>
      </c>
      <c r="CJ1744">
        <v>0</v>
      </c>
      <c r="CK1744">
        <v>0</v>
      </c>
      <c r="CL1744">
        <v>0</v>
      </c>
      <c r="CM1744">
        <v>1</v>
      </c>
      <c r="CN1744" t="str">
        <f t="shared" si="2281"/>
        <v>refOK</v>
      </c>
      <c r="CO1744"/>
      <c r="CP1744"/>
      <c r="CQ1744"/>
      <c r="CR1744">
        <f t="shared" si="2292"/>
        <v>-104293.97798882655</v>
      </c>
      <c r="CS1744">
        <f t="shared" si="2293"/>
        <v>-105324.55089385468</v>
      </c>
      <c r="CT1744">
        <f t="shared" si="2294"/>
        <v>-1030.572905028137</v>
      </c>
      <c r="CU1744" t="str">
        <f t="shared" si="2295"/>
        <v/>
      </c>
      <c r="CV1744" s="2">
        <f t="shared" si="2296"/>
        <v>-9.881422924903167E-3</v>
      </c>
      <c r="CW1744" s="1" t="s">
        <v>1198</v>
      </c>
      <c r="CX1744" t="str">
        <f t="shared" si="2297"/>
        <v>reg</v>
      </c>
      <c r="CY1744" t="s">
        <v>235</v>
      </c>
      <c r="CZ1744">
        <v>2010</v>
      </c>
      <c r="DA1744">
        <v>2070</v>
      </c>
      <c r="DB1744">
        <f t="shared" si="2298"/>
        <v>60</v>
      </c>
      <c r="DC1744" t="str">
        <f t="shared" si="2299"/>
        <v>31-70</v>
      </c>
      <c r="DD1744">
        <v>1</v>
      </c>
      <c r="DE1744">
        <v>1</v>
      </c>
      <c r="DF1744">
        <v>1</v>
      </c>
      <c r="DG1744">
        <v>1</v>
      </c>
      <c r="DH1744">
        <v>0</v>
      </c>
      <c r="DI1744">
        <f t="shared" si="2300"/>
        <v>4</v>
      </c>
      <c r="DJ1744" t="str">
        <f t="shared" si="2301"/>
        <v>mixedProduct</v>
      </c>
      <c r="DK1744" t="str">
        <f t="shared" si="2302"/>
        <v>Upstream</v>
      </c>
      <c r="DL1744" t="str">
        <f t="shared" si="2303"/>
        <v>Energy</v>
      </c>
      <c r="DM1744" t="str">
        <f t="shared" si="2304"/>
        <v>Pulp/Paper</v>
      </c>
      <c r="DN1744" t="str">
        <f t="shared" si="2305"/>
        <v>Timber</v>
      </c>
      <c r="DO1744">
        <v>0</v>
      </c>
      <c r="DP1744">
        <v>0</v>
      </c>
      <c r="DQ1744">
        <v>0</v>
      </c>
      <c r="DR1744">
        <v>0</v>
      </c>
      <c r="DS1744">
        <v>0</v>
      </c>
      <c r="DT1744">
        <f t="shared" si="2306"/>
        <v>0</v>
      </c>
      <c r="DU1744" s="143" t="str">
        <f t="shared" si="2307"/>
        <v>explicit C balance</v>
      </c>
      <c r="DV1744">
        <v>1</v>
      </c>
      <c r="DW1744">
        <v>1</v>
      </c>
      <c r="DX1744">
        <v>1</v>
      </c>
      <c r="DY1744">
        <v>0</v>
      </c>
      <c r="DZ1744">
        <v>0</v>
      </c>
      <c r="EA1744" s="143">
        <v>0</v>
      </c>
      <c r="EB1744">
        <v>1</v>
      </c>
      <c r="EC1744">
        <v>1</v>
      </c>
      <c r="ED1744">
        <v>0</v>
      </c>
      <c r="EE1744">
        <v>0</v>
      </c>
      <c r="EF1744">
        <v>1</v>
      </c>
      <c r="EG1744">
        <v>0</v>
      </c>
      <c r="EH1744">
        <v>0</v>
      </c>
      <c r="EI1744" s="2">
        <v>0</v>
      </c>
      <c r="EJ1744" s="1"/>
      <c r="EK1744" t="str">
        <f t="shared" si="2308"/>
        <v>Whole sector</v>
      </c>
      <c r="EL1744" t="str">
        <f t="shared" si="2309"/>
        <v/>
      </c>
      <c r="EM1744" s="2" t="str">
        <f t="shared" si="2280"/>
        <v/>
      </c>
      <c r="EN1744" t="s">
        <v>2507</v>
      </c>
      <c r="EO1744"/>
      <c r="EP1744" t="b">
        <f>IF(ISNUMBER(BU1744),IF(ABS(BU1744-[3]QC_indicators!$B$2)&gt;3*[3]QC_indicators!$C$2,"C ratio",IF(ISNUMBER(BY1744),IF(ABS(BY1744-[3]QC_indicators!$B$1)&gt;3*[3]QC_indicators!$C$1,"DF","no"))),IF(ISNUMBER(BY1744),IF(ABS(BY1744-[3]QC_indicators!$B$1)&gt;3*[3]QC_indicators!$C$1,"DF","no")))</f>
        <v>0</v>
      </c>
      <c r="EQ1744"/>
      <c r="ER1744"/>
      <c r="ES1744"/>
      <c r="ET1744" s="264" t="s">
        <v>3272</v>
      </c>
      <c r="EU1744"/>
    </row>
    <row r="1745" spans="1:150" hidden="1">
      <c r="A1745" s="1" t="s">
        <v>1422</v>
      </c>
      <c r="B1745" t="s">
        <v>2489</v>
      </c>
      <c r="C1745" t="s">
        <v>2490</v>
      </c>
      <c r="D1745" t="s">
        <v>2491</v>
      </c>
      <c r="E1745" t="s">
        <v>2492</v>
      </c>
      <c r="F1745" t="s">
        <v>2493</v>
      </c>
      <c r="G1745" t="s">
        <v>1428</v>
      </c>
      <c r="H1745" t="s">
        <v>254</v>
      </c>
      <c r="I1745">
        <v>2016</v>
      </c>
      <c r="J1745">
        <v>24</v>
      </c>
      <c r="K1745" t="s">
        <v>2494</v>
      </c>
      <c r="M1745" t="str">
        <f t="shared" si="2310"/>
        <v>Zubizarreta-Gerendiain_2016</v>
      </c>
      <c r="N1745" t="s">
        <v>222</v>
      </c>
      <c r="O1745" s="145" t="s">
        <v>1153</v>
      </c>
      <c r="Q1745" t="s">
        <v>256</v>
      </c>
      <c r="R1745" s="262" t="s">
        <v>223</v>
      </c>
      <c r="S1745" s="1" t="s">
        <v>2520</v>
      </c>
      <c r="T1745" t="s">
        <v>2514</v>
      </c>
      <c r="U1745" t="s">
        <v>2521</v>
      </c>
      <c r="V1745">
        <v>0</v>
      </c>
      <c r="W1745">
        <v>0</v>
      </c>
      <c r="X1745">
        <v>0</v>
      </c>
      <c r="Y1745">
        <v>0</v>
      </c>
      <c r="Z1745">
        <v>0</v>
      </c>
      <c r="AA1745">
        <v>0</v>
      </c>
      <c r="AB1745">
        <v>0</v>
      </c>
      <c r="AC1745">
        <v>0</v>
      </c>
      <c r="AD1745">
        <v>0</v>
      </c>
      <c r="AE1745">
        <v>0</v>
      </c>
      <c r="AF1745">
        <v>2</v>
      </c>
      <c r="AG1745">
        <v>0</v>
      </c>
      <c r="AH1745">
        <v>0</v>
      </c>
      <c r="AI1745">
        <v>0</v>
      </c>
      <c r="AJ1745">
        <v>0</v>
      </c>
      <c r="AK1745">
        <v>0</v>
      </c>
      <c r="AL1745">
        <v>0</v>
      </c>
      <c r="AM1745">
        <v>0</v>
      </c>
      <c r="AN1745">
        <v>1</v>
      </c>
      <c r="AO1745">
        <v>2</v>
      </c>
      <c r="AP1745">
        <v>0</v>
      </c>
      <c r="AQ1745">
        <v>0</v>
      </c>
      <c r="AR1745">
        <v>0</v>
      </c>
      <c r="AS1745">
        <v>0</v>
      </c>
      <c r="AT1745">
        <v>0</v>
      </c>
      <c r="AU1745">
        <v>0</v>
      </c>
      <c r="AV1745">
        <v>0</v>
      </c>
      <c r="AW1745">
        <v>0</v>
      </c>
      <c r="AX1745" s="141">
        <f t="shared" si="2282"/>
        <v>3</v>
      </c>
      <c r="AY1745" s="141">
        <f t="shared" si="2283"/>
        <v>1</v>
      </c>
      <c r="AZ1745">
        <f t="shared" si="2284"/>
        <v>0</v>
      </c>
      <c r="BA1745">
        <f t="shared" si="2285"/>
        <v>1</v>
      </c>
      <c r="BB1745">
        <f t="shared" si="2286"/>
        <v>0</v>
      </c>
      <c r="BC1745">
        <f t="shared" si="2287"/>
        <v>0</v>
      </c>
      <c r="BD1745">
        <f t="shared" si="2288"/>
        <v>2</v>
      </c>
      <c r="BE1745" t="str">
        <f t="array" ref="BE1745">IF(AY1745=1,INDEX($V$7:$AL$7,MATCH(TRUE,INDEX($V1745:$AW1745&lt;&gt;0,),0)),IF(AY1745=0,INDEX($AM$7:$AW$7,MATCH(1,$AM1745:$AW1745,0)),IF(BF1745="Multiple strategies","mixed drivers",IF(BF1745="Supply chain","multiple supply","multiple silviculture"))))</f>
        <v>supply chain organization</v>
      </c>
      <c r="BF1745" s="2" t="str" cm="1">
        <f t="array" ref="BF1745">IF(COUNTIF(AZ1745:BB1745,"&lt;&gt;0")=1,INDEX($V$4:$AW$4,MATCH(TRUE,INDEX($V1745:$AW1745&lt;&gt;0,),0)),IF(COUNTIF(AZ1745:BB1745,"&lt;&gt;0")=0,INDEX($AM$4:$AW$4,MATCH(1,$AM1745:$AW1745,0)),"Multiple strategies"))</f>
        <v>Supply chain</v>
      </c>
      <c r="BM1745" s="143"/>
      <c r="BN1745" s="143"/>
      <c r="BP1745" s="143" t="s">
        <v>232</v>
      </c>
      <c r="BQ1745" s="143"/>
      <c r="BR1745" t="s">
        <v>1194</v>
      </c>
      <c r="BS1745">
        <v>-14015.791508379843</v>
      </c>
      <c r="BT1745">
        <v>-1648.9166480446902</v>
      </c>
      <c r="BU1745" s="144">
        <f t="shared" si="2289"/>
        <v>0.1176470588235296</v>
      </c>
      <c r="BV1745" s="144">
        <f t="shared" si="2290"/>
        <v>12366.874860335152</v>
      </c>
      <c r="BW1745" s="144"/>
      <c r="BX1745" s="144">
        <f t="shared" si="2291"/>
        <v>12366.874860335152</v>
      </c>
      <c r="BY1745" t="str">
        <f t="shared" si="2279"/>
        <v/>
      </c>
      <c r="BZ1745">
        <v>0</v>
      </c>
      <c r="CA1745">
        <v>0</v>
      </c>
      <c r="CB1745">
        <v>0</v>
      </c>
      <c r="CC1745">
        <v>0</v>
      </c>
      <c r="CD1745">
        <v>0</v>
      </c>
      <c r="CE1745">
        <v>0</v>
      </c>
      <c r="CF1745">
        <v>0</v>
      </c>
      <c r="CG1745">
        <v>0</v>
      </c>
      <c r="CH1745">
        <v>0</v>
      </c>
      <c r="CI1745">
        <v>0</v>
      </c>
      <c r="CJ1745">
        <v>0</v>
      </c>
      <c r="CK1745">
        <v>0</v>
      </c>
      <c r="CL1745">
        <v>0</v>
      </c>
      <c r="CM1745">
        <v>1</v>
      </c>
      <c r="CN1745" t="str">
        <f t="shared" si="2281"/>
        <v>refOK</v>
      </c>
      <c r="CO1745"/>
      <c r="CP1745"/>
      <c r="CQ1745"/>
      <c r="CR1745">
        <f t="shared" si="2292"/>
        <v>-14015.791508379843</v>
      </c>
      <c r="CS1745">
        <f t="shared" si="2293"/>
        <v>-1648.9166480446902</v>
      </c>
      <c r="CT1745">
        <f t="shared" si="2294"/>
        <v>12366.874860335152</v>
      </c>
      <c r="CU1745" t="str">
        <f t="shared" si="2295"/>
        <v/>
      </c>
      <c r="CV1745" s="2">
        <f t="shared" si="2296"/>
        <v>0.88235294117647034</v>
      </c>
      <c r="CW1745" s="1" t="s">
        <v>1198</v>
      </c>
      <c r="CX1745" t="str">
        <f t="shared" si="2297"/>
        <v>reg</v>
      </c>
      <c r="CY1745" t="s">
        <v>235</v>
      </c>
      <c r="CZ1745">
        <v>2010</v>
      </c>
      <c r="DA1745">
        <v>2070</v>
      </c>
      <c r="DB1745">
        <f t="shared" si="2298"/>
        <v>60</v>
      </c>
      <c r="DC1745" t="str">
        <f t="shared" si="2299"/>
        <v>31-70</v>
      </c>
      <c r="DD1745">
        <v>1</v>
      </c>
      <c r="DE1745">
        <v>1</v>
      </c>
      <c r="DF1745">
        <v>1</v>
      </c>
      <c r="DG1745">
        <v>1</v>
      </c>
      <c r="DH1745">
        <v>0</v>
      </c>
      <c r="DI1745">
        <f t="shared" si="2300"/>
        <v>4</v>
      </c>
      <c r="DJ1745" t="str">
        <f t="shared" si="2301"/>
        <v>mixedProduct</v>
      </c>
      <c r="DK1745" t="str">
        <f t="shared" si="2302"/>
        <v>Upstream</v>
      </c>
      <c r="DL1745" t="str">
        <f t="shared" si="2303"/>
        <v>Energy</v>
      </c>
      <c r="DM1745" t="str">
        <f t="shared" si="2304"/>
        <v>Pulp/Paper</v>
      </c>
      <c r="DN1745" t="str">
        <f t="shared" si="2305"/>
        <v>Timber</v>
      </c>
      <c r="DO1745">
        <v>0</v>
      </c>
      <c r="DP1745">
        <v>1</v>
      </c>
      <c r="DQ1745" t="s">
        <v>2523</v>
      </c>
      <c r="DR1745" t="s">
        <v>2524</v>
      </c>
      <c r="DS1745">
        <v>0</v>
      </c>
      <c r="DT1745">
        <f t="shared" si="2306"/>
        <v>1</v>
      </c>
      <c r="DU1745" s="143" t="str">
        <f t="shared" si="2307"/>
        <v>external DF used</v>
      </c>
      <c r="DV1745">
        <v>1</v>
      </c>
      <c r="DW1745">
        <v>1</v>
      </c>
      <c r="DX1745">
        <v>1</v>
      </c>
      <c r="DY1745">
        <v>1</v>
      </c>
      <c r="DZ1745">
        <v>0</v>
      </c>
      <c r="EA1745" s="143">
        <v>0</v>
      </c>
      <c r="EB1745">
        <v>1</v>
      </c>
      <c r="EC1745">
        <v>1</v>
      </c>
      <c r="ED1745">
        <v>0</v>
      </c>
      <c r="EE1745">
        <v>0</v>
      </c>
      <c r="EF1745">
        <v>1</v>
      </c>
      <c r="EG1745">
        <v>0</v>
      </c>
      <c r="EH1745">
        <v>0</v>
      </c>
      <c r="EI1745" s="2">
        <v>0</v>
      </c>
      <c r="EK1745" t="str">
        <f t="shared" si="2308"/>
        <v>Whole sector</v>
      </c>
      <c r="EL1745" t="str">
        <f t="shared" si="2309"/>
        <v/>
      </c>
      <c r="EM1745" s="2" t="str">
        <f t="shared" si="2280"/>
        <v/>
      </c>
      <c r="EN1745" t="s">
        <v>2507</v>
      </c>
      <c r="EP1745" t="b">
        <f>IF(ISNUMBER(BU1745),IF(ABS(BU1745-[3]QC_indicators!$B$2)&gt;3*[3]QC_indicators!$C$2,"C ratio",IF(ISNUMBER(BY1745),IF(ABS(BY1745-[3]QC_indicators!$B$1)&gt;3*[3]QC_indicators!$C$1,"DF","no"))),IF(ISNUMBER(BY1745),IF(ABS(BY1745-[3]QC_indicators!$B$1)&gt;3*[3]QC_indicators!$C$1,"DF","no")))</f>
        <v>0</v>
      </c>
      <c r="ET1745" s="264" t="s">
        <v>3272</v>
      </c>
    </row>
    <row r="1746" spans="1:150">
      <c r="BE1746"/>
      <c r="BF1746" s="2"/>
      <c r="CN1746"/>
      <c r="CO1746"/>
      <c r="CP1746"/>
      <c r="CQ1746"/>
      <c r="CR1746"/>
      <c r="CS1746"/>
      <c r="CT1746"/>
      <c r="CU1746"/>
      <c r="CV1746" s="2"/>
      <c r="CX1746"/>
      <c r="DC1746"/>
      <c r="DI1746"/>
      <c r="DJ1746"/>
      <c r="DK1746"/>
      <c r="DL1746"/>
      <c r="DM1746"/>
      <c r="DN1746"/>
      <c r="DT1746"/>
      <c r="DU1746"/>
    </row>
    <row r="1747" spans="1:150">
      <c r="BE1747"/>
      <c r="BF1747" s="2"/>
      <c r="CN1747"/>
      <c r="CO1747"/>
      <c r="CP1747"/>
      <c r="CQ1747"/>
      <c r="CR1747"/>
      <c r="CS1747"/>
      <c r="CT1747"/>
      <c r="CU1747"/>
      <c r="CV1747" s="2"/>
      <c r="CX1747"/>
      <c r="DC1747"/>
      <c r="DI1747"/>
      <c r="DJ1747"/>
      <c r="DK1747"/>
      <c r="DL1747"/>
      <c r="DM1747"/>
      <c r="DN1747"/>
      <c r="DT1747"/>
      <c r="DU1747"/>
    </row>
    <row r="1748" spans="1:150">
      <c r="BE1748"/>
      <c r="BF1748" s="2"/>
      <c r="CN1748"/>
      <c r="CO1748"/>
      <c r="CP1748"/>
      <c r="CQ1748"/>
      <c r="CR1748"/>
      <c r="CS1748"/>
      <c r="CT1748"/>
      <c r="CU1748"/>
      <c r="CV1748" s="2"/>
      <c r="CX1748"/>
      <c r="DC1748"/>
      <c r="DI1748"/>
      <c r="DJ1748"/>
      <c r="DK1748"/>
      <c r="DL1748"/>
      <c r="DM1748"/>
      <c r="DN1748"/>
      <c r="DT1748"/>
      <c r="DU1748"/>
    </row>
    <row r="1749" spans="1:150">
      <c r="BE1749"/>
      <c r="BF1749" s="2"/>
      <c r="CN1749"/>
      <c r="CO1749"/>
      <c r="CP1749"/>
      <c r="CQ1749"/>
      <c r="CR1749"/>
      <c r="CS1749"/>
      <c r="CT1749"/>
      <c r="CU1749"/>
      <c r="CV1749" s="2"/>
      <c r="CX1749"/>
      <c r="DC1749"/>
      <c r="DI1749"/>
      <c r="DJ1749"/>
      <c r="DK1749"/>
      <c r="DL1749"/>
      <c r="DM1749"/>
      <c r="DN1749"/>
      <c r="DT1749"/>
      <c r="DU1749"/>
    </row>
    <row r="1750" spans="1:150">
      <c r="BE1750"/>
      <c r="BF1750" s="2"/>
      <c r="CN1750"/>
      <c r="CO1750"/>
      <c r="CP1750"/>
      <c r="CQ1750"/>
      <c r="CR1750"/>
      <c r="CS1750"/>
      <c r="CT1750"/>
      <c r="CU1750"/>
      <c r="CV1750" s="2"/>
      <c r="CX1750"/>
      <c r="DC1750"/>
      <c r="DI1750"/>
      <c r="DJ1750"/>
      <c r="DK1750"/>
      <c r="DL1750"/>
      <c r="DM1750"/>
      <c r="DN1750"/>
      <c r="DT1750"/>
      <c r="DU1750"/>
    </row>
    <row r="1751" spans="1:150">
      <c r="BE1751"/>
      <c r="BF1751" s="2"/>
      <c r="CN1751"/>
      <c r="CO1751"/>
      <c r="CP1751"/>
      <c r="CQ1751"/>
      <c r="CR1751"/>
      <c r="CS1751"/>
      <c r="CT1751"/>
      <c r="CU1751"/>
      <c r="CV1751" s="2"/>
      <c r="CX1751"/>
      <c r="DC1751"/>
      <c r="DI1751"/>
      <c r="DJ1751"/>
      <c r="DK1751"/>
      <c r="DL1751"/>
      <c r="DM1751"/>
      <c r="DN1751"/>
      <c r="DT1751"/>
      <c r="DU1751"/>
    </row>
    <row r="1752" spans="1:150">
      <c r="BE1752"/>
      <c r="BF1752" s="2"/>
      <c r="CN1752"/>
      <c r="CO1752"/>
      <c r="CP1752"/>
      <c r="CQ1752"/>
      <c r="CR1752"/>
      <c r="CS1752"/>
      <c r="CT1752"/>
      <c r="CU1752"/>
      <c r="CV1752" s="2"/>
      <c r="CX1752"/>
      <c r="DC1752"/>
      <c r="DI1752"/>
      <c r="DJ1752"/>
      <c r="DK1752"/>
      <c r="DL1752"/>
      <c r="DM1752"/>
      <c r="DN1752"/>
      <c r="DT1752"/>
      <c r="DU1752"/>
    </row>
    <row r="1753" spans="1:150">
      <c r="BE1753"/>
      <c r="BF1753" s="2"/>
      <c r="CN1753"/>
      <c r="CO1753"/>
      <c r="CP1753"/>
      <c r="CQ1753"/>
      <c r="CR1753"/>
      <c r="CS1753"/>
      <c r="CT1753"/>
      <c r="CU1753"/>
      <c r="CV1753" s="2"/>
      <c r="CX1753"/>
      <c r="DC1753"/>
      <c r="DI1753"/>
      <c r="DJ1753"/>
      <c r="DK1753"/>
      <c r="DL1753"/>
      <c r="DM1753"/>
      <c r="DN1753"/>
      <c r="DT1753"/>
      <c r="DU1753"/>
    </row>
    <row r="1754" spans="1:150">
      <c r="BE1754"/>
      <c r="BF1754" s="2"/>
      <c r="CN1754"/>
      <c r="CO1754"/>
      <c r="CP1754"/>
      <c r="CQ1754"/>
      <c r="CR1754"/>
      <c r="CS1754"/>
      <c r="CT1754"/>
      <c r="CU1754"/>
      <c r="CV1754" s="2"/>
      <c r="CX1754"/>
      <c r="DC1754"/>
      <c r="DI1754"/>
      <c r="DJ1754"/>
      <c r="DK1754"/>
      <c r="DL1754"/>
      <c r="DM1754"/>
      <c r="DN1754"/>
      <c r="DT1754"/>
      <c r="DU1754"/>
    </row>
    <row r="1755" spans="1:150">
      <c r="BE1755"/>
      <c r="BF1755" s="2"/>
      <c r="CN1755"/>
      <c r="CO1755"/>
      <c r="CP1755"/>
      <c r="CQ1755"/>
      <c r="CR1755"/>
      <c r="CS1755"/>
      <c r="CT1755"/>
      <c r="CU1755"/>
      <c r="CV1755" s="2"/>
      <c r="CX1755"/>
      <c r="DC1755"/>
      <c r="DI1755"/>
      <c r="DJ1755"/>
      <c r="DK1755"/>
      <c r="DL1755"/>
      <c r="DM1755"/>
      <c r="DN1755"/>
      <c r="DT1755"/>
      <c r="DU1755"/>
    </row>
    <row r="1756" spans="1:150">
      <c r="BE1756"/>
      <c r="BF1756" s="2"/>
      <c r="CN1756"/>
      <c r="CO1756"/>
      <c r="CP1756"/>
      <c r="CQ1756"/>
      <c r="CR1756"/>
      <c r="CS1756"/>
      <c r="CT1756"/>
      <c r="CU1756"/>
      <c r="CV1756" s="2"/>
      <c r="CX1756"/>
      <c r="DC1756"/>
      <c r="DI1756"/>
      <c r="DJ1756"/>
      <c r="DK1756"/>
      <c r="DL1756"/>
      <c r="DM1756"/>
      <c r="DN1756"/>
      <c r="DT1756"/>
      <c r="DU1756"/>
    </row>
    <row r="1757" spans="1:150">
      <c r="BE1757"/>
      <c r="BF1757" s="2"/>
      <c r="CN1757"/>
      <c r="CO1757"/>
      <c r="CP1757"/>
      <c r="CQ1757"/>
      <c r="CR1757"/>
      <c r="CS1757"/>
      <c r="CT1757"/>
      <c r="CU1757"/>
      <c r="CV1757" s="2"/>
      <c r="CX1757"/>
      <c r="DC1757"/>
      <c r="DI1757"/>
      <c r="DJ1757"/>
      <c r="DK1757"/>
      <c r="DL1757"/>
      <c r="DM1757"/>
      <c r="DN1757"/>
      <c r="DT1757"/>
      <c r="DU1757"/>
    </row>
    <row r="1758" spans="1:150">
      <c r="BE1758"/>
      <c r="BF1758" s="2"/>
      <c r="CN1758"/>
      <c r="CO1758"/>
      <c r="CP1758"/>
      <c r="CQ1758"/>
      <c r="CR1758"/>
      <c r="CS1758"/>
      <c r="CT1758"/>
      <c r="CU1758"/>
      <c r="CV1758" s="2"/>
      <c r="CX1758"/>
      <c r="DC1758"/>
      <c r="DI1758"/>
      <c r="DJ1758"/>
      <c r="DK1758"/>
      <c r="DL1758"/>
      <c r="DM1758"/>
      <c r="DN1758"/>
      <c r="DT1758"/>
      <c r="DU1758"/>
    </row>
    <row r="1759" spans="1:150">
      <c r="BE1759"/>
      <c r="BF1759" s="2"/>
      <c r="CN1759"/>
      <c r="CO1759"/>
      <c r="CP1759"/>
      <c r="CQ1759"/>
      <c r="CR1759"/>
      <c r="CS1759"/>
      <c r="CT1759"/>
      <c r="CU1759"/>
      <c r="CV1759" s="2"/>
      <c r="CX1759"/>
      <c r="DC1759"/>
      <c r="DI1759"/>
      <c r="DJ1759"/>
      <c r="DK1759"/>
      <c r="DL1759"/>
      <c r="DM1759"/>
      <c r="DN1759"/>
      <c r="DT1759"/>
      <c r="DU1759"/>
    </row>
    <row r="1760" spans="1:150">
      <c r="BE1760"/>
      <c r="BF1760" s="2"/>
      <c r="CN1760"/>
      <c r="CO1760"/>
      <c r="CP1760"/>
      <c r="CQ1760"/>
      <c r="CR1760"/>
      <c r="CS1760"/>
      <c r="CT1760"/>
      <c r="CU1760"/>
      <c r="CV1760" s="2"/>
      <c r="CX1760"/>
      <c r="DC1760"/>
      <c r="DI1760"/>
      <c r="DJ1760"/>
      <c r="DK1760"/>
      <c r="DL1760"/>
      <c r="DM1760"/>
      <c r="DN1760"/>
      <c r="DT1760"/>
      <c r="DU1760"/>
    </row>
    <row r="1761" spans="57:125">
      <c r="BE1761"/>
      <c r="BF1761" s="2"/>
      <c r="CN1761"/>
      <c r="CO1761"/>
      <c r="CP1761"/>
      <c r="CQ1761"/>
      <c r="CR1761"/>
      <c r="CS1761"/>
      <c r="CT1761"/>
      <c r="CU1761"/>
      <c r="CV1761" s="2"/>
      <c r="CX1761"/>
      <c r="DC1761"/>
      <c r="DI1761"/>
      <c r="DJ1761"/>
      <c r="DK1761"/>
      <c r="DL1761"/>
      <c r="DM1761"/>
      <c r="DN1761"/>
      <c r="DT1761"/>
      <c r="DU1761"/>
    </row>
    <row r="1762" spans="57:125">
      <c r="BE1762"/>
      <c r="BF1762" s="2"/>
      <c r="CN1762"/>
      <c r="CO1762"/>
      <c r="CP1762"/>
      <c r="CQ1762"/>
      <c r="CR1762"/>
      <c r="CS1762"/>
      <c r="CT1762"/>
      <c r="CU1762"/>
      <c r="CV1762" s="2"/>
      <c r="CX1762"/>
      <c r="DC1762"/>
      <c r="DI1762"/>
      <c r="DJ1762"/>
      <c r="DK1762"/>
      <c r="DL1762"/>
      <c r="DM1762"/>
      <c r="DN1762"/>
      <c r="DT1762"/>
      <c r="DU1762"/>
    </row>
    <row r="1763" spans="57:125">
      <c r="BE1763"/>
      <c r="BF1763" s="2"/>
      <c r="CN1763"/>
      <c r="CO1763"/>
      <c r="CP1763"/>
      <c r="CQ1763"/>
      <c r="CR1763"/>
      <c r="CS1763"/>
      <c r="CT1763"/>
      <c r="CU1763"/>
      <c r="CV1763" s="2"/>
      <c r="CX1763"/>
      <c r="DC1763"/>
      <c r="DI1763"/>
      <c r="DJ1763"/>
      <c r="DK1763"/>
      <c r="DL1763"/>
      <c r="DM1763"/>
      <c r="DN1763"/>
      <c r="DT1763"/>
      <c r="DU1763"/>
    </row>
    <row r="1764" spans="57:125">
      <c r="BE1764"/>
      <c r="BF1764" s="2"/>
      <c r="CN1764"/>
      <c r="CO1764"/>
      <c r="CP1764"/>
      <c r="CQ1764"/>
      <c r="CR1764"/>
      <c r="CS1764"/>
      <c r="CT1764"/>
      <c r="CU1764"/>
      <c r="CV1764" s="2"/>
      <c r="CX1764"/>
      <c r="DC1764"/>
      <c r="DI1764"/>
      <c r="DJ1764"/>
      <c r="DK1764"/>
      <c r="DL1764"/>
      <c r="DM1764"/>
      <c r="DN1764"/>
      <c r="DT1764"/>
      <c r="DU1764"/>
    </row>
    <row r="1765" spans="57:125">
      <c r="BE1765"/>
      <c r="BF1765" s="2"/>
      <c r="CN1765"/>
      <c r="CO1765"/>
      <c r="CP1765"/>
      <c r="CQ1765"/>
      <c r="CR1765"/>
      <c r="CS1765"/>
      <c r="CT1765"/>
      <c r="CU1765"/>
      <c r="CV1765" s="2"/>
      <c r="CX1765"/>
      <c r="DC1765"/>
      <c r="DI1765"/>
      <c r="DJ1765"/>
      <c r="DK1765"/>
      <c r="DL1765"/>
      <c r="DM1765"/>
      <c r="DN1765"/>
      <c r="DT1765"/>
      <c r="DU1765"/>
    </row>
    <row r="1766" spans="57:125">
      <c r="BE1766"/>
      <c r="BF1766" s="2"/>
      <c r="CN1766"/>
      <c r="CO1766"/>
      <c r="CP1766"/>
      <c r="CQ1766"/>
      <c r="CR1766"/>
      <c r="CS1766"/>
      <c r="CT1766"/>
      <c r="CU1766"/>
      <c r="CV1766" s="2"/>
      <c r="CX1766"/>
      <c r="DC1766"/>
      <c r="DI1766"/>
      <c r="DJ1766"/>
      <c r="DK1766"/>
      <c r="DL1766"/>
      <c r="DM1766"/>
      <c r="DN1766"/>
      <c r="DT1766"/>
      <c r="DU1766"/>
    </row>
    <row r="1767" spans="57:125">
      <c r="BE1767"/>
      <c r="BF1767" s="2"/>
      <c r="CN1767"/>
      <c r="CO1767"/>
      <c r="CP1767"/>
      <c r="CQ1767"/>
      <c r="CR1767"/>
      <c r="CS1767"/>
      <c r="CT1767"/>
      <c r="CU1767"/>
      <c r="CV1767" s="2"/>
      <c r="CX1767"/>
      <c r="DC1767"/>
      <c r="DI1767"/>
      <c r="DJ1767"/>
      <c r="DK1767"/>
      <c r="DL1767"/>
      <c r="DM1767"/>
      <c r="DN1767"/>
      <c r="DT1767"/>
      <c r="DU1767"/>
    </row>
    <row r="1768" spans="57:125">
      <c r="BE1768"/>
      <c r="BF1768" s="2"/>
      <c r="CN1768"/>
      <c r="CO1768"/>
      <c r="CP1768"/>
      <c r="CQ1768"/>
      <c r="CR1768"/>
      <c r="CS1768"/>
      <c r="CT1768"/>
      <c r="CU1768"/>
      <c r="CV1768" s="2"/>
      <c r="CX1768"/>
      <c r="DC1768"/>
      <c r="DI1768"/>
      <c r="DJ1768"/>
      <c r="DK1768"/>
      <c r="DL1768"/>
      <c r="DM1768"/>
      <c r="DN1768"/>
      <c r="DT1768"/>
      <c r="DU1768"/>
    </row>
    <row r="1769" spans="57:125">
      <c r="BE1769"/>
      <c r="BF1769" s="2"/>
      <c r="CN1769"/>
      <c r="CO1769"/>
      <c r="CP1769"/>
      <c r="CQ1769"/>
      <c r="CR1769"/>
      <c r="CS1769"/>
      <c r="CT1769"/>
      <c r="CU1769"/>
      <c r="CV1769" s="2"/>
      <c r="CX1769"/>
      <c r="DC1769"/>
      <c r="DI1769"/>
      <c r="DJ1769"/>
      <c r="DK1769"/>
      <c r="DL1769"/>
      <c r="DM1769"/>
      <c r="DN1769"/>
      <c r="DT1769"/>
      <c r="DU1769"/>
    </row>
    <row r="1770" spans="57:125">
      <c r="BE1770"/>
      <c r="BF1770" s="2"/>
      <c r="CN1770"/>
      <c r="CO1770"/>
      <c r="CP1770"/>
      <c r="CQ1770"/>
      <c r="CR1770"/>
      <c r="CS1770"/>
      <c r="CT1770"/>
      <c r="CU1770"/>
      <c r="CV1770" s="2"/>
      <c r="CX1770"/>
      <c r="DC1770"/>
      <c r="DI1770"/>
      <c r="DJ1770"/>
      <c r="DK1770"/>
      <c r="DL1770"/>
      <c r="DM1770"/>
      <c r="DN1770"/>
      <c r="DT1770"/>
      <c r="DU1770"/>
    </row>
    <row r="1771" spans="57:125">
      <c r="BE1771"/>
      <c r="BF1771" s="2"/>
      <c r="CN1771"/>
      <c r="CO1771"/>
      <c r="CP1771"/>
      <c r="CQ1771"/>
      <c r="CR1771"/>
      <c r="CS1771"/>
      <c r="CT1771"/>
      <c r="CU1771"/>
      <c r="CV1771" s="2"/>
      <c r="CX1771"/>
      <c r="DC1771"/>
      <c r="DI1771"/>
      <c r="DJ1771"/>
      <c r="DK1771"/>
      <c r="DL1771"/>
      <c r="DM1771"/>
      <c r="DN1771"/>
      <c r="DT1771"/>
      <c r="DU1771"/>
    </row>
    <row r="1772" spans="57:125">
      <c r="BE1772"/>
      <c r="BF1772" s="2"/>
      <c r="CN1772"/>
      <c r="CO1772"/>
      <c r="CP1772"/>
      <c r="CQ1772"/>
      <c r="CR1772"/>
      <c r="CS1772"/>
      <c r="CT1772"/>
      <c r="CU1772"/>
      <c r="CV1772" s="2"/>
      <c r="CX1772"/>
      <c r="DC1772"/>
      <c r="DI1772"/>
      <c r="DJ1772"/>
      <c r="DK1772"/>
      <c r="DL1772"/>
      <c r="DM1772"/>
      <c r="DN1772"/>
      <c r="DT1772"/>
      <c r="DU1772"/>
    </row>
    <row r="1773" spans="57:125">
      <c r="BE1773"/>
      <c r="BF1773" s="2"/>
      <c r="CN1773"/>
      <c r="CO1773"/>
      <c r="CP1773"/>
      <c r="CQ1773"/>
      <c r="CR1773"/>
      <c r="CS1773"/>
      <c r="CT1773"/>
      <c r="CU1773"/>
      <c r="CV1773" s="2"/>
      <c r="CX1773"/>
      <c r="DC1773"/>
      <c r="DI1773"/>
      <c r="DJ1773"/>
      <c r="DK1773"/>
      <c r="DL1773"/>
      <c r="DM1773"/>
      <c r="DN1773"/>
      <c r="DT1773"/>
      <c r="DU1773"/>
    </row>
    <row r="1774" spans="57:125">
      <c r="BE1774"/>
      <c r="BF1774" s="2"/>
      <c r="CN1774"/>
      <c r="CO1774"/>
      <c r="CP1774"/>
      <c r="CQ1774"/>
      <c r="CR1774"/>
      <c r="CS1774"/>
      <c r="CT1774"/>
      <c r="CU1774"/>
      <c r="CV1774" s="2"/>
      <c r="CX1774"/>
      <c r="DC1774"/>
      <c r="DI1774"/>
      <c r="DJ1774"/>
      <c r="DK1774"/>
      <c r="DL1774"/>
      <c r="DM1774"/>
      <c r="DN1774"/>
      <c r="DT1774"/>
      <c r="DU1774"/>
    </row>
    <row r="1775" spans="57:125">
      <c r="BE1775"/>
      <c r="BF1775" s="2"/>
      <c r="CN1775"/>
      <c r="CO1775"/>
      <c r="CP1775"/>
      <c r="CQ1775"/>
      <c r="CR1775"/>
      <c r="CS1775"/>
      <c r="CT1775"/>
      <c r="CU1775"/>
      <c r="CV1775" s="2"/>
      <c r="CX1775"/>
      <c r="DC1775"/>
      <c r="DI1775"/>
      <c r="DJ1775"/>
      <c r="DK1775"/>
      <c r="DL1775"/>
      <c r="DM1775"/>
      <c r="DN1775"/>
      <c r="DT1775"/>
      <c r="DU1775"/>
    </row>
    <row r="1776" spans="57:125">
      <c r="BE1776"/>
      <c r="BF1776" s="2"/>
      <c r="CN1776"/>
      <c r="CO1776"/>
      <c r="CP1776"/>
      <c r="CQ1776"/>
      <c r="CR1776"/>
      <c r="CS1776"/>
      <c r="CT1776"/>
      <c r="CU1776"/>
      <c r="CV1776" s="2"/>
      <c r="CX1776"/>
      <c r="DC1776"/>
      <c r="DI1776"/>
      <c r="DJ1776"/>
      <c r="DK1776"/>
      <c r="DL1776"/>
      <c r="DM1776"/>
      <c r="DN1776"/>
      <c r="DT1776"/>
      <c r="DU1776"/>
    </row>
    <row r="1777" spans="57:125">
      <c r="BE1777"/>
      <c r="BF1777" s="2"/>
      <c r="CN1777"/>
      <c r="CO1777"/>
      <c r="CP1777"/>
      <c r="CQ1777"/>
      <c r="CR1777"/>
      <c r="CS1777"/>
      <c r="CT1777"/>
      <c r="CU1777"/>
      <c r="CV1777" s="2"/>
      <c r="CX1777"/>
      <c r="DC1777"/>
      <c r="DI1777"/>
      <c r="DJ1777"/>
      <c r="DK1777"/>
      <c r="DL1777"/>
      <c r="DM1777"/>
      <c r="DN1777"/>
      <c r="DT1777"/>
      <c r="DU1777"/>
    </row>
    <row r="1778" spans="57:125">
      <c r="BE1778"/>
      <c r="BF1778" s="2"/>
      <c r="CN1778"/>
      <c r="CO1778"/>
      <c r="CP1778"/>
      <c r="CQ1778"/>
      <c r="CR1778"/>
      <c r="CS1778"/>
      <c r="CT1778"/>
      <c r="CU1778"/>
      <c r="CV1778" s="2"/>
      <c r="CX1778"/>
      <c r="DC1778"/>
      <c r="DI1778"/>
      <c r="DJ1778"/>
      <c r="DK1778"/>
      <c r="DL1778"/>
      <c r="DM1778"/>
      <c r="DN1778"/>
      <c r="DT1778"/>
      <c r="DU1778"/>
    </row>
    <row r="1779" spans="57:125">
      <c r="BE1779"/>
      <c r="BF1779" s="2"/>
      <c r="CN1779"/>
      <c r="CO1779"/>
      <c r="CP1779"/>
      <c r="CQ1779"/>
      <c r="CR1779"/>
      <c r="CS1779"/>
      <c r="CT1779"/>
      <c r="CU1779"/>
      <c r="CV1779" s="2"/>
      <c r="CX1779"/>
      <c r="DC1779"/>
      <c r="DI1779"/>
      <c r="DJ1779"/>
      <c r="DK1779"/>
      <c r="DL1779"/>
      <c r="DM1779"/>
      <c r="DN1779"/>
      <c r="DT1779"/>
      <c r="DU1779"/>
    </row>
    <row r="1780" spans="57:125">
      <c r="BE1780"/>
      <c r="BF1780" s="2"/>
      <c r="CN1780"/>
      <c r="CO1780"/>
      <c r="CP1780"/>
      <c r="CQ1780"/>
      <c r="CR1780"/>
      <c r="CS1780"/>
      <c r="CT1780"/>
      <c r="CU1780"/>
      <c r="CV1780" s="2"/>
      <c r="CX1780"/>
      <c r="DC1780"/>
      <c r="DI1780"/>
      <c r="DJ1780"/>
      <c r="DK1780"/>
      <c r="DL1780"/>
      <c r="DM1780"/>
      <c r="DN1780"/>
      <c r="DT1780"/>
      <c r="DU1780"/>
    </row>
    <row r="1781" spans="57:125">
      <c r="BE1781"/>
      <c r="BF1781" s="2"/>
      <c r="CN1781"/>
      <c r="CO1781"/>
      <c r="CP1781"/>
      <c r="CQ1781"/>
      <c r="CR1781"/>
      <c r="CS1781"/>
      <c r="CT1781"/>
      <c r="CU1781"/>
      <c r="CV1781" s="2"/>
      <c r="CX1781"/>
      <c r="DC1781"/>
      <c r="DI1781"/>
      <c r="DJ1781"/>
      <c r="DK1781"/>
      <c r="DL1781"/>
      <c r="DM1781"/>
      <c r="DN1781"/>
      <c r="DT1781"/>
      <c r="DU1781"/>
    </row>
    <row r="1782" spans="57:125">
      <c r="BE1782"/>
      <c r="BF1782" s="2"/>
      <c r="CN1782"/>
      <c r="CO1782"/>
      <c r="CP1782"/>
      <c r="CQ1782"/>
      <c r="CR1782"/>
      <c r="CS1782"/>
      <c r="CT1782"/>
      <c r="CU1782"/>
      <c r="CV1782" s="2"/>
      <c r="CX1782"/>
      <c r="DC1782"/>
      <c r="DI1782"/>
      <c r="DJ1782"/>
      <c r="DK1782"/>
      <c r="DL1782"/>
      <c r="DM1782"/>
      <c r="DN1782"/>
      <c r="DT1782"/>
      <c r="DU1782"/>
    </row>
    <row r="1783" spans="57:125">
      <c r="BE1783"/>
      <c r="BF1783" s="2"/>
      <c r="CN1783"/>
      <c r="CO1783"/>
      <c r="CP1783"/>
      <c r="CQ1783"/>
      <c r="CR1783"/>
      <c r="CS1783"/>
      <c r="CT1783"/>
      <c r="CU1783"/>
      <c r="CV1783" s="2"/>
      <c r="CX1783"/>
      <c r="DC1783"/>
      <c r="DI1783"/>
      <c r="DJ1783"/>
      <c r="DK1783"/>
      <c r="DL1783"/>
      <c r="DM1783"/>
      <c r="DN1783"/>
      <c r="DT1783"/>
      <c r="DU1783"/>
    </row>
    <row r="1784" spans="57:125">
      <c r="BE1784"/>
      <c r="BF1784" s="2"/>
      <c r="CN1784"/>
      <c r="CO1784"/>
      <c r="CP1784"/>
      <c r="CQ1784"/>
      <c r="CR1784"/>
      <c r="CS1784"/>
      <c r="CT1784"/>
      <c r="CU1784"/>
      <c r="CV1784" s="2"/>
      <c r="CX1784"/>
      <c r="DC1784"/>
      <c r="DI1784"/>
      <c r="DJ1784"/>
      <c r="DK1784"/>
      <c r="DL1784"/>
      <c r="DM1784"/>
      <c r="DN1784"/>
      <c r="DT1784"/>
      <c r="DU1784"/>
    </row>
    <row r="1785" spans="57:125">
      <c r="BE1785"/>
      <c r="BF1785" s="2"/>
      <c r="CN1785"/>
      <c r="CO1785"/>
      <c r="CP1785"/>
      <c r="CQ1785"/>
      <c r="CR1785"/>
      <c r="CS1785"/>
      <c r="CT1785"/>
      <c r="CU1785"/>
      <c r="CV1785" s="2"/>
      <c r="CX1785"/>
      <c r="DC1785"/>
      <c r="DI1785"/>
      <c r="DJ1785"/>
      <c r="DK1785"/>
      <c r="DL1785"/>
      <c r="DM1785"/>
      <c r="DN1785"/>
      <c r="DT1785"/>
      <c r="DU1785"/>
    </row>
    <row r="1786" spans="57:125">
      <c r="BE1786"/>
      <c r="BF1786" s="2"/>
      <c r="CN1786"/>
      <c r="CO1786"/>
      <c r="CP1786"/>
      <c r="CQ1786"/>
      <c r="CR1786"/>
      <c r="CS1786"/>
      <c r="CT1786"/>
      <c r="CU1786"/>
      <c r="CV1786" s="2"/>
      <c r="CX1786"/>
      <c r="DC1786"/>
      <c r="DI1786"/>
      <c r="DJ1786"/>
      <c r="DK1786"/>
      <c r="DL1786"/>
      <c r="DM1786"/>
      <c r="DN1786"/>
      <c r="DT1786"/>
      <c r="DU1786"/>
    </row>
    <row r="1787" spans="57:125">
      <c r="BE1787"/>
      <c r="BF1787" s="2"/>
      <c r="CN1787"/>
      <c r="CO1787"/>
      <c r="CP1787"/>
      <c r="CQ1787"/>
      <c r="CR1787"/>
      <c r="CS1787"/>
      <c r="CT1787"/>
      <c r="CU1787"/>
      <c r="CV1787" s="2"/>
      <c r="CX1787"/>
      <c r="DC1787"/>
      <c r="DI1787"/>
      <c r="DJ1787"/>
      <c r="DK1787"/>
      <c r="DL1787"/>
      <c r="DM1787"/>
      <c r="DN1787"/>
      <c r="DT1787"/>
      <c r="DU1787"/>
    </row>
    <row r="1788" spans="57:125">
      <c r="BE1788"/>
      <c r="BF1788" s="2"/>
      <c r="CN1788"/>
      <c r="CO1788"/>
      <c r="CP1788"/>
      <c r="CQ1788"/>
      <c r="CR1788"/>
      <c r="CS1788"/>
      <c r="CT1788"/>
      <c r="CU1788"/>
      <c r="CV1788" s="2"/>
      <c r="CX1788"/>
      <c r="DC1788"/>
      <c r="DI1788"/>
      <c r="DJ1788"/>
      <c r="DK1788"/>
      <c r="DL1788"/>
      <c r="DM1788"/>
      <c r="DN1788"/>
      <c r="DT1788"/>
      <c r="DU1788"/>
    </row>
    <row r="1789" spans="57:125">
      <c r="BE1789"/>
      <c r="BF1789" s="2"/>
      <c r="CN1789"/>
      <c r="CO1789"/>
      <c r="CP1789"/>
      <c r="CQ1789"/>
      <c r="CR1789"/>
      <c r="CS1789"/>
      <c r="CT1789"/>
      <c r="CU1789"/>
      <c r="CV1789" s="2"/>
      <c r="CX1789"/>
      <c r="DC1789"/>
      <c r="DI1789"/>
      <c r="DJ1789"/>
      <c r="DK1789"/>
      <c r="DL1789"/>
      <c r="DM1789"/>
      <c r="DN1789"/>
      <c r="DT1789"/>
      <c r="DU1789"/>
    </row>
    <row r="1790" spans="57:125">
      <c r="BE1790"/>
      <c r="BF1790" s="2"/>
      <c r="CN1790"/>
      <c r="CO1790"/>
      <c r="CP1790"/>
      <c r="CQ1790"/>
      <c r="CR1790"/>
      <c r="CS1790"/>
      <c r="CT1790"/>
      <c r="CU1790"/>
      <c r="CV1790" s="2"/>
      <c r="CX1790"/>
      <c r="DC1790"/>
      <c r="DI1790"/>
      <c r="DJ1790"/>
      <c r="DK1790"/>
      <c r="DL1790"/>
      <c r="DM1790"/>
      <c r="DN1790"/>
      <c r="DT1790"/>
      <c r="DU1790"/>
    </row>
    <row r="1791" spans="57:125">
      <c r="BE1791"/>
      <c r="BF1791" s="2"/>
      <c r="CN1791"/>
      <c r="CO1791"/>
      <c r="CP1791"/>
      <c r="CQ1791"/>
      <c r="CR1791"/>
      <c r="CS1791"/>
      <c r="CT1791"/>
      <c r="CU1791"/>
      <c r="CV1791" s="2"/>
      <c r="CX1791"/>
      <c r="DC1791"/>
      <c r="DI1791"/>
      <c r="DJ1791"/>
      <c r="DK1791"/>
      <c r="DL1791"/>
      <c r="DM1791"/>
      <c r="DN1791"/>
      <c r="DT1791"/>
      <c r="DU1791"/>
    </row>
    <row r="1792" spans="57:125">
      <c r="BE1792"/>
      <c r="BF1792" s="2"/>
      <c r="CN1792"/>
      <c r="CO1792"/>
      <c r="CP1792"/>
      <c r="CQ1792"/>
      <c r="CR1792"/>
      <c r="CS1792"/>
      <c r="CT1792"/>
      <c r="CU1792"/>
      <c r="CV1792" s="2"/>
      <c r="CX1792"/>
      <c r="DC1792"/>
      <c r="DI1792"/>
      <c r="DJ1792"/>
      <c r="DK1792"/>
      <c r="DL1792"/>
      <c r="DM1792"/>
      <c r="DN1792"/>
      <c r="DT1792"/>
      <c r="DU1792"/>
    </row>
    <row r="1793" spans="57:125">
      <c r="BE1793"/>
      <c r="BF1793" s="2"/>
      <c r="CN1793"/>
      <c r="CO1793"/>
      <c r="CP1793"/>
      <c r="CQ1793"/>
      <c r="CR1793"/>
      <c r="CS1793"/>
      <c r="CT1793"/>
      <c r="CU1793"/>
      <c r="CV1793" s="2"/>
      <c r="CX1793"/>
      <c r="DC1793"/>
      <c r="DI1793"/>
      <c r="DJ1793"/>
      <c r="DK1793"/>
      <c r="DL1793"/>
      <c r="DM1793"/>
      <c r="DN1793"/>
      <c r="DT1793"/>
      <c r="DU1793"/>
    </row>
    <row r="1794" spans="57:125">
      <c r="BE1794"/>
      <c r="BF1794" s="2"/>
      <c r="CN1794"/>
      <c r="CO1794"/>
      <c r="CP1794"/>
      <c r="CQ1794"/>
      <c r="CR1794"/>
      <c r="CS1794"/>
      <c r="CT1794"/>
      <c r="CU1794"/>
      <c r="CV1794" s="2"/>
      <c r="CX1794"/>
      <c r="DC1794"/>
      <c r="DI1794"/>
      <c r="DJ1794"/>
      <c r="DK1794"/>
      <c r="DL1794"/>
      <c r="DM1794"/>
      <c r="DN1794"/>
      <c r="DT1794"/>
      <c r="DU1794"/>
    </row>
    <row r="1795" spans="57:125">
      <c r="BE1795"/>
      <c r="BF1795" s="2"/>
      <c r="CN1795"/>
      <c r="CO1795"/>
      <c r="CP1795"/>
      <c r="CQ1795"/>
      <c r="CR1795"/>
      <c r="CS1795"/>
      <c r="CT1795"/>
      <c r="CU1795"/>
      <c r="CV1795" s="2"/>
      <c r="CX1795"/>
      <c r="DC1795"/>
      <c r="DI1795"/>
      <c r="DJ1795"/>
      <c r="DK1795"/>
      <c r="DL1795"/>
      <c r="DM1795"/>
      <c r="DN1795"/>
      <c r="DT1795"/>
      <c r="DU1795"/>
    </row>
    <row r="1796" spans="57:125">
      <c r="BE1796"/>
      <c r="BF1796" s="2"/>
      <c r="CN1796"/>
      <c r="CO1796"/>
      <c r="CP1796"/>
      <c r="CQ1796"/>
      <c r="CR1796"/>
      <c r="CS1796"/>
      <c r="CT1796"/>
      <c r="CU1796"/>
      <c r="CV1796" s="2"/>
      <c r="CX1796"/>
      <c r="DC1796"/>
      <c r="DI1796"/>
      <c r="DJ1796"/>
      <c r="DK1796"/>
      <c r="DL1796"/>
      <c r="DM1796"/>
      <c r="DN1796"/>
      <c r="DT1796"/>
      <c r="DU1796"/>
    </row>
    <row r="1797" spans="57:125">
      <c r="BE1797"/>
      <c r="BF1797" s="2"/>
      <c r="CN1797"/>
      <c r="CO1797"/>
      <c r="CP1797"/>
      <c r="CQ1797"/>
      <c r="CR1797"/>
      <c r="CS1797"/>
      <c r="CT1797"/>
      <c r="CU1797"/>
      <c r="CV1797" s="2"/>
      <c r="CX1797"/>
      <c r="DC1797"/>
      <c r="DI1797"/>
      <c r="DJ1797"/>
      <c r="DK1797"/>
      <c r="DL1797"/>
      <c r="DM1797"/>
      <c r="DN1797"/>
      <c r="DT1797"/>
      <c r="DU1797"/>
    </row>
    <row r="1798" spans="57:125">
      <c r="BE1798"/>
      <c r="BF1798" s="2"/>
      <c r="CN1798"/>
      <c r="CO1798"/>
      <c r="CP1798"/>
      <c r="CQ1798"/>
      <c r="CR1798"/>
      <c r="CS1798"/>
      <c r="CT1798"/>
      <c r="CU1798"/>
      <c r="CV1798" s="2"/>
      <c r="CX1798"/>
      <c r="DC1798"/>
      <c r="DI1798"/>
      <c r="DJ1798"/>
      <c r="DK1798"/>
      <c r="DL1798"/>
      <c r="DM1798"/>
      <c r="DN1798"/>
      <c r="DT1798"/>
      <c r="DU1798"/>
    </row>
    <row r="1799" spans="57:125">
      <c r="BE1799"/>
      <c r="BF1799" s="2"/>
      <c r="CN1799"/>
      <c r="CO1799"/>
      <c r="CP1799"/>
      <c r="CQ1799"/>
      <c r="CR1799"/>
      <c r="CS1799"/>
      <c r="CT1799"/>
      <c r="CU1799"/>
      <c r="CV1799" s="2"/>
      <c r="CX1799"/>
      <c r="DC1799"/>
      <c r="DI1799"/>
      <c r="DJ1799"/>
      <c r="DK1799"/>
      <c r="DL1799"/>
      <c r="DM1799"/>
      <c r="DN1799"/>
      <c r="DT1799"/>
      <c r="DU1799"/>
    </row>
    <row r="1800" spans="57:125">
      <c r="BE1800"/>
      <c r="BF1800" s="2"/>
      <c r="CN1800"/>
      <c r="CO1800"/>
      <c r="CP1800"/>
      <c r="CQ1800"/>
      <c r="CR1800"/>
      <c r="CS1800"/>
      <c r="CT1800"/>
      <c r="CU1800"/>
      <c r="CV1800" s="2"/>
      <c r="CX1800"/>
      <c r="DC1800"/>
      <c r="DI1800"/>
      <c r="DJ1800"/>
      <c r="DK1800"/>
      <c r="DL1800"/>
      <c r="DM1800"/>
      <c r="DN1800"/>
      <c r="DT1800"/>
      <c r="DU1800"/>
    </row>
    <row r="1801" spans="57:125">
      <c r="BE1801"/>
      <c r="BF1801" s="2"/>
      <c r="CN1801"/>
      <c r="CO1801"/>
      <c r="CP1801"/>
      <c r="CQ1801"/>
      <c r="CR1801"/>
      <c r="CS1801"/>
      <c r="CT1801"/>
      <c r="CU1801"/>
      <c r="CV1801" s="2"/>
      <c r="CX1801"/>
      <c r="DC1801"/>
      <c r="DI1801"/>
      <c r="DJ1801"/>
      <c r="DK1801"/>
      <c r="DL1801"/>
      <c r="DM1801"/>
      <c r="DN1801"/>
      <c r="DT1801"/>
      <c r="DU1801"/>
    </row>
    <row r="1802" spans="57:125">
      <c r="BE1802"/>
      <c r="BF1802" s="2"/>
      <c r="CN1802"/>
      <c r="CO1802"/>
      <c r="CP1802"/>
      <c r="CQ1802"/>
      <c r="CR1802"/>
      <c r="CS1802"/>
      <c r="CT1802"/>
      <c r="CU1802"/>
      <c r="CV1802" s="2"/>
      <c r="CX1802"/>
      <c r="DC1802"/>
      <c r="DI1802"/>
      <c r="DJ1802"/>
      <c r="DK1802"/>
      <c r="DL1802"/>
      <c r="DM1802"/>
      <c r="DN1802"/>
      <c r="DT1802"/>
      <c r="DU1802"/>
    </row>
    <row r="1803" spans="57:125">
      <c r="BE1803"/>
      <c r="BF1803" s="2"/>
      <c r="CN1803"/>
      <c r="CO1803"/>
      <c r="CP1803"/>
      <c r="CQ1803"/>
      <c r="CR1803"/>
      <c r="CS1803"/>
      <c r="CT1803"/>
      <c r="CU1803"/>
      <c r="CV1803" s="2"/>
      <c r="CX1803"/>
      <c r="DC1803"/>
      <c r="DI1803"/>
      <c r="DJ1803"/>
      <c r="DK1803"/>
      <c r="DL1803"/>
      <c r="DM1803"/>
      <c r="DN1803"/>
      <c r="DT1803"/>
      <c r="DU1803"/>
    </row>
    <row r="1804" spans="57:125">
      <c r="BE1804"/>
      <c r="BF1804" s="2"/>
      <c r="CN1804"/>
      <c r="CO1804"/>
      <c r="CP1804"/>
      <c r="CQ1804"/>
      <c r="CR1804"/>
      <c r="CS1804"/>
      <c r="CT1804"/>
      <c r="CU1804"/>
      <c r="CV1804" s="2"/>
      <c r="CX1804"/>
      <c r="DC1804"/>
      <c r="DI1804"/>
      <c r="DJ1804"/>
      <c r="DK1804"/>
      <c r="DL1804"/>
      <c r="DM1804"/>
      <c r="DN1804"/>
      <c r="DT1804"/>
      <c r="DU1804"/>
    </row>
    <row r="1805" spans="57:125">
      <c r="BE1805"/>
      <c r="BF1805" s="2"/>
      <c r="CN1805"/>
      <c r="CO1805"/>
      <c r="CP1805"/>
      <c r="CQ1805"/>
      <c r="CR1805"/>
      <c r="CS1805"/>
      <c r="CT1805"/>
      <c r="CU1805"/>
      <c r="CV1805" s="2"/>
      <c r="CX1805"/>
      <c r="DC1805"/>
      <c r="DI1805"/>
      <c r="DJ1805"/>
      <c r="DK1805"/>
      <c r="DL1805"/>
      <c r="DM1805"/>
      <c r="DN1805"/>
      <c r="DT1805"/>
      <c r="DU1805"/>
    </row>
    <row r="1806" spans="57:125">
      <c r="BE1806"/>
      <c r="BF1806" s="2"/>
      <c r="CN1806"/>
      <c r="CO1806"/>
      <c r="CP1806"/>
      <c r="CQ1806"/>
      <c r="CR1806"/>
      <c r="CS1806"/>
      <c r="CT1806"/>
      <c r="CU1806"/>
      <c r="CV1806" s="2"/>
      <c r="CX1806"/>
      <c r="DC1806"/>
      <c r="DI1806"/>
      <c r="DJ1806"/>
      <c r="DK1806"/>
      <c r="DL1806"/>
      <c r="DM1806"/>
      <c r="DN1806"/>
      <c r="DT1806"/>
      <c r="DU1806"/>
    </row>
    <row r="1807" spans="57:125">
      <c r="BE1807"/>
      <c r="BF1807" s="2"/>
      <c r="CN1807"/>
      <c r="CO1807"/>
      <c r="CP1807"/>
      <c r="CQ1807"/>
      <c r="CR1807"/>
      <c r="CS1807"/>
      <c r="CT1807"/>
      <c r="CU1807"/>
      <c r="CV1807" s="2"/>
      <c r="CX1807"/>
      <c r="DC1807"/>
      <c r="DI1807"/>
      <c r="DJ1807"/>
      <c r="DK1807"/>
      <c r="DL1807"/>
      <c r="DM1807"/>
      <c r="DN1807"/>
      <c r="DT1807"/>
      <c r="DU1807"/>
    </row>
    <row r="1808" spans="57:125">
      <c r="BE1808"/>
      <c r="BF1808" s="2"/>
      <c r="CN1808"/>
      <c r="CO1808"/>
      <c r="CP1808"/>
      <c r="CQ1808"/>
      <c r="CR1808"/>
      <c r="CS1808"/>
      <c r="CT1808"/>
      <c r="CU1808"/>
      <c r="CV1808" s="2"/>
      <c r="CX1808"/>
      <c r="DC1808"/>
      <c r="DI1808"/>
      <c r="DJ1808"/>
      <c r="DK1808"/>
      <c r="DL1808"/>
      <c r="DM1808"/>
      <c r="DN1808"/>
      <c r="DT1808"/>
      <c r="DU1808"/>
    </row>
    <row r="1809" spans="57:125">
      <c r="BE1809"/>
      <c r="BF1809" s="2"/>
      <c r="CN1809"/>
      <c r="CO1809"/>
      <c r="CP1809"/>
      <c r="CQ1809"/>
      <c r="CR1809"/>
      <c r="CS1809"/>
      <c r="CT1809"/>
      <c r="CU1809"/>
      <c r="CV1809" s="2"/>
      <c r="CX1809"/>
      <c r="DC1809"/>
      <c r="DI1809"/>
      <c r="DJ1809"/>
      <c r="DK1809"/>
      <c r="DL1809"/>
      <c r="DM1809"/>
      <c r="DN1809"/>
      <c r="DT1809"/>
      <c r="DU1809"/>
    </row>
    <row r="1810" spans="57:125">
      <c r="BE1810"/>
      <c r="BF1810" s="2"/>
      <c r="CN1810"/>
      <c r="CO1810"/>
      <c r="CP1810"/>
      <c r="CQ1810"/>
      <c r="CR1810"/>
      <c r="CS1810"/>
      <c r="CT1810"/>
      <c r="CU1810"/>
      <c r="CV1810" s="2"/>
      <c r="CX1810"/>
      <c r="DC1810"/>
      <c r="DI1810"/>
      <c r="DJ1810"/>
      <c r="DK1810"/>
      <c r="DL1810"/>
      <c r="DM1810"/>
      <c r="DN1810"/>
      <c r="DT1810"/>
      <c r="DU1810"/>
    </row>
    <row r="1811" spans="57:125">
      <c r="BE1811"/>
      <c r="BF1811" s="2"/>
      <c r="CN1811"/>
      <c r="CO1811"/>
      <c r="CP1811"/>
      <c r="CQ1811"/>
      <c r="CR1811"/>
      <c r="CS1811"/>
      <c r="CT1811"/>
      <c r="CU1811"/>
      <c r="CV1811" s="2"/>
      <c r="CX1811"/>
      <c r="DC1811"/>
      <c r="DI1811"/>
      <c r="DJ1811"/>
      <c r="DK1811"/>
      <c r="DL1811"/>
      <c r="DM1811"/>
      <c r="DN1811"/>
      <c r="DT1811"/>
      <c r="DU1811"/>
    </row>
    <row r="1812" spans="57:125">
      <c r="BE1812"/>
      <c r="BF1812" s="2"/>
      <c r="CN1812"/>
      <c r="CO1812"/>
      <c r="CP1812"/>
      <c r="CQ1812"/>
      <c r="CR1812"/>
      <c r="CS1812"/>
      <c r="CT1812"/>
      <c r="CU1812"/>
      <c r="CV1812" s="2"/>
      <c r="CX1812"/>
      <c r="DC1812"/>
      <c r="DI1812"/>
      <c r="DJ1812"/>
      <c r="DK1812"/>
      <c r="DL1812"/>
      <c r="DM1812"/>
      <c r="DN1812"/>
      <c r="DT1812"/>
      <c r="DU1812"/>
    </row>
    <row r="1813" spans="57:125">
      <c r="BE1813"/>
      <c r="BF1813" s="2"/>
      <c r="CN1813"/>
      <c r="CO1813"/>
      <c r="CP1813"/>
      <c r="CQ1813"/>
      <c r="CR1813"/>
      <c r="CS1813"/>
      <c r="CT1813"/>
      <c r="CU1813"/>
      <c r="CV1813" s="2"/>
      <c r="CX1813"/>
      <c r="DC1813"/>
      <c r="DI1813"/>
      <c r="DJ1813"/>
      <c r="DK1813"/>
      <c r="DL1813"/>
      <c r="DM1813"/>
      <c r="DN1813"/>
      <c r="DT1813"/>
      <c r="DU1813"/>
    </row>
    <row r="1814" spans="57:125">
      <c r="BE1814"/>
      <c r="BF1814" s="2"/>
      <c r="CN1814"/>
      <c r="CO1814"/>
      <c r="CP1814"/>
      <c r="CQ1814"/>
      <c r="CR1814"/>
      <c r="CS1814"/>
      <c r="CT1814"/>
      <c r="CU1814"/>
      <c r="CV1814" s="2"/>
      <c r="CX1814"/>
      <c r="DC1814"/>
      <c r="DI1814"/>
      <c r="DJ1814"/>
      <c r="DK1814"/>
      <c r="DL1814"/>
      <c r="DM1814"/>
      <c r="DN1814"/>
      <c r="DT1814"/>
      <c r="DU1814"/>
    </row>
    <row r="1815" spans="57:125">
      <c r="BE1815"/>
      <c r="BF1815" s="2"/>
      <c r="CN1815"/>
      <c r="CO1815"/>
      <c r="CP1815"/>
      <c r="CQ1815"/>
      <c r="CR1815"/>
      <c r="CS1815"/>
      <c r="CT1815"/>
      <c r="CU1815"/>
      <c r="CV1815" s="2"/>
      <c r="CX1815"/>
      <c r="DC1815"/>
      <c r="DI1815"/>
      <c r="DJ1815"/>
      <c r="DK1815"/>
      <c r="DL1815"/>
      <c r="DM1815"/>
      <c r="DN1815"/>
      <c r="DT1815"/>
      <c r="DU1815"/>
    </row>
    <row r="1816" spans="57:125">
      <c r="BE1816"/>
      <c r="BF1816" s="2"/>
      <c r="CN1816"/>
      <c r="CO1816"/>
      <c r="CP1816"/>
      <c r="CQ1816"/>
      <c r="CR1816"/>
      <c r="CS1816"/>
      <c r="CT1816"/>
      <c r="CU1816"/>
      <c r="CV1816" s="2"/>
      <c r="CX1816"/>
      <c r="DC1816"/>
      <c r="DI1816"/>
      <c r="DJ1816"/>
      <c r="DK1816"/>
      <c r="DL1816"/>
      <c r="DM1816"/>
      <c r="DN1816"/>
      <c r="DT1816"/>
      <c r="DU1816"/>
    </row>
    <row r="1817" spans="57:125">
      <c r="BE1817"/>
      <c r="BF1817" s="2"/>
      <c r="CN1817"/>
      <c r="CO1817"/>
      <c r="CP1817"/>
      <c r="CQ1817"/>
      <c r="CR1817"/>
      <c r="CS1817"/>
      <c r="CT1817"/>
      <c r="CU1817"/>
      <c r="CV1817" s="2"/>
      <c r="CX1817"/>
      <c r="DC1817"/>
      <c r="DI1817"/>
      <c r="DJ1817"/>
      <c r="DK1817"/>
      <c r="DL1817"/>
      <c r="DM1817"/>
      <c r="DN1817"/>
      <c r="DT1817"/>
      <c r="DU1817"/>
    </row>
    <row r="1818" spans="57:125">
      <c r="BE1818"/>
      <c r="BF1818" s="2"/>
      <c r="CN1818"/>
      <c r="CO1818"/>
      <c r="CP1818"/>
      <c r="CQ1818"/>
      <c r="CR1818"/>
      <c r="CS1818"/>
      <c r="CT1818"/>
      <c r="CU1818"/>
      <c r="CV1818" s="2"/>
      <c r="CX1818"/>
      <c r="DC1818"/>
      <c r="DI1818"/>
      <c r="DJ1818"/>
      <c r="DK1818"/>
      <c r="DL1818"/>
      <c r="DM1818"/>
      <c r="DN1818"/>
      <c r="DT1818"/>
      <c r="DU1818"/>
    </row>
    <row r="1819" spans="57:125">
      <c r="BE1819"/>
      <c r="BF1819" s="2"/>
      <c r="CN1819"/>
      <c r="CO1819"/>
      <c r="CP1819"/>
      <c r="CQ1819"/>
      <c r="CR1819"/>
      <c r="CS1819"/>
      <c r="CT1819"/>
      <c r="CU1819"/>
      <c r="CV1819" s="2"/>
      <c r="CX1819"/>
      <c r="DC1819"/>
      <c r="DI1819"/>
      <c r="DJ1819"/>
      <c r="DK1819"/>
      <c r="DL1819"/>
      <c r="DM1819"/>
      <c r="DN1819"/>
      <c r="DT1819"/>
      <c r="DU1819"/>
    </row>
    <row r="1820" spans="57:125">
      <c r="BE1820"/>
      <c r="BF1820" s="2"/>
      <c r="CN1820"/>
      <c r="CO1820"/>
      <c r="CP1820"/>
      <c r="CQ1820"/>
      <c r="CR1820"/>
      <c r="CS1820"/>
      <c r="CT1820"/>
      <c r="CU1820"/>
      <c r="CV1820" s="2"/>
      <c r="CX1820"/>
      <c r="DC1820"/>
      <c r="DI1820"/>
      <c r="DJ1820"/>
      <c r="DK1820"/>
      <c r="DL1820"/>
      <c r="DM1820"/>
      <c r="DN1820"/>
      <c r="DT1820"/>
      <c r="DU1820"/>
    </row>
    <row r="1821" spans="57:125">
      <c r="BE1821"/>
      <c r="BF1821" s="2"/>
      <c r="CN1821"/>
      <c r="CO1821"/>
      <c r="CP1821"/>
      <c r="CQ1821"/>
      <c r="CR1821"/>
      <c r="CS1821"/>
      <c r="CT1821"/>
      <c r="CU1821"/>
      <c r="CV1821" s="2"/>
      <c r="CX1821"/>
      <c r="DC1821"/>
      <c r="DI1821"/>
      <c r="DJ1821"/>
      <c r="DK1821"/>
      <c r="DL1821"/>
      <c r="DM1821"/>
      <c r="DN1821"/>
      <c r="DT1821"/>
      <c r="DU1821"/>
    </row>
    <row r="1822" spans="57:125">
      <c r="BE1822"/>
      <c r="BF1822" s="2"/>
      <c r="CN1822"/>
      <c r="CO1822"/>
      <c r="CP1822"/>
      <c r="CQ1822"/>
      <c r="CR1822"/>
      <c r="CS1822"/>
      <c r="CT1822"/>
      <c r="CU1822"/>
      <c r="CV1822" s="2"/>
      <c r="CX1822"/>
      <c r="DC1822"/>
      <c r="DI1822"/>
      <c r="DJ1822"/>
      <c r="DK1822"/>
      <c r="DL1822"/>
      <c r="DM1822"/>
      <c r="DN1822"/>
      <c r="DT1822"/>
      <c r="DU1822"/>
    </row>
    <row r="1823" spans="57:125">
      <c r="BE1823"/>
      <c r="BF1823" s="2"/>
      <c r="CN1823"/>
      <c r="CO1823"/>
      <c r="CP1823"/>
      <c r="CQ1823"/>
      <c r="CR1823"/>
      <c r="CS1823"/>
      <c r="CT1823"/>
      <c r="CU1823"/>
      <c r="CV1823" s="2"/>
      <c r="CX1823"/>
      <c r="DC1823"/>
      <c r="DI1823"/>
      <c r="DJ1823"/>
      <c r="DK1823"/>
      <c r="DL1823"/>
      <c r="DM1823"/>
      <c r="DN1823"/>
      <c r="DT1823"/>
      <c r="DU1823"/>
    </row>
    <row r="1824" spans="57:125">
      <c r="BE1824"/>
      <c r="BF1824" s="2"/>
      <c r="CN1824"/>
      <c r="CO1824"/>
      <c r="CP1824"/>
      <c r="CQ1824"/>
      <c r="CR1824"/>
      <c r="CS1824"/>
      <c r="CT1824"/>
      <c r="CU1824"/>
      <c r="CV1824" s="2"/>
      <c r="CX1824"/>
      <c r="DC1824"/>
      <c r="DI1824"/>
      <c r="DJ1824"/>
      <c r="DK1824"/>
      <c r="DL1824"/>
      <c r="DM1824"/>
      <c r="DN1824"/>
      <c r="DT1824"/>
      <c r="DU1824"/>
    </row>
    <row r="1825" spans="57:125">
      <c r="BE1825"/>
      <c r="BF1825" s="2"/>
      <c r="CN1825"/>
      <c r="CO1825"/>
      <c r="CP1825"/>
      <c r="CQ1825"/>
      <c r="CR1825"/>
      <c r="CS1825"/>
      <c r="CT1825"/>
      <c r="CU1825"/>
      <c r="CV1825" s="2"/>
      <c r="CX1825"/>
      <c r="DC1825"/>
      <c r="DI1825"/>
      <c r="DJ1825"/>
      <c r="DK1825"/>
      <c r="DL1825"/>
      <c r="DM1825"/>
      <c r="DN1825"/>
      <c r="DT1825"/>
      <c r="DU1825"/>
    </row>
    <row r="1826" spans="57:125">
      <c r="BE1826"/>
      <c r="BF1826" s="2"/>
      <c r="CN1826"/>
      <c r="CO1826"/>
      <c r="CP1826"/>
      <c r="CQ1826"/>
      <c r="CR1826"/>
      <c r="CS1826"/>
      <c r="CT1826"/>
      <c r="CU1826"/>
      <c r="CV1826" s="2"/>
      <c r="CX1826"/>
      <c r="DC1826"/>
      <c r="DI1826"/>
      <c r="DJ1826"/>
      <c r="DK1826"/>
      <c r="DL1826"/>
      <c r="DM1826"/>
      <c r="DN1826"/>
      <c r="DT1826"/>
      <c r="DU1826"/>
    </row>
    <row r="1827" spans="57:125">
      <c r="BE1827"/>
      <c r="BF1827" s="2"/>
      <c r="CN1827"/>
      <c r="CO1827"/>
      <c r="CP1827"/>
      <c r="CQ1827"/>
      <c r="CR1827"/>
      <c r="CS1827"/>
      <c r="CT1827"/>
      <c r="CU1827"/>
      <c r="CV1827" s="2"/>
      <c r="CX1827"/>
      <c r="DC1827"/>
      <c r="DI1827"/>
      <c r="DJ1827"/>
      <c r="DK1827"/>
      <c r="DL1827"/>
      <c r="DM1827"/>
      <c r="DN1827"/>
      <c r="DT1827"/>
      <c r="DU1827"/>
    </row>
    <row r="1828" spans="57:125">
      <c r="BE1828"/>
      <c r="BF1828" s="2"/>
      <c r="CN1828"/>
      <c r="CO1828"/>
      <c r="CP1828"/>
      <c r="CQ1828"/>
      <c r="CR1828"/>
      <c r="CS1828"/>
      <c r="CT1828"/>
      <c r="CU1828"/>
      <c r="CV1828" s="2"/>
      <c r="CX1828"/>
      <c r="DC1828"/>
      <c r="DI1828"/>
      <c r="DJ1828"/>
      <c r="DK1828"/>
      <c r="DL1828"/>
      <c r="DM1828"/>
      <c r="DN1828"/>
      <c r="DT1828"/>
      <c r="DU1828"/>
    </row>
    <row r="1829" spans="57:125">
      <c r="BE1829"/>
      <c r="BF1829" s="2"/>
      <c r="CN1829"/>
      <c r="CO1829"/>
      <c r="CP1829"/>
      <c r="CQ1829"/>
      <c r="CR1829"/>
      <c r="CS1829"/>
      <c r="CT1829"/>
      <c r="CU1829"/>
      <c r="CV1829" s="2"/>
      <c r="CX1829"/>
      <c r="DC1829"/>
      <c r="DI1829"/>
      <c r="DJ1829"/>
      <c r="DK1829"/>
      <c r="DL1829"/>
      <c r="DM1829"/>
      <c r="DN1829"/>
      <c r="DT1829"/>
      <c r="DU1829"/>
    </row>
    <row r="1830" spans="57:125">
      <c r="BE1830"/>
      <c r="BF1830" s="2"/>
      <c r="CN1830"/>
      <c r="CO1830"/>
      <c r="CP1830"/>
      <c r="CQ1830"/>
      <c r="CR1830"/>
      <c r="CS1830"/>
      <c r="CT1830"/>
      <c r="CU1830"/>
      <c r="CV1830" s="2"/>
      <c r="CX1830"/>
      <c r="DC1830"/>
      <c r="DI1830"/>
      <c r="DJ1830"/>
      <c r="DK1830"/>
      <c r="DL1830"/>
      <c r="DM1830"/>
      <c r="DN1830"/>
      <c r="DT1830"/>
      <c r="DU1830"/>
    </row>
    <row r="1831" spans="57:125">
      <c r="BE1831"/>
      <c r="BF1831" s="2"/>
      <c r="CN1831"/>
      <c r="CO1831"/>
      <c r="CP1831"/>
      <c r="CQ1831"/>
      <c r="CR1831"/>
      <c r="CS1831"/>
      <c r="CT1831"/>
      <c r="CU1831"/>
      <c r="CV1831" s="2"/>
      <c r="CX1831"/>
      <c r="DC1831"/>
      <c r="DI1831"/>
      <c r="DJ1831"/>
      <c r="DK1831"/>
      <c r="DL1831"/>
      <c r="DM1831"/>
      <c r="DN1831"/>
      <c r="DT1831"/>
      <c r="DU1831"/>
    </row>
    <row r="1832" spans="57:125">
      <c r="BE1832"/>
      <c r="BF1832" s="2"/>
      <c r="CN1832"/>
      <c r="CO1832"/>
      <c r="CP1832"/>
      <c r="CQ1832"/>
      <c r="CR1832"/>
      <c r="CS1832"/>
      <c r="CT1832"/>
      <c r="CU1832"/>
      <c r="CV1832" s="2"/>
      <c r="CX1832"/>
      <c r="DC1832"/>
      <c r="DI1832"/>
      <c r="DJ1832"/>
      <c r="DK1832"/>
      <c r="DL1832"/>
      <c r="DM1832"/>
      <c r="DN1832"/>
      <c r="DT1832"/>
      <c r="DU1832"/>
    </row>
    <row r="1833" spans="57:125">
      <c r="BE1833"/>
      <c r="BF1833" s="2"/>
      <c r="CN1833"/>
      <c r="CO1833"/>
      <c r="CP1833"/>
      <c r="CQ1833"/>
      <c r="CR1833"/>
      <c r="CS1833"/>
      <c r="CT1833"/>
      <c r="CU1833"/>
      <c r="CV1833" s="2"/>
      <c r="CX1833"/>
      <c r="DC1833"/>
      <c r="DI1833"/>
      <c r="DJ1833"/>
      <c r="DK1833"/>
      <c r="DL1833"/>
      <c r="DM1833"/>
      <c r="DN1833"/>
      <c r="DT1833"/>
      <c r="DU1833"/>
    </row>
    <row r="1834" spans="57:125">
      <c r="BE1834"/>
      <c r="BF1834" s="2"/>
      <c r="CN1834"/>
      <c r="CO1834"/>
      <c r="CP1834"/>
      <c r="CQ1834"/>
      <c r="CR1834"/>
      <c r="CS1834"/>
      <c r="CT1834"/>
      <c r="CU1834"/>
      <c r="CV1834" s="2"/>
      <c r="CX1834"/>
      <c r="DC1834"/>
      <c r="DI1834"/>
      <c r="DJ1834"/>
      <c r="DK1834"/>
      <c r="DL1834"/>
      <c r="DM1834"/>
      <c r="DN1834"/>
      <c r="DT1834"/>
      <c r="DU1834"/>
    </row>
    <row r="1835" spans="57:125">
      <c r="BE1835"/>
      <c r="BF1835" s="2"/>
      <c r="CN1835"/>
      <c r="CO1835"/>
      <c r="CP1835"/>
      <c r="CQ1835"/>
      <c r="CR1835"/>
      <c r="CS1835"/>
      <c r="CT1835"/>
      <c r="CU1835"/>
      <c r="CV1835" s="2"/>
      <c r="CX1835"/>
      <c r="DC1835"/>
      <c r="DI1835"/>
      <c r="DJ1835"/>
      <c r="DK1835"/>
      <c r="DL1835"/>
      <c r="DM1835"/>
      <c r="DN1835"/>
      <c r="DT1835"/>
      <c r="DU1835"/>
    </row>
    <row r="1836" spans="57:125">
      <c r="BE1836"/>
      <c r="BF1836" s="2"/>
      <c r="CN1836"/>
      <c r="CO1836"/>
      <c r="CP1836"/>
      <c r="CQ1836"/>
      <c r="CR1836"/>
      <c r="CS1836"/>
      <c r="CT1836"/>
      <c r="CU1836"/>
      <c r="CV1836" s="2"/>
      <c r="CX1836"/>
      <c r="DC1836"/>
      <c r="DI1836"/>
      <c r="DJ1836"/>
      <c r="DK1836"/>
      <c r="DL1836"/>
      <c r="DM1836"/>
      <c r="DN1836"/>
      <c r="DT1836"/>
      <c r="DU1836"/>
    </row>
    <row r="1837" spans="57:125">
      <c r="BE1837"/>
      <c r="BF1837" s="2"/>
      <c r="CN1837"/>
      <c r="CO1837"/>
      <c r="CP1837"/>
      <c r="CQ1837"/>
      <c r="CR1837"/>
      <c r="CS1837"/>
      <c r="CT1837"/>
      <c r="CU1837"/>
      <c r="CV1837" s="2"/>
      <c r="CX1837"/>
      <c r="DC1837"/>
      <c r="DI1837"/>
      <c r="DJ1837"/>
      <c r="DK1837"/>
      <c r="DL1837"/>
      <c r="DM1837"/>
      <c r="DN1837"/>
      <c r="DT1837"/>
      <c r="DU1837"/>
    </row>
    <row r="1838" spans="57:125">
      <c r="BE1838"/>
      <c r="BF1838" s="2"/>
      <c r="CN1838"/>
      <c r="CO1838"/>
      <c r="CP1838"/>
      <c r="CQ1838"/>
      <c r="CR1838"/>
      <c r="CS1838"/>
      <c r="CT1838"/>
      <c r="CU1838"/>
      <c r="CV1838" s="2"/>
      <c r="CX1838"/>
      <c r="DC1838"/>
      <c r="DI1838"/>
      <c r="DJ1838"/>
      <c r="DK1838"/>
      <c r="DL1838"/>
      <c r="DM1838"/>
      <c r="DN1838"/>
      <c r="DT1838"/>
      <c r="DU1838"/>
    </row>
    <row r="1839" spans="57:125">
      <c r="BE1839"/>
      <c r="BF1839" s="2"/>
      <c r="CN1839"/>
      <c r="CO1839"/>
      <c r="CP1839"/>
      <c r="CQ1839"/>
      <c r="CR1839"/>
      <c r="CS1839"/>
      <c r="CT1839"/>
      <c r="CU1839"/>
      <c r="CV1839" s="2"/>
      <c r="CX1839"/>
      <c r="DC1839"/>
      <c r="DI1839"/>
      <c r="DJ1839"/>
      <c r="DK1839"/>
      <c r="DL1839"/>
      <c r="DM1839"/>
      <c r="DN1839"/>
      <c r="DT1839"/>
      <c r="DU1839"/>
    </row>
    <row r="1840" spans="57:125">
      <c r="BE1840"/>
      <c r="BF1840" s="2"/>
      <c r="CN1840"/>
      <c r="CO1840"/>
      <c r="CP1840"/>
      <c r="CQ1840"/>
      <c r="CR1840"/>
      <c r="CS1840"/>
      <c r="CT1840"/>
      <c r="CU1840"/>
      <c r="CV1840" s="2"/>
      <c r="CX1840"/>
      <c r="DC1840"/>
      <c r="DI1840"/>
      <c r="DJ1840"/>
      <c r="DK1840"/>
      <c r="DL1840"/>
      <c r="DM1840"/>
      <c r="DN1840"/>
      <c r="DT1840"/>
      <c r="DU1840"/>
    </row>
    <row r="1841" spans="57:125">
      <c r="BE1841"/>
      <c r="BF1841" s="2"/>
      <c r="CN1841"/>
      <c r="CO1841"/>
      <c r="CP1841"/>
      <c r="CQ1841"/>
      <c r="CR1841"/>
      <c r="CS1841"/>
      <c r="CT1841"/>
      <c r="CU1841"/>
      <c r="CV1841" s="2"/>
      <c r="CX1841"/>
      <c r="DC1841"/>
      <c r="DI1841"/>
      <c r="DJ1841"/>
      <c r="DK1841"/>
      <c r="DL1841"/>
      <c r="DM1841"/>
      <c r="DN1841"/>
      <c r="DT1841"/>
      <c r="DU1841"/>
    </row>
    <row r="1842" spans="57:125">
      <c r="BE1842"/>
      <c r="BF1842" s="2"/>
      <c r="CN1842"/>
      <c r="CO1842"/>
      <c r="CP1842"/>
      <c r="CQ1842"/>
      <c r="CR1842"/>
      <c r="CS1842"/>
      <c r="CT1842"/>
      <c r="CU1842"/>
      <c r="CV1842" s="2"/>
      <c r="CX1842"/>
      <c r="DC1842"/>
      <c r="DI1842"/>
      <c r="DJ1842"/>
      <c r="DK1842"/>
      <c r="DL1842"/>
      <c r="DM1842"/>
      <c r="DN1842"/>
      <c r="DT1842"/>
      <c r="DU1842"/>
    </row>
    <row r="1843" spans="57:125">
      <c r="BE1843"/>
      <c r="BF1843" s="2"/>
      <c r="CN1843"/>
      <c r="CO1843"/>
      <c r="CP1843"/>
      <c r="CQ1843"/>
      <c r="CR1843"/>
      <c r="CS1843"/>
      <c r="CT1843"/>
      <c r="CU1843"/>
      <c r="CV1843" s="2"/>
      <c r="CX1843"/>
      <c r="DC1843"/>
      <c r="DI1843"/>
      <c r="DJ1843"/>
      <c r="DK1843"/>
      <c r="DL1843"/>
      <c r="DM1843"/>
      <c r="DN1843"/>
      <c r="DT1843"/>
      <c r="DU1843"/>
    </row>
    <row r="1844" spans="57:125">
      <c r="BE1844"/>
      <c r="BF1844" s="2"/>
      <c r="CN1844"/>
      <c r="CO1844"/>
      <c r="CP1844"/>
      <c r="CQ1844"/>
      <c r="CR1844"/>
      <c r="CS1844"/>
      <c r="CT1844"/>
      <c r="CU1844"/>
      <c r="CV1844" s="2"/>
      <c r="CX1844"/>
      <c r="DC1844"/>
      <c r="DI1844"/>
      <c r="DJ1844"/>
      <c r="DK1844"/>
      <c r="DL1844"/>
      <c r="DM1844"/>
      <c r="DN1844"/>
      <c r="DT1844"/>
      <c r="DU1844"/>
    </row>
    <row r="1845" spans="57:125">
      <c r="BE1845"/>
      <c r="BF1845" s="2"/>
      <c r="CN1845"/>
      <c r="CO1845"/>
      <c r="CP1845"/>
      <c r="CQ1845"/>
      <c r="CR1845"/>
      <c r="CS1845"/>
      <c r="CT1845"/>
      <c r="CU1845"/>
      <c r="CV1845" s="2"/>
      <c r="CX1845"/>
      <c r="DC1845"/>
      <c r="DI1845"/>
      <c r="DJ1845"/>
      <c r="DK1845"/>
      <c r="DL1845"/>
      <c r="DM1845"/>
      <c r="DN1845"/>
      <c r="DT1845"/>
      <c r="DU1845"/>
    </row>
    <row r="1846" spans="57:125">
      <c r="BE1846"/>
      <c r="BF1846" s="2"/>
      <c r="CN1846"/>
      <c r="CO1846"/>
      <c r="CP1846"/>
      <c r="CQ1846"/>
      <c r="CR1846"/>
      <c r="CS1846"/>
      <c r="CT1846"/>
      <c r="CU1846"/>
      <c r="CV1846" s="2"/>
      <c r="CX1846"/>
      <c r="DC1846"/>
      <c r="DI1846"/>
      <c r="DJ1846"/>
      <c r="DK1846"/>
      <c r="DL1846"/>
      <c r="DM1846"/>
      <c r="DN1846"/>
      <c r="DT1846"/>
      <c r="DU1846"/>
    </row>
    <row r="1847" spans="57:125">
      <c r="BE1847"/>
      <c r="BF1847" s="2"/>
      <c r="CN1847"/>
      <c r="CO1847"/>
      <c r="CP1847"/>
      <c r="CQ1847"/>
      <c r="CR1847"/>
      <c r="CS1847"/>
      <c r="CT1847"/>
      <c r="CU1847"/>
      <c r="CV1847" s="2"/>
      <c r="CX1847"/>
      <c r="DC1847"/>
      <c r="DI1847"/>
      <c r="DJ1847"/>
      <c r="DK1847"/>
      <c r="DL1847"/>
      <c r="DM1847"/>
      <c r="DN1847"/>
      <c r="DT1847"/>
      <c r="DU1847"/>
    </row>
    <row r="1848" spans="57:125">
      <c r="BE1848"/>
      <c r="BF1848" s="2"/>
      <c r="CN1848"/>
      <c r="CO1848"/>
      <c r="CP1848"/>
      <c r="CQ1848"/>
      <c r="CR1848"/>
      <c r="CS1848"/>
      <c r="CT1848"/>
      <c r="CU1848"/>
      <c r="CV1848" s="2"/>
      <c r="CX1848"/>
      <c r="DC1848"/>
      <c r="DI1848"/>
      <c r="DJ1848"/>
      <c r="DK1848"/>
      <c r="DL1848"/>
      <c r="DM1848"/>
      <c r="DN1848"/>
      <c r="DT1848"/>
      <c r="DU1848"/>
    </row>
    <row r="1849" spans="57:125">
      <c r="BE1849"/>
      <c r="BF1849" s="2"/>
      <c r="CN1849"/>
      <c r="CO1849"/>
      <c r="CP1849"/>
      <c r="CQ1849"/>
      <c r="CR1849"/>
      <c r="CS1849"/>
      <c r="CT1849"/>
      <c r="CU1849"/>
      <c r="CV1849" s="2"/>
      <c r="CX1849"/>
      <c r="DC1849"/>
      <c r="DI1849"/>
      <c r="DJ1849"/>
      <c r="DK1849"/>
      <c r="DL1849"/>
      <c r="DM1849"/>
      <c r="DN1849"/>
      <c r="DT1849"/>
      <c r="DU1849"/>
    </row>
    <row r="1850" spans="57:125">
      <c r="BE1850"/>
      <c r="BF1850" s="2"/>
      <c r="CN1850"/>
      <c r="CO1850"/>
      <c r="CP1850"/>
      <c r="CQ1850"/>
      <c r="CR1850"/>
      <c r="CS1850"/>
      <c r="CT1850"/>
      <c r="CU1850"/>
      <c r="CV1850" s="2"/>
      <c r="CX1850"/>
      <c r="DC1850"/>
      <c r="DI1850"/>
      <c r="DJ1850"/>
      <c r="DK1850"/>
      <c r="DL1850"/>
      <c r="DM1850"/>
      <c r="DN1850"/>
      <c r="DT1850"/>
      <c r="DU1850"/>
    </row>
    <row r="1851" spans="57:125">
      <c r="BE1851"/>
      <c r="BF1851" s="2"/>
      <c r="CN1851"/>
      <c r="CO1851"/>
      <c r="CP1851"/>
      <c r="CQ1851"/>
      <c r="CR1851"/>
      <c r="CS1851"/>
      <c r="CT1851"/>
      <c r="CU1851"/>
      <c r="CV1851" s="2"/>
      <c r="CX1851"/>
      <c r="DC1851"/>
      <c r="DI1851"/>
      <c r="DJ1851"/>
      <c r="DK1851"/>
      <c r="DL1851"/>
      <c r="DM1851"/>
      <c r="DN1851"/>
      <c r="DT1851"/>
      <c r="DU1851"/>
    </row>
    <row r="1852" spans="57:125">
      <c r="BE1852"/>
      <c r="BF1852" s="2"/>
      <c r="CN1852"/>
      <c r="CO1852"/>
      <c r="CP1852"/>
      <c r="CQ1852"/>
      <c r="CR1852"/>
      <c r="CS1852"/>
      <c r="CT1852"/>
      <c r="CU1852"/>
      <c r="CV1852" s="2"/>
      <c r="CX1852"/>
      <c r="DC1852"/>
      <c r="DI1852"/>
      <c r="DJ1852"/>
      <c r="DK1852"/>
      <c r="DL1852"/>
      <c r="DM1852"/>
      <c r="DN1852"/>
      <c r="DT1852"/>
      <c r="DU1852"/>
    </row>
    <row r="1853" spans="57:125">
      <c r="BE1853"/>
      <c r="BF1853" s="2"/>
      <c r="CN1853"/>
      <c r="CO1853"/>
      <c r="CP1853"/>
      <c r="CQ1853"/>
      <c r="CR1853"/>
      <c r="CS1853"/>
      <c r="CT1853"/>
      <c r="CU1853"/>
      <c r="CV1853" s="2"/>
      <c r="CX1853"/>
      <c r="DC1853"/>
      <c r="DI1853"/>
      <c r="DJ1853"/>
      <c r="DK1853"/>
      <c r="DL1853"/>
      <c r="DM1853"/>
      <c r="DN1853"/>
      <c r="DT1853"/>
      <c r="DU1853"/>
    </row>
    <row r="1854" spans="57:125">
      <c r="BE1854"/>
      <c r="BF1854" s="2"/>
      <c r="CN1854"/>
      <c r="CO1854"/>
      <c r="CP1854"/>
      <c r="CQ1854"/>
      <c r="CR1854"/>
      <c r="CS1854"/>
      <c r="CT1854"/>
      <c r="CU1854"/>
      <c r="CV1854" s="2"/>
      <c r="CX1854"/>
      <c r="DC1854"/>
      <c r="DI1854"/>
      <c r="DJ1854"/>
      <c r="DK1854"/>
      <c r="DL1854"/>
      <c r="DM1854"/>
      <c r="DN1854"/>
      <c r="DT1854"/>
      <c r="DU1854"/>
    </row>
    <row r="1855" spans="57:125">
      <c r="BE1855"/>
      <c r="BF1855" s="2"/>
      <c r="CN1855"/>
      <c r="CO1855"/>
      <c r="CP1855"/>
      <c r="CQ1855"/>
      <c r="CR1855"/>
      <c r="CS1855"/>
      <c r="CT1855"/>
      <c r="CU1855"/>
      <c r="CV1855" s="2"/>
      <c r="CX1855"/>
      <c r="DC1855"/>
      <c r="DI1855"/>
      <c r="DJ1855"/>
      <c r="DK1855"/>
      <c r="DL1855"/>
      <c r="DM1855"/>
      <c r="DN1855"/>
      <c r="DT1855"/>
      <c r="DU1855"/>
    </row>
    <row r="1856" spans="57:125">
      <c r="BE1856"/>
      <c r="BF1856" s="2"/>
      <c r="CN1856"/>
      <c r="CO1856"/>
      <c r="CP1856"/>
      <c r="CQ1856"/>
      <c r="CR1856"/>
      <c r="CS1856"/>
      <c r="CT1856"/>
      <c r="CU1856"/>
      <c r="CV1856" s="2"/>
      <c r="CX1856"/>
      <c r="DC1856"/>
      <c r="DI1856"/>
      <c r="DJ1856"/>
      <c r="DK1856"/>
      <c r="DL1856"/>
      <c r="DM1856"/>
      <c r="DN1856"/>
      <c r="DT1856"/>
      <c r="DU1856"/>
    </row>
    <row r="1857" spans="57:125">
      <c r="BE1857"/>
      <c r="BF1857" s="2"/>
      <c r="CN1857"/>
      <c r="CO1857"/>
      <c r="CP1857"/>
      <c r="CQ1857"/>
      <c r="CR1857"/>
      <c r="CS1857"/>
      <c r="CT1857"/>
      <c r="CU1857"/>
      <c r="CV1857" s="2"/>
      <c r="CX1857"/>
      <c r="DC1857"/>
      <c r="DI1857"/>
      <c r="DJ1857"/>
      <c r="DK1857"/>
      <c r="DL1857"/>
      <c r="DM1857"/>
      <c r="DN1857"/>
      <c r="DT1857"/>
      <c r="DU1857"/>
    </row>
    <row r="1858" spans="57:125">
      <c r="BE1858"/>
      <c r="BF1858" s="2"/>
      <c r="CN1858"/>
      <c r="CO1858"/>
      <c r="CP1858"/>
      <c r="CQ1858"/>
      <c r="CR1858"/>
      <c r="CS1858"/>
      <c r="CT1858"/>
      <c r="CU1858"/>
      <c r="CV1858" s="2"/>
      <c r="CX1858"/>
      <c r="DC1858"/>
      <c r="DI1858"/>
      <c r="DJ1858"/>
      <c r="DK1858"/>
      <c r="DL1858"/>
      <c r="DM1858"/>
      <c r="DN1858"/>
      <c r="DT1858"/>
      <c r="DU1858"/>
    </row>
    <row r="1859" spans="57:125">
      <c r="BE1859"/>
      <c r="BF1859" s="2"/>
      <c r="CN1859"/>
      <c r="CO1859"/>
      <c r="CP1859"/>
      <c r="CQ1859"/>
      <c r="CR1859"/>
      <c r="CS1859"/>
      <c r="CT1859"/>
      <c r="CU1859"/>
      <c r="CV1859" s="2"/>
      <c r="CX1859"/>
      <c r="DC1859"/>
      <c r="DI1859"/>
      <c r="DJ1859"/>
      <c r="DK1859"/>
      <c r="DL1859"/>
      <c r="DM1859"/>
      <c r="DN1859"/>
      <c r="DT1859"/>
      <c r="DU1859"/>
    </row>
    <row r="1860" spans="57:125">
      <c r="BE1860"/>
      <c r="BF1860" s="2"/>
      <c r="CN1860"/>
      <c r="CO1860"/>
      <c r="CP1860"/>
      <c r="CQ1860"/>
      <c r="CR1860"/>
      <c r="CS1860"/>
      <c r="CT1860"/>
      <c r="CU1860"/>
      <c r="CV1860" s="2"/>
      <c r="CX1860"/>
      <c r="DC1860"/>
      <c r="DI1860"/>
      <c r="DJ1860"/>
      <c r="DK1860"/>
      <c r="DL1860"/>
      <c r="DM1860"/>
      <c r="DN1860"/>
      <c r="DT1860"/>
      <c r="DU1860"/>
    </row>
    <row r="1861" spans="57:125">
      <c r="BE1861"/>
      <c r="BF1861" s="2"/>
      <c r="CN1861"/>
      <c r="CO1861"/>
      <c r="CP1861"/>
      <c r="CQ1861"/>
      <c r="CR1861"/>
      <c r="CS1861"/>
      <c r="CT1861"/>
      <c r="CU1861"/>
      <c r="CV1861" s="2"/>
      <c r="CX1861"/>
      <c r="DC1861"/>
      <c r="DI1861"/>
      <c r="DJ1861"/>
      <c r="DK1861"/>
      <c r="DL1861"/>
      <c r="DM1861"/>
      <c r="DN1861"/>
      <c r="DT1861"/>
      <c r="DU1861"/>
    </row>
    <row r="1862" spans="57:125">
      <c r="BE1862"/>
      <c r="BF1862" s="2"/>
      <c r="CN1862"/>
      <c r="CO1862"/>
      <c r="CP1862"/>
      <c r="CQ1862"/>
      <c r="CR1862"/>
      <c r="CS1862"/>
      <c r="CT1862"/>
      <c r="CU1862"/>
      <c r="CV1862" s="2"/>
      <c r="CX1862"/>
      <c r="DC1862"/>
      <c r="DI1862"/>
      <c r="DJ1862"/>
      <c r="DK1862"/>
      <c r="DL1862"/>
      <c r="DM1862"/>
      <c r="DN1862"/>
      <c r="DT1862"/>
      <c r="DU1862"/>
    </row>
    <row r="1863" spans="57:125">
      <c r="BE1863"/>
      <c r="BF1863" s="2"/>
      <c r="CN1863"/>
      <c r="CO1863"/>
      <c r="CP1863"/>
      <c r="CQ1863"/>
      <c r="CR1863"/>
      <c r="CS1863"/>
      <c r="CT1863"/>
      <c r="CU1863"/>
      <c r="CV1863" s="2"/>
      <c r="CX1863"/>
      <c r="DC1863"/>
      <c r="DI1863"/>
      <c r="DJ1863"/>
      <c r="DK1863"/>
      <c r="DL1863"/>
      <c r="DM1863"/>
      <c r="DN1863"/>
      <c r="DT1863"/>
      <c r="DU1863"/>
    </row>
    <row r="1864" spans="57:125">
      <c r="BE1864"/>
      <c r="BF1864" s="2"/>
      <c r="CN1864"/>
      <c r="CO1864"/>
      <c r="CP1864"/>
      <c r="CQ1864"/>
      <c r="CR1864"/>
      <c r="CS1864"/>
      <c r="CT1864"/>
      <c r="CU1864"/>
      <c r="CV1864" s="2"/>
      <c r="CX1864"/>
      <c r="DC1864"/>
      <c r="DI1864"/>
      <c r="DJ1864"/>
      <c r="DK1864"/>
      <c r="DL1864"/>
      <c r="DM1864"/>
      <c r="DN1864"/>
      <c r="DT1864"/>
      <c r="DU1864"/>
    </row>
    <row r="1865" spans="57:125">
      <c r="BE1865"/>
      <c r="BF1865" s="2"/>
      <c r="CN1865"/>
      <c r="CO1865"/>
      <c r="CP1865"/>
      <c r="CQ1865"/>
      <c r="CR1865"/>
      <c r="CS1865"/>
      <c r="CT1865"/>
      <c r="CU1865"/>
      <c r="CV1865" s="2"/>
      <c r="CX1865"/>
      <c r="DC1865"/>
      <c r="DI1865"/>
      <c r="DJ1865"/>
      <c r="DK1865"/>
      <c r="DL1865"/>
      <c r="DM1865"/>
      <c r="DN1865"/>
      <c r="DT1865"/>
      <c r="DU1865"/>
    </row>
    <row r="1866" spans="57:125">
      <c r="BE1866"/>
      <c r="BF1866" s="2"/>
      <c r="CN1866"/>
      <c r="CO1866"/>
      <c r="CP1866"/>
      <c r="CQ1866"/>
      <c r="CR1866"/>
      <c r="CS1866"/>
      <c r="CT1866"/>
      <c r="CU1866"/>
      <c r="CV1866" s="2"/>
      <c r="CX1866"/>
      <c r="DC1866"/>
      <c r="DI1866"/>
      <c r="DJ1866"/>
      <c r="DK1866"/>
      <c r="DL1866"/>
      <c r="DM1866"/>
      <c r="DN1866"/>
      <c r="DT1866"/>
      <c r="DU1866"/>
    </row>
    <row r="1867" spans="57:125">
      <c r="BE1867"/>
      <c r="BF1867" s="2"/>
      <c r="CN1867"/>
      <c r="CO1867"/>
      <c r="CP1867"/>
      <c r="CQ1867"/>
      <c r="CR1867"/>
      <c r="CS1867"/>
      <c r="CT1867"/>
      <c r="CU1867"/>
      <c r="CV1867" s="2"/>
      <c r="CX1867"/>
      <c r="DC1867"/>
      <c r="DI1867"/>
      <c r="DJ1867"/>
      <c r="DK1867"/>
      <c r="DL1867"/>
      <c r="DM1867"/>
      <c r="DN1867"/>
      <c r="DT1867"/>
      <c r="DU1867"/>
    </row>
    <row r="1868" spans="57:125">
      <c r="BE1868"/>
      <c r="BF1868" s="2"/>
      <c r="CN1868"/>
      <c r="CO1868"/>
      <c r="CP1868"/>
      <c r="CQ1868"/>
      <c r="CR1868"/>
      <c r="CS1868"/>
      <c r="CT1868"/>
      <c r="CU1868"/>
      <c r="CV1868" s="2"/>
      <c r="CX1868"/>
      <c r="DC1868"/>
      <c r="DI1868"/>
      <c r="DJ1868"/>
      <c r="DK1868"/>
      <c r="DL1868"/>
      <c r="DM1868"/>
      <c r="DN1868"/>
      <c r="DT1868"/>
      <c r="DU1868"/>
    </row>
    <row r="1869" spans="57:125">
      <c r="BE1869"/>
      <c r="BF1869" s="2"/>
      <c r="CN1869"/>
      <c r="CO1869"/>
      <c r="CP1869"/>
      <c r="CQ1869"/>
      <c r="CR1869"/>
      <c r="CS1869"/>
      <c r="CT1869"/>
      <c r="CU1869"/>
      <c r="CV1869" s="2"/>
      <c r="CX1869"/>
      <c r="DC1869"/>
      <c r="DI1869"/>
      <c r="DJ1869"/>
      <c r="DK1869"/>
      <c r="DL1869"/>
      <c r="DM1869"/>
      <c r="DN1869"/>
      <c r="DT1869"/>
      <c r="DU1869"/>
    </row>
    <row r="1870" spans="57:125">
      <c r="BE1870"/>
      <c r="BF1870" s="2"/>
      <c r="CN1870"/>
      <c r="CO1870"/>
      <c r="CP1870"/>
      <c r="CQ1870"/>
      <c r="CR1870"/>
      <c r="CS1870"/>
      <c r="CT1870"/>
      <c r="CU1870"/>
      <c r="CV1870" s="2"/>
      <c r="CX1870"/>
      <c r="DC1870"/>
      <c r="DI1870"/>
      <c r="DJ1870"/>
      <c r="DK1870"/>
      <c r="DL1870"/>
      <c r="DM1870"/>
      <c r="DN1870"/>
      <c r="DT1870"/>
      <c r="DU1870"/>
    </row>
    <row r="1871" spans="57:125">
      <c r="BE1871"/>
      <c r="BF1871" s="2"/>
      <c r="CN1871"/>
      <c r="CO1871"/>
      <c r="CP1871"/>
      <c r="CQ1871"/>
      <c r="CR1871"/>
      <c r="CS1871"/>
      <c r="CT1871"/>
      <c r="CU1871"/>
      <c r="CV1871" s="2"/>
      <c r="CX1871"/>
      <c r="DC1871"/>
      <c r="DI1871"/>
      <c r="DJ1871"/>
      <c r="DK1871"/>
      <c r="DL1871"/>
      <c r="DM1871"/>
      <c r="DN1871"/>
      <c r="DT1871"/>
      <c r="DU1871"/>
    </row>
    <row r="1872" spans="57:125">
      <c r="BE1872"/>
      <c r="BF1872" s="2"/>
      <c r="CN1872"/>
      <c r="CO1872"/>
      <c r="CP1872"/>
      <c r="CQ1872"/>
      <c r="CR1872"/>
      <c r="CS1872"/>
      <c r="CT1872"/>
      <c r="CU1872"/>
      <c r="CV1872" s="2"/>
      <c r="CX1872"/>
      <c r="DC1872"/>
      <c r="DI1872"/>
      <c r="DJ1872"/>
      <c r="DK1872"/>
      <c r="DL1872"/>
      <c r="DM1872"/>
      <c r="DN1872"/>
      <c r="DT1872"/>
      <c r="DU1872"/>
    </row>
    <row r="1873" spans="57:125">
      <c r="BE1873"/>
      <c r="BF1873" s="2"/>
      <c r="CN1873"/>
      <c r="CO1873"/>
      <c r="CP1873"/>
      <c r="CQ1873"/>
      <c r="CR1873"/>
      <c r="CS1873"/>
      <c r="CT1873"/>
      <c r="CU1873"/>
      <c r="CV1873" s="2"/>
      <c r="CX1873"/>
      <c r="DC1873"/>
      <c r="DI1873"/>
      <c r="DJ1873"/>
      <c r="DK1873"/>
      <c r="DL1873"/>
      <c r="DM1873"/>
      <c r="DN1873"/>
      <c r="DT1873"/>
      <c r="DU1873"/>
    </row>
    <row r="1874" spans="57:125">
      <c r="BE1874"/>
      <c r="BF1874" s="2"/>
      <c r="CN1874"/>
      <c r="CO1874"/>
      <c r="CP1874"/>
      <c r="CQ1874"/>
      <c r="CR1874"/>
      <c r="CS1874"/>
      <c r="CT1874"/>
      <c r="CU1874"/>
      <c r="CV1874" s="2"/>
      <c r="CX1874"/>
      <c r="DC1874"/>
      <c r="DI1874"/>
      <c r="DJ1874"/>
      <c r="DK1874"/>
      <c r="DL1874"/>
      <c r="DM1874"/>
      <c r="DN1874"/>
      <c r="DT1874"/>
      <c r="DU1874"/>
    </row>
    <row r="1875" spans="57:125">
      <c r="BE1875"/>
      <c r="BF1875" s="2"/>
      <c r="CN1875"/>
      <c r="CO1875"/>
      <c r="CP1875"/>
      <c r="CQ1875"/>
      <c r="CR1875"/>
      <c r="CS1875"/>
      <c r="CT1875"/>
      <c r="CU1875"/>
      <c r="CV1875" s="2"/>
      <c r="CX1875"/>
      <c r="DC1875"/>
      <c r="DI1875"/>
      <c r="DJ1875"/>
      <c r="DK1875"/>
      <c r="DL1875"/>
      <c r="DM1875"/>
      <c r="DN1875"/>
      <c r="DT1875"/>
      <c r="DU1875"/>
    </row>
    <row r="1876" spans="57:125">
      <c r="BE1876"/>
      <c r="BF1876" s="2"/>
      <c r="CN1876"/>
      <c r="CO1876"/>
      <c r="CP1876"/>
      <c r="CQ1876"/>
      <c r="CR1876"/>
      <c r="CS1876"/>
      <c r="CT1876"/>
      <c r="CU1876"/>
      <c r="CV1876" s="2"/>
      <c r="CX1876"/>
      <c r="DC1876"/>
      <c r="DI1876"/>
      <c r="DJ1876"/>
      <c r="DK1876"/>
      <c r="DL1876"/>
      <c r="DM1876"/>
      <c r="DN1876"/>
      <c r="DT1876"/>
      <c r="DU1876"/>
    </row>
    <row r="1877" spans="57:125">
      <c r="BE1877"/>
      <c r="BF1877" s="2"/>
      <c r="CN1877"/>
      <c r="CO1877"/>
      <c r="CP1877"/>
      <c r="CQ1877"/>
      <c r="CR1877"/>
      <c r="CS1877"/>
      <c r="CT1877"/>
      <c r="CU1877"/>
      <c r="CV1877" s="2"/>
      <c r="CX1877"/>
      <c r="DC1877"/>
      <c r="DI1877"/>
      <c r="DJ1877"/>
      <c r="DK1877"/>
      <c r="DL1877"/>
      <c r="DM1877"/>
      <c r="DN1877"/>
      <c r="DT1877"/>
      <c r="DU1877"/>
    </row>
    <row r="1878" spans="57:125">
      <c r="BE1878"/>
      <c r="BF1878" s="2"/>
      <c r="CN1878"/>
      <c r="CO1878"/>
      <c r="CP1878"/>
      <c r="CQ1878"/>
      <c r="CR1878"/>
      <c r="CS1878"/>
      <c r="CT1878"/>
      <c r="CU1878"/>
      <c r="CV1878" s="2"/>
      <c r="CX1878"/>
      <c r="DC1878"/>
      <c r="DI1878"/>
      <c r="DJ1878"/>
      <c r="DK1878"/>
      <c r="DL1878"/>
      <c r="DM1878"/>
      <c r="DN1878"/>
      <c r="DT1878"/>
      <c r="DU1878"/>
    </row>
    <row r="1879" spans="57:125">
      <c r="BE1879"/>
      <c r="BF1879" s="2"/>
      <c r="CN1879"/>
      <c r="CO1879"/>
      <c r="CP1879"/>
      <c r="CQ1879"/>
      <c r="CR1879"/>
      <c r="CS1879"/>
      <c r="CT1879"/>
      <c r="CU1879"/>
      <c r="CV1879" s="2"/>
      <c r="CX1879"/>
      <c r="DC1879"/>
      <c r="DI1879"/>
      <c r="DJ1879"/>
      <c r="DK1879"/>
      <c r="DL1879"/>
      <c r="DM1879"/>
      <c r="DN1879"/>
      <c r="DT1879"/>
      <c r="DU1879"/>
    </row>
    <row r="1880" spans="57:125">
      <c r="BE1880"/>
      <c r="BF1880" s="2"/>
      <c r="CN1880"/>
      <c r="CO1880"/>
      <c r="CP1880"/>
      <c r="CQ1880"/>
      <c r="CR1880"/>
      <c r="CS1880"/>
      <c r="CT1880"/>
      <c r="CU1880"/>
      <c r="CV1880" s="2"/>
      <c r="CX1880"/>
      <c r="DC1880"/>
      <c r="DI1880"/>
      <c r="DJ1880"/>
      <c r="DK1880"/>
      <c r="DL1880"/>
      <c r="DM1880"/>
      <c r="DN1880"/>
      <c r="DT1880"/>
      <c r="DU1880"/>
    </row>
    <row r="1881" spans="57:125">
      <c r="BE1881"/>
      <c r="BF1881" s="2"/>
      <c r="CN1881"/>
      <c r="CO1881"/>
      <c r="CP1881"/>
      <c r="CQ1881"/>
      <c r="CR1881"/>
      <c r="CS1881"/>
      <c r="CT1881"/>
      <c r="CU1881"/>
      <c r="CV1881" s="2"/>
      <c r="CX1881"/>
      <c r="DC1881"/>
      <c r="DI1881"/>
      <c r="DJ1881"/>
      <c r="DK1881"/>
      <c r="DL1881"/>
      <c r="DM1881"/>
      <c r="DN1881"/>
      <c r="DT1881"/>
      <c r="DU1881"/>
    </row>
    <row r="1882" spans="57:125">
      <c r="BE1882"/>
      <c r="BF1882" s="2"/>
      <c r="CN1882"/>
      <c r="CO1882"/>
      <c r="CP1882"/>
      <c r="CQ1882"/>
      <c r="CR1882"/>
      <c r="CS1882"/>
      <c r="CT1882"/>
      <c r="CU1882"/>
      <c r="CV1882" s="2"/>
      <c r="CX1882"/>
      <c r="DC1882"/>
      <c r="DI1882"/>
      <c r="DJ1882"/>
      <c r="DK1882"/>
      <c r="DL1882"/>
      <c r="DM1882"/>
      <c r="DN1882"/>
      <c r="DT1882"/>
      <c r="DU1882"/>
    </row>
    <row r="1883" spans="57:125">
      <c r="BE1883"/>
      <c r="BF1883" s="2"/>
      <c r="CN1883"/>
      <c r="CO1883"/>
      <c r="CP1883"/>
      <c r="CQ1883"/>
      <c r="CR1883"/>
      <c r="CS1883"/>
      <c r="CT1883"/>
      <c r="CU1883"/>
      <c r="CV1883" s="2"/>
      <c r="CX1883"/>
      <c r="DC1883"/>
      <c r="DI1883"/>
      <c r="DJ1883"/>
      <c r="DK1883"/>
      <c r="DL1883"/>
      <c r="DM1883"/>
      <c r="DN1883"/>
      <c r="DT1883"/>
      <c r="DU1883"/>
    </row>
    <row r="1884" spans="57:125">
      <c r="BE1884"/>
      <c r="BF1884" s="2"/>
      <c r="CN1884"/>
      <c r="CO1884"/>
      <c r="CP1884"/>
      <c r="CQ1884"/>
      <c r="CR1884"/>
      <c r="CS1884"/>
      <c r="CT1884"/>
      <c r="CU1884"/>
      <c r="CV1884" s="2"/>
      <c r="CX1884"/>
      <c r="DC1884"/>
      <c r="DI1884"/>
      <c r="DJ1884"/>
      <c r="DK1884"/>
      <c r="DL1884"/>
      <c r="DM1884"/>
      <c r="DN1884"/>
      <c r="DT1884"/>
      <c r="DU1884"/>
    </row>
    <row r="1885" spans="57:125">
      <c r="BE1885"/>
      <c r="BF1885" s="2"/>
      <c r="CN1885"/>
      <c r="CO1885"/>
      <c r="CP1885"/>
      <c r="CQ1885"/>
      <c r="CR1885"/>
      <c r="CS1885"/>
      <c r="CT1885"/>
      <c r="CU1885"/>
      <c r="CV1885" s="2"/>
      <c r="CX1885"/>
      <c r="DC1885"/>
      <c r="DI1885"/>
      <c r="DJ1885"/>
      <c r="DK1885"/>
      <c r="DL1885"/>
      <c r="DM1885"/>
      <c r="DN1885"/>
      <c r="DT1885"/>
      <c r="DU1885"/>
    </row>
    <row r="1886" spans="57:125">
      <c r="BE1886"/>
      <c r="BF1886" s="2"/>
      <c r="CN1886"/>
      <c r="CO1886"/>
      <c r="CP1886"/>
      <c r="CQ1886"/>
      <c r="CR1886"/>
      <c r="CS1886"/>
      <c r="CT1886"/>
      <c r="CU1886"/>
      <c r="CV1886" s="2"/>
      <c r="CX1886"/>
      <c r="DC1886"/>
      <c r="DI1886"/>
      <c r="DJ1886"/>
      <c r="DK1886"/>
      <c r="DL1886"/>
      <c r="DM1886"/>
      <c r="DN1886"/>
      <c r="DT1886"/>
      <c r="DU1886"/>
    </row>
    <row r="1887" spans="57:125">
      <c r="BE1887"/>
      <c r="BF1887" s="2"/>
      <c r="CN1887"/>
      <c r="CO1887"/>
      <c r="CP1887"/>
      <c r="CQ1887"/>
      <c r="CR1887"/>
      <c r="CS1887"/>
      <c r="CT1887"/>
      <c r="CU1887"/>
      <c r="CV1887" s="2"/>
      <c r="CX1887"/>
      <c r="DC1887"/>
      <c r="DI1887"/>
      <c r="DJ1887"/>
      <c r="DK1887"/>
      <c r="DL1887"/>
      <c r="DM1887"/>
      <c r="DN1887"/>
      <c r="DT1887"/>
      <c r="DU1887"/>
    </row>
    <row r="1888" spans="57:125">
      <c r="BE1888"/>
      <c r="BF1888" s="2"/>
      <c r="CN1888"/>
      <c r="CO1888"/>
      <c r="CP1888"/>
      <c r="CQ1888"/>
      <c r="CR1888"/>
      <c r="CS1888"/>
      <c r="CT1888"/>
      <c r="CU1888"/>
      <c r="CV1888" s="2"/>
      <c r="CX1888"/>
      <c r="DC1888"/>
      <c r="DI1888"/>
      <c r="DJ1888"/>
      <c r="DK1888"/>
      <c r="DL1888"/>
      <c r="DM1888"/>
      <c r="DN1888"/>
      <c r="DT1888"/>
      <c r="DU1888"/>
    </row>
    <row r="1889" spans="57:125">
      <c r="BE1889"/>
      <c r="BF1889" s="2"/>
      <c r="CN1889"/>
      <c r="CO1889"/>
      <c r="CP1889"/>
      <c r="CQ1889"/>
      <c r="CR1889"/>
      <c r="CS1889"/>
      <c r="CT1889"/>
      <c r="CU1889"/>
      <c r="CV1889" s="2"/>
      <c r="CX1889"/>
      <c r="DC1889"/>
      <c r="DI1889"/>
      <c r="DJ1889"/>
      <c r="DK1889"/>
      <c r="DL1889"/>
      <c r="DM1889"/>
      <c r="DN1889"/>
      <c r="DT1889"/>
      <c r="DU1889"/>
    </row>
    <row r="1890" spans="57:125">
      <c r="BE1890"/>
      <c r="BF1890" s="2"/>
      <c r="CN1890"/>
      <c r="CO1890"/>
      <c r="CP1890"/>
      <c r="CQ1890"/>
      <c r="CR1890"/>
      <c r="CS1890"/>
      <c r="CT1890"/>
      <c r="CU1890"/>
      <c r="CV1890" s="2"/>
      <c r="CX1890"/>
      <c r="DC1890"/>
      <c r="DI1890"/>
      <c r="DJ1890"/>
      <c r="DK1890"/>
      <c r="DL1890"/>
      <c r="DM1890"/>
      <c r="DN1890"/>
      <c r="DT1890"/>
      <c r="DU1890"/>
    </row>
    <row r="1891" spans="57:125">
      <c r="BE1891"/>
      <c r="BF1891" s="2"/>
      <c r="CN1891"/>
      <c r="CO1891"/>
      <c r="CP1891"/>
      <c r="CQ1891"/>
      <c r="CR1891"/>
      <c r="CS1891"/>
      <c r="CT1891"/>
      <c r="CU1891"/>
      <c r="CV1891" s="2"/>
      <c r="CX1891"/>
      <c r="DC1891"/>
      <c r="DI1891"/>
      <c r="DJ1891"/>
      <c r="DK1891"/>
      <c r="DL1891"/>
      <c r="DM1891"/>
      <c r="DN1891"/>
      <c r="DT1891"/>
      <c r="DU1891"/>
    </row>
    <row r="1892" spans="57:125">
      <c r="BE1892"/>
      <c r="BF1892" s="2"/>
      <c r="CN1892"/>
      <c r="CO1892"/>
      <c r="CP1892"/>
      <c r="CQ1892"/>
      <c r="CR1892"/>
      <c r="CS1892"/>
      <c r="CT1892"/>
      <c r="CU1892"/>
      <c r="CV1892" s="2"/>
      <c r="CX1892"/>
      <c r="DC1892"/>
      <c r="DI1892"/>
      <c r="DJ1892"/>
      <c r="DK1892"/>
      <c r="DL1892"/>
      <c r="DM1892"/>
      <c r="DN1892"/>
      <c r="DT1892"/>
      <c r="DU1892"/>
    </row>
    <row r="1893" spans="57:125">
      <c r="BE1893"/>
      <c r="BF1893" s="2"/>
      <c r="CN1893"/>
      <c r="CO1893"/>
      <c r="CP1893"/>
      <c r="CQ1893"/>
      <c r="CR1893"/>
      <c r="CS1893"/>
      <c r="CT1893"/>
      <c r="CU1893"/>
      <c r="CV1893" s="2"/>
      <c r="CX1893"/>
      <c r="DC1893"/>
      <c r="DI1893"/>
      <c r="DJ1893"/>
      <c r="DK1893"/>
      <c r="DL1893"/>
      <c r="DM1893"/>
      <c r="DN1893"/>
      <c r="DT1893"/>
      <c r="DU1893"/>
    </row>
    <row r="1894" spans="57:125">
      <c r="BE1894"/>
      <c r="BF1894" s="2"/>
      <c r="CN1894"/>
      <c r="CO1894"/>
      <c r="CP1894"/>
      <c r="CQ1894"/>
      <c r="CR1894"/>
      <c r="CS1894"/>
      <c r="CT1894"/>
      <c r="CU1894"/>
      <c r="CV1894" s="2"/>
      <c r="CX1894"/>
      <c r="DC1894"/>
      <c r="DI1894"/>
      <c r="DJ1894"/>
      <c r="DK1894"/>
      <c r="DL1894"/>
      <c r="DM1894"/>
      <c r="DN1894"/>
      <c r="DT1894"/>
      <c r="DU1894"/>
    </row>
    <row r="1895" spans="57:125">
      <c r="BE1895"/>
      <c r="BF1895" s="2"/>
      <c r="CN1895"/>
      <c r="CO1895"/>
      <c r="CP1895"/>
      <c r="CQ1895"/>
      <c r="CR1895"/>
      <c r="CS1895"/>
      <c r="CT1895"/>
      <c r="CU1895"/>
      <c r="CV1895" s="2"/>
      <c r="CX1895"/>
      <c r="DC1895"/>
      <c r="DI1895"/>
      <c r="DJ1895"/>
      <c r="DK1895"/>
      <c r="DL1895"/>
      <c r="DM1895"/>
      <c r="DN1895"/>
      <c r="DT1895"/>
      <c r="DU1895"/>
    </row>
    <row r="1896" spans="57:125">
      <c r="BE1896"/>
      <c r="BF1896" s="2"/>
      <c r="CN1896"/>
      <c r="CO1896"/>
      <c r="CP1896"/>
      <c r="CQ1896"/>
      <c r="CR1896"/>
      <c r="CS1896"/>
      <c r="CT1896"/>
      <c r="CU1896"/>
      <c r="CV1896" s="2"/>
      <c r="CX1896"/>
      <c r="DC1896"/>
      <c r="DI1896"/>
      <c r="DJ1896"/>
      <c r="DK1896"/>
      <c r="DL1896"/>
      <c r="DM1896"/>
      <c r="DN1896"/>
      <c r="DT1896"/>
      <c r="DU1896"/>
    </row>
    <row r="1897" spans="57:125">
      <c r="BE1897"/>
      <c r="BF1897" s="2"/>
      <c r="CN1897"/>
      <c r="CO1897"/>
      <c r="CP1897"/>
      <c r="CQ1897"/>
      <c r="CR1897"/>
      <c r="CS1897"/>
      <c r="CT1897"/>
      <c r="CU1897"/>
      <c r="CV1897" s="2"/>
      <c r="CX1897"/>
      <c r="DC1897"/>
      <c r="DI1897"/>
      <c r="DJ1897"/>
      <c r="DK1897"/>
      <c r="DL1897"/>
      <c r="DM1897"/>
      <c r="DN1897"/>
      <c r="DT1897"/>
      <c r="DU1897"/>
    </row>
    <row r="1898" spans="57:125">
      <c r="BE1898"/>
      <c r="BF1898" s="2"/>
      <c r="CN1898"/>
      <c r="CO1898"/>
      <c r="CP1898"/>
      <c r="CQ1898"/>
      <c r="CR1898"/>
      <c r="CS1898"/>
      <c r="CT1898"/>
      <c r="CU1898"/>
      <c r="CV1898" s="2"/>
      <c r="CX1898"/>
      <c r="DC1898"/>
      <c r="DI1898"/>
      <c r="DJ1898"/>
      <c r="DK1898"/>
      <c r="DL1898"/>
      <c r="DM1898"/>
      <c r="DN1898"/>
      <c r="DT1898"/>
      <c r="DU1898"/>
    </row>
    <row r="1899" spans="57:125">
      <c r="BE1899"/>
      <c r="BF1899" s="2"/>
      <c r="CN1899"/>
      <c r="CO1899"/>
      <c r="CP1899"/>
      <c r="CQ1899"/>
      <c r="CR1899"/>
      <c r="CS1899"/>
      <c r="CT1899"/>
      <c r="CU1899"/>
      <c r="CV1899" s="2"/>
      <c r="CX1899"/>
      <c r="DC1899"/>
      <c r="DI1899"/>
      <c r="DJ1899"/>
      <c r="DK1899"/>
      <c r="DL1899"/>
      <c r="DM1899"/>
      <c r="DN1899"/>
      <c r="DT1899"/>
      <c r="DU1899"/>
    </row>
    <row r="1900" spans="57:125">
      <c r="BE1900"/>
      <c r="BF1900" s="2"/>
      <c r="CN1900"/>
      <c r="CO1900"/>
      <c r="CP1900"/>
      <c r="CQ1900"/>
      <c r="CR1900"/>
      <c r="CS1900"/>
      <c r="CT1900"/>
      <c r="CU1900"/>
      <c r="CV1900" s="2"/>
      <c r="CX1900"/>
      <c r="DC1900"/>
      <c r="DI1900"/>
      <c r="DJ1900"/>
      <c r="DK1900"/>
      <c r="DL1900"/>
      <c r="DM1900"/>
      <c r="DN1900"/>
      <c r="DT1900"/>
      <c r="DU1900"/>
    </row>
    <row r="1901" spans="57:125">
      <c r="BE1901"/>
      <c r="BF1901" s="2"/>
      <c r="CN1901"/>
      <c r="CO1901"/>
      <c r="CP1901"/>
      <c r="CQ1901"/>
      <c r="CR1901"/>
      <c r="CS1901"/>
      <c r="CT1901"/>
      <c r="CU1901"/>
      <c r="CV1901" s="2"/>
      <c r="CX1901"/>
      <c r="DC1901"/>
      <c r="DI1901"/>
      <c r="DJ1901"/>
      <c r="DK1901"/>
      <c r="DL1901"/>
      <c r="DM1901"/>
      <c r="DN1901"/>
      <c r="DT1901"/>
      <c r="DU1901"/>
    </row>
    <row r="1902" spans="57:125">
      <c r="BE1902"/>
      <c r="BF1902" s="2"/>
      <c r="CN1902"/>
      <c r="CO1902"/>
      <c r="CP1902"/>
      <c r="CQ1902"/>
      <c r="CR1902"/>
      <c r="CS1902"/>
      <c r="CT1902"/>
      <c r="CU1902"/>
      <c r="CV1902" s="2"/>
      <c r="CX1902"/>
      <c r="DC1902"/>
      <c r="DI1902"/>
      <c r="DJ1902"/>
      <c r="DK1902"/>
      <c r="DL1902"/>
      <c r="DM1902"/>
      <c r="DN1902"/>
      <c r="DT1902"/>
      <c r="DU1902"/>
    </row>
    <row r="1903" spans="57:125">
      <c r="BE1903"/>
      <c r="BF1903" s="2"/>
      <c r="CN1903"/>
      <c r="CO1903"/>
      <c r="CP1903"/>
      <c r="CQ1903"/>
      <c r="CR1903"/>
      <c r="CS1903"/>
      <c r="CT1903"/>
      <c r="CU1903"/>
      <c r="CV1903" s="2"/>
      <c r="CX1903"/>
      <c r="DC1903"/>
      <c r="DI1903"/>
      <c r="DJ1903"/>
      <c r="DK1903"/>
      <c r="DL1903"/>
      <c r="DM1903"/>
      <c r="DN1903"/>
      <c r="DT1903"/>
      <c r="DU1903"/>
    </row>
    <row r="1904" spans="57:125">
      <c r="BE1904"/>
      <c r="BF1904" s="2"/>
      <c r="CN1904"/>
      <c r="CO1904"/>
      <c r="CP1904"/>
      <c r="CQ1904"/>
      <c r="CR1904"/>
      <c r="CS1904"/>
      <c r="CT1904"/>
      <c r="CU1904"/>
      <c r="CV1904" s="2"/>
      <c r="CX1904"/>
      <c r="DC1904"/>
      <c r="DI1904"/>
      <c r="DJ1904"/>
      <c r="DK1904"/>
      <c r="DL1904"/>
      <c r="DM1904"/>
      <c r="DN1904"/>
      <c r="DT1904"/>
      <c r="DU1904"/>
    </row>
    <row r="1905" spans="57:125">
      <c r="BE1905"/>
      <c r="BF1905" s="2"/>
      <c r="CN1905"/>
      <c r="CO1905"/>
      <c r="CP1905"/>
      <c r="CQ1905"/>
      <c r="CR1905"/>
      <c r="CS1905"/>
      <c r="CT1905"/>
      <c r="CU1905"/>
      <c r="CV1905" s="2"/>
      <c r="CX1905"/>
      <c r="DC1905"/>
      <c r="DI1905"/>
      <c r="DJ1905"/>
      <c r="DK1905"/>
      <c r="DL1905"/>
      <c r="DM1905"/>
      <c r="DN1905"/>
      <c r="DT1905"/>
      <c r="DU1905"/>
    </row>
    <row r="1906" spans="57:125">
      <c r="BE1906"/>
      <c r="BF1906" s="2"/>
      <c r="CN1906"/>
      <c r="CO1906"/>
      <c r="CP1906"/>
      <c r="CQ1906"/>
      <c r="CR1906"/>
      <c r="CS1906"/>
      <c r="CT1906"/>
      <c r="CU1906"/>
      <c r="CV1906" s="2"/>
      <c r="CX1906"/>
      <c r="DC1906"/>
      <c r="DI1906"/>
      <c r="DJ1906"/>
      <c r="DK1906"/>
      <c r="DL1906"/>
      <c r="DM1906"/>
      <c r="DN1906"/>
      <c r="DT1906"/>
      <c r="DU1906"/>
    </row>
    <row r="1907" spans="57:125">
      <c r="BE1907"/>
      <c r="BF1907" s="2"/>
      <c r="CN1907"/>
      <c r="CO1907"/>
      <c r="CP1907"/>
      <c r="CQ1907"/>
      <c r="CR1907"/>
      <c r="CS1907"/>
      <c r="CT1907"/>
      <c r="CU1907"/>
      <c r="CV1907" s="2"/>
      <c r="CX1907"/>
      <c r="DC1907"/>
      <c r="DI1907"/>
      <c r="DJ1907"/>
      <c r="DK1907"/>
      <c r="DL1907"/>
      <c r="DM1907"/>
      <c r="DN1907"/>
      <c r="DT1907"/>
      <c r="DU1907"/>
    </row>
    <row r="1908" spans="57:125">
      <c r="BE1908"/>
      <c r="BF1908" s="2"/>
      <c r="CN1908"/>
      <c r="CO1908"/>
      <c r="CP1908"/>
      <c r="CQ1908"/>
      <c r="CR1908"/>
      <c r="CS1908"/>
      <c r="CT1908"/>
      <c r="CU1908"/>
      <c r="CV1908" s="2"/>
      <c r="CX1908"/>
      <c r="DC1908"/>
      <c r="DI1908"/>
      <c r="DJ1908"/>
      <c r="DK1908"/>
      <c r="DL1908"/>
      <c r="DM1908"/>
      <c r="DN1908"/>
      <c r="DT1908"/>
      <c r="DU1908"/>
    </row>
    <row r="1909" spans="57:125">
      <c r="BE1909"/>
      <c r="BF1909" s="2"/>
      <c r="CN1909"/>
      <c r="CO1909"/>
      <c r="CP1909"/>
      <c r="CQ1909"/>
      <c r="CR1909"/>
      <c r="CS1909"/>
      <c r="CT1909"/>
      <c r="CU1909"/>
      <c r="CV1909" s="2"/>
      <c r="CX1909"/>
      <c r="DC1909"/>
      <c r="DI1909"/>
      <c r="DJ1909"/>
      <c r="DK1909"/>
      <c r="DL1909"/>
      <c r="DM1909"/>
      <c r="DN1909"/>
      <c r="DT1909"/>
      <c r="DU1909"/>
    </row>
    <row r="1910" spans="57:125">
      <c r="BE1910"/>
      <c r="BF1910" s="2"/>
      <c r="CN1910"/>
      <c r="CO1910"/>
      <c r="CP1910"/>
      <c r="CQ1910"/>
      <c r="CR1910"/>
      <c r="CS1910"/>
      <c r="CT1910"/>
      <c r="CU1910"/>
      <c r="CV1910" s="2"/>
      <c r="CX1910"/>
      <c r="DC1910"/>
      <c r="DI1910"/>
      <c r="DJ1910"/>
      <c r="DK1910"/>
      <c r="DL1910"/>
      <c r="DM1910"/>
      <c r="DN1910"/>
      <c r="DT1910"/>
      <c r="DU1910"/>
    </row>
    <row r="1911" spans="57:125">
      <c r="BE1911"/>
      <c r="BF1911" s="2"/>
      <c r="CN1911"/>
      <c r="CO1911"/>
      <c r="CP1911"/>
      <c r="CQ1911"/>
      <c r="CR1911"/>
      <c r="CS1911"/>
      <c r="CT1911"/>
      <c r="CU1911"/>
      <c r="CV1911" s="2"/>
      <c r="CX1911"/>
      <c r="DC1911"/>
      <c r="DI1911"/>
      <c r="DJ1911"/>
      <c r="DK1911"/>
      <c r="DL1911"/>
      <c r="DM1911"/>
      <c r="DN1911"/>
      <c r="DT1911"/>
      <c r="DU1911"/>
    </row>
    <row r="1912" spans="57:125">
      <c r="BE1912"/>
      <c r="BF1912" s="2"/>
      <c r="CN1912"/>
      <c r="CO1912"/>
      <c r="CP1912"/>
      <c r="CQ1912"/>
      <c r="CR1912"/>
      <c r="CS1912"/>
      <c r="CT1912"/>
      <c r="CU1912"/>
      <c r="CV1912" s="2"/>
      <c r="CX1912"/>
      <c r="DC1912"/>
      <c r="DI1912"/>
      <c r="DJ1912"/>
      <c r="DK1912"/>
      <c r="DL1912"/>
      <c r="DM1912"/>
      <c r="DN1912"/>
      <c r="DT1912"/>
      <c r="DU1912"/>
    </row>
    <row r="1913" spans="57:125">
      <c r="BE1913"/>
      <c r="BF1913" s="2"/>
      <c r="CN1913"/>
      <c r="CO1913"/>
      <c r="CP1913"/>
      <c r="CQ1913"/>
      <c r="CR1913"/>
      <c r="CS1913"/>
      <c r="CT1913"/>
      <c r="CU1913"/>
      <c r="CV1913" s="2"/>
      <c r="CX1913"/>
      <c r="DC1913"/>
      <c r="DI1913"/>
      <c r="DJ1913"/>
      <c r="DK1913"/>
      <c r="DL1913"/>
      <c r="DM1913"/>
      <c r="DN1913"/>
      <c r="DT1913"/>
      <c r="DU1913"/>
    </row>
    <row r="1914" spans="57:125">
      <c r="BE1914"/>
      <c r="BF1914" s="2"/>
      <c r="CN1914"/>
      <c r="CO1914"/>
      <c r="CP1914"/>
      <c r="CQ1914"/>
      <c r="CR1914"/>
      <c r="CS1914"/>
      <c r="CT1914"/>
      <c r="CU1914"/>
      <c r="CV1914" s="2"/>
      <c r="CX1914"/>
      <c r="DC1914"/>
      <c r="DI1914"/>
      <c r="DJ1914"/>
      <c r="DK1914"/>
      <c r="DL1914"/>
      <c r="DM1914"/>
      <c r="DN1914"/>
      <c r="DT1914"/>
      <c r="DU1914"/>
    </row>
    <row r="1915" spans="57:125">
      <c r="BE1915"/>
      <c r="BF1915" s="2"/>
      <c r="CN1915"/>
      <c r="CO1915"/>
      <c r="CP1915"/>
      <c r="CQ1915"/>
      <c r="CR1915"/>
      <c r="CS1915"/>
      <c r="CT1915"/>
      <c r="CU1915"/>
      <c r="CV1915" s="2"/>
      <c r="CX1915"/>
      <c r="DC1915"/>
      <c r="DI1915"/>
      <c r="DJ1915"/>
      <c r="DK1915"/>
      <c r="DL1915"/>
      <c r="DM1915"/>
      <c r="DN1915"/>
      <c r="DT1915"/>
      <c r="DU1915"/>
    </row>
    <row r="1916" spans="57:125">
      <c r="BE1916"/>
      <c r="BF1916" s="2"/>
      <c r="CN1916"/>
      <c r="CO1916"/>
      <c r="CP1916"/>
      <c r="CQ1916"/>
      <c r="CR1916"/>
      <c r="CS1916"/>
      <c r="CT1916"/>
      <c r="CU1916"/>
      <c r="CV1916" s="2"/>
      <c r="CX1916"/>
      <c r="DC1916"/>
      <c r="DI1916"/>
      <c r="DJ1916"/>
      <c r="DK1916"/>
      <c r="DL1916"/>
      <c r="DM1916"/>
      <c r="DN1916"/>
      <c r="DT1916"/>
      <c r="DU1916"/>
    </row>
    <row r="1917" spans="57:125">
      <c r="BE1917"/>
      <c r="BF1917" s="2"/>
      <c r="CN1917"/>
      <c r="CO1917"/>
      <c r="CP1917"/>
      <c r="CQ1917"/>
      <c r="CR1917"/>
      <c r="CS1917"/>
      <c r="CT1917"/>
      <c r="CU1917"/>
      <c r="CV1917" s="2"/>
      <c r="CX1917"/>
      <c r="DC1917"/>
      <c r="DI1917"/>
      <c r="DJ1917"/>
      <c r="DK1917"/>
      <c r="DL1917"/>
      <c r="DM1917"/>
      <c r="DN1917"/>
      <c r="DT1917"/>
      <c r="DU1917"/>
    </row>
    <row r="1918" spans="57:125">
      <c r="BE1918"/>
      <c r="BF1918" s="2"/>
      <c r="CN1918"/>
      <c r="CO1918"/>
      <c r="CP1918"/>
      <c r="CQ1918"/>
      <c r="CR1918"/>
      <c r="CS1918"/>
      <c r="CT1918"/>
      <c r="CU1918"/>
      <c r="CV1918" s="2"/>
      <c r="CX1918"/>
      <c r="DC1918"/>
      <c r="DI1918"/>
      <c r="DJ1918"/>
      <c r="DK1918"/>
      <c r="DL1918"/>
      <c r="DM1918"/>
      <c r="DN1918"/>
      <c r="DT1918"/>
      <c r="DU1918"/>
    </row>
    <row r="1919" spans="57:125">
      <c r="BE1919"/>
      <c r="BF1919" s="2"/>
      <c r="CN1919"/>
      <c r="CO1919"/>
      <c r="CP1919"/>
      <c r="CQ1919"/>
      <c r="CR1919"/>
      <c r="CS1919"/>
      <c r="CT1919"/>
      <c r="CU1919"/>
      <c r="CV1919" s="2"/>
      <c r="CX1919"/>
      <c r="DC1919"/>
      <c r="DI1919"/>
      <c r="DJ1919"/>
      <c r="DK1919"/>
      <c r="DL1919"/>
      <c r="DM1919"/>
      <c r="DN1919"/>
      <c r="DT1919"/>
      <c r="DU1919"/>
    </row>
    <row r="1920" spans="57:125">
      <c r="BE1920"/>
      <c r="BF1920" s="2"/>
      <c r="CN1920"/>
      <c r="CO1920"/>
      <c r="CP1920"/>
      <c r="CQ1920"/>
      <c r="CR1920"/>
      <c r="CS1920"/>
      <c r="CT1920"/>
      <c r="CU1920"/>
      <c r="CV1920" s="2"/>
      <c r="CX1920"/>
      <c r="DC1920"/>
      <c r="DI1920"/>
      <c r="DJ1920"/>
      <c r="DK1920"/>
      <c r="DL1920"/>
      <c r="DM1920"/>
      <c r="DN1920"/>
      <c r="DT1920"/>
      <c r="DU1920"/>
    </row>
    <row r="1921" spans="57:125">
      <c r="BE1921"/>
      <c r="BF1921" s="2"/>
      <c r="CN1921"/>
      <c r="CO1921"/>
      <c r="CP1921"/>
      <c r="CQ1921"/>
      <c r="CR1921"/>
      <c r="CS1921"/>
      <c r="CT1921"/>
      <c r="CU1921"/>
      <c r="CV1921" s="2"/>
      <c r="CX1921"/>
      <c r="DC1921"/>
      <c r="DI1921"/>
      <c r="DJ1921"/>
      <c r="DK1921"/>
      <c r="DL1921"/>
      <c r="DM1921"/>
      <c r="DN1921"/>
      <c r="DT1921"/>
      <c r="DU1921"/>
    </row>
    <row r="1922" spans="57:125">
      <c r="BE1922"/>
      <c r="BF1922" s="2"/>
      <c r="CN1922"/>
      <c r="CO1922"/>
      <c r="CP1922"/>
      <c r="CQ1922"/>
      <c r="CR1922"/>
      <c r="CS1922"/>
      <c r="CT1922"/>
      <c r="CU1922"/>
      <c r="CV1922" s="2"/>
      <c r="CX1922"/>
      <c r="DC1922"/>
      <c r="DI1922"/>
      <c r="DJ1922"/>
      <c r="DK1922"/>
      <c r="DL1922"/>
      <c r="DM1922"/>
      <c r="DN1922"/>
      <c r="DT1922"/>
      <c r="DU1922"/>
    </row>
    <row r="1923" spans="57:125">
      <c r="BE1923"/>
      <c r="BF1923" s="2"/>
      <c r="CN1923"/>
      <c r="CO1923"/>
      <c r="CP1923"/>
      <c r="CQ1923"/>
      <c r="CR1923"/>
      <c r="CS1923"/>
      <c r="CT1923"/>
      <c r="CU1923"/>
      <c r="CV1923" s="2"/>
      <c r="CX1923"/>
      <c r="DC1923"/>
      <c r="DI1923"/>
      <c r="DJ1923"/>
      <c r="DK1923"/>
      <c r="DL1923"/>
      <c r="DM1923"/>
      <c r="DN1923"/>
      <c r="DT1923"/>
      <c r="DU1923"/>
    </row>
    <row r="1924" spans="57:125">
      <c r="BE1924"/>
      <c r="BF1924" s="2"/>
      <c r="CN1924"/>
      <c r="CO1924"/>
      <c r="CP1924"/>
      <c r="CQ1924"/>
      <c r="CR1924"/>
      <c r="CS1924"/>
      <c r="CT1924"/>
      <c r="CU1924"/>
      <c r="CV1924" s="2"/>
      <c r="CX1924"/>
      <c r="DC1924"/>
      <c r="DI1924"/>
      <c r="DJ1924"/>
      <c r="DK1924"/>
      <c r="DL1924"/>
      <c r="DM1924"/>
      <c r="DN1924"/>
      <c r="DT1924"/>
      <c r="DU1924"/>
    </row>
    <row r="1925" spans="57:125">
      <c r="BE1925"/>
      <c r="BF1925" s="2"/>
      <c r="CN1925"/>
      <c r="CO1925"/>
      <c r="CP1925"/>
      <c r="CQ1925"/>
      <c r="CR1925"/>
      <c r="CS1925"/>
      <c r="CT1925"/>
      <c r="CU1925"/>
      <c r="CV1925" s="2"/>
      <c r="CX1925"/>
      <c r="DC1925"/>
      <c r="DI1925"/>
      <c r="DJ1925"/>
      <c r="DK1925"/>
      <c r="DL1925"/>
      <c r="DM1925"/>
      <c r="DN1925"/>
      <c r="DT1925"/>
      <c r="DU1925"/>
    </row>
    <row r="1926" spans="57:125">
      <c r="BE1926"/>
      <c r="BF1926" s="2"/>
      <c r="CN1926"/>
      <c r="CO1926"/>
      <c r="CP1926"/>
      <c r="CQ1926"/>
      <c r="CR1926"/>
      <c r="CS1926"/>
      <c r="CT1926"/>
      <c r="CU1926"/>
      <c r="CV1926" s="2"/>
      <c r="CX1926"/>
      <c r="DC1926"/>
      <c r="DI1926"/>
      <c r="DJ1926"/>
      <c r="DK1926"/>
      <c r="DL1926"/>
      <c r="DM1926"/>
      <c r="DN1926"/>
      <c r="DT1926"/>
      <c r="DU1926"/>
    </row>
    <row r="1927" spans="57:125">
      <c r="BE1927"/>
      <c r="BF1927" s="2"/>
      <c r="CN1927"/>
      <c r="CO1927"/>
      <c r="CP1927"/>
      <c r="CQ1927"/>
      <c r="CR1927"/>
      <c r="CS1927"/>
      <c r="CT1927"/>
      <c r="CU1927"/>
      <c r="CV1927" s="2"/>
      <c r="CX1927"/>
      <c r="DC1927"/>
      <c r="DI1927"/>
      <c r="DJ1927"/>
      <c r="DK1927"/>
      <c r="DL1927"/>
      <c r="DM1927"/>
      <c r="DN1927"/>
      <c r="DT1927"/>
      <c r="DU1927"/>
    </row>
    <row r="1928" spans="57:125">
      <c r="BE1928"/>
      <c r="BF1928" s="2"/>
      <c r="CN1928"/>
      <c r="CO1928"/>
      <c r="CP1928"/>
      <c r="CQ1928"/>
      <c r="CR1928"/>
      <c r="CS1928"/>
      <c r="CT1928"/>
      <c r="CU1928"/>
      <c r="CV1928" s="2"/>
      <c r="CX1928"/>
      <c r="DC1928"/>
      <c r="DI1928"/>
      <c r="DJ1928"/>
      <c r="DK1928"/>
      <c r="DL1928"/>
      <c r="DM1928"/>
      <c r="DN1928"/>
      <c r="DT1928"/>
      <c r="DU1928"/>
    </row>
    <row r="1929" spans="57:125">
      <c r="BE1929"/>
      <c r="BF1929" s="2"/>
      <c r="CN1929"/>
      <c r="CO1929"/>
      <c r="CP1929"/>
      <c r="CQ1929"/>
      <c r="CR1929"/>
      <c r="CS1929"/>
      <c r="CT1929"/>
      <c r="CU1929"/>
      <c r="CV1929" s="2"/>
      <c r="CX1929"/>
      <c r="DC1929"/>
      <c r="DI1929"/>
      <c r="DJ1929"/>
      <c r="DK1929"/>
      <c r="DL1929"/>
      <c r="DM1929"/>
      <c r="DN1929"/>
      <c r="DT1929"/>
      <c r="DU1929"/>
    </row>
    <row r="1930" spans="57:125">
      <c r="BE1930"/>
      <c r="BF1930" s="2"/>
      <c r="CN1930"/>
      <c r="CO1930"/>
      <c r="CP1930"/>
      <c r="CQ1930"/>
      <c r="CR1930"/>
      <c r="CS1930"/>
      <c r="CT1930"/>
      <c r="CU1930"/>
      <c r="CV1930" s="2"/>
      <c r="CX1930"/>
      <c r="DC1930"/>
      <c r="DI1930"/>
      <c r="DJ1930"/>
      <c r="DK1930"/>
      <c r="DL1930"/>
      <c r="DM1930"/>
      <c r="DN1930"/>
      <c r="DT1930"/>
      <c r="DU1930"/>
    </row>
    <row r="1931" spans="57:125">
      <c r="BE1931"/>
      <c r="BF1931" s="2"/>
      <c r="CN1931"/>
      <c r="CO1931"/>
      <c r="CP1931"/>
      <c r="CQ1931"/>
      <c r="CR1931"/>
      <c r="CS1931"/>
      <c r="CT1931"/>
      <c r="CU1931"/>
      <c r="CV1931" s="2"/>
      <c r="CX1931"/>
      <c r="DC1931"/>
      <c r="DI1931"/>
      <c r="DJ1931"/>
      <c r="DK1931"/>
      <c r="DL1931"/>
      <c r="DM1931"/>
      <c r="DN1931"/>
      <c r="DT1931"/>
      <c r="DU1931"/>
    </row>
    <row r="1932" spans="57:125">
      <c r="BE1932"/>
      <c r="BF1932" s="2"/>
      <c r="CN1932"/>
      <c r="CO1932"/>
      <c r="CP1932"/>
      <c r="CQ1932"/>
      <c r="CR1932"/>
      <c r="CS1932"/>
      <c r="CT1932"/>
      <c r="CU1932"/>
      <c r="CV1932" s="2"/>
      <c r="CX1932"/>
      <c r="DC1932"/>
      <c r="DI1932"/>
      <c r="DJ1932"/>
      <c r="DK1932"/>
      <c r="DL1932"/>
      <c r="DM1932"/>
      <c r="DN1932"/>
      <c r="DT1932"/>
      <c r="DU1932"/>
    </row>
    <row r="1933" spans="57:125">
      <c r="BE1933"/>
      <c r="BF1933" s="2"/>
      <c r="CN1933"/>
      <c r="CO1933"/>
      <c r="CP1933"/>
      <c r="CQ1933"/>
      <c r="CR1933"/>
      <c r="CS1933"/>
      <c r="CT1933"/>
      <c r="CU1933"/>
      <c r="CV1933" s="2"/>
      <c r="CX1933"/>
      <c r="DC1933"/>
      <c r="DI1933"/>
      <c r="DJ1933"/>
      <c r="DK1933"/>
      <c r="DL1933"/>
      <c r="DM1933"/>
      <c r="DN1933"/>
      <c r="DT1933"/>
      <c r="DU1933"/>
    </row>
    <row r="1934" spans="57:125">
      <c r="BE1934"/>
      <c r="BF1934" s="2"/>
      <c r="CN1934"/>
      <c r="CO1934"/>
      <c r="CP1934"/>
      <c r="CQ1934"/>
      <c r="CR1934"/>
      <c r="CS1934"/>
      <c r="CT1934"/>
      <c r="CU1934"/>
      <c r="CV1934" s="2"/>
      <c r="CX1934"/>
      <c r="DC1934"/>
      <c r="DI1934"/>
      <c r="DJ1934"/>
      <c r="DK1934"/>
      <c r="DL1934"/>
      <c r="DM1934"/>
      <c r="DN1934"/>
      <c r="DT1934"/>
      <c r="DU1934"/>
    </row>
    <row r="1935" spans="57:125">
      <c r="BE1935"/>
      <c r="BF1935" s="2"/>
      <c r="CN1935"/>
      <c r="CO1935"/>
      <c r="CP1935"/>
      <c r="CQ1935"/>
      <c r="CR1935"/>
      <c r="CS1935"/>
      <c r="CT1935"/>
      <c r="CU1935"/>
      <c r="CV1935" s="2"/>
      <c r="CX1935"/>
      <c r="DC1935"/>
      <c r="DI1935"/>
      <c r="DJ1935"/>
      <c r="DK1935"/>
      <c r="DL1935"/>
      <c r="DM1935"/>
      <c r="DN1935"/>
      <c r="DT1935"/>
      <c r="DU1935"/>
    </row>
    <row r="1936" spans="57:125">
      <c r="BE1936"/>
      <c r="BF1936" s="2"/>
      <c r="CN1936"/>
      <c r="CO1936"/>
      <c r="CP1936"/>
      <c r="CQ1936"/>
      <c r="CR1936"/>
      <c r="CS1936"/>
      <c r="CT1936"/>
      <c r="CU1936"/>
      <c r="CV1936" s="2"/>
      <c r="CX1936"/>
      <c r="DC1936"/>
      <c r="DI1936"/>
      <c r="DJ1936"/>
      <c r="DK1936"/>
      <c r="DL1936"/>
      <c r="DM1936"/>
      <c r="DN1936"/>
      <c r="DT1936"/>
      <c r="DU1936"/>
    </row>
    <row r="1937" spans="57:125">
      <c r="BE1937"/>
      <c r="BF1937" s="2"/>
      <c r="CN1937"/>
      <c r="CO1937"/>
      <c r="CP1937"/>
      <c r="CQ1937"/>
      <c r="CR1937"/>
      <c r="CS1937"/>
      <c r="CT1937"/>
      <c r="CU1937"/>
      <c r="CV1937" s="2"/>
      <c r="CX1937"/>
      <c r="DC1937"/>
      <c r="DI1937"/>
      <c r="DJ1937"/>
      <c r="DK1937"/>
      <c r="DL1937"/>
      <c r="DM1937"/>
      <c r="DN1937"/>
      <c r="DT1937"/>
      <c r="DU1937"/>
    </row>
    <row r="1938" spans="57:125">
      <c r="BE1938"/>
      <c r="BF1938" s="2"/>
      <c r="CN1938"/>
      <c r="CO1938"/>
      <c r="CP1938"/>
      <c r="CQ1938"/>
      <c r="CR1938"/>
      <c r="CS1938"/>
      <c r="CT1938"/>
      <c r="CU1938"/>
      <c r="CV1938" s="2"/>
      <c r="CX1938"/>
      <c r="DC1938"/>
      <c r="DI1938"/>
      <c r="DJ1938"/>
      <c r="DK1938"/>
      <c r="DL1938"/>
      <c r="DM1938"/>
      <c r="DN1938"/>
      <c r="DT1938"/>
      <c r="DU1938"/>
    </row>
    <row r="1939" spans="57:125">
      <c r="BE1939"/>
      <c r="BF1939" s="2"/>
      <c r="CN1939"/>
      <c r="CO1939"/>
      <c r="CP1939"/>
      <c r="CQ1939"/>
      <c r="CR1939"/>
      <c r="CS1939"/>
      <c r="CT1939"/>
      <c r="CU1939"/>
      <c r="CV1939" s="2"/>
      <c r="CX1939"/>
      <c r="DC1939"/>
      <c r="DI1939"/>
      <c r="DJ1939"/>
      <c r="DK1939"/>
      <c r="DL1939"/>
      <c r="DM1939"/>
      <c r="DN1939"/>
      <c r="DT1939"/>
      <c r="DU1939"/>
    </row>
    <row r="1940" spans="57:125">
      <c r="BE1940"/>
      <c r="BF1940" s="2"/>
      <c r="CN1940"/>
      <c r="CO1940"/>
      <c r="CP1940"/>
      <c r="CQ1940"/>
      <c r="CR1940"/>
      <c r="CS1940"/>
      <c r="CT1940"/>
      <c r="CU1940"/>
      <c r="CV1940" s="2"/>
      <c r="CX1940"/>
      <c r="DC1940"/>
      <c r="DI1940"/>
      <c r="DJ1940"/>
      <c r="DK1940"/>
      <c r="DL1940"/>
      <c r="DM1940"/>
      <c r="DN1940"/>
      <c r="DT1940"/>
      <c r="DU1940"/>
    </row>
    <row r="1941" spans="57:125">
      <c r="BE1941"/>
      <c r="BF1941" s="2"/>
      <c r="CN1941"/>
      <c r="CO1941"/>
      <c r="CP1941"/>
      <c r="CQ1941"/>
      <c r="CR1941"/>
      <c r="CS1941"/>
      <c r="CT1941"/>
      <c r="CU1941"/>
      <c r="CV1941" s="2"/>
      <c r="CX1941"/>
      <c r="DC1941"/>
      <c r="DI1941"/>
      <c r="DJ1941"/>
      <c r="DK1941"/>
      <c r="DL1941"/>
      <c r="DM1941"/>
      <c r="DN1941"/>
      <c r="DT1941"/>
      <c r="DU1941"/>
    </row>
    <row r="1942" spans="57:125">
      <c r="BE1942"/>
      <c r="BF1942" s="2"/>
      <c r="CN1942"/>
      <c r="CO1942"/>
      <c r="CP1942"/>
      <c r="CQ1942"/>
      <c r="CR1942"/>
      <c r="CS1942"/>
      <c r="CT1942"/>
      <c r="CU1942"/>
      <c r="CV1942" s="2"/>
      <c r="CX1942"/>
      <c r="DC1942"/>
      <c r="DI1942"/>
      <c r="DJ1942"/>
      <c r="DK1942"/>
      <c r="DL1942"/>
      <c r="DM1942"/>
      <c r="DN1942"/>
      <c r="DT1942"/>
      <c r="DU1942"/>
    </row>
    <row r="1943" spans="57:125">
      <c r="BE1943"/>
      <c r="BF1943" s="2"/>
      <c r="CN1943"/>
      <c r="CO1943"/>
      <c r="CP1943"/>
      <c r="CQ1943"/>
      <c r="CR1943"/>
      <c r="CS1943"/>
      <c r="CT1943"/>
      <c r="CU1943"/>
      <c r="CV1943" s="2"/>
      <c r="CX1943"/>
      <c r="DC1943"/>
      <c r="DI1943"/>
      <c r="DJ1943"/>
      <c r="DK1943"/>
      <c r="DL1943"/>
      <c r="DM1943"/>
      <c r="DN1943"/>
      <c r="DT1943"/>
      <c r="DU1943"/>
    </row>
    <row r="1944" spans="57:125">
      <c r="BE1944"/>
      <c r="BF1944" s="2"/>
      <c r="CN1944"/>
      <c r="CO1944"/>
      <c r="CP1944"/>
      <c r="CQ1944"/>
      <c r="CR1944"/>
      <c r="CS1944"/>
      <c r="CT1944"/>
      <c r="CU1944"/>
      <c r="CV1944" s="2"/>
      <c r="CX1944"/>
      <c r="DC1944"/>
      <c r="DI1944"/>
      <c r="DJ1944"/>
      <c r="DK1944"/>
      <c r="DL1944"/>
      <c r="DM1944"/>
      <c r="DN1944"/>
      <c r="DT1944"/>
      <c r="DU1944"/>
    </row>
    <row r="1945" spans="57:125">
      <c r="BE1945"/>
      <c r="BF1945" s="2"/>
      <c r="CN1945"/>
      <c r="CO1945"/>
      <c r="CP1945"/>
      <c r="CQ1945"/>
      <c r="CR1945"/>
      <c r="CS1945"/>
      <c r="CT1945"/>
      <c r="CU1945"/>
      <c r="CV1945" s="2"/>
      <c r="CX1945"/>
      <c r="DC1945"/>
      <c r="DI1945"/>
      <c r="DJ1945"/>
      <c r="DK1945"/>
      <c r="DL1945"/>
      <c r="DM1945"/>
      <c r="DN1945"/>
      <c r="DT1945"/>
      <c r="DU1945"/>
    </row>
    <row r="1946" spans="57:125">
      <c r="BE1946"/>
      <c r="BF1946" s="2"/>
      <c r="CN1946"/>
      <c r="CO1946"/>
      <c r="CP1946"/>
      <c r="CQ1946"/>
      <c r="CR1946"/>
      <c r="CS1946"/>
      <c r="CT1946"/>
      <c r="CU1946"/>
      <c r="CV1946" s="2"/>
      <c r="CX1946"/>
      <c r="DC1946"/>
      <c r="DI1946"/>
      <c r="DJ1946"/>
      <c r="DK1946"/>
      <c r="DL1946"/>
      <c r="DM1946"/>
      <c r="DN1946"/>
      <c r="DT1946"/>
      <c r="DU1946"/>
    </row>
    <row r="1947" spans="57:125">
      <c r="BE1947"/>
      <c r="BF1947" s="2"/>
      <c r="CN1947"/>
      <c r="CO1947"/>
      <c r="CP1947"/>
      <c r="CQ1947"/>
      <c r="CR1947"/>
      <c r="CS1947"/>
      <c r="CT1947"/>
      <c r="CU1947"/>
      <c r="CV1947" s="2"/>
      <c r="CX1947"/>
      <c r="DC1947"/>
      <c r="DI1947"/>
      <c r="DJ1947"/>
      <c r="DK1947"/>
      <c r="DL1947"/>
      <c r="DM1947"/>
      <c r="DN1947"/>
      <c r="DT1947"/>
      <c r="DU1947"/>
    </row>
    <row r="1948" spans="57:125">
      <c r="BE1948"/>
      <c r="BF1948" s="2"/>
      <c r="CN1948"/>
      <c r="CO1948"/>
      <c r="CP1948"/>
      <c r="CQ1948"/>
      <c r="CR1948"/>
      <c r="CS1948"/>
      <c r="CT1948"/>
      <c r="CU1948"/>
      <c r="CV1948" s="2"/>
      <c r="CX1948"/>
      <c r="DC1948"/>
      <c r="DI1948"/>
      <c r="DJ1948"/>
      <c r="DK1948"/>
      <c r="DL1948"/>
      <c r="DM1948"/>
      <c r="DN1948"/>
      <c r="DT1948"/>
      <c r="DU1948"/>
    </row>
    <row r="1949" spans="57:125">
      <c r="BE1949"/>
      <c r="BF1949" s="2"/>
      <c r="CN1949"/>
      <c r="CO1949"/>
      <c r="CP1949"/>
      <c r="CQ1949"/>
      <c r="CR1949"/>
      <c r="CS1949"/>
      <c r="CT1949"/>
      <c r="CU1949"/>
      <c r="CV1949" s="2"/>
      <c r="CX1949"/>
      <c r="DC1949"/>
      <c r="DI1949"/>
      <c r="DJ1949"/>
      <c r="DK1949"/>
      <c r="DL1949"/>
      <c r="DM1949"/>
      <c r="DN1949"/>
      <c r="DT1949"/>
      <c r="DU1949"/>
    </row>
    <row r="1950" spans="57:125">
      <c r="BE1950"/>
      <c r="BF1950" s="2"/>
      <c r="CN1950"/>
      <c r="CO1950"/>
      <c r="CP1950"/>
      <c r="CQ1950"/>
      <c r="CR1950"/>
      <c r="CS1950"/>
      <c r="CT1950"/>
      <c r="CU1950"/>
      <c r="CV1950" s="2"/>
      <c r="CX1950"/>
      <c r="DC1950"/>
      <c r="DI1950"/>
      <c r="DJ1950"/>
      <c r="DK1950"/>
      <c r="DL1950"/>
      <c r="DM1950"/>
      <c r="DN1950"/>
      <c r="DT1950"/>
      <c r="DU1950"/>
    </row>
    <row r="1951" spans="57:125">
      <c r="BE1951"/>
      <c r="BF1951" s="2"/>
      <c r="CN1951"/>
      <c r="CO1951"/>
      <c r="CP1951"/>
      <c r="CQ1951"/>
      <c r="CR1951"/>
      <c r="CS1951"/>
      <c r="CT1951"/>
      <c r="CU1951"/>
      <c r="CV1951" s="2"/>
      <c r="CX1951"/>
      <c r="DC1951"/>
      <c r="DI1951"/>
      <c r="DJ1951"/>
      <c r="DK1951"/>
      <c r="DL1951"/>
      <c r="DM1951"/>
      <c r="DN1951"/>
      <c r="DT1951"/>
      <c r="DU1951"/>
    </row>
    <row r="1952" spans="57:125">
      <c r="BE1952"/>
      <c r="BF1952" s="2"/>
      <c r="CN1952"/>
      <c r="CO1952"/>
      <c r="CP1952"/>
      <c r="CQ1952"/>
      <c r="CR1952"/>
      <c r="CS1952"/>
      <c r="CT1952"/>
      <c r="CU1952"/>
      <c r="CV1952" s="2"/>
      <c r="CX1952"/>
      <c r="DC1952"/>
      <c r="DI1952"/>
      <c r="DJ1952"/>
      <c r="DK1952"/>
      <c r="DL1952"/>
      <c r="DM1952"/>
      <c r="DN1952"/>
      <c r="DT1952"/>
      <c r="DU1952"/>
    </row>
    <row r="1953" spans="57:125">
      <c r="BE1953"/>
      <c r="BF1953" s="2"/>
      <c r="CN1953"/>
      <c r="CO1953"/>
      <c r="CP1953"/>
      <c r="CQ1953"/>
      <c r="CR1953"/>
      <c r="CS1953"/>
      <c r="CT1953"/>
      <c r="CU1953"/>
      <c r="CV1953" s="2"/>
      <c r="CX1953"/>
      <c r="DC1953"/>
      <c r="DI1953"/>
      <c r="DJ1953"/>
      <c r="DK1953"/>
      <c r="DL1953"/>
      <c r="DM1953"/>
      <c r="DN1953"/>
      <c r="DT1953"/>
      <c r="DU1953"/>
    </row>
    <row r="1954" spans="57:125">
      <c r="BE1954"/>
      <c r="BF1954" s="2"/>
      <c r="CN1954"/>
      <c r="CO1954"/>
      <c r="CP1954"/>
      <c r="CQ1954"/>
      <c r="CR1954"/>
      <c r="CS1954"/>
      <c r="CT1954"/>
      <c r="CU1954"/>
      <c r="CV1954" s="2"/>
      <c r="CX1954"/>
      <c r="DC1954"/>
      <c r="DI1954"/>
      <c r="DJ1954"/>
      <c r="DK1954"/>
      <c r="DL1954"/>
      <c r="DM1954"/>
      <c r="DN1954"/>
      <c r="DT1954"/>
      <c r="DU1954"/>
    </row>
    <row r="1955" spans="57:125">
      <c r="BE1955"/>
      <c r="BF1955" s="2"/>
      <c r="CN1955"/>
      <c r="CO1955"/>
      <c r="CP1955"/>
      <c r="CQ1955"/>
      <c r="CR1955"/>
      <c r="CS1955"/>
      <c r="CT1955"/>
      <c r="CU1955"/>
      <c r="CV1955" s="2"/>
      <c r="CX1955"/>
      <c r="DC1955"/>
      <c r="DI1955"/>
      <c r="DJ1955"/>
      <c r="DK1955"/>
      <c r="DL1955"/>
      <c r="DM1955"/>
      <c r="DN1955"/>
      <c r="DT1955"/>
      <c r="DU1955"/>
    </row>
    <row r="1956" spans="57:125">
      <c r="BE1956"/>
      <c r="BF1956" s="2"/>
      <c r="CN1956"/>
      <c r="CO1956"/>
      <c r="CP1956"/>
      <c r="CQ1956"/>
      <c r="CR1956"/>
      <c r="CS1956"/>
      <c r="CT1956"/>
      <c r="CU1956"/>
      <c r="CV1956" s="2"/>
      <c r="CX1956"/>
      <c r="DC1956"/>
      <c r="DI1956"/>
      <c r="DJ1956"/>
      <c r="DK1956"/>
      <c r="DL1956"/>
      <c r="DM1956"/>
      <c r="DN1956"/>
      <c r="DT1956"/>
      <c r="DU1956"/>
    </row>
    <row r="1957" spans="57:125">
      <c r="BE1957"/>
      <c r="BF1957" s="2"/>
      <c r="CN1957"/>
      <c r="CO1957"/>
      <c r="CP1957"/>
      <c r="CQ1957"/>
      <c r="CR1957"/>
      <c r="CS1957"/>
      <c r="CT1957"/>
      <c r="CU1957"/>
      <c r="CV1957" s="2"/>
      <c r="CX1957"/>
      <c r="DC1957"/>
      <c r="DI1957"/>
      <c r="DJ1957"/>
      <c r="DK1957"/>
      <c r="DL1957"/>
      <c r="DM1957"/>
      <c r="DN1957"/>
      <c r="DT1957"/>
      <c r="DU1957"/>
    </row>
    <row r="1958" spans="57:125">
      <c r="BE1958"/>
      <c r="BF1958" s="2"/>
      <c r="CN1958"/>
      <c r="CO1958"/>
      <c r="CP1958"/>
      <c r="CQ1958"/>
      <c r="CR1958"/>
      <c r="CS1958"/>
      <c r="CT1958"/>
      <c r="CU1958"/>
      <c r="CV1958" s="2"/>
      <c r="CX1958"/>
      <c r="DC1958"/>
      <c r="DI1958"/>
      <c r="DJ1958"/>
      <c r="DK1958"/>
      <c r="DL1958"/>
      <c r="DM1958"/>
      <c r="DN1958"/>
      <c r="DT1958"/>
      <c r="DU1958"/>
    </row>
    <row r="1959" spans="57:125">
      <c r="BE1959"/>
      <c r="BF1959" s="2"/>
      <c r="CN1959"/>
      <c r="CO1959"/>
      <c r="CP1959"/>
      <c r="CQ1959"/>
      <c r="CR1959"/>
      <c r="CS1959"/>
      <c r="CT1959"/>
      <c r="CU1959"/>
      <c r="CV1959" s="2"/>
      <c r="CX1959"/>
      <c r="DC1959"/>
      <c r="DI1959"/>
      <c r="DJ1959"/>
      <c r="DK1959"/>
      <c r="DL1959"/>
      <c r="DM1959"/>
      <c r="DN1959"/>
      <c r="DT1959"/>
      <c r="DU1959"/>
    </row>
    <row r="1960" spans="57:125">
      <c r="BE1960"/>
      <c r="BF1960" s="2"/>
      <c r="CN1960"/>
      <c r="CO1960"/>
      <c r="CP1960"/>
      <c r="CQ1960"/>
      <c r="CR1960"/>
      <c r="CS1960"/>
      <c r="CT1960"/>
      <c r="CU1960"/>
      <c r="CV1960" s="2"/>
      <c r="CX1960"/>
      <c r="DC1960"/>
      <c r="DI1960"/>
      <c r="DJ1960"/>
      <c r="DK1960"/>
      <c r="DL1960"/>
      <c r="DM1960"/>
      <c r="DN1960"/>
      <c r="DT1960"/>
      <c r="DU1960"/>
    </row>
    <row r="1961" spans="57:125">
      <c r="BE1961"/>
      <c r="BF1961" s="2"/>
      <c r="CN1961"/>
      <c r="CO1961"/>
      <c r="CP1961"/>
      <c r="CQ1961"/>
      <c r="CR1961"/>
      <c r="CS1961"/>
      <c r="CT1961"/>
      <c r="CU1961"/>
      <c r="CV1961" s="2"/>
      <c r="CX1961"/>
      <c r="DC1961"/>
      <c r="DI1961"/>
      <c r="DJ1961"/>
      <c r="DK1961"/>
      <c r="DL1961"/>
      <c r="DM1961"/>
      <c r="DN1961"/>
      <c r="DT1961"/>
      <c r="DU1961"/>
    </row>
    <row r="1962" spans="57:125">
      <c r="BE1962"/>
      <c r="BF1962" s="2"/>
      <c r="CN1962"/>
      <c r="CO1962"/>
      <c r="CP1962"/>
      <c r="CQ1962"/>
      <c r="CR1962"/>
      <c r="CS1962"/>
      <c r="CT1962"/>
      <c r="CU1962"/>
      <c r="CV1962" s="2"/>
      <c r="CX1962"/>
      <c r="DC1962"/>
      <c r="DI1962"/>
      <c r="DJ1962"/>
      <c r="DK1962"/>
      <c r="DL1962"/>
      <c r="DM1962"/>
      <c r="DN1962"/>
      <c r="DT1962"/>
      <c r="DU1962"/>
    </row>
    <row r="1963" spans="57:125">
      <c r="BE1963"/>
      <c r="BF1963" s="2"/>
      <c r="CN1963"/>
      <c r="CO1963"/>
      <c r="CP1963"/>
      <c r="CQ1963"/>
      <c r="CR1963"/>
      <c r="CS1963"/>
      <c r="CT1963"/>
      <c r="CU1963"/>
      <c r="CV1963" s="2"/>
      <c r="CX1963"/>
      <c r="DC1963"/>
      <c r="DI1963"/>
      <c r="DJ1963"/>
      <c r="DK1963"/>
      <c r="DL1963"/>
      <c r="DM1963"/>
      <c r="DN1963"/>
      <c r="DT1963"/>
      <c r="DU1963"/>
    </row>
    <row r="1964" spans="57:125">
      <c r="BE1964"/>
      <c r="BF1964" s="2"/>
      <c r="CN1964"/>
      <c r="CO1964"/>
      <c r="CP1964"/>
      <c r="CQ1964"/>
      <c r="CR1964"/>
      <c r="CS1964"/>
      <c r="CT1964"/>
      <c r="CU1964"/>
      <c r="CV1964" s="2"/>
      <c r="CX1964"/>
      <c r="DC1964"/>
      <c r="DI1964"/>
      <c r="DJ1964"/>
      <c r="DK1964"/>
      <c r="DL1964"/>
      <c r="DM1964"/>
      <c r="DN1964"/>
      <c r="DT1964"/>
      <c r="DU1964"/>
    </row>
    <row r="1965" spans="57:125">
      <c r="BE1965"/>
      <c r="BF1965" s="2"/>
      <c r="CN1965"/>
      <c r="CO1965"/>
      <c r="CP1965"/>
      <c r="CQ1965"/>
      <c r="CR1965"/>
      <c r="CS1965"/>
      <c r="CT1965"/>
      <c r="CU1965"/>
      <c r="CV1965" s="2"/>
      <c r="CX1965"/>
      <c r="DC1965"/>
      <c r="DI1965"/>
      <c r="DJ1965"/>
      <c r="DK1965"/>
      <c r="DL1965"/>
      <c r="DM1965"/>
      <c r="DN1965"/>
      <c r="DT1965"/>
      <c r="DU1965"/>
    </row>
    <row r="1966" spans="57:125">
      <c r="BE1966"/>
      <c r="BF1966" s="2"/>
      <c r="CN1966"/>
      <c r="CO1966"/>
      <c r="CP1966"/>
      <c r="CQ1966"/>
      <c r="CR1966"/>
      <c r="CS1966"/>
      <c r="CT1966"/>
      <c r="CU1966"/>
      <c r="CV1966" s="2"/>
      <c r="CX1966"/>
      <c r="DC1966"/>
      <c r="DI1966"/>
      <c r="DJ1966"/>
      <c r="DK1966"/>
      <c r="DL1966"/>
      <c r="DM1966"/>
      <c r="DN1966"/>
      <c r="DT1966"/>
      <c r="DU1966"/>
    </row>
    <row r="1967" spans="57:125">
      <c r="BE1967"/>
      <c r="BF1967" s="2"/>
      <c r="CN1967"/>
      <c r="CO1967"/>
      <c r="CP1967"/>
      <c r="CQ1967"/>
      <c r="CR1967"/>
      <c r="CS1967"/>
      <c r="CT1967"/>
      <c r="CU1967"/>
      <c r="CV1967" s="2"/>
      <c r="CX1967"/>
      <c r="DC1967"/>
      <c r="DI1967"/>
      <c r="DJ1967"/>
      <c r="DK1967"/>
      <c r="DL1967"/>
      <c r="DM1967"/>
      <c r="DN1967"/>
      <c r="DT1967"/>
      <c r="DU1967"/>
    </row>
    <row r="1968" spans="57:125">
      <c r="BE1968"/>
      <c r="BF1968" s="2"/>
      <c r="CN1968"/>
      <c r="CO1968"/>
      <c r="CP1968"/>
      <c r="CQ1968"/>
      <c r="CR1968"/>
      <c r="CS1968"/>
      <c r="CT1968"/>
      <c r="CU1968"/>
      <c r="CV1968" s="2"/>
      <c r="CX1968"/>
      <c r="DC1968"/>
      <c r="DI1968"/>
      <c r="DJ1968"/>
      <c r="DK1968"/>
      <c r="DL1968"/>
      <c r="DM1968"/>
      <c r="DN1968"/>
      <c r="DT1968"/>
      <c r="DU1968"/>
    </row>
  </sheetData>
  <autoFilter ref="A7:HT1745" xr:uid="{00000000-0009-0000-0000-000000000000}">
    <filterColumn colId="12">
      <filters>
        <filter val="Lausselet_2020"/>
      </filters>
    </filterColumn>
  </autoFilter>
  <sortState xmlns:xlrd2="http://schemas.microsoft.com/office/spreadsheetml/2017/richdata2" ref="A4:CV1293">
    <sortCondition ref="D4:D1293"/>
    <sortCondition ref="I4:I1293"/>
  </sortState>
  <conditionalFormatting sqref="T13 BJ87:BJ96 BJ99:BJ102">
    <cfRule type="cellIs" dxfId="215" priority="227" operator="equal">
      <formula>0</formula>
    </cfRule>
  </conditionalFormatting>
  <conditionalFormatting sqref="T16">
    <cfRule type="cellIs" dxfId="214" priority="233" operator="equal">
      <formula>0</formula>
    </cfRule>
  </conditionalFormatting>
  <conditionalFormatting sqref="T1297">
    <cfRule type="cellIs" dxfId="213" priority="151" operator="equal">
      <formula>0</formula>
    </cfRule>
  </conditionalFormatting>
  <conditionalFormatting sqref="T1349:T1363">
    <cfRule type="cellIs" dxfId="212" priority="150" operator="equal">
      <formula>0</formula>
    </cfRule>
  </conditionalFormatting>
  <conditionalFormatting sqref="T1614 U1617:U1618">
    <cfRule type="cellIs" dxfId="211" priority="55" operator="equal">
      <formula>0</formula>
    </cfRule>
  </conditionalFormatting>
  <conditionalFormatting sqref="T1619">
    <cfRule type="cellIs" dxfId="210" priority="54" operator="equal">
      <formula>0</formula>
    </cfRule>
  </conditionalFormatting>
  <conditionalFormatting sqref="U8:U10">
    <cfRule type="cellIs" dxfId="209" priority="226" operator="equal">
      <formula>0</formula>
    </cfRule>
  </conditionalFormatting>
  <conditionalFormatting sqref="U12">
    <cfRule type="cellIs" dxfId="208" priority="225" operator="equal">
      <formula>0</formula>
    </cfRule>
  </conditionalFormatting>
  <conditionalFormatting sqref="U1508:U1509">
    <cfRule type="cellIs" dxfId="207" priority="89" operator="equal">
      <formula>0</formula>
    </cfRule>
    <cfRule type="cellIs" dxfId="206" priority="88" operator="equal">
      <formula>0</formula>
    </cfRule>
  </conditionalFormatting>
  <conditionalFormatting sqref="U1611:U1613">
    <cfRule type="cellIs" dxfId="205" priority="47" operator="equal">
      <formula>0</formula>
    </cfRule>
  </conditionalFormatting>
  <conditionalFormatting sqref="U1615">
    <cfRule type="cellIs" dxfId="204" priority="46" operator="equal">
      <formula>0</formula>
    </cfRule>
  </conditionalFormatting>
  <conditionalFormatting sqref="V41:AY1241 DD88:DT1241 BG41:BG1096 DV41:EJ1241 EM41:EM1241">
    <cfRule type="cellIs" dxfId="203" priority="610" operator="equal">
      <formula>0</formula>
    </cfRule>
  </conditionalFormatting>
  <conditionalFormatting sqref="V1365:AY1453 DV1365:EM1480 Z1454:AC1454 Y1454:Y1457 V1454:W1461 AD1454:AI1461 AA1455:AA1461 AC1455:AC1461 EA1481:EA1489">
    <cfRule type="cellIs" dxfId="202" priority="145" operator="equal">
      <formula>0</formula>
    </cfRule>
  </conditionalFormatting>
  <conditionalFormatting sqref="V1454:AY1480">
    <cfRule type="cellIs" dxfId="201" priority="95" operator="equal">
      <formula>0</formula>
    </cfRule>
  </conditionalFormatting>
  <conditionalFormatting sqref="V1620:AY1649 AX1745 DV1554:EM1662 BZ1617:CM1662 DV1733:DZ1744 EB1733:EM1744 DV1745:EM1745">
    <cfRule type="cellIs" dxfId="200" priority="33" operator="equal">
      <formula>0</formula>
    </cfRule>
  </conditionalFormatting>
  <conditionalFormatting sqref="V1733:AY1745 AZ1620:BD1745 DD1733:DG1744 DI1733:DT1744">
    <cfRule type="cellIs" dxfId="199" priority="12" operator="equal">
      <formula>0</formula>
    </cfRule>
  </conditionalFormatting>
  <conditionalFormatting sqref="V8:BD1241">
    <cfRule type="cellIs" dxfId="198" priority="210" operator="equal">
      <formula>0</formula>
    </cfRule>
  </conditionalFormatting>
  <conditionalFormatting sqref="V1610:BD1619 DD1610:DT1619">
    <cfRule type="cellIs" dxfId="197" priority="44" operator="equal">
      <formula>0</formula>
    </cfRule>
  </conditionalFormatting>
  <conditionalFormatting sqref="W1364:AY1364 DV1364 T1365:T1376">
    <cfRule type="cellIs" dxfId="196" priority="152" operator="equal">
      <formula>0</formula>
    </cfRule>
  </conditionalFormatting>
  <conditionalFormatting sqref="X53:Y53">
    <cfRule type="cellIs" dxfId="195" priority="236" operator="equal">
      <formula>0</formula>
    </cfRule>
    <cfRule type="cellIs" dxfId="194" priority="238" operator="equal">
      <formula>0</formula>
    </cfRule>
  </conditionalFormatting>
  <conditionalFormatting sqref="X1451:Y1451">
    <cfRule type="cellIs" dxfId="193" priority="144" operator="equal">
      <formula>0</formula>
    </cfRule>
  </conditionalFormatting>
  <conditionalFormatting sqref="X1451:Y1452">
    <cfRule type="cellIs" dxfId="192" priority="119" operator="equal">
      <formula>0</formula>
    </cfRule>
  </conditionalFormatting>
  <conditionalFormatting sqref="AM50:AP50">
    <cfRule type="cellIs" dxfId="191" priority="239" operator="equal">
      <formula>0</formula>
    </cfRule>
    <cfRule type="cellIs" dxfId="190" priority="237" operator="equal">
      <formula>0</formula>
    </cfRule>
  </conditionalFormatting>
  <conditionalFormatting sqref="AX1620:AX1662 DD1620:DG1662 DI1620:DT1662 DH1620:DH1663 AD1650:AH1650 V1650:AC1662 AJ1650:AW1662 AY1650:AY1662 AD1651:AI1662">
    <cfRule type="cellIs" dxfId="189" priority="32" operator="equal">
      <formula>0</formula>
    </cfRule>
  </conditionalFormatting>
  <conditionalFormatting sqref="AX1648:AX1662 BZ1648:CM1662 DV1648:EM1662 DV1733:DZ1744 EB1733:EM1744 AX1745 DV1745:EM1745">
    <cfRule type="cellIs" dxfId="188" priority="36" operator="equal">
      <formula>0</formula>
    </cfRule>
  </conditionalFormatting>
  <conditionalFormatting sqref="AZ1620:BD1732 V1733:BD1744 DD1733:DG1744 DI1733:DT1744">
    <cfRule type="cellIs" dxfId="187" priority="13" operator="equal">
      <formula>0</formula>
    </cfRule>
  </conditionalFormatting>
  <conditionalFormatting sqref="BG8:BG1096">
    <cfRule type="cellIs" dxfId="186" priority="218" operator="equal">
      <formula>0</formula>
    </cfRule>
  </conditionalFormatting>
  <conditionalFormatting sqref="BG1098:BG1103 BG1105:BG1110 BG1112:BG1117">
    <cfRule type="cellIs" dxfId="185" priority="186" operator="equal">
      <formula>0</formula>
    </cfRule>
    <cfRule type="cellIs" dxfId="184" priority="189" operator="equal">
      <formula>0</formula>
    </cfRule>
  </conditionalFormatting>
  <conditionalFormatting sqref="BG1510:BG1536">
    <cfRule type="cellIs" dxfId="183" priority="74" operator="equal">
      <formula>0</formula>
    </cfRule>
  </conditionalFormatting>
  <conditionalFormatting sqref="BG1528:BG1532">
    <cfRule type="cellIs" dxfId="182" priority="73" operator="equal">
      <formula>0</formula>
    </cfRule>
  </conditionalFormatting>
  <conditionalFormatting sqref="BG1538:BG1609">
    <cfRule type="cellIs" dxfId="181" priority="61" operator="equal">
      <formula>0</formula>
    </cfRule>
  </conditionalFormatting>
  <conditionalFormatting sqref="BG1611:BG1745">
    <cfRule type="cellIs" dxfId="180" priority="1" operator="equal">
      <formula>0</formula>
    </cfRule>
  </conditionalFormatting>
  <conditionalFormatting sqref="BG1648:BG1745">
    <cfRule type="cellIs" dxfId="179" priority="2" operator="equal">
      <formula>0</formula>
    </cfRule>
  </conditionalFormatting>
  <conditionalFormatting sqref="BJ87:BJ96 BJ99:BJ102 DH8:DN87 DT8:DT87 DD41:DG87 DO41:DS87">
    <cfRule type="cellIs" dxfId="178" priority="231" operator="equal">
      <formula>0</formula>
    </cfRule>
  </conditionalFormatting>
  <conditionalFormatting sqref="BJ553:BJ562 BJ565:BJ568">
    <cfRule type="cellIs" dxfId="177" priority="207" operator="equal">
      <formula>0</formula>
    </cfRule>
    <cfRule type="cellIs" dxfId="176" priority="209" operator="equal">
      <formula>0</formula>
    </cfRule>
  </conditionalFormatting>
  <conditionalFormatting sqref="BK8:BK13">
    <cfRule type="expression" dxfId="175" priority="243">
      <formula>$BK8&lt;#REF!</formula>
    </cfRule>
  </conditionalFormatting>
  <conditionalFormatting sqref="BK16 BK19 BK26">
    <cfRule type="expression" dxfId="174" priority="240">
      <formula>$BK16&lt;#REF!</formula>
    </cfRule>
  </conditionalFormatting>
  <conditionalFormatting sqref="BK88:BK91">
    <cfRule type="expression" dxfId="173" priority="245">
      <formula>$BK88&lt;#REF!</formula>
    </cfRule>
  </conditionalFormatting>
  <conditionalFormatting sqref="BK554:BK557">
    <cfRule type="expression" dxfId="172" priority="211">
      <formula>$BK554&lt;#REF!</formula>
    </cfRule>
  </conditionalFormatting>
  <conditionalFormatting sqref="BK868 CO868:CQ868 CT868 BK1071:BK1072 CT1071:CT1072 BK1075 CO1075:CQ1075 CT1075">
    <cfRule type="expression" dxfId="171" priority="180">
      <formula>$BK868&lt;$BL868</formula>
    </cfRule>
  </conditionalFormatting>
  <conditionalFormatting sqref="BK873:BK875 CN873:CN875">
    <cfRule type="expression" dxfId="170" priority="194">
      <formula>$BK873&lt;#REF!</formula>
    </cfRule>
  </conditionalFormatting>
  <conditionalFormatting sqref="BK1297">
    <cfRule type="expression" dxfId="169" priority="155">
      <formula>$BK1297&lt;#REF!</formula>
    </cfRule>
  </conditionalFormatting>
  <conditionalFormatting sqref="BK1451:BK1452">
    <cfRule type="expression" dxfId="168" priority="148">
      <formula>#REF!&lt;$BK1451</formula>
    </cfRule>
  </conditionalFormatting>
  <conditionalFormatting sqref="BK1517">
    <cfRule type="expression" dxfId="167" priority="63">
      <formula>$BK1517&lt;$BL1517</formula>
    </cfRule>
  </conditionalFormatting>
  <conditionalFormatting sqref="BK1610:BK1616">
    <cfRule type="expression" dxfId="166" priority="59">
      <formula>$BK1610&lt;#REF!</formula>
    </cfRule>
  </conditionalFormatting>
  <conditionalFormatting sqref="BK1619">
    <cfRule type="expression" dxfId="165" priority="56">
      <formula>$BK1619&lt;#REF!</formula>
    </cfRule>
  </conditionalFormatting>
  <conditionalFormatting sqref="BL14:BL15 BL99:BL277 BL281:BL367 CT870:CT1056 BL876:BL1056 CN876:CQ1056">
    <cfRule type="expression" dxfId="164" priority="241">
      <formula>$BL14&lt;$BK14</formula>
    </cfRule>
  </conditionalFormatting>
  <conditionalFormatting sqref="BL17:BL87">
    <cfRule type="expression" dxfId="163" priority="224">
      <formula>$BL17&lt;$BK17</formula>
    </cfRule>
  </conditionalFormatting>
  <conditionalFormatting sqref="BL92:BL97 BK98">
    <cfRule type="expression" dxfId="162" priority="223">
      <formula>$BL92&lt;$BK92</formula>
    </cfRule>
  </conditionalFormatting>
  <conditionalFormatting sqref="BL558:BL563 BK564">
    <cfRule type="expression" dxfId="161" priority="204">
      <formula>$BL558&lt;$BK558</formula>
    </cfRule>
  </conditionalFormatting>
  <conditionalFormatting sqref="BL1076">
    <cfRule type="expression" dxfId="160" priority="196">
      <formula>$BL1076&lt;#REF!</formula>
    </cfRule>
  </conditionalFormatting>
  <conditionalFormatting sqref="BL1314:BL1321 BL1323:BL1329">
    <cfRule type="expression" dxfId="159" priority="156">
      <formula>$BL1314&lt;$BK1313</formula>
    </cfRule>
  </conditionalFormatting>
  <conditionalFormatting sqref="BL1322">
    <cfRule type="expression" dxfId="158" priority="163">
      <formula>$BL1322&lt;#REF!</formula>
    </cfRule>
  </conditionalFormatting>
  <conditionalFormatting sqref="BL1330:BL1345">
    <cfRule type="expression" dxfId="157" priority="157">
      <formula>$BL1330&lt;$BK1328</formula>
    </cfRule>
  </conditionalFormatting>
  <conditionalFormatting sqref="BL1365:BL1450">
    <cfRule type="expression" dxfId="156" priority="110">
      <formula>$BL1365&lt;$BK1365</formula>
    </cfRule>
  </conditionalFormatting>
  <conditionalFormatting sqref="BL1453:BL1456">
    <cfRule type="expression" dxfId="155" priority="115">
      <formula>$BL1453&lt;$BK1453</formula>
    </cfRule>
  </conditionalFormatting>
  <conditionalFormatting sqref="BL1548:BL1551">
    <cfRule type="expression" dxfId="154" priority="65">
      <formula>$BK1548&lt;#REF!</formula>
    </cfRule>
  </conditionalFormatting>
  <conditionalFormatting sqref="BL1617:BL1618">
    <cfRule type="expression" dxfId="153" priority="57">
      <formula>$BL1617&lt;$BK1617</formula>
    </cfRule>
  </conditionalFormatting>
  <conditionalFormatting sqref="BL1624 BL1628 BL1632">
    <cfRule type="expression" dxfId="152" priority="37">
      <formula>$BL1624&lt;$BK1623</formula>
    </cfRule>
  </conditionalFormatting>
  <conditionalFormatting sqref="BL1728">
    <cfRule type="expression" dxfId="151" priority="42">
      <formula>$BG1728&lt;$CM1728</formula>
    </cfRule>
  </conditionalFormatting>
  <conditionalFormatting sqref="BL1733:BL1745">
    <cfRule type="expression" dxfId="150" priority="3">
      <formula>$BL1733&lt;$BK1733</formula>
    </cfRule>
  </conditionalFormatting>
  <conditionalFormatting sqref="BS4:BS7 BS1746:BS1048576">
    <cfRule type="duplicateValues" dxfId="149" priority="1078"/>
  </conditionalFormatting>
  <conditionalFormatting sqref="BS460:BS487 BS489:BS490 BS492:BS539">
    <cfRule type="duplicateValues" dxfId="148" priority="220"/>
  </conditionalFormatting>
  <conditionalFormatting sqref="BS1365:BS1377 BS1297:BS1363">
    <cfRule type="duplicateValues" dxfId="147" priority="160"/>
  </conditionalFormatting>
  <conditionalFormatting sqref="BS1384">
    <cfRule type="duplicateValues" dxfId="146" priority="137"/>
  </conditionalFormatting>
  <conditionalFormatting sqref="BS1385">
    <cfRule type="duplicateValues" dxfId="145" priority="139"/>
  </conditionalFormatting>
  <conditionalFormatting sqref="BS1386">
    <cfRule type="duplicateValues" dxfId="144" priority="143"/>
  </conditionalFormatting>
  <conditionalFormatting sqref="BS1387">
    <cfRule type="duplicateValues" dxfId="143" priority="142"/>
  </conditionalFormatting>
  <conditionalFormatting sqref="BS1388">
    <cfRule type="duplicateValues" dxfId="142" priority="141"/>
  </conditionalFormatting>
  <conditionalFormatting sqref="BS1389">
    <cfRule type="duplicateValues" dxfId="141" priority="136"/>
  </conditionalFormatting>
  <conditionalFormatting sqref="BS1391">
    <cfRule type="duplicateValues" dxfId="140" priority="135"/>
  </conditionalFormatting>
  <conditionalFormatting sqref="BS1392">
    <cfRule type="duplicateValues" dxfId="139" priority="134"/>
  </conditionalFormatting>
  <conditionalFormatting sqref="BS1393">
    <cfRule type="duplicateValues" dxfId="138" priority="133"/>
  </conditionalFormatting>
  <conditionalFormatting sqref="BS1404:BS1413">
    <cfRule type="duplicateValues" dxfId="137" priority="147"/>
  </conditionalFormatting>
  <conditionalFormatting sqref="BS1414">
    <cfRule type="duplicateValues" dxfId="136" priority="132"/>
  </conditionalFormatting>
  <conditionalFormatting sqref="BS1415:BS1419">
    <cfRule type="duplicateValues" dxfId="135" priority="131"/>
  </conditionalFormatting>
  <conditionalFormatting sqref="BS1420">
    <cfRule type="duplicateValues" dxfId="134" priority="130"/>
  </conditionalFormatting>
  <conditionalFormatting sqref="BS1421:BS1425">
    <cfRule type="duplicateValues" dxfId="133" priority="129"/>
  </conditionalFormatting>
  <conditionalFormatting sqref="BS1426">
    <cfRule type="duplicateValues" dxfId="132" priority="128"/>
  </conditionalFormatting>
  <conditionalFormatting sqref="BS1427:BS1431">
    <cfRule type="duplicateValues" dxfId="131" priority="127"/>
  </conditionalFormatting>
  <conditionalFormatting sqref="BS1432">
    <cfRule type="duplicateValues" dxfId="130" priority="126"/>
  </conditionalFormatting>
  <conditionalFormatting sqref="BS1433:BS1437">
    <cfRule type="duplicateValues" dxfId="129" priority="125"/>
  </conditionalFormatting>
  <conditionalFormatting sqref="BS1438">
    <cfRule type="duplicateValues" dxfId="128" priority="124"/>
  </conditionalFormatting>
  <conditionalFormatting sqref="BS1439:BS1443">
    <cfRule type="duplicateValues" dxfId="127" priority="123"/>
  </conditionalFormatting>
  <conditionalFormatting sqref="BS1444">
    <cfRule type="duplicateValues" dxfId="126" priority="122"/>
  </conditionalFormatting>
  <conditionalFormatting sqref="BS1445:BS1449">
    <cfRule type="duplicateValues" dxfId="125" priority="121"/>
  </conditionalFormatting>
  <conditionalFormatting sqref="BS1452">
    <cfRule type="duplicateValues" dxfId="124" priority="120"/>
  </conditionalFormatting>
  <conditionalFormatting sqref="BS1454">
    <cfRule type="duplicateValues" dxfId="123" priority="118"/>
  </conditionalFormatting>
  <conditionalFormatting sqref="BS1455">
    <cfRule type="duplicateValues" dxfId="122" priority="117"/>
  </conditionalFormatting>
  <conditionalFormatting sqref="BS1456">
    <cfRule type="duplicateValues" dxfId="121" priority="116"/>
  </conditionalFormatting>
  <conditionalFormatting sqref="BS1457">
    <cfRule type="duplicateValues" dxfId="120" priority="114"/>
  </conditionalFormatting>
  <conditionalFormatting sqref="BS1458">
    <cfRule type="duplicateValues" dxfId="119" priority="113"/>
  </conditionalFormatting>
  <conditionalFormatting sqref="BS1459">
    <cfRule type="duplicateValues" dxfId="118" priority="112"/>
  </conditionalFormatting>
  <conditionalFormatting sqref="BS1460">
    <cfRule type="duplicateValues" dxfId="117" priority="109"/>
  </conditionalFormatting>
  <conditionalFormatting sqref="BS1462">
    <cfRule type="duplicateValues" dxfId="116" priority="108"/>
  </conditionalFormatting>
  <conditionalFormatting sqref="BS1463">
    <cfRule type="duplicateValues" dxfId="115" priority="149"/>
  </conditionalFormatting>
  <conditionalFormatting sqref="BS1464">
    <cfRule type="duplicateValues" dxfId="114" priority="106"/>
  </conditionalFormatting>
  <conditionalFormatting sqref="BS1465">
    <cfRule type="duplicateValues" dxfId="113" priority="107"/>
  </conditionalFormatting>
  <conditionalFormatting sqref="BS1466">
    <cfRule type="duplicateValues" dxfId="112" priority="104"/>
  </conditionalFormatting>
  <conditionalFormatting sqref="BS1467">
    <cfRule type="duplicateValues" dxfId="111" priority="105"/>
  </conditionalFormatting>
  <conditionalFormatting sqref="BS1468">
    <cfRule type="duplicateValues" dxfId="110" priority="102"/>
  </conditionalFormatting>
  <conditionalFormatting sqref="BS1469">
    <cfRule type="duplicateValues" dxfId="109" priority="103"/>
  </conditionalFormatting>
  <conditionalFormatting sqref="BS1470">
    <cfRule type="duplicateValues" dxfId="108" priority="100"/>
  </conditionalFormatting>
  <conditionalFormatting sqref="BS1471">
    <cfRule type="duplicateValues" dxfId="107" priority="101"/>
  </conditionalFormatting>
  <conditionalFormatting sqref="BS1472">
    <cfRule type="duplicateValues" dxfId="106" priority="99"/>
  </conditionalFormatting>
  <conditionalFormatting sqref="BS1473 BS1453 BS1450:BS1451 BS1394:BS1403 BS1461 BS1378:BS1381">
    <cfRule type="duplicateValues" dxfId="105" priority="146"/>
  </conditionalFormatting>
  <conditionalFormatting sqref="BS1474:BS1476">
    <cfRule type="duplicateValues" dxfId="104" priority="98"/>
  </conditionalFormatting>
  <conditionalFormatting sqref="BS1477">
    <cfRule type="duplicateValues" dxfId="103" priority="97"/>
  </conditionalFormatting>
  <conditionalFormatting sqref="BS1478:BS1480">
    <cfRule type="duplicateValues" dxfId="102" priority="96"/>
  </conditionalFormatting>
  <conditionalFormatting sqref="BS1481:BS1516 BS1518:BS1527">
    <cfRule type="duplicateValues" dxfId="101" priority="162"/>
  </conditionalFormatting>
  <conditionalFormatting sqref="BS1528:BS1552">
    <cfRule type="duplicateValues" dxfId="100" priority="84"/>
  </conditionalFormatting>
  <conditionalFormatting sqref="BS1570">
    <cfRule type="duplicateValues" dxfId="99" priority="70"/>
  </conditionalFormatting>
  <conditionalFormatting sqref="BS1571">
    <cfRule type="duplicateValues" dxfId="98" priority="69"/>
  </conditionalFormatting>
  <conditionalFormatting sqref="BS1572">
    <cfRule type="duplicateValues" dxfId="97" priority="68"/>
  </conditionalFormatting>
  <conditionalFormatting sqref="BS1594:BS1609">
    <cfRule type="duplicateValues" dxfId="96" priority="161"/>
  </conditionalFormatting>
  <conditionalFormatting sqref="BS1617:BS1619">
    <cfRule type="duplicateValues" dxfId="95" priority="58"/>
  </conditionalFormatting>
  <conditionalFormatting sqref="BS1620:BS1662">
    <cfRule type="duplicateValues" dxfId="94" priority="41"/>
  </conditionalFormatting>
  <conditionalFormatting sqref="BS1693:BS1695 BS1663:BS1690 BS1729:BS1732 BS1698:BS1727">
    <cfRule type="duplicateValues" dxfId="93" priority="38"/>
  </conditionalFormatting>
  <conditionalFormatting sqref="BS1728">
    <cfRule type="duplicateValues" dxfId="92" priority="26"/>
  </conditionalFormatting>
  <conditionalFormatting sqref="BS1733">
    <cfRule type="duplicateValues" dxfId="91" priority="25"/>
  </conditionalFormatting>
  <conditionalFormatting sqref="BS1734">
    <cfRule type="duplicateValues" dxfId="90" priority="24"/>
  </conditionalFormatting>
  <conditionalFormatting sqref="BS1735">
    <cfRule type="duplicateValues" dxfId="89" priority="23"/>
  </conditionalFormatting>
  <conditionalFormatting sqref="BS1736">
    <cfRule type="duplicateValues" dxfId="88" priority="22"/>
  </conditionalFormatting>
  <conditionalFormatting sqref="BS1737">
    <cfRule type="duplicateValues" dxfId="87" priority="21"/>
  </conditionalFormatting>
  <conditionalFormatting sqref="BS1738">
    <cfRule type="duplicateValues" dxfId="86" priority="20"/>
  </conditionalFormatting>
  <conditionalFormatting sqref="BS1739">
    <cfRule type="duplicateValues" dxfId="85" priority="19"/>
  </conditionalFormatting>
  <conditionalFormatting sqref="BS1740">
    <cfRule type="duplicateValues" dxfId="84" priority="18"/>
  </conditionalFormatting>
  <conditionalFormatting sqref="BS1741">
    <cfRule type="duplicateValues" dxfId="83" priority="17"/>
  </conditionalFormatting>
  <conditionalFormatting sqref="BS1742">
    <cfRule type="duplicateValues" dxfId="82" priority="16"/>
  </conditionalFormatting>
  <conditionalFormatting sqref="BS1743">
    <cfRule type="duplicateValues" dxfId="81" priority="15"/>
  </conditionalFormatting>
  <conditionalFormatting sqref="BS1744">
    <cfRule type="duplicateValues" dxfId="80" priority="14"/>
  </conditionalFormatting>
  <conditionalFormatting sqref="BT8 BT10:BT12">
    <cfRule type="duplicateValues" dxfId="79" priority="244"/>
  </conditionalFormatting>
  <conditionalFormatting sqref="BT163:BT168 BS14:BS25 BS92:BS95 BT88:BT91 BS97 BT98 BS363:BS459 BS27:BS32 BS34:BS87 BS275:BS361 BS103:BS271">
    <cfRule type="duplicateValues" dxfId="78" priority="242"/>
  </conditionalFormatting>
  <conditionalFormatting sqref="BT272:BT273">
    <cfRule type="duplicateValues" dxfId="77" priority="222"/>
  </conditionalFormatting>
  <conditionalFormatting sqref="BT488">
    <cfRule type="duplicateValues" dxfId="76" priority="213"/>
  </conditionalFormatting>
  <conditionalFormatting sqref="BT629:BT634 BS558:BS561 BT554:BT557 BS563 BT564 BS569:BS727 BS540:BS553 BS731:BS817 BS819:BS867">
    <cfRule type="duplicateValues" dxfId="75" priority="212"/>
  </conditionalFormatting>
  <conditionalFormatting sqref="BT728:BT730">
    <cfRule type="duplicateValues" dxfId="74" priority="203"/>
  </conditionalFormatting>
  <conditionalFormatting sqref="BT1005:BT1015 BT1057 BS870:BS899 BS1058:BS1066 BS1073:BS1074 BT1075 BS1077:BS1120 BU1071:BU1072 BS1124:BS1204 BS957:BS961 BS963:BS970 BS972 BS974:BS982 BS984:BS1003 BS1016 BT868:BT869 BS1018:BS1056 BS1068:BS1070 BS905:BS955">
    <cfRule type="duplicateValues" dxfId="73" priority="195"/>
  </conditionalFormatting>
  <conditionalFormatting sqref="BT1017">
    <cfRule type="duplicateValues" dxfId="72" priority="178"/>
  </conditionalFormatting>
  <conditionalFormatting sqref="BT1067">
    <cfRule type="duplicateValues" dxfId="71" priority="177"/>
  </conditionalFormatting>
  <conditionalFormatting sqref="BT1071:BT1072">
    <cfRule type="duplicateValues" dxfId="70" priority="181"/>
  </conditionalFormatting>
  <conditionalFormatting sqref="BT1205:BT1222 BT1227:BT1241 BS1223:BS1226">
    <cfRule type="duplicateValues" dxfId="69" priority="176"/>
  </conditionalFormatting>
  <conditionalFormatting sqref="BT1267 BT1265 BT1271 BT1269 BT1273:BT1274 BS1242:BS1296">
    <cfRule type="duplicateValues" dxfId="68" priority="159"/>
  </conditionalFormatting>
  <conditionalFormatting sqref="BT1382">
    <cfRule type="duplicateValues" dxfId="67" priority="140"/>
  </conditionalFormatting>
  <conditionalFormatting sqref="BT1385">
    <cfRule type="duplicateValues" dxfId="66" priority="138"/>
  </conditionalFormatting>
  <conditionalFormatting sqref="BT1611 BT1613:BT1615">
    <cfRule type="duplicateValues" dxfId="65" priority="60"/>
  </conditionalFormatting>
  <conditionalFormatting sqref="BU8:BU95 BS88:BS91 BT96:BU96">
    <cfRule type="cellIs" dxfId="64" priority="230" operator="greaterThan">
      <formula>3</formula>
    </cfRule>
  </conditionalFormatting>
  <conditionalFormatting sqref="BU97:BU561 BS554:BS557 BT562:BU562">
    <cfRule type="cellIs" dxfId="63" priority="208" operator="greaterThan">
      <formula>3</formula>
    </cfRule>
  </conditionalFormatting>
  <conditionalFormatting sqref="BU563:BU869">
    <cfRule type="cellIs" dxfId="62" priority="192" operator="greaterThan">
      <formula>3</formula>
    </cfRule>
  </conditionalFormatting>
  <conditionalFormatting sqref="BU1205:BU1240">
    <cfRule type="cellIs" dxfId="61" priority="174" operator="greaterThan">
      <formula>3</formula>
    </cfRule>
  </conditionalFormatting>
  <conditionalFormatting sqref="BU1297:BU1363 BU1481:BU1507 BT1508:BT1509 BU1510:BU1584">
    <cfRule type="cellIs" dxfId="60" priority="87" operator="greaterThan">
      <formula>3</formula>
    </cfRule>
  </conditionalFormatting>
  <conditionalFormatting sqref="BU1365:BU1377">
    <cfRule type="cellIs" dxfId="59" priority="153" operator="greaterThan">
      <formula>3</formula>
    </cfRule>
  </conditionalFormatting>
  <conditionalFormatting sqref="BU1393:BU1459">
    <cfRule type="cellIs" dxfId="58" priority="111" operator="greaterThan">
      <formula>3</formula>
    </cfRule>
  </conditionalFormatting>
  <conditionalFormatting sqref="BU1593:BU1609">
    <cfRule type="cellIs" dxfId="57" priority="75" operator="greaterThan">
      <formula>3</formula>
    </cfRule>
  </conditionalFormatting>
  <conditionalFormatting sqref="BU1611:BU1662">
    <cfRule type="cellIs" dxfId="56" priority="30" operator="greaterThan">
      <formula>3</formula>
    </cfRule>
  </conditionalFormatting>
  <conditionalFormatting sqref="BU1712:BU1719">
    <cfRule type="cellIs" dxfId="55" priority="29" operator="greaterThan">
      <formula>3</formula>
    </cfRule>
  </conditionalFormatting>
  <conditionalFormatting sqref="BU1728:BU1744">
    <cfRule type="cellIs" dxfId="54" priority="11" operator="greaterThan">
      <formula>3</formula>
    </cfRule>
  </conditionalFormatting>
  <conditionalFormatting sqref="BU1378:BV1392">
    <cfRule type="cellIs" dxfId="53" priority="67" operator="greaterThan">
      <formula>3</formula>
    </cfRule>
  </conditionalFormatting>
  <conditionalFormatting sqref="BU1460:BV1480">
    <cfRule type="cellIs" dxfId="52" priority="94" operator="greaterThan">
      <formula>3</formula>
    </cfRule>
  </conditionalFormatting>
  <conditionalFormatting sqref="BV43:BV48">
    <cfRule type="cellIs" dxfId="51" priority="235" operator="greaterThan">
      <formula>3</formula>
    </cfRule>
  </conditionalFormatting>
  <conditionalFormatting sqref="BX1508:BX1509">
    <cfRule type="cellIs" dxfId="50" priority="85" operator="lessThan">
      <formula>-4</formula>
    </cfRule>
    <cfRule type="cellIs" dxfId="49" priority="86" operator="greaterThan">
      <formula>4</formula>
    </cfRule>
  </conditionalFormatting>
  <conditionalFormatting sqref="BY8:CM1745">
    <cfRule type="cellIs" dxfId="48" priority="34" operator="lessThan">
      <formula>-4</formula>
    </cfRule>
    <cfRule type="cellIs" dxfId="47" priority="35" operator="greaterThan">
      <formula>4</formula>
    </cfRule>
  </conditionalFormatting>
  <conditionalFormatting sqref="BZ1610:BZ1616 CA1611:CM1616 T1616">
    <cfRule type="cellIs" dxfId="46" priority="49" operator="equal">
      <formula>0</formula>
    </cfRule>
  </conditionalFormatting>
  <conditionalFormatting sqref="BZ1728:CM1728">
    <cfRule type="cellIs" dxfId="45" priority="28" operator="equal">
      <formula>0</formula>
    </cfRule>
    <cfRule type="cellIs" dxfId="44" priority="27" operator="equal">
      <formula>0</formula>
    </cfRule>
  </conditionalFormatting>
  <conditionalFormatting sqref="BZ1733:CM1744">
    <cfRule type="cellIs" dxfId="43" priority="9" operator="equal">
      <formula>0</formula>
    </cfRule>
    <cfRule type="cellIs" dxfId="42" priority="10" operator="equal">
      <formula>0</formula>
    </cfRule>
  </conditionalFormatting>
  <conditionalFormatting sqref="CA1610:CL1610">
    <cfRule type="cellIs" dxfId="41" priority="48" operator="equal">
      <formula>0</formula>
    </cfRule>
  </conditionalFormatting>
  <conditionalFormatting sqref="CN868 BL870:BL872 CN870:CQ872 CO873:CQ875 CN1058:CQ1068 BL1058:BL1070 CT1058:CT1070 BL1073:BL1074 CT1073:CT1074 BL1077:BL1204 CN1077:CQ1204 CT1077:CT1204 BG1097:BH1097 BJ1097:BK1097 BG1104:BH1104 BJ1104:BK1104 BG1111:BH1111 BJ1111:BK1111 BG1118:BH1118 BJ1118:BK1118">
    <cfRule type="expression" dxfId="40" priority="179">
      <formula>$BL868&lt;$BK868</formula>
    </cfRule>
  </conditionalFormatting>
  <conditionalFormatting sqref="CN868 CN1007">
    <cfRule type="cellIs" dxfId="39" priority="190" operator="lessThan">
      <formula>-4</formula>
    </cfRule>
    <cfRule type="cellIs" dxfId="38" priority="191" operator="greaterThan">
      <formula>4</formula>
    </cfRule>
  </conditionalFormatting>
  <conditionalFormatting sqref="CN1205:CN1217 CN1219:CN1222 CN1224:CN1225 CN1227:CN1240">
    <cfRule type="expression" dxfId="37" priority="165">
      <formula>$BL1205&lt;$BK1205</formula>
    </cfRule>
  </conditionalFormatting>
  <conditionalFormatting sqref="CN1205:CN1240">
    <cfRule type="cellIs" dxfId="36" priority="173" operator="greaterThan">
      <formula>4</formula>
    </cfRule>
    <cfRule type="cellIs" dxfId="35" priority="172" operator="lessThan">
      <formula>-4</formula>
    </cfRule>
  </conditionalFormatting>
  <conditionalFormatting sqref="CN1057:CQ1057 CT1057">
    <cfRule type="expression" dxfId="34" priority="193">
      <formula>#REF!&lt;$BL1057</formula>
    </cfRule>
  </conditionalFormatting>
  <conditionalFormatting sqref="CN1076:CQ1076 CT1076">
    <cfRule type="expression" dxfId="33" priority="198">
      <formula>$BL1076&lt;#REF!</formula>
    </cfRule>
  </conditionalFormatting>
  <conditionalFormatting sqref="CN1205:CQ1226 BK1205:BK1241 CT1205:CT1241 CO1227:CQ1240 CN1241:CQ1241">
    <cfRule type="expression" dxfId="32" priority="166">
      <formula>$BK1205&lt;$BL1205</formula>
    </cfRule>
  </conditionalFormatting>
  <conditionalFormatting sqref="CO869:CQ869 CT869">
    <cfRule type="expression" dxfId="31" priority="197">
      <formula>$BK1490&lt;$BL1490</formula>
    </cfRule>
  </conditionalFormatting>
  <conditionalFormatting sqref="CT8:CT867 BL369:BL553 BL565:BL867">
    <cfRule type="expression" dxfId="30" priority="206">
      <formula>$BL8&lt;$BK8</formula>
    </cfRule>
  </conditionalFormatting>
  <conditionalFormatting sqref="CT1242:CT1269 BL1242:BL1296 CN1242:CQ1296 CS1270:CT1296 BK1281:BK1283 BL1298:BL1313 CT1298:CT1516 BL1346:BL1348 BL1359:BL1361 BL1363 BK1458:BL1459 BK1466:BK1472 BL1466:BL1506 BL1510:BL1516 BL1518:BL1527 BL1594:BL1609">
    <cfRule type="expression" dxfId="29" priority="62">
      <formula>$BL1242&lt;$BK1242</formula>
    </cfRule>
  </conditionalFormatting>
  <conditionalFormatting sqref="CT1297 BK1349:BK1355 BK1362 BK1377">
    <cfRule type="expression" dxfId="28" priority="158">
      <formula>$BK1297&lt;#REF!</formula>
    </cfRule>
  </conditionalFormatting>
  <conditionalFormatting sqref="CT1517">
    <cfRule type="expression" dxfId="27" priority="164">
      <formula>#REF!&lt;#REF!</formula>
    </cfRule>
  </conditionalFormatting>
  <conditionalFormatting sqref="CT1518:CT1622 BL1620:BL1622 BL1625:BL1626 CT1625:CT1662 BL1629:BL1630 BL1633:BL1662 CT1728:CT1744 BK1745">
    <cfRule type="expression" dxfId="26" priority="4">
      <formula>$BL1518&lt;$BK1518</formula>
    </cfRule>
  </conditionalFormatting>
  <conditionalFormatting sqref="CT1623">
    <cfRule type="expression" dxfId="25" priority="39">
      <formula>$BL1624&lt;$BK1623</formula>
    </cfRule>
  </conditionalFormatting>
  <conditionalFormatting sqref="CT1624">
    <cfRule type="expression" dxfId="24" priority="40">
      <formula>#REF!&lt;$BK1624</formula>
    </cfRule>
  </conditionalFormatting>
  <conditionalFormatting sqref="DD1536:DH1538 DI1536:DI1597 DG1539:DH1539 DV1261:EM1363 V1481:AY1609 BZ8:CM1496 BG1119:BG1363 DO1261:DS1358 DD1261:DI1363 DJ1261:DN1453 DT1261:DT1597 U1298:U1348 DY1364:EM1364 BG1365:BG1496 DD1454:DS1493 DV1481:EM1541 DJ1500:DS1597 BZ1515:CM1539 BZ1544:CM1552 DD1553:DG1593 BZ1598:CM1609">
    <cfRule type="cellIs" dxfId="23" priority="81" operator="equal">
      <formula>0</formula>
    </cfRule>
  </conditionalFormatting>
  <conditionalFormatting sqref="DD1540:DH1552 EB1542:EM1542 DV1542:DX1553 EB1543:EC1543 ED1543:EM1544 EC1544">
    <cfRule type="cellIs" dxfId="22" priority="83" operator="equal">
      <formula>0</formula>
    </cfRule>
  </conditionalFormatting>
  <conditionalFormatting sqref="DD1594:DH1597 DD1598:DT1609">
    <cfRule type="cellIs" dxfId="21" priority="77" operator="equal">
      <formula>0</formula>
    </cfRule>
  </conditionalFormatting>
  <conditionalFormatting sqref="DD1500:DI1535">
    <cfRule type="cellIs" dxfId="20" priority="82" operator="equal">
      <formula>0</formula>
    </cfRule>
  </conditionalFormatting>
  <conditionalFormatting sqref="DD1494:DP1495 DO1359:DS1453 DD1365:DI1453 BG1497:BG1508 BZ1497:CM1514">
    <cfRule type="cellIs" dxfId="19" priority="93" operator="equal">
      <formula>0</formula>
    </cfRule>
  </conditionalFormatting>
  <conditionalFormatting sqref="DD1496:DS1499 DD1500:DI1515 DD1516:DH1527 DI1516:DI1529 BZ41:CM1296 BG1119:BG1296 DD1261:DI1296 DO1261:DS1296 DJ1261:DN1377 DT1261:DT1377 DH1297:DI1363 DD1378:DT1379 BG1378:BG1508 V1378:AY1527 BZ1378:CM1527 DV1378:EM1527 DD1380:DS1493 DO1500:DS1527 BG1510:BG1527">
    <cfRule type="cellIs" dxfId="18" priority="91" operator="equal">
      <formula>0</formula>
    </cfRule>
  </conditionalFormatting>
  <conditionalFormatting sqref="DD1496:DS1499">
    <cfRule type="cellIs" dxfId="17" priority="90" operator="equal">
      <formula>0</formula>
    </cfRule>
  </conditionalFormatting>
  <conditionalFormatting sqref="DD8:DT459 T11 U14:U15">
    <cfRule type="cellIs" dxfId="16" priority="234" operator="equal">
      <formula>0</formula>
    </cfRule>
  </conditionalFormatting>
  <conditionalFormatting sqref="DD1242:DT1260 V1242:AY1296 DV1242:EM1296 AX1297:AX1599 AZ1600:BD1609">
    <cfRule type="cellIs" dxfId="15" priority="72" operator="equal">
      <formula>0</formula>
    </cfRule>
  </conditionalFormatting>
  <conditionalFormatting sqref="DD1745:DT1745 V1745:AY1745">
    <cfRule type="cellIs" dxfId="14" priority="6" operator="equal">
      <formula>0</formula>
    </cfRule>
  </conditionalFormatting>
  <conditionalFormatting sqref="DD1745:DT1745">
    <cfRule type="cellIs" dxfId="13" priority="5" operator="equal">
      <formula>0</formula>
    </cfRule>
  </conditionalFormatting>
  <conditionalFormatting sqref="DH1528:DH1529 DH1530:DI1537 DH1538:DH1552">
    <cfRule type="cellIs" dxfId="12" priority="80" operator="equal">
      <formula>0</formula>
    </cfRule>
  </conditionalFormatting>
  <conditionalFormatting sqref="DH1594:DH1609 DI1598:DN1609">
    <cfRule type="cellIs" dxfId="11" priority="76" operator="equal">
      <formula>0</formula>
    </cfRule>
  </conditionalFormatting>
  <conditionalFormatting sqref="DH1666 DH1668:DH1673 DH1678:DH1683 DH1685:DH1744">
    <cfRule type="cellIs" dxfId="10" priority="7" operator="equal">
      <formula>0</formula>
    </cfRule>
    <cfRule type="cellIs" dxfId="9" priority="8" operator="equal">
      <formula>0</formula>
    </cfRule>
  </conditionalFormatting>
  <conditionalFormatting sqref="DH1365:DI1377">
    <cfRule type="cellIs" dxfId="8" priority="154" operator="equal">
      <formula>0</formula>
    </cfRule>
  </conditionalFormatting>
  <conditionalFormatting sqref="DI1620:DN1662 DT1620:DT1662 DH1620:DH1663 V1648:AY1649 DD1648:DG1662 DO1648:DS1662 AD1650:AH1650 V1650:AC1662 AJ1650:AY1662 AD1651:AI1662">
    <cfRule type="cellIs" dxfId="7" priority="31" operator="equal">
      <formula>0</formula>
    </cfRule>
  </conditionalFormatting>
  <conditionalFormatting sqref="DT1380:DT1597 DJ1500:DN1597 DI1538:DI1597 DD1494:DP1495">
    <cfRule type="cellIs" dxfId="6" priority="92" operator="equal">
      <formula>0</formula>
    </cfRule>
  </conditionalFormatting>
  <conditionalFormatting sqref="DT1598:DT1619 DH1610:DN1619">
    <cfRule type="cellIs" dxfId="5" priority="53" operator="equal">
      <formula>0</formula>
    </cfRule>
  </conditionalFormatting>
  <conditionalFormatting sqref="DV8:EM1260 DD460:DT1260 V1242:AY1363 AZ1242:BD1609 AX1364:AX1609">
    <cfRule type="cellIs" dxfId="4" priority="71" operator="equal">
      <formula>0</formula>
    </cfRule>
  </conditionalFormatting>
  <conditionalFormatting sqref="DY1542:DZ1549 EB1544:EB1547 EC1545:EM1547 EB1549 EC1549:EM1553 DY1550:EB1553 EA1554:EA1563">
    <cfRule type="cellIs" dxfId="3" priority="78" operator="equal">
      <formula>0</formula>
    </cfRule>
  </conditionalFormatting>
  <conditionalFormatting sqref="EA1535:EA1549">
    <cfRule type="cellIs" dxfId="2" priority="66" operator="equal">
      <formula>0</formula>
    </cfRule>
  </conditionalFormatting>
  <conditionalFormatting sqref="EB1548:EM1548">
    <cfRule type="cellIs" dxfId="1" priority="64" operator="equal">
      <formula>0</formula>
    </cfRule>
  </conditionalFormatting>
  <conditionalFormatting sqref="EC1251:EC1287 ED1252:ED1287 EG1255:EG1287 DD1539:DF1539">
    <cfRule type="cellIs" dxfId="0" priority="79" operator="equal">
      <formula>0</formula>
    </cfRule>
  </conditionalFormatting>
  <dataValidations disablePrompts="1" count="3">
    <dataValidation type="list" allowBlank="1" showInputMessage="1" showErrorMessage="1" sqref="BR1006:BR1029 BO1508:BO1509 BP1365:BP1609 BP954:BP1204 BP469:BP539 BP1242:BP1363 BP1620:BP1662 BP1733:BP1744" xr:uid="{00EA00FB-000A-4C71-8CC3-005600850013}">
      <formula1>"Sequestration positive, Emissions positive"</formula1>
    </dataValidation>
    <dataValidation type="list" allowBlank="1" showInputMessage="1" showErrorMessage="1" sqref="BG1242:BG1363 BG8:BG867 BG1140:BG1221 BG1365:BG1508 BG1510:BG1536 BG1538:BG1744" xr:uid="{00A3004F-0081-4EFA-904F-007B00CB008E}">
      <formula1>"Roundwood,HWP"</formula1>
    </dataValidation>
    <dataValidation type="list" allowBlank="1" showInputMessage="1" showErrorMessage="1" sqref="BG1222:BG1235" xr:uid="{9C8B96E0-52E9-B347-80D3-C6D6095ADE2F}"/>
  </dataValidations>
  <hyperlinks>
    <hyperlink ref="K1067" r:id="rId1" xr:uid="{234DECE6-5DA0-184B-8644-8BDA2EAE2C87}"/>
    <hyperlink ref="K1069" r:id="rId2" xr:uid="{DF6B5B33-E65C-CE40-8A22-582131215E2D}"/>
    <hyperlink ref="K1070" r:id="rId3" xr:uid="{4A0E88A9-E1C7-3E40-982F-1D7CB1B0DEB9}"/>
    <hyperlink ref="K1072" r:id="rId4" xr:uid="{19F58F5C-23B2-6042-A692-19499F1D4E8D}"/>
    <hyperlink ref="K1073" r:id="rId5" xr:uid="{65E71C8C-8B4D-894D-A181-6958181AEF7F}"/>
    <hyperlink ref="K1074" r:id="rId6" xr:uid="{66592C4F-8D89-1147-8135-B17F0EB59896}"/>
    <hyperlink ref="K1077" r:id="rId7" xr:uid="{151A8410-F251-7149-A1AC-726887D0376F}"/>
    <hyperlink ref="K1078" r:id="rId8" xr:uid="{F2372D1B-BEF5-8A48-9B35-B993F7777402}"/>
    <hyperlink ref="K1079" r:id="rId9" xr:uid="{472970FD-C4EC-AE4F-88F4-B467D864A7F0}"/>
    <hyperlink ref="K1081" r:id="rId10" xr:uid="{956D207C-2D2F-924C-BA23-188DF06FE247}"/>
    <hyperlink ref="K1082" r:id="rId11" xr:uid="{C065CDE7-2023-A447-8521-D0F28AA40CC6}"/>
    <hyperlink ref="K1083" r:id="rId12" xr:uid="{743B5599-DE79-7E44-A4EC-820E14AB9E91}"/>
    <hyperlink ref="K1084" r:id="rId13" xr:uid="{396A741F-B175-114D-9B51-F39B1E439CE1}"/>
    <hyperlink ref="K1085" r:id="rId14" xr:uid="{BC9372FB-9C29-6C49-B4DB-7C8AC5F95664}"/>
    <hyperlink ref="K1087" r:id="rId15" xr:uid="{503278C0-E6F3-C34D-B63A-6548438FD66E}"/>
    <hyperlink ref="K1088" r:id="rId16" xr:uid="{1A9AF777-2F1A-6444-A851-534468BA0B12}"/>
    <hyperlink ref="K1089" r:id="rId17" xr:uid="{8022E0F0-93D8-8D48-B181-2D3A297D0623}"/>
    <hyperlink ref="K1090" r:id="rId18" xr:uid="{EEBB5FE0-4379-E14C-B697-5AEA022FC405}"/>
    <hyperlink ref="K1068" r:id="rId19" xr:uid="{CC1AC87E-F37F-4A43-9782-C557FA4F73A9}"/>
    <hyperlink ref="K1071" r:id="rId20" xr:uid="{556CF1F3-07CE-F445-A477-E7CE4F4A6CA1}"/>
    <hyperlink ref="K1075" r:id="rId21" xr:uid="{E35D0972-33F0-5842-8998-AAE318325355}"/>
    <hyperlink ref="K1076" r:id="rId22" xr:uid="{4EAC3483-DD9B-EC44-BE6E-8441216D2783}"/>
    <hyperlink ref="K1080" r:id="rId23" xr:uid="{F599DFA5-DDB7-614E-8FB9-F6DEA35C5EAF}"/>
    <hyperlink ref="K1086" r:id="rId24" xr:uid="{A132F346-F09E-3D48-96AC-E9C7D4247C54}"/>
    <hyperlink ref="K763" r:id="rId25" tooltip="Persistent link using digital object identifier" xr:uid="{7DFC1F5B-8307-C045-889B-21616BE7D238}"/>
    <hyperlink ref="K1137" r:id="rId26" xr:uid="{E85B04B8-099E-DA49-A552-7593572C4CD7}"/>
    <hyperlink ref="K1135" r:id="rId27" tooltip="Persistent link using digital object identifier" xr:uid="{9C79DB45-C4C6-0E47-AF4E-3A841FA48F53}"/>
    <hyperlink ref="K1129" r:id="rId28" tooltip="Persistent link using digital object identifier" xr:uid="{42C82401-AA1F-3E42-918D-D45A2091C6A7}"/>
    <hyperlink ref="K1133" r:id="rId29" tooltip="Persistent link using digital object identifier" xr:uid="{12B29665-D503-644D-9D93-D1B2E7C183F2}"/>
    <hyperlink ref="K1131" r:id="rId30" tooltip="Persistent link using digital object identifier" xr:uid="{56EA397D-63CD-7344-9896-B06221F54EC1}"/>
    <hyperlink ref="K1130" r:id="rId31" tooltip="Persistent link using digital object identifier" xr:uid="{F9F5BE14-EBF0-6948-8295-637890EEF40D}"/>
    <hyperlink ref="K1134" r:id="rId32" tooltip="Persistent link using digital object identifier" xr:uid="{34B190E0-661C-3748-B840-ACA111C6EAAD}"/>
    <hyperlink ref="K1132" r:id="rId33" tooltip="Persistent link using digital object identifier" xr:uid="{E2C894C8-AF24-CF40-B27E-EED4FF3ED95A}"/>
    <hyperlink ref="K1136" r:id="rId34" xr:uid="{171F3DC5-889D-DB4B-9329-41F9937CEF15}"/>
    <hyperlink ref="K1140" r:id="rId35" xr:uid="{6E0E1C2C-9975-B945-AC48-172502469A8F}"/>
    <hyperlink ref="K1138" r:id="rId36" xr:uid="{8FB7C482-431A-3146-8601-30FBA42ED83A}"/>
    <hyperlink ref="K1139" r:id="rId37" xr:uid="{A2DE14F7-5550-AF47-A9DE-98E4DA7F5D54}"/>
    <hyperlink ref="K1141" r:id="rId38" xr:uid="{A8040271-A136-674C-A1CA-5981C8BFFCF0}"/>
    <hyperlink ref="K1105:K1107" r:id="rId39" tooltip="Persistent link using digital object identifier" display="https://doi.org/10.1016/j.jenvman.2013.07.021" xr:uid="{A0A42070-D837-864F-BBA8-50928F0731D2}"/>
    <hyperlink ref="K598" r:id="rId40" display="https://doi.org/10.1139/X06-257" xr:uid="{521B6C7C-18BA-5648-8FF6-FF5293F50322}"/>
    <hyperlink ref="K957:K959" r:id="rId41" display="https://doi.org/10.1139/X06-257" xr:uid="{0749E2A5-34C6-BE40-81A2-EEEF9B514B14}"/>
    <hyperlink ref="K877" r:id="rId42" display="https://doi.org/10.1111/j.1757-1707.2012.01161.x" xr:uid="{3BBAD0BB-1CC1-A246-9A87-649D39BB25BC}"/>
    <hyperlink ref="DQ1430" r:id="rId43" xr:uid="{78B1A249-A921-474F-AD28-E999AF9BBB03}"/>
    <hyperlink ref="DQ1429" r:id="rId44" xr:uid="{76A36272-C944-504F-A914-7ACA4DEB0C94}"/>
    <hyperlink ref="DQ1427" r:id="rId45" xr:uid="{7FC9C951-6CBF-8040-BB78-B7EA92171677}"/>
    <hyperlink ref="DQ1428" r:id="rId46" xr:uid="{748BBD92-907C-774B-99C9-CCFD34AD10CD}"/>
    <hyperlink ref="DQ1426" r:id="rId47" xr:uid="{CB20C8C3-3524-3743-83EA-0EB035D851E3}"/>
    <hyperlink ref="K780" r:id="rId48" tooltip="Persistent link using digital object identifier" xr:uid="{4100F648-71B1-B14B-BE4A-12A59657697D}"/>
    <hyperlink ref="K786" r:id="rId49" tooltip="Persistent link using digital object identifier" xr:uid="{0DD55305-30FA-A54D-B50B-DBF6484974A1}"/>
    <hyperlink ref="K791" r:id="rId50" tooltip="Persistent link using digital object identifier" xr:uid="{C77DA0DF-02EB-0A49-A518-544C660FDDF1}"/>
    <hyperlink ref="K787" r:id="rId51" tooltip="Persistent link using digital object identifier" xr:uid="{E8F7500E-8EDB-C146-A675-1DEE42169C84}"/>
    <hyperlink ref="K788" r:id="rId52" tooltip="Persistent link using digital object identifier" xr:uid="{06C42981-73C2-7F48-A7CC-F566D5DA23F1}"/>
    <hyperlink ref="K789" r:id="rId53" tooltip="Persistent link using digital object identifier" xr:uid="{0767CC07-EFE9-9D4C-A72A-927CB4484A93}"/>
    <hyperlink ref="K790" r:id="rId54" tooltip="Persistent link using digital object identifier" xr:uid="{D67F649E-3A64-4F4E-95E7-BE901EADE7D1}"/>
    <hyperlink ref="K783" r:id="rId55" tooltip="Persistent link using digital object identifier" xr:uid="{C44D47BD-3856-D043-A6DD-0508A203476F}"/>
    <hyperlink ref="K781" r:id="rId56" tooltip="Persistent link using digital object identifier" xr:uid="{9DAEFCF6-862A-AF40-93CE-5C1EC558D77F}"/>
    <hyperlink ref="K782" r:id="rId57" tooltip="Persistent link using digital object identifier" xr:uid="{8C0D7609-B0A8-BE47-A053-A9E6ED57337C}"/>
    <hyperlink ref="K785" r:id="rId58" tooltip="Persistent link using digital object identifier" xr:uid="{EED51307-EEE7-7A43-A1DE-557ECB31A307}"/>
    <hyperlink ref="K784" r:id="rId59" tooltip="Persistent link using digital object identifier" xr:uid="{0EC3CE59-B3D7-3B40-9753-85F36656AE9A}"/>
    <hyperlink ref="K1201" r:id="rId60" display="http://dx.doi.org/10.22382/wfs-2018-011" xr:uid="{ADFBDF3A-4595-EA4D-9D6A-6E3C1687EE21}"/>
    <hyperlink ref="K427" r:id="rId61" tooltip="Persistent link using digital object identifier" display="https://doi.org/10.1016/j.jenvman.2013.07.021" xr:uid="{762BD820-C265-3540-858A-45FB28FAC534}"/>
    <hyperlink ref="K340" r:id="rId62" xr:uid="{99590726-C44F-4344-8792-8151E8E142BE}"/>
    <hyperlink ref="K1536" r:id="rId63" xr:uid="{92DB2F4D-E2C9-F147-A47D-050DA3A9D165}"/>
    <hyperlink ref="K1061" r:id="rId64" xr:uid="{1BEF8CDB-95ED-8B48-A7FC-8D4E1C4506A9}"/>
    <hyperlink ref="K1006" r:id="rId65" display="https://doi.org/10.1093/jof/109.s1.S7" xr:uid="{56C55E2C-362B-AD43-8B15-682613E0A182}"/>
  </hyperlinks>
  <pageMargins left="0.7" right="0.7" top="0.75" bottom="0.75" header="0.3" footer="0.3"/>
  <pageSetup paperSize="9" orientation="portrait"/>
  <legacyDrawing r:id="rId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RowHeight="16"/>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workbookViewId="0">
      <selection activeCell="D21" sqref="D21"/>
    </sheetView>
  </sheetViews>
  <sheetFormatPr baseColWidth="10" defaultColWidth="10.6640625" defaultRowHeight="16"/>
  <cols>
    <col min="4" max="4" width="20" customWidth="1"/>
  </cols>
  <sheetData>
    <row r="1" spans="1:8">
      <c r="H1" t="s">
        <v>2443</v>
      </c>
    </row>
    <row r="2" spans="1:8">
      <c r="A2" t="s">
        <v>2586</v>
      </c>
      <c r="B2">
        <f>1000/E2</f>
        <v>2.0408163265306123</v>
      </c>
      <c r="D2" t="s">
        <v>2587</v>
      </c>
      <c r="E2">
        <f>AVERAGE(400,580)</f>
        <v>490</v>
      </c>
      <c r="F2" t="s">
        <v>678</v>
      </c>
      <c r="G2" t="s">
        <v>2588</v>
      </c>
      <c r="H2" t="s">
        <v>2589</v>
      </c>
    </row>
    <row r="3" spans="1:8">
      <c r="A3" t="s">
        <v>2590</v>
      </c>
      <c r="B3">
        <f>1/E2</f>
        <v>2.0408163265306124E-3</v>
      </c>
      <c r="D3" t="s">
        <v>2591</v>
      </c>
      <c r="E3">
        <v>0.47</v>
      </c>
      <c r="F3" t="s">
        <v>2592</v>
      </c>
      <c r="H3" t="s">
        <v>2589</v>
      </c>
    </row>
    <row r="4" spans="1:8">
      <c r="A4" t="s">
        <v>2593</v>
      </c>
      <c r="B4">
        <f>+B2/E3</f>
        <v>4.3421623968736434</v>
      </c>
    </row>
    <row r="5" spans="1:8">
      <c r="A5" t="s">
        <v>2594</v>
      </c>
      <c r="B5" s="199">
        <f>3.67</f>
        <v>3.67</v>
      </c>
    </row>
    <row r="9" spans="1:8">
      <c r="A9" t="s">
        <v>2595</v>
      </c>
    </row>
    <row r="10" spans="1:8">
      <c r="A10" t="s">
        <v>222</v>
      </c>
    </row>
    <row r="11" spans="1:8">
      <c r="A11" t="s">
        <v>2583</v>
      </c>
    </row>
    <row r="12" spans="1:8">
      <c r="A12" t="s">
        <v>2585</v>
      </c>
    </row>
    <row r="13" spans="1:8">
      <c r="A13" t="s">
        <v>2582</v>
      </c>
    </row>
    <row r="14" spans="1:8">
      <c r="A14" t="s">
        <v>2584</v>
      </c>
    </row>
    <row r="15" spans="1:8">
      <c r="A15" t="s">
        <v>1351</v>
      </c>
    </row>
    <row r="16" spans="1:8">
      <c r="A16" t="s">
        <v>2581</v>
      </c>
    </row>
    <row r="17" spans="1:1">
      <c r="A17" s="311" t="s">
        <v>4382</v>
      </c>
    </row>
  </sheetData>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23"/>
  <sheetViews>
    <sheetView workbookViewId="0">
      <selection activeCell="E2" sqref="E2"/>
    </sheetView>
  </sheetViews>
  <sheetFormatPr baseColWidth="10" defaultRowHeight="16"/>
  <cols>
    <col min="1" max="1" width="22.1640625" bestFit="1" customWidth="1"/>
    <col min="2" max="2" width="27.6640625" bestFit="1" customWidth="1"/>
    <col min="3" max="3" width="30.5" bestFit="1" customWidth="1"/>
    <col min="4" max="4" width="5.83203125" customWidth="1"/>
    <col min="5" max="5" width="19.33203125" customWidth="1"/>
    <col min="6" max="6" width="13.83203125" customWidth="1"/>
    <col min="8" max="8" width="9.5" style="149" customWidth="1"/>
    <col min="9" max="9" width="27.1640625" style="149" customWidth="1"/>
    <col min="11" max="114" width="5.83203125" customWidth="1"/>
  </cols>
  <sheetData>
    <row r="1" spans="1:11">
      <c r="E1" s="143" t="s">
        <v>2596</v>
      </c>
      <c r="F1" s="149" t="s">
        <v>2597</v>
      </c>
      <c r="G1" t="s">
        <v>2598</v>
      </c>
      <c r="H1" s="149" t="s">
        <v>2599</v>
      </c>
      <c r="I1" s="149" t="s">
        <v>2600</v>
      </c>
      <c r="J1" s="149" t="s">
        <v>2601</v>
      </c>
    </row>
    <row r="2" spans="1:11">
      <c r="A2" t="str">
        <f t="array" ref="A2:C119">TRANSPOSE(Sheet1!A2:'Sheet1'!BY7)</f>
        <v>Paper description</v>
      </c>
      <c r="B2">
        <v>0</v>
      </c>
      <c r="C2" t="str">
        <v>Publication</v>
      </c>
      <c r="E2" t="str">
        <f t="array" ref="E2">INDEX(Sheet1!$A$4:$CV$4,MATCH(0,COUNTIF($E$1:E1,Sheet1!$A$4:$CV$4),0))</f>
        <v>Publication</v>
      </c>
      <c r="F2" s="200" t="s">
        <v>2602</v>
      </c>
      <c r="G2" t="str">
        <f>INDEX(Sheet1!A$2:CV$2,MATCH($E2,Sheet1!A$4:CV$4,0))</f>
        <v>Paper description</v>
      </c>
      <c r="H2" s="200" t="s">
        <v>2602</v>
      </c>
      <c r="I2" t="str">
        <f>INDEX(Sheet1!C$1:EO$1,MATCH($E2,Sheet1!C$4:EO$4,0))</f>
        <v>Metadata</v>
      </c>
      <c r="K2" t="e">
        <f>INDEX($B$2:$B$193, MATCH(0, COUNTIF($E$1:E1, $B$2:$B$193), 0))</f>
        <v>#N/A</v>
      </c>
    </row>
    <row r="3" spans="1:11">
      <c r="A3" t="str">
        <v>Paper description</v>
      </c>
      <c r="B3">
        <v>0</v>
      </c>
      <c r="C3" t="str">
        <v>Topic</v>
      </c>
      <c r="E3" t="str">
        <f t="array" ref="E3">INDEX(Sheet1!$A$4:$CV$4,MATCH(0,COUNTIF($E$1:E2,Sheet1!$A$4:$CV$4),0))</f>
        <v>Topic</v>
      </c>
      <c r="F3" s="200" t="s">
        <v>2602</v>
      </c>
      <c r="G3" t="str">
        <f>INDEX(Sheet1!A$2:CV$2,MATCH($E3,Sheet1!A$4:CV$4,0))</f>
        <v>Paper description</v>
      </c>
      <c r="H3" s="200" t="s">
        <v>2602</v>
      </c>
      <c r="I3" t="str">
        <f>INDEX(Sheet1!C$1:EO$1,MATCH($E3,Sheet1!C$4:EO$4,0))</f>
        <v>Metadata</v>
      </c>
    </row>
    <row r="4" spans="1:11">
      <c r="A4" s="201" t="str">
        <v>Paper description</v>
      </c>
      <c r="B4" s="201">
        <v>0</v>
      </c>
      <c r="C4" s="201" t="str">
        <v>Topic</v>
      </c>
      <c r="D4" s="201"/>
      <c r="E4" t="str">
        <f t="array" ref="E4">INDEX(Sheet1!$A$4:$CV$4,MATCH(0,COUNTIF($E$1:E3,Sheet1!$A$4:$CV$4),0))</f>
        <v>Authors</v>
      </c>
      <c r="F4" s="200" t="s">
        <v>2602</v>
      </c>
      <c r="G4" t="str">
        <f>INDEX(Sheet1!A$2:CV$2,MATCH($E4,Sheet1!A$4:CV$4,0))</f>
        <v>Paper description</v>
      </c>
      <c r="H4" s="200" t="s">
        <v>2602</v>
      </c>
      <c r="I4" t="str">
        <f>INDEX(Sheet1!C$1:EO$1,MATCH($E4,Sheet1!C$4:EO$4,0))</f>
        <v>Metadata</v>
      </c>
    </row>
    <row r="5" spans="1:11">
      <c r="A5" s="201" t="str">
        <v>Paper description</v>
      </c>
      <c r="B5" s="201">
        <v>0</v>
      </c>
      <c r="C5" s="201" t="str">
        <v>Authors</v>
      </c>
      <c r="D5" s="201"/>
      <c r="E5" t="str">
        <f t="array" ref="E5">INDEX(Sheet1!$A$4:$CV$4,MATCH(0,COUNTIF($E$1:E4,Sheet1!$A$4:$CV$4),0))</f>
        <v>Journal</v>
      </c>
      <c r="F5" s="200" t="s">
        <v>2602</v>
      </c>
      <c r="G5" t="str">
        <f>INDEX(Sheet1!A$2:CV$2,MATCH($E5,Sheet1!A$4:CV$4,0))</f>
        <v>Paper description</v>
      </c>
      <c r="H5" s="200" t="s">
        <v>2602</v>
      </c>
      <c r="I5" t="str">
        <f>INDEX(Sheet1!C$1:EO$1,MATCH($E5,Sheet1!C$4:EO$4,0))</f>
        <v>Metadata</v>
      </c>
    </row>
    <row r="6" spans="1:11">
      <c r="A6" s="201" t="str">
        <v>Paper description</v>
      </c>
      <c r="B6" s="201">
        <v>0</v>
      </c>
      <c r="C6" s="201" t="str">
        <v>Topic</v>
      </c>
      <c r="D6" s="201"/>
      <c r="E6" t="str">
        <f t="array" ref="E6">INDEX(Sheet1!$A$4:$CV$4,MATCH(0,COUNTIF($E$1:E5,Sheet1!$A$4:$CV$4),0))</f>
        <v>Exclusion</v>
      </c>
      <c r="F6" s="200" t="s">
        <v>2602</v>
      </c>
      <c r="G6" t="str">
        <f>INDEX(Sheet1!A$2:CV$2,MATCH($E6,Sheet1!A$4:CV$4,0))</f>
        <v>Protocol</v>
      </c>
      <c r="H6" s="200" t="s">
        <v>2602</v>
      </c>
      <c r="I6" t="str">
        <f>INDEX(Sheet1!C$1:EO$1,MATCH($E6,Sheet1!C$4:EO$4,0))</f>
        <v>Metadata</v>
      </c>
    </row>
    <row r="7" spans="1:11">
      <c r="A7" s="201" t="str">
        <v>Paper description</v>
      </c>
      <c r="B7" s="201">
        <v>0</v>
      </c>
      <c r="C7" s="201" t="str">
        <v>Topic</v>
      </c>
      <c r="D7" s="201"/>
      <c r="E7" t="str">
        <f t="array" ref="E7">INDEX(Sheet1!$A$4:$CV$4,MATCH(0,COUNTIF($E$1:E6,Sheet1!$A$4:$CV$4),0))</f>
        <v>Full revision</v>
      </c>
      <c r="F7" s="200" t="s">
        <v>2602</v>
      </c>
      <c r="G7" t="str">
        <f>INDEX(Sheet1!A$2:CV$2,MATCH($E7,Sheet1!A$4:CV$4,0))</f>
        <v>Extraction</v>
      </c>
      <c r="H7" s="200" t="s">
        <v>2602</v>
      </c>
      <c r="I7" t="str">
        <f>INDEX(Sheet1!C$1:EO$1,MATCH($E7,Sheet1!C$4:EO$4,0))</f>
        <v>Protocol</v>
      </c>
    </row>
    <row r="8" spans="1:11">
      <c r="A8" s="201" t="str">
        <v>Paper description</v>
      </c>
      <c r="B8" s="201">
        <v>0</v>
      </c>
      <c r="C8" s="201" t="str">
        <v>Journal</v>
      </c>
      <c r="D8" s="201"/>
      <c r="E8" t="str">
        <f t="array" ref="E8">INDEX(Sheet1!$A$4:$CV$4,MATCH(0,COUNTIF($E$1:E7,Sheet1!$A$4:$CV$4),0))</f>
        <v>Revision</v>
      </c>
      <c r="F8" s="200" t="s">
        <v>2602</v>
      </c>
      <c r="G8" t="str">
        <f>INDEX(Sheet1!A$2:CV$2,MATCH($E8,Sheet1!A$4:CV$4,0))</f>
        <v>Post-extraction</v>
      </c>
      <c r="H8" s="200" t="s">
        <v>2602</v>
      </c>
      <c r="I8" t="str">
        <f>INDEX(Sheet1!C$1:EO$1,MATCH($E8,Sheet1!C$4:EO$4,0))</f>
        <v>Protocol</v>
      </c>
    </row>
    <row r="9" spans="1:11">
      <c r="A9" s="201" t="str">
        <v>Paper description</v>
      </c>
      <c r="B9" s="201">
        <v>0</v>
      </c>
      <c r="C9" s="201" t="str">
        <v>Publication</v>
      </c>
      <c r="D9" s="201"/>
      <c r="E9">
        <f t="array" ref="E9">INDEX(Sheet1!$A$4:$CV$4,MATCH(0,COUNTIF($E$1:E8,Sheet1!$A$4:$CV$4),0))</f>
        <v>0</v>
      </c>
      <c r="F9" s="200" t="s">
        <v>2602</v>
      </c>
      <c r="G9" t="e">
        <f>INDEX(Sheet1!A$2:CV$2,MATCH($E9,Sheet1!A$4:CV$4,0))</f>
        <v>#N/A</v>
      </c>
      <c r="H9" s="200" t="s">
        <v>2602</v>
      </c>
      <c r="I9" t="e">
        <f>INDEX(Sheet1!C$1:EO$1,MATCH($E9,Sheet1!C$4:EO$4,0))</f>
        <v>#N/A</v>
      </c>
    </row>
    <row r="10" spans="1:11">
      <c r="A10" s="201" t="str">
        <v>Paper description</v>
      </c>
      <c r="B10" s="201">
        <v>0</v>
      </c>
      <c r="C10" s="201" t="str">
        <v>Publication</v>
      </c>
      <c r="D10" s="201"/>
      <c r="E10" t="str">
        <f t="array" ref="E10">INDEX(Sheet1!$A$4:$CV$4,MATCH(0,COUNTIF($E$1:E9,Sheet1!$A$4:$CV$4),0))</f>
        <v>driver description</v>
      </c>
      <c r="F10" s="200" t="s">
        <v>2602</v>
      </c>
      <c r="G10" t="str">
        <f>INDEX(Sheet1!A$2:CV$2,MATCH($E10,Sheet1!A$4:CV$4,0))</f>
        <v>Driver</v>
      </c>
      <c r="H10" s="200" t="s">
        <v>2602</v>
      </c>
      <c r="I10" t="str">
        <f>INDEX(Sheet1!C$1:EO$1,MATCH($E10,Sheet1!C$4:EO$4,0))</f>
        <v>Drivers</v>
      </c>
    </row>
    <row r="11" spans="1:11">
      <c r="A11" s="201" t="str">
        <v>Paper description</v>
      </c>
      <c r="B11" s="201">
        <v>0</v>
      </c>
      <c r="C11" s="201" t="str">
        <v>Publication</v>
      </c>
      <c r="D11" s="201"/>
      <c r="E11" t="str">
        <f t="array" ref="E11">INDEX(Sheet1!$A$4:$CV$4,MATCH(0,COUNTIF($E$1:E10,Sheet1!$A$4:$CV$4),0))</f>
        <v>Silviculture for removals</v>
      </c>
      <c r="F11" s="200" t="s">
        <v>2602</v>
      </c>
      <c r="G11" t="str">
        <f>INDEX(Sheet1!A$2:CV$2,MATCH($E11,Sheet1!A$4:CV$4,0))</f>
        <v>Change in practices</v>
      </c>
      <c r="H11" s="200" t="s">
        <v>2602</v>
      </c>
      <c r="I11" t="str">
        <f>INDEX(Sheet1!C$1:EO$1,MATCH($E11,Sheet1!C$4:EO$4,0))</f>
        <v>Drivers</v>
      </c>
    </row>
    <row r="12" spans="1:11">
      <c r="A12" s="201" t="str">
        <v>Paper description</v>
      </c>
      <c r="B12" s="201">
        <v>0</v>
      </c>
      <c r="C12" s="201" t="str">
        <v>Publication</v>
      </c>
      <c r="D12" s="201"/>
      <c r="E12" t="str">
        <f t="array" ref="E12">INDEX(Sheet1!$A$4:$CV$4,MATCH(0,COUNTIF($E$1:E11,Sheet1!$A$4:$CV$4),0))</f>
        <v>Silviculture for productivity</v>
      </c>
      <c r="F12" s="200" t="s">
        <v>2602</v>
      </c>
      <c r="G12" t="str">
        <f>INDEX(Sheet1!A$2:CV$2,MATCH($E12,Sheet1!A$4:CV$4,0))</f>
        <v>Change in practices</v>
      </c>
      <c r="H12" s="200" t="s">
        <v>2602</v>
      </c>
      <c r="I12" t="str">
        <f>INDEX(Sheet1!C$1:EO$1,MATCH($E12,Sheet1!C$4:EO$4,0))</f>
        <v>Drivers</v>
      </c>
    </row>
    <row r="13" spans="1:11">
      <c r="A13" s="201" t="str">
        <v>Paper description</v>
      </c>
      <c r="B13" s="201">
        <v>0</v>
      </c>
      <c r="C13" s="201" t="str">
        <v>Publication</v>
      </c>
      <c r="D13" s="201"/>
      <c r="E13" t="str">
        <f t="array" ref="E13">INDEX(Sheet1!$A$4:$CV$4,MATCH(0,COUNTIF($E$1:E12,Sheet1!$A$4:$CV$4),0))</f>
        <v>Supply chain</v>
      </c>
      <c r="F13" s="200" t="s">
        <v>2602</v>
      </c>
      <c r="G13" t="str">
        <f>INDEX(Sheet1!A$2:CV$2,MATCH($E13,Sheet1!A$4:CV$4,0))</f>
        <v>Change in practices</v>
      </c>
      <c r="H13" s="200" t="s">
        <v>2602</v>
      </c>
      <c r="I13" t="str">
        <f>INDEX(Sheet1!C$1:EO$1,MATCH($E13,Sheet1!C$4:EO$4,0))</f>
        <v>Drivers</v>
      </c>
    </row>
    <row r="14" spans="1:11">
      <c r="A14" s="201" t="str">
        <v>Paper description</v>
      </c>
      <c r="B14" s="201">
        <v>0</v>
      </c>
      <c r="C14" s="201" t="str">
        <v>Authors</v>
      </c>
      <c r="D14" s="201"/>
      <c r="E14" t="str">
        <f t="array" ref="E14">INDEX(Sheet1!$A$4:$CV$4,MATCH(0,COUNTIF($E$1:E13,Sheet1!$A$4:$CV$4),0))</f>
        <v>Technology</v>
      </c>
      <c r="F14" s="200" t="s">
        <v>2602</v>
      </c>
      <c r="G14" t="str">
        <f>INDEX(Sheet1!A$2:CV$2,MATCH($E14,Sheet1!A$4:CV$4,0))</f>
        <v>Change in practices</v>
      </c>
      <c r="H14" s="200" t="s">
        <v>2602</v>
      </c>
      <c r="I14" t="str">
        <f>INDEX(Sheet1!C$1:EO$1,MATCH($E14,Sheet1!C$4:EO$4,0))</f>
        <v>Drivers</v>
      </c>
      <c r="J14" s="202" t="s">
        <v>22</v>
      </c>
    </row>
    <row r="15" spans="1:11">
      <c r="A15" s="201" t="str">
        <v>Protocol</v>
      </c>
      <c r="B15" s="201">
        <v>0</v>
      </c>
      <c r="C15" s="201" t="str">
        <v>Exclusion</v>
      </c>
      <c r="D15" s="201"/>
      <c r="E15" t="str">
        <f t="array" ref="E15">INDEX(Sheet1!$A$4:$CV$4,MATCH(0,COUNTIF($E$1:E14,Sheet1!$A$4:$CV$4),0))</f>
        <v>Environmental change</v>
      </c>
      <c r="F15" s="202" t="s">
        <v>23</v>
      </c>
      <c r="G15" t="str">
        <f>INDEX(Sheet1!A$2:CV$2,MATCH($E15,Sheet1!A$4:CV$4,0))</f>
        <v>Environmental change</v>
      </c>
      <c r="H15" s="202" t="s">
        <v>23</v>
      </c>
      <c r="I15" t="str">
        <f>INDEX(Sheet1!C$1:EO$1,MATCH($E15,Sheet1!C$4:EO$4,0))</f>
        <v>Drivers</v>
      </c>
      <c r="J15" s="202" t="s">
        <v>22</v>
      </c>
    </row>
    <row r="16" spans="1:11">
      <c r="A16" s="201" t="str">
        <v>Extraction</v>
      </c>
      <c r="B16" s="201">
        <v>0</v>
      </c>
      <c r="C16" s="201" t="str">
        <v>Full revision</v>
      </c>
      <c r="D16" s="201"/>
      <c r="E16" t="str">
        <f t="array" ref="E16">INDEX(Sheet1!$A$4:$CV$4,MATCH(0,COUNTIF($E$1:E15,Sheet1!$A$4:$CV$4),0))</f>
        <v>Demand</v>
      </c>
      <c r="F16" s="202" t="s">
        <v>23</v>
      </c>
      <c r="G16" t="str">
        <f>INDEX(Sheet1!A$2:CV$2,MATCH($E16,Sheet1!A$4:CV$4,0))</f>
        <v>Environmental change</v>
      </c>
      <c r="H16" s="202" t="s">
        <v>23</v>
      </c>
      <c r="I16" t="str">
        <f>INDEX(Sheet1!C$1:EO$1,MATCH($E16,Sheet1!C$4:EO$4,0))</f>
        <v>Drivers</v>
      </c>
      <c r="J16" s="202" t="s">
        <v>22</v>
      </c>
    </row>
    <row r="17" spans="1:10">
      <c r="A17" s="201" t="str">
        <v>Post-extraction</v>
      </c>
      <c r="B17" s="201">
        <v>0</v>
      </c>
      <c r="C17" s="201" t="str">
        <v>Revision</v>
      </c>
      <c r="D17" s="201"/>
      <c r="E17" t="str">
        <f t="array" ref="E17">INDEX(Sheet1!$A$4:$CV$4,MATCH(0,COUNTIF($E$1:E16,Sheet1!$A$4:$CV$4),0))</f>
        <v>QC</v>
      </c>
      <c r="F17" s="202" t="s">
        <v>23</v>
      </c>
      <c r="G17" t="str">
        <f>INDEX(Sheet1!A$2:CV$2,MATCH($E17,Sheet1!A$4:CV$4,0))</f>
        <v>Post-extraction</v>
      </c>
      <c r="H17" s="202" t="s">
        <v>23</v>
      </c>
      <c r="I17" t="str">
        <f>INDEX(Sheet1!C$1:EO$1,MATCH($E17,Sheet1!C$4:EO$4,0))</f>
        <v>Protocol</v>
      </c>
      <c r="J17" s="202" t="s">
        <v>22</v>
      </c>
    </row>
    <row r="18" spans="1:10">
      <c r="A18" s="201" t="str">
        <v>Extraction round</v>
      </c>
      <c r="B18" s="201">
        <v>0</v>
      </c>
      <c r="C18" s="201">
        <v>0</v>
      </c>
      <c r="D18" s="201"/>
      <c r="E18" t="str">
        <f t="array" ref="E18">INDEX(Sheet1!$A$4:$CV$4,MATCH(0,COUNTIF($E$1:E17,Sheet1!$A$4:$CV$4),0))</f>
        <v>All</v>
      </c>
      <c r="F18" s="202" t="s">
        <v>23</v>
      </c>
      <c r="G18" t="str">
        <f>INDEX(Sheet1!A$2:CV$2,MATCH($E18,Sheet1!A$4:CV$4,0))</f>
        <v>QC</v>
      </c>
      <c r="H18" s="202" t="s">
        <v>23</v>
      </c>
      <c r="I18" t="str">
        <f>INDEX(Sheet1!C$1:EO$1,MATCH($E18,Sheet1!C$4:EO$4,0))</f>
        <v>Protocol</v>
      </c>
      <c r="J18" s="202" t="s">
        <v>22</v>
      </c>
    </row>
    <row r="19" spans="1:10">
      <c r="A19" s="201">
        <v>0</v>
      </c>
      <c r="B19" s="201">
        <v>0</v>
      </c>
      <c r="C19" s="201">
        <v>0</v>
      </c>
      <c r="D19" s="201"/>
      <c r="E19" t="str">
        <f t="array" ref="E19">INDEX(Sheet1!$A$4:$CV$4,MATCH(0,COUNTIF($E$1:E18,Sheet1!$A$4:$CV$4),0))</f>
        <v>AllEnvir</v>
      </c>
      <c r="F19" s="200" t="s">
        <v>2602</v>
      </c>
      <c r="G19" t="str">
        <f>INDEX(Sheet1!A$2:CV$2,MATCH($E19,Sheet1!A$4:CV$4,0))</f>
        <v>QC</v>
      </c>
      <c r="H19" s="200" t="s">
        <v>2602</v>
      </c>
      <c r="I19" t="str">
        <f>INDEX(Sheet1!C$1:EO$1,MATCH($E19,Sheet1!C$4:EO$4,0))</f>
        <v>Protocol</v>
      </c>
      <c r="J19" s="202" t="s">
        <v>23</v>
      </c>
    </row>
    <row r="20" spans="1:10">
      <c r="A20" s="201" t="str">
        <v>Driver</v>
      </c>
      <c r="B20" s="201">
        <v>0</v>
      </c>
      <c r="C20" s="201" t="str">
        <v>driver description</v>
      </c>
      <c r="D20" s="201"/>
      <c r="E20" t="str">
        <f t="array" ref="E20">INDEX(Sheet1!$A$4:$CV$4,MATCH(0,COUNTIF($E$1:E19,Sheet1!$A$4:$CV$4),0))</f>
        <v>MainDriver</v>
      </c>
      <c r="F20" s="203" t="s">
        <v>61</v>
      </c>
      <c r="G20" t="str">
        <f>INDEX(Sheet1!A$2:CV$2,MATCH($E20,Sheet1!A$4:CV$4,0))</f>
        <v>Driver</v>
      </c>
      <c r="H20" s="203" t="s">
        <v>61</v>
      </c>
      <c r="I20" t="str">
        <f>INDEX(Sheet1!C$1:EO$1,MATCH($E20,Sheet1!C$4:EO$4,0))</f>
        <v>Drivers</v>
      </c>
      <c r="J20" s="202" t="s">
        <v>24</v>
      </c>
    </row>
    <row r="21" spans="1:10">
      <c r="A21" s="201" t="str">
        <v>Driver</v>
      </c>
      <c r="B21" s="201">
        <v>0</v>
      </c>
      <c r="C21" s="201" t="str">
        <v>driver description</v>
      </c>
      <c r="D21" s="201"/>
      <c r="E21" t="str">
        <f t="array" ref="E21">INDEX(Sheet1!$A$4:$CV$4,MATCH(0,COUNTIF($E$1:E20,Sheet1!$A$4:$CV$4),0))</f>
        <v>Wood amount</v>
      </c>
      <c r="F21" s="203" t="s">
        <v>61</v>
      </c>
      <c r="G21" t="str">
        <f>INDEX(Sheet1!A$2:CV$2,MATCH($E21,Sheet1!A$4:CV$4,0))</f>
        <v>Carbon_outcome</v>
      </c>
      <c r="H21" s="203" t="s">
        <v>61</v>
      </c>
      <c r="I21" t="str">
        <f>INDEX(Sheet1!C$1:EO$1,MATCH($E21,Sheet1!C$4:EO$4,0))</f>
        <v>Outcomes</v>
      </c>
      <c r="J21" s="202" t="s">
        <v>25</v>
      </c>
    </row>
    <row r="22" spans="1:10">
      <c r="A22" s="201" t="str">
        <v>Driver</v>
      </c>
      <c r="B22" s="201">
        <v>0</v>
      </c>
      <c r="C22" s="201" t="str">
        <v>driver description</v>
      </c>
      <c r="D22" s="201"/>
      <c r="E22" t="str">
        <f t="array" ref="E22">INDEX(Sheet1!$A$4:$CV$4,MATCH(0,COUNTIF($E$1:E21,Sheet1!$A$4:$CV$4),0))</f>
        <v>Cumulated C balance</v>
      </c>
      <c r="F22" s="204" t="s">
        <v>2603</v>
      </c>
      <c r="G22" t="str">
        <f>INDEX(Sheet1!A$2:CV$2,MATCH($E22,Sheet1!A$4:CV$4,0))</f>
        <v>Carbon_outcome</v>
      </c>
      <c r="H22" s="205" t="s">
        <v>2604</v>
      </c>
      <c r="I22" t="str">
        <f>INDEX(Sheet1!C$1:EO$1,MATCH($E22,Sheet1!C$4:EO$4,0))</f>
        <v>Outcomes</v>
      </c>
      <c r="J22" s="202" t="s">
        <v>26</v>
      </c>
    </row>
    <row r="23" spans="1:10">
      <c r="A23" s="201" t="str">
        <v>Change in practices</v>
      </c>
      <c r="B23" s="201" t="str">
        <v>#CAACCB</v>
      </c>
      <c r="C23" s="201" t="str">
        <v>Silviculture for removals</v>
      </c>
      <c r="D23" s="201"/>
      <c r="E23" t="str">
        <f t="array" ref="E23">INDEX(Sheet1!$A$4:$CV$4,MATCH(0,COUNTIF($E$1:E22,Sheet1!$A$4:$CV$4),0))</f>
        <v>Substitution coefficient</v>
      </c>
      <c r="F23" s="206" t="s">
        <v>2605</v>
      </c>
      <c r="G23">
        <f>INDEX(Sheet1!A$2:CV$2,MATCH($E23,Sheet1!A$4:CV$4,0))</f>
        <v>0</v>
      </c>
      <c r="H23" s="205" t="s">
        <v>2604</v>
      </c>
      <c r="I23" t="str">
        <f>INDEX(Sheet1!C$1:EO$1,MATCH($E23,Sheet1!C$4:EO$4,0))</f>
        <v>Outcomes</v>
      </c>
    </row>
    <row r="24" spans="1:10">
      <c r="A24" s="201" t="str">
        <v>Change in practices</v>
      </c>
      <c r="B24" s="201" t="str">
        <v>#CAACCB</v>
      </c>
      <c r="C24" s="201" t="str">
        <v>Silviculture for removals</v>
      </c>
      <c r="D24" s="201"/>
      <c r="E24" t="str">
        <f t="array" ref="E24">INDEX(Sheet1!$A$4:$CV$4,MATCH(0,COUNTIF($E$1:E23,Sheet1!$A$4:$CV$4),0))</f>
        <v>LCAOutcomes</v>
      </c>
      <c r="F24" s="205" t="s">
        <v>2604</v>
      </c>
      <c r="G24" t="str">
        <f>INDEX(Sheet1!A$2:CV$2,MATCH($E24,Sheet1!A$4:CV$4,0))</f>
        <v>Non_c_outcomes</v>
      </c>
      <c r="H24" s="205" t="s">
        <v>2604</v>
      </c>
      <c r="I24" t="str">
        <f>INDEX(Sheet1!C$1:EO$1,MATCH($E24,Sheet1!C$4:EO$4,0))</f>
        <v>Outcomes</v>
      </c>
      <c r="J24" s="207" t="s">
        <v>19</v>
      </c>
    </row>
    <row r="25" spans="1:10">
      <c r="A25" s="201" t="str">
        <v>Change in practices</v>
      </c>
      <c r="B25" s="201" t="str">
        <v>#CAACCB</v>
      </c>
      <c r="C25" s="201" t="str">
        <v>Silviculture for removals</v>
      </c>
      <c r="D25" s="201"/>
      <c r="E25" t="str">
        <f t="array" ref="E25">INDEX(Sheet1!$A$4:$CV$4,MATCH(0,COUNTIF($E$1:E24,Sheet1!$A$4:$CV$4),0))</f>
        <v>biogeochemicalOutcomes</v>
      </c>
      <c r="F25" s="200" t="s">
        <v>2602</v>
      </c>
      <c r="G25" t="str">
        <f>INDEX(Sheet1!A$2:CV$2,MATCH($E25,Sheet1!A$4:CV$4,0))</f>
        <v>Non_c_outcomes</v>
      </c>
      <c r="H25" s="200" t="s">
        <v>2602</v>
      </c>
      <c r="I25" t="str">
        <f>INDEX(Sheet1!C$1:EO$1,MATCH($E25,Sheet1!C$4:EO$4,0))</f>
        <v>Outcomes</v>
      </c>
      <c r="J25" s="207" t="s">
        <v>19</v>
      </c>
    </row>
    <row r="26" spans="1:10">
      <c r="A26" s="201" t="str">
        <v>Change in practices</v>
      </c>
      <c r="B26" s="201" t="str">
        <v>#CAACCB</v>
      </c>
      <c r="C26" s="201" t="str">
        <v>Silviculture for removals</v>
      </c>
      <c r="D26" s="201"/>
      <c r="E26" t="str">
        <f t="array" ref="E26">INDEX(Sheet1!$A$4:$CV$4,MATCH(0,COUNTIF($E$1:E25,Sheet1!$A$4:$CV$4),0))</f>
        <v>biophysicalOutcomes</v>
      </c>
      <c r="F26" s="200" t="s">
        <v>2602</v>
      </c>
      <c r="G26" t="str">
        <f>INDEX(Sheet1!A$2:CV$2,MATCH($E26,Sheet1!A$4:CV$4,0))</f>
        <v>Non_c_outcomes</v>
      </c>
      <c r="H26" s="200" t="s">
        <v>2602</v>
      </c>
      <c r="I26" t="str">
        <f>INDEX(Sheet1!C$1:EO$1,MATCH($E26,Sheet1!C$4:EO$4,0))</f>
        <v>Outcomes</v>
      </c>
      <c r="J26" s="207" t="s">
        <v>19</v>
      </c>
    </row>
    <row r="27" spans="1:10">
      <c r="A27" s="201" t="str">
        <v>Change in practices</v>
      </c>
      <c r="B27" s="201" t="str">
        <v>#CAACCB</v>
      </c>
      <c r="C27" s="201" t="str">
        <v>Silviculture for productivity</v>
      </c>
      <c r="D27" s="201"/>
      <c r="E27" t="str">
        <f t="array" ref="E27">INDEX(Sheet1!$A$4:$CV$4,MATCH(0,COUNTIF($E$1:E26,Sheet1!$A$4:$CV$4),0))</f>
        <v>ecologicalOutcomes</v>
      </c>
      <c r="F27" s="208" t="s">
        <v>57</v>
      </c>
      <c r="G27" t="str">
        <f>INDEX(Sheet1!A$2:CV$2,MATCH($E27,Sheet1!A$4:CV$4,0))</f>
        <v>Non_c_outcomes</v>
      </c>
      <c r="H27" s="207" t="s">
        <v>19</v>
      </c>
      <c r="I27" t="str">
        <f>INDEX(Sheet1!C$1:EO$1,MATCH($E27,Sheet1!C$4:EO$4,0))</f>
        <v>Outcomes</v>
      </c>
      <c r="J27" s="207" t="s">
        <v>19</v>
      </c>
    </row>
    <row r="28" spans="1:10">
      <c r="A28" s="201" t="str">
        <v>Change in practices</v>
      </c>
      <c r="B28" s="201" t="str">
        <v>#CAACCB</v>
      </c>
      <c r="C28" s="201" t="str">
        <v>Silviculture for productivity</v>
      </c>
      <c r="D28" s="201"/>
      <c r="E28" t="str">
        <f t="array" ref="E28">INDEX(Sheet1!$A$4:$CV$4,MATCH(0,COUNTIF($E$1:E27,Sheet1!$A$4:$CV$4),0))</f>
        <v>economicalOutcomes</v>
      </c>
      <c r="F28" s="207" t="s">
        <v>19</v>
      </c>
      <c r="G28" t="str">
        <f>INDEX(Sheet1!A$2:CV$2,MATCH($E28,Sheet1!A$4:CV$4,0))</f>
        <v>Non_c_outcomes</v>
      </c>
      <c r="H28" s="207" t="s">
        <v>19</v>
      </c>
      <c r="I28" t="str">
        <f>INDEX(Sheet1!C$1:EO$1,MATCH($E28,Sheet1!C$4:EO$4,0))</f>
        <v>Outcomes</v>
      </c>
      <c r="J28" s="207" t="s">
        <v>19</v>
      </c>
    </row>
    <row r="29" spans="1:10">
      <c r="A29" s="201" t="str">
        <v>Change in practices</v>
      </c>
      <c r="B29" s="201" t="str">
        <v>#CAACCB</v>
      </c>
      <c r="C29" s="201" t="str">
        <v>Silviculture for productivity</v>
      </c>
      <c r="D29" s="201"/>
      <c r="E29" t="str">
        <f t="array" ref="E29">INDEX(Sheet1!$A$4:$CV$4,MATCH(0,COUNTIF($E$1:E28,Sheet1!$A$4:$CV$4),0))</f>
        <v>Carbon_outcome</v>
      </c>
      <c r="F29" s="209" t="s">
        <v>58</v>
      </c>
      <c r="G29" t="str">
        <f>INDEX(Sheet1!A$2:CV$2,MATCH($E29,Sheet1!A$4:CV$4,0))</f>
        <v>DataCorrection</v>
      </c>
      <c r="H29" s="207" t="s">
        <v>19</v>
      </c>
      <c r="I29" t="str">
        <f>INDEX(Sheet1!C$1:EO$1,MATCH($E29,Sheet1!C$4:EO$4,0))</f>
        <v>Outcomes</v>
      </c>
      <c r="J29" s="207" t="s">
        <v>19</v>
      </c>
    </row>
    <row r="30" spans="1:10">
      <c r="A30" s="201" t="str">
        <v>Change in practices</v>
      </c>
      <c r="B30" s="201" t="str">
        <v>#CAACCB</v>
      </c>
      <c r="C30" s="201" t="str">
        <v>Silviculture for productivity</v>
      </c>
      <c r="D30" s="201"/>
      <c r="E30" t="e">
        <f t="array" ref="E30">INDEX(Sheet1!$A$4:$CV$4,MATCH(0,COUNTIF($E$1:E29,Sheet1!$A$4:$CV$4),0))</f>
        <v>#N/A</v>
      </c>
      <c r="F30" s="210" t="s">
        <v>59</v>
      </c>
      <c r="G30" t="e">
        <f>INDEX(Sheet1!A$2:CV$2,MATCH($E30,Sheet1!A$4:CV$4,0))</f>
        <v>#N/A</v>
      </c>
      <c r="H30" s="211" t="s">
        <v>60</v>
      </c>
      <c r="I30" t="e">
        <f>INDEX(Sheet1!C$1:EO$1,MATCH($E30,Sheet1!C$4:EO$4,0))</f>
        <v>#N/A</v>
      </c>
      <c r="J30" s="207" t="s">
        <v>19</v>
      </c>
    </row>
    <row r="31" spans="1:10">
      <c r="A31" s="201" t="str">
        <v>Change in practices</v>
      </c>
      <c r="B31" s="201" t="str">
        <v>#CAACCB</v>
      </c>
      <c r="C31" s="201" t="str">
        <v>Supply chain</v>
      </c>
      <c r="D31" s="201"/>
      <c r="E31" t="e">
        <f t="array" ref="E31">INDEX(Sheet1!$A$4:$CV$4,MATCH(0,COUNTIF($E$1:E30,Sheet1!$A$4:$CV$4),0))</f>
        <v>#N/A</v>
      </c>
      <c r="F31" s="211" t="s">
        <v>60</v>
      </c>
      <c r="G31" t="e">
        <f>INDEX(Sheet1!A$2:CV$2,MATCH($E31,Sheet1!A$4:CV$4,0))</f>
        <v>#N/A</v>
      </c>
      <c r="H31" s="211" t="s">
        <v>60</v>
      </c>
      <c r="I31" t="e">
        <f>INDEX(Sheet1!C$1:EO$1,MATCH($E31,Sheet1!C$4:EO$4,0))</f>
        <v>#N/A</v>
      </c>
    </row>
    <row r="32" spans="1:10">
      <c r="A32" s="201" t="str">
        <v>Change in practices</v>
      </c>
      <c r="B32" s="201" t="str">
        <v>#CAACCB</v>
      </c>
      <c r="C32" s="201" t="str">
        <v>Supply chain</v>
      </c>
      <c r="D32" s="201"/>
      <c r="E32" t="e">
        <f t="array" ref="E32">INDEX(Sheet1!$A$4:$CV$4,MATCH(0,COUNTIF($E$1:E31,Sheet1!$A$4:$CV$4),0))</f>
        <v>#N/A</v>
      </c>
      <c r="F32" s="211" t="s">
        <v>60</v>
      </c>
      <c r="G32" t="e">
        <f>INDEX(Sheet1!A$2:CV$2,MATCH($E32,Sheet1!A$4:CV$4,0))</f>
        <v>#N/A</v>
      </c>
      <c r="H32" s="211" t="s">
        <v>60</v>
      </c>
      <c r="I32" t="e">
        <f>INDEX(Sheet1!C$1:EO$1,MATCH($E32,Sheet1!C$4:EO$4,0))</f>
        <v>#N/A</v>
      </c>
    </row>
    <row r="33" spans="1:9">
      <c r="A33" s="201" t="str">
        <v>Change in practices</v>
      </c>
      <c r="B33" s="201" t="str">
        <v>#CAACCB</v>
      </c>
      <c r="C33" s="201" t="str">
        <v>Supply chain</v>
      </c>
      <c r="D33" s="201"/>
      <c r="E33" t="e">
        <f t="array" ref="E33">INDEX(Sheet1!$A$4:$CV$4,MATCH(0,COUNTIF($E$1:E32,Sheet1!$A$4:$CV$4),0))</f>
        <v>#N/A</v>
      </c>
      <c r="F33" s="212" t="s">
        <v>2606</v>
      </c>
      <c r="G33" t="e">
        <f>INDEX(Sheet1!A$2:CV$2,MATCH($E33,Sheet1!A$4:CV$4,0))</f>
        <v>#N/A</v>
      </c>
      <c r="H33" s="212" t="s">
        <v>2606</v>
      </c>
      <c r="I33" t="e">
        <f>INDEX(Sheet1!C$1:EO$1,MATCH($E33,Sheet1!C$4:EO$4,0))</f>
        <v>#N/A</v>
      </c>
    </row>
    <row r="34" spans="1:9">
      <c r="A34" s="201" t="str">
        <v>Change in practices</v>
      </c>
      <c r="B34" s="201" t="str">
        <v>#CAACCB</v>
      </c>
      <c r="C34" s="201" t="str">
        <v>Supply chain</v>
      </c>
      <c r="D34" s="201"/>
      <c r="E34" t="e">
        <f t="array" ref="E34">INDEX(Sheet1!$A$4:$CV$4,MATCH(0,COUNTIF($E$1:E33,Sheet1!$A$4:$CV$4),0))</f>
        <v>#N/A</v>
      </c>
      <c r="F34" s="212" t="s">
        <v>2606</v>
      </c>
      <c r="G34" t="e">
        <f>INDEX(Sheet1!A$2:CV$2,MATCH($E34,Sheet1!A$4:CV$4,0))</f>
        <v>#N/A</v>
      </c>
      <c r="H34" s="212" t="s">
        <v>2606</v>
      </c>
      <c r="I34" t="e">
        <f>INDEX(Sheet1!C$1:EO$1,MATCH($E34,Sheet1!C$4:EO$4,0))</f>
        <v>#N/A</v>
      </c>
    </row>
    <row r="35" spans="1:9">
      <c r="A35" s="201" t="str">
        <v>Change in practices</v>
      </c>
      <c r="B35" s="201" t="str">
        <v>#CAACCB</v>
      </c>
      <c r="C35" s="201" t="str">
        <v>Supply chain</v>
      </c>
      <c r="D35" s="201"/>
      <c r="E35" t="e">
        <f t="array" ref="E35">INDEX(Sheet1!$A$4:$CV$4,MATCH(0,COUNTIF($E$1:E34,Sheet1!$A$4:$CV$4),0))</f>
        <v>#N/A</v>
      </c>
      <c r="F35" s="212" t="s">
        <v>2606</v>
      </c>
      <c r="G35" t="e">
        <f>INDEX(Sheet1!A$2:CV$2,MATCH($E35,Sheet1!A$4:CV$4,0))</f>
        <v>#N/A</v>
      </c>
      <c r="H35" s="212" t="s">
        <v>2606</v>
      </c>
      <c r="I35" t="e">
        <f>INDEX(Sheet1!C$1:EO$1,MATCH($E35,Sheet1!C$4:EO$4,0))</f>
        <v>#N/A</v>
      </c>
    </row>
    <row r="36" spans="1:9">
      <c r="A36" s="201" t="str">
        <v>Change in practices</v>
      </c>
      <c r="B36" s="201" t="str">
        <v>#CAACCB</v>
      </c>
      <c r="C36" s="201" t="str">
        <v>Supply chain</v>
      </c>
      <c r="D36" s="201"/>
      <c r="E36" t="e">
        <f t="array" ref="E36">INDEX(Sheet1!$A$4:$CV$4,MATCH(0,COUNTIF($E$1:E35,Sheet1!$A$4:$CV$4),0))</f>
        <v>#N/A</v>
      </c>
      <c r="F36" s="212" t="s">
        <v>2606</v>
      </c>
      <c r="G36" t="e">
        <f>INDEX(Sheet1!A$2:CV$2,MATCH($E36,Sheet1!A$4:CV$4,0))</f>
        <v>#N/A</v>
      </c>
      <c r="H36" s="212" t="s">
        <v>2606</v>
      </c>
      <c r="I36" t="e">
        <f>INDEX(Sheet1!C$1:EO$1,MATCH($E36,Sheet1!C$4:EO$4,0))</f>
        <v>#N/A</v>
      </c>
    </row>
    <row r="37" spans="1:9">
      <c r="A37" s="201" t="str">
        <v>Change in practices</v>
      </c>
      <c r="B37" s="201" t="str">
        <v>#CAACCB</v>
      </c>
      <c r="C37" s="201" t="str">
        <v>Technology</v>
      </c>
      <c r="D37" s="201"/>
      <c r="E37" t="e">
        <f t="array" ref="E37">INDEX(Sheet1!$A$4:$CV$4,MATCH(0,COUNTIF($E$1:E36,Sheet1!$A$4:$CV$4),0))</f>
        <v>#N/A</v>
      </c>
      <c r="F37" s="213" t="s">
        <v>2607</v>
      </c>
      <c r="G37" t="e">
        <f>INDEX(Sheet1!A$2:CV$2,MATCH($E37,Sheet1!A$4:CV$4,0))</f>
        <v>#N/A</v>
      </c>
      <c r="H37" s="212" t="s">
        <v>2606</v>
      </c>
      <c r="I37" t="e">
        <f>INDEX(Sheet1!C$1:EO$1,MATCH($E37,Sheet1!C$4:EO$4,0))</f>
        <v>#N/A</v>
      </c>
    </row>
    <row r="38" spans="1:9">
      <c r="A38" s="201" t="str">
        <v>Change in practices</v>
      </c>
      <c r="B38" s="201" t="str">
        <v>#CAACCB</v>
      </c>
      <c r="C38" s="201" t="str">
        <v>Technology</v>
      </c>
      <c r="D38" s="201"/>
      <c r="E38" t="e">
        <f t="array" ref="E38">INDEX(Sheet1!$A$4:$CV$4,MATCH(0,COUNTIF($E$1:E37,Sheet1!$A$4:$CV$4),0))</f>
        <v>#N/A</v>
      </c>
      <c r="F38" s="214" t="s">
        <v>2608</v>
      </c>
      <c r="G38" t="e">
        <f>INDEX(Sheet1!A$2:CV$2,MATCH($E38,Sheet1!A$4:CV$4,0))</f>
        <v>#N/A</v>
      </c>
      <c r="H38" s="212" t="s">
        <v>2606</v>
      </c>
      <c r="I38" t="e">
        <f>INDEX(Sheet1!C$1:EO$1,MATCH($E38,Sheet1!C$4:EO$4,0))</f>
        <v>#N/A</v>
      </c>
    </row>
    <row r="39" spans="1:9">
      <c r="A39" s="201" t="str">
        <v>Change in practices</v>
      </c>
      <c r="B39" s="201" t="str">
        <v>#CAACCB</v>
      </c>
      <c r="C39" s="201" t="str">
        <v>Technology</v>
      </c>
      <c r="D39" s="201"/>
      <c r="E39" t="e">
        <f t="array" ref="E39">INDEX(Sheet1!$A$4:$CV$4,MATCH(0,COUNTIF($E$1:E38,Sheet1!$A$4:$CV$4),0))</f>
        <v>#N/A</v>
      </c>
      <c r="F39" s="215" t="s">
        <v>2609</v>
      </c>
      <c r="G39" t="e">
        <f>INDEX(Sheet1!A$2:CV$2,MATCH($E39,Sheet1!A$4:CV$4,0))</f>
        <v>#N/A</v>
      </c>
      <c r="H39" s="212" t="s">
        <v>2606</v>
      </c>
      <c r="I39" t="e">
        <f>INDEX(Sheet1!C$1:EO$1,MATCH($E39,Sheet1!C$4:EO$4,0))</f>
        <v>#N/A</v>
      </c>
    </row>
    <row r="40" spans="1:9">
      <c r="A40" s="201" t="str">
        <v>Environmental change</v>
      </c>
      <c r="B40" s="201" t="str">
        <v>#994F93</v>
      </c>
      <c r="C40" s="201" t="str">
        <v>Environmental change</v>
      </c>
      <c r="D40" s="201"/>
      <c r="E40" t="e">
        <f t="array" ref="E40">INDEX(Sheet1!$A$4:$CV$4,MATCH(0,COUNTIF($E$1:E39,Sheet1!$A$4:$CV$4),0))</f>
        <v>#N/A</v>
      </c>
      <c r="G40" t="e">
        <f>INDEX(Sheet1!A$2:CV$2,MATCH($E40,Sheet1!A$4:CV$4,0))</f>
        <v>#N/A</v>
      </c>
      <c r="I40" t="e">
        <f>INDEX(Sheet1!A$4:CV$4,MATCH($E40,Sheet1!A$7:CV$7,0))</f>
        <v>#N/A</v>
      </c>
    </row>
    <row r="41" spans="1:9">
      <c r="A41" s="201" t="str">
        <v>Environmental change</v>
      </c>
      <c r="B41" s="201" t="str">
        <v>#994F93</v>
      </c>
      <c r="C41" s="201" t="str">
        <v>Environmental change</v>
      </c>
      <c r="D41" s="201"/>
      <c r="E41" t="e">
        <f t="array" ref="E41">INDEX(Sheet1!$A$4:$CV$4,MATCH(0,COUNTIF($E$1:E40,Sheet1!$A$4:$CV$4),0))</f>
        <v>#N/A</v>
      </c>
      <c r="G41" t="e">
        <f>INDEX(Sheet1!A$2:CV$2,MATCH($E41,Sheet1!A$4:CV$4,0))</f>
        <v>#N/A</v>
      </c>
      <c r="I41" t="e">
        <f>INDEX(Sheet1!A$4:CV$4,MATCH($E41,Sheet1!A$7:CV$7,0))</f>
        <v>#N/A</v>
      </c>
    </row>
    <row r="42" spans="1:9">
      <c r="A42" s="201" t="str">
        <v>Environmental change</v>
      </c>
      <c r="B42" s="201" t="str">
        <v>#994F93</v>
      </c>
      <c r="C42" s="201" t="str">
        <v>Environmental change</v>
      </c>
      <c r="D42" s="201"/>
      <c r="E42" t="e">
        <f t="array" ref="E42">INDEX(Sheet1!$A$4:$CV$4,MATCH(0,COUNTIF($E$1:E41,Sheet1!$A$4:$CV$4),0))</f>
        <v>#N/A</v>
      </c>
      <c r="G42" t="e">
        <f>INDEX(Sheet1!A$2:CV$2,MATCH($E42,Sheet1!A$4:CV$4,0))</f>
        <v>#N/A</v>
      </c>
      <c r="I42" t="e">
        <f>INDEX(Sheet1!A$4:CV$4,MATCH($E42,Sheet1!A$7:CV$7,0))</f>
        <v>#N/A</v>
      </c>
    </row>
    <row r="43" spans="1:9">
      <c r="A43" s="201" t="str">
        <v>Environmental change</v>
      </c>
      <c r="B43" s="201" t="str">
        <v>#994F93</v>
      </c>
      <c r="C43" s="201" t="str">
        <v>Environmental change</v>
      </c>
      <c r="D43" s="201"/>
      <c r="E43" t="e">
        <f t="array" ref="E43">INDEX(Sheet1!$A$4:$CV$4,MATCH(0,COUNTIF($E$1:E42,Sheet1!$A$4:$CV$4),0))</f>
        <v>#N/A</v>
      </c>
      <c r="G43" t="e">
        <f>INDEX(Sheet1!A$2:CV$2,MATCH($E43,Sheet1!A$4:CV$4,0))</f>
        <v>#N/A</v>
      </c>
      <c r="I43" t="e">
        <f>INDEX(Sheet1!A$4:CV$4,MATCH($E43,Sheet1!A$7:CV$7,0))</f>
        <v>#N/A</v>
      </c>
    </row>
    <row r="44" spans="1:9">
      <c r="A44" s="201" t="str">
        <v>Environmental change</v>
      </c>
      <c r="B44" s="201" t="str">
        <v>#994F93</v>
      </c>
      <c r="C44" s="201" t="str">
        <v>Environmental change</v>
      </c>
      <c r="D44" s="201"/>
      <c r="E44" t="e">
        <f t="array" ref="E44">INDEX(Sheet1!$A$4:$CV$4,MATCH(0,COUNTIF($E$1:E43,Sheet1!$A$4:$CV$4),0))</f>
        <v>#N/A</v>
      </c>
      <c r="G44" t="e">
        <f>INDEX(Sheet1!A$2:CV$2,MATCH($E44,Sheet1!A$4:CV$4,0))</f>
        <v>#N/A</v>
      </c>
      <c r="I44" t="e">
        <f>INDEX(Sheet1!A$4:CV$4,MATCH($E44,Sheet1!A$7:CV$7,0))</f>
        <v>#N/A</v>
      </c>
    </row>
    <row r="45" spans="1:9">
      <c r="A45" s="201" t="str">
        <v>Environmental change</v>
      </c>
      <c r="B45" s="201" t="str">
        <v>#994F93</v>
      </c>
      <c r="C45" s="201" t="str">
        <v>Environmental change</v>
      </c>
      <c r="D45" s="201"/>
      <c r="E45" t="e">
        <f t="array" ref="E45">INDEX(Sheet1!$A$4:$CV$4,MATCH(0,COUNTIF($E$1:E44,Sheet1!$A$4:$CV$4),0))</f>
        <v>#N/A</v>
      </c>
      <c r="I45"/>
    </row>
    <row r="46" spans="1:9">
      <c r="A46" s="201" t="str">
        <v>Environmental change</v>
      </c>
      <c r="B46" s="201" t="str">
        <v>#994F93</v>
      </c>
      <c r="C46" s="201" t="str">
        <v>Demand</v>
      </c>
      <c r="D46" s="201"/>
      <c r="E46" t="e">
        <f t="array" ref="E46">INDEX(Sheet1!$A$4:$CV$4,MATCH(0,COUNTIF($E$1:E45,Sheet1!$A$4:$CV$4),0))</f>
        <v>#N/A</v>
      </c>
      <c r="I46"/>
    </row>
    <row r="47" spans="1:9">
      <c r="A47" s="201" t="str">
        <v>Environmental change</v>
      </c>
      <c r="B47" s="201" t="str">
        <v>#994F93</v>
      </c>
      <c r="C47" s="201" t="str">
        <v>Demand</v>
      </c>
      <c r="D47" s="201"/>
      <c r="I47"/>
    </row>
    <row r="48" spans="1:9">
      <c r="A48" s="201" t="str">
        <v>Environmental change</v>
      </c>
      <c r="B48" s="201" t="str">
        <v>#994F93</v>
      </c>
      <c r="C48" s="201" t="str">
        <v>Demand</v>
      </c>
      <c r="D48" s="201"/>
      <c r="I48"/>
    </row>
    <row r="49" spans="1:9">
      <c r="A49" s="201" t="str">
        <v>Environmental change</v>
      </c>
      <c r="B49" s="201" t="str">
        <v>#994F93</v>
      </c>
      <c r="C49" s="201" t="str">
        <v>Demand</v>
      </c>
      <c r="D49" s="201"/>
      <c r="I49"/>
    </row>
    <row r="50" spans="1:9">
      <c r="A50" s="201" t="str">
        <v>Environmental change</v>
      </c>
      <c r="B50" s="201" t="str">
        <v>#994F93</v>
      </c>
      <c r="C50" s="201" t="str">
        <v>Demand</v>
      </c>
      <c r="D50" s="201"/>
      <c r="I50"/>
    </row>
    <row r="51" spans="1:9">
      <c r="A51" s="201" t="str">
        <v>Post-extraction</v>
      </c>
      <c r="B51" s="201">
        <v>0</v>
      </c>
      <c r="C51" s="201" t="str">
        <v>QC</v>
      </c>
      <c r="D51" s="201"/>
      <c r="I51"/>
    </row>
    <row r="52" spans="1:9">
      <c r="A52" s="201" t="str">
        <v>QC</v>
      </c>
      <c r="B52" s="201">
        <v>0</v>
      </c>
      <c r="C52" s="201" t="str">
        <v>All</v>
      </c>
      <c r="D52" s="201"/>
      <c r="I52"/>
    </row>
    <row r="53" spans="1:9">
      <c r="A53" s="201">
        <v>0</v>
      </c>
      <c r="B53" s="201">
        <v>0</v>
      </c>
      <c r="C53" s="201">
        <v>0</v>
      </c>
      <c r="D53" s="201"/>
      <c r="I53"/>
    </row>
    <row r="54" spans="1:9">
      <c r="A54" s="201">
        <v>0</v>
      </c>
      <c r="B54" s="201">
        <v>0</v>
      </c>
      <c r="C54" s="201">
        <v>0</v>
      </c>
      <c r="D54" s="201"/>
      <c r="I54"/>
    </row>
    <row r="55" spans="1:9">
      <c r="A55" s="201">
        <v>0</v>
      </c>
      <c r="B55" s="201">
        <v>0</v>
      </c>
      <c r="C55" s="201">
        <v>0</v>
      </c>
      <c r="D55" s="201"/>
      <c r="I55"/>
    </row>
    <row r="56" spans="1:9">
      <c r="A56" s="201" t="str">
        <v>QC</v>
      </c>
      <c r="B56" s="201">
        <v>0</v>
      </c>
      <c r="C56" s="201" t="str">
        <v>AllEnvir</v>
      </c>
      <c r="D56" s="201"/>
      <c r="I56"/>
    </row>
    <row r="57" spans="1:9">
      <c r="A57" s="201" t="str">
        <v>QC</v>
      </c>
      <c r="B57" s="201">
        <v>0</v>
      </c>
      <c r="C57" s="201" t="str">
        <v>AllEnvir</v>
      </c>
      <c r="D57" s="201"/>
      <c r="I57"/>
    </row>
    <row r="58" spans="1:9">
      <c r="A58" s="201" t="str">
        <v>Driver</v>
      </c>
      <c r="B58" s="201">
        <v>0</v>
      </c>
      <c r="C58" s="201" t="str">
        <v>MainDriver</v>
      </c>
      <c r="D58" s="201"/>
      <c r="I58"/>
    </row>
    <row r="59" spans="1:9">
      <c r="A59" s="201" t="str">
        <v>Driver</v>
      </c>
      <c r="B59" s="201">
        <v>0</v>
      </c>
      <c r="C59" s="201" t="str">
        <v>MainDriver</v>
      </c>
      <c r="D59" s="201"/>
      <c r="I59"/>
    </row>
    <row r="60" spans="1:9">
      <c r="A60" s="201" t="str">
        <v>Carbon_outcome</v>
      </c>
      <c r="B60" s="201">
        <v>0</v>
      </c>
      <c r="C60" s="201" t="str">
        <v>Wood amount</v>
      </c>
      <c r="D60" s="201"/>
      <c r="I60"/>
    </row>
    <row r="61" spans="1:9">
      <c r="A61" s="201" t="str">
        <v>Carbon_outcome</v>
      </c>
      <c r="B61" s="201">
        <v>0</v>
      </c>
      <c r="C61" s="201" t="str">
        <v>Wood amount</v>
      </c>
      <c r="D61" s="201"/>
      <c r="I61"/>
    </row>
    <row r="62" spans="1:9">
      <c r="A62" s="201">
        <v>0</v>
      </c>
      <c r="B62" s="201">
        <v>0</v>
      </c>
      <c r="C62" s="201">
        <v>0</v>
      </c>
      <c r="D62" s="201"/>
      <c r="I62"/>
    </row>
    <row r="63" spans="1:9">
      <c r="A63" s="201" t="str">
        <v>Carbon_outcome</v>
      </c>
      <c r="B63" s="201">
        <v>0</v>
      </c>
      <c r="C63" s="201" t="str">
        <v>Wood amount</v>
      </c>
      <c r="D63" s="201"/>
      <c r="I63"/>
    </row>
    <row r="64" spans="1:9">
      <c r="A64" s="201" t="str">
        <v>Carbon_outcome</v>
      </c>
      <c r="B64" s="201">
        <v>0</v>
      </c>
      <c r="C64" s="201" t="str">
        <v>Wood amount</v>
      </c>
      <c r="D64" s="201"/>
      <c r="I64"/>
    </row>
    <row r="65" spans="1:9">
      <c r="A65" s="201" t="str">
        <v>Carbon_outcome</v>
      </c>
      <c r="B65" s="201">
        <v>0</v>
      </c>
      <c r="C65" s="201" t="str">
        <v>Wood amount</v>
      </c>
      <c r="D65" s="201"/>
      <c r="I65"/>
    </row>
    <row r="66" spans="1:9">
      <c r="A66" s="201" t="str">
        <v>Carbon_outcome</v>
      </c>
      <c r="B66" s="201">
        <v>0</v>
      </c>
      <c r="C66" s="201" t="str">
        <v>Wood amount</v>
      </c>
      <c r="D66" s="201"/>
      <c r="I66"/>
    </row>
    <row r="67" spans="1:9">
      <c r="A67" s="201" t="str">
        <v>Carbon_outcome</v>
      </c>
      <c r="B67" s="201">
        <v>0</v>
      </c>
      <c r="C67" s="201" t="str">
        <v>Wood amount</v>
      </c>
      <c r="D67" s="201"/>
      <c r="I67"/>
    </row>
    <row r="68" spans="1:9">
      <c r="A68" s="201" t="str">
        <v>Carbon_outcome</v>
      </c>
      <c r="B68" s="201">
        <v>0</v>
      </c>
      <c r="C68" s="201" t="str">
        <v>Wood amount</v>
      </c>
      <c r="D68" s="201"/>
      <c r="I68"/>
    </row>
    <row r="69" spans="1:9">
      <c r="A69" s="201" t="str">
        <v>Carbon_outcome</v>
      </c>
      <c r="B69" s="201">
        <v>0</v>
      </c>
      <c r="C69" s="201" t="str">
        <v>Cumulated C balance</v>
      </c>
      <c r="D69" s="201"/>
      <c r="I69"/>
    </row>
    <row r="70" spans="1:9">
      <c r="A70" s="201">
        <v>0</v>
      </c>
      <c r="B70" s="201">
        <v>0</v>
      </c>
      <c r="C70" s="201" t="str">
        <v>Cumulated C balance</v>
      </c>
      <c r="D70" s="201"/>
      <c r="I70"/>
    </row>
    <row r="71" spans="1:9">
      <c r="A71" s="201" t="str">
        <v>Carbon_outcome</v>
      </c>
      <c r="B71" s="201">
        <v>0</v>
      </c>
      <c r="C71" s="201" t="str">
        <v>Cumulated C balance</v>
      </c>
      <c r="D71" s="201"/>
      <c r="I71"/>
    </row>
    <row r="72" spans="1:9">
      <c r="A72" s="201" t="str">
        <v>Carbon_outcome</v>
      </c>
      <c r="B72" s="201">
        <v>0</v>
      </c>
      <c r="C72" s="201" t="str">
        <v>Cumulated C balance</v>
      </c>
      <c r="D72" s="201"/>
      <c r="I72"/>
    </row>
    <row r="73" spans="1:9">
      <c r="A73" s="201" t="str">
        <v>Carbon_outcome</v>
      </c>
      <c r="B73" s="201">
        <v>0</v>
      </c>
      <c r="C73" s="201" t="str">
        <v>Cumulated C balance</v>
      </c>
      <c r="D73" s="201"/>
      <c r="I73"/>
    </row>
    <row r="74" spans="1:9">
      <c r="A74" s="201" t="str">
        <v>Carbon_outcome</v>
      </c>
      <c r="B74" s="201">
        <v>0</v>
      </c>
      <c r="C74" s="201" t="str">
        <v>Cumulated C balance</v>
      </c>
      <c r="D74" s="201"/>
      <c r="I74"/>
    </row>
    <row r="75" spans="1:9">
      <c r="A75" s="201" t="str">
        <v>Carbon_outcome</v>
      </c>
      <c r="B75" s="201">
        <v>0</v>
      </c>
      <c r="C75" s="201" t="str">
        <v>Cumulated C balance</v>
      </c>
      <c r="D75" s="201"/>
      <c r="I75"/>
    </row>
    <row r="76" spans="1:9">
      <c r="A76" s="201">
        <v>0</v>
      </c>
      <c r="B76" s="201">
        <v>0</v>
      </c>
      <c r="C76" s="201">
        <v>0</v>
      </c>
      <c r="D76" s="201"/>
      <c r="I76"/>
    </row>
    <row r="77" spans="1:9">
      <c r="A77" s="201" t="str">
        <v>Carbon_outcome</v>
      </c>
      <c r="B77" s="201">
        <v>0</v>
      </c>
      <c r="C77" s="201" t="str">
        <v>Cumulated C balance</v>
      </c>
      <c r="D77" s="201"/>
      <c r="I77"/>
    </row>
    <row r="78" spans="1:9">
      <c r="A78" s="201">
        <v>0</v>
      </c>
      <c r="B78" s="201">
        <v>0</v>
      </c>
      <c r="C78" s="201" t="str">
        <v>Substitution coefficient</v>
      </c>
      <c r="D78" s="201"/>
      <c r="I78"/>
    </row>
    <row r="79" spans="1:9">
      <c r="A79" s="201" t="e">
        <v>#N/A</v>
      </c>
      <c r="B79" s="201" t="e">
        <v>#N/A</v>
      </c>
      <c r="C79" s="201" t="e">
        <v>#N/A</v>
      </c>
      <c r="D79" s="201"/>
      <c r="I79"/>
    </row>
    <row r="80" spans="1:9">
      <c r="A80" s="201" t="e">
        <v>#N/A</v>
      </c>
      <c r="B80" s="201" t="e">
        <v>#N/A</v>
      </c>
      <c r="C80" s="201" t="e">
        <v>#N/A</v>
      </c>
      <c r="D80" s="201"/>
      <c r="I80"/>
    </row>
    <row r="81" spans="1:9">
      <c r="A81" s="201" t="e">
        <v>#N/A</v>
      </c>
      <c r="B81" s="201" t="e">
        <v>#N/A</v>
      </c>
      <c r="C81" s="201" t="e">
        <v>#N/A</v>
      </c>
      <c r="D81" s="201"/>
      <c r="I81"/>
    </row>
    <row r="82" spans="1:9">
      <c r="A82" s="201" t="e">
        <v>#N/A</v>
      </c>
      <c r="B82" s="201" t="e">
        <v>#N/A</v>
      </c>
      <c r="C82" s="201" t="e">
        <v>#N/A</v>
      </c>
      <c r="D82" s="201"/>
      <c r="I82"/>
    </row>
    <row r="83" spans="1:9">
      <c r="A83" s="201" t="e">
        <v>#N/A</v>
      </c>
      <c r="B83" s="201" t="e">
        <v>#N/A</v>
      </c>
      <c r="C83" s="201" t="e">
        <v>#N/A</v>
      </c>
      <c r="D83" s="201"/>
      <c r="I83"/>
    </row>
    <row r="84" spans="1:9">
      <c r="A84" s="201" t="e">
        <v>#N/A</v>
      </c>
      <c r="B84" s="201" t="e">
        <v>#N/A</v>
      </c>
      <c r="C84" s="201" t="e">
        <v>#N/A</v>
      </c>
      <c r="D84" s="201"/>
      <c r="I84"/>
    </row>
    <row r="85" spans="1:9">
      <c r="A85" s="201" t="e">
        <v>#N/A</v>
      </c>
      <c r="B85" s="201" t="e">
        <v>#N/A</v>
      </c>
      <c r="C85" s="201" t="e">
        <v>#N/A</v>
      </c>
      <c r="D85" s="201"/>
      <c r="I85"/>
    </row>
    <row r="86" spans="1:9">
      <c r="A86" s="201" t="e">
        <v>#N/A</v>
      </c>
      <c r="B86" s="201" t="e">
        <v>#N/A</v>
      </c>
      <c r="C86" s="201" t="e">
        <v>#N/A</v>
      </c>
      <c r="D86" s="201"/>
      <c r="I86"/>
    </row>
    <row r="87" spans="1:9">
      <c r="A87" s="201" t="e">
        <v>#N/A</v>
      </c>
      <c r="B87" s="201" t="e">
        <v>#N/A</v>
      </c>
      <c r="C87" s="201" t="e">
        <v>#N/A</v>
      </c>
      <c r="D87" s="201"/>
      <c r="I87"/>
    </row>
    <row r="88" spans="1:9">
      <c r="A88" s="201" t="e">
        <v>#N/A</v>
      </c>
      <c r="B88" s="201" t="e">
        <v>#N/A</v>
      </c>
      <c r="C88" s="201" t="e">
        <v>#N/A</v>
      </c>
      <c r="D88" s="201"/>
      <c r="I88"/>
    </row>
    <row r="89" spans="1:9">
      <c r="A89" s="201" t="e">
        <v>#N/A</v>
      </c>
      <c r="B89" s="201" t="e">
        <v>#N/A</v>
      </c>
      <c r="C89" s="201" t="e">
        <v>#N/A</v>
      </c>
      <c r="D89" s="201"/>
      <c r="I89"/>
    </row>
    <row r="90" spans="1:9">
      <c r="A90" s="201" t="e">
        <v>#N/A</v>
      </c>
      <c r="B90" s="201" t="e">
        <v>#N/A</v>
      </c>
      <c r="C90" s="201" t="e">
        <v>#N/A</v>
      </c>
      <c r="D90" s="201"/>
      <c r="I90"/>
    </row>
    <row r="91" spans="1:9">
      <c r="A91" s="201" t="e">
        <v>#N/A</v>
      </c>
      <c r="B91" s="201" t="e">
        <v>#N/A</v>
      </c>
      <c r="C91" s="201" t="e">
        <v>#N/A</v>
      </c>
      <c r="D91" s="201"/>
      <c r="I91"/>
    </row>
    <row r="92" spans="1:9">
      <c r="A92" s="201" t="e">
        <v>#N/A</v>
      </c>
      <c r="B92" s="201" t="e">
        <v>#N/A</v>
      </c>
      <c r="C92" s="201" t="e">
        <v>#N/A</v>
      </c>
      <c r="D92" s="201"/>
      <c r="I92"/>
    </row>
    <row r="93" spans="1:9">
      <c r="A93" s="201" t="e">
        <v>#N/A</v>
      </c>
      <c r="B93" s="201" t="e">
        <v>#N/A</v>
      </c>
      <c r="C93" s="201" t="e">
        <v>#N/A</v>
      </c>
      <c r="D93" s="201"/>
      <c r="I93"/>
    </row>
    <row r="94" spans="1:9">
      <c r="A94" s="201" t="e">
        <v>#N/A</v>
      </c>
      <c r="B94" s="201" t="e">
        <v>#N/A</v>
      </c>
      <c r="C94" s="201" t="e">
        <v>#N/A</v>
      </c>
      <c r="D94" s="201"/>
      <c r="I94"/>
    </row>
    <row r="95" spans="1:9">
      <c r="A95" s="201" t="e">
        <v>#N/A</v>
      </c>
      <c r="B95" s="201" t="e">
        <v>#N/A</v>
      </c>
      <c r="C95" s="201" t="e">
        <v>#N/A</v>
      </c>
      <c r="D95" s="201"/>
      <c r="I95"/>
    </row>
    <row r="96" spans="1:9">
      <c r="A96" s="201" t="e">
        <v>#N/A</v>
      </c>
      <c r="B96" s="201" t="e">
        <v>#N/A</v>
      </c>
      <c r="C96" s="201" t="e">
        <v>#N/A</v>
      </c>
      <c r="D96" s="201"/>
      <c r="I96"/>
    </row>
    <row r="97" spans="1:9">
      <c r="A97" s="201" t="e">
        <v>#N/A</v>
      </c>
      <c r="B97" s="201" t="e">
        <v>#N/A</v>
      </c>
      <c r="C97" s="201" t="e">
        <v>#N/A</v>
      </c>
      <c r="D97" s="201"/>
      <c r="I97"/>
    </row>
    <row r="98" spans="1:9">
      <c r="A98" s="201" t="e">
        <v>#N/A</v>
      </c>
      <c r="B98" s="201" t="e">
        <v>#N/A</v>
      </c>
      <c r="C98" s="201" t="e">
        <v>#N/A</v>
      </c>
      <c r="D98" s="201"/>
      <c r="I98"/>
    </row>
    <row r="99" spans="1:9">
      <c r="A99" s="201" t="e">
        <v>#N/A</v>
      </c>
      <c r="B99" s="201" t="e">
        <v>#N/A</v>
      </c>
      <c r="C99" s="201" t="e">
        <v>#N/A</v>
      </c>
      <c r="D99" s="201"/>
      <c r="I99"/>
    </row>
    <row r="100" spans="1:9">
      <c r="A100" s="201" t="e">
        <v>#N/A</v>
      </c>
      <c r="B100" s="201" t="e">
        <v>#N/A</v>
      </c>
      <c r="C100" s="201" t="e">
        <v>#N/A</v>
      </c>
      <c r="D100" s="201"/>
      <c r="I100"/>
    </row>
    <row r="101" spans="1:9">
      <c r="A101" s="201" t="e">
        <v>#N/A</v>
      </c>
      <c r="B101" s="201" t="e">
        <v>#N/A</v>
      </c>
      <c r="C101" s="201" t="e">
        <v>#N/A</v>
      </c>
      <c r="D101" s="201"/>
      <c r="I101"/>
    </row>
    <row r="102" spans="1:9">
      <c r="A102" s="201" t="e">
        <v>#N/A</v>
      </c>
      <c r="B102" s="201" t="e">
        <v>#N/A</v>
      </c>
      <c r="C102" s="201" t="e">
        <v>#N/A</v>
      </c>
      <c r="D102" s="201"/>
      <c r="I102"/>
    </row>
    <row r="103" spans="1:9">
      <c r="A103" s="201" t="e">
        <v>#N/A</v>
      </c>
      <c r="B103" s="201" t="e">
        <v>#N/A</v>
      </c>
      <c r="C103" s="201" t="e">
        <v>#N/A</v>
      </c>
      <c r="D103" s="201"/>
      <c r="I103"/>
    </row>
    <row r="104" spans="1:9">
      <c r="A104" s="201" t="e">
        <v>#N/A</v>
      </c>
      <c r="B104" s="201" t="e">
        <v>#N/A</v>
      </c>
      <c r="C104" s="201" t="e">
        <v>#N/A</v>
      </c>
      <c r="D104" s="201"/>
      <c r="I104"/>
    </row>
    <row r="105" spans="1:9">
      <c r="A105" s="201" t="e">
        <v>#N/A</v>
      </c>
      <c r="B105" s="201" t="e">
        <v>#N/A</v>
      </c>
      <c r="C105" s="201" t="e">
        <v>#N/A</v>
      </c>
      <c r="D105" s="201"/>
      <c r="I105"/>
    </row>
    <row r="106" spans="1:9">
      <c r="A106" s="201" t="e">
        <v>#N/A</v>
      </c>
      <c r="B106" s="201" t="e">
        <v>#N/A</v>
      </c>
      <c r="C106" s="201" t="e">
        <v>#N/A</v>
      </c>
      <c r="D106" s="201"/>
      <c r="I106"/>
    </row>
    <row r="107" spans="1:9">
      <c r="A107" s="201" t="e">
        <v>#N/A</v>
      </c>
      <c r="B107" s="201" t="e">
        <v>#N/A</v>
      </c>
      <c r="C107" s="201" t="e">
        <v>#N/A</v>
      </c>
      <c r="D107" s="201"/>
      <c r="I107"/>
    </row>
    <row r="108" spans="1:9">
      <c r="A108" s="201" t="e">
        <v>#N/A</v>
      </c>
      <c r="B108" s="201" t="e">
        <v>#N/A</v>
      </c>
      <c r="C108" s="201" t="e">
        <v>#N/A</v>
      </c>
      <c r="D108" s="201"/>
      <c r="I108"/>
    </row>
    <row r="109" spans="1:9">
      <c r="A109" s="201" t="e">
        <v>#N/A</v>
      </c>
      <c r="B109" s="201" t="e">
        <v>#N/A</v>
      </c>
      <c r="C109" s="201" t="e">
        <v>#N/A</v>
      </c>
      <c r="D109" s="201"/>
      <c r="I109"/>
    </row>
    <row r="110" spans="1:9">
      <c r="A110" s="201" t="e">
        <v>#N/A</v>
      </c>
      <c r="B110" s="201" t="e">
        <v>#N/A</v>
      </c>
      <c r="C110" s="201" t="e">
        <v>#N/A</v>
      </c>
      <c r="D110" s="201"/>
      <c r="I110"/>
    </row>
    <row r="111" spans="1:9">
      <c r="A111" s="201" t="e">
        <v>#N/A</v>
      </c>
      <c r="B111" s="201" t="e">
        <v>#N/A</v>
      </c>
      <c r="C111" s="201" t="e">
        <v>#N/A</v>
      </c>
      <c r="D111" s="201"/>
      <c r="I111"/>
    </row>
    <row r="112" spans="1:9">
      <c r="A112" s="201" t="e">
        <v>#N/A</v>
      </c>
      <c r="B112" s="201" t="e">
        <v>#N/A</v>
      </c>
      <c r="C112" s="201" t="e">
        <v>#N/A</v>
      </c>
      <c r="D112" s="201"/>
      <c r="I112"/>
    </row>
    <row r="113" spans="1:9">
      <c r="A113" s="201" t="e">
        <v>#N/A</v>
      </c>
      <c r="B113" s="201" t="e">
        <v>#N/A</v>
      </c>
      <c r="C113" s="201" t="e">
        <v>#N/A</v>
      </c>
      <c r="D113" s="201"/>
      <c r="I113"/>
    </row>
    <row r="114" spans="1:9">
      <c r="A114" s="201" t="e">
        <v>#N/A</v>
      </c>
      <c r="B114" s="201" t="e">
        <v>#N/A</v>
      </c>
      <c r="C114" s="201" t="e">
        <v>#N/A</v>
      </c>
      <c r="D114" s="201"/>
      <c r="I114"/>
    </row>
    <row r="115" spans="1:9">
      <c r="A115" s="201" t="e">
        <v>#N/A</v>
      </c>
      <c r="B115" s="201" t="e">
        <v>#N/A</v>
      </c>
      <c r="C115" s="201" t="e">
        <v>#N/A</v>
      </c>
      <c r="D115" s="201"/>
      <c r="I115"/>
    </row>
    <row r="116" spans="1:9">
      <c r="A116" s="201" t="e">
        <v>#N/A</v>
      </c>
      <c r="B116" s="201" t="e">
        <v>#N/A</v>
      </c>
      <c r="C116" s="201" t="e">
        <v>#N/A</v>
      </c>
      <c r="D116" s="201"/>
      <c r="I116"/>
    </row>
    <row r="117" spans="1:9">
      <c r="A117" s="201" t="e">
        <v>#N/A</v>
      </c>
      <c r="B117" s="201" t="e">
        <v>#N/A</v>
      </c>
      <c r="C117" s="201" t="e">
        <v>#N/A</v>
      </c>
      <c r="D117" s="201"/>
      <c r="I117"/>
    </row>
    <row r="118" spans="1:9">
      <c r="A118" s="201" t="e">
        <v>#N/A</v>
      </c>
      <c r="B118" s="201" t="e">
        <v>#N/A</v>
      </c>
      <c r="C118" s="201" t="e">
        <v>#N/A</v>
      </c>
      <c r="D118" s="201"/>
      <c r="I118"/>
    </row>
    <row r="119" spans="1:9">
      <c r="A119" s="201" t="e">
        <v>#N/A</v>
      </c>
      <c r="B119" s="201" t="e">
        <v>#N/A</v>
      </c>
      <c r="C119" s="201" t="e">
        <v>#N/A</v>
      </c>
      <c r="D119" s="201"/>
      <c r="I119"/>
    </row>
    <row r="120" spans="1:9">
      <c r="A120" s="201"/>
      <c r="B120" s="201"/>
      <c r="C120" s="201"/>
      <c r="D120" s="201"/>
      <c r="I120"/>
    </row>
    <row r="121" spans="1:9">
      <c r="A121" s="201"/>
      <c r="B121" s="201"/>
      <c r="C121" s="201"/>
      <c r="D121" s="201"/>
      <c r="I121"/>
    </row>
    <row r="122" spans="1:9">
      <c r="A122" s="201"/>
      <c r="B122" s="201"/>
      <c r="C122" s="201"/>
      <c r="D122" s="201"/>
      <c r="I122"/>
    </row>
    <row r="123" spans="1:9">
      <c r="A123" s="201"/>
      <c r="B123" s="201"/>
      <c r="C123" s="201"/>
      <c r="D123" s="201"/>
      <c r="I123"/>
    </row>
    <row r="124" spans="1:9">
      <c r="A124" s="201"/>
      <c r="B124" s="201"/>
      <c r="C124" s="201"/>
      <c r="D124" s="201"/>
      <c r="I124"/>
    </row>
    <row r="125" spans="1:9">
      <c r="A125" s="201"/>
      <c r="B125" s="201"/>
      <c r="C125" s="201"/>
      <c r="D125" s="201"/>
      <c r="I125"/>
    </row>
    <row r="126" spans="1:9">
      <c r="A126" s="201"/>
      <c r="B126" s="201"/>
      <c r="C126" s="201"/>
      <c r="D126" s="201"/>
      <c r="I126"/>
    </row>
    <row r="127" spans="1:9">
      <c r="A127" s="201"/>
      <c r="B127" s="201"/>
      <c r="C127" s="201"/>
      <c r="D127" s="201"/>
      <c r="I127"/>
    </row>
    <row r="128" spans="1:9">
      <c r="A128" s="201"/>
      <c r="B128" s="201"/>
      <c r="C128" s="201"/>
      <c r="D128" s="201"/>
      <c r="I128"/>
    </row>
    <row r="129" spans="1:9">
      <c r="A129" s="201"/>
      <c r="B129" s="201"/>
      <c r="C129" s="201"/>
      <c r="D129" s="201"/>
      <c r="I129"/>
    </row>
    <row r="130" spans="1:9">
      <c r="A130" s="201"/>
      <c r="B130" s="201"/>
      <c r="C130" s="201"/>
      <c r="D130" s="201"/>
      <c r="I130"/>
    </row>
    <row r="131" spans="1:9">
      <c r="A131" s="201"/>
      <c r="B131" s="201"/>
      <c r="C131" s="201"/>
      <c r="D131" s="201"/>
      <c r="I131"/>
    </row>
    <row r="132" spans="1:9">
      <c r="A132" s="201"/>
      <c r="B132" s="201"/>
      <c r="C132" s="201"/>
      <c r="D132" s="201"/>
      <c r="I132"/>
    </row>
    <row r="133" spans="1:9">
      <c r="A133" s="201"/>
      <c r="B133" s="201"/>
      <c r="C133" s="201"/>
      <c r="D133" s="201"/>
      <c r="I133"/>
    </row>
    <row r="134" spans="1:9">
      <c r="A134" s="201"/>
      <c r="B134" s="201"/>
      <c r="C134" s="201"/>
      <c r="D134" s="201"/>
    </row>
    <row r="135" spans="1:9">
      <c r="A135" s="201"/>
      <c r="B135" s="201"/>
      <c r="C135" s="201"/>
      <c r="D135" s="201"/>
    </row>
    <row r="136" spans="1:9">
      <c r="A136" s="201"/>
      <c r="B136" s="201"/>
      <c r="C136" s="201"/>
      <c r="D136" s="201"/>
    </row>
    <row r="137" spans="1:9">
      <c r="A137" s="201"/>
      <c r="B137" s="201"/>
      <c r="C137" s="201"/>
      <c r="D137" s="201"/>
    </row>
    <row r="138" spans="1:9">
      <c r="A138" s="201"/>
      <c r="B138" s="201"/>
      <c r="C138" s="201"/>
      <c r="D138" s="201"/>
    </row>
    <row r="139" spans="1:9">
      <c r="A139" s="201"/>
      <c r="B139" s="201"/>
      <c r="C139" s="201"/>
      <c r="D139" s="201"/>
    </row>
    <row r="140" spans="1:9">
      <c r="A140" s="201"/>
      <c r="B140" s="201"/>
      <c r="C140" s="201"/>
      <c r="D140" s="201"/>
    </row>
    <row r="141" spans="1:9">
      <c r="A141" s="201"/>
      <c r="B141" s="201"/>
      <c r="C141" s="201"/>
      <c r="D141" s="201"/>
    </row>
    <row r="142" spans="1:9">
      <c r="A142" s="201"/>
      <c r="B142" s="201"/>
      <c r="C142" s="201"/>
      <c r="D142" s="201"/>
    </row>
    <row r="143" spans="1:9">
      <c r="A143" s="201"/>
      <c r="B143" s="201"/>
      <c r="C143" s="201"/>
      <c r="D143" s="201"/>
    </row>
    <row r="144" spans="1:9">
      <c r="A144" s="201"/>
      <c r="B144" s="201"/>
      <c r="C144" s="201"/>
      <c r="D144" s="201"/>
    </row>
    <row r="145" spans="1:4">
      <c r="A145" s="201"/>
      <c r="B145" s="201"/>
      <c r="C145" s="201"/>
      <c r="D145" s="201"/>
    </row>
    <row r="146" spans="1:4">
      <c r="A146" s="201"/>
      <c r="B146" s="201"/>
      <c r="C146" s="201"/>
      <c r="D146" s="201"/>
    </row>
    <row r="147" spans="1:4">
      <c r="A147" s="201"/>
      <c r="B147" s="201"/>
      <c r="C147" s="201"/>
      <c r="D147" s="201"/>
    </row>
    <row r="148" spans="1:4">
      <c r="A148" s="201"/>
      <c r="B148" s="201"/>
      <c r="C148" s="201"/>
      <c r="D148" s="201"/>
    </row>
    <row r="149" spans="1:4">
      <c r="A149" s="201"/>
      <c r="B149" s="201"/>
      <c r="C149" s="201"/>
      <c r="D149" s="201"/>
    </row>
    <row r="150" spans="1:4">
      <c r="A150" s="201"/>
      <c r="B150" s="201"/>
      <c r="C150" s="201"/>
      <c r="D150" s="201"/>
    </row>
    <row r="151" spans="1:4">
      <c r="A151" s="201"/>
      <c r="B151" s="201"/>
      <c r="C151" s="201"/>
      <c r="D151" s="201"/>
    </row>
    <row r="152" spans="1:4">
      <c r="A152" s="201"/>
      <c r="B152" s="201"/>
      <c r="C152" s="201"/>
      <c r="D152" s="201"/>
    </row>
    <row r="153" spans="1:4">
      <c r="A153" s="201"/>
      <c r="B153" s="201"/>
      <c r="C153" s="201"/>
      <c r="D153" s="201"/>
    </row>
    <row r="154" spans="1:4">
      <c r="A154" s="201"/>
      <c r="B154" s="201"/>
      <c r="C154" s="201"/>
      <c r="D154" s="201"/>
    </row>
    <row r="155" spans="1:4">
      <c r="A155" s="201"/>
      <c r="B155" s="201"/>
      <c r="C155" s="201"/>
      <c r="D155" s="201"/>
    </row>
    <row r="156" spans="1:4">
      <c r="A156" s="201"/>
      <c r="B156" s="201"/>
      <c r="C156" s="201"/>
      <c r="D156" s="201"/>
    </row>
    <row r="157" spans="1:4">
      <c r="A157" s="201"/>
      <c r="B157" s="201"/>
      <c r="C157" s="201"/>
      <c r="D157" s="201"/>
    </row>
    <row r="158" spans="1:4">
      <c r="A158" s="201"/>
      <c r="B158" s="201"/>
      <c r="C158" s="201"/>
      <c r="D158" s="201"/>
    </row>
    <row r="159" spans="1:4">
      <c r="A159" s="201"/>
      <c r="B159" s="201"/>
      <c r="C159" s="201"/>
      <c r="D159" s="201"/>
    </row>
    <row r="160" spans="1:4">
      <c r="A160" s="201"/>
      <c r="B160" s="201"/>
      <c r="C160" s="201"/>
      <c r="D160" s="201"/>
    </row>
    <row r="161" spans="1:4">
      <c r="A161" s="201"/>
      <c r="B161" s="201"/>
      <c r="C161" s="201"/>
      <c r="D161" s="201"/>
    </row>
    <row r="162" spans="1:4">
      <c r="A162" s="201"/>
      <c r="B162" s="201"/>
      <c r="C162" s="201"/>
      <c r="D162" s="201"/>
    </row>
    <row r="163" spans="1:4">
      <c r="A163" s="201"/>
      <c r="B163" s="201"/>
      <c r="C163" s="201"/>
      <c r="D163" s="201"/>
    </row>
    <row r="164" spans="1:4">
      <c r="A164" s="201"/>
      <c r="B164" s="201"/>
      <c r="C164" s="201"/>
      <c r="D164" s="201"/>
    </row>
    <row r="165" spans="1:4">
      <c r="A165" s="201"/>
      <c r="B165" s="201"/>
      <c r="C165" s="201"/>
      <c r="D165" s="201"/>
    </row>
    <row r="166" spans="1:4">
      <c r="A166" s="201"/>
      <c r="B166" s="201"/>
      <c r="C166" s="201"/>
      <c r="D166" s="201"/>
    </row>
    <row r="167" spans="1:4">
      <c r="A167" s="201"/>
      <c r="B167" s="201"/>
      <c r="C167" s="201"/>
      <c r="D167" s="201"/>
    </row>
    <row r="168" spans="1:4">
      <c r="A168" s="201"/>
      <c r="B168" s="201"/>
      <c r="C168" s="201"/>
      <c r="D168" s="201"/>
    </row>
    <row r="169" spans="1:4">
      <c r="A169" s="201"/>
      <c r="B169" s="201"/>
      <c r="C169" s="201"/>
      <c r="D169" s="201"/>
    </row>
    <row r="170" spans="1:4">
      <c r="A170" s="201"/>
      <c r="B170" s="201"/>
      <c r="C170" s="201"/>
      <c r="D170" s="201"/>
    </row>
    <row r="171" spans="1:4">
      <c r="A171" s="201"/>
      <c r="B171" s="201"/>
      <c r="C171" s="201"/>
      <c r="D171" s="201"/>
    </row>
    <row r="172" spans="1:4">
      <c r="A172" s="201"/>
      <c r="B172" s="201"/>
      <c r="C172" s="201"/>
      <c r="D172" s="201"/>
    </row>
    <row r="173" spans="1:4">
      <c r="A173" s="201"/>
      <c r="B173" s="201"/>
      <c r="C173" s="201"/>
      <c r="D173" s="201"/>
    </row>
    <row r="174" spans="1:4">
      <c r="A174" s="201"/>
      <c r="B174" s="201"/>
      <c r="C174" s="201"/>
      <c r="D174" s="201"/>
    </row>
    <row r="175" spans="1:4">
      <c r="A175" s="201"/>
      <c r="B175" s="201"/>
      <c r="C175" s="201"/>
      <c r="D175" s="201"/>
    </row>
    <row r="176" spans="1:4">
      <c r="A176" s="201"/>
      <c r="B176" s="201"/>
      <c r="C176" s="201"/>
      <c r="D176" s="201"/>
    </row>
    <row r="177" spans="1:4">
      <c r="A177" s="201"/>
      <c r="B177" s="201"/>
      <c r="C177" s="201"/>
      <c r="D177" s="201"/>
    </row>
    <row r="178" spans="1:4">
      <c r="A178" s="201"/>
      <c r="B178" s="201"/>
      <c r="C178" s="201"/>
      <c r="D178" s="201"/>
    </row>
    <row r="179" spans="1:4">
      <c r="A179" s="201"/>
      <c r="B179" s="201"/>
      <c r="C179" s="201"/>
      <c r="D179" s="201"/>
    </row>
    <row r="180" spans="1:4">
      <c r="A180" s="201"/>
      <c r="B180" s="201"/>
      <c r="C180" s="201"/>
      <c r="D180" s="201"/>
    </row>
    <row r="181" spans="1:4">
      <c r="A181" s="201"/>
      <c r="B181" s="201"/>
      <c r="C181" s="201"/>
      <c r="D181" s="201"/>
    </row>
    <row r="182" spans="1:4">
      <c r="A182" s="201"/>
      <c r="B182" s="201"/>
      <c r="C182" s="201"/>
      <c r="D182" s="201"/>
    </row>
    <row r="183" spans="1:4">
      <c r="A183" s="201"/>
      <c r="B183" s="201"/>
      <c r="C183" s="201"/>
      <c r="D183" s="201"/>
    </row>
    <row r="184" spans="1:4">
      <c r="A184" s="201"/>
      <c r="B184" s="201"/>
      <c r="C184" s="201"/>
      <c r="D184" s="201"/>
    </row>
    <row r="185" spans="1:4">
      <c r="A185" s="201"/>
      <c r="B185" s="201"/>
      <c r="C185" s="201"/>
      <c r="D185" s="201"/>
    </row>
    <row r="186" spans="1:4">
      <c r="A186" s="201"/>
      <c r="B186" s="201"/>
      <c r="C186" s="201"/>
      <c r="D186" s="201"/>
    </row>
    <row r="187" spans="1:4">
      <c r="A187" s="201"/>
      <c r="B187" s="201"/>
      <c r="C187" s="201"/>
      <c r="D187" s="201"/>
    </row>
    <row r="188" spans="1:4">
      <c r="A188" s="201"/>
      <c r="B188" s="201"/>
      <c r="C188" s="201"/>
      <c r="D188" s="201"/>
    </row>
    <row r="189" spans="1:4">
      <c r="A189" s="201"/>
      <c r="B189" s="201"/>
      <c r="C189" s="201"/>
      <c r="D189" s="201"/>
    </row>
    <row r="190" spans="1:4">
      <c r="A190" s="201"/>
      <c r="B190" s="201"/>
      <c r="C190" s="201"/>
      <c r="D190" s="201"/>
    </row>
    <row r="191" spans="1:4">
      <c r="A191" s="201"/>
      <c r="B191" s="201"/>
      <c r="C191" s="201"/>
      <c r="D191" s="201"/>
    </row>
    <row r="192" spans="1:4">
      <c r="A192" s="201"/>
      <c r="B192" s="201"/>
      <c r="C192" s="201"/>
      <c r="D192" s="201"/>
    </row>
    <row r="193" spans="1:4">
      <c r="A193" s="201"/>
      <c r="B193" s="201"/>
      <c r="C193" s="201"/>
      <c r="D193" s="201"/>
    </row>
    <row r="194" spans="1:4">
      <c r="A194" s="201"/>
      <c r="B194" s="201"/>
      <c r="C194" s="201"/>
      <c r="D194" s="201"/>
    </row>
    <row r="195" spans="1:4">
      <c r="A195" s="201"/>
      <c r="B195" s="201"/>
      <c r="C195" s="201"/>
      <c r="D195" s="201"/>
    </row>
    <row r="196" spans="1:4">
      <c r="A196" s="201"/>
      <c r="B196" s="201"/>
      <c r="C196" s="201"/>
      <c r="D196" s="201"/>
    </row>
    <row r="197" spans="1:4">
      <c r="A197" s="201"/>
      <c r="B197" s="201"/>
      <c r="C197" s="201"/>
      <c r="D197" s="201"/>
    </row>
    <row r="198" spans="1:4">
      <c r="A198" s="201"/>
      <c r="B198" s="201"/>
      <c r="C198" s="201"/>
      <c r="D198" s="201"/>
    </row>
    <row r="199" spans="1:4">
      <c r="A199" s="201"/>
      <c r="B199" s="201"/>
      <c r="C199" s="201"/>
      <c r="D199" s="201"/>
    </row>
    <row r="200" spans="1:4">
      <c r="A200" s="201"/>
      <c r="B200" s="201"/>
      <c r="C200" s="201"/>
      <c r="D200" s="201"/>
    </row>
    <row r="201" spans="1:4">
      <c r="A201" s="201"/>
      <c r="B201" s="201"/>
      <c r="C201" s="201"/>
      <c r="D201" s="201"/>
    </row>
    <row r="202" spans="1:4">
      <c r="A202" s="201"/>
      <c r="B202" s="201"/>
      <c r="C202" s="201"/>
      <c r="D202" s="201"/>
    </row>
    <row r="203" spans="1:4">
      <c r="A203" s="201"/>
      <c r="B203" s="201"/>
      <c r="C203" s="201"/>
      <c r="D203" s="201"/>
    </row>
    <row r="204" spans="1:4">
      <c r="A204" s="201"/>
      <c r="B204" s="201"/>
      <c r="C204" s="201"/>
      <c r="D204" s="201"/>
    </row>
    <row r="205" spans="1:4">
      <c r="A205" s="201"/>
      <c r="B205" s="201"/>
      <c r="C205" s="201"/>
      <c r="D205" s="201"/>
    </row>
    <row r="206" spans="1:4">
      <c r="A206" s="201"/>
      <c r="B206" s="201"/>
      <c r="C206" s="201"/>
      <c r="D206" s="201"/>
    </row>
    <row r="207" spans="1:4">
      <c r="A207" s="201"/>
      <c r="B207" s="201"/>
      <c r="C207" s="201"/>
      <c r="D207" s="201"/>
    </row>
    <row r="208" spans="1:4">
      <c r="A208" s="201"/>
      <c r="B208" s="201"/>
      <c r="C208" s="201"/>
      <c r="D208" s="201"/>
    </row>
    <row r="209" spans="1:4">
      <c r="A209" s="201"/>
      <c r="B209" s="201"/>
      <c r="C209" s="201"/>
      <c r="D209" s="201"/>
    </row>
    <row r="210" spans="1:4">
      <c r="A210" s="201"/>
      <c r="B210" s="201"/>
      <c r="C210" s="201"/>
      <c r="D210" s="201"/>
    </row>
    <row r="211" spans="1:4">
      <c r="A211" s="201"/>
      <c r="B211" s="201"/>
      <c r="C211" s="201"/>
      <c r="D211" s="201"/>
    </row>
    <row r="212" spans="1:4">
      <c r="A212" s="201"/>
      <c r="B212" s="201"/>
      <c r="C212" s="201"/>
      <c r="D212" s="201"/>
    </row>
    <row r="213" spans="1:4">
      <c r="A213" s="201"/>
      <c r="B213" s="201"/>
      <c r="C213" s="201"/>
      <c r="D213" s="201"/>
    </row>
    <row r="214" spans="1:4">
      <c r="A214" s="201"/>
      <c r="B214" s="201"/>
      <c r="C214" s="201"/>
      <c r="D214" s="201"/>
    </row>
    <row r="215" spans="1:4">
      <c r="A215" s="201"/>
      <c r="B215" s="201"/>
      <c r="C215" s="201"/>
      <c r="D215" s="201"/>
    </row>
    <row r="216" spans="1:4">
      <c r="A216" s="201"/>
      <c r="B216" s="201"/>
      <c r="C216" s="201"/>
      <c r="D216" s="201"/>
    </row>
    <row r="217" spans="1:4">
      <c r="A217" s="201"/>
      <c r="B217" s="201"/>
      <c r="C217" s="201"/>
      <c r="D217" s="201"/>
    </row>
    <row r="218" spans="1:4">
      <c r="A218" s="201"/>
      <c r="B218" s="201"/>
      <c r="C218" s="201"/>
      <c r="D218" s="201"/>
    </row>
    <row r="219" spans="1:4">
      <c r="A219" s="201"/>
      <c r="B219" s="201"/>
      <c r="C219" s="201"/>
      <c r="D219" s="201"/>
    </row>
    <row r="220" spans="1:4">
      <c r="A220" s="201"/>
      <c r="B220" s="201"/>
      <c r="C220" s="201"/>
      <c r="D220" s="201"/>
    </row>
    <row r="221" spans="1:4">
      <c r="A221" s="201"/>
      <c r="B221" s="201"/>
      <c r="C221" s="201"/>
      <c r="D221" s="201"/>
    </row>
    <row r="222" spans="1:4">
      <c r="A222" s="201"/>
      <c r="B222" s="201"/>
      <c r="C222" s="201"/>
      <c r="D222" s="201"/>
    </row>
    <row r="223" spans="1:4">
      <c r="A223" s="201"/>
      <c r="B223" s="201"/>
      <c r="C223" s="201"/>
      <c r="D223" s="20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51"/>
  <sheetViews>
    <sheetView topLeftCell="A15" workbookViewId="0">
      <selection activeCell="B10" sqref="B10"/>
    </sheetView>
  </sheetViews>
  <sheetFormatPr baseColWidth="10" defaultRowHeight="16"/>
  <sheetData>
    <row r="1" spans="1:8">
      <c r="A1" s="141" t="s">
        <v>2610</v>
      </c>
      <c r="B1" s="141"/>
      <c r="C1" s="141"/>
      <c r="D1" s="141"/>
      <c r="E1" s="141"/>
      <c r="F1" s="141"/>
      <c r="G1" s="141"/>
      <c r="H1" t="s">
        <v>2611</v>
      </c>
    </row>
    <row r="2" spans="1:8">
      <c r="A2" s="141"/>
      <c r="B2" s="141">
        <v>68.510639999999995</v>
      </c>
      <c r="C2" s="141">
        <v>72.765960000000007</v>
      </c>
      <c r="D2" s="141">
        <v>78.723404259999995</v>
      </c>
      <c r="E2" s="141">
        <v>80.851063830000001</v>
      </c>
      <c r="F2" s="141">
        <v>96.170212770000006</v>
      </c>
      <c r="G2" s="141"/>
      <c r="H2" s="216" t="s">
        <v>2612</v>
      </c>
    </row>
    <row r="3" spans="1:8">
      <c r="A3" s="141"/>
      <c r="B3" s="141">
        <v>70.638300000000001</v>
      </c>
      <c r="C3" s="141">
        <v>74.468090000000004</v>
      </c>
      <c r="D3" s="141">
        <v>80.425531910000004</v>
      </c>
      <c r="E3" s="141">
        <v>83.404255320000004</v>
      </c>
      <c r="F3" s="141">
        <v>94.468085110000004</v>
      </c>
      <c r="G3" s="141"/>
    </row>
    <row r="4" spans="1:8">
      <c r="A4" s="141"/>
      <c r="B4" s="141">
        <v>70.638300000000001</v>
      </c>
      <c r="C4" s="141">
        <v>71.489360000000005</v>
      </c>
      <c r="D4" s="141">
        <v>76.595744679999996</v>
      </c>
      <c r="E4" s="141">
        <v>79.148936169999999</v>
      </c>
      <c r="F4" s="141">
        <v>93.617021280000003</v>
      </c>
      <c r="G4" s="141"/>
    </row>
    <row r="5" spans="1:8">
      <c r="A5" s="141"/>
      <c r="B5" s="141">
        <v>70.638300000000001</v>
      </c>
      <c r="C5" s="141">
        <v>73.617019999999997</v>
      </c>
      <c r="D5" s="141">
        <v>79.574468089999996</v>
      </c>
      <c r="E5" s="141">
        <v>81.702127660000002</v>
      </c>
      <c r="F5" s="141">
        <v>89.361702129999998</v>
      </c>
      <c r="G5" s="141"/>
    </row>
    <row r="6" spans="1:8">
      <c r="A6" s="141"/>
      <c r="B6" s="141">
        <v>73.617019999999997</v>
      </c>
      <c r="C6" s="141">
        <v>70.638300000000001</v>
      </c>
      <c r="D6" s="141">
        <v>76.170212770000006</v>
      </c>
      <c r="E6" s="141">
        <v>78.297872339999998</v>
      </c>
      <c r="F6" s="141">
        <v>85.957446809999993</v>
      </c>
      <c r="G6" s="141"/>
    </row>
    <row r="7" spans="1:8">
      <c r="A7" s="141"/>
      <c r="B7" s="141">
        <v>74.893619999999999</v>
      </c>
      <c r="C7" s="141">
        <v>68.936170000000004</v>
      </c>
      <c r="D7" s="141">
        <v>74.042553190000007</v>
      </c>
      <c r="E7" s="141">
        <v>75.744680849999995</v>
      </c>
      <c r="F7" s="141">
        <v>76.595744679999996</v>
      </c>
      <c r="G7" s="141"/>
    </row>
    <row r="8" spans="1:8">
      <c r="A8" s="141"/>
      <c r="B8" s="141">
        <v>78.297870000000003</v>
      </c>
      <c r="C8" s="141">
        <v>73.617019999999997</v>
      </c>
      <c r="D8" s="141">
        <v>79.574468089999996</v>
      </c>
      <c r="E8" s="141">
        <v>82.553191490000003</v>
      </c>
      <c r="F8" s="141">
        <v>80.851063830000001</v>
      </c>
      <c r="G8" s="141"/>
    </row>
    <row r="9" spans="1:8">
      <c r="A9" s="141" t="s">
        <v>2613</v>
      </c>
      <c r="B9" s="141">
        <v>72.462010000000006</v>
      </c>
      <c r="C9" s="141">
        <v>72.21884</v>
      </c>
      <c r="D9" s="141">
        <v>77.872340429999994</v>
      </c>
      <c r="E9" s="141">
        <v>80.243161090000001</v>
      </c>
      <c r="F9" s="141">
        <v>88.145896660000005</v>
      </c>
      <c r="G9" s="141"/>
    </row>
    <row r="10" spans="1:8">
      <c r="A10" s="141"/>
      <c r="B10" s="141"/>
      <c r="C10" s="141"/>
      <c r="D10" s="141"/>
      <c r="E10" s="141"/>
      <c r="F10" s="141"/>
      <c r="G10" s="141"/>
    </row>
    <row r="11" spans="1:8">
      <c r="A11" s="217" t="s">
        <v>2614</v>
      </c>
      <c r="B11" s="141">
        <v>1</v>
      </c>
      <c r="C11" s="141">
        <v>4</v>
      </c>
      <c r="D11" s="141">
        <v>3</v>
      </c>
      <c r="E11" s="141">
        <v>0</v>
      </c>
      <c r="F11" s="141">
        <v>2</v>
      </c>
      <c r="G11" s="141"/>
    </row>
    <row r="12" spans="1:8">
      <c r="A12" s="141"/>
      <c r="B12" s="217">
        <v>1</v>
      </c>
      <c r="C12" s="217"/>
      <c r="D12" s="217">
        <v>3</v>
      </c>
      <c r="E12" s="217"/>
      <c r="F12" s="217">
        <v>2</v>
      </c>
      <c r="G12" s="141"/>
    </row>
    <row r="13" spans="1:8">
      <c r="A13" s="141" t="s">
        <v>2615</v>
      </c>
      <c r="B13" s="218" t="s">
        <v>2616</v>
      </c>
      <c r="C13" s="218" t="s">
        <v>2617</v>
      </c>
      <c r="D13" s="218" t="s">
        <v>2618</v>
      </c>
      <c r="E13" s="141"/>
      <c r="F13" s="218" t="s">
        <v>2619</v>
      </c>
      <c r="G13" s="141"/>
    </row>
    <row r="14" spans="1:8">
      <c r="A14" s="217" t="s">
        <v>2620</v>
      </c>
      <c r="B14" s="219">
        <v>-17.840900000000001</v>
      </c>
      <c r="C14" s="220">
        <v>-8.9655199999999997</v>
      </c>
      <c r="D14" s="219">
        <v>-2.5858585860000001</v>
      </c>
      <c r="E14" s="141"/>
      <c r="F14" s="221">
        <v>-16.788990829999999</v>
      </c>
      <c r="G14" s="141"/>
    </row>
    <row r="15" spans="1:8">
      <c r="A15" s="141"/>
      <c r="B15" s="219">
        <v>-16.818200000000001</v>
      </c>
      <c r="C15" s="220">
        <v>-8.9655199999999997</v>
      </c>
      <c r="D15" s="219">
        <v>-2.6565656569999998</v>
      </c>
      <c r="E15" s="141"/>
      <c r="F15" s="221">
        <v>-13.119266059999999</v>
      </c>
      <c r="G15" s="141"/>
    </row>
    <row r="16" spans="1:8">
      <c r="A16" s="141"/>
      <c r="B16" s="219">
        <v>-12.045500000000001</v>
      </c>
      <c r="C16" s="220">
        <v>-8.5862099999999995</v>
      </c>
      <c r="D16" s="219">
        <v>-2.5151515149999999</v>
      </c>
      <c r="E16" s="141"/>
      <c r="F16" s="221">
        <v>-15.41284404</v>
      </c>
      <c r="G16" s="141"/>
    </row>
    <row r="17" spans="1:7">
      <c r="A17" s="141"/>
      <c r="B17" s="219">
        <v>-18.5227</v>
      </c>
      <c r="C17" s="220">
        <v>-9.34483</v>
      </c>
      <c r="D17" s="219">
        <v>-2.9393939389999999</v>
      </c>
      <c r="E17" s="141"/>
      <c r="F17" s="221">
        <v>-8.5321100919999999</v>
      </c>
      <c r="G17" s="141"/>
    </row>
    <row r="18" spans="1:7">
      <c r="A18" s="141"/>
      <c r="B18" s="219">
        <v>-5.2272699999999999</v>
      </c>
      <c r="C18" s="220">
        <v>-8.2068999999999992</v>
      </c>
      <c r="D18" s="219">
        <v>-2.5151515149999999</v>
      </c>
      <c r="E18" s="141"/>
      <c r="F18" s="221">
        <v>-7.6146788990000003</v>
      </c>
      <c r="G18" s="141"/>
    </row>
    <row r="19" spans="1:7">
      <c r="A19" s="141"/>
      <c r="B19" s="219">
        <v>0.227273</v>
      </c>
      <c r="C19" s="220">
        <v>-8.0172399999999993</v>
      </c>
      <c r="D19" s="219">
        <v>-2.3737373740000001</v>
      </c>
      <c r="E19" s="141"/>
      <c r="F19" s="221">
        <v>-0.27522935799999998</v>
      </c>
      <c r="G19" s="141"/>
    </row>
    <row r="20" spans="1:7">
      <c r="A20" s="141"/>
      <c r="B20" s="219">
        <v>-0.45455000000000001</v>
      </c>
      <c r="C20" s="220">
        <v>-8.9655199999999997</v>
      </c>
      <c r="D20" s="219">
        <v>-2.7979797980000001</v>
      </c>
      <c r="E20" s="141"/>
      <c r="F20" s="221">
        <v>1.5596330279999999</v>
      </c>
      <c r="G20" s="141"/>
    </row>
    <row r="21" spans="1:7">
      <c r="A21" s="217" t="s">
        <v>2613</v>
      </c>
      <c r="B21" s="217">
        <v>-10.0974</v>
      </c>
      <c r="C21" s="217">
        <v>-8.7216699999999996</v>
      </c>
      <c r="D21" s="217">
        <v>-2.6262626259999999</v>
      </c>
      <c r="E21" s="141"/>
      <c r="F21" s="217">
        <v>-8.5976408909999993</v>
      </c>
      <c r="G21" s="141"/>
    </row>
    <row r="22" spans="1:7">
      <c r="A22" s="141"/>
      <c r="B22" s="141"/>
      <c r="C22" s="222"/>
      <c r="D22" s="141"/>
      <c r="E22" s="141"/>
      <c r="F22" s="141"/>
      <c r="G22" s="141"/>
    </row>
    <row r="23" spans="1:7">
      <c r="A23" s="217" t="s">
        <v>2621</v>
      </c>
      <c r="B23" s="223">
        <v>2.2727270000000002</v>
      </c>
      <c r="C23" s="224">
        <v>4.3103400000000001</v>
      </c>
      <c r="D23" s="223">
        <v>1.3030303029999999</v>
      </c>
      <c r="E23" s="141"/>
      <c r="F23" s="225">
        <v>-7.6146788990000003</v>
      </c>
      <c r="G23" s="141"/>
    </row>
    <row r="24" spans="1:7">
      <c r="A24" s="217" t="s">
        <v>2622</v>
      </c>
      <c r="B24" s="223">
        <v>-0.45455000000000001</v>
      </c>
      <c r="C24" s="224">
        <v>4.3103400000000001</v>
      </c>
      <c r="D24" s="223">
        <v>1.3030303029999999</v>
      </c>
      <c r="E24" s="141"/>
      <c r="F24" s="225">
        <v>-3.944954128</v>
      </c>
      <c r="G24" s="141"/>
    </row>
    <row r="25" spans="1:7">
      <c r="A25" s="141"/>
      <c r="B25" s="223">
        <v>-1.4772700000000001</v>
      </c>
      <c r="C25" s="224">
        <v>2.60345</v>
      </c>
      <c r="D25" s="223">
        <v>0.87878787899999999</v>
      </c>
      <c r="E25" s="141"/>
      <c r="F25" s="225">
        <v>-3.4862385319999998</v>
      </c>
      <c r="G25" s="141"/>
    </row>
    <row r="26" spans="1:7">
      <c r="A26" s="141"/>
      <c r="B26" s="223">
        <v>-4.2045500000000002</v>
      </c>
      <c r="C26" s="224">
        <v>2.60345</v>
      </c>
      <c r="D26" s="223">
        <v>0.87878787899999999</v>
      </c>
      <c r="E26" s="141"/>
      <c r="F26" s="225">
        <v>-0.73394495400000004</v>
      </c>
      <c r="G26" s="141"/>
    </row>
    <row r="27" spans="1:7">
      <c r="A27" s="141"/>
      <c r="B27" s="223">
        <v>-0.79544999999999999</v>
      </c>
      <c r="C27" s="224">
        <v>2.0344799999999998</v>
      </c>
      <c r="D27" s="223">
        <v>0.66666666699999999</v>
      </c>
      <c r="E27" s="141"/>
      <c r="F27" s="225">
        <v>0.183486239</v>
      </c>
      <c r="G27" s="141"/>
    </row>
    <row r="28" spans="1:7">
      <c r="A28" s="141"/>
      <c r="B28" s="223">
        <v>0.90909099999999998</v>
      </c>
      <c r="C28" s="224">
        <v>2.0344799999999998</v>
      </c>
      <c r="D28" s="223">
        <v>0.66666666699999999</v>
      </c>
      <c r="E28" s="141"/>
      <c r="F28" s="225">
        <v>2.9357798169999998</v>
      </c>
      <c r="G28" s="141"/>
    </row>
    <row r="29" spans="1:7">
      <c r="A29" s="141"/>
      <c r="B29" s="223">
        <v>3.6363639999999999</v>
      </c>
      <c r="C29" s="224">
        <v>1.27586</v>
      </c>
      <c r="D29" s="223">
        <v>0.31313131300000002</v>
      </c>
      <c r="E29" s="141"/>
      <c r="F29" s="225">
        <v>2.0183486240000001</v>
      </c>
      <c r="G29" s="141"/>
    </row>
    <row r="30" spans="1:7">
      <c r="A30" s="217" t="s">
        <v>2613</v>
      </c>
      <c r="B30" s="217">
        <v>-1.6230000000000001E-2</v>
      </c>
      <c r="C30" s="217">
        <v>2.7389160000000001</v>
      </c>
      <c r="D30" s="217">
        <v>0.85858585899999995</v>
      </c>
      <c r="E30" s="141"/>
      <c r="F30" s="217">
        <v>-1.520314548</v>
      </c>
      <c r="G30" s="141"/>
    </row>
    <row r="31" spans="1:7">
      <c r="A31" s="141"/>
      <c r="B31" s="141"/>
      <c r="C31" s="222"/>
      <c r="D31" s="141"/>
      <c r="E31" s="141"/>
      <c r="F31" s="141"/>
      <c r="G31" s="141"/>
    </row>
    <row r="32" spans="1:7">
      <c r="A32" s="217" t="s">
        <v>229</v>
      </c>
      <c r="B32" s="225">
        <v>7.0454549999999996</v>
      </c>
      <c r="C32" s="222">
        <v>2.0344799999999998</v>
      </c>
      <c r="D32" s="141">
        <v>0.66666666699999999</v>
      </c>
      <c r="E32" s="141"/>
      <c r="F32" s="223">
        <v>0.64220183500000005</v>
      </c>
      <c r="G32" s="141"/>
    </row>
    <row r="33" spans="1:7">
      <c r="A33" s="141"/>
      <c r="B33" s="225">
        <v>3.6363639999999999</v>
      </c>
      <c r="C33" s="222">
        <v>1.65517</v>
      </c>
      <c r="D33" s="141">
        <v>0.45454545499999999</v>
      </c>
      <c r="E33" s="141"/>
      <c r="F33" s="223">
        <v>7.0642201829999998</v>
      </c>
      <c r="G33" s="141"/>
    </row>
    <row r="34" spans="1:7">
      <c r="A34" s="141"/>
      <c r="B34" s="225">
        <v>1.931818</v>
      </c>
      <c r="C34" s="222">
        <v>1.65517</v>
      </c>
      <c r="D34" s="141">
        <v>0.45454545499999999</v>
      </c>
      <c r="E34" s="141"/>
      <c r="F34" s="223">
        <v>6.1467889910000002</v>
      </c>
      <c r="G34" s="141"/>
    </row>
    <row r="35" spans="1:7">
      <c r="A35" s="141"/>
      <c r="B35" s="225">
        <v>1.931818</v>
      </c>
      <c r="C35" s="222">
        <v>1.65517</v>
      </c>
      <c r="D35" s="141">
        <v>0.45454545499999999</v>
      </c>
      <c r="E35" s="141"/>
      <c r="F35" s="223">
        <v>2.4770642199999999</v>
      </c>
      <c r="G35" s="141"/>
    </row>
    <row r="36" spans="1:7">
      <c r="A36" s="141"/>
      <c r="B36" s="225">
        <v>-0.45455000000000001</v>
      </c>
      <c r="C36" s="222">
        <v>1.65517</v>
      </c>
      <c r="D36" s="141">
        <v>0.45454545499999999</v>
      </c>
      <c r="E36" s="141"/>
      <c r="F36" s="223">
        <v>6.1467889910000002</v>
      </c>
      <c r="G36" s="141"/>
    </row>
    <row r="37" spans="1:7">
      <c r="A37" s="141"/>
      <c r="B37" s="225">
        <v>-0.79544999999999999</v>
      </c>
      <c r="C37" s="222">
        <v>1.4655199999999999</v>
      </c>
      <c r="D37" s="141">
        <v>0.31313131300000002</v>
      </c>
      <c r="E37" s="141"/>
      <c r="F37" s="223">
        <v>3.8532110089999998</v>
      </c>
      <c r="G37" s="141"/>
    </row>
    <row r="38" spans="1:7">
      <c r="A38" s="141"/>
      <c r="B38" s="225">
        <v>0.56818199999999996</v>
      </c>
      <c r="C38" s="222">
        <v>1.4655199999999999</v>
      </c>
      <c r="D38" s="141">
        <v>0.52525252499999997</v>
      </c>
      <c r="E38" s="141"/>
      <c r="F38" s="223">
        <v>1.5596330279999999</v>
      </c>
      <c r="G38" s="141"/>
    </row>
    <row r="39" spans="1:7">
      <c r="A39" s="217" t="s">
        <v>2613</v>
      </c>
      <c r="B39" s="217">
        <v>1.9805189999999999</v>
      </c>
      <c r="C39" s="217">
        <v>1.6551720000000001</v>
      </c>
      <c r="D39" s="217">
        <v>0.47474747499999997</v>
      </c>
      <c r="E39" s="141"/>
      <c r="F39" s="217">
        <v>3.9842726079999999</v>
      </c>
      <c r="G39" s="141"/>
    </row>
    <row r="40" spans="1:7">
      <c r="A40" s="217"/>
      <c r="B40" s="217"/>
      <c r="C40" s="217"/>
      <c r="D40" s="217"/>
      <c r="E40" s="141"/>
      <c r="F40" s="217"/>
      <c r="G40" s="141"/>
    </row>
    <row r="41" spans="1:7">
      <c r="A41" s="217" t="s">
        <v>2623</v>
      </c>
      <c r="B41" s="221">
        <v>13.18182</v>
      </c>
      <c r="C41" s="226">
        <v>8.4827600000000007</v>
      </c>
      <c r="D41" s="221">
        <v>2.575757576</v>
      </c>
      <c r="E41" s="141"/>
      <c r="F41" s="219">
        <v>24.49541284</v>
      </c>
      <c r="G41" s="141"/>
    </row>
    <row r="42" spans="1:7">
      <c r="A42" s="141"/>
      <c r="B42" s="221">
        <v>13.18182</v>
      </c>
      <c r="C42" s="226">
        <v>8.8620699999999992</v>
      </c>
      <c r="D42" s="221">
        <v>2.6464646460000001</v>
      </c>
      <c r="E42" s="141"/>
      <c r="F42" s="219">
        <v>23.577981650000002</v>
      </c>
      <c r="G42" s="141"/>
    </row>
    <row r="43" spans="1:7">
      <c r="A43" s="141"/>
      <c r="B43" s="221">
        <v>8.4090910000000001</v>
      </c>
      <c r="C43" s="226">
        <v>8.4827600000000007</v>
      </c>
      <c r="D43" s="221">
        <v>2.575757576</v>
      </c>
      <c r="E43" s="141"/>
      <c r="F43" s="219">
        <v>25.41284404</v>
      </c>
      <c r="G43" s="141"/>
    </row>
    <row r="44" spans="1:7">
      <c r="A44" s="141"/>
      <c r="B44" s="221">
        <v>11.81818</v>
      </c>
      <c r="C44" s="226">
        <v>8.4827600000000007</v>
      </c>
      <c r="D44" s="221">
        <v>2.575757576</v>
      </c>
      <c r="E44" s="141"/>
      <c r="F44" s="219">
        <v>11.651376150000001</v>
      </c>
      <c r="G44" s="141"/>
    </row>
    <row r="45" spans="1:7">
      <c r="A45" s="141"/>
      <c r="B45" s="221">
        <v>5.3409089999999999</v>
      </c>
      <c r="C45" s="226">
        <v>8.2931000000000008</v>
      </c>
      <c r="D45" s="221">
        <v>2.5050505049999998</v>
      </c>
      <c r="E45" s="141"/>
      <c r="F45" s="219">
        <v>13.48623853</v>
      </c>
      <c r="G45" s="141"/>
    </row>
    <row r="46" spans="1:7">
      <c r="A46" s="141"/>
      <c r="B46" s="221">
        <v>1.5909089999999999</v>
      </c>
      <c r="C46" s="226">
        <v>8.1034500000000005</v>
      </c>
      <c r="D46" s="221">
        <v>2.4343434340000001</v>
      </c>
      <c r="E46" s="141"/>
      <c r="F46" s="219">
        <v>1.1009174310000001</v>
      </c>
      <c r="G46" s="141"/>
    </row>
    <row r="47" spans="1:7">
      <c r="A47" s="141"/>
      <c r="B47" s="221">
        <v>3.9772729999999998</v>
      </c>
      <c r="C47" s="226">
        <v>8.6724099999999993</v>
      </c>
      <c r="D47" s="221">
        <v>2.6464646460000001</v>
      </c>
      <c r="E47" s="141"/>
      <c r="F47" s="219">
        <v>-2.1100917429999999</v>
      </c>
      <c r="G47" s="141"/>
    </row>
    <row r="48" spans="1:7">
      <c r="A48" s="217" t="s">
        <v>2613</v>
      </c>
      <c r="B48" s="217">
        <v>8.2142859999999995</v>
      </c>
      <c r="C48" s="217">
        <v>8.4827589999999997</v>
      </c>
      <c r="D48" s="217">
        <v>2.5656565659999999</v>
      </c>
      <c r="E48" s="141"/>
      <c r="F48" s="217">
        <v>13.944954129999999</v>
      </c>
      <c r="G48" s="141"/>
    </row>
    <row r="49" spans="1:7">
      <c r="A49" s="141"/>
      <c r="B49" s="141">
        <v>2.8990000000000001E-3</v>
      </c>
      <c r="C49" s="141">
        <v>4.5455000000000002E-2</v>
      </c>
      <c r="D49" s="141">
        <v>4.5454544999999999E-2</v>
      </c>
      <c r="E49" s="141"/>
      <c r="F49" s="141">
        <v>0.27897397499999999</v>
      </c>
      <c r="G49" s="217" t="s">
        <v>2624</v>
      </c>
    </row>
    <row r="50" spans="1:7">
      <c r="A50" s="141"/>
      <c r="B50" s="141"/>
      <c r="C50" s="141"/>
      <c r="D50" s="141"/>
      <c r="E50" s="141"/>
      <c r="F50" s="141"/>
      <c r="G50" s="141"/>
    </row>
    <row r="51" spans="1:7">
      <c r="A51" s="141"/>
      <c r="B51" s="217"/>
      <c r="C51" s="217"/>
      <c r="D51" s="217"/>
      <c r="E51" s="217"/>
      <c r="F51" s="141"/>
      <c r="G51" s="141"/>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481"/>
  <sheetViews>
    <sheetView topLeftCell="A460" zoomScale="50" workbookViewId="0">
      <selection activeCell="A474" sqref="A474:Q485"/>
    </sheetView>
  </sheetViews>
  <sheetFormatPr baseColWidth="10" defaultRowHeight="16"/>
  <cols>
    <col min="12" max="12" width="10.1640625" customWidth="1"/>
    <col min="29" max="29" width="18" customWidth="1"/>
  </cols>
  <sheetData>
    <row r="1" spans="1:16">
      <c r="A1" t="s">
        <v>2625</v>
      </c>
    </row>
    <row r="2" spans="1:16">
      <c r="I2" t="s">
        <v>1307</v>
      </c>
      <c r="J2" t="s">
        <v>1309</v>
      </c>
      <c r="K2" t="s">
        <v>1303</v>
      </c>
      <c r="N2" t="s">
        <v>1307</v>
      </c>
      <c r="O2" t="s">
        <v>1309</v>
      </c>
      <c r="P2" t="s">
        <v>1303</v>
      </c>
    </row>
    <row r="3" spans="1:16">
      <c r="H3" s="144"/>
      <c r="I3" s="144">
        <v>7159.9699870874601</v>
      </c>
      <c r="J3" s="144">
        <v>7199.6672987215397</v>
      </c>
      <c r="K3" s="144">
        <v>3200.1122575991999</v>
      </c>
      <c r="M3" t="s">
        <v>1321</v>
      </c>
      <c r="N3">
        <v>4402.9850746268603</v>
      </c>
      <c r="O3">
        <v>4029.8507462686498</v>
      </c>
      <c r="P3">
        <v>3208.95522388059</v>
      </c>
    </row>
    <row r="4" spans="1:16">
      <c r="H4" s="144"/>
      <c r="I4" s="144">
        <v>15705.2743622256</v>
      </c>
      <c r="J4" s="144">
        <v>14574.002768633</v>
      </c>
      <c r="K4" s="144">
        <v>11803.741144445799</v>
      </c>
      <c r="M4" t="s">
        <v>2626</v>
      </c>
      <c r="N4">
        <v>7835.8208955223799</v>
      </c>
      <c r="O4">
        <v>7089.5522388059699</v>
      </c>
      <c r="P4">
        <v>5298.5074626865598</v>
      </c>
    </row>
    <row r="5" spans="1:16">
      <c r="H5" s="144"/>
      <c r="I5" s="144">
        <v>24015.448506915702</v>
      </c>
      <c r="J5" s="144">
        <v>22416.5629398694</v>
      </c>
      <c r="K5" s="144">
        <v>19294.7256377743</v>
      </c>
      <c r="M5" t="s">
        <v>2627</v>
      </c>
      <c r="N5">
        <v>32089.5522388059</v>
      </c>
      <c r="O5">
        <v>29776.119402985001</v>
      </c>
      <c r="P5">
        <v>23507.462686567102</v>
      </c>
    </row>
    <row r="6" spans="1:16">
      <c r="H6" s="144"/>
      <c r="I6" s="144">
        <v>31272.931377452998</v>
      </c>
      <c r="J6" s="144">
        <v>28502.873329222999</v>
      </c>
      <c r="K6" s="144">
        <v>22924.0778009143</v>
      </c>
    </row>
    <row r="7" spans="1:16">
      <c r="H7" s="144" t="s">
        <v>2627</v>
      </c>
      <c r="I7" s="144">
        <v>32092.528180728899</v>
      </c>
      <c r="J7" s="144">
        <v>29322.470132498798</v>
      </c>
      <c r="K7" s="144">
        <v>23743.471028233002</v>
      </c>
      <c r="M7" t="s">
        <v>2628</v>
      </c>
      <c r="N7">
        <f>N5-N3</f>
        <v>27686.56716417904</v>
      </c>
      <c r="O7">
        <f t="shared" ref="O7:P7" si="0">O5-O3</f>
        <v>25746.268656716351</v>
      </c>
      <c r="P7">
        <f t="shared" si="0"/>
        <v>20298.50746268651</v>
      </c>
    </row>
    <row r="8" spans="1:16">
      <c r="H8" s="144" t="s">
        <v>2629</v>
      </c>
    </row>
    <row r="9" spans="1:16">
      <c r="H9" s="144" t="s">
        <v>2630</v>
      </c>
      <c r="I9" s="144">
        <f>I3</f>
        <v>7159.9699870874601</v>
      </c>
      <c r="J9" s="144">
        <f t="shared" ref="J9:K9" si="1">J3</f>
        <v>7199.6672987215397</v>
      </c>
      <c r="K9" s="144">
        <f t="shared" si="1"/>
        <v>3200.1122575991999</v>
      </c>
    </row>
    <row r="10" spans="1:16">
      <c r="H10" s="144" t="s">
        <v>2631</v>
      </c>
      <c r="I10" s="144">
        <f t="shared" ref="I10:K13" si="2">I4-I3</f>
        <v>8545.304375138141</v>
      </c>
      <c r="J10" s="144">
        <f t="shared" ref="J10:K10" si="3">J4-J3</f>
        <v>7374.3354699114598</v>
      </c>
      <c r="K10" s="144">
        <f t="shared" si="3"/>
        <v>8603.6288868465999</v>
      </c>
    </row>
    <row r="11" spans="1:16">
      <c r="H11" s="144" t="s">
        <v>2632</v>
      </c>
      <c r="I11" s="144">
        <f t="shared" si="2"/>
        <v>8310.1741446901015</v>
      </c>
      <c r="J11" s="144">
        <f t="shared" si="2"/>
        <v>7842.5601712364005</v>
      </c>
      <c r="K11" s="144">
        <f t="shared" si="2"/>
        <v>7490.9844933285003</v>
      </c>
    </row>
    <row r="12" spans="1:16">
      <c r="H12" s="144" t="s">
        <v>2633</v>
      </c>
      <c r="I12" s="144">
        <f t="shared" si="2"/>
        <v>7257.4828705372965</v>
      </c>
      <c r="J12" s="144">
        <f t="shared" si="2"/>
        <v>6086.310389353599</v>
      </c>
      <c r="K12" s="144">
        <f t="shared" si="2"/>
        <v>3629.3521631399999</v>
      </c>
    </row>
    <row r="13" spans="1:16">
      <c r="H13" s="144" t="s">
        <v>2634</v>
      </c>
      <c r="I13" s="144">
        <f t="shared" si="2"/>
        <v>819.59680327590104</v>
      </c>
      <c r="J13" s="144">
        <f t="shared" si="2"/>
        <v>819.59680327579918</v>
      </c>
      <c r="K13" s="144">
        <f t="shared" si="2"/>
        <v>819.39322731870197</v>
      </c>
    </row>
    <row r="14" spans="1:16">
      <c r="H14" s="144"/>
    </row>
    <row r="15" spans="1:16">
      <c r="H15" s="144"/>
    </row>
    <row r="16" spans="1:16">
      <c r="H16" s="144"/>
    </row>
    <row r="17" spans="1:10">
      <c r="A17" t="s">
        <v>2635</v>
      </c>
      <c r="H17" s="144"/>
      <c r="I17" t="s">
        <v>2636</v>
      </c>
      <c r="J17">
        <v>65.3101736972704</v>
      </c>
    </row>
    <row r="18" spans="1:10">
      <c r="I18" t="s">
        <v>2637</v>
      </c>
      <c r="J18">
        <v>40.297766749379598</v>
      </c>
    </row>
    <row r="19" spans="1:10">
      <c r="I19" t="s">
        <v>2638</v>
      </c>
      <c r="J19">
        <v>-53.796526054590501</v>
      </c>
    </row>
    <row r="20" spans="1:10">
      <c r="I20" t="s">
        <v>2639</v>
      </c>
      <c r="J20">
        <v>45.232815964523198</v>
      </c>
    </row>
    <row r="21" spans="1:10">
      <c r="I21" t="s">
        <v>2640</v>
      </c>
      <c r="J21">
        <v>31.929046563192902</v>
      </c>
    </row>
    <row r="22" spans="1:10">
      <c r="I22" t="s">
        <v>2641</v>
      </c>
      <c r="J22">
        <v>17.1840354767184</v>
      </c>
    </row>
    <row r="23" spans="1:10">
      <c r="I23" t="s">
        <v>2642</v>
      </c>
      <c r="J23">
        <v>803.28358208955206</v>
      </c>
    </row>
    <row r="24" spans="1:10">
      <c r="I24" t="s">
        <v>2643</v>
      </c>
      <c r="J24">
        <v>588.35820895522397</v>
      </c>
    </row>
    <row r="25" spans="1:10">
      <c r="I25" t="s">
        <v>2644</v>
      </c>
      <c r="J25">
        <v>303.58208955223802</v>
      </c>
    </row>
    <row r="37" spans="1:14">
      <c r="A37" t="s">
        <v>2645</v>
      </c>
      <c r="I37" t="s">
        <v>2646</v>
      </c>
    </row>
    <row r="38" spans="1:14">
      <c r="H38" t="s">
        <v>2647</v>
      </c>
      <c r="I38">
        <v>-248.01428213480301</v>
      </c>
    </row>
    <row r="39" spans="1:14">
      <c r="H39" t="s">
        <v>2648</v>
      </c>
      <c r="I39">
        <v>-251.81345527436699</v>
      </c>
    </row>
    <row r="40" spans="1:14">
      <c r="H40" t="s">
        <v>2649</v>
      </c>
      <c r="I40">
        <v>-240.22801302931501</v>
      </c>
    </row>
    <row r="42" spans="1:14">
      <c r="I42" t="s">
        <v>2650</v>
      </c>
      <c r="M42" t="s">
        <v>2651</v>
      </c>
    </row>
    <row r="43" spans="1:14">
      <c r="I43" t="s">
        <v>2652</v>
      </c>
      <c r="J43" t="s">
        <v>968</v>
      </c>
      <c r="K43" t="s">
        <v>2653</v>
      </c>
      <c r="M43" t="s">
        <v>968</v>
      </c>
      <c r="N43" t="s">
        <v>2653</v>
      </c>
    </row>
    <row r="44" spans="1:14">
      <c r="H44" t="s">
        <v>2654</v>
      </c>
      <c r="I44">
        <v>-1.0064516129032199</v>
      </c>
      <c r="J44">
        <v>-0.91428571428571304</v>
      </c>
      <c r="K44">
        <v>-0.69750889679731798</v>
      </c>
    </row>
    <row r="45" spans="1:14">
      <c r="H45" t="s">
        <v>2655</v>
      </c>
      <c r="I45">
        <v>-1.0064516129032199</v>
      </c>
      <c r="J45">
        <v>-0.91428571428571304</v>
      </c>
      <c r="K45">
        <v>-0.69750889679731798</v>
      </c>
    </row>
    <row r="46" spans="1:14">
      <c r="H46" t="s">
        <v>2656</v>
      </c>
      <c r="I46">
        <v>-1.0064516129032199</v>
      </c>
      <c r="J46">
        <v>-0.91428571428571304</v>
      </c>
      <c r="K46">
        <v>-0.69750889679731798</v>
      </c>
    </row>
    <row r="47" spans="1:14">
      <c r="H47" t="s">
        <v>2657</v>
      </c>
      <c r="I47">
        <v>-1.10967741935483</v>
      </c>
      <c r="J47">
        <v>-0.999999999999999</v>
      </c>
      <c r="K47">
        <v>-0.78291814946635796</v>
      </c>
    </row>
    <row r="48" spans="1:14">
      <c r="H48" t="s">
        <v>2658</v>
      </c>
      <c r="I48">
        <v>-3.2774193548386998</v>
      </c>
      <c r="J48">
        <v>-2.6857142857142802</v>
      </c>
      <c r="K48">
        <v>-2.0925266903916202</v>
      </c>
    </row>
    <row r="49" spans="8:13">
      <c r="H49" t="s">
        <v>2659</v>
      </c>
      <c r="I49">
        <v>-3.2774193548386998</v>
      </c>
      <c r="J49">
        <v>-2.6857142857142802</v>
      </c>
      <c r="K49">
        <v>-2.0925266903916202</v>
      </c>
    </row>
    <row r="50" spans="8:13">
      <c r="H50" t="s">
        <v>2660</v>
      </c>
      <c r="I50">
        <v>-3.5096774193548299</v>
      </c>
      <c r="J50">
        <v>-2.8</v>
      </c>
      <c r="K50">
        <v>-2.20640569395034</v>
      </c>
    </row>
    <row r="51" spans="8:13">
      <c r="H51" t="s">
        <v>2661</v>
      </c>
      <c r="I51">
        <v>-3.5870967741935398</v>
      </c>
      <c r="J51">
        <v>-2.94285714285714</v>
      </c>
      <c r="K51">
        <v>-2.2918149466193798</v>
      </c>
    </row>
    <row r="64" spans="8:13">
      <c r="I64" t="s">
        <v>1214</v>
      </c>
      <c r="J64" t="s">
        <v>1154</v>
      </c>
      <c r="K64" t="s">
        <v>2662</v>
      </c>
      <c r="M64" t="s">
        <v>2663</v>
      </c>
    </row>
    <row r="65" spans="1:13">
      <c r="A65" t="s">
        <v>2664</v>
      </c>
      <c r="I65" t="s">
        <v>229</v>
      </c>
      <c r="J65">
        <v>-0.83333333333333204</v>
      </c>
      <c r="K65">
        <v>0.55348837209267598</v>
      </c>
      <c r="M65">
        <f t="shared" ref="M65:M68" si="4">K65-J65</f>
        <v>1.3868217054260081</v>
      </c>
    </row>
    <row r="66" spans="1:13">
      <c r="I66" t="s">
        <v>2627</v>
      </c>
      <c r="J66">
        <v>1.2916666666666601</v>
      </c>
      <c r="K66">
        <v>4.9488372093022104</v>
      </c>
      <c r="M66">
        <f t="shared" si="4"/>
        <v>3.6571705426355505</v>
      </c>
    </row>
    <row r="67" spans="1:13">
      <c r="I67" t="s">
        <v>2665</v>
      </c>
      <c r="J67">
        <v>2.0833333333333299</v>
      </c>
      <c r="K67">
        <v>2.4372093023253298</v>
      </c>
      <c r="M67">
        <f t="shared" si="4"/>
        <v>0.35387596899199991</v>
      </c>
    </row>
    <row r="68" spans="1:13">
      <c r="I68" t="s">
        <v>2666</v>
      </c>
      <c r="K68">
        <v>1.8930232558136699</v>
      </c>
      <c r="M68">
        <f t="shared" si="4"/>
        <v>1.8930232558136699</v>
      </c>
    </row>
    <row r="88" spans="1:9">
      <c r="A88" t="s">
        <v>2667</v>
      </c>
      <c r="E88" t="s">
        <v>2668</v>
      </c>
      <c r="F88" t="s">
        <v>1043</v>
      </c>
      <c r="G88" t="s">
        <v>182</v>
      </c>
      <c r="H88" t="s">
        <v>2669</v>
      </c>
    </row>
    <row r="89" spans="1:9">
      <c r="E89" t="s">
        <v>2670</v>
      </c>
      <c r="F89">
        <v>272.77999999999997</v>
      </c>
      <c r="G89">
        <v>221.89</v>
      </c>
      <c r="H89">
        <f>G89-C94+C93</f>
        <v>200.18999999999997</v>
      </c>
    </row>
    <row r="90" spans="1:9">
      <c r="B90" t="s">
        <v>2671</v>
      </c>
      <c r="C90">
        <f>+C93/(C91*C92)</f>
        <v>0.27407407407407408</v>
      </c>
      <c r="E90" t="s">
        <v>2672</v>
      </c>
      <c r="F90">
        <v>0</v>
      </c>
      <c r="G90">
        <v>0</v>
      </c>
      <c r="H90">
        <f t="shared" ref="H90:H92" si="5">G90</f>
        <v>0</v>
      </c>
    </row>
    <row r="91" spans="1:9">
      <c r="B91" t="s">
        <v>2673</v>
      </c>
      <c r="C91">
        <v>150</v>
      </c>
      <c r="E91" t="s">
        <v>2674</v>
      </c>
      <c r="F91">
        <v>9.0299999999999994</v>
      </c>
      <c r="G91">
        <v>8.64</v>
      </c>
      <c r="H91">
        <f t="shared" si="5"/>
        <v>8.64</v>
      </c>
    </row>
    <row r="92" spans="1:9">
      <c r="B92" t="s">
        <v>2675</v>
      </c>
      <c r="C92">
        <v>0.09</v>
      </c>
      <c r="E92" t="s">
        <v>2676</v>
      </c>
      <c r="F92">
        <v>-63</v>
      </c>
      <c r="G92">
        <v>-102</v>
      </c>
      <c r="H92">
        <f t="shared" si="5"/>
        <v>-102</v>
      </c>
    </row>
    <row r="93" spans="1:9">
      <c r="B93" t="s">
        <v>2677</v>
      </c>
      <c r="C93">
        <v>3.7</v>
      </c>
      <c r="E93" t="s">
        <v>2678</v>
      </c>
      <c r="F93">
        <f>-SUM(F91:F92)</f>
        <v>53.97</v>
      </c>
      <c r="G93">
        <f t="shared" ref="G93:H93" si="6">-SUM(G91:G92)</f>
        <v>93.36</v>
      </c>
      <c r="H93">
        <f t="shared" si="6"/>
        <v>93.36</v>
      </c>
    </row>
    <row r="94" spans="1:9">
      <c r="B94" t="s">
        <v>2679</v>
      </c>
      <c r="C94">
        <v>25.4</v>
      </c>
      <c r="E94" t="s">
        <v>2627</v>
      </c>
      <c r="F94">
        <f>-SUM(F89:F92)</f>
        <v>-218.80999999999995</v>
      </c>
      <c r="G94">
        <f t="shared" ref="G94:H94" si="7">-SUM(G89:G92)</f>
        <v>-128.52999999999997</v>
      </c>
      <c r="H94">
        <f t="shared" si="7"/>
        <v>-106.82999999999998</v>
      </c>
    </row>
    <row r="96" spans="1:9">
      <c r="A96" t="s">
        <v>2680</v>
      </c>
      <c r="D96" t="s">
        <v>2681</v>
      </c>
      <c r="E96" t="s">
        <v>2682</v>
      </c>
      <c r="F96" t="s">
        <v>2683</v>
      </c>
      <c r="G96" t="s">
        <v>2684</v>
      </c>
      <c r="H96" t="s">
        <v>2685</v>
      </c>
      <c r="I96" t="s">
        <v>2686</v>
      </c>
    </row>
    <row r="97" spans="3:9">
      <c r="C97" t="s">
        <v>2687</v>
      </c>
      <c r="D97">
        <v>-1516</v>
      </c>
      <c r="E97">
        <v>-1516</v>
      </c>
      <c r="F97">
        <v>-1516</v>
      </c>
      <c r="G97">
        <v>-1516</v>
      </c>
      <c r="H97">
        <v>-1516</v>
      </c>
      <c r="I97">
        <v>1516</v>
      </c>
    </row>
    <row r="98" spans="3:9">
      <c r="C98" t="s">
        <v>2688</v>
      </c>
      <c r="D98">
        <v>273</v>
      </c>
      <c r="E98">
        <v>273</v>
      </c>
      <c r="F98">
        <v>273</v>
      </c>
      <c r="G98">
        <v>273</v>
      </c>
      <c r="H98">
        <v>273</v>
      </c>
      <c r="I98">
        <v>273</v>
      </c>
    </row>
    <row r="99" spans="3:9">
      <c r="C99" t="s">
        <v>2689</v>
      </c>
      <c r="D99">
        <v>100</v>
      </c>
      <c r="E99">
        <v>100</v>
      </c>
      <c r="F99">
        <v>100</v>
      </c>
      <c r="G99">
        <v>100</v>
      </c>
      <c r="H99">
        <v>100</v>
      </c>
      <c r="I99">
        <v>100</v>
      </c>
    </row>
    <row r="100" spans="3:9">
      <c r="C100" t="s">
        <v>2690</v>
      </c>
      <c r="D100">
        <v>52</v>
      </c>
      <c r="E100">
        <v>52</v>
      </c>
      <c r="F100">
        <v>52</v>
      </c>
      <c r="G100">
        <v>52</v>
      </c>
      <c r="H100">
        <v>171</v>
      </c>
      <c r="I100">
        <v>52</v>
      </c>
    </row>
    <row r="101" spans="3:9">
      <c r="C101" t="s">
        <v>2691</v>
      </c>
      <c r="D101">
        <v>41</v>
      </c>
      <c r="E101">
        <v>41</v>
      </c>
      <c r="F101">
        <v>43</v>
      </c>
      <c r="G101">
        <v>43</v>
      </c>
      <c r="H101">
        <v>43</v>
      </c>
      <c r="I101">
        <v>43</v>
      </c>
    </row>
    <row r="102" spans="3:9">
      <c r="C102" t="s">
        <v>726</v>
      </c>
      <c r="D102">
        <v>0</v>
      </c>
      <c r="E102">
        <v>0</v>
      </c>
      <c r="F102">
        <v>800</v>
      </c>
      <c r="G102">
        <v>800</v>
      </c>
      <c r="H102">
        <v>800</v>
      </c>
      <c r="I102">
        <v>800</v>
      </c>
    </row>
    <row r="103" spans="3:9">
      <c r="C103" t="s">
        <v>2692</v>
      </c>
      <c r="D103">
        <v>0</v>
      </c>
      <c r="E103">
        <v>0</v>
      </c>
      <c r="F103">
        <v>-490</v>
      </c>
      <c r="G103">
        <v>-662</v>
      </c>
      <c r="H103">
        <v>-490</v>
      </c>
      <c r="I103">
        <v>-490</v>
      </c>
    </row>
    <row r="104" spans="3:9">
      <c r="C104" t="s">
        <v>2693</v>
      </c>
      <c r="D104">
        <v>1076</v>
      </c>
      <c r="E104">
        <v>1150</v>
      </c>
      <c r="F104">
        <v>0</v>
      </c>
      <c r="G104">
        <v>0</v>
      </c>
      <c r="H104">
        <v>0</v>
      </c>
      <c r="I104">
        <v>0</v>
      </c>
    </row>
    <row r="105" spans="3:9">
      <c r="C105" t="s">
        <v>2694</v>
      </c>
      <c r="E105">
        <v>-811</v>
      </c>
      <c r="F105">
        <v>0</v>
      </c>
      <c r="G105">
        <v>0</v>
      </c>
      <c r="H105">
        <v>0</v>
      </c>
      <c r="I105">
        <v>0</v>
      </c>
    </row>
    <row r="106" spans="3:9">
      <c r="C106" t="s">
        <v>2627</v>
      </c>
      <c r="D106">
        <v>26</v>
      </c>
      <c r="E106">
        <v>-711</v>
      </c>
      <c r="F106">
        <v>-738</v>
      </c>
      <c r="G106">
        <v>-910</v>
      </c>
      <c r="H106">
        <v>-619</v>
      </c>
      <c r="I106">
        <v>2294</v>
      </c>
    </row>
    <row r="107" spans="3:9">
      <c r="C107" t="s">
        <v>2695</v>
      </c>
      <c r="D107">
        <v>0.09</v>
      </c>
      <c r="E107">
        <v>-2.4300000000000002</v>
      </c>
      <c r="F107">
        <v>-2.52</v>
      </c>
      <c r="G107">
        <v>-3.11</v>
      </c>
      <c r="H107">
        <v>-2.12</v>
      </c>
      <c r="I107">
        <v>7.84</v>
      </c>
    </row>
    <row r="109" spans="3:9">
      <c r="C109" t="s">
        <v>2696</v>
      </c>
      <c r="D109">
        <f t="shared" ref="D109:D110" si="8">-D97</f>
        <v>1516</v>
      </c>
      <c r="E109">
        <f t="shared" ref="E109:I110" si="9">-E97</f>
        <v>1516</v>
      </c>
      <c r="F109">
        <f t="shared" si="9"/>
        <v>1516</v>
      </c>
      <c r="G109">
        <f t="shared" si="9"/>
        <v>1516</v>
      </c>
      <c r="H109">
        <f t="shared" si="9"/>
        <v>1516</v>
      </c>
      <c r="I109">
        <f t="shared" si="9"/>
        <v>-1516</v>
      </c>
    </row>
    <row r="110" spans="3:9">
      <c r="C110" t="s">
        <v>1353</v>
      </c>
      <c r="D110">
        <f t="shared" si="8"/>
        <v>-273</v>
      </c>
      <c r="E110">
        <f t="shared" si="9"/>
        <v>-273</v>
      </c>
      <c r="F110">
        <f t="shared" si="9"/>
        <v>-273</v>
      </c>
      <c r="G110">
        <f t="shared" si="9"/>
        <v>-273</v>
      </c>
      <c r="H110">
        <f t="shared" si="9"/>
        <v>-273</v>
      </c>
      <c r="I110">
        <f t="shared" si="9"/>
        <v>-273</v>
      </c>
    </row>
    <row r="111" spans="3:9">
      <c r="C111" t="s">
        <v>2697</v>
      </c>
      <c r="D111">
        <f>-SUM(D99:D101)</f>
        <v>-193</v>
      </c>
      <c r="E111">
        <f t="shared" ref="E111:I111" si="10">-SUM(E99:E101)</f>
        <v>-193</v>
      </c>
      <c r="F111">
        <f t="shared" si="10"/>
        <v>-195</v>
      </c>
      <c r="G111">
        <f t="shared" si="10"/>
        <v>-195</v>
      </c>
      <c r="H111">
        <f t="shared" si="10"/>
        <v>-314</v>
      </c>
      <c r="I111">
        <f t="shared" si="10"/>
        <v>-195</v>
      </c>
    </row>
    <row r="112" spans="3:9">
      <c r="C112" t="s">
        <v>2698</v>
      </c>
      <c r="D112">
        <f>-SUM(D102:D105)</f>
        <v>-1076</v>
      </c>
      <c r="E112">
        <f t="shared" ref="E112:I112" si="11">-SUM(E102:E105)</f>
        <v>-339</v>
      </c>
      <c r="F112">
        <f t="shared" si="11"/>
        <v>-310</v>
      </c>
      <c r="G112">
        <f t="shared" si="11"/>
        <v>-138</v>
      </c>
      <c r="H112">
        <f t="shared" si="11"/>
        <v>-310</v>
      </c>
      <c r="I112">
        <f t="shared" si="11"/>
        <v>-310</v>
      </c>
    </row>
    <row r="113" spans="1:37">
      <c r="C113" t="s">
        <v>2627</v>
      </c>
      <c r="D113">
        <f>-D106</f>
        <v>-26</v>
      </c>
      <c r="E113">
        <f t="shared" ref="E113:I113" si="12">-E106</f>
        <v>711</v>
      </c>
      <c r="F113">
        <f t="shared" si="12"/>
        <v>738</v>
      </c>
      <c r="G113">
        <f t="shared" si="12"/>
        <v>910</v>
      </c>
      <c r="H113">
        <f t="shared" si="12"/>
        <v>619</v>
      </c>
      <c r="I113">
        <f t="shared" si="12"/>
        <v>-2294</v>
      </c>
    </row>
    <row r="114" spans="1:37">
      <c r="C114" t="s">
        <v>2699</v>
      </c>
      <c r="D114">
        <f>D112+D111</f>
        <v>-1269</v>
      </c>
      <c r="E114">
        <f t="shared" ref="E114:I114" si="13">E112+E111</f>
        <v>-532</v>
      </c>
      <c r="F114">
        <f t="shared" si="13"/>
        <v>-505</v>
      </c>
      <c r="G114">
        <f t="shared" si="13"/>
        <v>-333</v>
      </c>
      <c r="H114">
        <f t="shared" si="13"/>
        <v>-624</v>
      </c>
      <c r="I114">
        <f t="shared" si="13"/>
        <v>-505</v>
      </c>
    </row>
    <row r="115" spans="1:37">
      <c r="C115" t="s">
        <v>2700</v>
      </c>
      <c r="D115">
        <f>SUM(D110:D112)</f>
        <v>-1542</v>
      </c>
      <c r="E115">
        <f t="shared" ref="E115:I115" si="14">SUM(E110:E112)</f>
        <v>-805</v>
      </c>
      <c r="F115">
        <f t="shared" si="14"/>
        <v>-778</v>
      </c>
      <c r="G115">
        <f t="shared" si="14"/>
        <v>-606</v>
      </c>
      <c r="H115">
        <f t="shared" si="14"/>
        <v>-897</v>
      </c>
      <c r="I115">
        <f t="shared" si="14"/>
        <v>-778</v>
      </c>
    </row>
    <row r="116" spans="1:37">
      <c r="C116" t="s">
        <v>2701</v>
      </c>
      <c r="F116">
        <f>SUM(F109:F110)</f>
        <v>1243</v>
      </c>
      <c r="I116">
        <f>SUM(I109:I110)</f>
        <v>-1789</v>
      </c>
    </row>
    <row r="117" spans="1:37">
      <c r="C117" t="s">
        <v>2702</v>
      </c>
      <c r="F117">
        <f>SUM(F109:F111)</f>
        <v>1048</v>
      </c>
      <c r="I117">
        <f>SUM(I109:I111)</f>
        <v>-1984</v>
      </c>
    </row>
    <row r="120" spans="1:37">
      <c r="A120" t="s">
        <v>2703</v>
      </c>
    </row>
    <row r="121" spans="1:37">
      <c r="H121" t="s">
        <v>2324</v>
      </c>
      <c r="I121" t="s">
        <v>2704</v>
      </c>
      <c r="O121" t="s">
        <v>2705</v>
      </c>
      <c r="U121" t="s">
        <v>2706</v>
      </c>
      <c r="AA121" t="s">
        <v>2707</v>
      </c>
      <c r="AG121" t="s">
        <v>2708</v>
      </c>
    </row>
    <row r="122" spans="1:37">
      <c r="H122" t="s">
        <v>2709</v>
      </c>
      <c r="I122" t="s">
        <v>1154</v>
      </c>
      <c r="J122" t="s">
        <v>2487</v>
      </c>
      <c r="K122" t="s">
        <v>2485</v>
      </c>
      <c r="L122" t="s">
        <v>2486</v>
      </c>
      <c r="M122" t="s">
        <v>2481</v>
      </c>
      <c r="O122" t="s">
        <v>1154</v>
      </c>
      <c r="P122" t="s">
        <v>2487</v>
      </c>
      <c r="Q122" t="s">
        <v>2485</v>
      </c>
      <c r="R122" t="s">
        <v>2486</v>
      </c>
      <c r="S122" t="s">
        <v>2481</v>
      </c>
      <c r="U122" t="s">
        <v>1154</v>
      </c>
      <c r="V122" t="s">
        <v>2487</v>
      </c>
      <c r="W122" t="s">
        <v>2485</v>
      </c>
      <c r="X122" t="s">
        <v>2486</v>
      </c>
      <c r="Y122" t="s">
        <v>2481</v>
      </c>
      <c r="AA122" t="s">
        <v>1154</v>
      </c>
      <c r="AB122" t="s">
        <v>2487</v>
      </c>
      <c r="AC122" t="s">
        <v>2485</v>
      </c>
      <c r="AD122" t="s">
        <v>2486</v>
      </c>
      <c r="AE122" t="s">
        <v>2481</v>
      </c>
      <c r="AG122" t="s">
        <v>1154</v>
      </c>
      <c r="AH122" t="s">
        <v>2487</v>
      </c>
      <c r="AI122" t="s">
        <v>2485</v>
      </c>
      <c r="AJ122" t="s">
        <v>2486</v>
      </c>
      <c r="AK122" t="s">
        <v>2481</v>
      </c>
    </row>
    <row r="123" spans="1:37">
      <c r="G123" t="e">
        <f>VLOOKUP($H123,$G$133:$I$147,3,FALSE)</f>
        <v>#N/A</v>
      </c>
      <c r="H123">
        <v>2010</v>
      </c>
      <c r="I123">
        <v>-79.911750082863705</v>
      </c>
      <c r="J123">
        <v>-88.840321511435207</v>
      </c>
      <c r="K123">
        <v>-93.304607225720801</v>
      </c>
      <c r="L123">
        <v>-91.072464368577997</v>
      </c>
      <c r="M123">
        <v>-91.072464368577997</v>
      </c>
      <c r="O123">
        <v>-3.4228063240000002</v>
      </c>
      <c r="P123">
        <v>-4.3718253599999999</v>
      </c>
      <c r="Q123">
        <v>-6.05365565176049</v>
      </c>
      <c r="R123">
        <v>-6.05365565176049</v>
      </c>
      <c r="S123">
        <v>-3.8156926666783</v>
      </c>
      <c r="T123">
        <v>2010</v>
      </c>
      <c r="U123">
        <v>-7.5664411605007098</v>
      </c>
      <c r="V123">
        <v>-7.56578078452665</v>
      </c>
      <c r="W123">
        <v>-8.6507785098983092</v>
      </c>
      <c r="X123">
        <v>-8.6507785098983092</v>
      </c>
      <c r="Y123">
        <v>-5.7834385346675203</v>
      </c>
      <c r="Z123">
        <v>2010</v>
      </c>
      <c r="AA123">
        <v>-18.691551147654099</v>
      </c>
      <c r="AB123">
        <v>-22.501966898584101</v>
      </c>
      <c r="AC123">
        <v>-30.005522629337001</v>
      </c>
      <c r="AD123">
        <v>-22.501966898584101</v>
      </c>
      <c r="AE123">
        <v>-35.188484584546799</v>
      </c>
      <c r="AG123">
        <v>-37.155963302752298</v>
      </c>
      <c r="AH123">
        <v>-37.155963302752298</v>
      </c>
      <c r="AI123">
        <v>-35.287694609040798</v>
      </c>
      <c r="AJ123">
        <v>-35.287694609040798</v>
      </c>
      <c r="AK123">
        <v>-38.1598933469554</v>
      </c>
    </row>
    <row r="124" spans="1:37">
      <c r="H124">
        <v>2020</v>
      </c>
      <c r="I124">
        <v>-174.89574422583399</v>
      </c>
      <c r="J124">
        <v>-191.783843028229</v>
      </c>
      <c r="K124">
        <v>-201.434185201026</v>
      </c>
      <c r="L124">
        <v>-202.23421445144101</v>
      </c>
      <c r="M124">
        <v>-242.44813943541399</v>
      </c>
      <c r="O124">
        <v>-7.4793023720000003</v>
      </c>
      <c r="P124">
        <v>-7.6969451549999999</v>
      </c>
      <c r="Q124">
        <v>-13.1140422522215</v>
      </c>
      <c r="R124">
        <v>-13.1140422522215</v>
      </c>
      <c r="S124">
        <v>-7.1435188083272196</v>
      </c>
      <c r="T124">
        <v>2020</v>
      </c>
      <c r="U124">
        <v>-14.569752670924</v>
      </c>
      <c r="V124">
        <v>-17.871387146394898</v>
      </c>
      <c r="W124">
        <v>-23.911132302076499</v>
      </c>
      <c r="X124">
        <v>-23.911132302076499</v>
      </c>
      <c r="Y124">
        <v>-5.7966717315364198</v>
      </c>
      <c r="Z124">
        <v>2020</v>
      </c>
      <c r="AA124">
        <v>-51.753527655772103</v>
      </c>
      <c r="AB124">
        <v>-55.548440362193297</v>
      </c>
      <c r="AC124">
        <v>-58.956730626566099</v>
      </c>
      <c r="AD124">
        <v>-55.548440362193297</v>
      </c>
      <c r="AE124">
        <v>-136.63451857430701</v>
      </c>
      <c r="AG124">
        <v>-74.094218276761396</v>
      </c>
      <c r="AH124">
        <v>-73.279816513761403</v>
      </c>
      <c r="AI124">
        <v>-76.968013331651093</v>
      </c>
      <c r="AJ124">
        <v>-76.968013331651093</v>
      </c>
      <c r="AK124">
        <v>-66.459183360346103</v>
      </c>
    </row>
    <row r="125" spans="1:37">
      <c r="H125">
        <v>2030</v>
      </c>
      <c r="I125">
        <v>-266.57399486740798</v>
      </c>
      <c r="J125">
        <v>-288.61473481608198</v>
      </c>
      <c r="K125">
        <v>-319.65087681779301</v>
      </c>
      <c r="L125">
        <v>-329.01578554855797</v>
      </c>
      <c r="M125">
        <v>-370.31517322497803</v>
      </c>
      <c r="O125">
        <v>-11.61255261</v>
      </c>
      <c r="P125">
        <v>-11.57624373</v>
      </c>
      <c r="Q125">
        <v>-23.379237880929601</v>
      </c>
      <c r="R125">
        <v>-23.379237880929601</v>
      </c>
      <c r="S125">
        <v>-9.9473622279573899</v>
      </c>
      <c r="T125">
        <v>2030</v>
      </c>
      <c r="U125">
        <v>-22.8212002382616</v>
      </c>
      <c r="V125">
        <v>-22.218630507198998</v>
      </c>
      <c r="W125">
        <v>-44.790201408851402</v>
      </c>
      <c r="X125">
        <v>-44.790201408851402</v>
      </c>
      <c r="Y125">
        <v>-4.1490035239972203</v>
      </c>
      <c r="Z125">
        <v>2030</v>
      </c>
      <c r="AA125">
        <v>-74.937586702500695</v>
      </c>
      <c r="AB125">
        <v>-76.966731236946401</v>
      </c>
      <c r="AC125">
        <v>-79.643362017116502</v>
      </c>
      <c r="AD125">
        <v>-76.966731236946401</v>
      </c>
      <c r="AE125">
        <v>-223.834792619919</v>
      </c>
      <c r="AG125">
        <v>-110.02313103467</v>
      </c>
      <c r="AH125">
        <v>-107.199838087114</v>
      </c>
      <c r="AI125">
        <v>-118.16700482998201</v>
      </c>
      <c r="AJ125">
        <v>-118.16700482998201</v>
      </c>
      <c r="AK125">
        <v>-94.764973268048493</v>
      </c>
    </row>
    <row r="126" spans="1:37">
      <c r="H126">
        <v>2040</v>
      </c>
      <c r="I126">
        <v>-358.25224550898201</v>
      </c>
      <c r="J126">
        <v>-375.14034431137702</v>
      </c>
      <c r="K126">
        <v>-432.86195466210398</v>
      </c>
      <c r="L126">
        <v>-437.94539277427799</v>
      </c>
      <c r="M126">
        <v>-478.88152266894798</v>
      </c>
      <c r="O126">
        <v>-16.033774959999999</v>
      </c>
      <c r="P126">
        <v>-14.624262359999999</v>
      </c>
      <c r="Q126">
        <v>-35.146969545120101</v>
      </c>
      <c r="R126">
        <v>-35.146969545120101</v>
      </c>
      <c r="S126">
        <v>-12.670394491153999</v>
      </c>
      <c r="T126">
        <v>2040</v>
      </c>
      <c r="U126">
        <v>-28.314179013492801</v>
      </c>
      <c r="V126">
        <v>-25.585051641920199</v>
      </c>
      <c r="W126">
        <v>-61.842838403222601</v>
      </c>
      <c r="X126">
        <v>-61.842838403222601</v>
      </c>
      <c r="Y126">
        <v>-3.0547328907452198</v>
      </c>
      <c r="Z126">
        <v>2040</v>
      </c>
      <c r="AA126">
        <v>-103.128697225499</v>
      </c>
      <c r="AB126">
        <v>-85.880029919208596</v>
      </c>
      <c r="AC126">
        <v>-94.842276202986298</v>
      </c>
      <c r="AD126">
        <v>-85.880029919208596</v>
      </c>
      <c r="AE126">
        <v>-300.79605909268503</v>
      </c>
      <c r="AG126">
        <v>-148.17936495958699</v>
      </c>
      <c r="AH126">
        <v>-142.68006583602499</v>
      </c>
      <c r="AI126">
        <v>-160.009227130916</v>
      </c>
      <c r="AJ126">
        <v>-160.009227130916</v>
      </c>
      <c r="AK126">
        <v>-123.18759220940601</v>
      </c>
    </row>
    <row r="127" spans="1:37">
      <c r="H127">
        <v>2050</v>
      </c>
      <c r="I127">
        <v>-444.74443969204401</v>
      </c>
      <c r="J127">
        <v>-457.92343883661198</v>
      </c>
      <c r="K127">
        <v>-541.24786142001699</v>
      </c>
      <c r="L127">
        <v>-544.642857142857</v>
      </c>
      <c r="M127">
        <v>-575.024059024807</v>
      </c>
      <c r="O127">
        <v>-21.021863880000002</v>
      </c>
      <c r="P127">
        <v>-17.672284350000002</v>
      </c>
      <c r="Q127">
        <v>-46.846647670599197</v>
      </c>
      <c r="R127">
        <v>-46.846647670599197</v>
      </c>
      <c r="S127">
        <v>-14.907508054462699</v>
      </c>
      <c r="T127">
        <v>2050</v>
      </c>
      <c r="U127">
        <v>-33.279161305621301</v>
      </c>
      <c r="V127">
        <v>-26.665391740362399</v>
      </c>
      <c r="W127">
        <v>-76.645883575091005</v>
      </c>
      <c r="X127">
        <v>-76.645883575091005</v>
      </c>
      <c r="Y127">
        <v>-0.83981993161341895</v>
      </c>
      <c r="Z127">
        <v>2050</v>
      </c>
      <c r="AA127">
        <v>-119.709197910017</v>
      </c>
      <c r="AB127">
        <v>-89.934505989888095</v>
      </c>
      <c r="AC127">
        <v>-105.685944766357</v>
      </c>
      <c r="AD127">
        <v>-89.934505989888095</v>
      </c>
      <c r="AE127">
        <v>-353.40571494908198</v>
      </c>
      <c r="AG127">
        <v>-184.06566486446999</v>
      </c>
      <c r="AH127">
        <v>-178.74915183526599</v>
      </c>
      <c r="AI127">
        <v>-205.17764717771101</v>
      </c>
      <c r="AJ127">
        <v>-205.17764717771101</v>
      </c>
      <c r="AK127">
        <v>-150.32297830844701</v>
      </c>
    </row>
    <row r="128" spans="1:37">
      <c r="H128">
        <v>2060</v>
      </c>
      <c r="I128">
        <v>-516.00593455945204</v>
      </c>
      <c r="J128">
        <v>-521.87603579714903</v>
      </c>
      <c r="K128">
        <v>-650.17509623609897</v>
      </c>
      <c r="L128">
        <v>-626.98486954662098</v>
      </c>
      <c r="M128">
        <v>-644.05341103507203</v>
      </c>
      <c r="O128">
        <v>-25.391129490000001</v>
      </c>
      <c r="P128">
        <v>-21.274481770000001</v>
      </c>
      <c r="Q128">
        <v>-59.771474596120001</v>
      </c>
      <c r="R128">
        <v>-59.771474596120001</v>
      </c>
      <c r="S128">
        <v>-18.262619851211401</v>
      </c>
      <c r="T128">
        <v>2060</v>
      </c>
      <c r="U128">
        <v>-36.530488452445297</v>
      </c>
      <c r="V128">
        <v>-28.3273660020776</v>
      </c>
      <c r="W128">
        <v>-89.336401163736497</v>
      </c>
      <c r="X128">
        <v>-89.336401163736497</v>
      </c>
      <c r="Y128">
        <v>0.259786493257323</v>
      </c>
      <c r="Z128">
        <v>2060</v>
      </c>
      <c r="AA128">
        <v>-124.386230701242</v>
      </c>
      <c r="AB128">
        <v>-74.657916514909303</v>
      </c>
      <c r="AC128">
        <v>-116.07299548902699</v>
      </c>
      <c r="AD128">
        <v>-74.657916514909303</v>
      </c>
      <c r="AE128">
        <v>-385.778591846273</v>
      </c>
      <c r="AG128">
        <v>-221.13917530304801</v>
      </c>
      <c r="AH128">
        <v>-213.605706748692</v>
      </c>
      <c r="AI128">
        <v>-247.07342243655299</v>
      </c>
      <c r="AJ128">
        <v>-247.07342243655299</v>
      </c>
      <c r="AK128">
        <v>-177.57799178463</v>
      </c>
    </row>
    <row r="129" spans="7:37">
      <c r="H129">
        <v>2070</v>
      </c>
      <c r="I129">
        <v>-572.791916167664</v>
      </c>
      <c r="J129">
        <v>-575.00207159429795</v>
      </c>
      <c r="K129">
        <v>-749.09110350727099</v>
      </c>
      <c r="L129">
        <v>-703.25197818648405</v>
      </c>
      <c r="M129">
        <v>-692.30512189905903</v>
      </c>
      <c r="O129">
        <v>-31.510434700000001</v>
      </c>
      <c r="P129">
        <v>-25.153773619999999</v>
      </c>
      <c r="Q129">
        <v>-73.376751985525999</v>
      </c>
      <c r="R129">
        <v>-73.376751985525999</v>
      </c>
      <c r="S129">
        <v>-21.048230996466199</v>
      </c>
      <c r="T129">
        <v>2070</v>
      </c>
      <c r="U129">
        <v>-39.875010485705502</v>
      </c>
      <c r="V129">
        <v>-28.8165119295703</v>
      </c>
      <c r="W129">
        <v>-99.747887335988906</v>
      </c>
      <c r="X129">
        <v>-99.747887335988906</v>
      </c>
      <c r="Y129">
        <v>1.9089209332364101</v>
      </c>
      <c r="Z129">
        <v>2070</v>
      </c>
      <c r="AA129">
        <v>-115.728548549046</v>
      </c>
      <c r="AB129">
        <v>-52.442931781406401</v>
      </c>
      <c r="AC129">
        <v>-119.33632070471501</v>
      </c>
      <c r="AD129">
        <v>-52.442931781406401</v>
      </c>
      <c r="AE129">
        <v>-395.94685625437501</v>
      </c>
      <c r="AG129">
        <v>-258.14936499743197</v>
      </c>
      <c r="AH129">
        <v>-250.34574023021401</v>
      </c>
      <c r="AI129">
        <v>-291.49069938582102</v>
      </c>
      <c r="AJ129">
        <v>-291.49069938582102</v>
      </c>
      <c r="AK129">
        <v>-204.70583316168401</v>
      </c>
    </row>
    <row r="130" spans="7:37">
      <c r="H130">
        <v>2080</v>
      </c>
      <c r="I130">
        <v>-622.34014114627803</v>
      </c>
      <c r="J130">
        <v>-650.17509623609897</v>
      </c>
      <c r="K130">
        <v>-847.82666809238594</v>
      </c>
      <c r="L130">
        <v>-805.69664242942599</v>
      </c>
      <c r="M130">
        <v>-722.55266253207799</v>
      </c>
      <c r="O130">
        <v>-36.638989899999999</v>
      </c>
      <c r="P130">
        <v>-29.03312266</v>
      </c>
      <c r="Q130">
        <v>-86.636333200959797</v>
      </c>
      <c r="R130">
        <v>-86.636333200959797</v>
      </c>
      <c r="S130">
        <v>-24.3636075670011</v>
      </c>
      <c r="T130">
        <v>2080</v>
      </c>
      <c r="U130">
        <v>-42.0734160854416</v>
      </c>
      <c r="V130">
        <v>-29.978340327602599</v>
      </c>
      <c r="W130">
        <v>-109.161063025307</v>
      </c>
      <c r="X130">
        <v>-109.161063025307</v>
      </c>
      <c r="Y130">
        <v>3.0086669296324202</v>
      </c>
      <c r="Z130">
        <v>2080</v>
      </c>
      <c r="AA130">
        <v>-97.317437193511296</v>
      </c>
      <c r="AB130">
        <v>-51.423686546173698</v>
      </c>
      <c r="AC130">
        <v>-116.827619921744</v>
      </c>
      <c r="AD130">
        <v>-51.423686546173698</v>
      </c>
      <c r="AE130">
        <v>-384.54733170913198</v>
      </c>
      <c r="AG130">
        <v>-294.198484850022</v>
      </c>
      <c r="AH130">
        <v>-284.20119272567501</v>
      </c>
      <c r="AI130">
        <v>-337.303775255039</v>
      </c>
      <c r="AJ130">
        <v>-337.303775255039</v>
      </c>
      <c r="AK130">
        <v>-231.99149250786101</v>
      </c>
    </row>
    <row r="131" spans="7:37">
      <c r="H131">
        <v>2090</v>
      </c>
      <c r="I131">
        <v>-662.23802395209498</v>
      </c>
      <c r="J131">
        <v>-717.72749144568002</v>
      </c>
      <c r="K131">
        <v>-932.44760479041895</v>
      </c>
      <c r="L131">
        <v>-894.96230752780104</v>
      </c>
      <c r="M131">
        <v>-728.49390504704797</v>
      </c>
      <c r="O131">
        <v>-42.191044900000001</v>
      </c>
      <c r="P131">
        <v>-32.63530325</v>
      </c>
      <c r="Q131">
        <v>-100.58230379807701</v>
      </c>
      <c r="R131">
        <v>-100.58230379807701</v>
      </c>
      <c r="S131">
        <v>-25.369211739549801</v>
      </c>
      <c r="T131">
        <v>2090</v>
      </c>
      <c r="U131">
        <v>-43.190097364479698</v>
      </c>
      <c r="V131">
        <v>-30.5281857532113</v>
      </c>
      <c r="W131">
        <v>-115.718908409535</v>
      </c>
      <c r="X131">
        <v>-115.718908409535</v>
      </c>
      <c r="Y131">
        <v>4.6577826244725804</v>
      </c>
      <c r="Z131">
        <v>2090</v>
      </c>
      <c r="AA131">
        <v>-73.410781675763403</v>
      </c>
      <c r="AB131">
        <v>-39.211061963691201</v>
      </c>
      <c r="AC131">
        <v>-103.43853301218</v>
      </c>
      <c r="AD131">
        <v>-39.211061963691201</v>
      </c>
      <c r="AE131">
        <v>-350.30815678968798</v>
      </c>
      <c r="AG131">
        <v>-329.95572118793598</v>
      </c>
      <c r="AH131">
        <v>-321.11705951978701</v>
      </c>
      <c r="AI131">
        <v>-379.72080327579602</v>
      </c>
      <c r="AJ131">
        <v>-379.72080327579602</v>
      </c>
      <c r="AK131">
        <v>-258.36007020915201</v>
      </c>
    </row>
    <row r="133" spans="7:37">
      <c r="I133" t="s">
        <v>2627</v>
      </c>
      <c r="O133" t="s">
        <v>2620</v>
      </c>
      <c r="U133" t="s">
        <v>2710</v>
      </c>
    </row>
    <row r="134" spans="7:37">
      <c r="I134" t="s">
        <v>1154</v>
      </c>
      <c r="J134" t="s">
        <v>2487</v>
      </c>
      <c r="K134" t="s">
        <v>2485</v>
      </c>
      <c r="L134" t="s">
        <v>2486</v>
      </c>
      <c r="M134" t="s">
        <v>2481</v>
      </c>
      <c r="O134" t="s">
        <v>1154</v>
      </c>
      <c r="P134" t="s">
        <v>2487</v>
      </c>
      <c r="Q134" t="s">
        <v>2485</v>
      </c>
      <c r="R134" t="s">
        <v>2486</v>
      </c>
      <c r="S134" t="s">
        <v>2481</v>
      </c>
      <c r="U134" t="s">
        <v>1154</v>
      </c>
      <c r="V134" t="s">
        <v>2487</v>
      </c>
      <c r="W134" t="s">
        <v>2485</v>
      </c>
      <c r="X134" t="s">
        <v>2486</v>
      </c>
      <c r="Y134" t="s">
        <v>2481</v>
      </c>
    </row>
    <row r="135" spans="7:37">
      <c r="H135">
        <v>2030</v>
      </c>
      <c r="I135">
        <f t="shared" ref="I135:M137" si="15">-VLOOKUP($H135,$H$122:$M$131,MATCH(I$134,$H$122:$M$122,0),FALSE)</f>
        <v>266.57399486740798</v>
      </c>
      <c r="J135">
        <f t="shared" si="15"/>
        <v>288.61473481608198</v>
      </c>
      <c r="K135">
        <f t="shared" si="15"/>
        <v>319.65087681779301</v>
      </c>
      <c r="L135">
        <f t="shared" si="15"/>
        <v>329.01578554855797</v>
      </c>
      <c r="M135">
        <f t="shared" si="15"/>
        <v>370.31517322497803</v>
      </c>
      <c r="O135">
        <f t="shared" ref="O135:S137" si="16">-VLOOKUP($H135,$Z$122:$AE$131,MATCH(O$134,$H$122:$M$122,0),FALSE)</f>
        <v>74.937586702500695</v>
      </c>
      <c r="P135">
        <f t="shared" si="16"/>
        <v>76.966731236946401</v>
      </c>
      <c r="Q135">
        <f t="shared" si="16"/>
        <v>79.643362017116502</v>
      </c>
      <c r="R135">
        <f t="shared" si="16"/>
        <v>76.966731236946401</v>
      </c>
      <c r="S135">
        <f t="shared" si="16"/>
        <v>223.834792619919</v>
      </c>
      <c r="U135">
        <f t="shared" ref="U135:Y137" si="17">O135-VLOOKUP($H135,$T$122:$Y$131,MATCH(U$134,$H$122:$M$122,0),FALSE)</f>
        <v>97.758786940762292</v>
      </c>
      <c r="V135">
        <f t="shared" si="17"/>
        <v>99.185361744145396</v>
      </c>
      <c r="W135">
        <f t="shared" si="17"/>
        <v>124.4335634259679</v>
      </c>
      <c r="X135">
        <f t="shared" si="17"/>
        <v>121.7569326457978</v>
      </c>
      <c r="Y135">
        <f t="shared" si="17"/>
        <v>227.98379614391621</v>
      </c>
    </row>
    <row r="136" spans="7:37">
      <c r="H136">
        <v>2060</v>
      </c>
      <c r="I136">
        <f t="shared" si="15"/>
        <v>516.00593455945204</v>
      </c>
      <c r="J136">
        <f t="shared" si="15"/>
        <v>521.87603579714903</v>
      </c>
      <c r="K136">
        <f t="shared" si="15"/>
        <v>650.17509623609897</v>
      </c>
      <c r="L136">
        <f t="shared" si="15"/>
        <v>626.98486954662098</v>
      </c>
      <c r="M136">
        <f t="shared" si="15"/>
        <v>644.05341103507203</v>
      </c>
      <c r="O136">
        <f t="shared" si="16"/>
        <v>124.386230701242</v>
      </c>
      <c r="P136">
        <f t="shared" si="16"/>
        <v>74.657916514909303</v>
      </c>
      <c r="Q136">
        <f t="shared" si="16"/>
        <v>116.07299548902699</v>
      </c>
      <c r="R136">
        <f t="shared" si="16"/>
        <v>74.657916514909303</v>
      </c>
      <c r="S136">
        <f t="shared" si="16"/>
        <v>385.778591846273</v>
      </c>
      <c r="U136">
        <f t="shared" si="17"/>
        <v>160.9167191536873</v>
      </c>
      <c r="V136">
        <f t="shared" si="17"/>
        <v>102.9852825169869</v>
      </c>
      <c r="W136">
        <f t="shared" si="17"/>
        <v>205.40939665276349</v>
      </c>
      <c r="X136">
        <f t="shared" si="17"/>
        <v>163.99431767864581</v>
      </c>
      <c r="Y136">
        <f t="shared" si="17"/>
        <v>385.51880535301569</v>
      </c>
    </row>
    <row r="137" spans="7:37">
      <c r="H137">
        <v>2090</v>
      </c>
      <c r="I137">
        <f t="shared" si="15"/>
        <v>662.23802395209498</v>
      </c>
      <c r="J137">
        <f t="shared" si="15"/>
        <v>717.72749144568002</v>
      </c>
      <c r="K137">
        <f t="shared" si="15"/>
        <v>932.44760479041895</v>
      </c>
      <c r="L137">
        <f t="shared" si="15"/>
        <v>894.96230752780104</v>
      </c>
      <c r="M137">
        <f t="shared" si="15"/>
        <v>728.49390504704797</v>
      </c>
      <c r="O137">
        <f t="shared" si="16"/>
        <v>73.410781675763403</v>
      </c>
      <c r="P137">
        <f t="shared" si="16"/>
        <v>39.211061963691201</v>
      </c>
      <c r="Q137">
        <f t="shared" si="16"/>
        <v>103.43853301218</v>
      </c>
      <c r="R137">
        <f t="shared" si="16"/>
        <v>39.211061963691201</v>
      </c>
      <c r="S137">
        <f t="shared" si="16"/>
        <v>350.30815678968798</v>
      </c>
      <c r="U137">
        <f t="shared" si="17"/>
        <v>116.6008790402431</v>
      </c>
      <c r="V137">
        <f t="shared" si="17"/>
        <v>69.739247716902497</v>
      </c>
      <c r="W137">
        <f t="shared" si="17"/>
        <v>219.15744142171502</v>
      </c>
      <c r="X137">
        <f t="shared" si="17"/>
        <v>154.92997037322621</v>
      </c>
      <c r="Y137">
        <f t="shared" si="17"/>
        <v>345.6503741652154</v>
      </c>
    </row>
    <row r="139" spans="7:37">
      <c r="G139" t="s">
        <v>2711</v>
      </c>
      <c r="I139" t="s">
        <v>1154</v>
      </c>
      <c r="J139" t="s">
        <v>2487</v>
      </c>
      <c r="K139" t="s">
        <v>2485</v>
      </c>
      <c r="L139" t="s">
        <v>2486</v>
      </c>
      <c r="M139" t="s">
        <v>2481</v>
      </c>
    </row>
    <row r="140" spans="7:37">
      <c r="G140">
        <v>5</v>
      </c>
      <c r="H140" t="s">
        <v>2712</v>
      </c>
      <c r="I140">
        <v>5.9</v>
      </c>
      <c r="J140">
        <v>9.1999999999999993</v>
      </c>
      <c r="K140">
        <v>8.5</v>
      </c>
      <c r="L140">
        <v>9.1999999999999993</v>
      </c>
      <c r="M140">
        <v>3</v>
      </c>
    </row>
    <row r="141" spans="7:37">
      <c r="H141" t="s">
        <v>2713</v>
      </c>
    </row>
    <row r="142" spans="7:37">
      <c r="H142">
        <v>2030</v>
      </c>
      <c r="I142">
        <f>($H142-2000)*AVERAGE(I140,$G$140)</f>
        <v>163.5</v>
      </c>
      <c r="J142">
        <f>($H142-2000)*AVERAGE(J140,$G$140)</f>
        <v>213</v>
      </c>
      <c r="K142">
        <f>($H142-2000)*AVERAGE(K140,$G$140)</f>
        <v>202.5</v>
      </c>
      <c r="L142">
        <f>($H142-2000)*AVERAGE(L140,$G$140)</f>
        <v>213</v>
      </c>
      <c r="M142">
        <f>($H142-2000)*AVERAGE(M140,$G$140)</f>
        <v>120</v>
      </c>
    </row>
    <row r="143" spans="7:37">
      <c r="H143">
        <v>2060</v>
      </c>
      <c r="I143">
        <f t="shared" ref="I143:M144" si="18">($H143-$H$142)*I$140+I$142</f>
        <v>340.5</v>
      </c>
      <c r="J143">
        <f t="shared" si="18"/>
        <v>489</v>
      </c>
      <c r="K143">
        <f t="shared" si="18"/>
        <v>457.5</v>
      </c>
      <c r="L143">
        <f t="shared" si="18"/>
        <v>489</v>
      </c>
      <c r="M143">
        <f t="shared" si="18"/>
        <v>210</v>
      </c>
    </row>
    <row r="144" spans="7:37">
      <c r="H144">
        <v>2090</v>
      </c>
      <c r="I144">
        <f t="shared" si="18"/>
        <v>517.5</v>
      </c>
      <c r="J144">
        <f t="shared" si="18"/>
        <v>765</v>
      </c>
      <c r="K144">
        <f t="shared" si="18"/>
        <v>712.5</v>
      </c>
      <c r="L144">
        <f t="shared" si="18"/>
        <v>765</v>
      </c>
      <c r="M144">
        <f t="shared" si="18"/>
        <v>300</v>
      </c>
    </row>
    <row r="146" spans="1:14">
      <c r="A146" t="s">
        <v>2714</v>
      </c>
      <c r="G146" t="s">
        <v>2715</v>
      </c>
      <c r="H146">
        <v>0.245</v>
      </c>
    </row>
    <row r="147" spans="1:14">
      <c r="J147" t="s">
        <v>2716</v>
      </c>
      <c r="K147" t="s">
        <v>2717</v>
      </c>
      <c r="L147" t="s">
        <v>2718</v>
      </c>
    </row>
    <row r="148" spans="1:14">
      <c r="G148" t="s">
        <v>2719</v>
      </c>
      <c r="H148">
        <v>0.116751269035533</v>
      </c>
      <c r="I148">
        <v>-13.5465116279069</v>
      </c>
      <c r="J148">
        <f>+I149-I148</f>
        <v>7.3255813953487605</v>
      </c>
      <c r="K148">
        <f>J148/C_to_CO2*1000/$H$146</f>
        <v>8147.2294893496755</v>
      </c>
      <c r="L148">
        <f>-(I150+I148)</f>
        <v>-59.593023255813996</v>
      </c>
      <c r="N148">
        <f>221*0.06</f>
        <v>13.26</v>
      </c>
    </row>
    <row r="149" spans="1:14">
      <c r="H149">
        <v>0.116751269035533</v>
      </c>
      <c r="I149">
        <v>-6.2209302325581399</v>
      </c>
    </row>
    <row r="150" spans="1:14">
      <c r="H150">
        <v>0.121827411167512</v>
      </c>
      <c r="I150">
        <v>73.139534883720899</v>
      </c>
    </row>
    <row r="151" spans="1:14">
      <c r="G151" t="s">
        <v>2720</v>
      </c>
      <c r="H151">
        <v>0.38324873096446699</v>
      </c>
      <c r="I151">
        <v>-20.058139534883701</v>
      </c>
      <c r="J151">
        <f>+I152-I151</f>
        <v>14.244186046511601</v>
      </c>
      <c r="K151">
        <f>J151/C_to_CO2*1000/$H$146</f>
        <v>15841.835118180061</v>
      </c>
      <c r="L151">
        <f>-(I153+I151)</f>
        <v>-31.918604651162703</v>
      </c>
    </row>
    <row r="152" spans="1:14">
      <c r="H152">
        <v>0.38324873096446699</v>
      </c>
      <c r="I152">
        <v>-5.8139534883720998</v>
      </c>
    </row>
    <row r="153" spans="1:14">
      <c r="H153">
        <v>0.38071065989847702</v>
      </c>
      <c r="I153">
        <v>51.976744186046403</v>
      </c>
    </row>
    <row r="154" spans="1:14">
      <c r="G154" t="s">
        <v>2721</v>
      </c>
      <c r="H154">
        <v>0.62690355329949199</v>
      </c>
      <c r="I154">
        <v>-16.802325581395301</v>
      </c>
      <c r="J154">
        <f>+I155-I154</f>
        <v>12.616279069767382</v>
      </c>
      <c r="K154">
        <f>J154/C_to_CO2*1000/$H$146</f>
        <v>14031.339676102298</v>
      </c>
      <c r="L154">
        <f>-(I156+I154)</f>
        <v>-59.999999999999993</v>
      </c>
    </row>
    <row r="155" spans="1:14">
      <c r="H155">
        <v>0.62690355329949199</v>
      </c>
      <c r="I155">
        <v>-4.1860465116279197</v>
      </c>
    </row>
    <row r="156" spans="1:14">
      <c r="H156">
        <v>0.62690355329949199</v>
      </c>
      <c r="I156">
        <v>76.802325581395294</v>
      </c>
    </row>
    <row r="157" spans="1:14">
      <c r="G157" t="s">
        <v>2722</v>
      </c>
      <c r="H157">
        <v>0.87309644670050701</v>
      </c>
      <c r="I157">
        <v>-22.5</v>
      </c>
      <c r="J157">
        <f>+I158-I157</f>
        <v>19.127906976744178</v>
      </c>
      <c r="K157">
        <f>J157/C_to_CO2*1000/$H$146</f>
        <v>21273.321444413257</v>
      </c>
      <c r="L157">
        <f>-(I159+I157)</f>
        <v>-26.6279069767441</v>
      </c>
    </row>
    <row r="158" spans="1:14">
      <c r="H158">
        <v>0.87563451776649703</v>
      </c>
      <c r="I158">
        <v>-3.3720930232558199</v>
      </c>
    </row>
    <row r="159" spans="1:14">
      <c r="H159">
        <v>0.87817258883248706</v>
      </c>
      <c r="I159">
        <v>49.1279069767441</v>
      </c>
    </row>
    <row r="161" spans="1:10">
      <c r="A161" t="s">
        <v>2723</v>
      </c>
    </row>
    <row r="162" spans="1:10">
      <c r="H162" t="s">
        <v>2724</v>
      </c>
      <c r="I162">
        <v>8.2467708777782006E-2</v>
      </c>
    </row>
    <row r="163" spans="1:10">
      <c r="H163" t="s">
        <v>2725</v>
      </c>
      <c r="I163">
        <v>0.50808347232457995</v>
      </c>
    </row>
    <row r="164" spans="1:10">
      <c r="H164" t="s">
        <v>2726</v>
      </c>
      <c r="I164">
        <v>1.0992164772506801</v>
      </c>
    </row>
    <row r="172" spans="1:10">
      <c r="A172" t="s">
        <v>2727</v>
      </c>
      <c r="E172" t="s">
        <v>2728</v>
      </c>
      <c r="F172" t="s">
        <v>2729</v>
      </c>
      <c r="G172" t="s">
        <v>2730</v>
      </c>
      <c r="H172" t="s">
        <v>2731</v>
      </c>
      <c r="I172" t="s">
        <v>2732</v>
      </c>
    </row>
    <row r="173" spans="1:10">
      <c r="A173" t="s">
        <v>2733</v>
      </c>
      <c r="B173" t="s">
        <v>2734</v>
      </c>
      <c r="C173">
        <v>0.53500000000000003</v>
      </c>
      <c r="E173" t="s">
        <v>2735</v>
      </c>
      <c r="F173" s="227">
        <f>-SUM($C$173,$C$175)</f>
        <v>-2.665</v>
      </c>
      <c r="G173" s="227">
        <f>-SUM($C$173,$C$174)</f>
        <v>-1.9969999999999999</v>
      </c>
      <c r="H173" s="227">
        <f>-SUM($C$173,$C$175)</f>
        <v>-2.665</v>
      </c>
      <c r="I173" s="227">
        <f>-SUM($C$173,$C$174)</f>
        <v>-1.9969999999999999</v>
      </c>
      <c r="J173" s="227"/>
    </row>
    <row r="174" spans="1:10">
      <c r="A174" t="s">
        <v>2736</v>
      </c>
      <c r="B174" t="s">
        <v>1197</v>
      </c>
      <c r="C174">
        <v>1.462</v>
      </c>
      <c r="E174" t="s">
        <v>2689</v>
      </c>
      <c r="F174">
        <f>-SUM($C$176,$C$177,$C$179)</f>
        <v>-12.636000000000001</v>
      </c>
      <c r="G174">
        <f>-SUM($C$176,$C$177,$C$179)</f>
        <v>-12.636000000000001</v>
      </c>
      <c r="H174">
        <f>-SUM($C$176,$C$178,$C$179)</f>
        <v>-9.6009999999999991</v>
      </c>
      <c r="I174">
        <f>-SUM($C$176,$C$178,$C$179)</f>
        <v>-9.6009999999999991</v>
      </c>
    </row>
    <row r="175" spans="1:10">
      <c r="A175" t="s">
        <v>1196</v>
      </c>
      <c r="C175">
        <v>2.13</v>
      </c>
      <c r="E175" t="s">
        <v>38</v>
      </c>
      <c r="F175" s="227">
        <f>SUM(F173:F174)</f>
        <v>-15.301000000000002</v>
      </c>
      <c r="G175" s="227">
        <f t="shared" ref="G175:I175" si="19">SUM(G173:G174)</f>
        <v>-14.633000000000001</v>
      </c>
      <c r="H175" s="227">
        <f t="shared" si="19"/>
        <v>-12.265999999999998</v>
      </c>
      <c r="I175" s="227">
        <f t="shared" si="19"/>
        <v>-11.597999999999999</v>
      </c>
      <c r="J175" s="227"/>
    </row>
    <row r="176" spans="1:10">
      <c r="A176" t="s">
        <v>2737</v>
      </c>
      <c r="B176" t="s">
        <v>2738</v>
      </c>
      <c r="C176">
        <v>0.38200000000000001</v>
      </c>
    </row>
    <row r="177" spans="1:42">
      <c r="A177" t="s">
        <v>2739</v>
      </c>
      <c r="B177" t="s">
        <v>2740</v>
      </c>
      <c r="C177">
        <v>10.582000000000001</v>
      </c>
    </row>
    <row r="178" spans="1:42">
      <c r="A178" t="s">
        <v>2741</v>
      </c>
      <c r="B178" t="s">
        <v>2742</v>
      </c>
      <c r="C178">
        <v>7.5469999999999997</v>
      </c>
    </row>
    <row r="179" spans="1:42">
      <c r="A179" t="s">
        <v>2743</v>
      </c>
      <c r="B179" t="s">
        <v>2744</v>
      </c>
      <c r="C179">
        <v>1.6719999999999999</v>
      </c>
      <c r="H179" s="228" t="s">
        <v>426</v>
      </c>
      <c r="I179" s="228" t="s">
        <v>426</v>
      </c>
      <c r="J179" t="s">
        <v>2745</v>
      </c>
      <c r="K179" s="229" t="s">
        <v>429</v>
      </c>
      <c r="L179" s="230" t="s">
        <v>429</v>
      </c>
      <c r="M179" s="231" t="s">
        <v>429</v>
      </c>
      <c r="N179" t="s">
        <v>2745</v>
      </c>
      <c r="O179" s="229" t="s">
        <v>429</v>
      </c>
      <c r="P179" s="230" t="s">
        <v>429</v>
      </c>
      <c r="Q179" s="231" t="s">
        <v>429</v>
      </c>
      <c r="R179" s="229"/>
      <c r="S179" s="230" t="s">
        <v>1589</v>
      </c>
      <c r="T179" s="230"/>
      <c r="U179" s="230"/>
      <c r="V179" s="231"/>
      <c r="W179" s="229"/>
      <c r="X179" s="230"/>
      <c r="Y179" s="230"/>
      <c r="Z179" s="230"/>
      <c r="AA179" s="230"/>
      <c r="AB179" s="231"/>
      <c r="AC179" t="s">
        <v>2746</v>
      </c>
      <c r="AD179" s="232" t="s">
        <v>2747</v>
      </c>
      <c r="AK179" s="233" t="s">
        <v>2748</v>
      </c>
    </row>
    <row r="180" spans="1:42">
      <c r="H180" s="234" t="s">
        <v>2749</v>
      </c>
      <c r="I180" s="234" t="s">
        <v>2750</v>
      </c>
      <c r="K180" s="235" t="s">
        <v>2749</v>
      </c>
      <c r="L180" t="s">
        <v>2749</v>
      </c>
      <c r="M180" s="236" t="s">
        <v>2749</v>
      </c>
      <c r="O180" s="235" t="s">
        <v>2750</v>
      </c>
      <c r="P180" t="s">
        <v>2750</v>
      </c>
      <c r="Q180" s="236" t="s">
        <v>2750</v>
      </c>
      <c r="R180" s="235" t="s">
        <v>2749</v>
      </c>
      <c r="S180" t="s">
        <v>2749</v>
      </c>
      <c r="T180" t="s">
        <v>2749</v>
      </c>
      <c r="U180" t="s">
        <v>2749</v>
      </c>
      <c r="V180" s="236" t="s">
        <v>2749</v>
      </c>
      <c r="W180" s="235" t="s">
        <v>2750</v>
      </c>
      <c r="X180" t="s">
        <v>2750</v>
      </c>
      <c r="Y180" t="s">
        <v>2750</v>
      </c>
      <c r="Z180" t="s">
        <v>2750</v>
      </c>
      <c r="AA180" t="s">
        <v>2750</v>
      </c>
      <c r="AB180" s="236"/>
      <c r="AC180">
        <v>60</v>
      </c>
      <c r="AD180" s="237" t="s">
        <v>2749</v>
      </c>
      <c r="AF180" t="s">
        <v>2751</v>
      </c>
      <c r="AG180">
        <v>950</v>
      </c>
      <c r="AK180" t="s">
        <v>2749</v>
      </c>
      <c r="AM180" t="s">
        <v>2751</v>
      </c>
      <c r="AN180">
        <v>950</v>
      </c>
    </row>
    <row r="181" spans="1:42">
      <c r="A181" t="s">
        <v>2752</v>
      </c>
      <c r="F181" t="s">
        <v>2753</v>
      </c>
      <c r="G181" t="s">
        <v>2754</v>
      </c>
      <c r="H181" s="234" t="s">
        <v>2755</v>
      </c>
      <c r="I181" s="234" t="s">
        <v>2755</v>
      </c>
      <c r="K181" s="235" t="s">
        <v>2756</v>
      </c>
      <c r="L181" t="s">
        <v>2757</v>
      </c>
      <c r="M181" s="236" t="s">
        <v>229</v>
      </c>
      <c r="O181" s="235" t="s">
        <v>2756</v>
      </c>
      <c r="P181" t="s">
        <v>2757</v>
      </c>
      <c r="Q181" s="236" t="s">
        <v>229</v>
      </c>
      <c r="R181" s="235" t="s">
        <v>2758</v>
      </c>
      <c r="S181" t="s">
        <v>2759</v>
      </c>
      <c r="T181" t="s">
        <v>2760</v>
      </c>
      <c r="U181" t="s">
        <v>2761</v>
      </c>
      <c r="V181" s="236" t="s">
        <v>2762</v>
      </c>
      <c r="W181" s="235" t="s">
        <v>2763</v>
      </c>
      <c r="X181" t="s">
        <v>2759</v>
      </c>
      <c r="Y181" t="s">
        <v>2760</v>
      </c>
      <c r="Z181" t="s">
        <v>2761</v>
      </c>
      <c r="AA181" t="s">
        <v>2762</v>
      </c>
      <c r="AB181" s="236"/>
      <c r="AD181" s="143" t="s">
        <v>2764</v>
      </c>
      <c r="AE181" s="143" t="s">
        <v>2765</v>
      </c>
      <c r="AF181" s="143" t="s">
        <v>2766</v>
      </c>
      <c r="AG181" s="143" t="s">
        <v>2767</v>
      </c>
      <c r="AH181" s="143" t="s">
        <v>2768</v>
      </c>
      <c r="AI181" s="143" t="s">
        <v>2769</v>
      </c>
      <c r="AK181" t="s">
        <v>2764</v>
      </c>
      <c r="AL181" t="s">
        <v>2765</v>
      </c>
      <c r="AM181" t="s">
        <v>2766</v>
      </c>
      <c r="AN181" t="s">
        <v>2767</v>
      </c>
      <c r="AO181" t="s">
        <v>2768</v>
      </c>
      <c r="AP181" t="s">
        <v>2769</v>
      </c>
    </row>
    <row r="182" spans="1:42">
      <c r="E182" t="str">
        <f t="shared" ref="E182:E193" si="20">F182&amp;G182</f>
        <v>Current climateTB1</v>
      </c>
      <c r="F182" t="s">
        <v>2747</v>
      </c>
      <c r="G182" t="s">
        <v>2764</v>
      </c>
      <c r="H182" s="234">
        <v>6.0354648667628699E-2</v>
      </c>
      <c r="I182" s="234">
        <v>-0.112849162011173</v>
      </c>
      <c r="J182" s="238">
        <v>-0.41789137380191699</v>
      </c>
      <c r="K182" s="235">
        <f>+J182-J183</f>
        <v>-0.23003194888178999</v>
      </c>
      <c r="L182">
        <f>+J183</f>
        <v>-0.187859424920127</v>
      </c>
      <c r="M182" s="236">
        <f>+J184</f>
        <v>0.31054313099041497</v>
      </c>
      <c r="N182">
        <v>-0.46592178770949699</v>
      </c>
      <c r="O182" s="235">
        <f>+N182-N183</f>
        <v>-0.11731843575419099</v>
      </c>
      <c r="P182">
        <f>+N183</f>
        <v>-0.34860335195530601</v>
      </c>
      <c r="Q182" s="236">
        <f>+N184</f>
        <v>0.27569832402234601</v>
      </c>
      <c r="R182" s="235"/>
      <c r="S182">
        <v>82.634271099744197</v>
      </c>
      <c r="T182">
        <v>23.248081841432199</v>
      </c>
      <c r="U182">
        <f>+S182-T182</f>
        <v>59.386189258312001</v>
      </c>
      <c r="V182" s="236">
        <v>0</v>
      </c>
      <c r="W182" s="235"/>
      <c r="X182">
        <v>82.946708463949804</v>
      </c>
      <c r="Y182">
        <v>40.344827586206897</v>
      </c>
      <c r="Z182">
        <f>+X182-Y182</f>
        <v>42.601880877742907</v>
      </c>
      <c r="AA182">
        <v>0</v>
      </c>
      <c r="AB182" s="236"/>
      <c r="AC182" t="s">
        <v>2770</v>
      </c>
      <c r="AD182">
        <f>VLOOKUP($AD$179&amp;AD$181,$E$182:$AA$192,4,FALSE)*$AC$180*$AG$180*C_to_CO2</f>
        <v>12625.588954781248</v>
      </c>
      <c r="AE182">
        <f t="shared" ref="AE182:AI182" si="21">VLOOKUP($AD$179&amp;AE$181,$E$182:$AA$192,4,FALSE)*$AC$180*$AG$180*C_to_CO2</f>
        <v>20883.088954780931</v>
      </c>
      <c r="AF182">
        <f t="shared" si="21"/>
        <v>72024.702186804221</v>
      </c>
      <c r="AG182">
        <f t="shared" si="21"/>
        <v>105771.90289102923</v>
      </c>
      <c r="AH182">
        <f t="shared" si="21"/>
        <v>120401.57301704831</v>
      </c>
      <c r="AI182">
        <f t="shared" si="21"/>
        <v>128079.5993328375</v>
      </c>
      <c r="AK182">
        <f t="shared" ref="AK182:AP182" si="22">VLOOKUP($AK$179&amp;AK$181,$E$182:$AA$193,4,FALSE)*$AC$180*$AG$180*C_to_CO2</f>
        <v>29471.133802816759</v>
      </c>
      <c r="AL182">
        <f t="shared" si="22"/>
        <v>37149.160118605767</v>
      </c>
      <c r="AM182">
        <f t="shared" si="22"/>
        <v>88283.631949591363</v>
      </c>
      <c r="AN182">
        <f t="shared" si="22"/>
        <v>125518.89696071042</v>
      </c>
      <c r="AO182">
        <f t="shared" si="22"/>
        <v>144211.00407709272</v>
      </c>
      <c r="AP182">
        <f t="shared" si="22"/>
        <v>147828.63380281517</v>
      </c>
    </row>
    <row r="183" spans="1:42">
      <c r="E183" t="str">
        <f t="shared" si="20"/>
        <v>A1BTB1</v>
      </c>
      <c r="F183" t="s">
        <v>2748</v>
      </c>
      <c r="G183" t="s">
        <v>2764</v>
      </c>
      <c r="H183" s="234">
        <v>0.14088213491475099</v>
      </c>
      <c r="I183" s="234">
        <v>-5.6983240223463502E-2</v>
      </c>
      <c r="J183">
        <v>-0.187859424920127</v>
      </c>
      <c r="K183" s="235">
        <f>+J200-J201</f>
        <v>-0.2396166134185298</v>
      </c>
      <c r="L183">
        <f>+J201</f>
        <v>-9.6805111821086198E-2</v>
      </c>
      <c r="M183" s="236">
        <f>+J202</f>
        <v>0.32012779552715598</v>
      </c>
      <c r="N183">
        <v>-0.34860335195530601</v>
      </c>
      <c r="O183" s="235">
        <f>+N198-N199</f>
        <v>-0.15083798882681498</v>
      </c>
      <c r="P183">
        <f>+N199</f>
        <v>-0.27318435754189901</v>
      </c>
      <c r="Q183" s="236">
        <f>+N200</f>
        <v>0.27988826815642398</v>
      </c>
      <c r="R183" s="235"/>
      <c r="V183" s="236"/>
      <c r="W183" s="235"/>
      <c r="AB183" s="236"/>
      <c r="AC183" t="s">
        <v>2771</v>
      </c>
      <c r="AD183">
        <f t="shared" ref="AD183:AI183" si="23">(VLOOKUP($AD$179&amp;AD$181,$E$182:$AA$192,COLUMN($K$181)-4,FALSE)+VLOOKUP($AD$179&amp;AD$181,$E$182:$AA$192,COLUMN($L$181)-4,FALSE))*$AC$180*$AG$180*C_to_CO2</f>
        <v>-87418.696485623019</v>
      </c>
      <c r="AE183">
        <f t="shared" si="23"/>
        <v>-82406.156549520776</v>
      </c>
      <c r="AF183">
        <f t="shared" si="23"/>
        <v>-14436.115015974412</v>
      </c>
      <c r="AG183">
        <f t="shared" si="23"/>
        <v>15639.124600638877</v>
      </c>
      <c r="AH183">
        <f t="shared" si="23"/>
        <v>10626.584664536607</v>
      </c>
      <c r="AI183">
        <f t="shared" si="23"/>
        <v>10626.584664536607</v>
      </c>
      <c r="AK183">
        <f t="shared" ref="AK183:AP183" si="24">(VLOOKUP($AK$179&amp;AK$181,$E$182:$AA$193,COLUMN($K$181)-4,FALSE)+VLOOKUP($AK$179&amp;AK$181,$E$182:$AA$193,COLUMN($L$181)-4,FALSE))*$AC$180*$AG$180*C_to_CO2</f>
        <v>-70376.060702875271</v>
      </c>
      <c r="AL183">
        <f t="shared" si="24"/>
        <v>-69373.552715654951</v>
      </c>
      <c r="AM183">
        <f t="shared" si="24"/>
        <v>-4411.0351437700365</v>
      </c>
      <c r="AN183">
        <f t="shared" si="24"/>
        <v>30676.744408945775</v>
      </c>
      <c r="AO183">
        <f t="shared" si="24"/>
        <v>29674.236421725247</v>
      </c>
      <c r="AP183">
        <f t="shared" si="24"/>
        <v>26666.712460063867</v>
      </c>
    </row>
    <row r="184" spans="1:42">
      <c r="E184" t="str">
        <f t="shared" si="20"/>
        <v>Current climateTB2</v>
      </c>
      <c r="F184" t="s">
        <v>2747</v>
      </c>
      <c r="G184" t="s">
        <v>2765</v>
      </c>
      <c r="H184" s="234">
        <v>9.98283328781535E-2</v>
      </c>
      <c r="I184" s="234">
        <v>-6.2569832402234501E-2</v>
      </c>
      <c r="J184">
        <v>0.31054313099041497</v>
      </c>
      <c r="K184" s="235">
        <f>+J185-J186</f>
        <v>-0.20127795527156597</v>
      </c>
      <c r="L184">
        <f>+J186</f>
        <v>-0.192651757188498</v>
      </c>
      <c r="M184" s="236">
        <f>+J187</f>
        <v>0.368051118210862</v>
      </c>
      <c r="N184">
        <v>0.27569832402234601</v>
      </c>
      <c r="O184" s="235">
        <f>+N185-N186</f>
        <v>-0.11731843575418999</v>
      </c>
      <c r="P184">
        <f>+N186</f>
        <v>-0.34022346368715001</v>
      </c>
      <c r="Q184" s="236">
        <f>+N187</f>
        <v>0.342737430167597</v>
      </c>
      <c r="R184" s="235">
        <v>76.419437340153394</v>
      </c>
      <c r="S184">
        <v>84.015345268542205</v>
      </c>
      <c r="T184">
        <v>23.248081841432199</v>
      </c>
      <c r="U184">
        <f>+R184-T184</f>
        <v>53.171355498721198</v>
      </c>
      <c r="V184" s="236">
        <f>+S184-R184</f>
        <v>7.5959079283888116</v>
      </c>
      <c r="W184" s="235">
        <v>73.636363636363598</v>
      </c>
      <c r="X184">
        <v>84.921630094043806</v>
      </c>
      <c r="Y184">
        <v>40.909090909090899</v>
      </c>
      <c r="Z184">
        <f>+W184-Y184</f>
        <v>32.727272727272698</v>
      </c>
      <c r="AA184">
        <f>+X184-W184</f>
        <v>11.285266457680208</v>
      </c>
      <c r="AB184" s="236"/>
      <c r="AC184" t="s">
        <v>2772</v>
      </c>
      <c r="AD184">
        <f t="shared" ref="AD184:AI184" si="25">VLOOKUP($AD$179&amp;AD$181,$E$182:$AA$192,COLUMN($M$181)-4,FALSE)*$AC$180*$AG$180*C_to_CO2+AD183</f>
        <v>-22456.178913738113</v>
      </c>
      <c r="AE184">
        <f t="shared" si="25"/>
        <v>-5413.5431309905543</v>
      </c>
      <c r="AF184">
        <f t="shared" si="25"/>
        <v>52731.920127795442</v>
      </c>
      <c r="AG184">
        <f t="shared" si="25"/>
        <v>82807.159744408913</v>
      </c>
      <c r="AH184">
        <f t="shared" si="25"/>
        <v>103859.82747603832</v>
      </c>
      <c r="AI184">
        <f t="shared" si="25"/>
        <v>113884.90734824278</v>
      </c>
      <c r="AK184">
        <f t="shared" ref="AK184:AP184" si="26">VLOOKUP($AK$179&amp;AK$181,$E$182:$AA$193,COLUMN($M$181)-4,FALSE)*$AC$180*$AG$180*C_to_CO2+AK183</f>
        <v>-3408.5271565495204</v>
      </c>
      <c r="AL184">
        <f t="shared" si="26"/>
        <v>8621.5686900957953</v>
      </c>
      <c r="AM184">
        <f t="shared" si="26"/>
        <v>65764.523961661384</v>
      </c>
      <c r="AN184">
        <f t="shared" si="26"/>
        <v>96842.271565495292</v>
      </c>
      <c r="AO184">
        <f t="shared" si="26"/>
        <v>121904.97124600642</v>
      </c>
      <c r="AP184">
        <f t="shared" si="26"/>
        <v>130927.54313099037</v>
      </c>
    </row>
    <row r="185" spans="1:42">
      <c r="E185" t="str">
        <f t="shared" si="20"/>
        <v>A1BTB2</v>
      </c>
      <c r="F185" t="s">
        <v>2748</v>
      </c>
      <c r="G185" t="s">
        <v>2765</v>
      </c>
      <c r="H185" s="234">
        <v>0.17758573602278199</v>
      </c>
      <c r="I185" s="234">
        <v>-6.70391061452513E-3</v>
      </c>
      <c r="J185" s="238">
        <v>-0.39392971246006397</v>
      </c>
      <c r="K185" s="235">
        <f>+J203-J204</f>
        <v>-0.24440894568690091</v>
      </c>
      <c r="L185">
        <f>+J204</f>
        <v>-8.7220447284345096E-2</v>
      </c>
      <c r="M185" s="236">
        <f>+J205</f>
        <v>0.37284345047923301</v>
      </c>
      <c r="N185">
        <v>-0.45754189944133999</v>
      </c>
      <c r="O185" s="235">
        <f>+N201-N202</f>
        <v>-0.15502793296089401</v>
      </c>
      <c r="P185">
        <f>+N202</f>
        <v>-0.27318435754189901</v>
      </c>
      <c r="Q185" s="236">
        <f>+N203</f>
        <v>0.351117318435754</v>
      </c>
      <c r="R185" s="235"/>
      <c r="V185" s="236"/>
      <c r="W185" s="235"/>
      <c r="AB185" s="236"/>
      <c r="AC185" t="s">
        <v>2773</v>
      </c>
    </row>
    <row r="186" spans="1:42">
      <c r="E186" t="str">
        <f t="shared" si="20"/>
        <v>Current climateTB3</v>
      </c>
      <c r="F186" t="s">
        <v>2747</v>
      </c>
      <c r="G186" t="s">
        <v>2766</v>
      </c>
      <c r="H186" s="234">
        <v>0.344302797393777</v>
      </c>
      <c r="I186" s="234">
        <v>9.1061452513966495E-2</v>
      </c>
      <c r="J186">
        <v>-0.192651757188498</v>
      </c>
      <c r="K186" s="235">
        <f>+J188</f>
        <v>-8.2428115015974399E-2</v>
      </c>
      <c r="L186">
        <f>+J189</f>
        <v>1.34185303514378E-2</v>
      </c>
      <c r="M186" s="236">
        <f>+J190-J189</f>
        <v>0.32108626198083018</v>
      </c>
      <c r="N186">
        <v>-0.34022346368715001</v>
      </c>
      <c r="O186" s="235">
        <f>+N188-N189</f>
        <v>-4.1899441340781995E-2</v>
      </c>
      <c r="P186">
        <f>+N189</f>
        <v>-0.172625698324022</v>
      </c>
      <c r="Q186" s="236">
        <f>+N190</f>
        <v>0.30502793296089398</v>
      </c>
      <c r="R186" s="235">
        <v>67.902813299232704</v>
      </c>
      <c r="S186">
        <v>74.117647058823493</v>
      </c>
      <c r="T186">
        <v>23.248081841432199</v>
      </c>
      <c r="U186">
        <f>+R186-T186</f>
        <v>44.654731457800509</v>
      </c>
      <c r="V186" s="236">
        <f>+S186-R186</f>
        <v>6.214833759590789</v>
      </c>
      <c r="W186" s="235">
        <v>68.840125391849497</v>
      </c>
      <c r="X186">
        <v>77.868338557993695</v>
      </c>
      <c r="Y186">
        <v>39.780564263322802</v>
      </c>
      <c r="Z186">
        <f>+W186-Y186</f>
        <v>29.059561128526695</v>
      </c>
      <c r="AA186">
        <f>+X186-W186</f>
        <v>9.028213166144198</v>
      </c>
      <c r="AB186" s="236"/>
      <c r="AC186" t="s">
        <v>2774</v>
      </c>
      <c r="AD186">
        <f>VLOOKUP($AD$179&amp;AD$181,$E$182:$AA$192,COLUMN($S$181)-4,FALSE)+AD185</f>
        <v>82.634271099744197</v>
      </c>
      <c r="AE186">
        <f t="shared" ref="AE186:AI186" si="27">VLOOKUP($AD$179&amp;AE$181,$E$182:$AA$192,COLUMN($S$181)-4,FALSE)+AE185</f>
        <v>84.015345268542205</v>
      </c>
      <c r="AF186">
        <f t="shared" si="27"/>
        <v>74.117647058823493</v>
      </c>
      <c r="AG186">
        <f t="shared" si="27"/>
        <v>70.434782608695599</v>
      </c>
      <c r="AH186">
        <f t="shared" si="27"/>
        <v>64.910485933503793</v>
      </c>
      <c r="AI186">
        <f t="shared" si="27"/>
        <v>71.585677749360599</v>
      </c>
    </row>
    <row r="187" spans="1:42">
      <c r="E187" t="str">
        <f t="shared" si="20"/>
        <v>A1BTB3</v>
      </c>
      <c r="F187" t="s">
        <v>2748</v>
      </c>
      <c r="G187" t="s">
        <v>2766</v>
      </c>
      <c r="H187" s="234">
        <v>0.42202606219031202</v>
      </c>
      <c r="I187" s="234">
        <v>0.14972067039106099</v>
      </c>
      <c r="J187">
        <v>0.368051118210862</v>
      </c>
      <c r="K187" s="235">
        <f>+J206</f>
        <v>-0.13035143769968</v>
      </c>
      <c r="L187">
        <f>+J207</f>
        <v>0.109265175718849</v>
      </c>
      <c r="M187" s="236">
        <f>+J208-J207</f>
        <v>0.33546325878594296</v>
      </c>
      <c r="N187">
        <v>0.342737430167597</v>
      </c>
      <c r="O187" s="235">
        <f>+N204-N205</f>
        <v>-7.1229050279329201E-2</v>
      </c>
      <c r="P187">
        <f>+N205</f>
        <v>-8.4636871508379799E-2</v>
      </c>
      <c r="Q187" s="236">
        <f>+N206</f>
        <v>0.309217877094972</v>
      </c>
      <c r="R187" s="235"/>
      <c r="V187" s="236"/>
      <c r="W187" s="235"/>
      <c r="AB187" s="236"/>
    </row>
    <row r="188" spans="1:42">
      <c r="E188" t="str">
        <f t="shared" si="20"/>
        <v>Current climateTA4</v>
      </c>
      <c r="F188" t="s">
        <v>2747</v>
      </c>
      <c r="G188" t="s">
        <v>2767</v>
      </c>
      <c r="H188" s="234">
        <v>0.50562599976590294</v>
      </c>
      <c r="I188" s="234">
        <v>0.267039106145251</v>
      </c>
      <c r="J188" s="238">
        <v>-8.2428115015974399E-2</v>
      </c>
      <c r="K188" s="235">
        <f>+J191</f>
        <v>-6.3258785942491999E-2</v>
      </c>
      <c r="L188">
        <f>+J192</f>
        <v>0.13801916932907299</v>
      </c>
      <c r="M188" s="236">
        <f>+J193-J192</f>
        <v>0.32108626198083101</v>
      </c>
      <c r="N188">
        <v>-0.21452513966480399</v>
      </c>
      <c r="O188" s="235">
        <v>0</v>
      </c>
      <c r="P188">
        <f>+N191</f>
        <v>-3.0167597765363E-2</v>
      </c>
      <c r="Q188" s="236">
        <f>+N192</f>
        <v>0.29245810055865901</v>
      </c>
      <c r="R188" s="235">
        <v>64.910485933503793</v>
      </c>
      <c r="S188">
        <v>70.434782608695599</v>
      </c>
      <c r="T188">
        <v>23.248081841432199</v>
      </c>
      <c r="U188">
        <f>+R188-T188</f>
        <v>41.662404092071597</v>
      </c>
      <c r="V188" s="236">
        <f>+S188-R188</f>
        <v>5.5242966751918061</v>
      </c>
      <c r="W188" s="235">
        <v>63.479623824451402</v>
      </c>
      <c r="X188">
        <v>70.532915360501505</v>
      </c>
      <c r="Y188">
        <v>37.523510971786799</v>
      </c>
      <c r="Z188">
        <f>+W188-Y188</f>
        <v>25.956112852664603</v>
      </c>
      <c r="AA188">
        <f>+X188-W188</f>
        <v>7.0532915360501036</v>
      </c>
      <c r="AB188" s="236"/>
      <c r="AD188" s="239" t="s">
        <v>2775</v>
      </c>
      <c r="AF188" t="s">
        <v>2751</v>
      </c>
      <c r="AG188">
        <v>1117</v>
      </c>
      <c r="AK188" t="s">
        <v>2775</v>
      </c>
      <c r="AM188" t="s">
        <v>2751</v>
      </c>
      <c r="AN188">
        <v>1117</v>
      </c>
    </row>
    <row r="189" spans="1:42">
      <c r="E189" t="str">
        <f t="shared" si="20"/>
        <v>A1BTA4</v>
      </c>
      <c r="F189" t="s">
        <v>2748</v>
      </c>
      <c r="G189" t="s">
        <v>2767</v>
      </c>
      <c r="H189" s="234">
        <v>0.60002340915297303</v>
      </c>
      <c r="I189" s="234">
        <v>0.339664804469273</v>
      </c>
      <c r="J189">
        <v>1.34185303514378E-2</v>
      </c>
      <c r="K189" s="235">
        <f>+J209</f>
        <v>-0.106389776357827</v>
      </c>
      <c r="L189">
        <f>+J210</f>
        <v>0.253035143769968</v>
      </c>
      <c r="M189" s="236">
        <f>+J211-J210</f>
        <v>0.31629392971246001</v>
      </c>
      <c r="N189">
        <v>-0.172625698324022</v>
      </c>
      <c r="O189" s="235">
        <f>+N207</f>
        <v>-3.4357541899440999E-2</v>
      </c>
      <c r="P189">
        <f>+N208</f>
        <v>7.4581005586592294E-2</v>
      </c>
      <c r="Q189" s="236">
        <f>+N209-N208</f>
        <v>0.29748603351955272</v>
      </c>
      <c r="R189" s="235"/>
      <c r="V189" s="236"/>
      <c r="W189" s="235"/>
      <c r="AB189" s="236"/>
      <c r="AC189" t="s">
        <v>2627</v>
      </c>
      <c r="AD189">
        <f t="shared" ref="AD189:AI189" si="28">VLOOKUP($AD$179&amp;AD$181,$E$182:$AA$192,5,FALSE)*$AC$180*$AG$188*C_to_CO2</f>
        <v>-27756.76357541895</v>
      </c>
      <c r="AE189">
        <f t="shared" si="28"/>
        <v>-15389.888715083767</v>
      </c>
      <c r="AF189">
        <f t="shared" si="28"/>
        <v>22397.784469273742</v>
      </c>
      <c r="AG189">
        <f t="shared" si="28"/>
        <v>65681.846480446824</v>
      </c>
      <c r="AH189">
        <f t="shared" si="28"/>
        <v>79079.294245810015</v>
      </c>
      <c r="AI189">
        <f t="shared" si="28"/>
        <v>84232.158770949667</v>
      </c>
      <c r="AK189">
        <f t="shared" ref="AK189:AP189" si="29">VLOOKUP($AK$179&amp;AK$181,$E$182:$AA$193,5,FALSE)*$AC$180*$AG$188*C_to_CO2</f>
        <v>-14015.791508379843</v>
      </c>
      <c r="AL189">
        <f t="shared" si="29"/>
        <v>-1648.9166480446902</v>
      </c>
      <c r="AM189">
        <f t="shared" si="29"/>
        <v>36825.805139664684</v>
      </c>
      <c r="AN189">
        <f t="shared" si="29"/>
        <v>83545.110167597581</v>
      </c>
      <c r="AO189">
        <f t="shared" si="29"/>
        <v>88354.450391061444</v>
      </c>
      <c r="AP189">
        <f t="shared" si="29"/>
        <v>96599.033631284721</v>
      </c>
    </row>
    <row r="190" spans="1:42">
      <c r="E190" t="str">
        <f t="shared" si="20"/>
        <v>Current climateTA5</v>
      </c>
      <c r="F190" t="s">
        <v>2747</v>
      </c>
      <c r="G190" t="s">
        <v>2768</v>
      </c>
      <c r="H190" s="234">
        <v>0.57556084429011101</v>
      </c>
      <c r="I190" s="234">
        <v>0.32150837988826803</v>
      </c>
      <c r="J190">
        <v>0.33450479233226799</v>
      </c>
      <c r="K190" s="235">
        <f>+J194</f>
        <v>-7.2843450479233199E-2</v>
      </c>
      <c r="L190">
        <f>+J195</f>
        <v>0.12364217252396099</v>
      </c>
      <c r="M190" s="236">
        <f>+J196-J195</f>
        <v>0.44568690095846702</v>
      </c>
      <c r="N190">
        <v>0.30502793296089398</v>
      </c>
      <c r="O190" s="235">
        <v>0</v>
      </c>
      <c r="P190">
        <f>+N193</f>
        <v>-1.7597765363128199E-2</v>
      </c>
      <c r="Q190" s="236">
        <f>+N194</f>
        <v>0.33854748603351897</v>
      </c>
      <c r="R190" s="235"/>
      <c r="S190">
        <v>64.910485933503793</v>
      </c>
      <c r="T190">
        <v>23.248081841432199</v>
      </c>
      <c r="U190">
        <v>0</v>
      </c>
      <c r="V190" s="236">
        <f>+S190-T190</f>
        <v>41.662404092071597</v>
      </c>
      <c r="W190" s="235"/>
      <c r="X190">
        <v>71.379310344827502</v>
      </c>
      <c r="Y190">
        <v>40.626959247648898</v>
      </c>
      <c r="Z190">
        <v>0</v>
      </c>
      <c r="AA190">
        <f>+X190-Y190</f>
        <v>30.752351097178604</v>
      </c>
      <c r="AB190" s="236"/>
      <c r="AC190" t="s">
        <v>2776</v>
      </c>
      <c r="AD190" s="143">
        <f t="shared" ref="AD190:AI190" si="30">(VLOOKUP($AD$179&amp;AD$181,$E$182:$AA$192,COLUMN($O$181)-4,FALSE)+VLOOKUP($AD$179&amp;AD$181,$E$182:$AA$192,COLUMN($P$181)-4,FALSE))*$AC$180*$AG$188*C_to_CO2</f>
        <v>-114599.70703910608</v>
      </c>
      <c r="AE190">
        <f t="shared" si="30"/>
        <v>-112538.56122905009</v>
      </c>
      <c r="AF190">
        <f t="shared" si="30"/>
        <v>-52765.33273743005</v>
      </c>
      <c r="AG190" s="143">
        <f t="shared" si="30"/>
        <v>-7420.1249162010854</v>
      </c>
      <c r="AH190">
        <f t="shared" si="30"/>
        <v>-4328.4062011172464</v>
      </c>
      <c r="AI190">
        <f t="shared" si="30"/>
        <v>-5358.9791061452015</v>
      </c>
      <c r="AK190">
        <f t="shared" ref="AK190:AP190" si="31">(VLOOKUP($AK$179&amp;AK$181,$E$182:$AA$193,COLUMN($O$181)-4,FALSE)+VLOOKUP($AK$179&amp;AK$181,$E$182:$AA$193,COLUMN($P$181)-4,FALSE))*$AC$180*$AG$188*C_to_CO2</f>
        <v>-104293.97798882655</v>
      </c>
      <c r="AL190">
        <f t="shared" si="31"/>
        <v>-105324.55089385468</v>
      </c>
      <c r="AM190">
        <f t="shared" si="31"/>
        <v>-38337.312067038984</v>
      </c>
      <c r="AN190">
        <f t="shared" si="31"/>
        <v>9893.4998882682703</v>
      </c>
      <c r="AO190">
        <f t="shared" si="31"/>
        <v>12985.218603352034</v>
      </c>
      <c r="AP190">
        <f t="shared" si="31"/>
        <v>14015.791508379965</v>
      </c>
    </row>
    <row r="191" spans="1:42">
      <c r="E191" t="str">
        <f t="shared" si="20"/>
        <v>A1BTA5</v>
      </c>
      <c r="F191" t="s">
        <v>2748</v>
      </c>
      <c r="G191" t="s">
        <v>2768</v>
      </c>
      <c r="H191" s="234">
        <v>0.68937809683585605</v>
      </c>
      <c r="I191" s="234">
        <v>0.35921787709497199</v>
      </c>
      <c r="J191" s="238">
        <v>-6.3258785942491999E-2</v>
      </c>
      <c r="K191" s="235">
        <f>+J212</f>
        <v>-0.120766773162939</v>
      </c>
      <c r="L191">
        <f>+J213</f>
        <v>0.262619808306709</v>
      </c>
      <c r="M191" s="236">
        <f>+J214-J213</f>
        <v>0.44089456869009597</v>
      </c>
      <c r="N191">
        <v>-3.0167597765363E-2</v>
      </c>
      <c r="O191" s="235">
        <f>+N210</f>
        <v>-3.0167597765363E-2</v>
      </c>
      <c r="P191">
        <f>+N211</f>
        <v>8.2960893854748793E-2</v>
      </c>
      <c r="Q191" s="236">
        <f>+N212-N211</f>
        <v>0.35195530726256918</v>
      </c>
      <c r="R191" s="235"/>
      <c r="V191" s="236"/>
      <c r="W191" s="235"/>
      <c r="AB191" s="236"/>
      <c r="AC191" t="s">
        <v>2777</v>
      </c>
      <c r="AD191">
        <f t="shared" ref="AD191:AI191" si="32">VLOOKUP($AD$179&amp;AD$181,$E$182:$AA$192,COLUMN($Q$181)-4,FALSE)*$AC$180*$AG$188*C_to_CO2+AD190</f>
        <v>-46788.009888268192</v>
      </c>
      <c r="AE191">
        <f t="shared" si="32"/>
        <v>-28237.697597765364</v>
      </c>
      <c r="AF191">
        <f t="shared" si="32"/>
        <v>22260.374748603492</v>
      </c>
      <c r="AG191">
        <f t="shared" si="32"/>
        <v>64513.863854748583</v>
      </c>
      <c r="AH191">
        <f t="shared" si="32"/>
        <v>78941.884525139583</v>
      </c>
      <c r="AI191">
        <f t="shared" si="32"/>
        <v>87186.467765363064</v>
      </c>
      <c r="AK191">
        <f t="shared" ref="AK191:AP191" si="33">VLOOKUP($AK$179&amp;AK$181,$E$182:$AA$193,COLUMN($Q$181)-4,FALSE)*$AC$180*$AG$188*C_to_CO2+AK190</f>
        <v>-35451.70793296078</v>
      </c>
      <c r="AL191">
        <f t="shared" si="33"/>
        <v>-18962.541452513949</v>
      </c>
      <c r="AM191">
        <f t="shared" si="33"/>
        <v>37718.968324022448</v>
      </c>
      <c r="AN191">
        <f t="shared" si="33"/>
        <v>83064.176145251418</v>
      </c>
      <c r="AO191">
        <f t="shared" si="33"/>
        <v>99553.342625698249</v>
      </c>
      <c r="AP191">
        <f t="shared" si="33"/>
        <v>105736.78005586576</v>
      </c>
    </row>
    <row r="192" spans="1:42">
      <c r="E192" t="str">
        <f t="shared" si="20"/>
        <v>Current climateTA6</v>
      </c>
      <c r="F192" t="s">
        <v>2747</v>
      </c>
      <c r="G192" t="s">
        <v>2769</v>
      </c>
      <c r="H192" s="234">
        <v>0.61226444539814295</v>
      </c>
      <c r="I192" s="234">
        <v>0.342458100558659</v>
      </c>
      <c r="J192">
        <v>0.13801916932907299</v>
      </c>
      <c r="K192" s="235">
        <f>+J197</f>
        <v>-9.6805111821086198E-2</v>
      </c>
      <c r="L192">
        <f>+J198</f>
        <v>0.14760383386581399</v>
      </c>
      <c r="M192" s="236">
        <f>+J199-J198</f>
        <v>0.493610223642173</v>
      </c>
      <c r="N192">
        <v>0.29245810055865901</v>
      </c>
      <c r="O192" s="235">
        <f>+N195-N196</f>
        <v>-1.256983240223449E-2</v>
      </c>
      <c r="P192">
        <f>+N196</f>
        <v>-9.2178770949720105E-3</v>
      </c>
      <c r="Q192" s="236">
        <f>+N197</f>
        <v>0.376256983240223</v>
      </c>
      <c r="R192" s="235"/>
      <c r="S192">
        <v>71.585677749360599</v>
      </c>
      <c r="T192">
        <v>23.248081841432199</v>
      </c>
      <c r="U192">
        <v>0</v>
      </c>
      <c r="V192" s="236">
        <f>+S192-T192</f>
        <v>48.337595907928403</v>
      </c>
      <c r="W192" s="235"/>
      <c r="X192">
        <v>77.586206896551701</v>
      </c>
      <c r="Y192">
        <v>40.626959247648898</v>
      </c>
      <c r="Z192">
        <v>0</v>
      </c>
      <c r="AA192">
        <f>+X192-Y192</f>
        <v>36.959247648902803</v>
      </c>
      <c r="AB192" s="236"/>
      <c r="AC192" t="s">
        <v>2773</v>
      </c>
    </row>
    <row r="193" spans="5:35">
      <c r="E193" t="str">
        <f t="shared" si="20"/>
        <v>A1BTA6</v>
      </c>
      <c r="F193" t="s">
        <v>2748</v>
      </c>
      <c r="G193" t="s">
        <v>2769</v>
      </c>
      <c r="H193" s="240">
        <v>0.70667160859895395</v>
      </c>
      <c r="I193" s="240">
        <v>0.39273743016759699</v>
      </c>
      <c r="J193">
        <v>0.459105431309904</v>
      </c>
      <c r="K193" s="241">
        <f>+J215</f>
        <v>-0.13035143769968</v>
      </c>
      <c r="L193" s="242">
        <f>+J216</f>
        <v>0.257827476038338</v>
      </c>
      <c r="M193" s="243">
        <f>+J217-J216</f>
        <v>0.49840255591054305</v>
      </c>
      <c r="N193">
        <v>-1.7597765363128199E-2</v>
      </c>
      <c r="O193" s="241">
        <f>+N213</f>
        <v>-3.4357541899440999E-2</v>
      </c>
      <c r="P193" s="242">
        <f>+N214</f>
        <v>9.1340782122905001E-2</v>
      </c>
      <c r="Q193" s="243">
        <f>+N215-N214</f>
        <v>0.37290502793295999</v>
      </c>
      <c r="R193" s="241"/>
      <c r="S193" s="242"/>
      <c r="T193" s="242"/>
      <c r="U193" s="242"/>
      <c r="V193" s="243"/>
      <c r="W193" s="241"/>
      <c r="X193" s="242"/>
      <c r="Y193" s="242"/>
      <c r="Z193" s="242"/>
      <c r="AA193" s="242"/>
      <c r="AB193" s="243"/>
      <c r="AC193" t="s">
        <v>2778</v>
      </c>
      <c r="AD193">
        <f>VLOOKUP($AD$179&amp;AD$181,$E$182:$AA$192,COLUMN($X$181)-4,FALSE)+AD192</f>
        <v>82.946708463949804</v>
      </c>
      <c r="AE193">
        <f t="shared" ref="AE193:AI193" si="34">VLOOKUP($AD$179&amp;AE$181,$E$182:$AA$192,COLUMN($X$181)-4,FALSE)+AE192</f>
        <v>84.921630094043806</v>
      </c>
      <c r="AF193">
        <f t="shared" si="34"/>
        <v>77.868338557993695</v>
      </c>
      <c r="AG193">
        <f t="shared" si="34"/>
        <v>70.532915360501505</v>
      </c>
      <c r="AH193">
        <f t="shared" si="34"/>
        <v>71.379310344827502</v>
      </c>
      <c r="AI193">
        <f t="shared" si="34"/>
        <v>77.586206896551701</v>
      </c>
    </row>
    <row r="194" spans="5:35">
      <c r="J194" s="238">
        <v>-7.2843450479233199E-2</v>
      </c>
      <c r="N194">
        <v>0.33854748603351897</v>
      </c>
    </row>
    <row r="195" spans="5:35">
      <c r="J195">
        <v>0.12364217252396099</v>
      </c>
      <c r="N195">
        <v>-2.1787709497206501E-2</v>
      </c>
    </row>
    <row r="196" spans="5:35">
      <c r="J196">
        <v>0.56932907348242801</v>
      </c>
      <c r="N196">
        <v>-9.2178770949720105E-3</v>
      </c>
    </row>
    <row r="197" spans="5:35">
      <c r="J197" s="238">
        <v>-9.6805111821086198E-2</v>
      </c>
      <c r="N197">
        <v>0.376256983240223</v>
      </c>
    </row>
    <row r="198" spans="5:35">
      <c r="J198">
        <v>0.14760383386581399</v>
      </c>
      <c r="N198">
        <v>-0.424022346368714</v>
      </c>
    </row>
    <row r="199" spans="5:35">
      <c r="J199">
        <v>0.64121405750798699</v>
      </c>
      <c r="N199">
        <v>-0.27318435754189901</v>
      </c>
    </row>
    <row r="200" spans="5:35">
      <c r="J200">
        <v>-0.336421725239616</v>
      </c>
      <c r="N200">
        <v>0.27988826815642398</v>
      </c>
    </row>
    <row r="201" spans="5:35">
      <c r="J201">
        <v>-9.6805111821086198E-2</v>
      </c>
      <c r="N201">
        <v>-0.42821229050279302</v>
      </c>
    </row>
    <row r="202" spans="5:35">
      <c r="J202">
        <v>0.32012779552715598</v>
      </c>
      <c r="N202">
        <v>-0.27318435754189901</v>
      </c>
    </row>
    <row r="203" spans="5:35">
      <c r="J203">
        <v>-0.331629392971246</v>
      </c>
      <c r="N203">
        <v>0.351117318435754</v>
      </c>
    </row>
    <row r="204" spans="5:35">
      <c r="J204">
        <v>-8.7220447284345096E-2</v>
      </c>
      <c r="N204">
        <v>-0.155865921787709</v>
      </c>
    </row>
    <row r="205" spans="5:35">
      <c r="J205">
        <v>0.37284345047923301</v>
      </c>
      <c r="N205">
        <v>-8.4636871508379799E-2</v>
      </c>
    </row>
    <row r="206" spans="5:35">
      <c r="J206">
        <v>-0.13035143769968</v>
      </c>
      <c r="N206">
        <v>0.309217877094972</v>
      </c>
    </row>
    <row r="207" spans="5:35">
      <c r="J207">
        <v>0.109265175718849</v>
      </c>
      <c r="N207">
        <v>-3.4357541899440999E-2</v>
      </c>
    </row>
    <row r="208" spans="5:35">
      <c r="J208">
        <v>0.44472843450479199</v>
      </c>
      <c r="N208">
        <v>7.4581005586592294E-2</v>
      </c>
    </row>
    <row r="209" spans="1:16">
      <c r="J209">
        <v>-0.106389776357827</v>
      </c>
      <c r="N209">
        <v>0.37206703910614503</v>
      </c>
    </row>
    <row r="210" spans="1:16">
      <c r="J210">
        <v>0.253035143769968</v>
      </c>
      <c r="N210">
        <v>-3.0167597765363E-2</v>
      </c>
    </row>
    <row r="211" spans="1:16">
      <c r="J211">
        <v>0.56932907348242801</v>
      </c>
      <c r="N211">
        <v>8.2960893854748793E-2</v>
      </c>
    </row>
    <row r="212" spans="1:16">
      <c r="J212">
        <v>-0.120766773162939</v>
      </c>
      <c r="N212">
        <v>0.43491620111731799</v>
      </c>
    </row>
    <row r="213" spans="1:16">
      <c r="J213">
        <v>0.262619808306709</v>
      </c>
      <c r="N213">
        <v>-3.4357541899440999E-2</v>
      </c>
    </row>
    <row r="214" spans="1:16">
      <c r="J214">
        <v>0.70351437699680497</v>
      </c>
      <c r="N214">
        <v>9.1340782122905001E-2</v>
      </c>
    </row>
    <row r="215" spans="1:16">
      <c r="J215">
        <v>-0.13035143769968</v>
      </c>
      <c r="N215">
        <v>0.46424581005586502</v>
      </c>
    </row>
    <row r="216" spans="1:16">
      <c r="J216">
        <v>0.257827476038338</v>
      </c>
    </row>
    <row r="217" spans="1:16">
      <c r="J217">
        <v>0.75623003194888105</v>
      </c>
    </row>
    <row r="219" spans="1:16">
      <c r="A219" t="s">
        <v>2779</v>
      </c>
    </row>
    <row r="220" spans="1:16">
      <c r="I220" t="s">
        <v>2780</v>
      </c>
    </row>
    <row r="221" spans="1:16">
      <c r="J221" t="s">
        <v>2709</v>
      </c>
      <c r="K221" t="s">
        <v>2620</v>
      </c>
      <c r="L221" t="s">
        <v>2706</v>
      </c>
      <c r="M221" t="s">
        <v>2781</v>
      </c>
      <c r="N221" t="s">
        <v>2782</v>
      </c>
      <c r="O221" t="s">
        <v>2783</v>
      </c>
      <c r="P221" t="s">
        <v>2784</v>
      </c>
    </row>
    <row r="222" spans="1:16">
      <c r="I222" t="s">
        <v>2785</v>
      </c>
      <c r="J222">
        <v>2050</v>
      </c>
      <c r="K222">
        <v>2.93861691668666</v>
      </c>
      <c r="L222">
        <v>3.28547008547008</v>
      </c>
      <c r="M222">
        <v>-1.0446735395189</v>
      </c>
      <c r="N222">
        <v>-3.34102141680395</v>
      </c>
      <c r="O222">
        <f t="shared" ref="O222:O229" si="35">-M222*$M$231-N222*$N$231</f>
        <v>3.6025765836149812</v>
      </c>
    </row>
    <row r="223" spans="1:16">
      <c r="I223" t="s">
        <v>2786</v>
      </c>
      <c r="J223">
        <v>2050</v>
      </c>
      <c r="K223">
        <v>2.93861691668666</v>
      </c>
      <c r="L223">
        <v>6.82735042735042</v>
      </c>
      <c r="M223">
        <v>-6.0721649484536098</v>
      </c>
      <c r="N223">
        <v>0</v>
      </c>
      <c r="O223">
        <f t="shared" si="35"/>
        <v>5.4042268041237129</v>
      </c>
    </row>
    <row r="224" spans="1:16">
      <c r="I224" t="s">
        <v>2787</v>
      </c>
      <c r="J224">
        <v>2050</v>
      </c>
      <c r="K224">
        <v>-4.6286109425494901</v>
      </c>
      <c r="L224">
        <v>-3.3196581196581101</v>
      </c>
      <c r="M224">
        <v>1.0532646048109899</v>
      </c>
      <c r="N224">
        <v>3.3937397034596302</v>
      </c>
      <c r="O224">
        <f t="shared" si="35"/>
        <v>-3.6523972610494857</v>
      </c>
    </row>
    <row r="225" spans="9:18">
      <c r="I225" t="s">
        <v>2788</v>
      </c>
      <c r="J225">
        <v>2050</v>
      </c>
      <c r="K225">
        <v>-4.7403037872266296</v>
      </c>
      <c r="L225">
        <v>7.3059829059828996</v>
      </c>
      <c r="M225">
        <v>-6.5068728522336698</v>
      </c>
      <c r="N225">
        <v>0</v>
      </c>
      <c r="O225">
        <f t="shared" si="35"/>
        <v>5.7911168384879659</v>
      </c>
    </row>
    <row r="226" spans="9:18">
      <c r="I226" t="s">
        <v>1415</v>
      </c>
      <c r="J226">
        <v>2050</v>
      </c>
      <c r="K226">
        <v>-1.4453648692510599</v>
      </c>
      <c r="L226">
        <v>0</v>
      </c>
      <c r="M226">
        <v>0</v>
      </c>
      <c r="N226">
        <v>0</v>
      </c>
      <c r="O226">
        <f t="shared" si="35"/>
        <v>0</v>
      </c>
    </row>
    <row r="227" spans="9:18">
      <c r="I227" t="s">
        <v>1408</v>
      </c>
      <c r="J227">
        <v>2050</v>
      </c>
      <c r="K227">
        <v>-10.1853675975971</v>
      </c>
      <c r="L227">
        <v>3.11794871794871</v>
      </c>
      <c r="M227">
        <v>-4.6924398625429502</v>
      </c>
      <c r="N227">
        <v>3.3937397034596302</v>
      </c>
      <c r="O227">
        <f t="shared" si="35"/>
        <v>1.4612797148955217</v>
      </c>
    </row>
    <row r="228" spans="9:18">
      <c r="I228" t="s">
        <v>2789</v>
      </c>
      <c r="J228">
        <v>2050</v>
      </c>
      <c r="K228">
        <v>0</v>
      </c>
      <c r="L228">
        <v>0.70085470085469903</v>
      </c>
      <c r="M228">
        <v>-5.5807560137456997</v>
      </c>
      <c r="N228">
        <v>0</v>
      </c>
      <c r="O228">
        <f t="shared" si="35"/>
        <v>4.9668728522336725</v>
      </c>
    </row>
    <row r="229" spans="9:18">
      <c r="I229" t="s">
        <v>1398</v>
      </c>
      <c r="J229">
        <v>2050</v>
      </c>
      <c r="K229">
        <v>0</v>
      </c>
      <c r="L229">
        <v>-4.3247863247863201</v>
      </c>
      <c r="M229">
        <v>0</v>
      </c>
      <c r="N229">
        <v>-4.9785831960461202</v>
      </c>
      <c r="O229">
        <f t="shared" si="35"/>
        <v>3.9828665568368962</v>
      </c>
    </row>
    <row r="231" spans="9:18">
      <c r="I231" t="s">
        <v>2790</v>
      </c>
      <c r="M231">
        <v>0.89</v>
      </c>
      <c r="N231">
        <v>0.8</v>
      </c>
    </row>
    <row r="233" spans="9:18">
      <c r="R233" t="s">
        <v>2791</v>
      </c>
    </row>
    <row r="234" spans="9:18">
      <c r="I234" t="s">
        <v>2792</v>
      </c>
      <c r="P234" t="s">
        <v>2793</v>
      </c>
      <c r="Q234" t="s">
        <v>2794</v>
      </c>
    </row>
    <row r="235" spans="9:18">
      <c r="I235" t="s">
        <v>1110</v>
      </c>
      <c r="J235" t="s">
        <v>2785</v>
      </c>
      <c r="K235">
        <f>K222</f>
        <v>2.93861691668666</v>
      </c>
      <c r="L235">
        <f t="shared" ref="L235:O235" si="36">L222</f>
        <v>3.28547008547008</v>
      </c>
      <c r="M235">
        <f t="shared" si="36"/>
        <v>-1.0446735395189</v>
      </c>
      <c r="N235">
        <f t="shared" si="36"/>
        <v>-3.34102141680395</v>
      </c>
      <c r="O235">
        <f t="shared" si="36"/>
        <v>3.6025765836149812</v>
      </c>
      <c r="P235" s="152">
        <v>-66.252507530000003</v>
      </c>
      <c r="Q235" s="152">
        <f t="shared" ref="Q235:Q242" si="37">P235+SUM(K235:N235)</f>
        <v>-64.414115484166118</v>
      </c>
      <c r="R235">
        <f t="shared" ref="R235:R242" si="38">SUM(K235:L235)</f>
        <v>6.2240870021567396</v>
      </c>
    </row>
    <row r="236" spans="9:18">
      <c r="I236" t="s">
        <v>2786</v>
      </c>
      <c r="J236" t="s">
        <v>2785</v>
      </c>
      <c r="K236">
        <f>K222-K223</f>
        <v>0</v>
      </c>
      <c r="L236">
        <f t="shared" ref="L236:O236" si="39">L222-L223</f>
        <v>-3.54188034188034</v>
      </c>
      <c r="M236">
        <f t="shared" si="39"/>
        <v>5.0274914089347096</v>
      </c>
      <c r="N236">
        <f t="shared" si="39"/>
        <v>-3.34102141680395</v>
      </c>
      <c r="O236">
        <f t="shared" si="39"/>
        <v>-1.8016502205087317</v>
      </c>
      <c r="P236" s="152">
        <f>P235+SUM(K223:N223)</f>
        <v>-62.558705134416535</v>
      </c>
      <c r="Q236" s="152">
        <f t="shared" si="37"/>
        <v>-64.414115484166118</v>
      </c>
      <c r="R236">
        <f t="shared" si="38"/>
        <v>-3.54188034188034</v>
      </c>
    </row>
    <row r="237" spans="9:18">
      <c r="I237" t="s">
        <v>2787</v>
      </c>
      <c r="J237" t="s">
        <v>1110</v>
      </c>
      <c r="K237">
        <f>-K224</f>
        <v>4.6286109425494901</v>
      </c>
      <c r="L237">
        <f t="shared" ref="L237:O237" si="40">-L224</f>
        <v>3.3196581196581101</v>
      </c>
      <c r="M237">
        <f t="shared" si="40"/>
        <v>-1.0532646048109899</v>
      </c>
      <c r="N237">
        <f t="shared" si="40"/>
        <v>-3.3937397034596302</v>
      </c>
      <c r="O237">
        <f t="shared" si="40"/>
        <v>3.6523972610494857</v>
      </c>
      <c r="P237" s="152">
        <f>Q237+SUM(K237:N237)</f>
        <v>-62.751242776063023</v>
      </c>
      <c r="Q237" s="152">
        <v>-66.252507530000003</v>
      </c>
      <c r="R237">
        <f t="shared" si="38"/>
        <v>7.9482690622076007</v>
      </c>
    </row>
    <row r="238" spans="9:18">
      <c r="I238" t="s">
        <v>1110</v>
      </c>
      <c r="J238" t="s">
        <v>2788</v>
      </c>
      <c r="K238">
        <f t="shared" ref="K238:O240" si="41">K225</f>
        <v>-4.7403037872266296</v>
      </c>
      <c r="L238">
        <f t="shared" si="41"/>
        <v>7.3059829059828996</v>
      </c>
      <c r="M238">
        <f t="shared" si="41"/>
        <v>-6.5068728522336698</v>
      </c>
      <c r="N238">
        <f t="shared" si="41"/>
        <v>0</v>
      </c>
      <c r="O238">
        <f t="shared" si="41"/>
        <v>5.7911168384879659</v>
      </c>
      <c r="P238" s="152">
        <v>-66.252507530000003</v>
      </c>
      <c r="Q238" s="152">
        <f t="shared" si="37"/>
        <v>-70.193701263477408</v>
      </c>
      <c r="R238">
        <f t="shared" si="38"/>
        <v>2.56567911875627</v>
      </c>
    </row>
    <row r="239" spans="9:18">
      <c r="I239" t="s">
        <v>1110</v>
      </c>
      <c r="J239" t="s">
        <v>1415</v>
      </c>
      <c r="K239">
        <f t="shared" si="41"/>
        <v>-1.4453648692510599</v>
      </c>
      <c r="L239">
        <f t="shared" si="41"/>
        <v>0</v>
      </c>
      <c r="M239">
        <f t="shared" si="41"/>
        <v>0</v>
      </c>
      <c r="N239">
        <f t="shared" si="41"/>
        <v>0</v>
      </c>
      <c r="O239">
        <f t="shared" si="41"/>
        <v>0</v>
      </c>
      <c r="P239" s="152">
        <v>-66.252507530000003</v>
      </c>
      <c r="Q239" s="152">
        <f t="shared" si="37"/>
        <v>-67.697872399251068</v>
      </c>
      <c r="R239">
        <f t="shared" si="38"/>
        <v>-1.4453648692510599</v>
      </c>
    </row>
    <row r="240" spans="9:18">
      <c r="I240" t="s">
        <v>1110</v>
      </c>
      <c r="J240" t="s">
        <v>1408</v>
      </c>
      <c r="K240">
        <f t="shared" si="41"/>
        <v>-10.1853675975971</v>
      </c>
      <c r="L240">
        <f t="shared" si="41"/>
        <v>3.11794871794871</v>
      </c>
      <c r="M240">
        <f t="shared" si="41"/>
        <v>-4.6924398625429502</v>
      </c>
      <c r="N240">
        <f t="shared" si="41"/>
        <v>3.3937397034596302</v>
      </c>
      <c r="O240">
        <f t="shared" si="41"/>
        <v>1.4612797148955217</v>
      </c>
      <c r="P240" s="152">
        <v>-66.252507530000003</v>
      </c>
      <c r="Q240" s="152">
        <f t="shared" si="37"/>
        <v>-74.618626568731713</v>
      </c>
      <c r="R240">
        <f t="shared" si="38"/>
        <v>-7.0674188796483897</v>
      </c>
    </row>
    <row r="241" spans="1:18">
      <c r="I241" t="s">
        <v>2789</v>
      </c>
      <c r="J241" t="s">
        <v>1110</v>
      </c>
      <c r="K241">
        <f>-K228</f>
        <v>0</v>
      </c>
      <c r="L241">
        <f t="shared" ref="L241:O241" si="42">-L228</f>
        <v>-0.70085470085469903</v>
      </c>
      <c r="M241">
        <f t="shared" si="42"/>
        <v>5.5807560137456997</v>
      </c>
      <c r="N241">
        <f t="shared" si="42"/>
        <v>0</v>
      </c>
      <c r="O241">
        <f t="shared" si="42"/>
        <v>-4.9668728522336725</v>
      </c>
      <c r="P241" s="152">
        <f>Q241+SUM(K241:N241)</f>
        <v>-61.372606217109002</v>
      </c>
      <c r="Q241" s="152">
        <v>-66.252507530000003</v>
      </c>
      <c r="R241">
        <f t="shared" si="38"/>
        <v>-0.70085470085469903</v>
      </c>
    </row>
    <row r="242" spans="1:18">
      <c r="I242" t="s">
        <v>1110</v>
      </c>
      <c r="J242" t="s">
        <v>1398</v>
      </c>
      <c r="K242">
        <f t="shared" ref="K242:O242" si="43">K229</f>
        <v>0</v>
      </c>
      <c r="L242">
        <f t="shared" si="43"/>
        <v>-4.3247863247863201</v>
      </c>
      <c r="M242">
        <f t="shared" si="43"/>
        <v>0</v>
      </c>
      <c r="N242">
        <f t="shared" si="43"/>
        <v>-4.9785831960461202</v>
      </c>
      <c r="O242">
        <f t="shared" si="43"/>
        <v>3.9828665568368962</v>
      </c>
      <c r="P242" s="152">
        <v>-66.252507530000003</v>
      </c>
      <c r="Q242" s="152">
        <f t="shared" si="37"/>
        <v>-75.555877050832436</v>
      </c>
      <c r="R242">
        <f t="shared" si="38"/>
        <v>-4.3247863247863201</v>
      </c>
    </row>
    <row r="246" spans="1:18">
      <c r="A246" t="s">
        <v>2795</v>
      </c>
      <c r="J246" t="s">
        <v>1441</v>
      </c>
      <c r="K246" t="s">
        <v>2796</v>
      </c>
      <c r="L246" t="s">
        <v>2797</v>
      </c>
      <c r="M246" t="s">
        <v>2798</v>
      </c>
      <c r="O246" t="s">
        <v>2799</v>
      </c>
      <c r="P246" t="s">
        <v>2623</v>
      </c>
      <c r="Q246" t="s">
        <v>2800</v>
      </c>
    </row>
    <row r="247" spans="1:18">
      <c r="J247">
        <v>1200</v>
      </c>
      <c r="K247">
        <v>0</v>
      </c>
      <c r="L247">
        <v>0</v>
      </c>
      <c r="M247">
        <f t="shared" ref="M247:M252" si="44">K247+L247*10^-3*t_to_m3</f>
        <v>0</v>
      </c>
      <c r="O247">
        <v>2.0588235294117601</v>
      </c>
      <c r="P247">
        <f t="shared" ref="P247:P252" si="45">Q247-O247</f>
        <v>0</v>
      </c>
      <c r="Q247">
        <v>2.0588235294117601</v>
      </c>
    </row>
    <row r="248" spans="1:18">
      <c r="J248">
        <v>600</v>
      </c>
      <c r="K248">
        <v>1.66</v>
      </c>
      <c r="L248">
        <v>76.150556841093902</v>
      </c>
      <c r="M248">
        <f t="shared" si="44"/>
        <v>1.8154092996757019</v>
      </c>
      <c r="O248">
        <v>1.98823529411764</v>
      </c>
      <c r="P248">
        <f t="shared" si="45"/>
        <v>4.7058823529409821E-2</v>
      </c>
      <c r="Q248">
        <v>2.0352941176470498</v>
      </c>
    </row>
    <row r="249" spans="1:18">
      <c r="J249">
        <v>300</v>
      </c>
      <c r="K249">
        <v>4.7300000000000004</v>
      </c>
      <c r="L249">
        <v>149.13665949471499</v>
      </c>
      <c r="M249">
        <f t="shared" si="44"/>
        <v>5.0343605295810514</v>
      </c>
      <c r="O249">
        <v>1.5941176470588201</v>
      </c>
      <c r="P249">
        <f t="shared" si="45"/>
        <v>8.2352941176469852E-2</v>
      </c>
      <c r="Q249">
        <v>1.6764705882352899</v>
      </c>
    </row>
    <row r="250" spans="1:18">
      <c r="J250">
        <v>150</v>
      </c>
      <c r="K250">
        <v>5.21</v>
      </c>
      <c r="L250">
        <v>156.09006887779199</v>
      </c>
      <c r="M250">
        <f t="shared" si="44"/>
        <v>5.5285511609750859</v>
      </c>
      <c r="O250">
        <v>1.51176470588235</v>
      </c>
      <c r="P250">
        <f t="shared" si="45"/>
        <v>7.6470588235290071E-2</v>
      </c>
      <c r="Q250">
        <v>1.5882352941176401</v>
      </c>
    </row>
    <row r="251" spans="1:18">
      <c r="J251">
        <v>75</v>
      </c>
      <c r="K251">
        <v>5.28</v>
      </c>
      <c r="L251">
        <v>155.73079473335201</v>
      </c>
      <c r="M251">
        <f t="shared" si="44"/>
        <v>5.5978179484354129</v>
      </c>
      <c r="O251">
        <v>1.48823529411764</v>
      </c>
      <c r="P251">
        <f t="shared" si="45"/>
        <v>8.2352941176470074E-2</v>
      </c>
      <c r="Q251">
        <v>1.5705882352941101</v>
      </c>
    </row>
    <row r="252" spans="1:18">
      <c r="J252">
        <v>0</v>
      </c>
      <c r="K252">
        <v>5.3</v>
      </c>
      <c r="L252">
        <v>154.986535677072</v>
      </c>
      <c r="M252">
        <f t="shared" si="44"/>
        <v>5.6162990524021872</v>
      </c>
      <c r="O252">
        <v>1.47058823529411</v>
      </c>
      <c r="P252">
        <f t="shared" si="45"/>
        <v>7.6470588235300063E-2</v>
      </c>
      <c r="Q252">
        <v>1.54705882352941</v>
      </c>
    </row>
    <row r="273" spans="1:36">
      <c r="J273" t="s">
        <v>2801</v>
      </c>
    </row>
    <row r="274" spans="1:36">
      <c r="A274" t="s">
        <v>2802</v>
      </c>
      <c r="C274" t="s">
        <v>2803</v>
      </c>
      <c r="I274" t="s">
        <v>2804</v>
      </c>
      <c r="J274" t="s">
        <v>326</v>
      </c>
      <c r="K274" t="s">
        <v>327</v>
      </c>
      <c r="L274" t="s">
        <v>291</v>
      </c>
      <c r="M274" t="s">
        <v>276</v>
      </c>
      <c r="N274" t="s">
        <v>320</v>
      </c>
      <c r="O274" t="s">
        <v>328</v>
      </c>
      <c r="P274" t="s">
        <v>293</v>
      </c>
      <c r="Q274" t="s">
        <v>275</v>
      </c>
      <c r="R274" t="s">
        <v>2805</v>
      </c>
      <c r="S274" t="s">
        <v>2806</v>
      </c>
      <c r="T274" t="s">
        <v>2807</v>
      </c>
      <c r="U274" t="s">
        <v>2808</v>
      </c>
      <c r="V274" t="s">
        <v>2809</v>
      </c>
      <c r="W274" t="s">
        <v>2810</v>
      </c>
      <c r="X274" t="s">
        <v>2811</v>
      </c>
      <c r="Y274" t="s">
        <v>2812</v>
      </c>
      <c r="Z274" t="s">
        <v>2813</v>
      </c>
      <c r="AA274" t="s">
        <v>2814</v>
      </c>
      <c r="AB274" t="s">
        <v>2815</v>
      </c>
      <c r="AC274" t="s">
        <v>2816</v>
      </c>
      <c r="AD274" t="s">
        <v>302</v>
      </c>
      <c r="AE274" t="s">
        <v>305</v>
      </c>
      <c r="AF274" t="s">
        <v>303</v>
      </c>
      <c r="AG274" t="s">
        <v>284</v>
      </c>
      <c r="AH274" t="s">
        <v>312</v>
      </c>
      <c r="AI274" t="s">
        <v>283</v>
      </c>
    </row>
    <row r="275" spans="1:36">
      <c r="I275">
        <v>0</v>
      </c>
      <c r="J275">
        <v>812.03931203931199</v>
      </c>
      <c r="K275">
        <v>590.90124106098494</v>
      </c>
      <c r="L275">
        <v>458.23095823095798</v>
      </c>
      <c r="M275">
        <v>369.77886977886902</v>
      </c>
      <c r="N275">
        <v>812.03931203931199</v>
      </c>
      <c r="O275">
        <v>590.90909090909099</v>
      </c>
      <c r="P275">
        <v>453.316953316953</v>
      </c>
      <c r="Q275">
        <v>355.036855036855</v>
      </c>
      <c r="R275">
        <v>813.13131313131305</v>
      </c>
      <c r="S275">
        <v>585.85858585858603</v>
      </c>
      <c r="T275">
        <v>464.64646464646501</v>
      </c>
      <c r="U275">
        <v>459.59595959595902</v>
      </c>
      <c r="V275">
        <v>454.54545454545399</v>
      </c>
      <c r="W275">
        <v>358.58585858585798</v>
      </c>
      <c r="X275">
        <v>0</v>
      </c>
      <c r="Y275">
        <v>0</v>
      </c>
      <c r="Z275">
        <v>0</v>
      </c>
      <c r="AA275">
        <v>0</v>
      </c>
      <c r="AB275">
        <v>0</v>
      </c>
      <c r="AC275">
        <v>0</v>
      </c>
      <c r="AD275">
        <v>0</v>
      </c>
      <c r="AE275">
        <v>0</v>
      </c>
      <c r="AF275">
        <v>0</v>
      </c>
      <c r="AG275">
        <v>0</v>
      </c>
      <c r="AH275">
        <v>0</v>
      </c>
      <c r="AI275">
        <v>0</v>
      </c>
    </row>
    <row r="276" spans="1:36">
      <c r="I276">
        <v>25</v>
      </c>
      <c r="J276">
        <v>850.73906319912703</v>
      </c>
      <c r="K276">
        <v>580.46879292885603</v>
      </c>
      <c r="L276">
        <v>447.79066025072399</v>
      </c>
      <c r="M276">
        <v>437.96265042271398</v>
      </c>
      <c r="N276">
        <v>733.41523341523305</v>
      </c>
      <c r="O276">
        <v>541.769041769041</v>
      </c>
      <c r="P276">
        <v>404.17690417690397</v>
      </c>
      <c r="Q276">
        <v>315.72481572481502</v>
      </c>
      <c r="R276">
        <v>808.08080808080797</v>
      </c>
      <c r="S276">
        <v>555.55555555555497</v>
      </c>
      <c r="T276">
        <v>444.44444444444503</v>
      </c>
      <c r="U276">
        <v>454.54545454545399</v>
      </c>
      <c r="V276">
        <v>398.98989898989902</v>
      </c>
      <c r="W276">
        <v>358.58585858585798</v>
      </c>
      <c r="X276">
        <v>48.223350253806899</v>
      </c>
      <c r="Y276">
        <v>12.690355329949099</v>
      </c>
      <c r="Z276">
        <v>0</v>
      </c>
      <c r="AA276">
        <v>-58.375634517766599</v>
      </c>
      <c r="AB276">
        <v>-83.756345177664997</v>
      </c>
      <c r="AC276">
        <v>-215.73604060913701</v>
      </c>
      <c r="AD276">
        <v>-28.151381008790899</v>
      </c>
      <c r="AE276">
        <v>-30.296153126753399</v>
      </c>
      <c r="AF276">
        <v>-30.296153126753399</v>
      </c>
      <c r="AG276">
        <v>-45.3095579524906</v>
      </c>
      <c r="AH276">
        <v>-73.191595486002697</v>
      </c>
      <c r="AI276">
        <v>-90.349772429702398</v>
      </c>
    </row>
    <row r="277" spans="1:36">
      <c r="I277">
        <v>50</v>
      </c>
      <c r="J277">
        <v>928.75085367098097</v>
      </c>
      <c r="K277">
        <v>599.50467458454602</v>
      </c>
      <c r="L277">
        <v>456.99853207840403</v>
      </c>
      <c r="M277">
        <v>653.55872863859997</v>
      </c>
      <c r="N277">
        <v>689.18918918918905</v>
      </c>
      <c r="O277">
        <v>492.62899262899202</v>
      </c>
      <c r="P277">
        <v>359.95085995085901</v>
      </c>
      <c r="Q277">
        <v>428.74692874692801</v>
      </c>
      <c r="R277">
        <v>813.13131313131305</v>
      </c>
      <c r="S277">
        <v>570.70707070706999</v>
      </c>
      <c r="T277">
        <v>616.16161616161605</v>
      </c>
      <c r="U277">
        <v>510.10101010100999</v>
      </c>
      <c r="V277">
        <v>353.53535353535398</v>
      </c>
      <c r="W277">
        <v>454.54545454545399</v>
      </c>
      <c r="X277">
        <v>159.89847715735999</v>
      </c>
      <c r="Y277">
        <v>78.680203045685104</v>
      </c>
      <c r="Z277">
        <v>-2.5380710659899202</v>
      </c>
      <c r="AA277">
        <v>-73.604060913705695</v>
      </c>
      <c r="AB277">
        <v>-170.05076142131901</v>
      </c>
      <c r="AC277">
        <v>-256.34517766497402</v>
      </c>
      <c r="AD277">
        <v>-69.171394725356805</v>
      </c>
      <c r="AE277">
        <v>-77.750483197206606</v>
      </c>
      <c r="AF277">
        <v>-84.184799551094102</v>
      </c>
      <c r="AG277">
        <v>-101.339651266703</v>
      </c>
      <c r="AH277">
        <v>-167.82758692354</v>
      </c>
      <c r="AI277">
        <v>-184.98576386724</v>
      </c>
    </row>
    <row r="278" spans="1:36">
      <c r="I278">
        <v>75</v>
      </c>
      <c r="J278">
        <v>992.01277955271496</v>
      </c>
      <c r="K278">
        <v>618.54840608834195</v>
      </c>
      <c r="L278">
        <v>466.21425375418897</v>
      </c>
      <c r="M278">
        <v>820.02260756254304</v>
      </c>
      <c r="N278">
        <v>635.13513513513499</v>
      </c>
      <c r="O278">
        <v>438.57493857493802</v>
      </c>
      <c r="P278">
        <v>310.81081081080998</v>
      </c>
      <c r="Q278">
        <v>497.542997542997</v>
      </c>
      <c r="R278">
        <v>818.18181818181802</v>
      </c>
      <c r="S278">
        <v>590.90909090909099</v>
      </c>
      <c r="T278">
        <v>702.02020202020196</v>
      </c>
      <c r="U278">
        <v>570.70707070706999</v>
      </c>
      <c r="V278">
        <v>358.58585858585798</v>
      </c>
      <c r="W278">
        <v>535.35353535353499</v>
      </c>
      <c r="X278">
        <v>266.49746192893298</v>
      </c>
      <c r="Y278">
        <v>149.746192893401</v>
      </c>
      <c r="Z278">
        <v>53.2994923857866</v>
      </c>
      <c r="AA278">
        <v>-68.527918781726299</v>
      </c>
      <c r="AB278">
        <v>-205.58375634517699</v>
      </c>
      <c r="AC278">
        <v>-230.96446700507599</v>
      </c>
      <c r="AD278">
        <v>-110.188083213832</v>
      </c>
      <c r="AE278">
        <v>-120.911943803645</v>
      </c>
      <c r="AF278">
        <v>-133.78057651142001</v>
      </c>
      <c r="AG278">
        <v>-146.64920921919401</v>
      </c>
      <c r="AH278">
        <v>-262.46357836107802</v>
      </c>
      <c r="AI278">
        <v>-277.48030841490498</v>
      </c>
    </row>
    <row r="279" spans="1:36">
      <c r="I279">
        <v>100</v>
      </c>
      <c r="J279">
        <v>1045.45454545454</v>
      </c>
      <c r="K279">
        <v>642.50614250614206</v>
      </c>
      <c r="L279">
        <v>475.429975429975</v>
      </c>
      <c r="M279">
        <v>917.69826753852306</v>
      </c>
      <c r="N279">
        <v>585.99508599508601</v>
      </c>
      <c r="O279">
        <v>389.43488943488899</v>
      </c>
      <c r="P279">
        <v>256.75675675675598</v>
      </c>
      <c r="Q279">
        <v>502.45700245700198</v>
      </c>
      <c r="R279">
        <v>838.383838383838</v>
      </c>
      <c r="S279">
        <v>621.21212121212102</v>
      </c>
      <c r="T279">
        <v>767.67676767676801</v>
      </c>
      <c r="U279">
        <v>641.414141414141</v>
      </c>
      <c r="V279">
        <v>348.48484848484799</v>
      </c>
      <c r="W279">
        <v>560.60606060606096</v>
      </c>
      <c r="X279">
        <v>388.32487309644603</v>
      </c>
      <c r="Y279">
        <v>236.04060913705499</v>
      </c>
      <c r="Z279">
        <v>93.9086294416242</v>
      </c>
      <c r="AA279">
        <v>-43.147208121827497</v>
      </c>
      <c r="AB279">
        <v>-225.888324873096</v>
      </c>
      <c r="AC279">
        <v>-185.27918781725899</v>
      </c>
      <c r="AD279">
        <v>-153.34954382027101</v>
      </c>
      <c r="AE279">
        <v>-166.218176528046</v>
      </c>
      <c r="AF279">
        <v>-179.08680923582</v>
      </c>
      <c r="AG279">
        <v>-194.10021406155801</v>
      </c>
      <c r="AH279">
        <v>-352.81335079078002</v>
      </c>
      <c r="AI279">
        <v>-369.97152773447999</v>
      </c>
    </row>
    <row r="280" spans="1:36">
      <c r="I280">
        <v>125</v>
      </c>
      <c r="J280">
        <v>1103.8024664222701</v>
      </c>
      <c r="K280">
        <v>661.54987400993696</v>
      </c>
      <c r="L280">
        <v>484.64569710576097</v>
      </c>
      <c r="M280">
        <v>1000.61621307627</v>
      </c>
      <c r="N280">
        <v>551.59705159705095</v>
      </c>
      <c r="O280">
        <v>335.38083538083498</v>
      </c>
      <c r="P280">
        <v>202.702702702702</v>
      </c>
      <c r="Q280">
        <v>487.71498771498699</v>
      </c>
      <c r="R280">
        <v>833.33333333333303</v>
      </c>
      <c r="S280">
        <v>641.414141414141</v>
      </c>
      <c r="T280">
        <v>823.23232323232298</v>
      </c>
      <c r="U280">
        <v>707.07070707070704</v>
      </c>
      <c r="V280">
        <v>328.28282828282801</v>
      </c>
      <c r="W280">
        <v>580.80808080808094</v>
      </c>
      <c r="X280">
        <v>500</v>
      </c>
      <c r="Y280">
        <v>307.10659898477098</v>
      </c>
      <c r="Z280">
        <v>124.36548223350199</v>
      </c>
      <c r="AA280">
        <v>-48.223350253807403</v>
      </c>
      <c r="AB280">
        <v>-225.888324873096</v>
      </c>
      <c r="AC280">
        <v>-144.67005076142101</v>
      </c>
      <c r="AD280">
        <v>-194.36955753683699</v>
      </c>
      <c r="AE280">
        <v>-209.38296236257401</v>
      </c>
      <c r="AF280">
        <v>-224.399692416401</v>
      </c>
      <c r="AG280">
        <v>-239.409772014049</v>
      </c>
      <c r="AH280">
        <v>-447.45266745640799</v>
      </c>
      <c r="AI280">
        <v>-462.46607228214498</v>
      </c>
    </row>
    <row r="281" spans="1:36">
      <c r="I281">
        <v>150</v>
      </c>
      <c r="J281">
        <v>1162.1582372380999</v>
      </c>
      <c r="K281">
        <v>675.67175075162299</v>
      </c>
      <c r="L281">
        <v>493.85356893344101</v>
      </c>
      <c r="M281">
        <v>1068.79214387201</v>
      </c>
      <c r="N281">
        <v>517.19901719901702</v>
      </c>
      <c r="O281">
        <v>286.24078624078601</v>
      </c>
      <c r="P281">
        <v>148.64864864864799</v>
      </c>
      <c r="Q281">
        <v>472.972972972972</v>
      </c>
      <c r="R281">
        <v>848.48484848484804</v>
      </c>
      <c r="S281">
        <v>676.76767676767702</v>
      </c>
      <c r="T281">
        <v>868.68686868686905</v>
      </c>
      <c r="U281">
        <v>772.72727272727298</v>
      </c>
      <c r="V281">
        <v>338.383838383838</v>
      </c>
      <c r="W281">
        <v>601.01010101010104</v>
      </c>
      <c r="X281">
        <v>616.751269035532</v>
      </c>
      <c r="Y281">
        <v>393.40101522842599</v>
      </c>
      <c r="Z281">
        <v>185.27918781725799</v>
      </c>
      <c r="AA281">
        <v>-22.842639593908601</v>
      </c>
      <c r="AB281">
        <v>-225.888324873096</v>
      </c>
      <c r="AC281">
        <v>-109.137055837563</v>
      </c>
      <c r="AD281">
        <v>-235.38957125340301</v>
      </c>
      <c r="AE281">
        <v>-252.54774819710201</v>
      </c>
      <c r="AF281">
        <v>-273.99879460481702</v>
      </c>
      <c r="AG281">
        <v>-286.86742731259199</v>
      </c>
      <c r="AH281">
        <v>-539.94721200407298</v>
      </c>
      <c r="AI281">
        <v>-554.9639420579</v>
      </c>
    </row>
    <row r="282" spans="1:36">
      <c r="I282">
        <v>175</v>
      </c>
      <c r="J282">
        <v>1220.51400805394</v>
      </c>
      <c r="K282">
        <v>694.71548225541801</v>
      </c>
      <c r="L282">
        <v>503.06929060922602</v>
      </c>
      <c r="M282">
        <v>1136.97592451586</v>
      </c>
      <c r="N282">
        <v>477.88697788697698</v>
      </c>
      <c r="O282">
        <v>237.10073710073701</v>
      </c>
      <c r="P282">
        <v>99.508599508599204</v>
      </c>
      <c r="Q282">
        <v>453.316953316953</v>
      </c>
      <c r="R282">
        <v>853.53535353535403</v>
      </c>
      <c r="S282">
        <v>707.07070707070704</v>
      </c>
      <c r="T282">
        <v>919.19191919191906</v>
      </c>
      <c r="U282">
        <v>843.43434343434296</v>
      </c>
      <c r="V282">
        <v>318.18181818181802</v>
      </c>
      <c r="W282">
        <v>606.06060606060601</v>
      </c>
      <c r="X282">
        <v>733.50253807106503</v>
      </c>
      <c r="Y282">
        <v>474.61928934010098</v>
      </c>
      <c r="Z282">
        <v>220.812182741116</v>
      </c>
      <c r="AA282">
        <v>-12.690355329949099</v>
      </c>
      <c r="AB282">
        <v>-225.888324873096</v>
      </c>
      <c r="AC282">
        <v>-63.451776649746002</v>
      </c>
      <c r="AD282">
        <v>-276.40958496996899</v>
      </c>
      <c r="AE282">
        <v>-295.709208803541</v>
      </c>
      <c r="AF282">
        <v>-319.30502732921798</v>
      </c>
      <c r="AG282">
        <v>-332.17033480890302</v>
      </c>
      <c r="AH282">
        <v>-634.58652866969999</v>
      </c>
      <c r="AI282">
        <v>-647.45516137747495</v>
      </c>
    </row>
    <row r="283" spans="1:36">
      <c r="I283">
        <v>200</v>
      </c>
      <c r="J283">
        <v>1273.96362380387</v>
      </c>
      <c r="K283">
        <v>718.66536882511298</v>
      </c>
      <c r="L283">
        <v>507.378857219113</v>
      </c>
      <c r="M283">
        <v>1200.2457002456999</v>
      </c>
      <c r="N283">
        <v>448.40294840294803</v>
      </c>
      <c r="O283">
        <v>187.96068796068701</v>
      </c>
      <c r="P283">
        <v>50.368550368550302</v>
      </c>
      <c r="Q283">
        <v>438.57493857493802</v>
      </c>
      <c r="R283">
        <v>858.585858585859</v>
      </c>
      <c r="S283">
        <v>732.32323232323199</v>
      </c>
      <c r="T283">
        <v>954.54545454545496</v>
      </c>
      <c r="U283">
        <v>904.04040404040404</v>
      </c>
      <c r="V283">
        <v>323.23232323232298</v>
      </c>
      <c r="W283">
        <v>621.21212121212102</v>
      </c>
      <c r="X283">
        <v>855.32994923857802</v>
      </c>
      <c r="Y283">
        <v>545.68527918781695</v>
      </c>
      <c r="Z283">
        <v>276.64974619289302</v>
      </c>
      <c r="AA283">
        <v>-2.5380710659899202</v>
      </c>
      <c r="AB283">
        <v>-225.888324873096</v>
      </c>
      <c r="AC283">
        <v>-22.842639593908601</v>
      </c>
      <c r="AD283">
        <v>-319.57104557640702</v>
      </c>
      <c r="AE283">
        <v>-338.87399463806901</v>
      </c>
      <c r="AF283">
        <v>-364.60793482552901</v>
      </c>
      <c r="AG283">
        <v>-377.47656753330398</v>
      </c>
      <c r="AH283">
        <v>-727.08107321736497</v>
      </c>
      <c r="AI283">
        <v>-737.801608579088</v>
      </c>
    </row>
    <row r="285" spans="1:36">
      <c r="I285" t="s">
        <v>2804</v>
      </c>
      <c r="J285" t="s">
        <v>2817</v>
      </c>
      <c r="K285" t="s">
        <v>2818</v>
      </c>
      <c r="L285" t="s">
        <v>2819</v>
      </c>
      <c r="M285" t="s">
        <v>2820</v>
      </c>
      <c r="N285" t="s">
        <v>2821</v>
      </c>
      <c r="O285" t="s">
        <v>2822</v>
      </c>
      <c r="P285" t="s">
        <v>2823</v>
      </c>
      <c r="Q285" t="s">
        <v>2824</v>
      </c>
      <c r="R285" t="s">
        <v>2825</v>
      </c>
      <c r="S285" t="s">
        <v>2826</v>
      </c>
      <c r="T285" t="s">
        <v>2827</v>
      </c>
      <c r="U285" t="s">
        <v>2828</v>
      </c>
      <c r="W285" t="s">
        <v>2820</v>
      </c>
      <c r="X285" t="s">
        <v>2821</v>
      </c>
      <c r="Y285" t="s">
        <v>2829</v>
      </c>
      <c r="Z285" t="s">
        <v>2830</v>
      </c>
      <c r="AA285" t="s">
        <v>2824</v>
      </c>
      <c r="AB285" t="s">
        <v>2825</v>
      </c>
      <c r="AC285" t="s">
        <v>2826</v>
      </c>
      <c r="AD285" t="s">
        <v>2827</v>
      </c>
      <c r="AE285" t="s">
        <v>2828</v>
      </c>
      <c r="AG285" t="s">
        <v>2824</v>
      </c>
      <c r="AH285" t="s">
        <v>2825</v>
      </c>
    </row>
    <row r="286" spans="1:36">
      <c r="I286">
        <v>50</v>
      </c>
      <c r="J286" t="s">
        <v>291</v>
      </c>
      <c r="K286" s="2" t="s">
        <v>276</v>
      </c>
      <c r="M286">
        <v>0</v>
      </c>
      <c r="N286">
        <v>264.61872586084911</v>
      </c>
      <c r="O286">
        <v>0</v>
      </c>
      <c r="P286">
        <v>145.3587976415094</v>
      </c>
      <c r="Q286">
        <v>-456.78692783823215</v>
      </c>
      <c r="R286">
        <v>-654.85817268246092</v>
      </c>
      <c r="S286">
        <v>1</v>
      </c>
      <c r="T286">
        <v>1</v>
      </c>
      <c r="U286" t="s">
        <v>2831</v>
      </c>
      <c r="W286">
        <v>0</v>
      </c>
      <c r="X286" t="e">
        <f t="shared" ref="X286:X349" ca="1" si="46">SUM(INDIRECT("'[2022 - Aryapratama &amp; Pauliuk - STE - AppD.xlsx]"&amp;$K286&amp;"'!D2:D"&amp;$I286+1))</f>
        <v>#REF!</v>
      </c>
      <c r="Y286">
        <v>0</v>
      </c>
      <c r="Z286" t="e">
        <f t="shared" ref="Z286:Z349" ca="1" si="47">SUM(INDIRECT("'[2022 - Aryapratama &amp; Pauliuk - STE - AppD.xlsx]"&amp;$K286&amp;"'!H2:H"&amp;$I286+1))</f>
        <v>#REF!</v>
      </c>
      <c r="AA286" s="152" t="e">
        <f t="shared" ref="AA286:AA291" ca="1" si="48">INDIRECT($AE286&amp;$I286+2&amp;"C"&amp;MATCH(RIGHT(J286,$AC286+3)&amp;" (t-CO2eq)",INDIRECT($AE286&amp;$AD286,FALSE),0),FALSE)</f>
        <v>#REF!</v>
      </c>
      <c r="AB286" s="152" t="e">
        <f t="shared" ref="AB286:AB291" ca="1" si="49">INDIRECT($AE286&amp;$I286+2&amp;"C"&amp;MATCH(RIGHT(K286,$AC286)&amp;" (t-CO2eq)",INDIRECT($AE286&amp;$AD286,FALSE),0),FALSE)</f>
        <v>#REF!</v>
      </c>
      <c r="AC286">
        <v>1</v>
      </c>
      <c r="AD286">
        <v>1</v>
      </c>
      <c r="AE286" t="str">
        <f t="shared" ref="AE286:AE291" si="50">"'[2022 - Aryapratama &amp; Pauliuk - STE - AppF.xlsx]GWPdyn_"&amp;LEFT(K286,5)&amp;" - Fig.4(f)'!L"</f>
        <v>'[2022 - Aryapratama &amp; Pauliuk - STE - AppF.xlsx]GWPdyn_PF_PO - Fig.4(f)'!L</v>
      </c>
      <c r="AG286">
        <v>456.78692783823215</v>
      </c>
      <c r="AH286">
        <v>654.85817268246092</v>
      </c>
      <c r="AI286">
        <f t="shared" ref="AI286:AJ349" si="51">-AG286</f>
        <v>-456.78692783823215</v>
      </c>
      <c r="AJ286">
        <f>-AH286</f>
        <v>-654.85817268246092</v>
      </c>
    </row>
    <row r="287" spans="1:36">
      <c r="I287">
        <v>100</v>
      </c>
      <c r="J287" t="s">
        <v>291</v>
      </c>
      <c r="K287" s="2" t="s">
        <v>276</v>
      </c>
      <c r="M287">
        <v>0</v>
      </c>
      <c r="N287">
        <v>341.92410211084911</v>
      </c>
      <c r="O287">
        <v>0</v>
      </c>
      <c r="P287">
        <v>164.91714764150942</v>
      </c>
      <c r="Q287">
        <v>-476.23317385650159</v>
      </c>
      <c r="R287">
        <v>-922.29525217943831</v>
      </c>
      <c r="S287">
        <v>1</v>
      </c>
      <c r="T287">
        <v>1</v>
      </c>
      <c r="U287" t="s">
        <v>2831</v>
      </c>
      <c r="W287">
        <v>0</v>
      </c>
      <c r="X287" t="e">
        <f t="shared" ca="1" si="46"/>
        <v>#REF!</v>
      </c>
      <c r="Y287">
        <v>0</v>
      </c>
      <c r="Z287" t="e">
        <f t="shared" ca="1" si="47"/>
        <v>#REF!</v>
      </c>
      <c r="AA287" s="152" t="e">
        <f t="shared" ca="1" si="48"/>
        <v>#REF!</v>
      </c>
      <c r="AB287" s="152" t="e">
        <f t="shared" ca="1" si="49"/>
        <v>#REF!</v>
      </c>
      <c r="AC287">
        <v>1</v>
      </c>
      <c r="AD287">
        <v>1</v>
      </c>
      <c r="AE287" t="str">
        <f t="shared" si="50"/>
        <v>'[2022 - Aryapratama &amp; Pauliuk - STE - AppF.xlsx]GWPdyn_PF_PO - Fig.4(f)'!L</v>
      </c>
      <c r="AG287">
        <v>476.23317385650159</v>
      </c>
      <c r="AH287">
        <v>922.29525217943831</v>
      </c>
      <c r="AI287">
        <f t="shared" si="51"/>
        <v>-476.23317385650159</v>
      </c>
      <c r="AJ287">
        <f t="shared" si="51"/>
        <v>-922.29525217943831</v>
      </c>
    </row>
    <row r="288" spans="1:36">
      <c r="I288">
        <v>200</v>
      </c>
      <c r="J288" t="s">
        <v>291</v>
      </c>
      <c r="K288" s="2" t="s">
        <v>276</v>
      </c>
      <c r="M288">
        <v>0</v>
      </c>
      <c r="N288">
        <v>496.5348546108491</v>
      </c>
      <c r="O288">
        <v>0</v>
      </c>
      <c r="P288">
        <v>204.03384764150945</v>
      </c>
      <c r="Q288">
        <v>-514.73759172333291</v>
      </c>
      <c r="R288">
        <v>-1206.3347109067272</v>
      </c>
      <c r="S288">
        <v>1</v>
      </c>
      <c r="T288">
        <v>1</v>
      </c>
      <c r="U288" t="s">
        <v>2831</v>
      </c>
      <c r="W288">
        <v>0</v>
      </c>
      <c r="X288" t="e">
        <f t="shared" ca="1" si="46"/>
        <v>#REF!</v>
      </c>
      <c r="Y288">
        <v>0</v>
      </c>
      <c r="Z288" t="e">
        <f t="shared" ca="1" si="47"/>
        <v>#REF!</v>
      </c>
      <c r="AA288" s="152" t="e">
        <f t="shared" ca="1" si="48"/>
        <v>#REF!</v>
      </c>
      <c r="AB288" s="152" t="e">
        <f t="shared" ca="1" si="49"/>
        <v>#REF!</v>
      </c>
      <c r="AC288">
        <v>1</v>
      </c>
      <c r="AD288">
        <v>1</v>
      </c>
      <c r="AE288" t="str">
        <f t="shared" si="50"/>
        <v>'[2022 - Aryapratama &amp; Pauliuk - STE - AppF.xlsx]GWPdyn_PF_PO - Fig.4(f)'!L</v>
      </c>
      <c r="AG288">
        <v>514.73759172333291</v>
      </c>
      <c r="AH288">
        <v>1206.3347109067272</v>
      </c>
      <c r="AI288">
        <f t="shared" si="51"/>
        <v>-514.73759172333291</v>
      </c>
      <c r="AJ288">
        <f t="shared" si="51"/>
        <v>-1206.3347109067272</v>
      </c>
    </row>
    <row r="289" spans="9:36">
      <c r="I289">
        <v>50</v>
      </c>
      <c r="J289" t="s">
        <v>327</v>
      </c>
      <c r="K289" s="2" t="s">
        <v>326</v>
      </c>
      <c r="M289">
        <v>0</v>
      </c>
      <c r="N289">
        <v>263.98307948584909</v>
      </c>
      <c r="O289">
        <v>0</v>
      </c>
      <c r="P289">
        <v>196.41951018867931</v>
      </c>
      <c r="Q289">
        <v>-601.12201901040225</v>
      </c>
      <c r="R289">
        <v>-930.07336759388943</v>
      </c>
      <c r="S289">
        <v>1</v>
      </c>
      <c r="T289">
        <v>1</v>
      </c>
      <c r="U289" t="s">
        <v>2831</v>
      </c>
      <c r="W289">
        <v>0</v>
      </c>
      <c r="X289" t="e">
        <f t="shared" ca="1" si="46"/>
        <v>#REF!</v>
      </c>
      <c r="Y289">
        <v>0</v>
      </c>
      <c r="Z289" t="e">
        <f t="shared" ca="1" si="47"/>
        <v>#REF!</v>
      </c>
      <c r="AA289" s="152" t="e">
        <f t="shared" ca="1" si="48"/>
        <v>#REF!</v>
      </c>
      <c r="AB289" s="152" t="e">
        <f t="shared" ca="1" si="49"/>
        <v>#REF!</v>
      </c>
      <c r="AC289">
        <v>1</v>
      </c>
      <c r="AD289">
        <v>1</v>
      </c>
      <c r="AE289" t="str">
        <f t="shared" si="50"/>
        <v>'[2022 - Aryapratama &amp; Pauliuk - STE - AppF.xlsx]GWPdyn_PF_PO - Fig.4(f)'!L</v>
      </c>
      <c r="AG289">
        <v>601.12201901040225</v>
      </c>
      <c r="AH289">
        <v>930.07336759388943</v>
      </c>
      <c r="AI289">
        <f t="shared" si="51"/>
        <v>-601.12201901040225</v>
      </c>
      <c r="AJ289">
        <f t="shared" si="51"/>
        <v>-930.07336759388943</v>
      </c>
    </row>
    <row r="290" spans="9:36">
      <c r="I290">
        <v>100</v>
      </c>
      <c r="J290" t="s">
        <v>327</v>
      </c>
      <c r="K290" s="2" t="s">
        <v>326</v>
      </c>
      <c r="M290">
        <v>0</v>
      </c>
      <c r="N290">
        <v>340.01716298584904</v>
      </c>
      <c r="O290">
        <v>0</v>
      </c>
      <c r="P290">
        <v>227.71287018867932</v>
      </c>
      <c r="Q290">
        <v>-640.9681065668517</v>
      </c>
      <c r="R290">
        <v>-1049.6296143500765</v>
      </c>
      <c r="S290">
        <v>1</v>
      </c>
      <c r="T290">
        <v>1</v>
      </c>
      <c r="U290" t="s">
        <v>2831</v>
      </c>
      <c r="W290">
        <v>0</v>
      </c>
      <c r="X290" t="e">
        <f t="shared" ca="1" si="46"/>
        <v>#REF!</v>
      </c>
      <c r="Y290">
        <v>0</v>
      </c>
      <c r="Z290" t="e">
        <f t="shared" ca="1" si="47"/>
        <v>#REF!</v>
      </c>
      <c r="AA290" s="152" t="e">
        <f t="shared" ca="1" si="48"/>
        <v>#REF!</v>
      </c>
      <c r="AB290" s="152" t="e">
        <f t="shared" ca="1" si="49"/>
        <v>#REF!</v>
      </c>
      <c r="AC290">
        <v>1</v>
      </c>
      <c r="AD290">
        <v>1</v>
      </c>
      <c r="AE290" t="str">
        <f t="shared" si="50"/>
        <v>'[2022 - Aryapratama &amp; Pauliuk - STE - AppF.xlsx]GWPdyn_PF_PO - Fig.4(f)'!L</v>
      </c>
      <c r="AG290">
        <v>640.9681065668517</v>
      </c>
      <c r="AH290">
        <v>1049.6296143500765</v>
      </c>
      <c r="AI290">
        <f t="shared" si="51"/>
        <v>-640.9681065668517</v>
      </c>
      <c r="AJ290">
        <f t="shared" si="51"/>
        <v>-1049.6296143500765</v>
      </c>
    </row>
    <row r="291" spans="9:36">
      <c r="I291">
        <v>200</v>
      </c>
      <c r="J291" t="s">
        <v>327</v>
      </c>
      <c r="K291" s="2" t="s">
        <v>326</v>
      </c>
      <c r="M291">
        <v>0</v>
      </c>
      <c r="N291">
        <v>492.08532998584894</v>
      </c>
      <c r="O291">
        <v>0</v>
      </c>
      <c r="P291">
        <v>290.2995901886793</v>
      </c>
      <c r="Q291">
        <v>-719.97535000585367</v>
      </c>
      <c r="R291">
        <v>-1282.169207878547</v>
      </c>
      <c r="S291">
        <v>1</v>
      </c>
      <c r="T291">
        <v>1</v>
      </c>
      <c r="U291" t="s">
        <v>2831</v>
      </c>
      <c r="W291">
        <v>0</v>
      </c>
      <c r="X291" t="e">
        <f t="shared" ca="1" si="46"/>
        <v>#REF!</v>
      </c>
      <c r="Y291">
        <v>0</v>
      </c>
      <c r="Z291" t="e">
        <f t="shared" ca="1" si="47"/>
        <v>#REF!</v>
      </c>
      <c r="AA291" s="152" t="e">
        <f t="shared" ca="1" si="48"/>
        <v>#REF!</v>
      </c>
      <c r="AB291" s="152" t="e">
        <f t="shared" ca="1" si="49"/>
        <v>#REF!</v>
      </c>
      <c r="AC291">
        <v>1</v>
      </c>
      <c r="AD291">
        <v>1</v>
      </c>
      <c r="AE291" t="str">
        <f t="shared" si="50"/>
        <v>'[2022 - Aryapratama &amp; Pauliuk - STE - AppF.xlsx]GWPdyn_PF_PO - Fig.4(f)'!L</v>
      </c>
      <c r="AG291">
        <v>719.97535000585367</v>
      </c>
      <c r="AH291">
        <v>1282.169207878547</v>
      </c>
      <c r="AI291">
        <f t="shared" si="51"/>
        <v>-719.97535000585367</v>
      </c>
      <c r="AJ291">
        <f t="shared" si="51"/>
        <v>-1282.169207878547</v>
      </c>
    </row>
    <row r="292" spans="9:36">
      <c r="I292">
        <v>50</v>
      </c>
      <c r="J292" t="s">
        <v>293</v>
      </c>
      <c r="K292" s="2" t="s">
        <v>275</v>
      </c>
      <c r="M292">
        <v>0</v>
      </c>
      <c r="N292">
        <v>225.96603773584911</v>
      </c>
      <c r="O292">
        <v>0</v>
      </c>
      <c r="P292">
        <v>135.57962264150939</v>
      </c>
      <c r="Q292">
        <v>-358.5631578083391</v>
      </c>
      <c r="R292">
        <v>-430.22235574765915</v>
      </c>
      <c r="S292">
        <v>1</v>
      </c>
      <c r="T292">
        <v>1</v>
      </c>
      <c r="U292" t="s">
        <v>2832</v>
      </c>
      <c r="W292">
        <v>0</v>
      </c>
      <c r="X292" t="e">
        <f t="shared" ca="1" si="46"/>
        <v>#REF!</v>
      </c>
      <c r="Y292">
        <v>0</v>
      </c>
      <c r="Z292" t="e">
        <f t="shared" ca="1" si="47"/>
        <v>#REF!</v>
      </c>
      <c r="AA292" s="152" t="e">
        <f t="shared" ref="AA292:AA333" ca="1" si="52">INDIRECT($AE292&amp;$I292+2&amp;"C"&amp;MATCH(RIGHT(J292,$AC292+3)&amp;" (t-CO2-eq)",INDIRECT($AE292&amp;$AD292,FALSE),0),FALSE)</f>
        <v>#REF!</v>
      </c>
      <c r="AB292" s="152" t="e">
        <f t="shared" ref="AB292:AB333" ca="1" si="53">INDIRECT($AE292&amp;$I292+2&amp;"C"&amp;MATCH(RIGHT(K292,$AC292)&amp;" (t-CO2-eq)",INDIRECT($AE292&amp;$AD292,FALSE),0),FALSE)</f>
        <v>#REF!</v>
      </c>
      <c r="AC292">
        <v>1</v>
      </c>
      <c r="AD292">
        <v>1</v>
      </c>
      <c r="AE292" t="str">
        <f t="shared" ref="AE292:AE297" si="54">"'[2022 - Aryapratama &amp; Pauliuk - STE - AppF.xlsx]GWPdyn_"&amp;LEFT(K292,5)&amp;" - Fig.4(g)'!L"</f>
        <v>'[2022 - Aryapratama &amp; Pauliuk - STE - AppF.xlsx]GWPdyn_PF_SF - Fig.4(g)'!L</v>
      </c>
      <c r="AG292">
        <v>358.5631578083391</v>
      </c>
      <c r="AH292">
        <v>430.22235574765915</v>
      </c>
      <c r="AI292">
        <f t="shared" si="51"/>
        <v>-358.5631578083391</v>
      </c>
      <c r="AJ292">
        <f t="shared" si="51"/>
        <v>-430.22235574765915</v>
      </c>
    </row>
    <row r="293" spans="9:36">
      <c r="I293">
        <v>100</v>
      </c>
      <c r="J293" t="s">
        <v>293</v>
      </c>
      <c r="K293" s="2" t="s">
        <v>275</v>
      </c>
      <c r="M293">
        <v>0</v>
      </c>
      <c r="N293">
        <v>225.96603773584911</v>
      </c>
      <c r="O293">
        <v>0</v>
      </c>
      <c r="P293">
        <v>135.57962264150939</v>
      </c>
      <c r="Q293">
        <v>-256.36341951965699</v>
      </c>
      <c r="R293">
        <v>-502.68675849347369</v>
      </c>
      <c r="S293">
        <v>1</v>
      </c>
      <c r="T293">
        <v>1</v>
      </c>
      <c r="U293" t="s">
        <v>2832</v>
      </c>
      <c r="W293">
        <v>0</v>
      </c>
      <c r="X293" t="e">
        <f t="shared" ca="1" si="46"/>
        <v>#REF!</v>
      </c>
      <c r="Y293">
        <v>0</v>
      </c>
      <c r="Z293" t="e">
        <f t="shared" ca="1" si="47"/>
        <v>#REF!</v>
      </c>
      <c r="AA293" s="152" t="e">
        <f t="shared" ca="1" si="52"/>
        <v>#REF!</v>
      </c>
      <c r="AB293" s="152" t="e">
        <f t="shared" ca="1" si="53"/>
        <v>#REF!</v>
      </c>
      <c r="AC293">
        <v>1</v>
      </c>
      <c r="AD293">
        <v>1</v>
      </c>
      <c r="AE293" t="str">
        <f t="shared" si="54"/>
        <v>'[2022 - Aryapratama &amp; Pauliuk - STE - AppF.xlsx]GWPdyn_PF_SF - Fig.4(g)'!L</v>
      </c>
      <c r="AG293">
        <v>256.36341951965699</v>
      </c>
      <c r="AH293">
        <v>502.68675849347369</v>
      </c>
      <c r="AI293">
        <f t="shared" si="51"/>
        <v>-256.36341951965699</v>
      </c>
      <c r="AJ293">
        <f t="shared" si="51"/>
        <v>-502.68675849347369</v>
      </c>
    </row>
    <row r="294" spans="9:36">
      <c r="I294">
        <v>200</v>
      </c>
      <c r="J294" t="s">
        <v>293</v>
      </c>
      <c r="K294" s="2" t="s">
        <v>275</v>
      </c>
      <c r="M294">
        <v>0</v>
      </c>
      <c r="N294">
        <v>225.96603773584911</v>
      </c>
      <c r="O294">
        <v>0</v>
      </c>
      <c r="P294">
        <v>135.57962264150939</v>
      </c>
      <c r="Q294">
        <v>-51.111049251716672</v>
      </c>
      <c r="R294">
        <v>-435.66826611219864</v>
      </c>
      <c r="S294">
        <v>1</v>
      </c>
      <c r="T294">
        <v>1</v>
      </c>
      <c r="U294" t="s">
        <v>2832</v>
      </c>
      <c r="W294">
        <v>0</v>
      </c>
      <c r="X294" t="e">
        <f t="shared" ca="1" si="46"/>
        <v>#REF!</v>
      </c>
      <c r="Y294">
        <v>0</v>
      </c>
      <c r="Z294" t="e">
        <f t="shared" ca="1" si="47"/>
        <v>#REF!</v>
      </c>
      <c r="AA294" s="152" t="e">
        <f t="shared" ca="1" si="52"/>
        <v>#REF!</v>
      </c>
      <c r="AB294" s="152" t="e">
        <f t="shared" ca="1" si="53"/>
        <v>#REF!</v>
      </c>
      <c r="AC294">
        <v>1</v>
      </c>
      <c r="AD294">
        <v>1</v>
      </c>
      <c r="AE294" t="str">
        <f t="shared" si="54"/>
        <v>'[2022 - Aryapratama &amp; Pauliuk - STE - AppF.xlsx]GWPdyn_PF_SF - Fig.4(g)'!L</v>
      </c>
      <c r="AG294">
        <v>51.111049251716672</v>
      </c>
      <c r="AH294">
        <v>435.66826611219864</v>
      </c>
      <c r="AI294">
        <f t="shared" si="51"/>
        <v>-51.111049251716672</v>
      </c>
      <c r="AJ294">
        <f t="shared" si="51"/>
        <v>-435.66826611219864</v>
      </c>
    </row>
    <row r="295" spans="9:36">
      <c r="I295">
        <v>50</v>
      </c>
      <c r="J295" t="s">
        <v>328</v>
      </c>
      <c r="K295" s="2" t="s">
        <v>320</v>
      </c>
      <c r="M295">
        <v>0</v>
      </c>
      <c r="N295">
        <v>225.96603773584911</v>
      </c>
      <c r="O295">
        <v>0</v>
      </c>
      <c r="P295">
        <v>180.77283018867931</v>
      </c>
      <c r="Q295">
        <v>-492.14170694588267</v>
      </c>
      <c r="R295">
        <v>-683.46368424028469</v>
      </c>
      <c r="S295">
        <v>1</v>
      </c>
      <c r="T295">
        <v>1</v>
      </c>
      <c r="U295" t="s">
        <v>2832</v>
      </c>
      <c r="W295">
        <v>0</v>
      </c>
      <c r="X295" t="e">
        <f t="shared" ca="1" si="46"/>
        <v>#REF!</v>
      </c>
      <c r="Y295">
        <v>0</v>
      </c>
      <c r="Z295" t="e">
        <f t="shared" ca="1" si="47"/>
        <v>#REF!</v>
      </c>
      <c r="AA295" s="152" t="e">
        <f t="shared" ca="1" si="52"/>
        <v>#REF!</v>
      </c>
      <c r="AB295" s="152" t="e">
        <f t="shared" ca="1" si="53"/>
        <v>#REF!</v>
      </c>
      <c r="AC295">
        <v>1</v>
      </c>
      <c r="AD295">
        <v>1</v>
      </c>
      <c r="AE295" t="str">
        <f t="shared" si="54"/>
        <v>'[2022 - Aryapratama &amp; Pauliuk - STE - AppF.xlsx]GWPdyn_PF_SF - Fig.4(g)'!L</v>
      </c>
      <c r="AG295">
        <v>492.14170694588267</v>
      </c>
      <c r="AH295">
        <v>683.46368424028469</v>
      </c>
      <c r="AI295">
        <f t="shared" si="51"/>
        <v>-492.14170694588267</v>
      </c>
      <c r="AJ295">
        <f t="shared" si="51"/>
        <v>-683.46368424028469</v>
      </c>
    </row>
    <row r="296" spans="9:36">
      <c r="I296">
        <v>100</v>
      </c>
      <c r="J296" t="s">
        <v>328</v>
      </c>
      <c r="K296" s="2" t="s">
        <v>320</v>
      </c>
      <c r="M296">
        <v>0</v>
      </c>
      <c r="N296">
        <v>225.96603773584911</v>
      </c>
      <c r="O296">
        <v>0</v>
      </c>
      <c r="P296">
        <v>180.77283018867931</v>
      </c>
      <c r="Q296">
        <v>-389.94196865720068</v>
      </c>
      <c r="R296">
        <v>-588.42624598329485</v>
      </c>
      <c r="S296">
        <v>1</v>
      </c>
      <c r="T296">
        <v>1</v>
      </c>
      <c r="U296" t="s">
        <v>2832</v>
      </c>
      <c r="W296">
        <v>0</v>
      </c>
      <c r="X296" t="e">
        <f t="shared" ca="1" si="46"/>
        <v>#REF!</v>
      </c>
      <c r="Y296">
        <v>0</v>
      </c>
      <c r="Z296" t="e">
        <f t="shared" ca="1" si="47"/>
        <v>#REF!</v>
      </c>
      <c r="AA296" s="152" t="e">
        <f t="shared" ca="1" si="52"/>
        <v>#REF!</v>
      </c>
      <c r="AB296" s="152" t="e">
        <f t="shared" ca="1" si="53"/>
        <v>#REF!</v>
      </c>
      <c r="AC296">
        <v>1</v>
      </c>
      <c r="AD296">
        <v>1</v>
      </c>
      <c r="AE296" t="str">
        <f t="shared" si="54"/>
        <v>'[2022 - Aryapratama &amp; Pauliuk - STE - AppF.xlsx]GWPdyn_PF_SF - Fig.4(g)'!L</v>
      </c>
      <c r="AG296">
        <v>389.94196865720068</v>
      </c>
      <c r="AH296">
        <v>588.42624598329485</v>
      </c>
      <c r="AI296">
        <f t="shared" si="51"/>
        <v>-389.94196865720068</v>
      </c>
      <c r="AJ296">
        <f t="shared" si="51"/>
        <v>-588.42624598329485</v>
      </c>
    </row>
    <row r="297" spans="9:36">
      <c r="I297">
        <v>200</v>
      </c>
      <c r="J297" t="s">
        <v>328</v>
      </c>
      <c r="K297" s="2" t="s">
        <v>320</v>
      </c>
      <c r="M297">
        <v>0</v>
      </c>
      <c r="N297">
        <v>225.96603773584911</v>
      </c>
      <c r="O297">
        <v>0</v>
      </c>
      <c r="P297">
        <v>180.77283018867931</v>
      </c>
      <c r="Q297">
        <v>-184.68959838926031</v>
      </c>
      <c r="R297">
        <v>-448.98121307248744</v>
      </c>
      <c r="S297">
        <v>1</v>
      </c>
      <c r="T297">
        <v>1</v>
      </c>
      <c r="U297" t="s">
        <v>2832</v>
      </c>
      <c r="W297">
        <v>0</v>
      </c>
      <c r="X297" t="e">
        <f t="shared" ca="1" si="46"/>
        <v>#REF!</v>
      </c>
      <c r="Y297">
        <v>0</v>
      </c>
      <c r="Z297" t="e">
        <f t="shared" ca="1" si="47"/>
        <v>#REF!</v>
      </c>
      <c r="AA297" s="152" t="e">
        <f t="shared" ca="1" si="52"/>
        <v>#REF!</v>
      </c>
      <c r="AB297" s="152" t="e">
        <f t="shared" ca="1" si="53"/>
        <v>#REF!</v>
      </c>
      <c r="AC297">
        <v>1</v>
      </c>
      <c r="AD297">
        <v>1</v>
      </c>
      <c r="AE297" t="str">
        <f t="shared" si="54"/>
        <v>'[2022 - Aryapratama &amp; Pauliuk - STE - AppF.xlsx]GWPdyn_PF_SF - Fig.4(g)'!L</v>
      </c>
      <c r="AG297">
        <v>184.68959838926031</v>
      </c>
      <c r="AH297">
        <v>448.98121307248744</v>
      </c>
      <c r="AI297">
        <f t="shared" si="51"/>
        <v>-184.68959838926031</v>
      </c>
      <c r="AJ297">
        <f t="shared" si="51"/>
        <v>-448.98121307248744</v>
      </c>
    </row>
    <row r="298" spans="9:36">
      <c r="I298">
        <v>50</v>
      </c>
      <c r="J298" t="s">
        <v>2833</v>
      </c>
      <c r="K298" s="2" t="s">
        <v>2834</v>
      </c>
      <c r="M298">
        <v>0</v>
      </c>
      <c r="N298">
        <v>590.46886193540468</v>
      </c>
      <c r="O298">
        <v>0</v>
      </c>
      <c r="P298">
        <v>265.71098787093206</v>
      </c>
      <c r="Q298">
        <v>-559.28752781846788</v>
      </c>
      <c r="R298">
        <v>-870.70033536556764</v>
      </c>
      <c r="S298">
        <v>7</v>
      </c>
      <c r="T298">
        <v>2</v>
      </c>
      <c r="U298" t="s">
        <v>2835</v>
      </c>
      <c r="W298">
        <v>0</v>
      </c>
      <c r="X298" t="e">
        <f t="shared" ca="1" si="46"/>
        <v>#REF!</v>
      </c>
      <c r="Y298">
        <v>0</v>
      </c>
      <c r="Z298" t="e">
        <f t="shared" ca="1" si="47"/>
        <v>#REF!</v>
      </c>
      <c r="AA298" s="152" t="e">
        <f t="shared" ca="1" si="52"/>
        <v>#REF!</v>
      </c>
      <c r="AB298" s="152" t="e">
        <f t="shared" ca="1" si="53"/>
        <v>#REF!</v>
      </c>
      <c r="AC298">
        <v>7</v>
      </c>
      <c r="AD298">
        <v>2</v>
      </c>
      <c r="AE298" t="str">
        <f t="shared" ref="AE298:AE309" si="55">"'[2022 - Aryapratama &amp; Pauliuk - STE - AppF.xlsx]GWPdyn_"&amp;LEFT(K298,5)&amp;" - Fig.4(h)'!L"</f>
        <v>'[2022 - Aryapratama &amp; Pauliuk - STE - AppF.xlsx]GWPdyn_PF_FP - Fig.4(h)'!L</v>
      </c>
      <c r="AG298">
        <v>559.28752781846788</v>
      </c>
      <c r="AH298">
        <v>870.70033536556764</v>
      </c>
      <c r="AI298">
        <f t="shared" si="51"/>
        <v>-559.28752781846788</v>
      </c>
      <c r="AJ298">
        <f t="shared" si="51"/>
        <v>-870.70033536556764</v>
      </c>
    </row>
    <row r="299" spans="9:36">
      <c r="I299">
        <v>100</v>
      </c>
      <c r="J299" t="s">
        <v>2833</v>
      </c>
      <c r="K299" s="2" t="s">
        <v>2834</v>
      </c>
      <c r="M299">
        <v>0</v>
      </c>
      <c r="N299">
        <v>954.97168613496024</v>
      </c>
      <c r="O299">
        <v>0</v>
      </c>
      <c r="P299">
        <v>429.73725876073206</v>
      </c>
      <c r="Q299">
        <v>-808.82207371160791</v>
      </c>
      <c r="R299">
        <v>-990.65809626676389</v>
      </c>
      <c r="S299">
        <v>7</v>
      </c>
      <c r="T299">
        <v>2</v>
      </c>
      <c r="U299" t="s">
        <v>2835</v>
      </c>
      <c r="W299">
        <v>0</v>
      </c>
      <c r="X299" t="e">
        <f t="shared" ca="1" si="46"/>
        <v>#REF!</v>
      </c>
      <c r="Y299">
        <v>0</v>
      </c>
      <c r="Z299" t="e">
        <f t="shared" ca="1" si="47"/>
        <v>#REF!</v>
      </c>
      <c r="AA299" s="152" t="e">
        <f t="shared" ca="1" si="52"/>
        <v>#REF!</v>
      </c>
      <c r="AB299" s="152" t="e">
        <f t="shared" ca="1" si="53"/>
        <v>#REF!</v>
      </c>
      <c r="AC299">
        <v>7</v>
      </c>
      <c r="AD299">
        <v>2</v>
      </c>
      <c r="AE299" t="str">
        <f t="shared" si="55"/>
        <v>'[2022 - Aryapratama &amp; Pauliuk - STE - AppF.xlsx]GWPdyn_PF_FP - Fig.4(h)'!L</v>
      </c>
      <c r="AG299">
        <v>808.82207371160791</v>
      </c>
      <c r="AH299">
        <v>990.65809626676389</v>
      </c>
      <c r="AI299">
        <f t="shared" si="51"/>
        <v>-808.82207371160791</v>
      </c>
      <c r="AJ299">
        <f t="shared" si="51"/>
        <v>-990.65809626676389</v>
      </c>
    </row>
    <row r="300" spans="9:36">
      <c r="I300">
        <v>200</v>
      </c>
      <c r="J300" t="s">
        <v>2833</v>
      </c>
      <c r="K300" s="2" t="s">
        <v>2834</v>
      </c>
      <c r="M300">
        <v>0</v>
      </c>
      <c r="N300">
        <v>1683.9773345340714</v>
      </c>
      <c r="O300">
        <v>0</v>
      </c>
      <c r="P300">
        <v>757.78980054033161</v>
      </c>
      <c r="Q300">
        <v>-1308.953389930055</v>
      </c>
      <c r="R300">
        <v>-1160.011828609915</v>
      </c>
      <c r="S300">
        <v>7</v>
      </c>
      <c r="T300">
        <v>2</v>
      </c>
      <c r="U300" t="s">
        <v>2835</v>
      </c>
      <c r="W300">
        <v>0</v>
      </c>
      <c r="X300" t="e">
        <f t="shared" ca="1" si="46"/>
        <v>#REF!</v>
      </c>
      <c r="Y300">
        <v>0</v>
      </c>
      <c r="Z300" t="e">
        <f t="shared" ca="1" si="47"/>
        <v>#REF!</v>
      </c>
      <c r="AA300" s="152" t="e">
        <f t="shared" ca="1" si="52"/>
        <v>#REF!</v>
      </c>
      <c r="AB300" s="152" t="e">
        <f t="shared" ca="1" si="53"/>
        <v>#REF!</v>
      </c>
      <c r="AC300">
        <v>7</v>
      </c>
      <c r="AD300">
        <v>2</v>
      </c>
      <c r="AE300" t="str">
        <f t="shared" si="55"/>
        <v>'[2022 - Aryapratama &amp; Pauliuk - STE - AppF.xlsx]GWPdyn_PF_FP - Fig.4(h)'!L</v>
      </c>
      <c r="AG300">
        <v>1308.953389930055</v>
      </c>
      <c r="AH300">
        <v>1160.011828609915</v>
      </c>
      <c r="AI300">
        <f t="shared" si="51"/>
        <v>-1308.953389930055</v>
      </c>
      <c r="AJ300">
        <f t="shared" si="51"/>
        <v>-1160.011828609915</v>
      </c>
    </row>
    <row r="301" spans="9:36">
      <c r="I301">
        <v>50</v>
      </c>
      <c r="J301" t="s">
        <v>2836</v>
      </c>
      <c r="K301" s="2" t="s">
        <v>2837</v>
      </c>
      <c r="M301">
        <v>0</v>
      </c>
      <c r="N301">
        <v>377.88189133326432</v>
      </c>
      <c r="O301">
        <v>0</v>
      </c>
      <c r="P301">
        <v>226.7291347999585</v>
      </c>
      <c r="Q301">
        <v>-515.07151116792033</v>
      </c>
      <c r="R301">
        <v>-617.93246272463909</v>
      </c>
      <c r="S301">
        <v>8</v>
      </c>
      <c r="T301">
        <v>2</v>
      </c>
      <c r="U301" t="s">
        <v>2835</v>
      </c>
      <c r="W301">
        <v>0</v>
      </c>
      <c r="X301" t="e">
        <f t="shared" ca="1" si="46"/>
        <v>#REF!</v>
      </c>
      <c r="Y301">
        <v>0</v>
      </c>
      <c r="Z301" t="e">
        <f t="shared" ca="1" si="47"/>
        <v>#REF!</v>
      </c>
      <c r="AA301" s="152" t="e">
        <f t="shared" ca="1" si="52"/>
        <v>#REF!</v>
      </c>
      <c r="AB301" s="152" t="e">
        <f t="shared" ca="1" si="53"/>
        <v>#REF!</v>
      </c>
      <c r="AC301">
        <v>8</v>
      </c>
      <c r="AD301">
        <v>2</v>
      </c>
      <c r="AE301" t="str">
        <f t="shared" si="55"/>
        <v>'[2022 - Aryapratama &amp; Pauliuk - STE - AppF.xlsx]GWPdyn_PF_FP - Fig.4(h)'!L</v>
      </c>
      <c r="AG301">
        <v>515.07151116792033</v>
      </c>
      <c r="AH301">
        <v>617.93246272463909</v>
      </c>
      <c r="AI301">
        <f t="shared" si="51"/>
        <v>-515.07151116792033</v>
      </c>
      <c r="AJ301">
        <f t="shared" si="51"/>
        <v>-617.93246272463909</v>
      </c>
    </row>
    <row r="302" spans="9:36">
      <c r="I302">
        <v>100</v>
      </c>
      <c r="J302" t="s">
        <v>2836</v>
      </c>
      <c r="K302" s="2" t="s">
        <v>2837</v>
      </c>
      <c r="M302">
        <v>0</v>
      </c>
      <c r="N302">
        <v>605.75567172938713</v>
      </c>
      <c r="O302">
        <v>0</v>
      </c>
      <c r="P302">
        <v>363.45340303763226</v>
      </c>
      <c r="Q302">
        <v>-642.71245617211093</v>
      </c>
      <c r="R302">
        <v>-768.12774512252213</v>
      </c>
      <c r="S302">
        <v>8</v>
      </c>
      <c r="T302">
        <v>2</v>
      </c>
      <c r="U302" t="s">
        <v>2835</v>
      </c>
      <c r="W302">
        <v>0</v>
      </c>
      <c r="X302" t="e">
        <f t="shared" ca="1" si="46"/>
        <v>#REF!</v>
      </c>
      <c r="Y302">
        <v>0</v>
      </c>
      <c r="Z302" t="e">
        <f t="shared" ca="1" si="47"/>
        <v>#REF!</v>
      </c>
      <c r="AA302" s="152" t="e">
        <f t="shared" ca="1" si="52"/>
        <v>#REF!</v>
      </c>
      <c r="AB302" s="152" t="e">
        <f t="shared" ca="1" si="53"/>
        <v>#REF!</v>
      </c>
      <c r="AC302">
        <v>8</v>
      </c>
      <c r="AD302">
        <v>2</v>
      </c>
      <c r="AE302" t="str">
        <f t="shared" si="55"/>
        <v>'[2022 - Aryapratama &amp; Pauliuk - STE - AppF.xlsx]GWPdyn_PF_FP - Fig.4(h)'!L</v>
      </c>
      <c r="AG302">
        <v>642.71245617211093</v>
      </c>
      <c r="AH302">
        <v>768.12774512252213</v>
      </c>
      <c r="AI302">
        <f t="shared" si="51"/>
        <v>-642.71245617211093</v>
      </c>
      <c r="AJ302">
        <f t="shared" si="51"/>
        <v>-768.12774512252213</v>
      </c>
    </row>
    <row r="303" spans="9:36">
      <c r="I303">
        <v>200</v>
      </c>
      <c r="J303" t="s">
        <v>2836</v>
      </c>
      <c r="K303" s="2" t="s">
        <v>2837</v>
      </c>
      <c r="M303">
        <v>0</v>
      </c>
      <c r="N303">
        <v>985.54530572292515</v>
      </c>
      <c r="O303">
        <v>0</v>
      </c>
      <c r="P303">
        <v>591.32718343375518</v>
      </c>
      <c r="Q303">
        <v>-904.95784112113733</v>
      </c>
      <c r="R303">
        <v>-956.54496754124091</v>
      </c>
      <c r="S303">
        <v>8</v>
      </c>
      <c r="T303">
        <v>2</v>
      </c>
      <c r="U303" t="s">
        <v>2835</v>
      </c>
      <c r="W303">
        <v>0</v>
      </c>
      <c r="X303" t="e">
        <f t="shared" ca="1" si="46"/>
        <v>#REF!</v>
      </c>
      <c r="Y303">
        <v>0</v>
      </c>
      <c r="Z303" t="e">
        <f t="shared" ca="1" si="47"/>
        <v>#REF!</v>
      </c>
      <c r="AA303" s="152" t="e">
        <f t="shared" ca="1" si="52"/>
        <v>#REF!</v>
      </c>
      <c r="AB303" s="152" t="e">
        <f t="shared" ca="1" si="53"/>
        <v>#REF!</v>
      </c>
      <c r="AC303">
        <v>8</v>
      </c>
      <c r="AD303">
        <v>2</v>
      </c>
      <c r="AE303" t="str">
        <f t="shared" si="55"/>
        <v>'[2022 - Aryapratama &amp; Pauliuk - STE - AppF.xlsx]GWPdyn_PF_FP - Fig.4(h)'!L</v>
      </c>
      <c r="AG303">
        <v>904.95784112113733</v>
      </c>
      <c r="AH303">
        <v>956.54496754124091</v>
      </c>
      <c r="AI303">
        <f t="shared" si="51"/>
        <v>-904.95784112113733</v>
      </c>
      <c r="AJ303">
        <f t="shared" si="51"/>
        <v>-956.54496754124091</v>
      </c>
    </row>
    <row r="304" spans="9:36">
      <c r="I304">
        <v>50</v>
      </c>
      <c r="J304" t="s">
        <v>2838</v>
      </c>
      <c r="K304" s="2" t="s">
        <v>2839</v>
      </c>
      <c r="M304">
        <v>0</v>
      </c>
      <c r="N304">
        <v>225.96603773584911</v>
      </c>
      <c r="O304">
        <v>0</v>
      </c>
      <c r="P304">
        <v>135.57962264150939</v>
      </c>
      <c r="Q304">
        <v>-360.60902005912311</v>
      </c>
      <c r="R304">
        <v>-458.81565081209919</v>
      </c>
      <c r="S304">
        <v>9</v>
      </c>
      <c r="T304">
        <v>2</v>
      </c>
      <c r="U304" t="s">
        <v>2835</v>
      </c>
      <c r="W304">
        <v>0</v>
      </c>
      <c r="X304" t="e">
        <f t="shared" ca="1" si="46"/>
        <v>#REF!</v>
      </c>
      <c r="Y304">
        <v>0</v>
      </c>
      <c r="Z304" t="e">
        <f t="shared" ca="1" si="47"/>
        <v>#REF!</v>
      </c>
      <c r="AA304" s="152" t="e">
        <f t="shared" ca="1" si="52"/>
        <v>#REF!</v>
      </c>
      <c r="AB304" s="152" t="e">
        <f t="shared" ca="1" si="53"/>
        <v>#REF!</v>
      </c>
      <c r="AC304">
        <v>9</v>
      </c>
      <c r="AD304">
        <v>2</v>
      </c>
      <c r="AE304" t="str">
        <f t="shared" si="55"/>
        <v>'[2022 - Aryapratama &amp; Pauliuk - STE - AppF.xlsx]GWPdyn_PF_FP - Fig.4(h)'!L</v>
      </c>
      <c r="AG304">
        <v>360.60902005912311</v>
      </c>
      <c r="AH304">
        <v>458.81565081209919</v>
      </c>
      <c r="AI304">
        <f t="shared" si="51"/>
        <v>-360.60902005912311</v>
      </c>
      <c r="AJ304">
        <f t="shared" si="51"/>
        <v>-458.81565081209919</v>
      </c>
    </row>
    <row r="305" spans="9:36">
      <c r="I305">
        <v>100</v>
      </c>
      <c r="J305" t="s">
        <v>2838</v>
      </c>
      <c r="K305" s="2" t="s">
        <v>2839</v>
      </c>
      <c r="M305">
        <v>0</v>
      </c>
      <c r="N305">
        <v>322.5783683718746</v>
      </c>
      <c r="O305">
        <v>0</v>
      </c>
      <c r="P305">
        <v>193.54702102312467</v>
      </c>
      <c r="Q305">
        <v>-354.25011993341019</v>
      </c>
      <c r="R305">
        <v>-567.94520592120887</v>
      </c>
      <c r="S305">
        <v>9</v>
      </c>
      <c r="T305">
        <v>2</v>
      </c>
      <c r="U305" t="s">
        <v>2835</v>
      </c>
      <c r="W305">
        <v>0</v>
      </c>
      <c r="X305" t="e">
        <f t="shared" ca="1" si="46"/>
        <v>#REF!</v>
      </c>
      <c r="Y305">
        <v>0</v>
      </c>
      <c r="Z305" t="e">
        <f t="shared" ca="1" si="47"/>
        <v>#REF!</v>
      </c>
      <c r="AA305" s="152" t="e">
        <f t="shared" ca="1" si="52"/>
        <v>#REF!</v>
      </c>
      <c r="AB305" s="152" t="e">
        <f t="shared" ca="1" si="53"/>
        <v>#REF!</v>
      </c>
      <c r="AC305">
        <v>9</v>
      </c>
      <c r="AD305">
        <v>2</v>
      </c>
      <c r="AE305" t="str">
        <f t="shared" si="55"/>
        <v>'[2022 - Aryapratama &amp; Pauliuk - STE - AppF.xlsx]GWPdyn_PF_FP - Fig.4(h)'!L</v>
      </c>
      <c r="AG305">
        <v>354.25011993341019</v>
      </c>
      <c r="AH305">
        <v>567.94520592120887</v>
      </c>
      <c r="AI305">
        <f t="shared" si="51"/>
        <v>-354.25011993341019</v>
      </c>
      <c r="AJ305">
        <f t="shared" si="51"/>
        <v>-567.94520592120887</v>
      </c>
    </row>
    <row r="306" spans="9:36">
      <c r="I306">
        <v>200</v>
      </c>
      <c r="J306" t="s">
        <v>2838</v>
      </c>
      <c r="K306" s="2" t="s">
        <v>2839</v>
      </c>
      <c r="M306">
        <v>0</v>
      </c>
      <c r="N306">
        <v>515.80302964392558</v>
      </c>
      <c r="O306">
        <v>0</v>
      </c>
      <c r="P306">
        <v>309.48181778635524</v>
      </c>
      <c r="Q306">
        <v>-329.48380978417958</v>
      </c>
      <c r="R306">
        <v>-628.19875545968</v>
      </c>
      <c r="S306">
        <v>9</v>
      </c>
      <c r="T306">
        <v>2</v>
      </c>
      <c r="U306" t="s">
        <v>2835</v>
      </c>
      <c r="W306">
        <v>0</v>
      </c>
      <c r="X306" t="e">
        <f t="shared" ca="1" si="46"/>
        <v>#REF!</v>
      </c>
      <c r="Y306">
        <v>0</v>
      </c>
      <c r="Z306" t="e">
        <f t="shared" ca="1" si="47"/>
        <v>#REF!</v>
      </c>
      <c r="AA306" s="152" t="e">
        <f t="shared" ca="1" si="52"/>
        <v>#REF!</v>
      </c>
      <c r="AB306" s="152" t="e">
        <f t="shared" ca="1" si="53"/>
        <v>#REF!</v>
      </c>
      <c r="AC306">
        <v>9</v>
      </c>
      <c r="AD306">
        <v>2</v>
      </c>
      <c r="AE306" t="str">
        <f t="shared" si="55"/>
        <v>'[2022 - Aryapratama &amp; Pauliuk - STE - AppF.xlsx]GWPdyn_PF_FP - Fig.4(h)'!L</v>
      </c>
      <c r="AG306">
        <v>329.48380978417958</v>
      </c>
      <c r="AH306">
        <v>628.19875545968</v>
      </c>
      <c r="AI306">
        <f t="shared" si="51"/>
        <v>-329.48380978417958</v>
      </c>
      <c r="AJ306">
        <f t="shared" si="51"/>
        <v>-628.19875545968</v>
      </c>
    </row>
    <row r="307" spans="9:36">
      <c r="I307">
        <v>50</v>
      </c>
      <c r="J307" t="s">
        <v>2840</v>
      </c>
      <c r="K307" s="2" t="s">
        <v>2841</v>
      </c>
      <c r="M307">
        <v>0</v>
      </c>
      <c r="N307">
        <v>286.09433962264143</v>
      </c>
      <c r="O307">
        <v>0</v>
      </c>
      <c r="P307">
        <v>228.87547169811316</v>
      </c>
      <c r="Q307">
        <v>-574.00406694837011</v>
      </c>
      <c r="R307">
        <v>-811.16014590587781</v>
      </c>
      <c r="S307">
        <v>9</v>
      </c>
      <c r="T307">
        <v>2</v>
      </c>
      <c r="U307" t="s">
        <v>2835</v>
      </c>
      <c r="W307">
        <v>0</v>
      </c>
      <c r="X307" t="e">
        <f t="shared" ca="1" si="46"/>
        <v>#REF!</v>
      </c>
      <c r="Y307">
        <v>0</v>
      </c>
      <c r="Z307" t="e">
        <f t="shared" ca="1" si="47"/>
        <v>#REF!</v>
      </c>
      <c r="AA307" s="152" t="e">
        <f t="shared" ca="1" si="52"/>
        <v>#REF!</v>
      </c>
      <c r="AB307" s="152" t="e">
        <f t="shared" ca="1" si="53"/>
        <v>#REF!</v>
      </c>
      <c r="AC307">
        <v>9</v>
      </c>
      <c r="AD307">
        <v>2</v>
      </c>
      <c r="AE307" t="str">
        <f t="shared" si="55"/>
        <v>'[2022 - Aryapratama &amp; Pauliuk - STE - AppF.xlsx]GWPdyn_PF_FP - Fig.4(h)'!L</v>
      </c>
      <c r="AG307">
        <v>574.00406694837011</v>
      </c>
      <c r="AH307">
        <v>811.16014590587781</v>
      </c>
      <c r="AI307">
        <f t="shared" si="51"/>
        <v>-574.00406694837011</v>
      </c>
      <c r="AJ307">
        <f t="shared" si="51"/>
        <v>-811.16014590587781</v>
      </c>
    </row>
    <row r="308" spans="9:36">
      <c r="I308">
        <v>100</v>
      </c>
      <c r="J308" t="s">
        <v>2840</v>
      </c>
      <c r="K308" s="2" t="s">
        <v>2841</v>
      </c>
      <c r="M308">
        <v>0</v>
      </c>
      <c r="N308">
        <v>346.22264150943386</v>
      </c>
      <c r="O308">
        <v>0</v>
      </c>
      <c r="P308">
        <v>276.97811320754715</v>
      </c>
      <c r="Q308">
        <v>-627.22269789912832</v>
      </c>
      <c r="R308">
        <v>-832.29941220987405</v>
      </c>
      <c r="S308">
        <v>9</v>
      </c>
      <c r="T308">
        <v>2</v>
      </c>
      <c r="U308" t="s">
        <v>2835</v>
      </c>
      <c r="W308">
        <v>0</v>
      </c>
      <c r="X308" t="e">
        <f t="shared" ca="1" si="46"/>
        <v>#REF!</v>
      </c>
      <c r="Y308">
        <v>0</v>
      </c>
      <c r="Z308" t="e">
        <f t="shared" ca="1" si="47"/>
        <v>#REF!</v>
      </c>
      <c r="AA308" s="152" t="e">
        <f t="shared" ca="1" si="52"/>
        <v>#REF!</v>
      </c>
      <c r="AB308" s="152" t="e">
        <f t="shared" ca="1" si="53"/>
        <v>#REF!</v>
      </c>
      <c r="AC308">
        <v>9</v>
      </c>
      <c r="AD308">
        <v>2</v>
      </c>
      <c r="AE308" t="str">
        <f t="shared" si="55"/>
        <v>'[2022 - Aryapratama &amp; Pauliuk - STE - AppF.xlsx]GWPdyn_PF_FP - Fig.4(h)'!L</v>
      </c>
      <c r="AG308">
        <v>627.22269789912832</v>
      </c>
      <c r="AH308">
        <v>832.29941220987405</v>
      </c>
      <c r="AI308">
        <f t="shared" si="51"/>
        <v>-627.22269789912832</v>
      </c>
      <c r="AJ308">
        <f t="shared" si="51"/>
        <v>-832.29941220987405</v>
      </c>
    </row>
    <row r="309" spans="9:36">
      <c r="I309">
        <v>200</v>
      </c>
      <c r="J309" t="s">
        <v>2840</v>
      </c>
      <c r="K309" s="2" t="s">
        <v>2841</v>
      </c>
      <c r="M309">
        <v>0</v>
      </c>
      <c r="N309">
        <v>466.47924528301871</v>
      </c>
      <c r="O309">
        <v>0</v>
      </c>
      <c r="P309">
        <v>373.18339622641508</v>
      </c>
      <c r="Q309">
        <v>-729.83506452863935</v>
      </c>
      <c r="R309">
        <v>-858.14682671510911</v>
      </c>
      <c r="S309">
        <v>9</v>
      </c>
      <c r="T309">
        <v>2</v>
      </c>
      <c r="U309" t="s">
        <v>2835</v>
      </c>
      <c r="W309">
        <v>0</v>
      </c>
      <c r="X309" t="e">
        <f t="shared" ca="1" si="46"/>
        <v>#REF!</v>
      </c>
      <c r="Y309">
        <v>0</v>
      </c>
      <c r="Z309" t="e">
        <f t="shared" ca="1" si="47"/>
        <v>#REF!</v>
      </c>
      <c r="AA309" s="152" t="e">
        <f t="shared" ca="1" si="52"/>
        <v>#REF!</v>
      </c>
      <c r="AB309" s="152" t="e">
        <f t="shared" ca="1" si="53"/>
        <v>#REF!</v>
      </c>
      <c r="AC309">
        <v>9</v>
      </c>
      <c r="AD309">
        <v>2</v>
      </c>
      <c r="AE309" t="str">
        <f t="shared" si="55"/>
        <v>'[2022 - Aryapratama &amp; Pauliuk - STE - AppF.xlsx]GWPdyn_PF_FP - Fig.4(h)'!L</v>
      </c>
      <c r="AG309">
        <v>729.83506452863935</v>
      </c>
      <c r="AH309">
        <v>858.14682671510911</v>
      </c>
      <c r="AI309">
        <f t="shared" si="51"/>
        <v>-729.83506452863935</v>
      </c>
      <c r="AJ309">
        <f t="shared" si="51"/>
        <v>-858.14682671510911</v>
      </c>
    </row>
    <row r="310" spans="9:36">
      <c r="I310">
        <v>50</v>
      </c>
      <c r="J310" t="s">
        <v>2842</v>
      </c>
      <c r="K310" s="2" t="s">
        <v>2843</v>
      </c>
      <c r="M310">
        <v>0</v>
      </c>
      <c r="N310">
        <v>367.50282419955545</v>
      </c>
      <c r="O310">
        <v>0</v>
      </c>
      <c r="P310">
        <v>164.02627088979997</v>
      </c>
      <c r="Q310">
        <v>-293.93651380696792</v>
      </c>
      <c r="R310">
        <v>77.331302173432363</v>
      </c>
      <c r="S310">
        <v>7</v>
      </c>
      <c r="T310">
        <v>2</v>
      </c>
      <c r="U310" t="s">
        <v>2844</v>
      </c>
      <c r="W310">
        <v>0</v>
      </c>
      <c r="X310" t="e">
        <f t="shared" ca="1" si="46"/>
        <v>#REF!</v>
      </c>
      <c r="Y310">
        <v>0</v>
      </c>
      <c r="Z310" t="e">
        <f t="shared" ca="1" si="47"/>
        <v>#REF!</v>
      </c>
      <c r="AA310" s="152" t="e">
        <f t="shared" ca="1" si="52"/>
        <v>#REF!</v>
      </c>
      <c r="AB310" s="152" t="e">
        <f t="shared" ca="1" si="53"/>
        <v>#REF!</v>
      </c>
      <c r="AC310">
        <v>7</v>
      </c>
      <c r="AD310">
        <v>2</v>
      </c>
      <c r="AE310" t="str">
        <f t="shared" ref="AE310:AE321" si="56">"'[2022 - Aryapratama &amp; Pauliuk - STE - AppF.xlsx]GWPdyn_"&amp;LEFT(K310,5)&amp;" - Fig.4(i)'!L"</f>
        <v>'[2022 - Aryapratama &amp; Pauliuk - STE - AppF.xlsx]GWPdyn_DL_FP - Fig.4(i)'!L</v>
      </c>
      <c r="AG310">
        <v>293.93651380696792</v>
      </c>
      <c r="AH310">
        <v>-77.331302173432363</v>
      </c>
      <c r="AI310">
        <f t="shared" si="51"/>
        <v>-293.93651380696792</v>
      </c>
      <c r="AJ310">
        <f t="shared" si="51"/>
        <v>77.331302173432363</v>
      </c>
    </row>
    <row r="311" spans="9:36">
      <c r="I311">
        <v>100</v>
      </c>
      <c r="J311" t="s">
        <v>2842</v>
      </c>
      <c r="K311" s="2" t="s">
        <v>2843</v>
      </c>
      <c r="M311">
        <v>0</v>
      </c>
      <c r="N311">
        <v>732.00564839911101</v>
      </c>
      <c r="O311">
        <v>0</v>
      </c>
      <c r="P311">
        <v>328.05254177959995</v>
      </c>
      <c r="Q311">
        <v>-645.67518499586413</v>
      </c>
      <c r="R311">
        <v>-41.927947193381058</v>
      </c>
      <c r="S311">
        <v>7</v>
      </c>
      <c r="T311">
        <v>2</v>
      </c>
      <c r="U311" t="s">
        <v>2844</v>
      </c>
      <c r="W311">
        <v>0</v>
      </c>
      <c r="X311" t="e">
        <f t="shared" ca="1" si="46"/>
        <v>#REF!</v>
      </c>
      <c r="Y311">
        <v>0</v>
      </c>
      <c r="Z311" t="e">
        <f t="shared" ca="1" si="47"/>
        <v>#REF!</v>
      </c>
      <c r="AA311" s="152" t="e">
        <f t="shared" ca="1" si="52"/>
        <v>#REF!</v>
      </c>
      <c r="AB311" s="152" t="e">
        <f t="shared" ca="1" si="53"/>
        <v>#REF!</v>
      </c>
      <c r="AC311">
        <v>7</v>
      </c>
      <c r="AD311">
        <v>2</v>
      </c>
      <c r="AE311" t="str">
        <f t="shared" si="56"/>
        <v>'[2022 - Aryapratama &amp; Pauliuk - STE - AppF.xlsx]GWPdyn_DL_FP - Fig.4(i)'!L</v>
      </c>
      <c r="AG311">
        <v>645.67518499586413</v>
      </c>
      <c r="AH311">
        <v>41.927947193381058</v>
      </c>
      <c r="AI311">
        <f t="shared" si="51"/>
        <v>-645.67518499586413</v>
      </c>
      <c r="AJ311">
        <f t="shared" si="51"/>
        <v>-41.927947193381058</v>
      </c>
    </row>
    <row r="312" spans="9:36">
      <c r="I312">
        <v>200</v>
      </c>
      <c r="J312" t="s">
        <v>2842</v>
      </c>
      <c r="K312" s="2" t="s">
        <v>2843</v>
      </c>
      <c r="M312">
        <v>0</v>
      </c>
      <c r="N312">
        <v>1461.011296798222</v>
      </c>
      <c r="O312">
        <v>0</v>
      </c>
      <c r="P312">
        <v>656.10508355919967</v>
      </c>
      <c r="Q312">
        <v>-1351.032773953493</v>
      </c>
      <c r="R312">
        <v>-227.6520247861325</v>
      </c>
      <c r="S312">
        <v>7</v>
      </c>
      <c r="T312">
        <v>2</v>
      </c>
      <c r="U312" t="s">
        <v>2844</v>
      </c>
      <c r="W312">
        <v>0</v>
      </c>
      <c r="X312" t="e">
        <f t="shared" ca="1" si="46"/>
        <v>#REF!</v>
      </c>
      <c r="Y312">
        <v>0</v>
      </c>
      <c r="Z312" t="e">
        <f t="shared" ca="1" si="47"/>
        <v>#REF!</v>
      </c>
      <c r="AA312" s="152" t="e">
        <f t="shared" ca="1" si="52"/>
        <v>#REF!</v>
      </c>
      <c r="AB312" s="152" t="e">
        <f t="shared" ca="1" si="53"/>
        <v>#REF!</v>
      </c>
      <c r="AC312">
        <v>7</v>
      </c>
      <c r="AD312">
        <v>2</v>
      </c>
      <c r="AE312" t="str">
        <f t="shared" si="56"/>
        <v>'[2022 - Aryapratama &amp; Pauliuk - STE - AppF.xlsx]GWPdyn_DL_FP - Fig.4(i)'!L</v>
      </c>
      <c r="AG312">
        <v>1351.032773953493</v>
      </c>
      <c r="AH312">
        <v>227.6520247861325</v>
      </c>
      <c r="AI312">
        <f t="shared" si="51"/>
        <v>-1351.032773953493</v>
      </c>
      <c r="AJ312">
        <f t="shared" si="51"/>
        <v>-227.6520247861325</v>
      </c>
    </row>
    <row r="313" spans="9:36">
      <c r="I313">
        <v>50</v>
      </c>
      <c r="J313" t="s">
        <v>2845</v>
      </c>
      <c r="K313" s="2" t="s">
        <v>2846</v>
      </c>
      <c r="M313">
        <v>0</v>
      </c>
      <c r="N313">
        <v>154.91585359741521</v>
      </c>
      <c r="O313">
        <v>0</v>
      </c>
      <c r="P313">
        <v>91.149512158449113</v>
      </c>
      <c r="Q313">
        <v>-155.15650615919409</v>
      </c>
      <c r="R313">
        <v>254.21120760929861</v>
      </c>
      <c r="S313">
        <v>8</v>
      </c>
      <c r="T313">
        <v>2</v>
      </c>
      <c r="U313" t="s">
        <v>2844</v>
      </c>
      <c r="W313">
        <v>0</v>
      </c>
      <c r="X313" t="e">
        <f t="shared" ca="1" si="46"/>
        <v>#REF!</v>
      </c>
      <c r="Y313">
        <v>0</v>
      </c>
      <c r="Z313" t="e">
        <f t="shared" ca="1" si="47"/>
        <v>#REF!</v>
      </c>
      <c r="AA313" s="152" t="e">
        <f t="shared" ca="1" si="52"/>
        <v>#REF!</v>
      </c>
      <c r="AB313" s="152" t="e">
        <f t="shared" ca="1" si="53"/>
        <v>#REF!</v>
      </c>
      <c r="AC313">
        <v>8</v>
      </c>
      <c r="AD313">
        <v>2</v>
      </c>
      <c r="AE313" t="str">
        <f t="shared" si="56"/>
        <v>'[2022 - Aryapratama &amp; Pauliuk - STE - AppF.xlsx]GWPdyn_DL_FP - Fig.4(i)'!L</v>
      </c>
      <c r="AG313">
        <v>155.15650615919409</v>
      </c>
      <c r="AH313">
        <v>-254.21120760929861</v>
      </c>
      <c r="AI313">
        <f t="shared" si="51"/>
        <v>-155.15650615919409</v>
      </c>
      <c r="AJ313">
        <f t="shared" si="51"/>
        <v>254.21120760929861</v>
      </c>
    </row>
    <row r="314" spans="9:36">
      <c r="I314">
        <v>100</v>
      </c>
      <c r="J314" t="s">
        <v>2845</v>
      </c>
      <c r="K314" s="2" t="s">
        <v>2846</v>
      </c>
      <c r="M314">
        <v>0</v>
      </c>
      <c r="N314">
        <v>382.78963399353802</v>
      </c>
      <c r="O314">
        <v>0</v>
      </c>
      <c r="P314">
        <v>227.87378039612278</v>
      </c>
      <c r="Q314">
        <v>-385.00157645914061</v>
      </c>
      <c r="R314">
        <v>185.53811788022131</v>
      </c>
      <c r="S314">
        <v>8</v>
      </c>
      <c r="T314">
        <v>2</v>
      </c>
      <c r="U314" t="s">
        <v>2844</v>
      </c>
      <c r="W314">
        <v>0</v>
      </c>
      <c r="X314" t="e">
        <f t="shared" ca="1" si="46"/>
        <v>#REF!</v>
      </c>
      <c r="Y314">
        <v>0</v>
      </c>
      <c r="Z314" t="e">
        <f t="shared" ca="1" si="47"/>
        <v>#REF!</v>
      </c>
      <c r="AA314" s="152" t="e">
        <f t="shared" ca="1" si="52"/>
        <v>#REF!</v>
      </c>
      <c r="AB314" s="152" t="e">
        <f t="shared" ca="1" si="53"/>
        <v>#REF!</v>
      </c>
      <c r="AC314">
        <v>8</v>
      </c>
      <c r="AD314">
        <v>2</v>
      </c>
      <c r="AE314" t="str">
        <f t="shared" si="56"/>
        <v>'[2022 - Aryapratama &amp; Pauliuk - STE - AppF.xlsx]GWPdyn_DL_FP - Fig.4(i)'!L</v>
      </c>
      <c r="AG314">
        <v>385.00157645914061</v>
      </c>
      <c r="AH314">
        <v>-185.53811788022131</v>
      </c>
      <c r="AI314">
        <f t="shared" si="51"/>
        <v>-385.00157645914061</v>
      </c>
      <c r="AJ314">
        <f t="shared" si="51"/>
        <v>185.53811788022131</v>
      </c>
    </row>
    <row r="315" spans="9:36">
      <c r="I315">
        <v>200</v>
      </c>
      <c r="J315" t="s">
        <v>2845</v>
      </c>
      <c r="K315" s="2" t="s">
        <v>2846</v>
      </c>
      <c r="M315">
        <v>0</v>
      </c>
      <c r="N315">
        <v>762.57926798707604</v>
      </c>
      <c r="O315">
        <v>0</v>
      </c>
      <c r="P315">
        <v>455.74756079224562</v>
      </c>
      <c r="Q315">
        <v>-852.47323414734842</v>
      </c>
      <c r="R315">
        <v>23.49403951814293</v>
      </c>
      <c r="S315">
        <v>8</v>
      </c>
      <c r="T315">
        <v>2</v>
      </c>
      <c r="U315" t="s">
        <v>2844</v>
      </c>
      <c r="W315">
        <v>0</v>
      </c>
      <c r="X315" t="e">
        <f t="shared" ca="1" si="46"/>
        <v>#REF!</v>
      </c>
      <c r="Y315">
        <v>0</v>
      </c>
      <c r="Z315" t="e">
        <f t="shared" ca="1" si="47"/>
        <v>#REF!</v>
      </c>
      <c r="AA315" s="152" t="e">
        <f t="shared" ca="1" si="52"/>
        <v>#REF!</v>
      </c>
      <c r="AB315" s="152" t="e">
        <f t="shared" ca="1" si="53"/>
        <v>#REF!</v>
      </c>
      <c r="AC315">
        <v>8</v>
      </c>
      <c r="AD315">
        <v>2</v>
      </c>
      <c r="AE315" t="str">
        <f t="shared" si="56"/>
        <v>'[2022 - Aryapratama &amp; Pauliuk - STE - AppF.xlsx]GWPdyn_DL_FP - Fig.4(i)'!L</v>
      </c>
      <c r="AG315">
        <v>852.47323414734842</v>
      </c>
      <c r="AH315">
        <v>-23.49403951814293</v>
      </c>
      <c r="AI315">
        <f t="shared" si="51"/>
        <v>-852.47323414734842</v>
      </c>
      <c r="AJ315">
        <f t="shared" si="51"/>
        <v>23.49403951814293</v>
      </c>
    </row>
    <row r="316" spans="9:36">
      <c r="I316">
        <v>50</v>
      </c>
      <c r="J316" t="s">
        <v>2847</v>
      </c>
      <c r="K316" s="2" t="s">
        <v>2848</v>
      </c>
      <c r="M316">
        <v>0</v>
      </c>
      <c r="N316">
        <v>3</v>
      </c>
      <c r="O316">
        <v>0</v>
      </c>
      <c r="P316">
        <v>0</v>
      </c>
      <c r="Q316">
        <v>0</v>
      </c>
      <c r="R316">
        <v>161.1445967933179</v>
      </c>
      <c r="S316">
        <v>9</v>
      </c>
      <c r="T316">
        <v>2</v>
      </c>
      <c r="U316" t="s">
        <v>2844</v>
      </c>
      <c r="W316">
        <v>0</v>
      </c>
      <c r="X316" t="e">
        <f t="shared" ca="1" si="46"/>
        <v>#REF!</v>
      </c>
      <c r="Y316">
        <v>0</v>
      </c>
      <c r="Z316" t="e">
        <f t="shared" ca="1" si="47"/>
        <v>#REF!</v>
      </c>
      <c r="AA316" s="152" t="e">
        <f t="shared" ca="1" si="52"/>
        <v>#REF!</v>
      </c>
      <c r="AB316" s="152" t="e">
        <f t="shared" ca="1" si="53"/>
        <v>#REF!</v>
      </c>
      <c r="AC316">
        <v>9</v>
      </c>
      <c r="AD316">
        <v>2</v>
      </c>
      <c r="AE316" t="str">
        <f t="shared" si="56"/>
        <v>'[2022 - Aryapratama &amp; Pauliuk - STE - AppF.xlsx]GWPdyn_DL_FP - Fig.4(i)'!L</v>
      </c>
      <c r="AG316">
        <v>0</v>
      </c>
      <c r="AH316">
        <v>-161.1445967933179</v>
      </c>
      <c r="AI316">
        <f t="shared" si="51"/>
        <v>0</v>
      </c>
      <c r="AJ316">
        <f t="shared" si="51"/>
        <v>161.1445967933179</v>
      </c>
    </row>
    <row r="317" spans="9:36">
      <c r="I317">
        <v>100</v>
      </c>
      <c r="J317" t="s">
        <v>2847</v>
      </c>
      <c r="K317" s="2" t="s">
        <v>2848</v>
      </c>
      <c r="M317">
        <v>0</v>
      </c>
      <c r="N317">
        <v>99.61233063602549</v>
      </c>
      <c r="O317">
        <v>0</v>
      </c>
      <c r="P317">
        <v>57.967398381615283</v>
      </c>
      <c r="Q317">
        <v>-95.845225170043378</v>
      </c>
      <c r="R317">
        <v>219.23948667931481</v>
      </c>
      <c r="S317">
        <v>9</v>
      </c>
      <c r="T317">
        <v>2</v>
      </c>
      <c r="U317" t="s">
        <v>2844</v>
      </c>
      <c r="W317">
        <v>0</v>
      </c>
      <c r="X317" t="e">
        <f t="shared" ca="1" si="46"/>
        <v>#REF!</v>
      </c>
      <c r="Y317">
        <v>0</v>
      </c>
      <c r="Z317" t="e">
        <f t="shared" ca="1" si="47"/>
        <v>#REF!</v>
      </c>
      <c r="AA317" s="152" t="e">
        <f t="shared" ca="1" si="52"/>
        <v>#REF!</v>
      </c>
      <c r="AB317" s="152" t="e">
        <f t="shared" ca="1" si="53"/>
        <v>#REF!</v>
      </c>
      <c r="AC317">
        <v>9</v>
      </c>
      <c r="AD317">
        <v>2</v>
      </c>
      <c r="AE317" t="str">
        <f t="shared" si="56"/>
        <v>'[2022 - Aryapratama &amp; Pauliuk - STE - AppF.xlsx]GWPdyn_DL_FP - Fig.4(i)'!L</v>
      </c>
      <c r="AG317">
        <v>95.845225170043378</v>
      </c>
      <c r="AH317">
        <v>-219.23948667931481</v>
      </c>
      <c r="AI317">
        <f t="shared" si="51"/>
        <v>-95.845225170043378</v>
      </c>
      <c r="AJ317">
        <f t="shared" si="51"/>
        <v>219.23948667931481</v>
      </c>
    </row>
    <row r="318" spans="9:36">
      <c r="I318">
        <v>200</v>
      </c>
      <c r="J318" t="s">
        <v>2847</v>
      </c>
      <c r="K318" s="2" t="s">
        <v>2848</v>
      </c>
      <c r="M318">
        <v>0</v>
      </c>
      <c r="N318">
        <v>292.83699190807647</v>
      </c>
      <c r="O318">
        <v>0</v>
      </c>
      <c r="P318">
        <v>173.90219514484585</v>
      </c>
      <c r="Q318">
        <v>-276.3051877599944</v>
      </c>
      <c r="R318">
        <v>218.48492658306861</v>
      </c>
      <c r="S318">
        <v>9</v>
      </c>
      <c r="T318">
        <v>2</v>
      </c>
      <c r="U318" t="s">
        <v>2844</v>
      </c>
      <c r="W318">
        <v>0</v>
      </c>
      <c r="X318" t="e">
        <f t="shared" ca="1" si="46"/>
        <v>#REF!</v>
      </c>
      <c r="Y318">
        <v>0</v>
      </c>
      <c r="Z318" t="e">
        <f t="shared" ca="1" si="47"/>
        <v>#REF!</v>
      </c>
      <c r="AA318" s="152" t="e">
        <f t="shared" ca="1" si="52"/>
        <v>#REF!</v>
      </c>
      <c r="AB318" s="152" t="e">
        <f t="shared" ca="1" si="53"/>
        <v>#REF!</v>
      </c>
      <c r="AC318">
        <v>9</v>
      </c>
      <c r="AD318">
        <v>2</v>
      </c>
      <c r="AE318" t="str">
        <f t="shared" si="56"/>
        <v>'[2022 - Aryapratama &amp; Pauliuk - STE - AppF.xlsx]GWPdyn_DL_FP - Fig.4(i)'!L</v>
      </c>
      <c r="AG318">
        <v>276.3051877599944</v>
      </c>
      <c r="AH318">
        <v>-218.48492658306861</v>
      </c>
      <c r="AI318">
        <f t="shared" si="51"/>
        <v>-276.3051877599944</v>
      </c>
      <c r="AJ318">
        <f t="shared" si="51"/>
        <v>218.48492658306861</v>
      </c>
    </row>
    <row r="319" spans="9:36">
      <c r="I319">
        <v>50</v>
      </c>
      <c r="J319" t="s">
        <v>2849</v>
      </c>
      <c r="K319" s="2" t="s">
        <v>2850</v>
      </c>
      <c r="M319">
        <v>0</v>
      </c>
      <c r="N319">
        <v>63.128301886792457</v>
      </c>
      <c r="O319">
        <v>0</v>
      </c>
      <c r="P319">
        <v>48.102641509433973</v>
      </c>
      <c r="Q319">
        <v>-79.816497751704446</v>
      </c>
      <c r="R319">
        <v>69.07494766906801</v>
      </c>
      <c r="S319">
        <v>9</v>
      </c>
      <c r="T319">
        <v>2</v>
      </c>
      <c r="U319" t="s">
        <v>2844</v>
      </c>
      <c r="W319">
        <v>0</v>
      </c>
      <c r="X319" t="e">
        <f t="shared" ca="1" si="46"/>
        <v>#REF!</v>
      </c>
      <c r="Y319">
        <v>0</v>
      </c>
      <c r="Z319" t="e">
        <f t="shared" ca="1" si="47"/>
        <v>#REF!</v>
      </c>
      <c r="AA319" s="152" t="e">
        <f t="shared" ca="1" si="52"/>
        <v>#REF!</v>
      </c>
      <c r="AB319" s="152" t="e">
        <f t="shared" ca="1" si="53"/>
        <v>#REF!</v>
      </c>
      <c r="AC319">
        <v>9</v>
      </c>
      <c r="AD319">
        <v>2</v>
      </c>
      <c r="AE319" t="str">
        <f t="shared" si="56"/>
        <v>'[2022 - Aryapratama &amp; Pauliuk - STE - AppF.xlsx]GWPdyn_DL_FP - Fig.4(i)'!L</v>
      </c>
      <c r="AG319">
        <v>79.816497751704446</v>
      </c>
      <c r="AH319">
        <v>-69.07494766906801</v>
      </c>
      <c r="AI319">
        <f t="shared" si="51"/>
        <v>-79.816497751704446</v>
      </c>
      <c r="AJ319">
        <f t="shared" si="51"/>
        <v>69.07494766906801</v>
      </c>
    </row>
    <row r="320" spans="9:36">
      <c r="I320">
        <v>100</v>
      </c>
      <c r="J320" t="s">
        <v>2849</v>
      </c>
      <c r="K320" s="2" t="s">
        <v>2850</v>
      </c>
      <c r="M320">
        <v>0</v>
      </c>
      <c r="N320">
        <v>123.25660377358491</v>
      </c>
      <c r="O320">
        <v>0</v>
      </c>
      <c r="P320">
        <v>96.205283018867945</v>
      </c>
      <c r="Q320">
        <v>-235.2392539982188</v>
      </c>
      <c r="R320">
        <v>42.123869249720393</v>
      </c>
      <c r="S320">
        <v>9</v>
      </c>
      <c r="T320">
        <v>2</v>
      </c>
      <c r="U320" t="s">
        <v>2844</v>
      </c>
      <c r="W320">
        <v>0</v>
      </c>
      <c r="X320" t="e">
        <f t="shared" ca="1" si="46"/>
        <v>#REF!</v>
      </c>
      <c r="Y320">
        <v>0</v>
      </c>
      <c r="Z320" t="e">
        <f t="shared" ca="1" si="47"/>
        <v>#REF!</v>
      </c>
      <c r="AA320" s="152" t="e">
        <f t="shared" ca="1" si="52"/>
        <v>#REF!</v>
      </c>
      <c r="AB320" s="152" t="e">
        <f t="shared" ca="1" si="53"/>
        <v>#REF!</v>
      </c>
      <c r="AC320">
        <v>9</v>
      </c>
      <c r="AD320">
        <v>2</v>
      </c>
      <c r="AE320" t="str">
        <f t="shared" si="56"/>
        <v>'[2022 - Aryapratama &amp; Pauliuk - STE - AppF.xlsx]GWPdyn_DL_FP - Fig.4(i)'!L</v>
      </c>
      <c r="AG320">
        <v>235.2392539982188</v>
      </c>
      <c r="AH320">
        <v>-42.123869249720393</v>
      </c>
      <c r="AI320">
        <f t="shared" si="51"/>
        <v>-235.2392539982188</v>
      </c>
      <c r="AJ320">
        <f t="shared" si="51"/>
        <v>42.123869249720393</v>
      </c>
    </row>
    <row r="321" spans="9:36">
      <c r="I321">
        <v>200</v>
      </c>
      <c r="J321" t="s">
        <v>2849</v>
      </c>
      <c r="K321" s="2" t="s">
        <v>2850</v>
      </c>
      <c r="M321">
        <v>0</v>
      </c>
      <c r="N321">
        <v>243.51320754716983</v>
      </c>
      <c r="O321">
        <v>0</v>
      </c>
      <c r="P321">
        <v>192.41056603773589</v>
      </c>
      <c r="Q321">
        <v>-543.07789336691178</v>
      </c>
      <c r="R321">
        <v>2.2086925350061422</v>
      </c>
      <c r="S321">
        <v>9</v>
      </c>
      <c r="T321">
        <v>2</v>
      </c>
      <c r="U321" t="s">
        <v>2844</v>
      </c>
      <c r="W321">
        <v>0</v>
      </c>
      <c r="X321" t="e">
        <f t="shared" ca="1" si="46"/>
        <v>#REF!</v>
      </c>
      <c r="Y321">
        <v>0</v>
      </c>
      <c r="Z321" t="e">
        <f t="shared" ca="1" si="47"/>
        <v>#REF!</v>
      </c>
      <c r="AA321" s="152" t="e">
        <f t="shared" ca="1" si="52"/>
        <v>#REF!</v>
      </c>
      <c r="AB321" s="152" t="e">
        <f t="shared" ca="1" si="53"/>
        <v>#REF!</v>
      </c>
      <c r="AC321">
        <v>9</v>
      </c>
      <c r="AD321">
        <v>2</v>
      </c>
      <c r="AE321" t="str">
        <f t="shared" si="56"/>
        <v>'[2022 - Aryapratama &amp; Pauliuk - STE - AppF.xlsx]GWPdyn_DL_FP - Fig.4(i)'!L</v>
      </c>
      <c r="AG321">
        <v>543.07789336691178</v>
      </c>
      <c r="AH321">
        <v>-2.2086925350061422</v>
      </c>
      <c r="AI321">
        <f t="shared" si="51"/>
        <v>-543.07789336691178</v>
      </c>
      <c r="AJ321">
        <f t="shared" si="51"/>
        <v>2.2086925350061422</v>
      </c>
    </row>
    <row r="322" spans="9:36">
      <c r="I322">
        <v>50</v>
      </c>
      <c r="J322" t="str">
        <f t="shared" ref="J322:J327" si="57">"NR_"&amp;K322</f>
        <v>NR_RIL_M</v>
      </c>
      <c r="K322" s="2" t="s">
        <v>284</v>
      </c>
      <c r="M322">
        <v>0</v>
      </c>
      <c r="N322">
        <v>19.274226580798832</v>
      </c>
      <c r="O322">
        <v>0</v>
      </c>
      <c r="P322">
        <v>11.564535948479303</v>
      </c>
      <c r="Q322">
        <v>75.991198542896527</v>
      </c>
      <c r="R322">
        <v>100.2569126004381</v>
      </c>
      <c r="S322">
        <v>5</v>
      </c>
      <c r="T322">
        <v>1</v>
      </c>
      <c r="U322" t="s">
        <v>2851</v>
      </c>
      <c r="W322">
        <v>0</v>
      </c>
      <c r="X322" t="e">
        <f t="shared" ca="1" si="46"/>
        <v>#REF!</v>
      </c>
      <c r="Y322">
        <v>0</v>
      </c>
      <c r="Z322" t="e">
        <f t="shared" ca="1" si="47"/>
        <v>#REF!</v>
      </c>
      <c r="AA322" s="152" t="e">
        <f t="shared" ca="1" si="52"/>
        <v>#REF!</v>
      </c>
      <c r="AB322" s="152" t="e">
        <f t="shared" ca="1" si="53"/>
        <v>#REF!</v>
      </c>
      <c r="AC322">
        <v>5</v>
      </c>
      <c r="AD322">
        <v>1</v>
      </c>
      <c r="AE322" t="str">
        <f t="shared" ref="AE322:AE333" si="58">"'[2022 - Aryapratama &amp; Pauliuk - STE - AppF.xlsx]GWPdyn_"&amp;LEFT(K322,3)&amp;" - Fig.4(j)'!L"</f>
        <v>'[2022 - Aryapratama &amp; Pauliuk - STE - AppF.xlsx]GWPdyn_RIL - Fig.4(j)'!L</v>
      </c>
      <c r="AG322">
        <v>-75.991198542896527</v>
      </c>
      <c r="AH322">
        <v>-100.2569126004381</v>
      </c>
      <c r="AI322">
        <f t="shared" si="51"/>
        <v>75.991198542896527</v>
      </c>
      <c r="AJ322">
        <f t="shared" si="51"/>
        <v>100.2569126004381</v>
      </c>
    </row>
    <row r="323" spans="9:36">
      <c r="I323">
        <v>100</v>
      </c>
      <c r="J323" t="str">
        <f t="shared" si="57"/>
        <v>NR_RIL_M</v>
      </c>
      <c r="K323" s="2" t="s">
        <v>284</v>
      </c>
      <c r="M323">
        <v>0</v>
      </c>
      <c r="N323">
        <v>28.911339871198248</v>
      </c>
      <c r="O323">
        <v>0</v>
      </c>
      <c r="P323">
        <v>17.346803922718955</v>
      </c>
      <c r="Q323">
        <v>163.96310441836951</v>
      </c>
      <c r="R323">
        <v>192.24097622198209</v>
      </c>
      <c r="S323">
        <v>5</v>
      </c>
      <c r="T323">
        <v>1</v>
      </c>
      <c r="U323" t="s">
        <v>2851</v>
      </c>
      <c r="W323">
        <v>0</v>
      </c>
      <c r="X323" t="e">
        <f t="shared" ca="1" si="46"/>
        <v>#REF!</v>
      </c>
      <c r="Y323">
        <v>0</v>
      </c>
      <c r="Z323" t="e">
        <f t="shared" ca="1" si="47"/>
        <v>#REF!</v>
      </c>
      <c r="AA323" s="152" t="e">
        <f t="shared" ca="1" si="52"/>
        <v>#REF!</v>
      </c>
      <c r="AB323" s="152" t="e">
        <f t="shared" ca="1" si="53"/>
        <v>#REF!</v>
      </c>
      <c r="AC323">
        <v>5</v>
      </c>
      <c r="AD323">
        <v>1</v>
      </c>
      <c r="AE323" t="str">
        <f t="shared" si="58"/>
        <v>'[2022 - Aryapratama &amp; Pauliuk - STE - AppF.xlsx]GWPdyn_RIL - Fig.4(j)'!L</v>
      </c>
      <c r="AG323">
        <v>-163.96310441836951</v>
      </c>
      <c r="AH323">
        <v>-192.24097622198209</v>
      </c>
      <c r="AI323">
        <f t="shared" si="51"/>
        <v>163.96310441836951</v>
      </c>
      <c r="AJ323">
        <f t="shared" si="51"/>
        <v>192.24097622198209</v>
      </c>
    </row>
    <row r="324" spans="9:36">
      <c r="I324">
        <v>200</v>
      </c>
      <c r="J324" t="str">
        <f t="shared" si="57"/>
        <v>NR_RIL_M</v>
      </c>
      <c r="K324" s="2" t="s">
        <v>284</v>
      </c>
      <c r="M324">
        <v>0</v>
      </c>
      <c r="N324">
        <v>57.822679742396488</v>
      </c>
      <c r="O324">
        <v>0</v>
      </c>
      <c r="P324">
        <v>34.69360784543791</v>
      </c>
      <c r="Q324">
        <v>337.64037255698202</v>
      </c>
      <c r="R324">
        <v>377.50107760210591</v>
      </c>
      <c r="S324">
        <v>5</v>
      </c>
      <c r="T324">
        <v>1</v>
      </c>
      <c r="U324" t="s">
        <v>2851</v>
      </c>
      <c r="W324">
        <v>0</v>
      </c>
      <c r="X324" t="e">
        <f t="shared" ca="1" si="46"/>
        <v>#REF!</v>
      </c>
      <c r="Y324">
        <v>0</v>
      </c>
      <c r="Z324" t="e">
        <f t="shared" ca="1" si="47"/>
        <v>#REF!</v>
      </c>
      <c r="AA324" s="152" t="e">
        <f t="shared" ca="1" si="52"/>
        <v>#REF!</v>
      </c>
      <c r="AB324" s="152" t="e">
        <f t="shared" ca="1" si="53"/>
        <v>#REF!</v>
      </c>
      <c r="AC324">
        <v>5</v>
      </c>
      <c r="AD324">
        <v>1</v>
      </c>
      <c r="AE324" t="str">
        <f t="shared" si="58"/>
        <v>'[2022 - Aryapratama &amp; Pauliuk - STE - AppF.xlsx]GWPdyn_RIL - Fig.4(j)'!L</v>
      </c>
      <c r="AG324">
        <v>-337.64037255698202</v>
      </c>
      <c r="AH324">
        <v>-377.50107760210591</v>
      </c>
      <c r="AI324">
        <f t="shared" si="51"/>
        <v>337.64037255698202</v>
      </c>
      <c r="AJ324">
        <f t="shared" si="51"/>
        <v>377.50107760210591</v>
      </c>
    </row>
    <row r="325" spans="9:36">
      <c r="I325">
        <v>50</v>
      </c>
      <c r="J325" t="str">
        <f t="shared" si="57"/>
        <v>NR_RIL_E</v>
      </c>
      <c r="K325" s="2" t="s">
        <v>303</v>
      </c>
      <c r="M325">
        <v>0</v>
      </c>
      <c r="N325">
        <v>19.274226580798839</v>
      </c>
      <c r="O325">
        <v>0</v>
      </c>
      <c r="P325">
        <v>15.419381264639073</v>
      </c>
      <c r="Q325">
        <v>68.167571816623862</v>
      </c>
      <c r="R325">
        <v>82.450615050179124</v>
      </c>
      <c r="S325">
        <v>5</v>
      </c>
      <c r="T325">
        <v>1</v>
      </c>
      <c r="U325" t="s">
        <v>2851</v>
      </c>
      <c r="W325">
        <v>0</v>
      </c>
      <c r="X325" t="e">
        <f t="shared" ca="1" si="46"/>
        <v>#REF!</v>
      </c>
      <c r="Y325">
        <v>0</v>
      </c>
      <c r="Z325" t="e">
        <f t="shared" ca="1" si="47"/>
        <v>#REF!</v>
      </c>
      <c r="AA325" s="152" t="e">
        <f t="shared" ca="1" si="52"/>
        <v>#REF!</v>
      </c>
      <c r="AB325" s="152" t="e">
        <f t="shared" ca="1" si="53"/>
        <v>#REF!</v>
      </c>
      <c r="AC325">
        <v>5</v>
      </c>
      <c r="AD325">
        <v>1</v>
      </c>
      <c r="AE325" t="str">
        <f t="shared" si="58"/>
        <v>'[2022 - Aryapratama &amp; Pauliuk - STE - AppF.xlsx]GWPdyn_RIL - Fig.4(j)'!L</v>
      </c>
      <c r="AG325">
        <v>-68.167571816623862</v>
      </c>
      <c r="AH325">
        <v>-82.450615050179124</v>
      </c>
      <c r="AI325">
        <f t="shared" si="51"/>
        <v>68.167571816623862</v>
      </c>
      <c r="AJ325">
        <f t="shared" si="51"/>
        <v>82.450615050179124</v>
      </c>
    </row>
    <row r="326" spans="9:36">
      <c r="I326">
        <v>100</v>
      </c>
      <c r="J326" t="str">
        <f t="shared" si="57"/>
        <v>NR_RIL_E</v>
      </c>
      <c r="K326" s="2" t="s">
        <v>303</v>
      </c>
      <c r="M326">
        <v>0</v>
      </c>
      <c r="N326">
        <v>28.911339871198258</v>
      </c>
      <c r="O326">
        <v>0</v>
      </c>
      <c r="P326">
        <v>23.12907189695861</v>
      </c>
      <c r="Q326">
        <v>152.02211024415089</v>
      </c>
      <c r="R326">
        <v>176.62110895178901</v>
      </c>
      <c r="S326">
        <v>5</v>
      </c>
      <c r="T326">
        <v>1</v>
      </c>
      <c r="U326" t="s">
        <v>2851</v>
      </c>
      <c r="W326">
        <v>0</v>
      </c>
      <c r="X326" t="e">
        <f t="shared" ca="1" si="46"/>
        <v>#REF!</v>
      </c>
      <c r="Y326">
        <v>0</v>
      </c>
      <c r="Z326" t="e">
        <f t="shared" ca="1" si="47"/>
        <v>#REF!</v>
      </c>
      <c r="AA326" s="152" t="e">
        <f t="shared" ca="1" si="52"/>
        <v>#REF!</v>
      </c>
      <c r="AB326" s="152" t="e">
        <f t="shared" ca="1" si="53"/>
        <v>#REF!</v>
      </c>
      <c r="AC326">
        <v>5</v>
      </c>
      <c r="AD326">
        <v>1</v>
      </c>
      <c r="AE326" t="str">
        <f t="shared" si="58"/>
        <v>'[2022 - Aryapratama &amp; Pauliuk - STE - AppF.xlsx]GWPdyn_RIL - Fig.4(j)'!L</v>
      </c>
      <c r="AG326">
        <v>-152.02211024415089</v>
      </c>
      <c r="AH326">
        <v>-176.62110895178901</v>
      </c>
      <c r="AI326">
        <f t="shared" si="51"/>
        <v>152.02211024415089</v>
      </c>
      <c r="AJ326">
        <f t="shared" si="51"/>
        <v>176.62110895178901</v>
      </c>
    </row>
    <row r="327" spans="9:36">
      <c r="I327">
        <v>200</v>
      </c>
      <c r="J327" t="str">
        <f t="shared" si="57"/>
        <v>NR_RIL_E</v>
      </c>
      <c r="K327" s="2" t="s">
        <v>303</v>
      </c>
      <c r="M327">
        <v>0</v>
      </c>
      <c r="N327">
        <v>57.822679742396517</v>
      </c>
      <c r="O327">
        <v>0</v>
      </c>
      <c r="P327">
        <v>46.25814379391722</v>
      </c>
      <c r="Q327">
        <v>316.56191500133059</v>
      </c>
      <c r="R327">
        <v>365.10563504552567</v>
      </c>
      <c r="S327">
        <v>5</v>
      </c>
      <c r="T327">
        <v>1</v>
      </c>
      <c r="U327" t="s">
        <v>2851</v>
      </c>
      <c r="W327">
        <v>0</v>
      </c>
      <c r="X327" t="e">
        <f t="shared" ca="1" si="46"/>
        <v>#REF!</v>
      </c>
      <c r="Y327">
        <v>0</v>
      </c>
      <c r="Z327" t="e">
        <f t="shared" ca="1" si="47"/>
        <v>#REF!</v>
      </c>
      <c r="AA327" s="152" t="e">
        <f t="shared" ca="1" si="52"/>
        <v>#REF!</v>
      </c>
      <c r="AB327" s="152" t="e">
        <f t="shared" ca="1" si="53"/>
        <v>#REF!</v>
      </c>
      <c r="AC327">
        <v>5</v>
      </c>
      <c r="AD327">
        <v>1</v>
      </c>
      <c r="AE327" t="str">
        <f t="shared" si="58"/>
        <v>'[2022 - Aryapratama &amp; Pauliuk - STE - AppF.xlsx]GWPdyn_RIL - Fig.4(j)'!L</v>
      </c>
      <c r="AG327">
        <v>-316.56191500133059</v>
      </c>
      <c r="AH327">
        <v>-365.10563504552567</v>
      </c>
      <c r="AI327">
        <f t="shared" si="51"/>
        <v>316.56191500133059</v>
      </c>
      <c r="AJ327">
        <f t="shared" si="51"/>
        <v>365.10563504552567</v>
      </c>
    </row>
    <row r="328" spans="9:36">
      <c r="I328">
        <v>50</v>
      </c>
      <c r="J328" t="s">
        <v>2852</v>
      </c>
      <c r="K328" s="2" t="s">
        <v>283</v>
      </c>
      <c r="M328">
        <v>0</v>
      </c>
      <c r="N328">
        <v>19.274226580798832</v>
      </c>
      <c r="O328">
        <v>0</v>
      </c>
      <c r="P328">
        <v>11.564535948479303</v>
      </c>
      <c r="Q328">
        <v>75.991198542896527</v>
      </c>
      <c r="R328">
        <v>185.09042564065231</v>
      </c>
      <c r="S328">
        <v>7</v>
      </c>
      <c r="T328">
        <v>1</v>
      </c>
      <c r="U328" t="s">
        <v>2851</v>
      </c>
      <c r="W328">
        <v>0</v>
      </c>
      <c r="X328" t="e">
        <f t="shared" ca="1" si="46"/>
        <v>#REF!</v>
      </c>
      <c r="Y328">
        <v>0</v>
      </c>
      <c r="Z328" t="e">
        <f t="shared" ca="1" si="47"/>
        <v>#REF!</v>
      </c>
      <c r="AA328" s="152" t="e">
        <f t="shared" ca="1" si="52"/>
        <v>#REF!</v>
      </c>
      <c r="AB328" s="152" t="e">
        <f t="shared" ca="1" si="53"/>
        <v>#REF!</v>
      </c>
      <c r="AC328">
        <v>7</v>
      </c>
      <c r="AD328">
        <v>1</v>
      </c>
      <c r="AE328" t="str">
        <f t="shared" si="58"/>
        <v>'[2022 - Aryapratama &amp; Pauliuk - STE - AppF.xlsx]GWPdyn_RIL - Fig.4(j)'!L</v>
      </c>
      <c r="AG328">
        <v>-75.991198542896527</v>
      </c>
      <c r="AH328">
        <v>-185.09042564065231</v>
      </c>
      <c r="AI328">
        <f t="shared" si="51"/>
        <v>75.991198542896527</v>
      </c>
      <c r="AJ328">
        <f t="shared" si="51"/>
        <v>185.09042564065231</v>
      </c>
    </row>
    <row r="329" spans="9:36">
      <c r="I329">
        <v>100</v>
      </c>
      <c r="J329" t="s">
        <v>2852</v>
      </c>
      <c r="K329" s="2" t="s">
        <v>283</v>
      </c>
      <c r="M329">
        <v>0</v>
      </c>
      <c r="N329">
        <v>28.911339871198248</v>
      </c>
      <c r="O329">
        <v>0</v>
      </c>
      <c r="P329">
        <v>17.346803922718955</v>
      </c>
      <c r="Q329">
        <v>163.96310441836951</v>
      </c>
      <c r="R329">
        <v>369.9239668180054</v>
      </c>
      <c r="S329">
        <v>7</v>
      </c>
      <c r="T329">
        <v>1</v>
      </c>
      <c r="U329" t="s">
        <v>2851</v>
      </c>
      <c r="W329">
        <v>0</v>
      </c>
      <c r="X329" t="e">
        <f t="shared" ca="1" si="46"/>
        <v>#REF!</v>
      </c>
      <c r="Y329">
        <v>0</v>
      </c>
      <c r="Z329" t="e">
        <f t="shared" ca="1" si="47"/>
        <v>#REF!</v>
      </c>
      <c r="AA329" s="152" t="e">
        <f t="shared" ca="1" si="52"/>
        <v>#REF!</v>
      </c>
      <c r="AB329" s="152" t="e">
        <f t="shared" ca="1" si="53"/>
        <v>#REF!</v>
      </c>
      <c r="AC329">
        <v>7</v>
      </c>
      <c r="AD329">
        <v>1</v>
      </c>
      <c r="AE329" t="str">
        <f t="shared" si="58"/>
        <v>'[2022 - Aryapratama &amp; Pauliuk - STE - AppF.xlsx]GWPdyn_RIL - Fig.4(j)'!L</v>
      </c>
      <c r="AG329">
        <v>-163.96310441836951</v>
      </c>
      <c r="AH329">
        <v>-369.9239668180054</v>
      </c>
      <c r="AI329">
        <f t="shared" si="51"/>
        <v>163.96310441836951</v>
      </c>
      <c r="AJ329">
        <f t="shared" si="51"/>
        <v>369.9239668180054</v>
      </c>
    </row>
    <row r="330" spans="9:36">
      <c r="I330">
        <v>200</v>
      </c>
      <c r="J330" t="s">
        <v>2852</v>
      </c>
      <c r="K330" s="2" t="s">
        <v>283</v>
      </c>
      <c r="M330">
        <v>0</v>
      </c>
      <c r="N330">
        <v>57.822679742396488</v>
      </c>
      <c r="O330">
        <v>0</v>
      </c>
      <c r="P330">
        <v>34.69360784543791</v>
      </c>
      <c r="Q330">
        <v>337.64037255698202</v>
      </c>
      <c r="R330">
        <v>739.24076084648095</v>
      </c>
      <c r="S330">
        <v>7</v>
      </c>
      <c r="T330">
        <v>1</v>
      </c>
      <c r="U330" t="s">
        <v>2851</v>
      </c>
      <c r="W330">
        <v>0</v>
      </c>
      <c r="X330" t="e">
        <f t="shared" ca="1" si="46"/>
        <v>#REF!</v>
      </c>
      <c r="Y330">
        <v>0</v>
      </c>
      <c r="Z330" t="e">
        <f t="shared" ca="1" si="47"/>
        <v>#REF!</v>
      </c>
      <c r="AA330" s="152" t="e">
        <f t="shared" ca="1" si="52"/>
        <v>#REF!</v>
      </c>
      <c r="AB330" s="152" t="e">
        <f t="shared" ca="1" si="53"/>
        <v>#REF!</v>
      </c>
      <c r="AC330">
        <v>7</v>
      </c>
      <c r="AD330">
        <v>1</v>
      </c>
      <c r="AE330" t="str">
        <f t="shared" si="58"/>
        <v>'[2022 - Aryapratama &amp; Pauliuk - STE - AppF.xlsx]GWPdyn_RIL - Fig.4(j)'!L</v>
      </c>
      <c r="AG330">
        <v>-337.64037255698202</v>
      </c>
      <c r="AH330">
        <v>-739.24076084648095</v>
      </c>
      <c r="AI330">
        <f t="shared" si="51"/>
        <v>337.64037255698202</v>
      </c>
      <c r="AJ330">
        <f t="shared" si="51"/>
        <v>739.24076084648095</v>
      </c>
    </row>
    <row r="331" spans="9:36">
      <c r="I331">
        <v>50</v>
      </c>
      <c r="J331" t="s">
        <v>2853</v>
      </c>
      <c r="K331" s="2" t="s">
        <v>312</v>
      </c>
      <c r="M331">
        <v>0</v>
      </c>
      <c r="N331">
        <v>19.274226580798839</v>
      </c>
      <c r="O331">
        <v>0</v>
      </c>
      <c r="P331">
        <v>15.419381264639073</v>
      </c>
      <c r="Q331">
        <v>68.167571816623862</v>
      </c>
      <c r="R331">
        <v>167.28412809039341</v>
      </c>
      <c r="S331">
        <v>7</v>
      </c>
      <c r="T331">
        <v>1</v>
      </c>
      <c r="U331" t="s">
        <v>2851</v>
      </c>
      <c r="W331">
        <v>0</v>
      </c>
      <c r="X331" t="e">
        <f t="shared" ca="1" si="46"/>
        <v>#REF!</v>
      </c>
      <c r="Y331">
        <v>0</v>
      </c>
      <c r="Z331" t="e">
        <f t="shared" ca="1" si="47"/>
        <v>#REF!</v>
      </c>
      <c r="AA331" s="152" t="e">
        <f t="shared" ca="1" si="52"/>
        <v>#REF!</v>
      </c>
      <c r="AB331" s="152" t="e">
        <f t="shared" ca="1" si="53"/>
        <v>#REF!</v>
      </c>
      <c r="AC331">
        <v>7</v>
      </c>
      <c r="AD331">
        <v>1</v>
      </c>
      <c r="AE331" t="str">
        <f t="shared" si="58"/>
        <v>'[2022 - Aryapratama &amp; Pauliuk - STE - AppF.xlsx]GWPdyn_RIL - Fig.4(j)'!L</v>
      </c>
      <c r="AG331">
        <v>-68.167571816623862</v>
      </c>
      <c r="AH331">
        <v>-167.28412809039341</v>
      </c>
      <c r="AI331">
        <f t="shared" si="51"/>
        <v>68.167571816623862</v>
      </c>
      <c r="AJ331">
        <f t="shared" si="51"/>
        <v>167.28412809039341</v>
      </c>
    </row>
    <row r="332" spans="9:36">
      <c r="I332">
        <v>100</v>
      </c>
      <c r="J332" t="s">
        <v>2853</v>
      </c>
      <c r="K332" s="2" t="s">
        <v>312</v>
      </c>
      <c r="M332">
        <v>0</v>
      </c>
      <c r="N332">
        <v>28.911339871198258</v>
      </c>
      <c r="O332">
        <v>0</v>
      </c>
      <c r="P332">
        <v>23.12907189695861</v>
      </c>
      <c r="Q332">
        <v>152.02211024415089</v>
      </c>
      <c r="R332">
        <v>354.30409954781243</v>
      </c>
      <c r="S332">
        <v>7</v>
      </c>
      <c r="T332">
        <v>1</v>
      </c>
      <c r="U332" t="s">
        <v>2851</v>
      </c>
      <c r="W332">
        <v>0</v>
      </c>
      <c r="X332" t="e">
        <f t="shared" ca="1" si="46"/>
        <v>#REF!</v>
      </c>
      <c r="Y332">
        <v>0</v>
      </c>
      <c r="Z332" t="e">
        <f t="shared" ca="1" si="47"/>
        <v>#REF!</v>
      </c>
      <c r="AA332" s="152" t="e">
        <f t="shared" ca="1" si="52"/>
        <v>#REF!</v>
      </c>
      <c r="AB332" s="152" t="e">
        <f t="shared" ca="1" si="53"/>
        <v>#REF!</v>
      </c>
      <c r="AC332">
        <v>7</v>
      </c>
      <c r="AD332">
        <v>1</v>
      </c>
      <c r="AE332" t="str">
        <f t="shared" si="58"/>
        <v>'[2022 - Aryapratama &amp; Pauliuk - STE - AppF.xlsx]GWPdyn_RIL - Fig.4(j)'!L</v>
      </c>
      <c r="AG332">
        <v>-152.02211024415089</v>
      </c>
      <c r="AH332">
        <v>-354.30409954781243</v>
      </c>
      <c r="AI332">
        <f t="shared" si="51"/>
        <v>152.02211024415089</v>
      </c>
      <c r="AJ332">
        <f t="shared" si="51"/>
        <v>354.30409954781243</v>
      </c>
    </row>
    <row r="333" spans="9:36">
      <c r="I333">
        <v>200</v>
      </c>
      <c r="J333" t="s">
        <v>2853</v>
      </c>
      <c r="K333" s="2" t="s">
        <v>312</v>
      </c>
      <c r="M333">
        <v>0</v>
      </c>
      <c r="N333">
        <v>57.822679742396517</v>
      </c>
      <c r="O333">
        <v>0</v>
      </c>
      <c r="P333">
        <v>46.25814379391722</v>
      </c>
      <c r="Q333">
        <v>316.56191500133059</v>
      </c>
      <c r="R333">
        <v>726.845318289901</v>
      </c>
      <c r="S333">
        <v>7</v>
      </c>
      <c r="T333">
        <v>1</v>
      </c>
      <c r="U333" t="s">
        <v>2851</v>
      </c>
      <c r="W333">
        <v>0</v>
      </c>
      <c r="X333" t="e">
        <f t="shared" ca="1" si="46"/>
        <v>#REF!</v>
      </c>
      <c r="Y333">
        <v>0</v>
      </c>
      <c r="Z333" t="e">
        <f t="shared" ca="1" si="47"/>
        <v>#REF!</v>
      </c>
      <c r="AA333" s="152" t="e">
        <f t="shared" ca="1" si="52"/>
        <v>#REF!</v>
      </c>
      <c r="AB333" s="152" t="e">
        <f t="shared" ca="1" si="53"/>
        <v>#REF!</v>
      </c>
      <c r="AC333">
        <v>7</v>
      </c>
      <c r="AD333">
        <v>1</v>
      </c>
      <c r="AE333" t="str">
        <f t="shared" si="58"/>
        <v>'[2022 - Aryapratama &amp; Pauliuk - STE - AppF.xlsx]GWPdyn_RIL - Fig.4(j)'!L</v>
      </c>
      <c r="AG333">
        <v>-316.56191500133059</v>
      </c>
      <c r="AH333">
        <v>-726.845318289901</v>
      </c>
      <c r="AI333">
        <f t="shared" si="51"/>
        <v>316.56191500133059</v>
      </c>
      <c r="AJ333">
        <f t="shared" si="51"/>
        <v>726.845318289901</v>
      </c>
    </row>
    <row r="334" spans="9:36">
      <c r="I334">
        <v>50</v>
      </c>
      <c r="J334" t="s">
        <v>276</v>
      </c>
      <c r="K334" s="2" t="s">
        <v>326</v>
      </c>
      <c r="M334">
        <v>264.61872586084911</v>
      </c>
      <c r="N334">
        <v>263.98307948584909</v>
      </c>
      <c r="O334">
        <v>145.3587976415094</v>
      </c>
      <c r="P334">
        <v>196.41951018867931</v>
      </c>
      <c r="Q334">
        <v>-654.85817268246092</v>
      </c>
      <c r="R334">
        <v>-930.07336759388943</v>
      </c>
      <c r="S334">
        <v>1</v>
      </c>
      <c r="T334">
        <v>1</v>
      </c>
      <c r="U334" t="s">
        <v>2831</v>
      </c>
      <c r="W334" t="e">
        <f t="shared" ref="W334:W357" ca="1" si="59">SUM(INDIRECT("'[2022 - Aryapratama &amp; Pauliuk - STE - AppD.xlsx]"&amp;$J334&amp;"'!D2:D"&amp;$I334+1))</f>
        <v>#REF!</v>
      </c>
      <c r="X334" t="e">
        <f t="shared" ca="1" si="46"/>
        <v>#REF!</v>
      </c>
      <c r="Y334" t="e">
        <f t="shared" ref="Y334:Y357" ca="1" si="60">SUM(INDIRECT("'[2022 - Aryapratama &amp; Pauliuk - STE - AppD.xlsx]"&amp;$J334&amp;"'!H2:H"&amp;$I334+1))</f>
        <v>#REF!</v>
      </c>
      <c r="Z334" t="e">
        <f t="shared" ca="1" si="47"/>
        <v>#REF!</v>
      </c>
      <c r="AA334" s="152" t="e">
        <f t="shared" ref="AA334:AB336" ca="1" si="61">INDIRECT($AE334&amp;$I334+2&amp;"C"&amp;MATCH(RIGHT(J334,$AC334)&amp;" (t-CO2eq)",INDIRECT($AE334&amp;$AD334,FALSE),0),FALSE)</f>
        <v>#REF!</v>
      </c>
      <c r="AB334" s="152" t="e">
        <f t="shared" ca="1" si="61"/>
        <v>#REF!</v>
      </c>
      <c r="AC334">
        <v>1</v>
      </c>
      <c r="AD334">
        <v>1</v>
      </c>
      <c r="AE334" t="str">
        <f t="shared" ref="AE334:AE336" si="62">"'[2022 - Aryapratama &amp; Pauliuk - STE - AppF.xlsx]GWPdyn_"&amp;LEFT(K334,5)&amp;" - Fig.4(f)'!L"</f>
        <v>'[2022 - Aryapratama &amp; Pauliuk - STE - AppF.xlsx]GWPdyn_PF_PO - Fig.4(f)'!L</v>
      </c>
      <c r="AG334">
        <v>654.85817268246092</v>
      </c>
      <c r="AH334">
        <v>930.07336759388943</v>
      </c>
      <c r="AI334">
        <f t="shared" si="51"/>
        <v>-654.85817268246092</v>
      </c>
      <c r="AJ334">
        <f t="shared" si="51"/>
        <v>-930.07336759388943</v>
      </c>
    </row>
    <row r="335" spans="9:36">
      <c r="I335">
        <v>100</v>
      </c>
      <c r="J335" t="s">
        <v>276</v>
      </c>
      <c r="K335" s="2" t="s">
        <v>326</v>
      </c>
      <c r="M335">
        <v>341.92410211084911</v>
      </c>
      <c r="N335">
        <v>340.01716298584904</v>
      </c>
      <c r="O335">
        <v>164.91714764150942</v>
      </c>
      <c r="P335">
        <v>227.71287018867932</v>
      </c>
      <c r="Q335">
        <v>-922.29525217943831</v>
      </c>
      <c r="R335">
        <v>-1049.6296143500765</v>
      </c>
      <c r="S335">
        <v>1</v>
      </c>
      <c r="T335">
        <v>1</v>
      </c>
      <c r="U335" t="s">
        <v>2831</v>
      </c>
      <c r="W335" t="e">
        <f t="shared" ca="1" si="59"/>
        <v>#REF!</v>
      </c>
      <c r="X335" t="e">
        <f t="shared" ca="1" si="46"/>
        <v>#REF!</v>
      </c>
      <c r="Y335" t="e">
        <f t="shared" ca="1" si="60"/>
        <v>#REF!</v>
      </c>
      <c r="Z335" t="e">
        <f t="shared" ca="1" si="47"/>
        <v>#REF!</v>
      </c>
      <c r="AA335" s="152" t="e">
        <f t="shared" ca="1" si="61"/>
        <v>#REF!</v>
      </c>
      <c r="AB335" s="152" t="e">
        <f t="shared" ca="1" si="61"/>
        <v>#REF!</v>
      </c>
      <c r="AC335">
        <v>1</v>
      </c>
      <c r="AD335">
        <v>1</v>
      </c>
      <c r="AE335" t="str">
        <f t="shared" si="62"/>
        <v>'[2022 - Aryapratama &amp; Pauliuk - STE - AppF.xlsx]GWPdyn_PF_PO - Fig.4(f)'!L</v>
      </c>
      <c r="AG335">
        <v>922.29525217943831</v>
      </c>
      <c r="AH335">
        <v>1049.6296143500765</v>
      </c>
      <c r="AI335">
        <f t="shared" si="51"/>
        <v>-922.29525217943831</v>
      </c>
      <c r="AJ335">
        <f t="shared" si="51"/>
        <v>-1049.6296143500765</v>
      </c>
    </row>
    <row r="336" spans="9:36">
      <c r="I336">
        <v>200</v>
      </c>
      <c r="J336" t="s">
        <v>276</v>
      </c>
      <c r="K336" s="2" t="s">
        <v>326</v>
      </c>
      <c r="M336">
        <v>496.5348546108491</v>
      </c>
      <c r="N336">
        <v>492.08532998584894</v>
      </c>
      <c r="O336">
        <v>204.03384764150945</v>
      </c>
      <c r="P336">
        <v>290.2995901886793</v>
      </c>
      <c r="Q336">
        <v>-1206.3347109067272</v>
      </c>
      <c r="R336">
        <v>-1282.169207878547</v>
      </c>
      <c r="S336">
        <v>1</v>
      </c>
      <c r="T336">
        <v>1</v>
      </c>
      <c r="U336" t="s">
        <v>2831</v>
      </c>
      <c r="W336" t="e">
        <f t="shared" ca="1" si="59"/>
        <v>#REF!</v>
      </c>
      <c r="X336" t="e">
        <f t="shared" ca="1" si="46"/>
        <v>#REF!</v>
      </c>
      <c r="Y336" t="e">
        <f t="shared" ca="1" si="60"/>
        <v>#REF!</v>
      </c>
      <c r="Z336" t="e">
        <f t="shared" ca="1" si="47"/>
        <v>#REF!</v>
      </c>
      <c r="AA336" s="152" t="e">
        <f t="shared" ca="1" si="61"/>
        <v>#REF!</v>
      </c>
      <c r="AB336" s="152" t="e">
        <f t="shared" ca="1" si="61"/>
        <v>#REF!</v>
      </c>
      <c r="AC336">
        <v>1</v>
      </c>
      <c r="AD336">
        <v>1</v>
      </c>
      <c r="AE336" t="str">
        <f t="shared" si="62"/>
        <v>'[2022 - Aryapratama &amp; Pauliuk - STE - AppF.xlsx]GWPdyn_PF_PO - Fig.4(f)'!L</v>
      </c>
      <c r="AG336">
        <v>1206.3347109067272</v>
      </c>
      <c r="AH336">
        <v>1282.169207878547</v>
      </c>
      <c r="AI336">
        <f t="shared" si="51"/>
        <v>-1206.3347109067272</v>
      </c>
      <c r="AJ336">
        <f t="shared" si="51"/>
        <v>-1282.169207878547</v>
      </c>
    </row>
    <row r="337" spans="9:36">
      <c r="I337">
        <v>50</v>
      </c>
      <c r="J337" t="s">
        <v>275</v>
      </c>
      <c r="K337" s="2" t="s">
        <v>320</v>
      </c>
      <c r="M337">
        <v>225.96603773584911</v>
      </c>
      <c r="N337">
        <v>225.96603773584911</v>
      </c>
      <c r="O337">
        <v>135.57962264150939</v>
      </c>
      <c r="P337">
        <v>180.77283018867931</v>
      </c>
      <c r="Q337">
        <v>-430.22235574765915</v>
      </c>
      <c r="R337">
        <v>-683.46368424028469</v>
      </c>
      <c r="S337">
        <v>1</v>
      </c>
      <c r="T337">
        <v>1</v>
      </c>
      <c r="U337" t="s">
        <v>2832</v>
      </c>
      <c r="W337" t="e">
        <f t="shared" ca="1" si="59"/>
        <v>#REF!</v>
      </c>
      <c r="X337" t="e">
        <f t="shared" ca="1" si="46"/>
        <v>#REF!</v>
      </c>
      <c r="Y337" t="e">
        <f t="shared" ca="1" si="60"/>
        <v>#REF!</v>
      </c>
      <c r="Z337" t="e">
        <f t="shared" ca="1" si="47"/>
        <v>#REF!</v>
      </c>
      <c r="AA337" s="152" t="e">
        <f t="shared" ref="AA337:AB339" ca="1" si="63">INDIRECT($AE337&amp;$I337+2&amp;"C"&amp;MATCH(RIGHT(J337,$AC337)&amp;" (t-CO2-eq)",INDIRECT($AE337&amp;$AD337,FALSE),0),FALSE)</f>
        <v>#REF!</v>
      </c>
      <c r="AB337" s="152" t="e">
        <f t="shared" ca="1" si="63"/>
        <v>#REF!</v>
      </c>
      <c r="AC337">
        <v>1</v>
      </c>
      <c r="AD337">
        <v>1</v>
      </c>
      <c r="AE337" t="str">
        <f t="shared" ref="AE337:AE339" si="64">"'[2022 - Aryapratama &amp; Pauliuk - STE - AppF.xlsx]GWPdyn_"&amp;LEFT(K337,5)&amp;" - Fig.4(g)'!L"</f>
        <v>'[2022 - Aryapratama &amp; Pauliuk - STE - AppF.xlsx]GWPdyn_PF_SF - Fig.4(g)'!L</v>
      </c>
      <c r="AG337">
        <v>430.22235574765915</v>
      </c>
      <c r="AH337">
        <v>683.46368424028469</v>
      </c>
      <c r="AI337">
        <f t="shared" si="51"/>
        <v>-430.22235574765915</v>
      </c>
      <c r="AJ337">
        <f t="shared" si="51"/>
        <v>-683.46368424028469</v>
      </c>
    </row>
    <row r="338" spans="9:36">
      <c r="I338">
        <v>100</v>
      </c>
      <c r="J338" t="s">
        <v>275</v>
      </c>
      <c r="K338" s="2" t="s">
        <v>320</v>
      </c>
      <c r="M338">
        <v>225.96603773584911</v>
      </c>
      <c r="N338">
        <v>225.96603773584911</v>
      </c>
      <c r="O338">
        <v>135.57962264150939</v>
      </c>
      <c r="P338">
        <v>180.77283018867931</v>
      </c>
      <c r="Q338">
        <v>-502.68675849347369</v>
      </c>
      <c r="R338">
        <v>-588.42624598329485</v>
      </c>
      <c r="S338">
        <v>1</v>
      </c>
      <c r="T338">
        <v>1</v>
      </c>
      <c r="U338" t="s">
        <v>2832</v>
      </c>
      <c r="W338" t="e">
        <f t="shared" ca="1" si="59"/>
        <v>#REF!</v>
      </c>
      <c r="X338" t="e">
        <f t="shared" ca="1" si="46"/>
        <v>#REF!</v>
      </c>
      <c r="Y338" t="e">
        <f t="shared" ca="1" si="60"/>
        <v>#REF!</v>
      </c>
      <c r="Z338" t="e">
        <f t="shared" ca="1" si="47"/>
        <v>#REF!</v>
      </c>
      <c r="AA338" s="152" t="e">
        <f t="shared" ca="1" si="63"/>
        <v>#REF!</v>
      </c>
      <c r="AB338" s="152" t="e">
        <f t="shared" ca="1" si="63"/>
        <v>#REF!</v>
      </c>
      <c r="AC338">
        <v>1</v>
      </c>
      <c r="AD338">
        <v>1</v>
      </c>
      <c r="AE338" t="str">
        <f t="shared" si="64"/>
        <v>'[2022 - Aryapratama &amp; Pauliuk - STE - AppF.xlsx]GWPdyn_PF_SF - Fig.4(g)'!L</v>
      </c>
      <c r="AG338">
        <v>502.68675849347369</v>
      </c>
      <c r="AH338">
        <v>588.42624598329485</v>
      </c>
      <c r="AI338">
        <f t="shared" si="51"/>
        <v>-502.68675849347369</v>
      </c>
      <c r="AJ338">
        <f t="shared" si="51"/>
        <v>-588.42624598329485</v>
      </c>
    </row>
    <row r="339" spans="9:36">
      <c r="I339">
        <v>200</v>
      </c>
      <c r="J339" t="s">
        <v>275</v>
      </c>
      <c r="K339" s="2" t="s">
        <v>320</v>
      </c>
      <c r="M339">
        <v>225.96603773584911</v>
      </c>
      <c r="N339">
        <v>225.96603773584911</v>
      </c>
      <c r="O339">
        <v>135.57962264150939</v>
      </c>
      <c r="P339">
        <v>180.77283018867931</v>
      </c>
      <c r="Q339">
        <v>-435.66826611219864</v>
      </c>
      <c r="R339">
        <v>-448.98121307248744</v>
      </c>
      <c r="S339">
        <v>1</v>
      </c>
      <c r="T339">
        <v>1</v>
      </c>
      <c r="U339" t="s">
        <v>2832</v>
      </c>
      <c r="W339" t="e">
        <f t="shared" ca="1" si="59"/>
        <v>#REF!</v>
      </c>
      <c r="X339" t="e">
        <f t="shared" ca="1" si="46"/>
        <v>#REF!</v>
      </c>
      <c r="Y339" t="e">
        <f t="shared" ca="1" si="60"/>
        <v>#REF!</v>
      </c>
      <c r="Z339" t="e">
        <f t="shared" ca="1" si="47"/>
        <v>#REF!</v>
      </c>
      <c r="AA339" s="152" t="e">
        <f t="shared" ca="1" si="63"/>
        <v>#REF!</v>
      </c>
      <c r="AB339" s="152" t="e">
        <f t="shared" ca="1" si="63"/>
        <v>#REF!</v>
      </c>
      <c r="AC339">
        <v>1</v>
      </c>
      <c r="AD339">
        <v>1</v>
      </c>
      <c r="AE339" t="str">
        <f t="shared" si="64"/>
        <v>'[2022 - Aryapratama &amp; Pauliuk - STE - AppF.xlsx]GWPdyn_PF_SF - Fig.4(g)'!L</v>
      </c>
      <c r="AG339">
        <v>435.66826611219864</v>
      </c>
      <c r="AH339">
        <v>448.98121307248744</v>
      </c>
      <c r="AI339">
        <f t="shared" si="51"/>
        <v>-435.66826611219864</v>
      </c>
      <c r="AJ339">
        <f t="shared" si="51"/>
        <v>-448.98121307248744</v>
      </c>
    </row>
    <row r="340" spans="9:36">
      <c r="I340">
        <v>50</v>
      </c>
      <c r="J340" t="s">
        <v>2837</v>
      </c>
      <c r="K340" s="2" t="s">
        <v>2834</v>
      </c>
      <c r="M340">
        <v>377.88189133326432</v>
      </c>
      <c r="N340">
        <v>590.46886193540468</v>
      </c>
      <c r="O340">
        <v>226.7291347999585</v>
      </c>
      <c r="P340">
        <v>265.71098787093206</v>
      </c>
      <c r="Q340">
        <v>-617.93246272463909</v>
      </c>
      <c r="R340">
        <v>-870.70033536556764</v>
      </c>
      <c r="S340">
        <v>7</v>
      </c>
      <c r="T340">
        <v>2</v>
      </c>
      <c r="U340" t="s">
        <v>2835</v>
      </c>
      <c r="W340" t="e">
        <f t="shared" ca="1" si="59"/>
        <v>#REF!</v>
      </c>
      <c r="X340" t="e">
        <f t="shared" ca="1" si="46"/>
        <v>#REF!</v>
      </c>
      <c r="Y340" t="e">
        <f t="shared" ca="1" si="60"/>
        <v>#REF!</v>
      </c>
      <c r="Z340" t="e">
        <f t="shared" ca="1" si="47"/>
        <v>#REF!</v>
      </c>
      <c r="AA340" s="152" t="e">
        <f t="shared" ref="AA340:AA345" ca="1" si="65">INDIRECT($AE340&amp;$I340+2&amp;"C"&amp;MATCH(RIGHT(J340,$AC340+1)&amp;" (t-CO2-eq)",INDIRECT($AE340&amp;$AD340,FALSE),0),FALSE)</f>
        <v>#REF!</v>
      </c>
      <c r="AB340" s="152" t="e">
        <f t="shared" ref="AB340:AB357" ca="1" si="66">INDIRECT($AE340&amp;$I340+2&amp;"C"&amp;MATCH(RIGHT(K340,$AC340)&amp;" (t-CO2-eq)",INDIRECT($AE340&amp;$AD340,FALSE),0),FALSE)</f>
        <v>#REF!</v>
      </c>
      <c r="AC340">
        <v>7</v>
      </c>
      <c r="AD340">
        <v>2</v>
      </c>
      <c r="AE340" t="str">
        <f t="shared" ref="AE340:AE342" si="67">"'[2022 - Aryapratama &amp; Pauliuk - STE - AppF.xlsx]GWPdyn_"&amp;LEFT(K340,5)&amp;" - Fig.4(h)'!L"</f>
        <v>'[2022 - Aryapratama &amp; Pauliuk - STE - AppF.xlsx]GWPdyn_PF_FP - Fig.4(h)'!L</v>
      </c>
      <c r="AG340">
        <v>617.93246272463909</v>
      </c>
      <c r="AH340">
        <v>870.70033536556764</v>
      </c>
      <c r="AI340">
        <f t="shared" si="51"/>
        <v>-617.93246272463909</v>
      </c>
      <c r="AJ340">
        <f t="shared" si="51"/>
        <v>-870.70033536556764</v>
      </c>
    </row>
    <row r="341" spans="9:36">
      <c r="I341">
        <v>100</v>
      </c>
      <c r="J341" t="s">
        <v>2837</v>
      </c>
      <c r="K341" s="2" t="s">
        <v>2834</v>
      </c>
      <c r="M341">
        <v>605.75567172938713</v>
      </c>
      <c r="N341">
        <v>954.97168613496024</v>
      </c>
      <c r="O341">
        <v>363.45340303763226</v>
      </c>
      <c r="P341">
        <v>429.73725876073206</v>
      </c>
      <c r="Q341">
        <v>-768.12774512252213</v>
      </c>
      <c r="R341">
        <v>-990.65809626676389</v>
      </c>
      <c r="S341">
        <v>7</v>
      </c>
      <c r="T341">
        <v>2</v>
      </c>
      <c r="U341" t="s">
        <v>2835</v>
      </c>
      <c r="W341" t="e">
        <f t="shared" ca="1" si="59"/>
        <v>#REF!</v>
      </c>
      <c r="X341" t="e">
        <f t="shared" ca="1" si="46"/>
        <v>#REF!</v>
      </c>
      <c r="Y341" t="e">
        <f t="shared" ca="1" si="60"/>
        <v>#REF!</v>
      </c>
      <c r="Z341" t="e">
        <f t="shared" ca="1" si="47"/>
        <v>#REF!</v>
      </c>
      <c r="AA341" s="152" t="e">
        <f t="shared" ca="1" si="65"/>
        <v>#REF!</v>
      </c>
      <c r="AB341" s="152" t="e">
        <f t="shared" ca="1" si="66"/>
        <v>#REF!</v>
      </c>
      <c r="AC341">
        <v>7</v>
      </c>
      <c r="AD341">
        <v>2</v>
      </c>
      <c r="AE341" t="str">
        <f t="shared" si="67"/>
        <v>'[2022 - Aryapratama &amp; Pauliuk - STE - AppF.xlsx]GWPdyn_PF_FP - Fig.4(h)'!L</v>
      </c>
      <c r="AG341">
        <v>768.12774512252213</v>
      </c>
      <c r="AH341">
        <v>990.65809626676389</v>
      </c>
      <c r="AI341">
        <f t="shared" si="51"/>
        <v>-768.12774512252213</v>
      </c>
      <c r="AJ341">
        <f t="shared" si="51"/>
        <v>-990.65809626676389</v>
      </c>
    </row>
    <row r="342" spans="9:36">
      <c r="I342">
        <v>200</v>
      </c>
      <c r="J342" t="s">
        <v>2837</v>
      </c>
      <c r="K342" s="2" t="s">
        <v>2834</v>
      </c>
      <c r="M342">
        <v>985.54530572292515</v>
      </c>
      <c r="N342">
        <v>1683.9773345340714</v>
      </c>
      <c r="O342">
        <v>591.32718343375518</v>
      </c>
      <c r="P342">
        <v>757.78980054033161</v>
      </c>
      <c r="Q342">
        <v>-956.54496754124091</v>
      </c>
      <c r="R342">
        <v>-1160.011828609915</v>
      </c>
      <c r="S342">
        <v>7</v>
      </c>
      <c r="T342">
        <v>2</v>
      </c>
      <c r="U342" t="s">
        <v>2835</v>
      </c>
      <c r="W342" t="e">
        <f t="shared" ca="1" si="59"/>
        <v>#REF!</v>
      </c>
      <c r="X342" t="e">
        <f t="shared" ca="1" si="46"/>
        <v>#REF!</v>
      </c>
      <c r="Y342" t="e">
        <f t="shared" ca="1" si="60"/>
        <v>#REF!</v>
      </c>
      <c r="Z342" t="e">
        <f t="shared" ca="1" si="47"/>
        <v>#REF!</v>
      </c>
      <c r="AA342" s="152" t="e">
        <f t="shared" ca="1" si="65"/>
        <v>#REF!</v>
      </c>
      <c r="AB342" s="152" t="e">
        <f t="shared" ca="1" si="66"/>
        <v>#REF!</v>
      </c>
      <c r="AC342">
        <v>7</v>
      </c>
      <c r="AD342">
        <v>2</v>
      </c>
      <c r="AE342" t="str">
        <f t="shared" si="67"/>
        <v>'[2022 - Aryapratama &amp; Pauliuk - STE - AppF.xlsx]GWPdyn_PF_FP - Fig.4(h)'!L</v>
      </c>
      <c r="AG342">
        <v>956.54496754124091</v>
      </c>
      <c r="AH342">
        <v>1160.011828609915</v>
      </c>
      <c r="AI342">
        <f t="shared" si="51"/>
        <v>-956.54496754124091</v>
      </c>
      <c r="AJ342">
        <f t="shared" si="51"/>
        <v>-1160.011828609915</v>
      </c>
    </row>
    <row r="343" spans="9:36">
      <c r="I343">
        <v>50</v>
      </c>
      <c r="J343" t="s">
        <v>2846</v>
      </c>
      <c r="K343" s="2" t="s">
        <v>2843</v>
      </c>
      <c r="M343">
        <v>154.91585359741521</v>
      </c>
      <c r="N343">
        <v>367.50282419955545</v>
      </c>
      <c r="O343">
        <v>91.149512158449113</v>
      </c>
      <c r="P343">
        <v>164.02627088979997</v>
      </c>
      <c r="Q343">
        <v>254.21120760929861</v>
      </c>
      <c r="R343">
        <v>77.331302173432363</v>
      </c>
      <c r="S343">
        <v>7</v>
      </c>
      <c r="T343">
        <v>2</v>
      </c>
      <c r="U343" t="s">
        <v>2844</v>
      </c>
      <c r="W343" t="e">
        <f t="shared" ca="1" si="59"/>
        <v>#REF!</v>
      </c>
      <c r="X343" t="e">
        <f t="shared" ca="1" si="46"/>
        <v>#REF!</v>
      </c>
      <c r="Y343" t="e">
        <f t="shared" ca="1" si="60"/>
        <v>#REF!</v>
      </c>
      <c r="Z343" t="e">
        <f t="shared" ca="1" si="47"/>
        <v>#REF!</v>
      </c>
      <c r="AA343" s="152" t="e">
        <f t="shared" ca="1" si="65"/>
        <v>#REF!</v>
      </c>
      <c r="AB343" s="152" t="e">
        <f t="shared" ca="1" si="66"/>
        <v>#REF!</v>
      </c>
      <c r="AC343">
        <v>7</v>
      </c>
      <c r="AD343">
        <v>2</v>
      </c>
      <c r="AE343" t="str">
        <f t="shared" ref="AE343:AE345" si="68">"'[2022 - Aryapratama &amp; Pauliuk - STE - AppF.xlsx]GWPdyn_"&amp;LEFT(K343,5)&amp;" - Fig.4(i)'!L"</f>
        <v>'[2022 - Aryapratama &amp; Pauliuk - STE - AppF.xlsx]GWPdyn_DL_FP - Fig.4(i)'!L</v>
      </c>
      <c r="AG343">
        <v>-254.21120760929861</v>
      </c>
      <c r="AH343">
        <v>-77.331302173432363</v>
      </c>
      <c r="AI343">
        <f t="shared" si="51"/>
        <v>254.21120760929861</v>
      </c>
      <c r="AJ343">
        <f t="shared" si="51"/>
        <v>77.331302173432363</v>
      </c>
    </row>
    <row r="344" spans="9:36">
      <c r="I344">
        <v>100</v>
      </c>
      <c r="J344" t="s">
        <v>2846</v>
      </c>
      <c r="K344" s="2" t="s">
        <v>2843</v>
      </c>
      <c r="M344">
        <v>382.78963399353802</v>
      </c>
      <c r="N344">
        <v>732.00564839911101</v>
      </c>
      <c r="O344">
        <v>227.87378039612278</v>
      </c>
      <c r="P344">
        <v>328.05254177959995</v>
      </c>
      <c r="Q344">
        <v>185.53811788022131</v>
      </c>
      <c r="R344">
        <v>-41.927947193381058</v>
      </c>
      <c r="S344">
        <v>7</v>
      </c>
      <c r="T344">
        <v>2</v>
      </c>
      <c r="U344" t="s">
        <v>2844</v>
      </c>
      <c r="W344" t="e">
        <f t="shared" ca="1" si="59"/>
        <v>#REF!</v>
      </c>
      <c r="X344" t="e">
        <f t="shared" ca="1" si="46"/>
        <v>#REF!</v>
      </c>
      <c r="Y344" t="e">
        <f t="shared" ca="1" si="60"/>
        <v>#REF!</v>
      </c>
      <c r="Z344" t="e">
        <f t="shared" ca="1" si="47"/>
        <v>#REF!</v>
      </c>
      <c r="AA344" s="152" t="e">
        <f t="shared" ca="1" si="65"/>
        <v>#REF!</v>
      </c>
      <c r="AB344" s="152" t="e">
        <f t="shared" ca="1" si="66"/>
        <v>#REF!</v>
      </c>
      <c r="AC344">
        <v>7</v>
      </c>
      <c r="AD344">
        <v>2</v>
      </c>
      <c r="AE344" t="str">
        <f t="shared" si="68"/>
        <v>'[2022 - Aryapratama &amp; Pauliuk - STE - AppF.xlsx]GWPdyn_DL_FP - Fig.4(i)'!L</v>
      </c>
      <c r="AG344">
        <v>-185.53811788022131</v>
      </c>
      <c r="AH344">
        <v>41.927947193381058</v>
      </c>
      <c r="AI344">
        <f t="shared" si="51"/>
        <v>185.53811788022131</v>
      </c>
      <c r="AJ344">
        <f t="shared" si="51"/>
        <v>-41.927947193381058</v>
      </c>
    </row>
    <row r="345" spans="9:36">
      <c r="I345">
        <v>200</v>
      </c>
      <c r="J345" t="s">
        <v>2846</v>
      </c>
      <c r="K345" s="2" t="s">
        <v>2843</v>
      </c>
      <c r="M345">
        <v>762.57926798707604</v>
      </c>
      <c r="N345">
        <v>1461.011296798222</v>
      </c>
      <c r="O345">
        <v>455.74756079224562</v>
      </c>
      <c r="P345">
        <v>656.10508355919967</v>
      </c>
      <c r="Q345">
        <v>23.49403951814293</v>
      </c>
      <c r="R345">
        <v>-227.6520247861325</v>
      </c>
      <c r="S345">
        <v>7</v>
      </c>
      <c r="T345">
        <v>2</v>
      </c>
      <c r="U345" t="s">
        <v>2844</v>
      </c>
      <c r="W345" t="e">
        <f t="shared" ca="1" si="59"/>
        <v>#REF!</v>
      </c>
      <c r="X345" t="e">
        <f t="shared" ca="1" si="46"/>
        <v>#REF!</v>
      </c>
      <c r="Y345" t="e">
        <f t="shared" ca="1" si="60"/>
        <v>#REF!</v>
      </c>
      <c r="Z345" t="e">
        <f t="shared" ca="1" si="47"/>
        <v>#REF!</v>
      </c>
      <c r="AA345" s="152" t="e">
        <f t="shared" ca="1" si="65"/>
        <v>#REF!</v>
      </c>
      <c r="AB345" s="152" t="e">
        <f t="shared" ca="1" si="66"/>
        <v>#REF!</v>
      </c>
      <c r="AC345">
        <v>7</v>
      </c>
      <c r="AD345">
        <v>2</v>
      </c>
      <c r="AE345" t="str">
        <f t="shared" si="68"/>
        <v>'[2022 - Aryapratama &amp; Pauliuk - STE - AppF.xlsx]GWPdyn_DL_FP - Fig.4(i)'!L</v>
      </c>
      <c r="AG345">
        <v>-23.49403951814293</v>
      </c>
      <c r="AH345">
        <v>227.6520247861325</v>
      </c>
      <c r="AI345">
        <f t="shared" si="51"/>
        <v>23.49403951814293</v>
      </c>
      <c r="AJ345">
        <f t="shared" si="51"/>
        <v>-227.6520247861325</v>
      </c>
    </row>
    <row r="346" spans="9:36">
      <c r="I346">
        <v>50</v>
      </c>
      <c r="J346" t="s">
        <v>284</v>
      </c>
      <c r="K346" s="2" t="s">
        <v>303</v>
      </c>
      <c r="M346">
        <v>19.274226580798832</v>
      </c>
      <c r="N346">
        <v>19.274226580798839</v>
      </c>
      <c r="O346">
        <v>11.564535948479303</v>
      </c>
      <c r="P346">
        <v>15.419381264639073</v>
      </c>
      <c r="Q346">
        <v>100.2569126004381</v>
      </c>
      <c r="R346">
        <v>82.450615050179124</v>
      </c>
      <c r="S346">
        <v>5</v>
      </c>
      <c r="T346">
        <v>1</v>
      </c>
      <c r="U346" t="s">
        <v>2851</v>
      </c>
      <c r="W346" t="e">
        <f t="shared" ca="1" si="59"/>
        <v>#REF!</v>
      </c>
      <c r="X346" t="e">
        <f t="shared" ca="1" si="46"/>
        <v>#REF!</v>
      </c>
      <c r="Y346" t="e">
        <f t="shared" ca="1" si="60"/>
        <v>#REF!</v>
      </c>
      <c r="Z346" t="e">
        <f t="shared" ca="1" si="47"/>
        <v>#REF!</v>
      </c>
      <c r="AA346" s="152" t="e">
        <f t="shared" ref="AA346:AA357" ca="1" si="69">INDIRECT($AE346&amp;$I346+2&amp;"C"&amp;MATCH(RIGHT(J346,$AC346+3)&amp;" (t-CO2-eq)",INDIRECT($AE346&amp;$AD346,FALSE),0),FALSE)</f>
        <v>#REF!</v>
      </c>
      <c r="AB346" s="152" t="e">
        <f t="shared" ca="1" si="66"/>
        <v>#REF!</v>
      </c>
      <c r="AC346">
        <v>5</v>
      </c>
      <c r="AD346">
        <v>1</v>
      </c>
      <c r="AE346" t="str">
        <f t="shared" ref="AE346:AE357" si="70">"'[2022 - Aryapratama &amp; Pauliuk - STE - AppF.xlsx]GWPdyn_"&amp;LEFT(K346,3)&amp;" - Fig.4(j)'!L"</f>
        <v>'[2022 - Aryapratama &amp; Pauliuk - STE - AppF.xlsx]GWPdyn_RIL - Fig.4(j)'!L</v>
      </c>
      <c r="AG346">
        <v>-100.2569126004381</v>
      </c>
      <c r="AH346">
        <v>-82.450615050179124</v>
      </c>
      <c r="AI346">
        <f t="shared" si="51"/>
        <v>100.2569126004381</v>
      </c>
      <c r="AJ346">
        <f t="shared" si="51"/>
        <v>82.450615050179124</v>
      </c>
    </row>
    <row r="347" spans="9:36">
      <c r="I347">
        <v>100</v>
      </c>
      <c r="J347" t="s">
        <v>284</v>
      </c>
      <c r="K347" s="2" t="s">
        <v>303</v>
      </c>
      <c r="M347">
        <v>28.911339871198248</v>
      </c>
      <c r="N347">
        <v>28.911339871198258</v>
      </c>
      <c r="O347">
        <v>17.346803922718955</v>
      </c>
      <c r="P347">
        <v>23.12907189695861</v>
      </c>
      <c r="Q347">
        <v>192.24097622198209</v>
      </c>
      <c r="R347">
        <v>176.62110895178901</v>
      </c>
      <c r="S347">
        <v>5</v>
      </c>
      <c r="T347">
        <v>1</v>
      </c>
      <c r="U347" t="s">
        <v>2851</v>
      </c>
      <c r="W347" t="e">
        <f t="shared" ca="1" si="59"/>
        <v>#REF!</v>
      </c>
      <c r="X347" t="e">
        <f t="shared" ca="1" si="46"/>
        <v>#REF!</v>
      </c>
      <c r="Y347" t="e">
        <f t="shared" ca="1" si="60"/>
        <v>#REF!</v>
      </c>
      <c r="Z347" t="e">
        <f t="shared" ca="1" si="47"/>
        <v>#REF!</v>
      </c>
      <c r="AA347" s="152" t="e">
        <f t="shared" ca="1" si="69"/>
        <v>#REF!</v>
      </c>
      <c r="AB347" s="152" t="e">
        <f t="shared" ca="1" si="66"/>
        <v>#REF!</v>
      </c>
      <c r="AC347">
        <v>5</v>
      </c>
      <c r="AD347">
        <v>1</v>
      </c>
      <c r="AE347" t="str">
        <f t="shared" si="70"/>
        <v>'[2022 - Aryapratama &amp; Pauliuk - STE - AppF.xlsx]GWPdyn_RIL - Fig.4(j)'!L</v>
      </c>
      <c r="AG347">
        <v>-192.24097622198209</v>
      </c>
      <c r="AH347">
        <v>-176.62110895178901</v>
      </c>
      <c r="AI347">
        <f t="shared" si="51"/>
        <v>192.24097622198209</v>
      </c>
      <c r="AJ347">
        <f t="shared" si="51"/>
        <v>176.62110895178901</v>
      </c>
    </row>
    <row r="348" spans="9:36">
      <c r="I348">
        <v>200</v>
      </c>
      <c r="J348" t="s">
        <v>284</v>
      </c>
      <c r="K348" s="2" t="s">
        <v>303</v>
      </c>
      <c r="M348">
        <v>57.822679742396488</v>
      </c>
      <c r="N348">
        <v>57.822679742396517</v>
      </c>
      <c r="O348">
        <v>34.69360784543791</v>
      </c>
      <c r="P348">
        <v>46.25814379391722</v>
      </c>
      <c r="Q348">
        <v>377.50107760210591</v>
      </c>
      <c r="R348">
        <v>365.10563504552567</v>
      </c>
      <c r="S348">
        <v>5</v>
      </c>
      <c r="T348">
        <v>1</v>
      </c>
      <c r="U348" t="s">
        <v>2851</v>
      </c>
      <c r="W348" t="e">
        <f t="shared" ca="1" si="59"/>
        <v>#REF!</v>
      </c>
      <c r="X348" t="e">
        <f t="shared" ca="1" si="46"/>
        <v>#REF!</v>
      </c>
      <c r="Y348" t="e">
        <f t="shared" ca="1" si="60"/>
        <v>#REF!</v>
      </c>
      <c r="Z348" t="e">
        <f t="shared" ca="1" si="47"/>
        <v>#REF!</v>
      </c>
      <c r="AA348" s="152" t="e">
        <f t="shared" ca="1" si="69"/>
        <v>#REF!</v>
      </c>
      <c r="AB348" s="152" t="e">
        <f t="shared" ca="1" si="66"/>
        <v>#REF!</v>
      </c>
      <c r="AC348">
        <v>5</v>
      </c>
      <c r="AD348">
        <v>1</v>
      </c>
      <c r="AE348" t="str">
        <f t="shared" si="70"/>
        <v>'[2022 - Aryapratama &amp; Pauliuk - STE - AppF.xlsx]GWPdyn_RIL - Fig.4(j)'!L</v>
      </c>
      <c r="AG348">
        <v>-377.50107760210591</v>
      </c>
      <c r="AH348">
        <v>-365.10563504552567</v>
      </c>
      <c r="AI348">
        <f t="shared" si="51"/>
        <v>377.50107760210591</v>
      </c>
      <c r="AJ348">
        <f t="shared" si="51"/>
        <v>365.10563504552567</v>
      </c>
    </row>
    <row r="349" spans="9:36">
      <c r="I349">
        <v>50</v>
      </c>
      <c r="J349" t="s">
        <v>283</v>
      </c>
      <c r="K349" s="2" t="s">
        <v>312</v>
      </c>
      <c r="M349">
        <v>19.274226580798832</v>
      </c>
      <c r="N349">
        <v>19.274226580798839</v>
      </c>
      <c r="O349">
        <v>11.564535948479303</v>
      </c>
      <c r="P349">
        <v>15.419381264639073</v>
      </c>
      <c r="Q349">
        <v>185.09042564065231</v>
      </c>
      <c r="R349">
        <v>167.28412809039341</v>
      </c>
      <c r="S349">
        <v>7</v>
      </c>
      <c r="T349">
        <v>1</v>
      </c>
      <c r="U349" t="s">
        <v>2851</v>
      </c>
      <c r="W349" t="e">
        <f t="shared" ca="1" si="59"/>
        <v>#REF!</v>
      </c>
      <c r="X349" t="e">
        <f t="shared" ca="1" si="46"/>
        <v>#REF!</v>
      </c>
      <c r="Y349" t="e">
        <f t="shared" ca="1" si="60"/>
        <v>#REF!</v>
      </c>
      <c r="Z349" t="e">
        <f t="shared" ca="1" si="47"/>
        <v>#REF!</v>
      </c>
      <c r="AA349" s="152" t="e">
        <f t="shared" ca="1" si="69"/>
        <v>#REF!</v>
      </c>
      <c r="AB349" s="152" t="e">
        <f t="shared" ca="1" si="66"/>
        <v>#REF!</v>
      </c>
      <c r="AC349">
        <v>7</v>
      </c>
      <c r="AD349">
        <v>1</v>
      </c>
      <c r="AE349" t="str">
        <f t="shared" si="70"/>
        <v>'[2022 - Aryapratama &amp; Pauliuk - STE - AppF.xlsx]GWPdyn_RIL - Fig.4(j)'!L</v>
      </c>
      <c r="AG349">
        <v>-185.09042564065231</v>
      </c>
      <c r="AH349">
        <v>-167.28412809039341</v>
      </c>
      <c r="AI349">
        <f t="shared" si="51"/>
        <v>185.09042564065231</v>
      </c>
      <c r="AJ349">
        <f t="shared" si="51"/>
        <v>167.28412809039341</v>
      </c>
    </row>
    <row r="350" spans="9:36">
      <c r="I350">
        <v>100</v>
      </c>
      <c r="J350" t="s">
        <v>283</v>
      </c>
      <c r="K350" s="2" t="s">
        <v>312</v>
      </c>
      <c r="M350">
        <v>28.911339871198248</v>
      </c>
      <c r="N350">
        <v>28.911339871198258</v>
      </c>
      <c r="O350">
        <v>17.346803922718955</v>
      </c>
      <c r="P350">
        <v>23.12907189695861</v>
      </c>
      <c r="Q350">
        <v>369.9239668180054</v>
      </c>
      <c r="R350">
        <v>354.30409954781243</v>
      </c>
      <c r="S350">
        <v>7</v>
      </c>
      <c r="T350">
        <v>1</v>
      </c>
      <c r="U350" t="s">
        <v>2851</v>
      </c>
      <c r="W350" t="e">
        <f t="shared" ca="1" si="59"/>
        <v>#REF!</v>
      </c>
      <c r="X350" t="e">
        <f t="shared" ref="X350:X357" ca="1" si="71">SUM(INDIRECT("'[2022 - Aryapratama &amp; Pauliuk - STE - AppD.xlsx]"&amp;$K350&amp;"'!D2:D"&amp;$I350+1))</f>
        <v>#REF!</v>
      </c>
      <c r="Y350" t="e">
        <f t="shared" ca="1" si="60"/>
        <v>#REF!</v>
      </c>
      <c r="Z350" t="e">
        <f t="shared" ref="Z350:Z357" ca="1" si="72">SUM(INDIRECT("'[2022 - Aryapratama &amp; Pauliuk - STE - AppD.xlsx]"&amp;$K350&amp;"'!H2:H"&amp;$I350+1))</f>
        <v>#REF!</v>
      </c>
      <c r="AA350" s="152" t="e">
        <f t="shared" ca="1" si="69"/>
        <v>#REF!</v>
      </c>
      <c r="AB350" s="152" t="e">
        <f t="shared" ca="1" si="66"/>
        <v>#REF!</v>
      </c>
      <c r="AC350">
        <v>7</v>
      </c>
      <c r="AD350">
        <v>1</v>
      </c>
      <c r="AE350" t="str">
        <f t="shared" si="70"/>
        <v>'[2022 - Aryapratama &amp; Pauliuk - STE - AppF.xlsx]GWPdyn_RIL - Fig.4(j)'!L</v>
      </c>
      <c r="AG350">
        <v>-369.9239668180054</v>
      </c>
      <c r="AH350">
        <v>-354.30409954781243</v>
      </c>
      <c r="AI350">
        <f t="shared" ref="AI350:AJ357" si="73">-AG350</f>
        <v>369.9239668180054</v>
      </c>
      <c r="AJ350">
        <f t="shared" si="73"/>
        <v>354.30409954781243</v>
      </c>
    </row>
    <row r="351" spans="9:36">
      <c r="I351">
        <v>200</v>
      </c>
      <c r="J351" t="s">
        <v>283</v>
      </c>
      <c r="K351" s="2" t="s">
        <v>312</v>
      </c>
      <c r="M351">
        <v>57.822679742396488</v>
      </c>
      <c r="N351">
        <v>57.822679742396517</v>
      </c>
      <c r="O351">
        <v>34.69360784543791</v>
      </c>
      <c r="P351">
        <v>46.25814379391722</v>
      </c>
      <c r="Q351">
        <v>739.24076084648095</v>
      </c>
      <c r="R351">
        <v>726.845318289901</v>
      </c>
      <c r="S351">
        <v>7</v>
      </c>
      <c r="T351">
        <v>1</v>
      </c>
      <c r="U351" t="s">
        <v>2851</v>
      </c>
      <c r="W351" t="e">
        <f t="shared" ca="1" si="59"/>
        <v>#REF!</v>
      </c>
      <c r="X351" t="e">
        <f t="shared" ca="1" si="71"/>
        <v>#REF!</v>
      </c>
      <c r="Y351" t="e">
        <f t="shared" ca="1" si="60"/>
        <v>#REF!</v>
      </c>
      <c r="Z351" t="e">
        <f t="shared" ca="1" si="72"/>
        <v>#REF!</v>
      </c>
      <c r="AA351" s="152" t="e">
        <f t="shared" ca="1" si="69"/>
        <v>#REF!</v>
      </c>
      <c r="AB351" s="152" t="e">
        <f t="shared" ca="1" si="66"/>
        <v>#REF!</v>
      </c>
      <c r="AC351">
        <v>7</v>
      </c>
      <c r="AD351">
        <v>1</v>
      </c>
      <c r="AE351" t="str">
        <f t="shared" si="70"/>
        <v>'[2022 - Aryapratama &amp; Pauliuk - STE - AppF.xlsx]GWPdyn_RIL - Fig.4(j)'!L</v>
      </c>
      <c r="AG351">
        <v>-739.24076084648095</v>
      </c>
      <c r="AH351">
        <v>-726.845318289901</v>
      </c>
      <c r="AI351">
        <f t="shared" si="73"/>
        <v>739.24076084648095</v>
      </c>
      <c r="AJ351">
        <f t="shared" si="73"/>
        <v>726.845318289901</v>
      </c>
    </row>
    <row r="352" spans="9:36">
      <c r="I352">
        <v>50</v>
      </c>
      <c r="J352" t="s">
        <v>283</v>
      </c>
      <c r="K352" s="2" t="s">
        <v>284</v>
      </c>
      <c r="M352">
        <v>19.274226580798832</v>
      </c>
      <c r="N352">
        <v>19.274226580798832</v>
      </c>
      <c r="O352">
        <v>11.564535948479303</v>
      </c>
      <c r="P352">
        <v>11.564535948479303</v>
      </c>
      <c r="Q352">
        <v>185.09042564065231</v>
      </c>
      <c r="R352">
        <v>100.2569126004381</v>
      </c>
      <c r="S352">
        <v>5</v>
      </c>
      <c r="T352">
        <v>1</v>
      </c>
      <c r="U352" t="s">
        <v>2851</v>
      </c>
      <c r="W352" t="e">
        <f t="shared" ca="1" si="59"/>
        <v>#REF!</v>
      </c>
      <c r="X352" t="e">
        <f t="shared" ca="1" si="71"/>
        <v>#REF!</v>
      </c>
      <c r="Y352" t="e">
        <f t="shared" ca="1" si="60"/>
        <v>#REF!</v>
      </c>
      <c r="Z352" t="e">
        <f t="shared" ca="1" si="72"/>
        <v>#REF!</v>
      </c>
      <c r="AA352" s="152" t="e">
        <f t="shared" ca="1" si="69"/>
        <v>#REF!</v>
      </c>
      <c r="AB352" s="152" t="e">
        <f t="shared" ca="1" si="66"/>
        <v>#REF!</v>
      </c>
      <c r="AC352">
        <v>5</v>
      </c>
      <c r="AD352">
        <v>1</v>
      </c>
      <c r="AE352" t="str">
        <f t="shared" si="70"/>
        <v>'[2022 - Aryapratama &amp; Pauliuk - STE - AppF.xlsx]GWPdyn_RIL - Fig.4(j)'!L</v>
      </c>
      <c r="AG352">
        <v>-185.09042564065231</v>
      </c>
      <c r="AH352">
        <v>-100.2569126004381</v>
      </c>
      <c r="AI352">
        <f t="shared" si="73"/>
        <v>185.09042564065231</v>
      </c>
      <c r="AJ352">
        <f t="shared" si="73"/>
        <v>100.2569126004381</v>
      </c>
    </row>
    <row r="353" spans="1:36">
      <c r="I353">
        <v>100</v>
      </c>
      <c r="J353" t="s">
        <v>283</v>
      </c>
      <c r="K353" s="2" t="s">
        <v>284</v>
      </c>
      <c r="M353">
        <v>28.911339871198248</v>
      </c>
      <c r="N353">
        <v>28.911339871198248</v>
      </c>
      <c r="O353">
        <v>17.346803922718955</v>
      </c>
      <c r="P353">
        <v>17.346803922718955</v>
      </c>
      <c r="Q353">
        <v>369.9239668180054</v>
      </c>
      <c r="R353">
        <v>192.24097622198209</v>
      </c>
      <c r="S353">
        <v>5</v>
      </c>
      <c r="T353">
        <v>1</v>
      </c>
      <c r="U353" t="s">
        <v>2851</v>
      </c>
      <c r="W353" t="e">
        <f t="shared" ca="1" si="59"/>
        <v>#REF!</v>
      </c>
      <c r="X353" t="e">
        <f t="shared" ca="1" si="71"/>
        <v>#REF!</v>
      </c>
      <c r="Y353" t="e">
        <f t="shared" ca="1" si="60"/>
        <v>#REF!</v>
      </c>
      <c r="Z353" t="e">
        <f t="shared" ca="1" si="72"/>
        <v>#REF!</v>
      </c>
      <c r="AA353" s="152" t="e">
        <f t="shared" ca="1" si="69"/>
        <v>#REF!</v>
      </c>
      <c r="AB353" s="152" t="e">
        <f t="shared" ca="1" si="66"/>
        <v>#REF!</v>
      </c>
      <c r="AC353">
        <v>5</v>
      </c>
      <c r="AD353">
        <v>1</v>
      </c>
      <c r="AE353" t="str">
        <f t="shared" si="70"/>
        <v>'[2022 - Aryapratama &amp; Pauliuk - STE - AppF.xlsx]GWPdyn_RIL - Fig.4(j)'!L</v>
      </c>
      <c r="AG353">
        <v>-369.9239668180054</v>
      </c>
      <c r="AH353">
        <v>-192.24097622198209</v>
      </c>
      <c r="AI353">
        <f t="shared" si="73"/>
        <v>369.9239668180054</v>
      </c>
      <c r="AJ353">
        <f t="shared" si="73"/>
        <v>192.24097622198209</v>
      </c>
    </row>
    <row r="354" spans="1:36">
      <c r="I354">
        <v>200</v>
      </c>
      <c r="J354" t="s">
        <v>283</v>
      </c>
      <c r="K354" s="2" t="s">
        <v>284</v>
      </c>
      <c r="M354">
        <v>57.822679742396488</v>
      </c>
      <c r="N354">
        <v>57.822679742396488</v>
      </c>
      <c r="O354">
        <v>34.69360784543791</v>
      </c>
      <c r="P354">
        <v>34.69360784543791</v>
      </c>
      <c r="Q354">
        <v>739.24076084648095</v>
      </c>
      <c r="R354">
        <v>377.50107760210591</v>
      </c>
      <c r="S354">
        <v>5</v>
      </c>
      <c r="T354">
        <v>1</v>
      </c>
      <c r="U354" t="s">
        <v>2851</v>
      </c>
      <c r="W354" t="e">
        <f t="shared" ca="1" si="59"/>
        <v>#REF!</v>
      </c>
      <c r="X354" t="e">
        <f t="shared" ca="1" si="71"/>
        <v>#REF!</v>
      </c>
      <c r="Y354" t="e">
        <f t="shared" ca="1" si="60"/>
        <v>#REF!</v>
      </c>
      <c r="Z354" t="e">
        <f t="shared" ca="1" si="72"/>
        <v>#REF!</v>
      </c>
      <c r="AA354" s="152" t="e">
        <f t="shared" ca="1" si="69"/>
        <v>#REF!</v>
      </c>
      <c r="AB354" s="152" t="e">
        <f t="shared" ca="1" si="66"/>
        <v>#REF!</v>
      </c>
      <c r="AC354">
        <v>5</v>
      </c>
      <c r="AD354">
        <v>1</v>
      </c>
      <c r="AE354" t="str">
        <f t="shared" si="70"/>
        <v>'[2022 - Aryapratama &amp; Pauliuk - STE - AppF.xlsx]GWPdyn_RIL - Fig.4(j)'!L</v>
      </c>
      <c r="AG354">
        <v>-739.24076084648095</v>
      </c>
      <c r="AH354">
        <v>-377.50107760210591</v>
      </c>
      <c r="AI354">
        <f t="shared" si="73"/>
        <v>739.24076084648095</v>
      </c>
      <c r="AJ354">
        <f t="shared" si="73"/>
        <v>377.50107760210591</v>
      </c>
    </row>
    <row r="355" spans="1:36">
      <c r="I355">
        <v>50</v>
      </c>
      <c r="J355" t="s">
        <v>312</v>
      </c>
      <c r="K355" s="2" t="s">
        <v>303</v>
      </c>
      <c r="M355">
        <v>19.274226580798839</v>
      </c>
      <c r="N355">
        <v>19.274226580798839</v>
      </c>
      <c r="O355">
        <v>15.419381264639073</v>
      </c>
      <c r="P355">
        <v>15.419381264639073</v>
      </c>
      <c r="Q355">
        <v>167.28412809039341</v>
      </c>
      <c r="R355">
        <v>82.450615050179124</v>
      </c>
      <c r="S355">
        <v>5</v>
      </c>
      <c r="T355">
        <v>1</v>
      </c>
      <c r="U355" t="s">
        <v>2851</v>
      </c>
      <c r="W355" t="e">
        <f t="shared" ca="1" si="59"/>
        <v>#REF!</v>
      </c>
      <c r="X355" t="e">
        <f t="shared" ca="1" si="71"/>
        <v>#REF!</v>
      </c>
      <c r="Y355" t="e">
        <f t="shared" ca="1" si="60"/>
        <v>#REF!</v>
      </c>
      <c r="Z355" t="e">
        <f t="shared" ca="1" si="72"/>
        <v>#REF!</v>
      </c>
      <c r="AA355" s="152" t="e">
        <f t="shared" ca="1" si="69"/>
        <v>#REF!</v>
      </c>
      <c r="AB355" s="152" t="e">
        <f t="shared" ca="1" si="66"/>
        <v>#REF!</v>
      </c>
      <c r="AC355">
        <v>5</v>
      </c>
      <c r="AD355">
        <v>1</v>
      </c>
      <c r="AE355" t="str">
        <f t="shared" si="70"/>
        <v>'[2022 - Aryapratama &amp; Pauliuk - STE - AppF.xlsx]GWPdyn_RIL - Fig.4(j)'!L</v>
      </c>
      <c r="AG355">
        <v>-167.28412809039341</v>
      </c>
      <c r="AH355">
        <v>-82.450615050179124</v>
      </c>
      <c r="AI355">
        <f t="shared" si="73"/>
        <v>167.28412809039341</v>
      </c>
      <c r="AJ355">
        <f t="shared" si="73"/>
        <v>82.450615050179124</v>
      </c>
    </row>
    <row r="356" spans="1:36">
      <c r="I356">
        <v>100</v>
      </c>
      <c r="J356" t="s">
        <v>312</v>
      </c>
      <c r="K356" s="2" t="s">
        <v>303</v>
      </c>
      <c r="M356">
        <v>28.911339871198258</v>
      </c>
      <c r="N356">
        <v>28.911339871198258</v>
      </c>
      <c r="O356">
        <v>23.12907189695861</v>
      </c>
      <c r="P356">
        <v>23.12907189695861</v>
      </c>
      <c r="Q356">
        <v>354.30409954781243</v>
      </c>
      <c r="R356">
        <v>176.62110895178901</v>
      </c>
      <c r="S356">
        <v>5</v>
      </c>
      <c r="T356">
        <v>1</v>
      </c>
      <c r="U356" t="s">
        <v>2851</v>
      </c>
      <c r="W356" t="e">
        <f t="shared" ca="1" si="59"/>
        <v>#REF!</v>
      </c>
      <c r="X356" t="e">
        <f t="shared" ca="1" si="71"/>
        <v>#REF!</v>
      </c>
      <c r="Y356" t="e">
        <f t="shared" ca="1" si="60"/>
        <v>#REF!</v>
      </c>
      <c r="Z356" t="e">
        <f t="shared" ca="1" si="72"/>
        <v>#REF!</v>
      </c>
      <c r="AA356" s="152" t="e">
        <f t="shared" ca="1" si="69"/>
        <v>#REF!</v>
      </c>
      <c r="AB356" s="152" t="e">
        <f t="shared" ca="1" si="66"/>
        <v>#REF!</v>
      </c>
      <c r="AC356">
        <v>5</v>
      </c>
      <c r="AD356">
        <v>1</v>
      </c>
      <c r="AE356" t="str">
        <f t="shared" si="70"/>
        <v>'[2022 - Aryapratama &amp; Pauliuk - STE - AppF.xlsx]GWPdyn_RIL - Fig.4(j)'!L</v>
      </c>
      <c r="AG356">
        <v>-354.30409954781243</v>
      </c>
      <c r="AH356">
        <v>-176.62110895178901</v>
      </c>
      <c r="AI356">
        <f t="shared" si="73"/>
        <v>354.30409954781243</v>
      </c>
      <c r="AJ356">
        <f t="shared" si="73"/>
        <v>176.62110895178901</v>
      </c>
    </row>
    <row r="357" spans="1:36">
      <c r="I357">
        <v>200</v>
      </c>
      <c r="J357" t="s">
        <v>312</v>
      </c>
      <c r="K357" s="2" t="s">
        <v>303</v>
      </c>
      <c r="M357">
        <v>57.822679742396517</v>
      </c>
      <c r="N357">
        <v>57.822679742396517</v>
      </c>
      <c r="O357">
        <v>46.25814379391722</v>
      </c>
      <c r="P357">
        <v>46.25814379391722</v>
      </c>
      <c r="Q357">
        <v>726.845318289901</v>
      </c>
      <c r="R357">
        <v>365.10563504552567</v>
      </c>
      <c r="S357">
        <v>5</v>
      </c>
      <c r="T357">
        <v>1</v>
      </c>
      <c r="U357" t="s">
        <v>2851</v>
      </c>
      <c r="W357" t="e">
        <f t="shared" ca="1" si="59"/>
        <v>#REF!</v>
      </c>
      <c r="X357" t="e">
        <f t="shared" ca="1" si="71"/>
        <v>#REF!</v>
      </c>
      <c r="Y357" t="e">
        <f t="shared" ca="1" si="60"/>
        <v>#REF!</v>
      </c>
      <c r="Z357" t="e">
        <f t="shared" ca="1" si="72"/>
        <v>#REF!</v>
      </c>
      <c r="AA357" s="152" t="e">
        <f t="shared" ca="1" si="69"/>
        <v>#REF!</v>
      </c>
      <c r="AB357" s="152" t="e">
        <f t="shared" ca="1" si="66"/>
        <v>#REF!</v>
      </c>
      <c r="AC357">
        <v>5</v>
      </c>
      <c r="AD357">
        <v>1</v>
      </c>
      <c r="AE357" t="str">
        <f t="shared" si="70"/>
        <v>'[2022 - Aryapratama &amp; Pauliuk - STE - AppF.xlsx]GWPdyn_RIL - Fig.4(j)'!L</v>
      </c>
      <c r="AG357">
        <v>-726.845318289901</v>
      </c>
      <c r="AH357">
        <v>-365.10563504552567</v>
      </c>
      <c r="AI357">
        <f t="shared" si="73"/>
        <v>726.845318289901</v>
      </c>
      <c r="AJ357">
        <f t="shared" si="73"/>
        <v>365.10563504552567</v>
      </c>
    </row>
    <row r="359" spans="1:36">
      <c r="A359" t="s">
        <v>2854</v>
      </c>
      <c r="R359" t="s">
        <v>2855</v>
      </c>
      <c r="U359" t="s">
        <v>2856</v>
      </c>
      <c r="X359" t="s">
        <v>2857</v>
      </c>
      <c r="AA359" t="s">
        <v>1279</v>
      </c>
    </row>
    <row r="360" spans="1:36">
      <c r="N360" t="s">
        <v>2817</v>
      </c>
      <c r="O360" t="s">
        <v>2818</v>
      </c>
      <c r="R360" t="s">
        <v>1110</v>
      </c>
      <c r="S360" t="s">
        <v>1278</v>
      </c>
      <c r="T360" t="s">
        <v>1284</v>
      </c>
      <c r="U360" t="s">
        <v>1110</v>
      </c>
      <c r="V360" t="s">
        <v>1278</v>
      </c>
      <c r="W360" t="s">
        <v>1284</v>
      </c>
      <c r="X360" t="s">
        <v>1110</v>
      </c>
      <c r="Y360" t="s">
        <v>1278</v>
      </c>
      <c r="Z360" t="s">
        <v>1284</v>
      </c>
      <c r="AA360" t="s">
        <v>1110</v>
      </c>
      <c r="AB360" t="s">
        <v>1278</v>
      </c>
      <c r="AC360" t="s">
        <v>1284</v>
      </c>
    </row>
    <row r="361" spans="1:36">
      <c r="K361" t="s">
        <v>1278</v>
      </c>
      <c r="L361">
        <v>50</v>
      </c>
      <c r="M361" t="s">
        <v>2858</v>
      </c>
      <c r="N361">
        <f>R$366</f>
        <v>30.8433734939759</v>
      </c>
      <c r="O361">
        <f>S$366</f>
        <v>30.8433734939759</v>
      </c>
      <c r="Q361">
        <v>2009.6774193548299</v>
      </c>
      <c r="R361">
        <v>17.951807228915602</v>
      </c>
      <c r="S361">
        <v>16.867469879518001</v>
      </c>
      <c r="T361">
        <v>15.1857198378768</v>
      </c>
      <c r="U361">
        <v>9.3160377358490507</v>
      </c>
      <c r="V361">
        <v>9.3160377358490507</v>
      </c>
      <c r="W361">
        <v>9.3160377358490507</v>
      </c>
      <c r="X361">
        <v>0</v>
      </c>
      <c r="Y361">
        <v>0</v>
      </c>
      <c r="Z361">
        <v>0</v>
      </c>
      <c r="AA361">
        <v>0</v>
      </c>
      <c r="AB361">
        <v>0</v>
      </c>
      <c r="AC361">
        <v>0</v>
      </c>
    </row>
    <row r="362" spans="1:36">
      <c r="K362" t="s">
        <v>1278</v>
      </c>
      <c r="L362">
        <v>50</v>
      </c>
      <c r="M362" t="s">
        <v>2710</v>
      </c>
      <c r="N362">
        <f>R$365+U$365</f>
        <v>33.994657876790122</v>
      </c>
      <c r="O362">
        <f>S$365+V$365</f>
        <v>34.185894521482062</v>
      </c>
      <c r="Q362">
        <v>2020</v>
      </c>
      <c r="R362">
        <v>21.445783132530099</v>
      </c>
      <c r="S362">
        <v>20.361445783132499</v>
      </c>
      <c r="T362">
        <v>19.1771695075231</v>
      </c>
      <c r="U362">
        <v>7.9481132075471601</v>
      </c>
      <c r="V362">
        <v>7.9009433962264097</v>
      </c>
      <c r="W362">
        <v>7.8066037735849001</v>
      </c>
      <c r="X362">
        <v>0.49740932642487001</v>
      </c>
      <c r="Y362">
        <v>0.51813471502590502</v>
      </c>
      <c r="Z362">
        <v>0.51813471502590502</v>
      </c>
      <c r="AA362">
        <f t="shared" ref="AA362:AA370" si="74">(SUM(M$402:M402)*5)</f>
        <v>1.6995073891625601</v>
      </c>
      <c r="AB362">
        <f t="shared" ref="AB362:AB370" si="75">(SUM(N$402:N402)*5)</f>
        <v>1.5763546798029551</v>
      </c>
      <c r="AC362">
        <f t="shared" ref="AC362:AC370" si="76">(SUM(O$402:O402)*5)</f>
        <v>1.600985221674875</v>
      </c>
    </row>
    <row r="363" spans="1:36">
      <c r="K363" t="s">
        <v>1278</v>
      </c>
      <c r="L363">
        <v>50</v>
      </c>
      <c r="M363" t="s">
        <v>2859</v>
      </c>
      <c r="N363">
        <f>+R$366+U$366+X$366</f>
        <v>38.33684792940457</v>
      </c>
      <c r="O363">
        <f>+S$366+V$366+Y$366</f>
        <v>39.060818992069535</v>
      </c>
      <c r="Q363">
        <v>2029.9539170506901</v>
      </c>
      <c r="R363">
        <v>20.722891566265002</v>
      </c>
      <c r="S363">
        <v>20.120481927710799</v>
      </c>
      <c r="T363">
        <v>20.034978624174101</v>
      </c>
      <c r="U363">
        <v>6.9575471698113196</v>
      </c>
      <c r="V363">
        <v>6.8867924528301803</v>
      </c>
      <c r="W363">
        <v>6.8396226415094299</v>
      </c>
      <c r="X363">
        <v>1.0777202072538801</v>
      </c>
      <c r="Y363">
        <v>1.1191709844559501</v>
      </c>
      <c r="Z363">
        <v>1.09844559585492</v>
      </c>
      <c r="AA363">
        <f t="shared" si="74"/>
        <v>3.6206896551724101</v>
      </c>
      <c r="AB363">
        <f t="shared" si="75"/>
        <v>3.3374384236453203</v>
      </c>
      <c r="AC363">
        <f t="shared" si="76"/>
        <v>3.2142857142857095</v>
      </c>
    </row>
    <row r="364" spans="1:36">
      <c r="K364" t="s">
        <v>1278</v>
      </c>
      <c r="L364">
        <v>90</v>
      </c>
      <c r="M364" t="s">
        <v>2858</v>
      </c>
      <c r="N364">
        <f>R$370</f>
        <v>32.530120481927703</v>
      </c>
      <c r="O364">
        <f>S$370</f>
        <v>35.060240963855399</v>
      </c>
      <c r="Q364">
        <v>2039.17050691244</v>
      </c>
      <c r="R364">
        <v>23.855421686746901</v>
      </c>
      <c r="S364">
        <v>24.216867469879499</v>
      </c>
      <c r="T364">
        <v>24.508356004663799</v>
      </c>
      <c r="U364">
        <v>5.9198113207547101</v>
      </c>
      <c r="V364">
        <v>6.0141509433962197</v>
      </c>
      <c r="W364">
        <v>6.2264150943396199</v>
      </c>
      <c r="X364">
        <v>1.36787564766839</v>
      </c>
      <c r="Y364">
        <v>1.5129533678756399</v>
      </c>
      <c r="Z364">
        <v>1.6580310880828999</v>
      </c>
      <c r="AA364">
        <f t="shared" si="74"/>
        <v>5.2216748768472847</v>
      </c>
      <c r="AB364">
        <f t="shared" si="75"/>
        <v>5.0985221674876851</v>
      </c>
      <c r="AC364">
        <f t="shared" si="76"/>
        <v>5.1600985221674804</v>
      </c>
    </row>
    <row r="365" spans="1:36">
      <c r="K365" t="s">
        <v>1278</v>
      </c>
      <c r="L365">
        <v>90</v>
      </c>
      <c r="M365" t="s">
        <v>2710</v>
      </c>
      <c r="N365">
        <f>R$365+U$365</f>
        <v>33.994657876790122</v>
      </c>
      <c r="O365">
        <f>S$365+V$365</f>
        <v>34.185894521482062</v>
      </c>
      <c r="Q365">
        <v>2049.4930875576001</v>
      </c>
      <c r="R365">
        <v>28.192771084337299</v>
      </c>
      <c r="S365">
        <v>28.313253012048101</v>
      </c>
      <c r="T365">
        <v>28.619177169507498</v>
      </c>
      <c r="U365">
        <v>5.8018867924528204</v>
      </c>
      <c r="V365">
        <v>5.8726415094339597</v>
      </c>
      <c r="W365">
        <v>6.2028301886792399</v>
      </c>
      <c r="X365">
        <v>2.1554404145077699</v>
      </c>
      <c r="Y365">
        <v>2.4870466321243501</v>
      </c>
      <c r="Z365">
        <v>2.7150259067357401</v>
      </c>
      <c r="AA365">
        <f t="shared" si="74"/>
        <v>8.1403940886699448</v>
      </c>
      <c r="AB365">
        <f t="shared" si="75"/>
        <v>8.091133004926105</v>
      </c>
      <c r="AC365">
        <f t="shared" si="76"/>
        <v>8.3990147783251157</v>
      </c>
    </row>
    <row r="366" spans="1:36">
      <c r="K366" t="s">
        <v>1278</v>
      </c>
      <c r="L366">
        <v>90</v>
      </c>
      <c r="M366" t="s">
        <v>2859</v>
      </c>
      <c r="N366">
        <f>+R$370+U$370+X$370</f>
        <v>42.123971298234274</v>
      </c>
      <c r="O366">
        <f>+S$370+V$370+Y$370</f>
        <v>45.12148839762213</v>
      </c>
      <c r="Q366">
        <v>2059.8156682027602</v>
      </c>
      <c r="R366">
        <v>30.8433734939759</v>
      </c>
      <c r="S366">
        <v>30.8433734939759</v>
      </c>
      <c r="T366">
        <v>31.526844706012898</v>
      </c>
      <c r="U366">
        <v>4.8820754716981103</v>
      </c>
      <c r="V366">
        <v>5.2122641509433896</v>
      </c>
      <c r="W366">
        <v>5.75471698113207</v>
      </c>
      <c r="X366">
        <v>2.6113989637305601</v>
      </c>
      <c r="Y366">
        <v>3.0051813471502502</v>
      </c>
      <c r="Z366">
        <v>3.3989637305699398</v>
      </c>
      <c r="AA366">
        <f t="shared" si="74"/>
        <v>10.270935960591125</v>
      </c>
      <c r="AB366">
        <f t="shared" si="75"/>
        <v>10.566502463054182</v>
      </c>
      <c r="AC366">
        <f t="shared" si="76"/>
        <v>11.20689655172413</v>
      </c>
    </row>
    <row r="367" spans="1:36">
      <c r="K367" t="s">
        <v>1284</v>
      </c>
      <c r="L367">
        <v>50</v>
      </c>
      <c r="M367" t="s">
        <v>2858</v>
      </c>
      <c r="N367">
        <f>R$366</f>
        <v>30.8433734939759</v>
      </c>
      <c r="O367">
        <f>T$366</f>
        <v>31.526844706012898</v>
      </c>
      <c r="Q367">
        <v>2070.1382488479198</v>
      </c>
      <c r="R367">
        <v>32.048192771084302</v>
      </c>
      <c r="S367">
        <v>31.927710843373401</v>
      </c>
      <c r="T367">
        <v>33.347954028093902</v>
      </c>
      <c r="U367">
        <v>5.3537735849056496</v>
      </c>
      <c r="V367">
        <v>5.2594339622641497</v>
      </c>
      <c r="W367">
        <v>5.5660377358490498</v>
      </c>
      <c r="X367">
        <v>3.8134715025906698</v>
      </c>
      <c r="Y367">
        <v>4.1243523316062101</v>
      </c>
      <c r="Z367">
        <v>4.4145077720207198</v>
      </c>
      <c r="AA367">
        <f t="shared" si="74"/>
        <v>14.347290640394078</v>
      </c>
      <c r="AB367">
        <f t="shared" si="75"/>
        <v>14.039408866995068</v>
      </c>
      <c r="AC367">
        <f t="shared" si="76"/>
        <v>14.310344827586196</v>
      </c>
    </row>
    <row r="368" spans="1:36">
      <c r="K368" t="s">
        <v>1284</v>
      </c>
      <c r="L368">
        <v>50</v>
      </c>
      <c r="M368" t="s">
        <v>2710</v>
      </c>
      <c r="N368">
        <f>R$365+U$365</f>
        <v>33.994657876790122</v>
      </c>
      <c r="O368">
        <f>T$365+W$365</f>
        <v>34.822007358186738</v>
      </c>
      <c r="Q368">
        <v>2080.82949308755</v>
      </c>
      <c r="R368">
        <v>31.6867469879518</v>
      </c>
      <c r="S368">
        <v>32.289156626505999</v>
      </c>
      <c r="T368">
        <v>36.3761034923102</v>
      </c>
      <c r="U368">
        <v>4.8820754716981103</v>
      </c>
      <c r="V368">
        <v>4.9056603773584797</v>
      </c>
      <c r="W368">
        <v>5.2122641509433896</v>
      </c>
      <c r="X368">
        <v>4.6217616580310796</v>
      </c>
      <c r="Y368">
        <v>4.9326424870466301</v>
      </c>
      <c r="Z368">
        <v>5.2642487046632098</v>
      </c>
      <c r="AA368">
        <f t="shared" si="74"/>
        <v>17.573891625615751</v>
      </c>
      <c r="AB368">
        <f t="shared" si="75"/>
        <v>16.871921182266</v>
      </c>
      <c r="AC368">
        <f t="shared" si="76"/>
        <v>17.068965517241367</v>
      </c>
    </row>
    <row r="369" spans="11:29">
      <c r="K369" t="s">
        <v>1284</v>
      </c>
      <c r="L369">
        <v>50</v>
      </c>
      <c r="M369" t="s">
        <v>2859</v>
      </c>
      <c r="N369">
        <f>+R$366+U$366+X$366</f>
        <v>38.33684792940457</v>
      </c>
      <c r="O369">
        <f>+T$366+W$366+Z$366</f>
        <v>40.680525417714911</v>
      </c>
      <c r="Q369">
        <v>2091.8894009216501</v>
      </c>
      <c r="R369">
        <v>32.289156626505999</v>
      </c>
      <c r="S369">
        <v>33.734939759036102</v>
      </c>
      <c r="T369">
        <v>39.642995946921303</v>
      </c>
      <c r="U369">
        <v>4.2924528301886697</v>
      </c>
      <c r="V369">
        <v>4.3396226415094299</v>
      </c>
      <c r="W369">
        <v>4.8584905660377302</v>
      </c>
      <c r="X369">
        <v>5.1606217616580201</v>
      </c>
      <c r="Y369">
        <v>5.5129533678756397</v>
      </c>
      <c r="Z369">
        <v>5.9689119170984402</v>
      </c>
      <c r="AA369">
        <f t="shared" si="74"/>
        <v>19.950738916256142</v>
      </c>
      <c r="AB369">
        <f t="shared" si="75"/>
        <v>19.088669950738904</v>
      </c>
      <c r="AC369">
        <f t="shared" si="76"/>
        <v>19.51970443349752</v>
      </c>
    </row>
    <row r="370" spans="11:29">
      <c r="K370" t="s">
        <v>1284</v>
      </c>
      <c r="L370">
        <v>90</v>
      </c>
      <c r="M370" t="s">
        <v>2858</v>
      </c>
      <c r="N370">
        <f>R$370</f>
        <v>32.530120481927703</v>
      </c>
      <c r="O370">
        <f>T$370</f>
        <v>42.671145411137601</v>
      </c>
      <c r="Q370">
        <v>2100</v>
      </c>
      <c r="R370">
        <v>32.530120481927703</v>
      </c>
      <c r="S370">
        <v>35.060240963855399</v>
      </c>
      <c r="T370">
        <v>42.671145411137601</v>
      </c>
      <c r="U370">
        <v>3.9150943396226401</v>
      </c>
      <c r="V370">
        <v>4.0094339622641497</v>
      </c>
      <c r="W370">
        <v>4.7877358490565998</v>
      </c>
      <c r="X370">
        <v>5.6787564766839296</v>
      </c>
      <c r="Y370">
        <v>6.0518134715025802</v>
      </c>
      <c r="Z370">
        <v>6.7564766839378203</v>
      </c>
      <c r="AA370">
        <f t="shared" si="74"/>
        <v>22.204433497536925</v>
      </c>
      <c r="AB370">
        <f t="shared" si="75"/>
        <v>21.305418719211811</v>
      </c>
      <c r="AC370">
        <f t="shared" si="76"/>
        <v>22.426108374384221</v>
      </c>
    </row>
    <row r="371" spans="11:29">
      <c r="K371" t="s">
        <v>1284</v>
      </c>
      <c r="L371">
        <v>90</v>
      </c>
      <c r="M371" t="s">
        <v>2710</v>
      </c>
      <c r="N371">
        <f>R$365+U$365</f>
        <v>33.994657876790122</v>
      </c>
      <c r="O371">
        <f>T$365+W$365</f>
        <v>34.822007358186738</v>
      </c>
    </row>
    <row r="372" spans="11:29">
      <c r="K372" t="s">
        <v>1284</v>
      </c>
      <c r="L372">
        <v>90</v>
      </c>
      <c r="M372" t="s">
        <v>2859</v>
      </c>
      <c r="N372">
        <f>+R$370+U$370+X$370</f>
        <v>42.123971298234274</v>
      </c>
      <c r="O372">
        <f>+T$370+W$370+Z$370</f>
        <v>54.215357944132023</v>
      </c>
      <c r="V372" t="s">
        <v>2782</v>
      </c>
    </row>
    <row r="373" spans="11:29">
      <c r="L373" t="s">
        <v>2860</v>
      </c>
      <c r="N373" t="s">
        <v>229</v>
      </c>
      <c r="O373" t="s">
        <v>180</v>
      </c>
      <c r="P373" t="s">
        <v>2861</v>
      </c>
      <c r="Q373" t="s">
        <v>2862</v>
      </c>
      <c r="R373" t="s">
        <v>2863</v>
      </c>
      <c r="U373">
        <v>2020</v>
      </c>
      <c r="V373">
        <v>0.135593220338982</v>
      </c>
    </row>
    <row r="374" spans="11:29">
      <c r="L374">
        <v>2024.4169524193701</v>
      </c>
      <c r="M374">
        <v>2.9256594724220601E-2</v>
      </c>
      <c r="N374">
        <f>M375*5</f>
        <v>0.16546762589928049</v>
      </c>
      <c r="O374">
        <f>(M376-M375)*5</f>
        <v>2.39808153477215E-2</v>
      </c>
      <c r="P374">
        <f>V374-V373</f>
        <v>0.250325945241201</v>
      </c>
      <c r="Q374">
        <f>X363-X362-P374</f>
        <v>0.32998493558780906</v>
      </c>
      <c r="R374">
        <f>P374/N374</f>
        <v>1.5128394081968242</v>
      </c>
      <c r="S374">
        <f>Q374/O374</f>
        <v>13.760371814011823</v>
      </c>
      <c r="U374">
        <v>2030.6403940886601</v>
      </c>
      <c r="V374">
        <v>0.38591916558018302</v>
      </c>
    </row>
    <row r="375" spans="11:29">
      <c r="L375">
        <v>2024.78361236244</v>
      </c>
      <c r="M375">
        <v>3.3093525179856101E-2</v>
      </c>
      <c r="U375">
        <v>2039.7044334975301</v>
      </c>
      <c r="V375">
        <v>0.44850065189048199</v>
      </c>
    </row>
    <row r="376" spans="11:29">
      <c r="L376">
        <v>2024.7746475716599</v>
      </c>
      <c r="M376">
        <v>3.7889688249400401E-2</v>
      </c>
      <c r="U376">
        <v>2049.95073891625</v>
      </c>
      <c r="V376">
        <v>0.677966101694915</v>
      </c>
    </row>
    <row r="377" spans="11:29">
      <c r="L377">
        <v>2044.97501064568</v>
      </c>
      <c r="M377">
        <v>3.0695443645083899E-2</v>
      </c>
      <c r="N377">
        <f>M378*5</f>
        <v>0.17026378896882449</v>
      </c>
      <c r="O377">
        <f>(M379-M378)*5</f>
        <v>2.6378896882494514E-2</v>
      </c>
      <c r="P377">
        <f>V376-V375</f>
        <v>0.22946544980443301</v>
      </c>
      <c r="Q377">
        <f>X365-X364-P377</f>
        <v>0.55809931703494686</v>
      </c>
      <c r="R377">
        <f>P377/N377</f>
        <v>1.3477055291330819</v>
      </c>
      <c r="S377">
        <f>Q377/O377</f>
        <v>21.15703774577894</v>
      </c>
      <c r="U377">
        <v>2059.8029556650199</v>
      </c>
      <c r="V377">
        <v>0.74054758800521503</v>
      </c>
    </row>
    <row r="378" spans="11:29">
      <c r="L378">
        <v>2044.5949035164299</v>
      </c>
      <c r="M378">
        <v>3.4052757793764897E-2</v>
      </c>
      <c r="U378">
        <v>2070.04926108374</v>
      </c>
      <c r="V378">
        <v>1.22033898305084</v>
      </c>
    </row>
    <row r="379" spans="11:29">
      <c r="L379">
        <v>2044.95887402227</v>
      </c>
      <c r="M379">
        <v>3.93285371702638E-2</v>
      </c>
      <c r="U379">
        <v>2080.2955665024601</v>
      </c>
      <c r="V379">
        <v>1.4498044328552799</v>
      </c>
    </row>
    <row r="380" spans="11:29">
      <c r="L380">
        <v>2064.7378919294401</v>
      </c>
      <c r="M380">
        <v>5.7553956834532301E-2</v>
      </c>
      <c r="N380">
        <f>M381*5</f>
        <v>0.32853717026378898</v>
      </c>
      <c r="O380">
        <f>(M382-M381)*5</f>
        <v>4.0767386091127011E-2</v>
      </c>
      <c r="P380">
        <f>V378-V377</f>
        <v>0.47979139504562496</v>
      </c>
      <c r="Q380">
        <f>X367-X366-P380</f>
        <v>0.72228114381448472</v>
      </c>
      <c r="R380">
        <f>P380/N380</f>
        <v>1.4603869469636905</v>
      </c>
      <c r="S380">
        <f>Q380/O380</f>
        <v>17.71713158650828</v>
      </c>
      <c r="U380">
        <v>2090.1477832512301</v>
      </c>
      <c r="V380">
        <v>1.63754889178618</v>
      </c>
    </row>
    <row r="381" spans="11:29">
      <c r="L381">
        <v>2065.0964835608102</v>
      </c>
      <c r="M381">
        <v>6.5707434052757793E-2</v>
      </c>
      <c r="U381">
        <v>2100</v>
      </c>
      <c r="V381">
        <v>1.8044328552803099</v>
      </c>
    </row>
    <row r="382" spans="11:29">
      <c r="L382">
        <v>2064.7074116407798</v>
      </c>
      <c r="M382">
        <v>7.3860911270983196E-2</v>
      </c>
    </row>
    <row r="384" spans="11:29">
      <c r="L384" t="s">
        <v>2864</v>
      </c>
      <c r="N384" t="s">
        <v>2865</v>
      </c>
      <c r="O384" t="s">
        <v>2761</v>
      </c>
      <c r="P384" t="s">
        <v>2788</v>
      </c>
      <c r="Q384" t="s">
        <v>2866</v>
      </c>
      <c r="R384" t="s">
        <v>180</v>
      </c>
      <c r="S384" t="s">
        <v>2861</v>
      </c>
      <c r="T384" t="s">
        <v>2862</v>
      </c>
      <c r="U384" t="s">
        <v>2863</v>
      </c>
    </row>
    <row r="385" spans="12:22">
      <c r="L385">
        <v>2024.4859813084099</v>
      </c>
      <c r="M385">
        <v>7.3891625615763498E-2</v>
      </c>
      <c r="N385">
        <f>M385</f>
        <v>7.3891625615763498E-2</v>
      </c>
      <c r="O385">
        <f>M386-M385</f>
        <v>0.1305418719211815</v>
      </c>
      <c r="P385">
        <f>M389-M386</f>
        <v>0.17980295566502497</v>
      </c>
      <c r="Q385">
        <f>0.1*SUM(N385:O385)*5</f>
        <v>0.1022167487684725</v>
      </c>
      <c r="R385">
        <f>5*(0.1*SUM(N385:O385)+0.2*P385)</f>
        <v>0.2820197044334975</v>
      </c>
      <c r="S385">
        <v>0.250325945241201</v>
      </c>
      <c r="T385">
        <v>0.32998493558780906</v>
      </c>
      <c r="U385">
        <f>S385/Q385</f>
        <v>2.4489718980223616</v>
      </c>
      <c r="V385">
        <f>T385/R385</f>
        <v>1.1700775881978209</v>
      </c>
    </row>
    <row r="386" spans="12:22">
      <c r="L386">
        <v>2023.738317757</v>
      </c>
      <c r="M386">
        <v>0.20443349753694501</v>
      </c>
    </row>
    <row r="387" spans="12:22">
      <c r="L387">
        <v>2024.4859813084099</v>
      </c>
      <c r="M387">
        <v>0.32512315270935899</v>
      </c>
    </row>
    <row r="388" spans="12:22">
      <c r="L388">
        <v>2024.4859813084099</v>
      </c>
      <c r="M388">
        <v>0.35467980295566498</v>
      </c>
    </row>
    <row r="389" spans="12:22">
      <c r="L389">
        <v>2024.8598130841101</v>
      </c>
      <c r="M389">
        <v>0.38423645320196997</v>
      </c>
    </row>
    <row r="390" spans="12:22">
      <c r="L390">
        <v>2044.67289719626</v>
      </c>
      <c r="M390">
        <v>7.6354679802955697E-2</v>
      </c>
      <c r="N390">
        <f>M390</f>
        <v>7.6354679802955697E-2</v>
      </c>
      <c r="O390">
        <f>M391-M390</f>
        <v>0.22906403940886633</v>
      </c>
      <c r="P390">
        <f>M394-M391</f>
        <v>0.27832512315271002</v>
      </c>
      <c r="Q390">
        <f>0.1*SUM(N390:O390)*5</f>
        <v>0.152709359605911</v>
      </c>
      <c r="R390">
        <f>5*(0.1*SUM(N390:O390)+0.2*P390)</f>
        <v>0.43103448275862105</v>
      </c>
      <c r="S390">
        <v>0.22946544980443301</v>
      </c>
      <c r="T390">
        <v>0.55809931703494686</v>
      </c>
      <c r="U390">
        <f>S390/Q390</f>
        <v>1.5026285906548387</v>
      </c>
      <c r="V390">
        <f>T390/R390</f>
        <v>1.2947904155210757</v>
      </c>
    </row>
    <row r="391" spans="12:22">
      <c r="L391">
        <v>2045.04672897196</v>
      </c>
      <c r="M391">
        <v>0.30541871921182201</v>
      </c>
    </row>
    <row r="392" spans="12:22">
      <c r="L392">
        <v>2045.04672897196</v>
      </c>
      <c r="M392">
        <v>0.49014778325123098</v>
      </c>
    </row>
    <row r="393" spans="12:22">
      <c r="L393">
        <v>2045.04672897196</v>
      </c>
      <c r="M393">
        <v>0.53694581280788101</v>
      </c>
    </row>
    <row r="394" spans="12:22">
      <c r="L394">
        <v>2044.67289719626</v>
      </c>
      <c r="M394">
        <v>0.58374384236453203</v>
      </c>
    </row>
    <row r="395" spans="12:22">
      <c r="L395">
        <v>2064.8598130841101</v>
      </c>
      <c r="M395">
        <v>0.14285714285714199</v>
      </c>
      <c r="N395">
        <f>M395</f>
        <v>0.14285714285714199</v>
      </c>
      <c r="O395">
        <f>M396-M395</f>
        <v>0.27586206896551801</v>
      </c>
      <c r="P395">
        <f>M399-M396</f>
        <v>0.39655172413793099</v>
      </c>
      <c r="Q395">
        <f>0.1*SUM(N395:O395)*5</f>
        <v>0.20935960591133004</v>
      </c>
      <c r="R395">
        <f>5*(0.1*SUM(N395:O395)+0.2*P395)</f>
        <v>0.60591133004926112</v>
      </c>
      <c r="S395">
        <v>0.47979139504562496</v>
      </c>
      <c r="T395">
        <v>0.72228114381448472</v>
      </c>
      <c r="U395">
        <f>S395/Q395</f>
        <v>2.2917094869238088</v>
      </c>
      <c r="V395">
        <f>T395/R395</f>
        <v>1.1920574975149625</v>
      </c>
    </row>
    <row r="396" spans="12:22">
      <c r="L396">
        <v>2064.4859813084099</v>
      </c>
      <c r="M396">
        <v>0.41871921182265998</v>
      </c>
    </row>
    <row r="397" spans="12:22">
      <c r="L397">
        <v>2064.4859813084099</v>
      </c>
      <c r="M397">
        <v>0.68965517241379304</v>
      </c>
    </row>
    <row r="398" spans="12:22">
      <c r="L398">
        <v>2064.8598130841101</v>
      </c>
      <c r="M398">
        <v>0.75123152709359597</v>
      </c>
    </row>
    <row r="399" spans="12:22">
      <c r="L399">
        <v>2064.8598130841101</v>
      </c>
      <c r="M399">
        <v>0.81527093596059097</v>
      </c>
    </row>
    <row r="401" spans="12:20">
      <c r="L401" t="s">
        <v>2867</v>
      </c>
      <c r="M401" t="s">
        <v>1110</v>
      </c>
      <c r="N401" t="s">
        <v>1278</v>
      </c>
      <c r="O401" t="s">
        <v>1284</v>
      </c>
      <c r="Q401" t="s">
        <v>2868</v>
      </c>
      <c r="R401" t="s">
        <v>1110</v>
      </c>
      <c r="S401" t="s">
        <v>1278</v>
      </c>
      <c r="T401" t="s">
        <v>1284</v>
      </c>
    </row>
    <row r="402" spans="12:20">
      <c r="L402">
        <v>2014.7663551401799</v>
      </c>
      <c r="M402">
        <v>0.33990147783251201</v>
      </c>
      <c r="N402">
        <v>0.31527093596059103</v>
      </c>
      <c r="O402">
        <v>0.32019704433497498</v>
      </c>
      <c r="R402">
        <f>0.2*$N$395+0.2*$O$395+0.2*$P$395/(SUM($N$395:$P$395))</f>
        <v>0.18102480913190361</v>
      </c>
      <c r="S402">
        <f>0.4*$N$395+0.45*$O$395+0.3*$P$395/(SUM($N$395:$P$395))</f>
        <v>0.32720223832839734</v>
      </c>
      <c r="T402">
        <f>0.6*$N$395+0.6*$O$395+0.4*$P$395/(SUM($N$395:$P$395))</f>
        <v>0.44579346062833919</v>
      </c>
    </row>
    <row r="403" spans="12:20">
      <c r="L403">
        <v>2024.4859813084099</v>
      </c>
      <c r="M403">
        <v>0.38423645320196997</v>
      </c>
      <c r="N403">
        <v>0.35221674876847298</v>
      </c>
      <c r="O403">
        <v>0.32266009852216698</v>
      </c>
    </row>
    <row r="404" spans="12:20">
      <c r="L404">
        <v>2034.5794392523301</v>
      </c>
      <c r="M404">
        <v>0.32019704433497498</v>
      </c>
      <c r="N404">
        <v>0.35221674876847298</v>
      </c>
      <c r="O404">
        <v>0.38916256157635398</v>
      </c>
    </row>
    <row r="405" spans="12:20">
      <c r="L405">
        <v>2044.67289719626</v>
      </c>
      <c r="M405">
        <v>0.58374384236453203</v>
      </c>
      <c r="N405">
        <v>0.59852216748768405</v>
      </c>
      <c r="O405">
        <v>0.64778325123152702</v>
      </c>
    </row>
    <row r="406" spans="12:20">
      <c r="L406">
        <v>2054.7663551401802</v>
      </c>
      <c r="M406">
        <v>0.42610837438423599</v>
      </c>
      <c r="N406">
        <v>0.49507389162561499</v>
      </c>
      <c r="O406">
        <v>0.56157635467980305</v>
      </c>
    </row>
    <row r="407" spans="12:20">
      <c r="L407">
        <v>2064.8598130841101</v>
      </c>
      <c r="M407">
        <v>0.81527093596059097</v>
      </c>
      <c r="N407">
        <v>0.69458128078817705</v>
      </c>
      <c r="O407">
        <v>0.62068965517241304</v>
      </c>
    </row>
    <row r="408" spans="12:20">
      <c r="M408">
        <f>AVERAGE(M407,M409)</f>
        <v>0.64532019704433452</v>
      </c>
      <c r="N408">
        <v>0.56650246305418706</v>
      </c>
      <c r="O408">
        <v>0.55172413793103403</v>
      </c>
    </row>
    <row r="409" spans="12:20">
      <c r="L409">
        <v>2085.04672897196</v>
      </c>
      <c r="M409">
        <v>0.47536945812807802</v>
      </c>
      <c r="N409">
        <v>0.44334975369458102</v>
      </c>
      <c r="O409">
        <v>0.49014778325123098</v>
      </c>
    </row>
    <row r="410" spans="12:20">
      <c r="L410">
        <v>2094.7663551401802</v>
      </c>
      <c r="M410">
        <v>0.45073891625615697</v>
      </c>
      <c r="N410">
        <v>0.44334975369458102</v>
      </c>
      <c r="O410">
        <v>0.58128078817733997</v>
      </c>
    </row>
    <row r="417" spans="1:39">
      <c r="A417" t="s">
        <v>2869</v>
      </c>
    </row>
    <row r="418" spans="1:39">
      <c r="Z418" s="244" t="s">
        <v>2818</v>
      </c>
      <c r="AA418" s="244"/>
      <c r="AB418" s="244" t="s">
        <v>2870</v>
      </c>
      <c r="AC418" s="244" t="s">
        <v>2871</v>
      </c>
      <c r="AD418" s="244" t="s">
        <v>2872</v>
      </c>
      <c r="AE418" s="244" t="s">
        <v>2873</v>
      </c>
      <c r="AF418" s="244" t="s">
        <v>2874</v>
      </c>
      <c r="AG418" s="244" t="s">
        <v>2875</v>
      </c>
      <c r="AH418" s="244"/>
      <c r="AI418" s="244"/>
      <c r="AJ418" s="244"/>
      <c r="AK418" s="244"/>
      <c r="AL418" s="244" t="s">
        <v>2876</v>
      </c>
      <c r="AM418" s="244" t="s">
        <v>2862</v>
      </c>
    </row>
    <row r="419" spans="1:39">
      <c r="J419" t="s">
        <v>2818</v>
      </c>
      <c r="K419" t="s">
        <v>2877</v>
      </c>
      <c r="L419" t="s">
        <v>2870</v>
      </c>
      <c r="M419" t="s">
        <v>2871</v>
      </c>
      <c r="N419" t="s">
        <v>2872</v>
      </c>
      <c r="O419" t="s">
        <v>2873</v>
      </c>
      <c r="P419" t="s">
        <v>2878</v>
      </c>
      <c r="R419" t="s">
        <v>2710</v>
      </c>
      <c r="Z419" s="244"/>
      <c r="AA419" s="244">
        <v>2010</v>
      </c>
      <c r="AB419" s="244">
        <v>2.49382716049382</v>
      </c>
      <c r="AC419" s="244">
        <v>0</v>
      </c>
      <c r="AD419" s="244">
        <f>AL419+AM419</f>
        <v>1.23458213256484E-2</v>
      </c>
      <c r="AE419" s="244"/>
      <c r="AF419" s="244">
        <f>AL419</f>
        <v>1.2507204610950999E-3</v>
      </c>
      <c r="AG419" s="244">
        <f>AM419</f>
        <v>1.1095100864553301E-2</v>
      </c>
      <c r="AH419" s="244"/>
      <c r="AI419" s="244"/>
      <c r="AJ419" s="244">
        <v>2</v>
      </c>
      <c r="AK419" s="244">
        <v>2010</v>
      </c>
      <c r="AL419" s="244">
        <v>1.2507204610950999E-3</v>
      </c>
      <c r="AM419" s="244">
        <v>1.1095100864553301E-2</v>
      </c>
    </row>
    <row r="420" spans="1:39">
      <c r="J420">
        <v>2</v>
      </c>
      <c r="K420">
        <f t="shared" ref="K420:K424" si="77">N420/P420</f>
        <v>1.1674521913429727</v>
      </c>
      <c r="L420">
        <v>1.0255972696245701</v>
      </c>
      <c r="M420">
        <v>0.17576791808873701</v>
      </c>
      <c r="N420">
        <v>0.73549488054607282</v>
      </c>
      <c r="O420">
        <v>1.93686006825938</v>
      </c>
      <c r="P420">
        <v>0.63</v>
      </c>
      <c r="R420">
        <f t="shared" ref="R420:R424" si="78">+L420+M420</f>
        <v>1.2013651877133071</v>
      </c>
      <c r="Z420" s="244">
        <v>2</v>
      </c>
      <c r="AA420" s="244">
        <v>2020</v>
      </c>
      <c r="AB420" s="244">
        <v>2.57226012562269</v>
      </c>
      <c r="AC420" s="244">
        <v>5.18399277869716E-2</v>
      </c>
      <c r="AD420" s="244">
        <f t="shared" ref="AD420:AD424" si="79">AD419+10*(AVERAGE($AF$419,AF420)+AVERAGE($AG$419,AG420))</f>
        <v>0.13015561959654165</v>
      </c>
      <c r="AE420" s="244"/>
      <c r="AF420" s="244">
        <f t="shared" ref="AF420:AF424" si="80">$AL$419+(VLOOKUP(Z420&amp;"_"&amp;2025,$AI$418:$AM$443,4,FALSE)-$AL$419)*10/15</f>
        <v>1.2776176753121933E-3</v>
      </c>
      <c r="AG420" s="244">
        <f t="shared" ref="AG420:AG424" si="81">+$AM$419+(VLOOKUP(Z420&amp;"_"&amp;2025,$AI$418:$AM$443,5,FALSE)-$AM$419)*10/15</f>
        <v>9.9385206532180536E-3</v>
      </c>
      <c r="AH420" s="244"/>
      <c r="AI420" s="244" t="str">
        <f t="shared" ref="AI420:AI443" si="82">AJ420&amp;"_"&amp;AK420</f>
        <v>2_2025</v>
      </c>
      <c r="AJ420" s="244">
        <v>2</v>
      </c>
      <c r="AK420" s="244">
        <v>2025</v>
      </c>
      <c r="AL420" s="244">
        <v>1.29106628242074E-3</v>
      </c>
      <c r="AM420" s="244">
        <v>9.3602305475504292E-3</v>
      </c>
    </row>
    <row r="421" spans="1:39">
      <c r="J421" t="s">
        <v>1042</v>
      </c>
      <c r="K421">
        <f t="shared" si="77"/>
        <v>1.8051407849829213</v>
      </c>
      <c r="L421">
        <v>2.21843003412973E-2</v>
      </c>
      <c r="M421">
        <v>0.23720136518771301</v>
      </c>
      <c r="N421">
        <v>1.1552901023890696</v>
      </c>
      <c r="O421">
        <v>1.4146757679180799</v>
      </c>
      <c r="P421">
        <v>0.64</v>
      </c>
      <c r="R421">
        <f t="shared" si="78"/>
        <v>0.25938566552901032</v>
      </c>
      <c r="Z421" s="244" t="s">
        <v>1042</v>
      </c>
      <c r="AA421" s="244">
        <v>2020</v>
      </c>
      <c r="AB421" s="244">
        <v>2.52203811999133</v>
      </c>
      <c r="AC421" s="244">
        <v>5.6470588235294099E-2</v>
      </c>
      <c r="AD421" s="244">
        <f t="shared" si="79"/>
        <v>0.2552276657060516</v>
      </c>
      <c r="AE421" s="244"/>
      <c r="AF421" s="244">
        <f t="shared" si="80"/>
        <v>1.3583093179634932E-3</v>
      </c>
      <c r="AG421" s="244">
        <f t="shared" si="81"/>
        <v>1.13102785782901E-2</v>
      </c>
      <c r="AH421" s="244"/>
      <c r="AI421" s="244" t="str">
        <f t="shared" si="82"/>
        <v>2_2050</v>
      </c>
      <c r="AJ421" s="244">
        <v>2</v>
      </c>
      <c r="AK421" s="244">
        <v>2050</v>
      </c>
      <c r="AL421" s="244">
        <v>1.2507204610950999E-3</v>
      </c>
      <c r="AM421" s="244">
        <v>9.3602305475504292E-3</v>
      </c>
    </row>
    <row r="422" spans="1:39">
      <c r="J422" t="s">
        <v>1348</v>
      </c>
      <c r="K422">
        <f t="shared" si="77"/>
        <v>1.9442734851451886</v>
      </c>
      <c r="L422">
        <v>-0.16211604095563101</v>
      </c>
      <c r="M422">
        <v>0.19624573378839599</v>
      </c>
      <c r="N422">
        <v>1.186006825938565</v>
      </c>
      <c r="O422">
        <v>1.22013651877133</v>
      </c>
      <c r="P422">
        <v>0.61</v>
      </c>
      <c r="R422">
        <f t="shared" si="78"/>
        <v>3.4129692832764985E-2</v>
      </c>
      <c r="Z422" s="244" t="s">
        <v>1348</v>
      </c>
      <c r="AA422" s="244">
        <v>2020</v>
      </c>
      <c r="AB422" s="244">
        <v>2.4861652588260701</v>
      </c>
      <c r="AC422" s="244">
        <v>5.6470588235294099E-2</v>
      </c>
      <c r="AD422" s="244">
        <f t="shared" si="79"/>
        <v>0.38272046109510027</v>
      </c>
      <c r="AE422" s="244"/>
      <c r="AF422" s="244">
        <f t="shared" si="80"/>
        <v>1.3583093179634932E-3</v>
      </c>
      <c r="AG422" s="244">
        <f t="shared" si="81"/>
        <v>1.1794428434197833E-2</v>
      </c>
      <c r="AH422" s="244"/>
      <c r="AI422" s="244" t="str">
        <f t="shared" si="82"/>
        <v>2_2075</v>
      </c>
      <c r="AJ422" s="244">
        <v>2</v>
      </c>
      <c r="AK422" s="244">
        <v>2075</v>
      </c>
      <c r="AL422" s="244">
        <v>1.29106628242074E-3</v>
      </c>
      <c r="AM422" s="244">
        <v>9.4005763688760798E-3</v>
      </c>
    </row>
    <row r="423" spans="1:39">
      <c r="J423" t="s">
        <v>1349</v>
      </c>
      <c r="K423">
        <f t="shared" si="77"/>
        <v>1.8344709897610794</v>
      </c>
      <c r="L423">
        <v>-0.32593856655289999</v>
      </c>
      <c r="M423">
        <v>0.33959044368600599</v>
      </c>
      <c r="N423">
        <v>1.247440273037534</v>
      </c>
      <c r="O423">
        <v>1.26109215017064</v>
      </c>
      <c r="P423">
        <v>0.68</v>
      </c>
      <c r="R423">
        <f t="shared" si="78"/>
        <v>1.3651877133106005E-2</v>
      </c>
      <c r="Z423" s="244" t="s">
        <v>1349</v>
      </c>
      <c r="AA423" s="244">
        <v>2020</v>
      </c>
      <c r="AB423" s="244">
        <v>2.4861652588260701</v>
      </c>
      <c r="AC423" s="244">
        <v>5.6470588235294099E-2</v>
      </c>
      <c r="AD423" s="244">
        <f t="shared" si="79"/>
        <v>0.50913736791546493</v>
      </c>
      <c r="AE423" s="244"/>
      <c r="AF423" s="244">
        <f t="shared" si="80"/>
        <v>1.3583093179634932E-3</v>
      </c>
      <c r="AG423" s="244">
        <f t="shared" si="81"/>
        <v>1.1579250720461034E-2</v>
      </c>
      <c r="AH423" s="244"/>
      <c r="AI423" s="244" t="str">
        <f t="shared" si="82"/>
        <v>2_2100</v>
      </c>
      <c r="AJ423" s="244">
        <v>2</v>
      </c>
      <c r="AK423" s="244">
        <v>2100</v>
      </c>
      <c r="AL423" s="244">
        <v>1.3314121037463901E-3</v>
      </c>
      <c r="AM423" s="244">
        <v>9.8847262247838599E-3</v>
      </c>
    </row>
    <row r="424" spans="1:39">
      <c r="J424" t="s">
        <v>1350</v>
      </c>
      <c r="K424">
        <f t="shared" si="77"/>
        <v>1.8900610197538394</v>
      </c>
      <c r="L424">
        <v>-0.26450511945392402</v>
      </c>
      <c r="M424">
        <v>0.28839590443685997</v>
      </c>
      <c r="N424">
        <v>1.247440273037534</v>
      </c>
      <c r="O424">
        <v>1.27133105802047</v>
      </c>
      <c r="P424">
        <v>0.66</v>
      </c>
      <c r="R424">
        <f t="shared" si="78"/>
        <v>2.3890784982935953E-2</v>
      </c>
      <c r="Z424" s="244" t="s">
        <v>1350</v>
      </c>
      <c r="AA424" s="244">
        <v>2020</v>
      </c>
      <c r="AB424" s="244">
        <v>2.4861652588260701</v>
      </c>
      <c r="AC424" s="244">
        <v>5.6470588235294099E-2</v>
      </c>
      <c r="AD424" s="244">
        <f t="shared" si="79"/>
        <v>0.63420941402497488</v>
      </c>
      <c r="AE424" s="244"/>
      <c r="AF424" s="244">
        <f t="shared" si="80"/>
        <v>1.3583093179634932E-3</v>
      </c>
      <c r="AG424" s="244">
        <f t="shared" si="81"/>
        <v>1.13102785782901E-2</v>
      </c>
      <c r="AH424" s="244"/>
      <c r="AI424" s="244" t="str">
        <f t="shared" si="82"/>
        <v>R_2010</v>
      </c>
      <c r="AJ424" s="244" t="s">
        <v>1042</v>
      </c>
      <c r="AK424" s="244">
        <v>2010</v>
      </c>
      <c r="AL424" s="244">
        <v>1.2507204610950999E-3</v>
      </c>
      <c r="AM424" s="244">
        <v>1.1095100864553301E-2</v>
      </c>
    </row>
    <row r="425" spans="1:39">
      <c r="Z425" s="244">
        <v>2</v>
      </c>
      <c r="AA425" s="244">
        <v>2030</v>
      </c>
      <c r="AB425" s="244">
        <v>2.7037037037037002</v>
      </c>
      <c r="AC425" s="244">
        <v>9.2759139461411094E-2</v>
      </c>
      <c r="AD425" s="244">
        <f t="shared" ref="AD425:AD464" si="83">AD420+10*(AVERAGE($AF420,AF425)+AVERAGE($AG420,AG425))</f>
        <v>0.23945244956772307</v>
      </c>
      <c r="AE425" s="244"/>
      <c r="AF425" s="244">
        <f t="shared" ref="AF425:AF429" si="84">VLOOKUP(Z425&amp;"_"&amp;2025,$AI$418:$AM$443,4,FALSE)+(VLOOKUP(Z425&amp;"_"&amp;2050,$AI$418:$AM$443,4,FALSE)-VLOOKUP(Z425&amp;"_"&amp;2025,$AI$418:$AM$443,4,FALSE))*5/25</f>
        <v>1.2829971181556119E-3</v>
      </c>
      <c r="AG425" s="244">
        <f t="shared" ref="AG425:AG429" si="85">VLOOKUP(Z425&amp;"_"&amp;2025,$AI$418:$AM$443,5,FALSE)+(VLOOKUP(Z425&amp;"_"&amp;2050,$AI$418:$AM$443,5,FALSE)-VLOOKUP(Z425&amp;"_"&amp;2025,$AI$418:$AM$443,5,FALSE))*5/25</f>
        <v>9.3602305475504292E-3</v>
      </c>
      <c r="AH425" s="244"/>
      <c r="AI425" s="244" t="str">
        <f t="shared" si="82"/>
        <v>R_2025</v>
      </c>
      <c r="AJ425" s="244" t="s">
        <v>1042</v>
      </c>
      <c r="AK425" s="244">
        <v>2025</v>
      </c>
      <c r="AL425" s="244">
        <v>1.41210374639769E-3</v>
      </c>
      <c r="AM425" s="244">
        <v>1.1417867435158499E-2</v>
      </c>
    </row>
    <row r="426" spans="1:39">
      <c r="Z426" s="244" t="s">
        <v>1042</v>
      </c>
      <c r="AA426" s="244">
        <v>2030</v>
      </c>
      <c r="AB426" s="244">
        <v>2.55073640892354</v>
      </c>
      <c r="AC426" s="244">
        <v>0.106630058673085</v>
      </c>
      <c r="AD426" s="244">
        <f t="shared" si="83"/>
        <v>0.3828414985590774</v>
      </c>
      <c r="AE426" s="244"/>
      <c r="AF426" s="244">
        <f t="shared" si="84"/>
        <v>1.41210374639769E-3</v>
      </c>
      <c r="AG426" s="244">
        <f t="shared" si="85"/>
        <v>1.144207492795388E-2</v>
      </c>
      <c r="AH426" s="244"/>
      <c r="AI426" s="244" t="str">
        <f t="shared" si="82"/>
        <v>R_2050</v>
      </c>
      <c r="AJ426" s="244" t="s">
        <v>1042</v>
      </c>
      <c r="AK426" s="244">
        <v>2050</v>
      </c>
      <c r="AL426" s="244">
        <v>1.41210374639769E-3</v>
      </c>
      <c r="AM426" s="244">
        <v>1.1538904899135401E-2</v>
      </c>
    </row>
    <row r="427" spans="1:39">
      <c r="Z427" s="244" t="s">
        <v>1348</v>
      </c>
      <c r="AA427" s="244">
        <v>2030</v>
      </c>
      <c r="AB427" s="244">
        <v>2.4861652588260701</v>
      </c>
      <c r="AC427" s="244">
        <v>0.106630058673085</v>
      </c>
      <c r="AD427" s="244">
        <f t="shared" si="83"/>
        <v>0.51723342939481143</v>
      </c>
      <c r="AE427" s="244"/>
      <c r="AF427" s="244">
        <f t="shared" si="84"/>
        <v>1.41210374639769E-3</v>
      </c>
      <c r="AG427" s="244">
        <f t="shared" si="85"/>
        <v>1.233775216138322E-2</v>
      </c>
      <c r="AH427" s="244"/>
      <c r="AI427" s="244" t="str">
        <f t="shared" si="82"/>
        <v>R_2075</v>
      </c>
      <c r="AJ427" s="244" t="s">
        <v>1042</v>
      </c>
      <c r="AK427" s="244">
        <v>2075</v>
      </c>
      <c r="AL427" s="244">
        <v>1.4499999999999999E-3</v>
      </c>
      <c r="AM427" s="244">
        <v>1.1538904899135401E-2</v>
      </c>
    </row>
    <row r="428" spans="1:39">
      <c r="Z428" s="244" t="s">
        <v>1349</v>
      </c>
      <c r="AA428" s="244">
        <v>2030</v>
      </c>
      <c r="AB428" s="244">
        <v>2.4861652588260701</v>
      </c>
      <c r="AC428" s="244">
        <v>0.111764705882352</v>
      </c>
      <c r="AD428" s="244">
        <f t="shared" si="83"/>
        <v>0.64096061479346611</v>
      </c>
      <c r="AE428" s="244"/>
      <c r="AF428" s="244">
        <f t="shared" si="84"/>
        <v>1.4524495677233379E-3</v>
      </c>
      <c r="AG428" s="244">
        <f t="shared" si="85"/>
        <v>1.1974639769452381E-2</v>
      </c>
      <c r="AH428" s="244"/>
      <c r="AI428" s="244" t="str">
        <f t="shared" si="82"/>
        <v>R_2100</v>
      </c>
      <c r="AJ428" s="244" t="s">
        <v>1042</v>
      </c>
      <c r="AK428" s="244">
        <v>2100</v>
      </c>
      <c r="AL428" s="244">
        <v>1.3314121037463901E-3</v>
      </c>
      <c r="AM428" s="244">
        <v>1.0449567723342899E-2</v>
      </c>
    </row>
    <row r="429" spans="1:39">
      <c r="Z429" s="244" t="s">
        <v>1350</v>
      </c>
      <c r="AA429" s="244">
        <v>2030</v>
      </c>
      <c r="AB429" s="244">
        <v>2.4861652588260701</v>
      </c>
      <c r="AC429" s="244">
        <v>0.111764705882352</v>
      </c>
      <c r="AD429" s="244">
        <f t="shared" si="83"/>
        <v>0.76347742555235232</v>
      </c>
      <c r="AE429" s="244"/>
      <c r="AF429" s="244">
        <f t="shared" si="84"/>
        <v>1.4605187319884679E-3</v>
      </c>
      <c r="AG429" s="244">
        <f t="shared" si="85"/>
        <v>1.172449567723342E-2</v>
      </c>
      <c r="AH429" s="244"/>
      <c r="AI429" s="244" t="str">
        <f t="shared" si="82"/>
        <v>1a_2010</v>
      </c>
      <c r="AJ429" s="244" t="s">
        <v>1348</v>
      </c>
      <c r="AK429" s="244">
        <v>2010</v>
      </c>
      <c r="AL429" s="244">
        <v>1.2507204610950999E-3</v>
      </c>
      <c r="AM429" s="244">
        <v>1.1095100864553301E-2</v>
      </c>
    </row>
    <row r="430" spans="1:39">
      <c r="Z430" s="244">
        <v>2</v>
      </c>
      <c r="AA430" s="244">
        <v>2040</v>
      </c>
      <c r="AB430" s="244">
        <v>2.8448938704786602</v>
      </c>
      <c r="AC430" s="244">
        <v>0.11980743192417601</v>
      </c>
      <c r="AD430" s="244">
        <f t="shared" si="83"/>
        <v>0.34580403458213221</v>
      </c>
      <c r="AE430" s="244"/>
      <c r="AF430" s="244">
        <f t="shared" ref="AF430:AF434" si="86">VLOOKUP(Z430&amp;"_"&amp;2025,$AI$418:$AM$443,4,FALSE)+(VLOOKUP(Z430&amp;"_"&amp;2050,$AI$418:$AM$443,4,FALSE)-VLOOKUP(Z430&amp;"_"&amp;2025,$AI$418:$AM$443,4,FALSE))*15/25</f>
        <v>1.266858789625356E-3</v>
      </c>
      <c r="AG430" s="244">
        <f t="shared" ref="AG430:AG434" si="87">VLOOKUP(Z430&amp;"_"&amp;2025,$AI$418:$AM$443,5,FALSE)+(VLOOKUP(Z430&amp;"_"&amp;2050,$AI$418:$AM$443,5,FALSE)-VLOOKUP(Z430&amp;"_"&amp;2025,$AI$418:$AM$443,5,FALSE))*15/25</f>
        <v>9.3602305475504292E-3</v>
      </c>
      <c r="AH430" s="244"/>
      <c r="AI430" s="244" t="str">
        <f t="shared" si="82"/>
        <v>1a_2025</v>
      </c>
      <c r="AJ430" s="244" t="s">
        <v>1348</v>
      </c>
      <c r="AK430" s="244">
        <v>2025</v>
      </c>
      <c r="AL430" s="244">
        <v>1.41210374639769E-3</v>
      </c>
      <c r="AM430" s="244">
        <v>1.2144092219020099E-2</v>
      </c>
    </row>
    <row r="431" spans="1:39">
      <c r="Z431" s="244" t="s">
        <v>1042</v>
      </c>
      <c r="AA431" s="244">
        <v>2040</v>
      </c>
      <c r="AB431" s="244">
        <v>2.5937838423218502</v>
      </c>
      <c r="AC431" s="244">
        <v>0.14470588235294099</v>
      </c>
      <c r="AD431" s="244">
        <f t="shared" si="83"/>
        <v>0.51162536023054694</v>
      </c>
      <c r="AE431" s="244"/>
      <c r="AF431" s="244">
        <f t="shared" si="86"/>
        <v>1.41210374639769E-3</v>
      </c>
      <c r="AG431" s="244">
        <f t="shared" si="87"/>
        <v>1.1490489913544641E-2</v>
      </c>
      <c r="AH431" s="244"/>
      <c r="AI431" s="244" t="str">
        <f t="shared" si="82"/>
        <v>1a_2050</v>
      </c>
      <c r="AJ431" s="244" t="s">
        <v>1348</v>
      </c>
      <c r="AK431" s="244">
        <v>2050</v>
      </c>
      <c r="AL431" s="244">
        <v>1.41210374639769E-3</v>
      </c>
      <c r="AM431" s="244">
        <v>1.3112391930835699E-2</v>
      </c>
    </row>
    <row r="432" spans="1:39">
      <c r="Z432" s="244" t="s">
        <v>1348</v>
      </c>
      <c r="AA432" s="244">
        <v>2040</v>
      </c>
      <c r="AB432" s="244">
        <v>2.55073640892354</v>
      </c>
      <c r="AC432" s="244">
        <v>0.14470588235294099</v>
      </c>
      <c r="AD432" s="244">
        <f t="shared" si="83"/>
        <v>0.65666858789625171</v>
      </c>
      <c r="AE432" s="244"/>
      <c r="AF432" s="244">
        <f t="shared" si="86"/>
        <v>1.41210374639769E-3</v>
      </c>
      <c r="AG432" s="244">
        <f t="shared" si="87"/>
        <v>1.2725072046109459E-2</v>
      </c>
      <c r="AH432" s="244"/>
      <c r="AI432" s="244" t="str">
        <f t="shared" si="82"/>
        <v>1a_2075</v>
      </c>
      <c r="AJ432" s="244" t="s">
        <v>1348</v>
      </c>
      <c r="AK432" s="244">
        <v>2075</v>
      </c>
      <c r="AL432" s="244">
        <v>1.3314121037463901E-3</v>
      </c>
      <c r="AM432" s="244">
        <v>1.06109510086455E-2</v>
      </c>
    </row>
    <row r="433" spans="26:39">
      <c r="Z433" s="244" t="s">
        <v>1349</v>
      </c>
      <c r="AA433" s="244">
        <v>2040</v>
      </c>
      <c r="AB433" s="244">
        <v>2.55073640892354</v>
      </c>
      <c r="AC433" s="244">
        <v>0.148936362268692</v>
      </c>
      <c r="AD433" s="244">
        <f t="shared" si="83"/>
        <v>0.77716810758885457</v>
      </c>
      <c r="AE433" s="244"/>
      <c r="AF433" s="244">
        <f t="shared" si="86"/>
        <v>1.533141210374634E-3</v>
      </c>
      <c r="AG433" s="244">
        <f t="shared" si="87"/>
        <v>1.228126801152734E-2</v>
      </c>
      <c r="AH433" s="244"/>
      <c r="AI433" s="244" t="str">
        <f t="shared" si="82"/>
        <v>1a_2100</v>
      </c>
      <c r="AJ433" s="244" t="s">
        <v>1348</v>
      </c>
      <c r="AK433" s="244">
        <v>2100</v>
      </c>
      <c r="AL433" s="244">
        <v>1.1296829971181499E-3</v>
      </c>
      <c r="AM433" s="244">
        <v>1.0570605187319801E-2</v>
      </c>
    </row>
    <row r="434" spans="26:39">
      <c r="Z434" s="244" t="s">
        <v>1350</v>
      </c>
      <c r="AA434" s="244">
        <v>2040</v>
      </c>
      <c r="AB434" s="244">
        <v>2.55073640892354</v>
      </c>
      <c r="AC434" s="244">
        <v>0.151764705882352</v>
      </c>
      <c r="AD434" s="244">
        <f t="shared" si="83"/>
        <v>0.89887800192122813</v>
      </c>
      <c r="AE434" s="244"/>
      <c r="AF434" s="244">
        <f t="shared" si="86"/>
        <v>1.557348703170024E-3</v>
      </c>
      <c r="AG434" s="244">
        <f t="shared" si="87"/>
        <v>1.233775216138326E-2</v>
      </c>
      <c r="AH434" s="244"/>
      <c r="AI434" s="244" t="str">
        <f t="shared" si="82"/>
        <v>1b_2010</v>
      </c>
      <c r="AJ434" s="244" t="s">
        <v>1349</v>
      </c>
      <c r="AK434" s="244">
        <v>2010</v>
      </c>
      <c r="AL434" s="244">
        <v>1.2507204610950999E-3</v>
      </c>
      <c r="AM434" s="244">
        <v>1.1095100864553301E-2</v>
      </c>
    </row>
    <row r="435" spans="26:39">
      <c r="Z435" s="244">
        <v>2</v>
      </c>
      <c r="AA435" s="244">
        <v>2050</v>
      </c>
      <c r="AB435" s="244">
        <v>3.0170836040719</v>
      </c>
      <c r="AC435" s="244">
        <v>0.13714608093876901</v>
      </c>
      <c r="AD435" s="244">
        <f t="shared" si="83"/>
        <v>0.45199423631123881</v>
      </c>
      <c r="AE435" s="244"/>
      <c r="AF435" s="244">
        <f t="shared" ref="AF435:AF439" si="88">VLOOKUP($Z435&amp;"_"&amp;2050,$AI$418:$AM$443,4,FALSE)</f>
        <v>1.2507204610950999E-3</v>
      </c>
      <c r="AG435" s="244">
        <f t="shared" ref="AG435:AG439" si="89">VLOOKUP($Z435&amp;"_"&amp;2050,$AI$418:$AM$443,5,FALSE)</f>
        <v>9.3602305475504292E-3</v>
      </c>
      <c r="AH435" s="244"/>
      <c r="AI435" s="244" t="str">
        <f t="shared" si="82"/>
        <v>1b_2025</v>
      </c>
      <c r="AJ435" s="244" t="s">
        <v>1349</v>
      </c>
      <c r="AK435" s="244">
        <v>2025</v>
      </c>
      <c r="AL435" s="244">
        <v>1.41210374639769E-3</v>
      </c>
      <c r="AM435" s="244">
        <v>1.18213256484149E-2</v>
      </c>
    </row>
    <row r="436" spans="26:39">
      <c r="Z436" s="244" t="s">
        <v>1042</v>
      </c>
      <c r="AA436" s="244">
        <v>2050</v>
      </c>
      <c r="AB436" s="244">
        <v>2.6081329867879499</v>
      </c>
      <c r="AC436" s="244">
        <v>0.17764705882352899</v>
      </c>
      <c r="AD436" s="244">
        <f t="shared" si="83"/>
        <v>0.64089337175792405</v>
      </c>
      <c r="AE436" s="244"/>
      <c r="AF436" s="244">
        <f t="shared" si="88"/>
        <v>1.41210374639769E-3</v>
      </c>
      <c r="AG436" s="244">
        <f t="shared" si="89"/>
        <v>1.1538904899135401E-2</v>
      </c>
      <c r="AH436" s="244"/>
      <c r="AI436" s="244" t="str">
        <f t="shared" si="82"/>
        <v>1b_2050</v>
      </c>
      <c r="AJ436" s="244" t="s">
        <v>1349</v>
      </c>
      <c r="AK436" s="244">
        <v>2050</v>
      </c>
      <c r="AL436" s="244">
        <v>1.61383285302593E-3</v>
      </c>
      <c r="AM436" s="244">
        <v>1.25878962536023E-2</v>
      </c>
    </row>
    <row r="437" spans="26:39">
      <c r="Z437" s="244" t="s">
        <v>1348</v>
      </c>
      <c r="AA437" s="244">
        <v>2050</v>
      </c>
      <c r="AB437" s="244">
        <v>2.55073640892354</v>
      </c>
      <c r="AC437" s="244">
        <v>0.174114638182638</v>
      </c>
      <c r="AD437" s="244">
        <f t="shared" si="83"/>
        <v>0.79997694524495433</v>
      </c>
      <c r="AE437" s="244"/>
      <c r="AF437" s="244">
        <f t="shared" si="88"/>
        <v>1.41210374639769E-3</v>
      </c>
      <c r="AG437" s="244">
        <f t="shared" si="89"/>
        <v>1.3112391930835699E-2</v>
      </c>
      <c r="AH437" s="244"/>
      <c r="AI437" s="244" t="str">
        <f t="shared" si="82"/>
        <v>1b_2075</v>
      </c>
      <c r="AJ437" s="244" t="s">
        <v>1349</v>
      </c>
      <c r="AK437" s="244">
        <v>2075</v>
      </c>
      <c r="AL437" s="244">
        <v>1.7752161383285301E-3</v>
      </c>
      <c r="AM437" s="244">
        <v>1.2829971181556101E-2</v>
      </c>
    </row>
    <row r="438" spans="26:39">
      <c r="Z438" s="244" t="s">
        <v>1349</v>
      </c>
      <c r="AA438" s="244">
        <v>2050</v>
      </c>
      <c r="AB438" s="244">
        <v>2.55073640892354</v>
      </c>
      <c r="AC438" s="244">
        <v>0.189411764705882</v>
      </c>
      <c r="AD438" s="244">
        <f t="shared" si="83"/>
        <v>0.9172487992315056</v>
      </c>
      <c r="AE438" s="244"/>
      <c r="AF438" s="244">
        <f t="shared" si="88"/>
        <v>1.61383285302593E-3</v>
      </c>
      <c r="AG438" s="244">
        <f t="shared" si="89"/>
        <v>1.25878962536023E-2</v>
      </c>
      <c r="AH438" s="244"/>
      <c r="AI438" s="244" t="str">
        <f t="shared" si="82"/>
        <v>1b_2100</v>
      </c>
      <c r="AJ438" s="244" t="s">
        <v>1349</v>
      </c>
      <c r="AK438" s="244">
        <v>2100</v>
      </c>
      <c r="AL438" s="244">
        <v>1.6945244956772299E-3</v>
      </c>
      <c r="AM438" s="244">
        <v>1.1740634005763599E-2</v>
      </c>
    </row>
    <row r="439" spans="26:39">
      <c r="Z439" s="244" t="s">
        <v>1350</v>
      </c>
      <c r="AA439" s="244">
        <v>2050</v>
      </c>
      <c r="AB439" s="244">
        <v>2.55073640892354</v>
      </c>
      <c r="AC439" s="244">
        <v>0.19471039566721801</v>
      </c>
      <c r="AD439" s="244">
        <f t="shared" si="83"/>
        <v>1.041379442843418</v>
      </c>
      <c r="AE439" s="244"/>
      <c r="AF439" s="244">
        <f t="shared" si="88"/>
        <v>1.6541786743515801E-3</v>
      </c>
      <c r="AG439" s="244">
        <f t="shared" si="89"/>
        <v>1.2951008645533099E-2</v>
      </c>
      <c r="AH439" s="244"/>
      <c r="AI439" s="244" t="str">
        <f t="shared" si="82"/>
        <v>1c_2010</v>
      </c>
      <c r="AJ439" s="244" t="s">
        <v>1350</v>
      </c>
      <c r="AK439" s="244">
        <v>2010</v>
      </c>
      <c r="AL439" s="244">
        <v>1.2507204610950999E-3</v>
      </c>
      <c r="AM439" s="244">
        <v>1.1095100864553301E-2</v>
      </c>
    </row>
    <row r="440" spans="26:39">
      <c r="Z440" s="244">
        <v>2</v>
      </c>
      <c r="AA440" s="244">
        <v>2060</v>
      </c>
      <c r="AB440" s="244">
        <v>3.1749241931990402</v>
      </c>
      <c r="AC440" s="244">
        <v>0.146855724386941</v>
      </c>
      <c r="AD440" s="244">
        <f t="shared" si="83"/>
        <v>0.55826512968299669</v>
      </c>
      <c r="AE440" s="244"/>
      <c r="AF440" s="244">
        <f t="shared" ref="AF440:AF444" si="90">VLOOKUP(Z440&amp;"_"&amp;2050,$AI$418:$AM$443,4,FALSE)+(VLOOKUP(Z440&amp;"_"&amp;2075,$AI$418:$AM$443,4,FALSE)-VLOOKUP(Z440&amp;"_"&amp;2050,$AI$418:$AM$443,4,FALSE))*10/25</f>
        <v>1.266858789625356E-3</v>
      </c>
      <c r="AG440" s="244">
        <f t="shared" ref="AG440:AG444" si="91">VLOOKUP(Z440&amp;"_"&amp;2050,$AI$418:$AM$443,5,FALSE)+(VLOOKUP(Z440&amp;"_"&amp;2075,$AI$418:$AM$443,5,FALSE)-VLOOKUP(Z440&amp;"_"&amp;2050,$AI$418:$AM$443,5,FALSE))*10/25</f>
        <v>9.3763688760806901E-3</v>
      </c>
      <c r="AH440" s="244"/>
      <c r="AI440" s="244" t="str">
        <f t="shared" si="82"/>
        <v>1c_2025</v>
      </c>
      <c r="AJ440" s="244" t="s">
        <v>1350</v>
      </c>
      <c r="AK440" s="244">
        <v>2025</v>
      </c>
      <c r="AL440" s="244">
        <v>1.41210374639769E-3</v>
      </c>
      <c r="AM440" s="244">
        <v>1.1417867435158499E-2</v>
      </c>
    </row>
    <row r="441" spans="26:39">
      <c r="Z441" s="244" t="s">
        <v>1042</v>
      </c>
      <c r="AA441" s="244">
        <v>2060</v>
      </c>
      <c r="AB441" s="244">
        <v>2.5937838423218502</v>
      </c>
      <c r="AC441" s="244">
        <v>0.200258763351888</v>
      </c>
      <c r="AD441" s="244">
        <f t="shared" si="83"/>
        <v>0.77047925072045964</v>
      </c>
      <c r="AE441" s="244"/>
      <c r="AF441" s="244">
        <f t="shared" si="90"/>
        <v>1.4272622478386139E-3</v>
      </c>
      <c r="AG441" s="244">
        <f t="shared" si="91"/>
        <v>1.1538904899135401E-2</v>
      </c>
      <c r="AH441" s="244"/>
      <c r="AI441" s="244" t="str">
        <f t="shared" si="82"/>
        <v>1c_2050</v>
      </c>
      <c r="AJ441" s="244" t="s">
        <v>1350</v>
      </c>
      <c r="AK441" s="244">
        <v>2050</v>
      </c>
      <c r="AL441" s="244">
        <v>1.6541786743515801E-3</v>
      </c>
      <c r="AM441" s="244">
        <v>1.2951008645533099E-2</v>
      </c>
    </row>
    <row r="442" spans="26:39">
      <c r="Z442" s="244" t="s">
        <v>1348</v>
      </c>
      <c r="AA442" s="244">
        <v>2060</v>
      </c>
      <c r="AB442" s="244">
        <v>2.50051440329218</v>
      </c>
      <c r="AC442" s="244">
        <v>0.19411764705882301</v>
      </c>
      <c r="AD442" s="244">
        <f t="shared" si="83"/>
        <v>0.94005763688760524</v>
      </c>
      <c r="AE442" s="244"/>
      <c r="AF442" s="244">
        <f t="shared" si="90"/>
        <v>1.37982708933717E-3</v>
      </c>
      <c r="AG442" s="244">
        <f t="shared" si="91"/>
        <v>1.2111815561959619E-2</v>
      </c>
      <c r="AH442" s="244"/>
      <c r="AI442" s="244" t="str">
        <f t="shared" si="82"/>
        <v>1c_2075</v>
      </c>
      <c r="AJ442" s="244" t="s">
        <v>1350</v>
      </c>
      <c r="AK442" s="244">
        <v>2075</v>
      </c>
      <c r="AL442" s="244">
        <v>1.8962536023054699E-3</v>
      </c>
      <c r="AM442" s="244">
        <v>1.2951008645533099E-2</v>
      </c>
    </row>
    <row r="443" spans="26:39">
      <c r="Z443" s="244" t="s">
        <v>1349</v>
      </c>
      <c r="AA443" s="244">
        <v>2060</v>
      </c>
      <c r="AB443" s="244">
        <v>2.50051440329218</v>
      </c>
      <c r="AC443" s="244">
        <v>0.22383932601173401</v>
      </c>
      <c r="AD443" s="244">
        <f t="shared" si="83"/>
        <v>1.0600730067243007</v>
      </c>
      <c r="AE443" s="244"/>
      <c r="AF443" s="244">
        <f t="shared" si="90"/>
        <v>1.6783861671469701E-3</v>
      </c>
      <c r="AG443" s="244">
        <f t="shared" si="91"/>
        <v>1.268472622478382E-2</v>
      </c>
      <c r="AH443" s="244"/>
      <c r="AI443" s="244" t="str">
        <f t="shared" si="82"/>
        <v>1c_2100</v>
      </c>
      <c r="AJ443" s="244" t="s">
        <v>1350</v>
      </c>
      <c r="AK443" s="244">
        <v>2100</v>
      </c>
      <c r="AL443" s="244">
        <v>1.85590778097982E-3</v>
      </c>
      <c r="AM443" s="244">
        <v>1.1740634005763599E-2</v>
      </c>
    </row>
    <row r="444" spans="26:39">
      <c r="Z444" s="244" t="s">
        <v>1350</v>
      </c>
      <c r="AA444" s="244">
        <v>2060</v>
      </c>
      <c r="AB444" s="244">
        <v>2.55073640892354</v>
      </c>
      <c r="AC444" s="244">
        <v>0.23285542349932301</v>
      </c>
      <c r="AD444" s="244">
        <f t="shared" si="83"/>
        <v>1.1879154658981725</v>
      </c>
      <c r="AE444" s="244"/>
      <c r="AF444" s="244">
        <f t="shared" si="90"/>
        <v>1.7510086455331359E-3</v>
      </c>
      <c r="AG444" s="244">
        <f t="shared" si="91"/>
        <v>1.2951008645533099E-2</v>
      </c>
      <c r="AH444" s="244"/>
      <c r="AI444" s="244"/>
      <c r="AJ444" s="244"/>
      <c r="AK444" s="244"/>
      <c r="AL444" s="244"/>
      <c r="AM444" s="244"/>
    </row>
    <row r="445" spans="26:39">
      <c r="Z445" s="244">
        <v>2</v>
      </c>
      <c r="AA445" s="244">
        <v>2070</v>
      </c>
      <c r="AB445" s="244">
        <v>3.3086419753086398</v>
      </c>
      <c r="AC445" s="244">
        <v>0.157952459756281</v>
      </c>
      <c r="AD445" s="244">
        <f t="shared" si="83"/>
        <v>0.66485878962535971</v>
      </c>
      <c r="AE445" s="244"/>
      <c r="AF445" s="244">
        <f t="shared" ref="AF445:AF449" si="92">VLOOKUP(Z445&amp;"_"&amp;2050,$AI$418:$AM$443,4,FALSE)+(VLOOKUP(Z445&amp;"_"&amp;2075,$AI$418:$AM$443,4,FALSE)-VLOOKUP(Z445&amp;"_"&amp;2050,$AI$418:$AM$443,4,FALSE))*20/25</f>
        <v>1.2829971181556119E-3</v>
      </c>
      <c r="AG445" s="244">
        <f t="shared" ref="AG445:AG449" si="93">VLOOKUP(Z445&amp;"_"&amp;2050,$AI$418:$AM$443,5,FALSE)+(VLOOKUP(Z445&amp;"_"&amp;2075,$AI$418:$AM$443,5,FALSE)-VLOOKUP(Z445&amp;"_"&amp;2050,$AI$418:$AM$443,5,FALSE))*20/25</f>
        <v>9.3925072046109493E-3</v>
      </c>
      <c r="AH445" s="244"/>
      <c r="AI445" s="244"/>
      <c r="AJ445" s="244"/>
      <c r="AK445" s="244"/>
      <c r="AL445" s="244"/>
      <c r="AM445" s="244"/>
    </row>
    <row r="446" spans="26:39">
      <c r="Z446" s="244" t="s">
        <v>1042</v>
      </c>
      <c r="AA446" s="244">
        <v>2070</v>
      </c>
      <c r="AB446" s="244">
        <v>2.5925925925925899</v>
      </c>
      <c r="AC446" s="244">
        <v>0.219678050248232</v>
      </c>
      <c r="AD446" s="244">
        <f t="shared" si="83"/>
        <v>0.90021671469740439</v>
      </c>
      <c r="AE446" s="244"/>
      <c r="AF446" s="244">
        <f t="shared" si="92"/>
        <v>1.442420749279538E-3</v>
      </c>
      <c r="AG446" s="244">
        <f t="shared" si="93"/>
        <v>1.1538904899135401E-2</v>
      </c>
      <c r="AH446" s="244"/>
      <c r="AI446" s="244"/>
      <c r="AJ446" s="244"/>
      <c r="AK446" s="244"/>
      <c r="AL446" s="244"/>
      <c r="AM446" s="244"/>
    </row>
    <row r="447" spans="26:39">
      <c r="Z447" s="244" t="s">
        <v>1348</v>
      </c>
      <c r="AA447" s="244">
        <v>2070</v>
      </c>
      <c r="AB447" s="244">
        <v>2.5363872644574399</v>
      </c>
      <c r="AC447" s="244">
        <v>0.20996840680005999</v>
      </c>
      <c r="AD447" s="244">
        <f t="shared" si="83"/>
        <v>1.0698097982708901</v>
      </c>
      <c r="AE447" s="244"/>
      <c r="AF447" s="244">
        <f t="shared" si="92"/>
        <v>1.3475504322766501E-3</v>
      </c>
      <c r="AG447" s="244">
        <f t="shared" si="93"/>
        <v>1.1111239193083541E-2</v>
      </c>
      <c r="AH447" s="244"/>
      <c r="AI447" s="244"/>
      <c r="AJ447" s="244"/>
      <c r="AK447" s="244"/>
      <c r="AL447" s="244"/>
      <c r="AM447" s="244"/>
    </row>
    <row r="448" spans="26:39">
      <c r="Z448" s="244" t="s">
        <v>1349</v>
      </c>
      <c r="AA448" s="244">
        <v>2070</v>
      </c>
      <c r="AB448" s="244">
        <v>2.4431178254277599</v>
      </c>
      <c r="AC448" s="244">
        <v>0.25296825635625098</v>
      </c>
      <c r="AD448" s="244">
        <f t="shared" si="83"/>
        <v>1.2045110470701215</v>
      </c>
      <c r="AE448" s="244"/>
      <c r="AF448" s="244">
        <f t="shared" si="92"/>
        <v>1.74293948126801E-3</v>
      </c>
      <c r="AG448" s="244">
        <f t="shared" si="93"/>
        <v>1.2781556195965341E-2</v>
      </c>
      <c r="AH448" s="244"/>
      <c r="AI448" s="244"/>
      <c r="AJ448" s="244"/>
      <c r="AK448" s="244"/>
      <c r="AL448" s="244"/>
      <c r="AM448" s="244"/>
    </row>
    <row r="449" spans="1:39">
      <c r="Z449" s="244" t="s">
        <v>1350</v>
      </c>
      <c r="AA449" s="244">
        <v>2070</v>
      </c>
      <c r="AB449" s="244">
        <v>2.4431178254277599</v>
      </c>
      <c r="AC449" s="244">
        <v>0.26614562960734101</v>
      </c>
      <c r="AD449" s="244">
        <f t="shared" si="83"/>
        <v>1.3354197886647428</v>
      </c>
      <c r="AE449" s="244"/>
      <c r="AF449" s="244">
        <f t="shared" si="92"/>
        <v>1.847838616714692E-3</v>
      </c>
      <c r="AG449" s="244">
        <f t="shared" si="93"/>
        <v>1.2951008645533099E-2</v>
      </c>
      <c r="AH449" s="244"/>
      <c r="AI449" s="244"/>
      <c r="AJ449" s="244"/>
      <c r="AK449" s="244"/>
      <c r="AL449" s="244"/>
      <c r="AM449" s="244"/>
    </row>
    <row r="450" spans="1:39">
      <c r="Z450" s="244">
        <v>2</v>
      </c>
      <c r="AA450" s="244">
        <v>2080</v>
      </c>
      <c r="AB450" s="244">
        <v>3.4188596491227998</v>
      </c>
      <c r="AC450" s="244">
        <v>0.164887919362118</v>
      </c>
      <c r="AD450" s="244">
        <f t="shared" si="83"/>
        <v>0.77221902017291</v>
      </c>
      <c r="AE450" s="244"/>
      <c r="AF450" s="244">
        <f t="shared" ref="AF450:AF454" si="94">VLOOKUP(Z450&amp;"_"&amp;2075,$AI$418:$AM$443,4,FALSE)+(VLOOKUP(Z450&amp;"_"&amp;2100,$AI$418:$AM$443,4,FALSE)-VLOOKUP(Z450&amp;"_"&amp;2075,$AI$418:$AM$443,4,FALSE))*5/25</f>
        <v>1.29913544668587E-3</v>
      </c>
      <c r="AG450" s="244">
        <f t="shared" ref="AG450:AG454" si="95">VLOOKUP(Z450&amp;"_"&amp;2075,$AI$418:$AM$443,5,FALSE)+(VLOOKUP(Z450&amp;"_"&amp;2100,$AI$418:$AM$443,5,FALSE)-VLOOKUP(Z450&amp;"_"&amp;2075,$AI$418:$AM$443,5,FALSE))*5/25</f>
        <v>9.4974063400576365E-3</v>
      </c>
      <c r="AH450" s="244"/>
      <c r="AI450" s="244"/>
      <c r="AJ450" s="244"/>
      <c r="AK450" s="244"/>
      <c r="AL450" s="244"/>
      <c r="AM450" s="244"/>
    </row>
    <row r="451" spans="1:39">
      <c r="Z451" s="244" t="s">
        <v>1042</v>
      </c>
      <c r="AA451" s="244">
        <v>2080</v>
      </c>
      <c r="AB451" s="244">
        <v>2.5679012345679002</v>
      </c>
      <c r="AC451" s="244">
        <v>0.23632315330224099</v>
      </c>
      <c r="AD451" s="244">
        <f t="shared" si="83"/>
        <v>1.02885994236311</v>
      </c>
      <c r="AE451" s="244"/>
      <c r="AF451" s="244">
        <f t="shared" si="94"/>
        <v>1.4262824207492779E-3</v>
      </c>
      <c r="AG451" s="244">
        <f t="shared" si="95"/>
        <v>1.1321037463976901E-2</v>
      </c>
      <c r="AH451" s="244"/>
      <c r="AI451" s="244"/>
      <c r="AJ451" s="244"/>
      <c r="AK451" s="244"/>
      <c r="AL451" s="244"/>
      <c r="AM451" s="244"/>
    </row>
    <row r="452" spans="1:39">
      <c r="N452" t="s">
        <v>1441</v>
      </c>
      <c r="P452" t="s">
        <v>2879</v>
      </c>
      <c r="R452" t="s">
        <v>2880</v>
      </c>
      <c r="Z452" s="244" t="s">
        <v>1348</v>
      </c>
      <c r="AA452" s="244">
        <v>2080</v>
      </c>
      <c r="AB452" s="244">
        <v>2.3928958197963999</v>
      </c>
      <c r="AC452" s="244">
        <v>0.219678050248232</v>
      </c>
      <c r="AD452" s="244">
        <f t="shared" si="83"/>
        <v>1.1915734870316965</v>
      </c>
      <c r="AE452" s="244"/>
      <c r="AF452" s="244">
        <f t="shared" si="94"/>
        <v>1.291066282420742E-3</v>
      </c>
      <c r="AG452" s="244">
        <f t="shared" si="95"/>
        <v>1.0602881844380361E-2</v>
      </c>
      <c r="AH452" s="244"/>
      <c r="AI452" s="244"/>
      <c r="AJ452" s="244"/>
      <c r="AK452" s="244"/>
      <c r="AL452" s="244"/>
      <c r="AM452" s="244"/>
    </row>
    <row r="453" spans="1:39">
      <c r="A453" t="s">
        <v>2881</v>
      </c>
      <c r="N453" t="s">
        <v>2882</v>
      </c>
      <c r="P453" t="s">
        <v>1322</v>
      </c>
      <c r="Z453" s="244" t="s">
        <v>1349</v>
      </c>
      <c r="AA453" s="244">
        <v>2080</v>
      </c>
      <c r="AB453" s="244">
        <v>2.4359432531947101</v>
      </c>
      <c r="AC453" s="244">
        <v>0.27516172709492998</v>
      </c>
      <c r="AD453" s="244">
        <f t="shared" si="83"/>
        <v>1.3489894332372676</v>
      </c>
      <c r="AE453" s="244"/>
      <c r="AF453" s="244">
        <f t="shared" si="94"/>
        <v>1.7590778097982701E-3</v>
      </c>
      <c r="AG453" s="244">
        <f t="shared" si="95"/>
        <v>1.2612103746397601E-2</v>
      </c>
      <c r="AH453" s="244"/>
      <c r="AI453" s="244"/>
      <c r="AJ453" s="244"/>
      <c r="AK453" s="244"/>
      <c r="AL453" s="244"/>
      <c r="AM453" s="244"/>
    </row>
    <row r="454" spans="1:39">
      <c r="K454">
        <v>5.5160735818553502E-3</v>
      </c>
      <c r="L454">
        <v>98.499320111860797</v>
      </c>
      <c r="N454">
        <v>25</v>
      </c>
      <c r="O454">
        <v>0</v>
      </c>
      <c r="P454">
        <v>0</v>
      </c>
      <c r="Q454">
        <f>SUM(L454:L456)</f>
        <v>286.60902583574921</v>
      </c>
      <c r="R454">
        <v>269.14893617021198</v>
      </c>
      <c r="S454">
        <v>217.87234042553101</v>
      </c>
      <c r="Z454" s="244" t="s">
        <v>1350</v>
      </c>
      <c r="AA454" s="244">
        <v>2080</v>
      </c>
      <c r="AB454" s="244">
        <v>2.4359432531947101</v>
      </c>
      <c r="AC454" s="244">
        <v>0.30082292763652702</v>
      </c>
      <c r="AD454" s="244">
        <f t="shared" si="83"/>
        <v>1.4823996157540793</v>
      </c>
      <c r="AE454" s="244"/>
      <c r="AF454" s="244">
        <f t="shared" si="94"/>
        <v>1.8881844380403399E-3</v>
      </c>
      <c r="AG454" s="244">
        <f t="shared" si="95"/>
        <v>1.27089337175792E-2</v>
      </c>
      <c r="AH454" s="244"/>
      <c r="AI454" s="244"/>
      <c r="AJ454" s="244"/>
      <c r="AK454" s="244"/>
      <c r="AL454" s="244"/>
      <c r="AM454" s="244"/>
    </row>
    <row r="455" spans="1:39">
      <c r="K455">
        <v>6.0291967057484099E-3</v>
      </c>
      <c r="L455">
        <v>96.524001334120101</v>
      </c>
      <c r="N455">
        <v>25</v>
      </c>
      <c r="O455">
        <v>1</v>
      </c>
      <c r="P455">
        <v>0</v>
      </c>
      <c r="Q455">
        <f>SUM(L457:L459)</f>
        <v>279.58580701439303</v>
      </c>
      <c r="R455">
        <v>269.14893617021198</v>
      </c>
      <c r="S455">
        <v>221.063829787234</v>
      </c>
      <c r="Z455" s="244">
        <v>2</v>
      </c>
      <c r="AA455" s="244">
        <v>2090</v>
      </c>
      <c r="AB455" s="244">
        <v>3.4906053714533201</v>
      </c>
      <c r="AC455" s="244">
        <v>0.17294117647058799</v>
      </c>
      <c r="AD455" s="244">
        <f t="shared" si="83"/>
        <v>0.88123342939481197</v>
      </c>
      <c r="AE455" s="244"/>
      <c r="AF455" s="244">
        <f t="shared" ref="AF455:AF459" si="96">VLOOKUP(Z455&amp;"_"&amp;2075,$AI$418:$AM$443,4,FALSE)+(VLOOKUP(Z455&amp;"_"&amp;2100,$AI$418:$AM$443,4,FALSE)-VLOOKUP(Z455&amp;"_"&amp;2075,$AI$418:$AM$443,4,FALSE))*15/25</f>
        <v>1.3152737752161301E-3</v>
      </c>
      <c r="AG455" s="244">
        <f t="shared" ref="AG455:AG459" si="97">VLOOKUP(Z455&amp;"_"&amp;2075,$AI$418:$AM$443,5,FALSE)+(VLOOKUP(Z455&amp;"_"&amp;2100,$AI$418:$AM$443,5,FALSE)-VLOOKUP(Z455&amp;"_"&amp;2075,$AI$418:$AM$443,5,FALSE))*15/25</f>
        <v>9.6910662824207482E-3</v>
      </c>
      <c r="AH455" s="244"/>
      <c r="AI455" s="244"/>
      <c r="AJ455" s="244"/>
      <c r="AK455" s="244"/>
      <c r="AL455" s="244"/>
      <c r="AM455" s="244"/>
    </row>
    <row r="456" spans="1:39">
      <c r="K456">
        <v>7.3120045154828599E-3</v>
      </c>
      <c r="L456">
        <v>91.585704389768296</v>
      </c>
      <c r="N456">
        <v>25</v>
      </c>
      <c r="O456">
        <v>9</v>
      </c>
      <c r="P456">
        <v>0</v>
      </c>
      <c r="Q456">
        <f>SUM(L460:L461)</f>
        <v>161.3345306206223</v>
      </c>
      <c r="R456">
        <v>269.14893617021198</v>
      </c>
      <c r="S456">
        <v>261.063829787234</v>
      </c>
      <c r="Z456" s="244" t="s">
        <v>1042</v>
      </c>
      <c r="AA456" s="244">
        <v>2090</v>
      </c>
      <c r="AB456" s="244">
        <v>2.5308641975308599</v>
      </c>
      <c r="AC456" s="244">
        <v>0.24533925078982999</v>
      </c>
      <c r="AD456" s="244">
        <f t="shared" si="83"/>
        <v>1.1539172910662796</v>
      </c>
      <c r="AE456" s="244"/>
      <c r="AF456" s="244">
        <f t="shared" si="96"/>
        <v>1.378847262247834E-3</v>
      </c>
      <c r="AG456" s="244">
        <f t="shared" si="97"/>
        <v>1.08853025936599E-2</v>
      </c>
      <c r="AH456" s="244"/>
      <c r="AI456" s="244"/>
      <c r="AJ456" s="244"/>
      <c r="AK456" s="244"/>
      <c r="AL456" s="244"/>
      <c r="AM456" s="244"/>
    </row>
    <row r="457" spans="1:39">
      <c r="K457">
        <v>1.90785591502681</v>
      </c>
      <c r="L457">
        <v>95.251866485363095</v>
      </c>
      <c r="Z457" s="244" t="s">
        <v>1348</v>
      </c>
      <c r="AA457" s="244">
        <v>2090</v>
      </c>
      <c r="AB457" s="244">
        <v>2.3283246696989299</v>
      </c>
      <c r="AC457" s="244">
        <v>0.22235294117647</v>
      </c>
      <c r="AD457" s="244">
        <f t="shared" si="83"/>
        <v>1.3100288184437996</v>
      </c>
      <c r="AE457" s="244"/>
      <c r="AF457" s="244">
        <f t="shared" si="96"/>
        <v>1.2103746397694459E-3</v>
      </c>
      <c r="AG457" s="244">
        <f t="shared" si="97"/>
        <v>1.0586743515850081E-2</v>
      </c>
      <c r="AH457" s="244"/>
      <c r="AI457" s="244"/>
      <c r="AJ457" s="244"/>
      <c r="AK457" s="244"/>
      <c r="AL457" s="244"/>
      <c r="AM457" s="244"/>
    </row>
    <row r="458" spans="1:39">
      <c r="K458">
        <v>1.8457680170356801</v>
      </c>
      <c r="L458">
        <v>94.265438591990105</v>
      </c>
      <c r="Z458" s="244" t="s">
        <v>1349</v>
      </c>
      <c r="AA458" s="244">
        <v>2090</v>
      </c>
      <c r="AB458" s="244">
        <v>2.2781026640675699</v>
      </c>
      <c r="AC458" s="244">
        <v>0.28695200842485302</v>
      </c>
      <c r="AD458" s="244">
        <f t="shared" si="83"/>
        <v>1.4903611911623387</v>
      </c>
      <c r="AE458" s="244"/>
      <c r="AF458" s="244">
        <f t="shared" si="96"/>
        <v>1.72680115273775E-3</v>
      </c>
      <c r="AG458" s="244">
        <f t="shared" si="97"/>
        <v>1.21763688760806E-2</v>
      </c>
      <c r="AH458" s="244"/>
      <c r="AI458" s="244"/>
      <c r="AJ458" s="244"/>
      <c r="AK458" s="244"/>
      <c r="AL458" s="244"/>
      <c r="AM458" s="244"/>
    </row>
    <row r="459" spans="1:39">
      <c r="K459">
        <v>1.8156861738974199</v>
      </c>
      <c r="L459">
        <v>90.068501937039798</v>
      </c>
      <c r="Z459" s="244" t="s">
        <v>1350</v>
      </c>
      <c r="AA459" s="244">
        <v>2090</v>
      </c>
      <c r="AB459" s="244">
        <v>2.2781026640675699</v>
      </c>
      <c r="AC459" s="244">
        <v>0.326484128178125</v>
      </c>
      <c r="AD459" s="244">
        <f t="shared" si="83"/>
        <v>1.6258693563880844</v>
      </c>
      <c r="AE459" s="244"/>
      <c r="AF459" s="244">
        <f t="shared" si="96"/>
        <v>1.8720461095100801E-3</v>
      </c>
      <c r="AG459" s="244">
        <f t="shared" si="97"/>
        <v>1.2224783861671399E-2</v>
      </c>
      <c r="AH459" s="244"/>
      <c r="AI459" s="244"/>
      <c r="AJ459" s="244"/>
      <c r="AK459" s="244"/>
      <c r="AL459" s="244"/>
      <c r="AM459" s="244"/>
    </row>
    <row r="460" spans="1:39">
      <c r="K460">
        <v>8.9851707417194699</v>
      </c>
      <c r="L460">
        <v>90.420709649280298</v>
      </c>
      <c r="Z460" s="244">
        <v>2</v>
      </c>
      <c r="AA460" s="244">
        <v>2100</v>
      </c>
      <c r="AB460" s="244">
        <v>3.5432098765432101</v>
      </c>
      <c r="AC460" s="244">
        <v>0.18</v>
      </c>
      <c r="AD460" s="244">
        <f t="shared" si="83"/>
        <v>0.99234582132564764</v>
      </c>
      <c r="AE460" s="244"/>
      <c r="AF460" s="244">
        <f t="shared" ref="AF460:AF464" si="98">VLOOKUP($Z460&amp;"_"&amp;$AA460,$AI$418:$AM$443,4,FALSE)</f>
        <v>1.3314121037463901E-3</v>
      </c>
      <c r="AG460" s="244">
        <f t="shared" ref="AG460:AG464" si="99">VLOOKUP($Z460&amp;"_"&amp;$AA460,$AI$418:$AM$443,5,FALSE)</f>
        <v>9.8847262247838599E-3</v>
      </c>
      <c r="AH460" s="244"/>
      <c r="AI460" s="244"/>
      <c r="AJ460" s="244"/>
      <c r="AK460" s="244"/>
      <c r="AL460" s="244"/>
      <c r="AM460" s="244"/>
    </row>
    <row r="461" spans="1:39">
      <c r="K461">
        <v>9.0214100623444597</v>
      </c>
      <c r="L461">
        <v>70.913820971342005</v>
      </c>
      <c r="Z461" s="244" t="s">
        <v>1042</v>
      </c>
      <c r="AA461" s="244">
        <v>2100</v>
      </c>
      <c r="AB461" s="244">
        <v>2.49382716049382</v>
      </c>
      <c r="AC461" s="244">
        <v>0.24741988867158099</v>
      </c>
      <c r="AD461" s="244">
        <f t="shared" si="83"/>
        <v>1.2741429394812647</v>
      </c>
      <c r="AE461" s="244"/>
      <c r="AF461" s="244">
        <f t="shared" si="98"/>
        <v>1.3314121037463901E-3</v>
      </c>
      <c r="AG461" s="244">
        <f t="shared" si="99"/>
        <v>1.0449567723342899E-2</v>
      </c>
      <c r="AH461" s="244"/>
      <c r="AI461" s="244"/>
      <c r="AJ461" s="244"/>
      <c r="AK461" s="244"/>
      <c r="AL461" s="244"/>
      <c r="AM461" s="244"/>
    </row>
    <row r="462" spans="1:39">
      <c r="Z462" s="244" t="s">
        <v>1348</v>
      </c>
      <c r="AA462" s="244">
        <v>2100</v>
      </c>
      <c r="AB462" s="244">
        <v>2.3209876543209802</v>
      </c>
      <c r="AC462" s="244">
        <v>0.20788776891830901</v>
      </c>
      <c r="AD462" s="244">
        <f t="shared" si="83"/>
        <v>1.427515850144087</v>
      </c>
      <c r="AE462" s="244"/>
      <c r="AF462" s="244">
        <f t="shared" si="98"/>
        <v>1.1296829971181499E-3</v>
      </c>
      <c r="AG462" s="244">
        <f t="shared" si="99"/>
        <v>1.0570605187319801E-2</v>
      </c>
      <c r="AH462" s="244"/>
      <c r="AI462" s="244"/>
      <c r="AJ462" s="244"/>
      <c r="AK462" s="244"/>
      <c r="AL462" s="244"/>
      <c r="AM462" s="244"/>
    </row>
    <row r="463" spans="1:39">
      <c r="Z463" s="244" t="s">
        <v>1349</v>
      </c>
      <c r="AA463" s="244">
        <v>2100</v>
      </c>
      <c r="AB463" s="244">
        <v>2.2098765432098699</v>
      </c>
      <c r="AC463" s="244">
        <v>0.29458101399127401</v>
      </c>
      <c r="AD463" s="244">
        <f t="shared" si="83"/>
        <v>1.6270528338136345</v>
      </c>
      <c r="AE463" s="244"/>
      <c r="AF463" s="244">
        <f t="shared" si="98"/>
        <v>1.6945244956772299E-3</v>
      </c>
      <c r="AG463" s="244">
        <f t="shared" si="99"/>
        <v>1.1740634005763599E-2</v>
      </c>
      <c r="AH463" s="244"/>
      <c r="AI463" s="244"/>
      <c r="AJ463" s="244"/>
      <c r="AK463" s="244"/>
      <c r="AL463" s="244"/>
      <c r="AM463" s="244"/>
    </row>
    <row r="464" spans="1:39">
      <c r="Z464" s="244" t="s">
        <v>1350</v>
      </c>
      <c r="AA464" s="244">
        <v>2100</v>
      </c>
      <c r="AB464" s="244">
        <v>2.1604938271604901</v>
      </c>
      <c r="AC464" s="244">
        <v>0.34243568527155099</v>
      </c>
      <c r="AD464" s="244">
        <f t="shared" si="83"/>
        <v>1.7643362151777089</v>
      </c>
      <c r="AE464" s="244"/>
      <c r="AF464" s="244">
        <f t="shared" si="98"/>
        <v>1.85590778097982E-3</v>
      </c>
      <c r="AG464" s="244">
        <f t="shared" si="99"/>
        <v>1.1740634005763599E-2</v>
      </c>
      <c r="AH464" s="244"/>
      <c r="AI464" s="244"/>
      <c r="AJ464" s="244"/>
      <c r="AK464" s="244"/>
      <c r="AL464" s="244"/>
      <c r="AM464" s="244"/>
    </row>
    <row r="474" spans="1:16">
      <c r="A474" t="s">
        <v>2883</v>
      </c>
      <c r="K474" t="s">
        <v>2884</v>
      </c>
      <c r="L474" t="s">
        <v>2885</v>
      </c>
      <c r="M474" t="s">
        <v>1529</v>
      </c>
      <c r="N474" t="s">
        <v>2886</v>
      </c>
      <c r="O474" t="s">
        <v>2887</v>
      </c>
      <c r="P474" t="s">
        <v>2627</v>
      </c>
    </row>
    <row r="475" spans="1:16">
      <c r="J475" t="s">
        <v>2888</v>
      </c>
      <c r="K475">
        <v>0.32</v>
      </c>
      <c r="L475">
        <v>0.44</v>
      </c>
      <c r="M475">
        <v>0.32</v>
      </c>
      <c r="N475">
        <v>0.12</v>
      </c>
      <c r="O475">
        <v>0.09</v>
      </c>
      <c r="P475">
        <v>1.29</v>
      </c>
    </row>
    <row r="476" spans="1:16">
      <c r="J476" t="s">
        <v>2889</v>
      </c>
      <c r="K476">
        <v>8</v>
      </c>
      <c r="L476">
        <v>219</v>
      </c>
      <c r="M476">
        <v>223</v>
      </c>
      <c r="N476">
        <v>219</v>
      </c>
      <c r="O476">
        <v>77</v>
      </c>
      <c r="P476">
        <v>745</v>
      </c>
    </row>
    <row r="477" spans="1:16">
      <c r="J477" t="s">
        <v>2890</v>
      </c>
      <c r="K477">
        <v>3</v>
      </c>
      <c r="L477">
        <v>263</v>
      </c>
      <c r="M477">
        <v>147</v>
      </c>
      <c r="N477">
        <v>76</v>
      </c>
      <c r="O477">
        <v>25</v>
      </c>
      <c r="P477">
        <v>514</v>
      </c>
    </row>
    <row r="478" spans="1:16">
      <c r="J478" t="s">
        <v>2891</v>
      </c>
      <c r="K478">
        <v>0</v>
      </c>
      <c r="L478">
        <v>10</v>
      </c>
      <c r="M478">
        <v>8</v>
      </c>
      <c r="N478">
        <v>5</v>
      </c>
      <c r="O478">
        <v>3</v>
      </c>
      <c r="P478">
        <v>26</v>
      </c>
    </row>
    <row r="479" spans="1:16">
      <c r="J479" t="s">
        <v>2892</v>
      </c>
      <c r="K479">
        <f>K476+0.0279*K477+0.273*K478</f>
        <v>8.0837000000000003</v>
      </c>
      <c r="L479">
        <f t="shared" ref="L479:P479" si="100">L476+0.0279*L477+0.273*L478</f>
        <v>229.0677</v>
      </c>
      <c r="M479">
        <f t="shared" si="100"/>
        <v>229.28530000000001</v>
      </c>
      <c r="N479">
        <f t="shared" si="100"/>
        <v>222.4854</v>
      </c>
      <c r="O479">
        <f t="shared" si="100"/>
        <v>78.516500000000008</v>
      </c>
      <c r="P479">
        <f t="shared" si="100"/>
        <v>766.43859999999995</v>
      </c>
    </row>
    <row r="481" spans="10:16">
      <c r="J481" t="s">
        <v>2893</v>
      </c>
      <c r="K481">
        <f>K479/(K475*10^3)</f>
        <v>2.5261562500000001E-2</v>
      </c>
      <c r="L481">
        <f t="shared" ref="L481:P481" si="101">L479/(L475*10^3)</f>
        <v>0.52060840909090911</v>
      </c>
      <c r="M481">
        <f t="shared" si="101"/>
        <v>0.71651656250000006</v>
      </c>
      <c r="N481">
        <f t="shared" si="101"/>
        <v>1.8540449999999999</v>
      </c>
      <c r="O481">
        <f t="shared" si="101"/>
        <v>0.87240555555555566</v>
      </c>
      <c r="P481">
        <f t="shared" si="101"/>
        <v>0.59413844961240303</v>
      </c>
    </row>
  </sheetData>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368"/>
  <sheetViews>
    <sheetView topLeftCell="A370" workbookViewId="0">
      <selection activeCell="A338" sqref="A338:XFD369"/>
    </sheetView>
  </sheetViews>
  <sheetFormatPr baseColWidth="10" defaultRowHeight="16"/>
  <cols>
    <col min="2" max="2" width="11.1640625" bestFit="1" customWidth="1"/>
    <col min="3" max="3" width="20.83203125" customWidth="1"/>
    <col min="7" max="8" width="18.5" customWidth="1"/>
    <col min="9" max="9" width="26.83203125" customWidth="1"/>
    <col min="10" max="10" width="15.33203125" customWidth="1"/>
    <col min="11" max="11" width="16.5" customWidth="1"/>
    <col min="12" max="12" width="14.83203125" customWidth="1"/>
    <col min="15" max="15" width="27.1640625" bestFit="1" customWidth="1"/>
    <col min="16" max="16" width="26.83203125" bestFit="1" customWidth="1"/>
    <col min="17" max="17" width="13.33203125" bestFit="1" customWidth="1"/>
    <col min="18" max="18" width="27.1640625" bestFit="1" customWidth="1"/>
    <col min="19" max="19" width="26.83203125" bestFit="1" customWidth="1"/>
  </cols>
  <sheetData>
    <row r="1" spans="1:7">
      <c r="A1" s="143" t="s">
        <v>2894</v>
      </c>
      <c r="B1" s="143" t="s">
        <v>2895</v>
      </c>
    </row>
    <row r="2" spans="1:7">
      <c r="A2" s="141" t="s">
        <v>514</v>
      </c>
      <c r="B2" s="141" t="s">
        <v>2896</v>
      </c>
      <c r="C2" s="141" t="s">
        <v>651</v>
      </c>
      <c r="D2" s="141" t="s">
        <v>2897</v>
      </c>
      <c r="E2" s="199" t="s">
        <v>2898</v>
      </c>
      <c r="F2" s="141" t="s">
        <v>2899</v>
      </c>
      <c r="G2" s="141" t="s">
        <v>2900</v>
      </c>
    </row>
    <row r="3" spans="1:7">
      <c r="A3" s="141" t="s">
        <v>2901</v>
      </c>
      <c r="B3" s="141" t="s">
        <v>2902</v>
      </c>
      <c r="C3" s="141">
        <v>0</v>
      </c>
      <c r="D3" s="141">
        <v>107.01820499999999</v>
      </c>
      <c r="E3" s="141"/>
    </row>
    <row r="4" spans="1:7">
      <c r="A4" s="141" t="s">
        <v>2903</v>
      </c>
      <c r="B4" s="141" t="s">
        <v>2902</v>
      </c>
      <c r="C4" s="141">
        <v>0</v>
      </c>
      <c r="D4" s="141">
        <v>105.21369900000001</v>
      </c>
      <c r="E4" s="141"/>
    </row>
    <row r="5" spans="1:7">
      <c r="A5" s="141" t="s">
        <v>2901</v>
      </c>
      <c r="B5" s="141" t="s">
        <v>2904</v>
      </c>
      <c r="C5" s="141">
        <v>0</v>
      </c>
      <c r="D5" s="141">
        <v>107.01820499999999</v>
      </c>
      <c r="E5" s="141"/>
      <c r="G5" s="199"/>
    </row>
    <row r="6" spans="1:7">
      <c r="A6" s="141" t="s">
        <v>2903</v>
      </c>
      <c r="B6" s="141" t="s">
        <v>2904</v>
      </c>
      <c r="C6" s="141">
        <v>0</v>
      </c>
      <c r="D6" s="141">
        <v>107.01820499999999</v>
      </c>
      <c r="E6" s="141"/>
    </row>
    <row r="7" spans="1:7">
      <c r="A7" s="141" t="s">
        <v>2901</v>
      </c>
      <c r="B7" s="141" t="s">
        <v>2905</v>
      </c>
      <c r="C7" s="141">
        <v>0</v>
      </c>
      <c r="D7" s="141">
        <v>106.216202</v>
      </c>
      <c r="E7" s="141"/>
    </row>
    <row r="8" spans="1:7">
      <c r="A8" s="141" t="s">
        <v>2903</v>
      </c>
      <c r="B8" s="141" t="s">
        <v>2905</v>
      </c>
      <c r="C8" s="141">
        <v>0</v>
      </c>
      <c r="D8" s="141">
        <v>106.216202</v>
      </c>
      <c r="E8" s="141"/>
    </row>
    <row r="9" spans="1:7">
      <c r="A9" s="141" t="s">
        <v>2901</v>
      </c>
      <c r="B9" s="141" t="s">
        <v>2902</v>
      </c>
      <c r="C9" s="141">
        <v>20</v>
      </c>
      <c r="D9" s="141">
        <v>91.619616399999998</v>
      </c>
      <c r="E9" s="245"/>
    </row>
    <row r="10" spans="1:7">
      <c r="A10" s="141" t="s">
        <v>2903</v>
      </c>
      <c r="B10" s="141" t="s">
        <v>2902</v>
      </c>
      <c r="C10" s="141">
        <v>20</v>
      </c>
      <c r="D10" s="141">
        <v>86.005597199999997</v>
      </c>
      <c r="E10" s="141"/>
    </row>
    <row r="11" spans="1:7">
      <c r="A11" s="141" t="s">
        <v>2901</v>
      </c>
      <c r="B11" s="141" t="s">
        <v>2904</v>
      </c>
      <c r="C11" s="141">
        <v>20</v>
      </c>
      <c r="D11" s="141">
        <v>81.193580800000007</v>
      </c>
      <c r="E11" s="245"/>
      <c r="F11" s="199"/>
      <c r="G11" s="199"/>
    </row>
    <row r="12" spans="1:7">
      <c r="A12" s="141" t="s">
        <v>2903</v>
      </c>
      <c r="B12" s="141" t="s">
        <v>2904</v>
      </c>
      <c r="C12" s="141">
        <v>20</v>
      </c>
      <c r="D12" s="141">
        <v>72.973052800000005</v>
      </c>
      <c r="E12" s="141"/>
      <c r="F12" s="199"/>
    </row>
    <row r="13" spans="1:7">
      <c r="A13" s="141" t="s">
        <v>2901</v>
      </c>
      <c r="B13" s="141" t="s">
        <v>2905</v>
      </c>
      <c r="C13" s="141">
        <v>20</v>
      </c>
      <c r="D13" s="141">
        <v>52.1209816</v>
      </c>
      <c r="E13" s="245"/>
    </row>
    <row r="14" spans="1:7">
      <c r="A14" s="141" t="s">
        <v>2903</v>
      </c>
      <c r="B14" s="141" t="s">
        <v>2905</v>
      </c>
      <c r="C14" s="141">
        <v>20</v>
      </c>
      <c r="D14" s="141">
        <v>45.1034577</v>
      </c>
      <c r="E14" s="141"/>
    </row>
    <row r="15" spans="1:7">
      <c r="A15" s="141" t="s">
        <v>2901</v>
      </c>
      <c r="B15" s="141" t="s">
        <v>2902</v>
      </c>
      <c r="C15" s="141">
        <v>60</v>
      </c>
      <c r="D15" s="141">
        <v>71.248701499999996</v>
      </c>
      <c r="E15" s="141"/>
    </row>
    <row r="16" spans="1:7">
      <c r="A16" s="141" t="s">
        <v>2903</v>
      </c>
      <c r="B16" s="141" t="s">
        <v>2902</v>
      </c>
      <c r="C16" s="141">
        <v>60</v>
      </c>
      <c r="D16" s="141">
        <v>62.827672700000001</v>
      </c>
      <c r="E16" s="141"/>
    </row>
    <row r="17" spans="1:7">
      <c r="A17" s="141" t="s">
        <v>2901</v>
      </c>
      <c r="B17" s="141" t="s">
        <v>2904</v>
      </c>
      <c r="C17" s="141">
        <v>60</v>
      </c>
      <c r="D17" s="141">
        <v>56.411650799999997</v>
      </c>
      <c r="E17" s="141"/>
      <c r="G17" s="199"/>
    </row>
    <row r="18" spans="1:7">
      <c r="A18" s="141" t="s">
        <v>2903</v>
      </c>
      <c r="B18" s="141" t="s">
        <v>2904</v>
      </c>
      <c r="C18" s="141">
        <v>60</v>
      </c>
      <c r="D18" s="141">
        <v>49.394126900000003</v>
      </c>
      <c r="E18" s="141"/>
    </row>
    <row r="19" spans="1:7">
      <c r="A19" s="141" t="s">
        <v>2901</v>
      </c>
      <c r="B19" s="141" t="s">
        <v>2905</v>
      </c>
      <c r="C19" s="141">
        <v>60</v>
      </c>
      <c r="D19" s="141">
        <v>33.153571499999998</v>
      </c>
      <c r="E19" s="141"/>
    </row>
    <row r="20" spans="1:7">
      <c r="A20" s="141" t="s">
        <v>2903</v>
      </c>
      <c r="B20" s="141" t="s">
        <v>2905</v>
      </c>
      <c r="C20" s="141">
        <v>60</v>
      </c>
      <c r="D20" s="141">
        <v>27.740053</v>
      </c>
      <c r="E20" s="141"/>
    </row>
    <row r="21" spans="1:7">
      <c r="A21" s="141" t="s">
        <v>2901</v>
      </c>
      <c r="B21" s="141" t="s">
        <v>2902</v>
      </c>
      <c r="C21" s="141">
        <v>100</v>
      </c>
      <c r="D21" s="141">
        <v>59.701633200000003</v>
      </c>
      <c r="E21" s="246"/>
    </row>
    <row r="22" spans="1:7">
      <c r="A22" s="141" t="s">
        <v>2903</v>
      </c>
      <c r="B22" s="141" t="s">
        <v>2902</v>
      </c>
      <c r="C22" s="141">
        <v>100</v>
      </c>
      <c r="D22" s="141">
        <v>51.881879400000003</v>
      </c>
      <c r="E22" s="141"/>
    </row>
    <row r="23" spans="1:7">
      <c r="A23" s="141" t="s">
        <v>2901</v>
      </c>
      <c r="B23" s="141" t="s">
        <v>2904</v>
      </c>
      <c r="C23" s="141">
        <v>100</v>
      </c>
      <c r="D23" s="141">
        <v>46.669542900000003</v>
      </c>
      <c r="E23" s="246"/>
      <c r="F23" s="245"/>
    </row>
    <row r="24" spans="1:7">
      <c r="A24" s="141" t="s">
        <v>2903</v>
      </c>
      <c r="B24" s="141" t="s">
        <v>2904</v>
      </c>
      <c r="C24" s="141">
        <v>100</v>
      </c>
      <c r="D24" s="141">
        <v>40.2526127</v>
      </c>
      <c r="E24" s="141"/>
      <c r="F24" s="245"/>
    </row>
    <row r="25" spans="1:7">
      <c r="A25" s="141" t="s">
        <v>2901</v>
      </c>
      <c r="B25" s="141" t="s">
        <v>2905</v>
      </c>
      <c r="C25" s="141">
        <v>100</v>
      </c>
      <c r="D25" s="141">
        <v>25.616516900000001</v>
      </c>
      <c r="E25" s="246"/>
    </row>
    <row r="26" spans="1:7">
      <c r="A26" s="141" t="s">
        <v>2903</v>
      </c>
      <c r="B26" s="141" t="s">
        <v>2905</v>
      </c>
      <c r="C26" s="141">
        <v>100</v>
      </c>
      <c r="D26" s="141">
        <v>20.6039998</v>
      </c>
      <c r="E26" s="141"/>
    </row>
    <row r="27" spans="1:7">
      <c r="B27" s="141" t="s">
        <v>798</v>
      </c>
      <c r="C27" t="s">
        <v>1397</v>
      </c>
      <c r="D27" s="141">
        <v>110</v>
      </c>
      <c r="G27" s="199"/>
    </row>
    <row r="28" spans="1:7">
      <c r="B28" s="141" t="s">
        <v>2906</v>
      </c>
      <c r="C28" t="s">
        <v>1397</v>
      </c>
      <c r="D28" s="141">
        <v>89</v>
      </c>
    </row>
    <row r="29" spans="1:7">
      <c r="B29" s="141" t="s">
        <v>2907</v>
      </c>
      <c r="C29" t="s">
        <v>1397</v>
      </c>
      <c r="D29" s="141">
        <v>78</v>
      </c>
      <c r="G29" s="199"/>
    </row>
    <row r="33" spans="1:6">
      <c r="A33" t="s">
        <v>2908</v>
      </c>
    </row>
    <row r="34" spans="1:6">
      <c r="A34" s="141"/>
      <c r="B34" s="141" t="s">
        <v>2909</v>
      </c>
      <c r="C34" s="141" t="s">
        <v>2910</v>
      </c>
      <c r="D34" s="141" t="s">
        <v>2911</v>
      </c>
      <c r="E34" s="141" t="s">
        <v>2912</v>
      </c>
      <c r="F34" s="141" t="s">
        <v>2167</v>
      </c>
    </row>
    <row r="35" spans="1:6">
      <c r="A35" s="141"/>
      <c r="B35" s="141"/>
      <c r="C35" s="141"/>
      <c r="D35" s="141"/>
      <c r="E35" s="141"/>
      <c r="F35" t="s">
        <v>2913</v>
      </c>
    </row>
    <row r="36" spans="1:6">
      <c r="A36" s="141">
        <v>2015</v>
      </c>
      <c r="B36" s="141">
        <v>18.57</v>
      </c>
      <c r="C36" s="141">
        <v>18.569151600000001</v>
      </c>
      <c r="D36" s="141">
        <v>18.57</v>
      </c>
      <c r="E36" s="141">
        <v>18.57</v>
      </c>
    </row>
    <row r="37" spans="1:6">
      <c r="A37" s="141">
        <v>2016</v>
      </c>
      <c r="B37" s="141">
        <v>18.579999999999998</v>
      </c>
      <c r="C37" s="141">
        <v>18.573927600000001</v>
      </c>
      <c r="D37" s="141">
        <v>18.579999999999998</v>
      </c>
      <c r="E37" s="141">
        <v>18.57</v>
      </c>
    </row>
    <row r="38" spans="1:6">
      <c r="A38" s="141">
        <v>2017</v>
      </c>
      <c r="B38" s="141">
        <v>18.57</v>
      </c>
      <c r="C38" s="141">
        <v>18.568878600000001</v>
      </c>
      <c r="D38" s="141">
        <v>18.592622500000001</v>
      </c>
      <c r="E38" s="141">
        <v>18.559999999999999</v>
      </c>
    </row>
    <row r="39" spans="1:6">
      <c r="A39" s="141">
        <v>2018</v>
      </c>
      <c r="B39" s="141">
        <v>18.71</v>
      </c>
      <c r="C39" s="141">
        <v>18.703791299999999</v>
      </c>
      <c r="D39" s="141">
        <v>18.684118399999999</v>
      </c>
      <c r="E39" s="141">
        <v>18.71</v>
      </c>
    </row>
    <row r="40" spans="1:6">
      <c r="A40" s="141">
        <v>2019</v>
      </c>
      <c r="B40" s="141">
        <v>18.77</v>
      </c>
      <c r="C40" s="141">
        <v>18.756290100000001</v>
      </c>
      <c r="D40" s="141">
        <v>18.753371399999999</v>
      </c>
      <c r="E40" s="141">
        <v>18.77</v>
      </c>
    </row>
    <row r="41" spans="1:6">
      <c r="A41" s="141">
        <v>2020</v>
      </c>
      <c r="B41" s="141">
        <v>18.873455499999999</v>
      </c>
      <c r="C41" s="141">
        <v>18.118988000000002</v>
      </c>
      <c r="D41" s="141">
        <v>18.1547056</v>
      </c>
      <c r="E41" s="141">
        <v>19.471593200000001</v>
      </c>
    </row>
    <row r="42" spans="1:6">
      <c r="A42" s="141">
        <v>2021</v>
      </c>
      <c r="B42" s="141"/>
      <c r="C42" s="141">
        <v>18.148857400000001</v>
      </c>
      <c r="D42" s="141">
        <v>18.191283800000001</v>
      </c>
      <c r="E42" s="141">
        <v>19.529575900000001</v>
      </c>
    </row>
    <row r="43" spans="1:6">
      <c r="A43" s="141">
        <v>2022</v>
      </c>
      <c r="B43" s="141">
        <v>18.918486999999999</v>
      </c>
      <c r="C43" s="141">
        <v>18.240739900000001</v>
      </c>
      <c r="D43" s="141">
        <v>18.246084499999998</v>
      </c>
      <c r="E43" s="141">
        <v>19.602271399999999</v>
      </c>
    </row>
    <row r="44" spans="1:6">
      <c r="A44" s="141">
        <v>2023</v>
      </c>
      <c r="B44" s="141">
        <v>18.989999999999998</v>
      </c>
      <c r="C44" s="141">
        <v>18.321614700000001</v>
      </c>
      <c r="D44" s="141">
        <v>18.3139729</v>
      </c>
      <c r="E44" s="141">
        <v>19.6780683</v>
      </c>
    </row>
    <row r="45" spans="1:6">
      <c r="A45" s="141">
        <v>2024</v>
      </c>
      <c r="B45" s="141">
        <v>19.11</v>
      </c>
      <c r="C45" s="141">
        <v>18.309879200000001</v>
      </c>
      <c r="D45" s="141">
        <v>18.448521700000001</v>
      </c>
      <c r="E45" s="141">
        <v>19.731919999999999</v>
      </c>
    </row>
    <row r="46" spans="1:6">
      <c r="A46" s="141">
        <v>2025</v>
      </c>
      <c r="B46" s="141">
        <v>18.34</v>
      </c>
      <c r="C46" s="141">
        <v>17.809756400000001</v>
      </c>
      <c r="D46" s="141">
        <v>17.710004699999999</v>
      </c>
      <c r="E46" s="141">
        <v>19.056037799999999</v>
      </c>
    </row>
    <row r="47" spans="1:6">
      <c r="A47" s="141">
        <v>2026</v>
      </c>
      <c r="B47" s="141">
        <v>18.349452299999999</v>
      </c>
      <c r="C47" s="141">
        <v>17.836322599999999</v>
      </c>
      <c r="D47" s="141">
        <v>17.7486909</v>
      </c>
      <c r="E47" s="141">
        <v>18.992174899999998</v>
      </c>
    </row>
    <row r="48" spans="1:6">
      <c r="A48" s="141">
        <v>2027</v>
      </c>
      <c r="B48" s="141">
        <v>18.390390100000001</v>
      </c>
      <c r="C48" s="141">
        <v>17.873564300000002</v>
      </c>
      <c r="D48" s="141">
        <v>17.819122400000001</v>
      </c>
      <c r="E48" s="141">
        <v>19.042044600000001</v>
      </c>
    </row>
    <row r="49" spans="1:5">
      <c r="A49" s="141">
        <v>2028</v>
      </c>
      <c r="B49" s="141">
        <v>18.484546900000002</v>
      </c>
      <c r="C49" s="141">
        <v>18.0037144</v>
      </c>
      <c r="D49" s="141">
        <v>17.932910799999998</v>
      </c>
      <c r="E49" s="141">
        <v>19.158903200000001</v>
      </c>
    </row>
    <row r="50" spans="1:5">
      <c r="A50" s="141">
        <v>2029</v>
      </c>
      <c r="B50" s="141">
        <v>18.611453900000001</v>
      </c>
      <c r="C50" s="141">
        <v>18.115424900000001</v>
      </c>
      <c r="D50" s="141">
        <v>18.039007699999999</v>
      </c>
      <c r="E50" s="141">
        <v>19.270551600000001</v>
      </c>
    </row>
    <row r="51" spans="1:5">
      <c r="A51" s="141">
        <v>2030</v>
      </c>
      <c r="B51" s="141">
        <v>18.73</v>
      </c>
      <c r="C51" s="141">
        <v>18.192121100000001</v>
      </c>
      <c r="D51" s="141">
        <v>18.104937</v>
      </c>
      <c r="E51" s="141">
        <v>19.36843</v>
      </c>
    </row>
    <row r="52" spans="1:5">
      <c r="A52" s="141">
        <v>2031</v>
      </c>
      <c r="B52" s="141">
        <v>18.816142599999999</v>
      </c>
      <c r="C52" s="141">
        <v>18.265840099999998</v>
      </c>
      <c r="D52" s="141">
        <v>18.189662200000001</v>
      </c>
      <c r="E52" s="141">
        <v>19.4462118</v>
      </c>
    </row>
    <row r="53" spans="1:5">
      <c r="A53" s="141">
        <v>2032</v>
      </c>
      <c r="B53" s="141">
        <v>18.8898306</v>
      </c>
      <c r="C53" s="141">
        <v>18.3131418</v>
      </c>
      <c r="D53" s="141">
        <v>18.235305100000001</v>
      </c>
      <c r="E53" s="141">
        <v>19.500175200000001</v>
      </c>
    </row>
    <row r="54" spans="1:5">
      <c r="A54" s="141">
        <v>2033</v>
      </c>
      <c r="B54" s="141">
        <v>18.963518499999999</v>
      </c>
      <c r="C54" s="141">
        <v>18.417557800000001</v>
      </c>
      <c r="D54" s="141">
        <v>18.314203299999999</v>
      </c>
      <c r="E54" s="141">
        <v>19.610334900000002</v>
      </c>
    </row>
    <row r="55" spans="1:5">
      <c r="A55" s="141">
        <v>2034</v>
      </c>
      <c r="B55" s="141">
        <v>19.07</v>
      </c>
      <c r="C55" s="141">
        <v>18.541700200000001</v>
      </c>
      <c r="D55" s="141">
        <v>18.440684999999998</v>
      </c>
      <c r="E55" s="141">
        <v>19.691391599999999</v>
      </c>
    </row>
    <row r="56" spans="1:5">
      <c r="A56" s="141">
        <v>2035</v>
      </c>
      <c r="B56" s="141">
        <v>18.144763600000001</v>
      </c>
      <c r="C56" s="141">
        <v>17.755036199999999</v>
      </c>
      <c r="D56" s="141">
        <v>17.637866599999999</v>
      </c>
      <c r="E56" s="141">
        <v>18.797311300000001</v>
      </c>
    </row>
    <row r="57" spans="1:5">
      <c r="A57" s="141">
        <v>2036</v>
      </c>
      <c r="B57" s="141">
        <v>18.136576000000002</v>
      </c>
      <c r="C57" s="141">
        <v>17.7538701</v>
      </c>
      <c r="D57" s="141">
        <v>17.603020799999999</v>
      </c>
      <c r="E57" s="141">
        <v>18.7156591</v>
      </c>
    </row>
    <row r="58" spans="1:5">
      <c r="A58" s="141">
        <v>2037</v>
      </c>
      <c r="B58" s="141">
        <v>18.2184515</v>
      </c>
      <c r="C58" s="141">
        <v>17.8441051</v>
      </c>
      <c r="D58" s="141">
        <v>17.686633</v>
      </c>
      <c r="E58" s="141">
        <v>18.806466400000001</v>
      </c>
    </row>
    <row r="59" spans="1:5">
      <c r="A59" s="141">
        <v>2038</v>
      </c>
      <c r="B59" s="141">
        <v>18.341264800000001</v>
      </c>
      <c r="C59" s="141">
        <v>17.892190100000001</v>
      </c>
      <c r="D59" s="141">
        <v>17.779053099999999</v>
      </c>
      <c r="E59" s="141">
        <v>18.887597599999999</v>
      </c>
    </row>
    <row r="60" spans="1:5">
      <c r="A60" s="141">
        <v>2039</v>
      </c>
      <c r="B60" s="141">
        <v>18.41</v>
      </c>
      <c r="C60" s="141">
        <v>18.012008300000002</v>
      </c>
      <c r="D60" s="141">
        <v>17.8626653</v>
      </c>
      <c r="E60" s="141">
        <v>19.024553000000001</v>
      </c>
    </row>
    <row r="61" spans="1:5">
      <c r="A61" s="141">
        <v>2040</v>
      </c>
      <c r="B61" s="141">
        <v>18.5213909</v>
      </c>
      <c r="C61" s="141">
        <v>18.1446395</v>
      </c>
      <c r="D61" s="141">
        <v>18.0104878</v>
      </c>
      <c r="E61" s="141">
        <v>19.1179655</v>
      </c>
    </row>
    <row r="62" spans="1:5">
      <c r="A62" s="141">
        <v>2041</v>
      </c>
      <c r="B62" s="141">
        <v>18.488640700000001</v>
      </c>
      <c r="C62" s="141">
        <v>18.1332266</v>
      </c>
      <c r="D62" s="141">
        <v>18.001561200000001</v>
      </c>
      <c r="E62" s="141">
        <v>19.111564300000001</v>
      </c>
    </row>
    <row r="63" spans="1:5">
      <c r="A63" s="141">
        <v>2042</v>
      </c>
      <c r="B63" s="141">
        <v>18.52</v>
      </c>
      <c r="C63" s="141">
        <v>18.1600222</v>
      </c>
      <c r="D63" s="141">
        <v>18.018228700000002</v>
      </c>
      <c r="E63" s="141">
        <v>19.150839699999999</v>
      </c>
    </row>
    <row r="64" spans="1:5">
      <c r="A64" s="141">
        <v>2043</v>
      </c>
      <c r="B64" s="141">
        <v>18.611453900000001</v>
      </c>
      <c r="C64" s="141">
        <v>18.205053700000001</v>
      </c>
      <c r="D64" s="141">
        <v>18.063037000000001</v>
      </c>
      <c r="E64" s="141">
        <v>19.2232871</v>
      </c>
    </row>
    <row r="65" spans="1:5">
      <c r="A65" s="141">
        <v>2044</v>
      </c>
      <c r="B65" s="141">
        <v>18.480453099999998</v>
      </c>
      <c r="C65" s="141">
        <v>18.326096799999998</v>
      </c>
      <c r="D65" s="141">
        <v>18.183602</v>
      </c>
      <c r="E65" s="141">
        <v>19.278056899999999</v>
      </c>
    </row>
    <row r="66" spans="1:5">
      <c r="A66" s="141">
        <v>2045</v>
      </c>
      <c r="B66" s="141">
        <v>17.989200199999999</v>
      </c>
      <c r="C66" s="141">
        <v>17.6413534</v>
      </c>
      <c r="D66" s="141">
        <v>17.534232899999999</v>
      </c>
      <c r="E66" s="141">
        <v>18.614524200000002</v>
      </c>
    </row>
    <row r="67" spans="1:5">
      <c r="A67" s="141">
        <v>2046</v>
      </c>
      <c r="B67" s="141">
        <v>18.0301379</v>
      </c>
      <c r="C67" s="141">
        <v>17.703864100000001</v>
      </c>
      <c r="D67" s="141">
        <v>17.620016100000001</v>
      </c>
      <c r="E67" s="141">
        <v>18.6148034</v>
      </c>
    </row>
    <row r="68" spans="1:5">
      <c r="A68" s="141">
        <v>2047</v>
      </c>
      <c r="B68" s="141">
        <v>18.095638300000001</v>
      </c>
      <c r="C68" s="141">
        <v>17.7776885</v>
      </c>
      <c r="D68" s="141">
        <v>17.667280600000002</v>
      </c>
      <c r="E68" s="141">
        <v>18.697423199999999</v>
      </c>
    </row>
    <row r="69" spans="1:5">
      <c r="A69" s="141">
        <v>2048</v>
      </c>
      <c r="B69" s="141">
        <v>18.152951099999999</v>
      </c>
      <c r="C69" s="141">
        <v>17.828426499999999</v>
      </c>
      <c r="D69" s="141">
        <v>17.731292400000001</v>
      </c>
      <c r="E69" s="141">
        <v>18.767017299999999</v>
      </c>
    </row>
    <row r="70" spans="1:5">
      <c r="A70" s="141">
        <v>2049</v>
      </c>
      <c r="B70" s="141">
        <v>18.251201699999999</v>
      </c>
      <c r="C70" s="141">
        <v>17.888716599999999</v>
      </c>
      <c r="D70" s="141">
        <v>17.791582500000001</v>
      </c>
      <c r="E70" s="141">
        <v>18.839960999999999</v>
      </c>
    </row>
    <row r="71" spans="1:5">
      <c r="A71" s="141">
        <v>2050</v>
      </c>
      <c r="B71" s="141">
        <v>18.309999999999999</v>
      </c>
      <c r="C71" s="141">
        <v>17.976387200000001</v>
      </c>
      <c r="D71" s="141">
        <v>17.875691</v>
      </c>
      <c r="E71" s="141">
        <v>18.915881899999999</v>
      </c>
    </row>
    <row r="72" spans="1:5">
      <c r="A72" s="141">
        <v>2051</v>
      </c>
      <c r="B72" s="141">
        <v>18.3248897</v>
      </c>
      <c r="C72" s="141">
        <v>17.981384800000001</v>
      </c>
      <c r="D72" s="141">
        <v>17.873457999999999</v>
      </c>
      <c r="E72" s="141">
        <v>18.927418899999999</v>
      </c>
    </row>
    <row r="73" spans="1:5">
      <c r="A73" s="141">
        <v>2052</v>
      </c>
      <c r="B73" s="141">
        <v>18.316702100000001</v>
      </c>
      <c r="C73" s="141">
        <v>18.0030942</v>
      </c>
      <c r="D73" s="141">
        <v>17.909557599999999</v>
      </c>
      <c r="E73" s="141">
        <v>18.9714828</v>
      </c>
    </row>
    <row r="74" spans="1:5">
      <c r="A74" s="141">
        <v>2053</v>
      </c>
      <c r="B74" s="141">
        <v>18.398577599999999</v>
      </c>
      <c r="C74" s="141">
        <v>18.059645</v>
      </c>
      <c r="D74" s="141">
        <v>17.960196400000001</v>
      </c>
      <c r="E74" s="141">
        <v>19.0219478</v>
      </c>
    </row>
    <row r="75" spans="1:5">
      <c r="A75" s="141">
        <v>2054</v>
      </c>
      <c r="B75" s="141">
        <v>18.4231403</v>
      </c>
      <c r="C75" s="141">
        <v>18.1202009</v>
      </c>
      <c r="D75" s="141">
        <v>17.995673199999999</v>
      </c>
      <c r="E75" s="141">
        <v>19.0372065</v>
      </c>
    </row>
    <row r="76" spans="1:5">
      <c r="A76" s="141">
        <v>2055</v>
      </c>
      <c r="B76" s="141">
        <v>17.89</v>
      </c>
      <c r="C76" s="141">
        <v>17.555669399999999</v>
      </c>
      <c r="D76" s="141">
        <v>17.611828599999999</v>
      </c>
      <c r="E76" s="141">
        <v>18.462031100000001</v>
      </c>
    </row>
    <row r="77" spans="1:5">
      <c r="A77" s="141">
        <v>2056</v>
      </c>
      <c r="B77" s="141">
        <v>17.899999999999999</v>
      </c>
      <c r="C77" s="141">
        <v>17.572407999999999</v>
      </c>
      <c r="D77" s="141">
        <v>17.6474458</v>
      </c>
      <c r="E77" s="141">
        <v>18.480453099999998</v>
      </c>
    </row>
    <row r="78" spans="1:5">
      <c r="A78" s="141">
        <v>2057</v>
      </c>
      <c r="B78" s="141">
        <v>17.948262400000001</v>
      </c>
      <c r="C78" s="141">
        <v>17.5950813</v>
      </c>
      <c r="D78" s="141">
        <v>17.673979500000002</v>
      </c>
      <c r="E78" s="141">
        <v>18.532183499999999</v>
      </c>
    </row>
    <row r="79" spans="1:5">
      <c r="A79" s="141">
        <v>2058</v>
      </c>
      <c r="B79" s="141">
        <v>17.97</v>
      </c>
      <c r="C79" s="141">
        <v>17.644808300000001</v>
      </c>
      <c r="D79" s="141">
        <v>17.721740199999999</v>
      </c>
      <c r="E79" s="141">
        <v>18.589124200000001</v>
      </c>
    </row>
    <row r="80" spans="1:5">
      <c r="A80" s="141">
        <v>2059</v>
      </c>
      <c r="B80" s="141">
        <v>18.05</v>
      </c>
      <c r="C80" s="141">
        <v>17.7130151</v>
      </c>
      <c r="D80" s="141">
        <v>17.7737187</v>
      </c>
      <c r="E80" s="141">
        <v>18.660331100000001</v>
      </c>
    </row>
    <row r="81" spans="1:7">
      <c r="A81" s="141">
        <v>2060</v>
      </c>
      <c r="B81" s="141">
        <v>18.046513000000001</v>
      </c>
      <c r="C81" s="141">
        <v>17.700403000000001</v>
      </c>
      <c r="D81" s="141">
        <v>17.763670399999999</v>
      </c>
      <c r="E81" s="141">
        <v>18.645320600000002</v>
      </c>
    </row>
    <row r="82" spans="1:7">
      <c r="A82" s="141">
        <v>2061</v>
      </c>
      <c r="B82" s="141">
        <v>18.062888099999999</v>
      </c>
      <c r="C82" s="141">
        <v>17.714545099999999</v>
      </c>
      <c r="D82" s="141">
        <v>17.7599488</v>
      </c>
      <c r="E82" s="141">
        <v>18.670999699999999</v>
      </c>
    </row>
    <row r="83" spans="1:7">
      <c r="A83" s="141">
        <v>2062</v>
      </c>
      <c r="B83" s="141">
        <v>18.013762799999999</v>
      </c>
      <c r="C83" s="141">
        <v>17.691843299999999</v>
      </c>
      <c r="D83" s="141">
        <v>17.739479899999999</v>
      </c>
      <c r="E83" s="141">
        <v>18.659462699999999</v>
      </c>
    </row>
    <row r="84" spans="1:7">
      <c r="A84" s="141">
        <v>2063</v>
      </c>
      <c r="B84" s="141">
        <v>18.046513000000001</v>
      </c>
      <c r="C84" s="141">
        <v>17.7082184</v>
      </c>
      <c r="D84" s="141">
        <v>17.7599488</v>
      </c>
      <c r="E84" s="141">
        <v>18.688491299999999</v>
      </c>
    </row>
    <row r="85" spans="1:7">
      <c r="A85" s="141">
        <v>2064</v>
      </c>
      <c r="B85" s="141">
        <v>18.095638300000001</v>
      </c>
      <c r="C85" s="141">
        <v>17.722360500000001</v>
      </c>
      <c r="D85" s="141">
        <v>17.775914499999999</v>
      </c>
      <c r="E85" s="141">
        <v>18.699470099999999</v>
      </c>
    </row>
    <row r="86" spans="1:7">
      <c r="A86" s="141">
        <v>2065</v>
      </c>
      <c r="B86" s="141">
        <v>17.510000000000002</v>
      </c>
      <c r="C86" s="141">
        <v>17.3137273</v>
      </c>
      <c r="D86" s="141">
        <v>17.512173099999998</v>
      </c>
      <c r="E86" s="141">
        <v>18.1195807</v>
      </c>
    </row>
    <row r="87" spans="1:7">
      <c r="A87" s="141">
        <v>2066</v>
      </c>
      <c r="B87" s="141">
        <v>17.52</v>
      </c>
      <c r="C87" s="141">
        <v>17.316286000000002</v>
      </c>
      <c r="D87" s="141">
        <v>17.5035296</v>
      </c>
      <c r="E87" s="141">
        <v>18.1153628</v>
      </c>
    </row>
    <row r="88" spans="1:7">
      <c r="A88" s="141">
        <v>2067</v>
      </c>
      <c r="B88" s="141">
        <v>17.52</v>
      </c>
      <c r="C88" s="141">
        <v>17.3308468</v>
      </c>
      <c r="D88" s="141">
        <v>17.5076234</v>
      </c>
      <c r="E88" s="141">
        <v>18.1283885</v>
      </c>
    </row>
    <row r="89" spans="1:7">
      <c r="A89" s="141">
        <v>2068</v>
      </c>
      <c r="B89" s="141">
        <v>17.53</v>
      </c>
      <c r="C89" s="141">
        <v>17.350385200000002</v>
      </c>
      <c r="D89" s="141">
        <v>17.501668800000001</v>
      </c>
      <c r="E89" s="141">
        <v>18.1466244</v>
      </c>
    </row>
    <row r="90" spans="1:7">
      <c r="A90" s="141">
        <v>2069</v>
      </c>
      <c r="B90" s="141">
        <v>17.54</v>
      </c>
      <c r="C90" s="141">
        <v>17.3509435</v>
      </c>
      <c r="D90" s="141">
        <v>17.537396300000001</v>
      </c>
      <c r="E90" s="141">
        <v>18.187562100000001</v>
      </c>
    </row>
    <row r="91" spans="1:7">
      <c r="A91" s="141">
        <v>2070</v>
      </c>
      <c r="B91" s="141">
        <v>17.61</v>
      </c>
      <c r="C91" s="141">
        <v>17.404609099999998</v>
      </c>
      <c r="D91" s="141">
        <v>17.5787993</v>
      </c>
      <c r="E91" s="141">
        <v>18.2136134</v>
      </c>
    </row>
    <row r="92" spans="1:7">
      <c r="A92" s="141"/>
      <c r="B92" s="141" t="s">
        <v>2909</v>
      </c>
      <c r="C92" s="141" t="s">
        <v>2910</v>
      </c>
      <c r="D92" s="141" t="s">
        <v>2911</v>
      </c>
      <c r="E92" s="141" t="s">
        <v>2912</v>
      </c>
      <c r="F92" s="141" t="s">
        <v>2914</v>
      </c>
      <c r="G92" t="s">
        <v>2915</v>
      </c>
    </row>
    <row r="93" spans="1:7">
      <c r="A93" s="141" t="s">
        <v>2916</v>
      </c>
      <c r="B93" s="141">
        <v>1007.15629</v>
      </c>
      <c r="C93" s="141">
        <v>1005.5734200000001</v>
      </c>
      <c r="D93" s="141">
        <v>1004.24321</v>
      </c>
      <c r="E93" s="141">
        <v>1057.8496500000001</v>
      </c>
      <c r="F93">
        <f>B93+4.2/tC_to_m3*55</f>
        <v>1060.3555900000001</v>
      </c>
      <c r="G93">
        <f>E93+4.2/tC_to_m3*55</f>
        <v>1111.0489500000001</v>
      </c>
    </row>
    <row r="96" spans="1:7">
      <c r="A96" t="s">
        <v>2917</v>
      </c>
    </row>
    <row r="97" spans="1:8">
      <c r="B97" s="141" t="s">
        <v>1214</v>
      </c>
      <c r="D97" s="141"/>
      <c r="F97" s="141"/>
      <c r="H97" s="141"/>
    </row>
    <row r="98" spans="1:8">
      <c r="A98" s="141" t="s">
        <v>2918</v>
      </c>
      <c r="B98" s="141" t="s">
        <v>2295</v>
      </c>
      <c r="C98" s="141" t="s">
        <v>1645</v>
      </c>
      <c r="D98" s="141" t="s">
        <v>2919</v>
      </c>
      <c r="E98" s="141" t="s">
        <v>2920</v>
      </c>
      <c r="G98" s="141"/>
    </row>
    <row r="99" spans="1:8">
      <c r="A99" s="141">
        <v>2015</v>
      </c>
      <c r="B99" s="141">
        <v>8.1847507299999993</v>
      </c>
      <c r="C99" s="141">
        <v>8.1964809400000007</v>
      </c>
      <c r="D99" s="141">
        <v>8.1906158399999995</v>
      </c>
      <c r="E99" s="141">
        <v>8.1906158399999995</v>
      </c>
      <c r="G99" s="141"/>
    </row>
    <row r="100" spans="1:8">
      <c r="A100" s="141">
        <v>2016</v>
      </c>
      <c r="B100" s="141">
        <v>8.2551319599999999</v>
      </c>
      <c r="C100" s="141">
        <v>8.2492668600000005</v>
      </c>
      <c r="D100" s="141">
        <v>8.2609970700000002</v>
      </c>
      <c r="E100" s="141">
        <v>8.2492668600000005</v>
      </c>
      <c r="G100" s="141"/>
    </row>
    <row r="101" spans="1:8">
      <c r="A101" s="141">
        <v>2017</v>
      </c>
      <c r="B101" s="141">
        <v>8.2727272700000007</v>
      </c>
      <c r="C101" s="141">
        <v>8.2668621699999996</v>
      </c>
      <c r="D101" s="141">
        <v>8.2727272700000007</v>
      </c>
      <c r="E101" s="141">
        <v>8.2727272700000007</v>
      </c>
      <c r="G101" s="141"/>
    </row>
    <row r="102" spans="1:8">
      <c r="A102" s="141">
        <v>2018</v>
      </c>
      <c r="B102" s="141">
        <v>8.3665689099999998</v>
      </c>
      <c r="C102" s="141">
        <v>8.3841642200000006</v>
      </c>
      <c r="D102" s="141">
        <v>8.3841642200000006</v>
      </c>
      <c r="E102" s="141">
        <v>8.3665689099999998</v>
      </c>
      <c r="G102" s="141"/>
    </row>
    <row r="103" spans="1:8">
      <c r="A103" s="141">
        <v>2019</v>
      </c>
      <c r="B103" s="141">
        <v>8.4134897399999993</v>
      </c>
      <c r="C103" s="141">
        <v>8.4252199399999999</v>
      </c>
      <c r="D103" s="141">
        <v>8.4134897399999993</v>
      </c>
      <c r="E103" s="141">
        <v>8.4252199399999999</v>
      </c>
      <c r="G103" s="141"/>
    </row>
    <row r="104" spans="1:8">
      <c r="A104" s="141">
        <v>2020</v>
      </c>
      <c r="B104" s="141">
        <v>7.7448680400000001</v>
      </c>
      <c r="C104" s="141">
        <v>8.4545454499999995</v>
      </c>
      <c r="D104" s="141">
        <v>7.7214076199999999</v>
      </c>
      <c r="E104" s="141">
        <v>9.1114369499999999</v>
      </c>
      <c r="G104" s="141"/>
    </row>
    <row r="105" spans="1:8">
      <c r="A105" s="141">
        <v>2021</v>
      </c>
      <c r="B105" s="141">
        <v>7.8211143700000001</v>
      </c>
      <c r="C105" s="141">
        <v>8.5190615800000007</v>
      </c>
      <c r="D105" s="141">
        <v>7.7683284500000003</v>
      </c>
      <c r="E105" s="141">
        <v>9.1642228699999997</v>
      </c>
      <c r="G105" s="141"/>
    </row>
    <row r="106" spans="1:8">
      <c r="A106" s="141">
        <v>2022</v>
      </c>
      <c r="B106" s="141">
        <v>7.8856305000000004</v>
      </c>
      <c r="C106" s="141">
        <v>8.6011730199999992</v>
      </c>
      <c r="D106" s="141">
        <v>7.8621700900000002</v>
      </c>
      <c r="E106" s="141">
        <v>9.2463343099999999</v>
      </c>
      <c r="G106" s="141"/>
    </row>
    <row r="107" spans="1:8">
      <c r="A107" s="141">
        <v>2023</v>
      </c>
      <c r="B107" s="141">
        <v>7.8856305000000004</v>
      </c>
      <c r="C107" s="141">
        <v>8.6422287400000002</v>
      </c>
      <c r="D107" s="141">
        <v>7.8797654000000001</v>
      </c>
      <c r="E107" s="141">
        <v>9.2991202299999998</v>
      </c>
      <c r="G107" s="141"/>
    </row>
    <row r="108" spans="1:8">
      <c r="A108" s="141">
        <v>2024</v>
      </c>
      <c r="B108" s="141">
        <v>7.9560117300000002</v>
      </c>
      <c r="C108" s="141">
        <v>8.6715542499999998</v>
      </c>
      <c r="D108" s="141">
        <v>7.93255132</v>
      </c>
      <c r="E108" s="141">
        <v>9.3343108499999996</v>
      </c>
      <c r="G108" s="141"/>
    </row>
    <row r="109" spans="1:8">
      <c r="A109" s="141">
        <v>2025</v>
      </c>
      <c r="B109" s="141">
        <v>7.228739</v>
      </c>
      <c r="C109" s="141">
        <v>7.91495601</v>
      </c>
      <c r="D109" s="141">
        <v>7.3460410600000001</v>
      </c>
      <c r="E109" s="141">
        <v>8.4956011700000005</v>
      </c>
      <c r="G109" s="141"/>
    </row>
    <row r="110" spans="1:8">
      <c r="A110" s="141">
        <v>2026</v>
      </c>
      <c r="B110" s="141">
        <v>7.2932551300000004</v>
      </c>
      <c r="C110" s="141">
        <v>7.9736070400000001</v>
      </c>
      <c r="D110" s="141">
        <v>7.3988269799999999</v>
      </c>
      <c r="E110" s="141">
        <v>8.5777126100000007</v>
      </c>
      <c r="G110" s="141"/>
    </row>
    <row r="111" spans="1:8">
      <c r="A111" s="141">
        <v>2027</v>
      </c>
      <c r="B111" s="141">
        <v>7.3695014700000003</v>
      </c>
      <c r="C111" s="141">
        <v>8.0439882699999998</v>
      </c>
      <c r="D111" s="141">
        <v>7.4868035199999996</v>
      </c>
      <c r="E111" s="141">
        <v>8.6539589400000008</v>
      </c>
      <c r="G111" s="141"/>
    </row>
    <row r="112" spans="1:8">
      <c r="A112" s="141">
        <v>2028</v>
      </c>
      <c r="B112" s="141">
        <v>7.4340175999999998</v>
      </c>
      <c r="C112" s="141">
        <v>8.1026392999999999</v>
      </c>
      <c r="D112" s="141">
        <v>7.5630498499999996</v>
      </c>
      <c r="E112" s="141">
        <v>8.7302052799999998</v>
      </c>
      <c r="G112" s="141"/>
    </row>
    <row r="113" spans="1:7">
      <c r="A113" s="141">
        <v>2029</v>
      </c>
      <c r="B113" s="141">
        <v>7.5043988300000004</v>
      </c>
      <c r="C113" s="141">
        <v>8.1964809400000007</v>
      </c>
      <c r="D113" s="141">
        <v>7.6334310900000002</v>
      </c>
      <c r="E113" s="141">
        <v>8.8123167200000001</v>
      </c>
      <c r="G113" s="141"/>
    </row>
    <row r="114" spans="1:7">
      <c r="A114" s="141">
        <v>2030</v>
      </c>
      <c r="B114" s="141">
        <v>7.5454545499999996</v>
      </c>
      <c r="C114" s="141">
        <v>8.23753666</v>
      </c>
      <c r="D114" s="141">
        <v>7.6803519099999997</v>
      </c>
      <c r="E114" s="141">
        <v>8.8709677399999993</v>
      </c>
      <c r="G114" s="141"/>
    </row>
    <row r="115" spans="1:7">
      <c r="A115" s="141">
        <v>2031</v>
      </c>
      <c r="B115" s="141">
        <v>7.6803519099999997</v>
      </c>
      <c r="C115" s="141">
        <v>8.3607038100000004</v>
      </c>
      <c r="D115" s="141">
        <v>7.8093841599999996</v>
      </c>
      <c r="E115" s="141">
        <v>9.0058650999999994</v>
      </c>
      <c r="G115" s="141"/>
    </row>
    <row r="116" spans="1:7">
      <c r="A116" s="141">
        <v>2032</v>
      </c>
      <c r="B116" s="141">
        <v>7.7448680400000001</v>
      </c>
      <c r="C116" s="141">
        <v>8.4428152500000007</v>
      </c>
      <c r="D116" s="141">
        <v>7.8797654000000001</v>
      </c>
      <c r="E116" s="141">
        <v>9.07624633</v>
      </c>
      <c r="G116" s="141"/>
    </row>
    <row r="117" spans="1:7">
      <c r="A117" s="141">
        <v>2033</v>
      </c>
      <c r="B117" s="141">
        <v>7.8093841599999996</v>
      </c>
      <c r="C117" s="141">
        <v>8.5425219899999991</v>
      </c>
      <c r="D117" s="141">
        <v>7.9618768299999996</v>
      </c>
      <c r="E117" s="141">
        <v>9.1818181800000005</v>
      </c>
      <c r="G117" s="141"/>
    </row>
    <row r="118" spans="1:7">
      <c r="A118" s="141">
        <v>2034</v>
      </c>
      <c r="B118" s="141">
        <v>7.9090909099999998</v>
      </c>
      <c r="C118" s="141">
        <v>8.6480938399999996</v>
      </c>
      <c r="D118" s="141">
        <v>8.0557184799999995</v>
      </c>
      <c r="E118" s="141">
        <v>9.2815249299999998</v>
      </c>
      <c r="G118" s="141"/>
    </row>
    <row r="119" spans="1:7">
      <c r="A119" s="141">
        <v>2035</v>
      </c>
      <c r="B119" s="141">
        <v>7.0527859199999998</v>
      </c>
      <c r="C119" s="141">
        <v>7.7096774200000002</v>
      </c>
      <c r="D119" s="141">
        <v>7.2639296199999999</v>
      </c>
      <c r="E119" s="141">
        <v>8.2903225799999998</v>
      </c>
      <c r="G119" s="141"/>
    </row>
    <row r="120" spans="1:7">
      <c r="A120" s="141">
        <v>2036</v>
      </c>
      <c r="B120" s="141">
        <v>7.0527859199999998</v>
      </c>
      <c r="C120" s="141">
        <v>7.7155425199999996</v>
      </c>
      <c r="D120" s="141">
        <v>7.2991202299999998</v>
      </c>
      <c r="E120" s="141">
        <v>8.2961876799999992</v>
      </c>
      <c r="G120" s="141"/>
    </row>
    <row r="121" spans="1:7">
      <c r="A121" s="141">
        <v>2037</v>
      </c>
      <c r="B121" s="141">
        <v>7.1759530800000002</v>
      </c>
      <c r="C121" s="141">
        <v>7.83870968</v>
      </c>
      <c r="D121" s="141">
        <v>7.4281524900000004</v>
      </c>
      <c r="E121" s="141">
        <v>8.4193548400000005</v>
      </c>
      <c r="G121" s="141"/>
    </row>
    <row r="122" spans="1:7">
      <c r="A122" s="141">
        <v>2038</v>
      </c>
      <c r="B122" s="141">
        <v>7.1642228699999997</v>
      </c>
      <c r="C122" s="141">
        <v>7.8739002899999999</v>
      </c>
      <c r="D122" s="141">
        <v>7.4340175999999998</v>
      </c>
      <c r="E122" s="141">
        <v>8.4486803500000001</v>
      </c>
      <c r="G122" s="141"/>
    </row>
    <row r="123" spans="1:7">
      <c r="A123" s="141">
        <v>2039</v>
      </c>
      <c r="B123" s="141">
        <v>7.2991202299999998</v>
      </c>
      <c r="C123" s="141">
        <v>7.9794721400000004</v>
      </c>
      <c r="D123" s="141">
        <v>7.5571847500000002</v>
      </c>
      <c r="E123" s="141">
        <v>8.5777126100000007</v>
      </c>
      <c r="G123" s="141"/>
    </row>
    <row r="124" spans="1:7">
      <c r="A124" s="141">
        <v>2040</v>
      </c>
      <c r="B124" s="141">
        <v>7.38123167</v>
      </c>
      <c r="C124" s="141">
        <v>8.0615835800000006</v>
      </c>
      <c r="D124" s="141">
        <v>7.6510263900000002</v>
      </c>
      <c r="E124" s="141">
        <v>8.6891495600000006</v>
      </c>
      <c r="G124" s="141"/>
    </row>
    <row r="125" spans="1:7">
      <c r="A125" s="141">
        <v>2041</v>
      </c>
      <c r="B125" s="141">
        <v>7.4398827000000001</v>
      </c>
      <c r="C125" s="141">
        <v>8.1085043999999993</v>
      </c>
      <c r="D125" s="141">
        <v>7.7038123199999999</v>
      </c>
      <c r="E125" s="141">
        <v>8.7302052799999998</v>
      </c>
      <c r="G125" s="141"/>
    </row>
    <row r="126" spans="1:7">
      <c r="A126" s="141">
        <v>2042</v>
      </c>
      <c r="B126" s="141">
        <v>7.4985337200000002</v>
      </c>
      <c r="C126" s="141">
        <v>8.2140762499999997</v>
      </c>
      <c r="D126" s="141">
        <v>7.7976539599999999</v>
      </c>
      <c r="E126" s="141">
        <v>8.8416422299999997</v>
      </c>
      <c r="G126" s="141"/>
    </row>
    <row r="127" spans="1:7">
      <c r="A127" s="141">
        <v>2043</v>
      </c>
      <c r="B127" s="141">
        <v>7.6041055699999998</v>
      </c>
      <c r="C127" s="141">
        <v>8.31378299</v>
      </c>
      <c r="D127" s="141">
        <v>7.8739002899999999</v>
      </c>
      <c r="E127" s="141">
        <v>8.9472140800000002</v>
      </c>
      <c r="G127" s="141"/>
    </row>
    <row r="128" spans="1:7">
      <c r="A128" s="141">
        <v>2044</v>
      </c>
      <c r="B128" s="141">
        <v>7.6392961899999996</v>
      </c>
      <c r="C128" s="141">
        <v>8.3607038100000004</v>
      </c>
      <c r="D128" s="141">
        <v>7.9090909099999998</v>
      </c>
      <c r="E128" s="141">
        <v>8.9882697900000004</v>
      </c>
      <c r="G128" s="141"/>
    </row>
    <row r="129" spans="1:7">
      <c r="A129" s="141">
        <v>2045</v>
      </c>
      <c r="B129" s="141">
        <v>6.9296187700000003</v>
      </c>
      <c r="C129" s="141">
        <v>7.60997067</v>
      </c>
      <c r="D129" s="141">
        <v>7.1935483900000001</v>
      </c>
      <c r="E129" s="141">
        <v>8.1847507299999993</v>
      </c>
      <c r="G129" s="141"/>
    </row>
    <row r="130" spans="1:7">
      <c r="A130" s="141">
        <v>2046</v>
      </c>
      <c r="B130" s="141">
        <v>7.0293255099999996</v>
      </c>
      <c r="C130" s="141">
        <v>7.6334310900000002</v>
      </c>
      <c r="D130" s="141">
        <v>7.2521994100000002</v>
      </c>
      <c r="E130" s="141">
        <v>8.2258064500000003</v>
      </c>
      <c r="G130" s="141"/>
    </row>
    <row r="131" spans="1:7">
      <c r="A131" s="141">
        <v>2047</v>
      </c>
      <c r="B131" s="141">
        <v>7.1231671600000004</v>
      </c>
      <c r="C131" s="141">
        <v>7.7683284500000003</v>
      </c>
      <c r="D131" s="141">
        <v>7.3519061600000004</v>
      </c>
      <c r="E131" s="141">
        <v>8.3782991199999994</v>
      </c>
      <c r="G131" s="141"/>
    </row>
    <row r="132" spans="1:7">
      <c r="A132" s="141">
        <v>2048</v>
      </c>
      <c r="B132" s="141">
        <v>7.1642228699999997</v>
      </c>
      <c r="C132" s="141">
        <v>7.8211143700000001</v>
      </c>
      <c r="D132" s="141">
        <v>7.4281524900000004</v>
      </c>
      <c r="E132" s="141">
        <v>8.4252199399999999</v>
      </c>
      <c r="G132" s="141"/>
    </row>
    <row r="133" spans="1:7">
      <c r="A133" s="141">
        <v>2049</v>
      </c>
      <c r="B133" s="141">
        <v>7.228739</v>
      </c>
      <c r="C133" s="141">
        <v>7.8914955999999998</v>
      </c>
      <c r="D133" s="141">
        <v>7.4926686199999999</v>
      </c>
      <c r="E133" s="141">
        <v>8.4956011700000005</v>
      </c>
      <c r="G133" s="141"/>
    </row>
    <row r="134" spans="1:7">
      <c r="A134" s="141">
        <v>2050</v>
      </c>
      <c r="B134" s="141">
        <v>7.2932551300000004</v>
      </c>
      <c r="C134" s="141">
        <v>7.9677419399999998</v>
      </c>
      <c r="D134" s="141">
        <v>7.5689149599999999</v>
      </c>
      <c r="E134" s="141">
        <v>8.5835777100000001</v>
      </c>
      <c r="G134" s="141"/>
    </row>
    <row r="135" spans="1:7">
      <c r="A135" s="141">
        <v>2051</v>
      </c>
      <c r="B135" s="141">
        <v>7.3460410600000001</v>
      </c>
      <c r="C135" s="141">
        <v>8.0263929600000008</v>
      </c>
      <c r="D135" s="141">
        <v>7.6334310900000002</v>
      </c>
      <c r="E135" s="141">
        <v>8.6539589400000008</v>
      </c>
      <c r="G135" s="141"/>
    </row>
    <row r="136" spans="1:7">
      <c r="A136" s="141">
        <v>2052</v>
      </c>
      <c r="B136" s="141">
        <v>7.4516128999999998</v>
      </c>
      <c r="C136" s="141">
        <v>8.1378299100000007</v>
      </c>
      <c r="D136" s="141">
        <v>7.7331378300000004</v>
      </c>
      <c r="E136" s="141">
        <v>8.7771261000000003</v>
      </c>
      <c r="G136" s="141"/>
    </row>
    <row r="137" spans="1:7">
      <c r="A137" s="141">
        <v>2053</v>
      </c>
      <c r="B137" s="141">
        <v>7.5395894400000003</v>
      </c>
      <c r="C137" s="141">
        <v>8.2140762499999997</v>
      </c>
      <c r="D137" s="141">
        <v>7.8211143700000001</v>
      </c>
      <c r="E137" s="141">
        <v>8.8592375400000005</v>
      </c>
      <c r="G137" s="141"/>
    </row>
    <row r="138" spans="1:7">
      <c r="A138" s="141">
        <v>2054</v>
      </c>
      <c r="B138" s="141">
        <v>7.6158357800000003</v>
      </c>
      <c r="C138" s="141">
        <v>8.2961876799999992</v>
      </c>
      <c r="D138" s="141">
        <v>7.9032258100000004</v>
      </c>
      <c r="E138" s="141">
        <v>8.9354838700000006</v>
      </c>
      <c r="G138" s="141"/>
    </row>
    <row r="139" spans="1:7">
      <c r="A139" s="141">
        <v>2055</v>
      </c>
      <c r="B139" s="141">
        <v>7.2170088000000003</v>
      </c>
      <c r="C139" s="141">
        <v>7.7390029299999998</v>
      </c>
      <c r="D139" s="141">
        <v>7.3695014700000003</v>
      </c>
      <c r="E139" s="141">
        <v>8.3489736099999998</v>
      </c>
      <c r="G139" s="141"/>
    </row>
    <row r="140" spans="1:7">
      <c r="A140" s="141">
        <v>2056</v>
      </c>
      <c r="B140" s="141">
        <v>7.3108504400000003</v>
      </c>
      <c r="C140" s="141">
        <v>7.8211143700000001</v>
      </c>
      <c r="D140" s="141">
        <v>7.4340175999999998</v>
      </c>
      <c r="E140" s="141">
        <v>8.4076246300000008</v>
      </c>
      <c r="G140" s="141"/>
    </row>
    <row r="141" spans="1:7">
      <c r="A141" s="141">
        <v>2057</v>
      </c>
      <c r="B141" s="141">
        <v>7.3988269799999999</v>
      </c>
      <c r="C141" s="141">
        <v>7.91495601</v>
      </c>
      <c r="D141" s="141">
        <v>7.5161290300000001</v>
      </c>
      <c r="E141" s="141">
        <v>8.5249266899999991</v>
      </c>
      <c r="G141" s="141"/>
    </row>
    <row r="142" spans="1:7">
      <c r="A142" s="141">
        <v>2058</v>
      </c>
      <c r="B142" s="141">
        <v>7.4457478000000004</v>
      </c>
      <c r="C142" s="141">
        <v>7.9794721400000004</v>
      </c>
      <c r="D142" s="141">
        <v>7.5806451600000004</v>
      </c>
      <c r="E142" s="141">
        <v>8.5835777100000001</v>
      </c>
      <c r="G142" s="141"/>
    </row>
    <row r="143" spans="1:7">
      <c r="A143" s="141">
        <v>2059</v>
      </c>
      <c r="B143" s="141">
        <v>7.5571847500000002</v>
      </c>
      <c r="C143" s="141">
        <v>8.0967741899999996</v>
      </c>
      <c r="D143" s="141">
        <v>7.6744868000000004</v>
      </c>
      <c r="E143" s="141">
        <v>8.7126099700000008</v>
      </c>
      <c r="G143" s="141"/>
    </row>
    <row r="144" spans="1:7">
      <c r="A144" s="141">
        <v>2060</v>
      </c>
      <c r="B144" s="141">
        <v>7.5513196499999999</v>
      </c>
      <c r="C144" s="141">
        <v>8.0967741899999996</v>
      </c>
      <c r="D144" s="141">
        <v>7.6979472099999997</v>
      </c>
      <c r="E144" s="141">
        <v>8.7184750700000002</v>
      </c>
      <c r="G144" s="141"/>
    </row>
    <row r="145" spans="1:7">
      <c r="A145" s="141">
        <v>2061</v>
      </c>
      <c r="B145" s="141">
        <v>7.6451612899999999</v>
      </c>
      <c r="C145" s="141">
        <v>8.2258064500000003</v>
      </c>
      <c r="D145" s="141">
        <v>7.8269794700000004</v>
      </c>
      <c r="E145" s="141">
        <v>8.8533724300000003</v>
      </c>
      <c r="G145" s="141"/>
    </row>
    <row r="146" spans="1:7">
      <c r="A146" s="141">
        <v>2062</v>
      </c>
      <c r="B146" s="141">
        <v>7.7096774200000002</v>
      </c>
      <c r="C146" s="141">
        <v>8.2961876799999992</v>
      </c>
      <c r="D146" s="141">
        <v>7.8973607000000001</v>
      </c>
      <c r="E146" s="141">
        <v>8.9296187699999994</v>
      </c>
      <c r="G146" s="141"/>
    </row>
    <row r="147" spans="1:7">
      <c r="A147" s="141">
        <v>2063</v>
      </c>
      <c r="B147" s="141">
        <v>7.8211143700000001</v>
      </c>
      <c r="C147" s="141">
        <v>8.3782991199999994</v>
      </c>
      <c r="D147" s="141">
        <v>7.9736070400000001</v>
      </c>
      <c r="E147" s="141">
        <v>9.0117302099999996</v>
      </c>
      <c r="G147" s="141"/>
    </row>
    <row r="148" spans="1:7">
      <c r="A148" s="141">
        <v>2064</v>
      </c>
      <c r="B148" s="141">
        <v>7.8797654000000001</v>
      </c>
      <c r="C148" s="141">
        <v>8.4662756600000009</v>
      </c>
      <c r="D148" s="141">
        <v>8.0439882699999998</v>
      </c>
      <c r="E148" s="141">
        <v>9.1055718500000005</v>
      </c>
      <c r="G148" s="141"/>
    </row>
    <row r="149" spans="1:7">
      <c r="A149" s="141">
        <v>2065</v>
      </c>
      <c r="B149" s="141">
        <v>7.6920821100000003</v>
      </c>
      <c r="C149" s="141">
        <v>7.9501466299999999</v>
      </c>
      <c r="D149" s="141">
        <v>7.6979472099999997</v>
      </c>
      <c r="E149" s="141">
        <v>8.5483870999999994</v>
      </c>
      <c r="G149" s="141"/>
    </row>
    <row r="150" spans="1:7">
      <c r="A150" s="141">
        <v>2066</v>
      </c>
      <c r="B150" s="141">
        <v>7.7976539599999999</v>
      </c>
      <c r="C150" s="141">
        <v>8.0733137799999994</v>
      </c>
      <c r="D150" s="141">
        <v>7.8269794700000004</v>
      </c>
      <c r="E150" s="141">
        <v>8.6656891500000004</v>
      </c>
      <c r="G150" s="141"/>
    </row>
    <row r="151" spans="1:7">
      <c r="A151" s="141">
        <v>2067</v>
      </c>
      <c r="B151" s="141">
        <v>7.8797654000000001</v>
      </c>
      <c r="C151" s="141">
        <v>8.1671554299999993</v>
      </c>
      <c r="D151" s="141">
        <v>7.9501466299999999</v>
      </c>
      <c r="E151" s="141">
        <v>8.7888563000000008</v>
      </c>
      <c r="G151" s="141"/>
    </row>
    <row r="152" spans="1:7">
      <c r="A152" s="141">
        <v>2068</v>
      </c>
      <c r="B152" s="141">
        <v>7.9384164200000003</v>
      </c>
      <c r="C152" s="141">
        <v>8.2551319599999999</v>
      </c>
      <c r="D152" s="141">
        <v>8.0322580600000002</v>
      </c>
      <c r="E152" s="141">
        <v>8.8475073299999991</v>
      </c>
      <c r="G152" s="141"/>
    </row>
    <row r="153" spans="1:7">
      <c r="A153" s="141">
        <v>2069</v>
      </c>
      <c r="B153" s="141">
        <v>8.0439882699999998</v>
      </c>
      <c r="C153" s="141">
        <v>8.3489736099999998</v>
      </c>
      <c r="D153" s="141">
        <v>8.0909090900000002</v>
      </c>
      <c r="E153" s="141">
        <v>8.9648093800000002</v>
      </c>
      <c r="G153" s="141"/>
    </row>
    <row r="154" spans="1:7">
      <c r="A154" s="141">
        <v>2070</v>
      </c>
      <c r="B154" s="141">
        <v>8.1671554299999993</v>
      </c>
      <c r="C154" s="141">
        <v>8.4604105599999997</v>
      </c>
      <c r="D154" s="141">
        <v>8.2258064500000003</v>
      </c>
      <c r="E154" s="141">
        <v>9.07624633</v>
      </c>
      <c r="G154" s="141"/>
    </row>
    <row r="155" spans="1:7">
      <c r="A155" s="141"/>
      <c r="B155" s="141" t="s">
        <v>2909</v>
      </c>
      <c r="C155" s="141" t="s">
        <v>2910</v>
      </c>
      <c r="D155" s="141" t="s">
        <v>2911</v>
      </c>
      <c r="E155" s="141" t="s">
        <v>2912</v>
      </c>
      <c r="F155" s="141" t="s">
        <v>2914</v>
      </c>
      <c r="G155" t="s">
        <v>2915</v>
      </c>
    </row>
    <row r="156" spans="1:7">
      <c r="A156" s="141" t="s">
        <v>2916</v>
      </c>
      <c r="B156" s="141">
        <f>SUM(B99:B154)</f>
        <v>425.39002932999989</v>
      </c>
      <c r="C156" s="141">
        <f t="shared" ref="C156:E156" si="0">SUM(C99:C154)</f>
        <v>456.68621698999988</v>
      </c>
      <c r="D156" s="141">
        <f t="shared" si="0"/>
        <v>433.63636364999991</v>
      </c>
      <c r="E156" s="141">
        <f t="shared" si="0"/>
        <v>488.18181812999984</v>
      </c>
      <c r="F156">
        <f>B156+4.2/tC_to_m3*55</f>
        <v>478.58932932999988</v>
      </c>
      <c r="G156">
        <f>E156+4.2/tC_to_m3*55</f>
        <v>541.38111812999989</v>
      </c>
    </row>
    <row r="158" spans="1:7">
      <c r="A158" t="s">
        <v>2921</v>
      </c>
      <c r="B158" s="332" t="s">
        <v>429</v>
      </c>
      <c r="C158" s="332"/>
      <c r="E158" s="332" t="s">
        <v>1587</v>
      </c>
      <c r="F158" s="332"/>
    </row>
    <row r="159" spans="1:7">
      <c r="B159" t="s">
        <v>2922</v>
      </c>
      <c r="C159" t="s">
        <v>2923</v>
      </c>
      <c r="D159" t="s">
        <v>2924</v>
      </c>
      <c r="E159" t="s">
        <v>2925</v>
      </c>
      <c r="F159" t="s">
        <v>2926</v>
      </c>
      <c r="G159" t="s">
        <v>2927</v>
      </c>
    </row>
    <row r="160" spans="1:7">
      <c r="D160" t="s">
        <v>442</v>
      </c>
      <c r="E160" t="s">
        <v>498</v>
      </c>
      <c r="F160" t="s">
        <v>498</v>
      </c>
      <c r="G160" t="s">
        <v>498</v>
      </c>
    </row>
    <row r="161" spans="1:7">
      <c r="A161" t="s">
        <v>2928</v>
      </c>
      <c r="B161">
        <v>66.7</v>
      </c>
      <c r="C161">
        <v>141.19999999999999</v>
      </c>
      <c r="D161">
        <v>0</v>
      </c>
      <c r="E161">
        <v>636.6</v>
      </c>
      <c r="F161">
        <v>0</v>
      </c>
      <c r="G161">
        <f t="shared" ref="G161:G164" si="1">SUM(E161:F161)</f>
        <v>636.6</v>
      </c>
    </row>
    <row r="162" spans="1:7">
      <c r="A162" t="s">
        <v>2929</v>
      </c>
      <c r="B162">
        <v>66.5</v>
      </c>
      <c r="C162">
        <v>110.4</v>
      </c>
      <c r="D162">
        <v>18.5</v>
      </c>
      <c r="E162">
        <v>484.9</v>
      </c>
      <c r="F162">
        <f>50.9*tC_to_m3</f>
        <v>221.01606600086845</v>
      </c>
      <c r="G162">
        <f t="shared" si="1"/>
        <v>705.91606600086845</v>
      </c>
    </row>
    <row r="163" spans="1:7">
      <c r="A163" t="s">
        <v>2930</v>
      </c>
      <c r="B163">
        <v>82.6</v>
      </c>
      <c r="C163">
        <v>139.5</v>
      </c>
      <c r="D163">
        <v>0</v>
      </c>
      <c r="E163">
        <v>625.20000000000005</v>
      </c>
      <c r="F163">
        <v>0</v>
      </c>
      <c r="G163">
        <f t="shared" si="1"/>
        <v>625.20000000000005</v>
      </c>
    </row>
    <row r="164" spans="1:7">
      <c r="A164" t="s">
        <v>2931</v>
      </c>
      <c r="B164">
        <v>82</v>
      </c>
      <c r="C164">
        <v>99</v>
      </c>
      <c r="D164">
        <v>19.2</v>
      </c>
      <c r="E164">
        <v>514.29999999999995</v>
      </c>
      <c r="F164">
        <f>52.7*tC_to_m3</f>
        <v>228.83195831524102</v>
      </c>
      <c r="G164">
        <f t="shared" si="1"/>
        <v>743.13195831524104</v>
      </c>
    </row>
    <row r="166" spans="1:7">
      <c r="A166" t="s">
        <v>2932</v>
      </c>
    </row>
    <row r="167" spans="1:7">
      <c r="A167" t="s">
        <v>2933</v>
      </c>
      <c r="C167" t="s">
        <v>150</v>
      </c>
      <c r="D167" t="s">
        <v>2934</v>
      </c>
      <c r="E167" t="s">
        <v>2935</v>
      </c>
    </row>
    <row r="168" spans="1:7">
      <c r="B168">
        <v>2020</v>
      </c>
      <c r="C168">
        <v>924444.44444444403</v>
      </c>
      <c r="D168">
        <v>426666.66666666401</v>
      </c>
      <c r="E168">
        <v>53333.333333331997</v>
      </c>
    </row>
    <row r="169" spans="1:7">
      <c r="B169">
        <f t="shared" ref="B169:B180" si="2">B168+10</f>
        <v>2030</v>
      </c>
      <c r="C169">
        <v>1493333.33333333</v>
      </c>
      <c r="D169">
        <v>711111.11111111101</v>
      </c>
      <c r="E169">
        <v>177777.777777779</v>
      </c>
    </row>
    <row r="170" spans="1:7">
      <c r="B170">
        <f t="shared" si="2"/>
        <v>2040</v>
      </c>
      <c r="C170">
        <v>2168888.8888888801</v>
      </c>
      <c r="D170">
        <v>1031111.1111110999</v>
      </c>
      <c r="E170">
        <v>320000</v>
      </c>
    </row>
    <row r="171" spans="1:7">
      <c r="B171">
        <f t="shared" si="2"/>
        <v>2050</v>
      </c>
      <c r="C171">
        <v>2826666.66666666</v>
      </c>
      <c r="D171">
        <v>1333333.33333333</v>
      </c>
      <c r="E171">
        <v>480000</v>
      </c>
    </row>
    <row r="172" spans="1:7">
      <c r="B172">
        <f t="shared" si="2"/>
        <v>2060</v>
      </c>
      <c r="C172">
        <v>3413333.3333333302</v>
      </c>
      <c r="D172">
        <v>1440000</v>
      </c>
      <c r="E172">
        <v>551111.11111111101</v>
      </c>
    </row>
    <row r="173" spans="1:7">
      <c r="B173" t="s">
        <v>2936</v>
      </c>
      <c r="C173">
        <f>SUM(C168:C172)</f>
        <v>10826666.666666646</v>
      </c>
      <c r="D173">
        <f>SUM(D168:D172)</f>
        <v>4942222.2222222053</v>
      </c>
      <c r="E173">
        <f>SUM(E168:E172)</f>
        <v>1582222.222222222</v>
      </c>
    </row>
    <row r="174" spans="1:7">
      <c r="A174" t="s">
        <v>2937</v>
      </c>
    </row>
    <row r="175" spans="1:7">
      <c r="C175" t="s">
        <v>150</v>
      </c>
      <c r="D175" t="s">
        <v>2934</v>
      </c>
      <c r="E175" t="s">
        <v>2935</v>
      </c>
    </row>
    <row r="176" spans="1:7">
      <c r="B176">
        <v>2020</v>
      </c>
      <c r="C176">
        <v>186666.66666666599</v>
      </c>
      <c r="D176">
        <v>160000</v>
      </c>
      <c r="E176">
        <v>166666.66666666599</v>
      </c>
    </row>
    <row r="177" spans="1:7">
      <c r="B177">
        <f t="shared" si="2"/>
        <v>2030</v>
      </c>
      <c r="C177">
        <v>208000</v>
      </c>
      <c r="D177">
        <v>149333.33333333299</v>
      </c>
      <c r="E177">
        <v>166666.66666666599</v>
      </c>
    </row>
    <row r="178" spans="1:7">
      <c r="B178">
        <f t="shared" si="2"/>
        <v>2040</v>
      </c>
      <c r="C178">
        <v>232000</v>
      </c>
      <c r="D178">
        <v>137333.33333333299</v>
      </c>
      <c r="E178">
        <v>166666.66666666599</v>
      </c>
    </row>
    <row r="179" spans="1:7">
      <c r="B179">
        <f t="shared" si="2"/>
        <v>2050</v>
      </c>
      <c r="C179">
        <v>249333.33333333299</v>
      </c>
      <c r="D179">
        <v>121333.33333333299</v>
      </c>
      <c r="E179">
        <v>166666.66666666599</v>
      </c>
    </row>
    <row r="180" spans="1:7">
      <c r="B180">
        <f t="shared" si="2"/>
        <v>2060</v>
      </c>
      <c r="C180">
        <v>260000</v>
      </c>
      <c r="D180">
        <v>102666.666666666</v>
      </c>
      <c r="E180">
        <v>164000</v>
      </c>
    </row>
    <row r="181" spans="1:7">
      <c r="B181" t="s">
        <v>2936</v>
      </c>
      <c r="C181">
        <f>SUM(C176:C180)</f>
        <v>1135999.9999999991</v>
      </c>
      <c r="D181">
        <f>SUM(D176:D180)</f>
        <v>670666.66666666511</v>
      </c>
      <c r="E181">
        <f>SUM(E176:E180)</f>
        <v>830666.66666666395</v>
      </c>
    </row>
    <row r="184" spans="1:7">
      <c r="A184" t="s">
        <v>2938</v>
      </c>
      <c r="F184" s="332" t="s">
        <v>2939</v>
      </c>
      <c r="G184" s="332"/>
    </row>
    <row r="185" spans="1:7">
      <c r="A185" t="s">
        <v>2940</v>
      </c>
      <c r="D185" t="s">
        <v>754</v>
      </c>
      <c r="E185" t="s">
        <v>753</v>
      </c>
      <c r="F185" t="s">
        <v>754</v>
      </c>
      <c r="G185" t="s">
        <v>753</v>
      </c>
    </row>
    <row r="186" spans="1:7">
      <c r="C186" t="s">
        <v>2941</v>
      </c>
      <c r="D186">
        <v>30.321361058601099</v>
      </c>
      <c r="E186">
        <v>33.4</v>
      </c>
    </row>
    <row r="187" spans="1:7">
      <c r="C187" t="s">
        <v>2942</v>
      </c>
      <c r="D187">
        <v>23.3648393194707</v>
      </c>
      <c r="E187">
        <v>26.3</v>
      </c>
      <c r="F187">
        <f>SUM(D$186:D$191)-D187-D186</f>
        <v>-97.912098298676767</v>
      </c>
      <c r="G187">
        <f>SUM(E$186:E$191)-E187-E186</f>
        <v>-76.199999999999989</v>
      </c>
    </row>
    <row r="188" spans="1:7">
      <c r="C188" t="s">
        <v>2943</v>
      </c>
      <c r="D188">
        <v>2.9</v>
      </c>
      <c r="E188">
        <v>14.2</v>
      </c>
    </row>
    <row r="189" spans="1:7">
      <c r="C189" t="s">
        <v>2944</v>
      </c>
      <c r="D189">
        <v>1.5879017013232299</v>
      </c>
      <c r="E189">
        <v>1.5</v>
      </c>
      <c r="F189">
        <f>SUM(D$186:D$191)-D189</f>
        <v>-45.813799621928204</v>
      </c>
      <c r="G189">
        <f>SUM(E$186:E$191)-E189</f>
        <v>-17.999999999999993</v>
      </c>
    </row>
    <row r="190" spans="1:7">
      <c r="C190" t="s">
        <v>2945</v>
      </c>
      <c r="D190">
        <v>-102.4</v>
      </c>
      <c r="E190">
        <v>-66</v>
      </c>
    </row>
    <row r="191" spans="1:7">
      <c r="C191" t="s">
        <v>2946</v>
      </c>
      <c r="E191">
        <v>-25.9</v>
      </c>
      <c r="F191">
        <f>SUM(D$186:D$191)-D191</f>
        <v>-44.225897920604972</v>
      </c>
      <c r="G191">
        <f>SUM(E$186:E$191)-E191</f>
        <v>9.4000000000000057</v>
      </c>
    </row>
    <row r="192" spans="1:7">
      <c r="C192" t="s">
        <v>2947</v>
      </c>
      <c r="D192">
        <v>-44.2</v>
      </c>
      <c r="E192">
        <v>-16.5</v>
      </c>
    </row>
    <row r="194" spans="1:19">
      <c r="A194" t="s">
        <v>2948</v>
      </c>
      <c r="C194" t="s">
        <v>2949</v>
      </c>
      <c r="L194" t="s">
        <v>2950</v>
      </c>
      <c r="N194" s="332" t="s">
        <v>2951</v>
      </c>
      <c r="O194" s="332"/>
      <c r="P194" s="332"/>
      <c r="Q194" s="332" t="s">
        <v>2952</v>
      </c>
      <c r="R194" s="332"/>
      <c r="S194" s="332"/>
    </row>
    <row r="195" spans="1:19">
      <c r="C195" t="s">
        <v>2953</v>
      </c>
      <c r="E195" t="s">
        <v>2954</v>
      </c>
      <c r="F195" t="s">
        <v>2955</v>
      </c>
      <c r="G195" t="s">
        <v>2956</v>
      </c>
      <c r="H195" t="s">
        <v>2957</v>
      </c>
      <c r="N195" t="s">
        <v>2958</v>
      </c>
      <c r="O195" t="s">
        <v>2959</v>
      </c>
      <c r="P195" t="s">
        <v>2960</v>
      </c>
      <c r="Q195" t="s">
        <v>2958</v>
      </c>
      <c r="R195" t="s">
        <v>2959</v>
      </c>
      <c r="S195" t="s">
        <v>2960</v>
      </c>
    </row>
    <row r="196" spans="1:19">
      <c r="D196" t="s">
        <v>2961</v>
      </c>
      <c r="E196">
        <v>0</v>
      </c>
      <c r="M196" t="s">
        <v>2962</v>
      </c>
      <c r="N196">
        <v>593</v>
      </c>
      <c r="O196">
        <v>383</v>
      </c>
      <c r="P196">
        <v>1474</v>
      </c>
      <c r="Q196">
        <v>876</v>
      </c>
      <c r="R196">
        <v>172</v>
      </c>
      <c r="S196">
        <v>3821</v>
      </c>
    </row>
    <row r="197" spans="1:19">
      <c r="D197" t="s">
        <v>2963</v>
      </c>
      <c r="E197">
        <v>70</v>
      </c>
      <c r="F197">
        <v>60</v>
      </c>
      <c r="G197">
        <v>15.3</v>
      </c>
      <c r="H197">
        <v>5</v>
      </c>
      <c r="M197" t="s">
        <v>2964</v>
      </c>
      <c r="N197">
        <v>1113</v>
      </c>
      <c r="O197">
        <v>649</v>
      </c>
      <c r="P197">
        <v>649</v>
      </c>
      <c r="Q197">
        <v>1606</v>
      </c>
      <c r="R197">
        <v>255</v>
      </c>
      <c r="S197">
        <v>255</v>
      </c>
    </row>
    <row r="198" spans="1:19">
      <c r="D198" t="s">
        <v>2965</v>
      </c>
      <c r="E198">
        <v>100</v>
      </c>
      <c r="F198">
        <v>60</v>
      </c>
      <c r="G198">
        <v>15.3</v>
      </c>
      <c r="H198">
        <v>1</v>
      </c>
      <c r="M198" t="s">
        <v>2966</v>
      </c>
      <c r="N198">
        <v>171</v>
      </c>
      <c r="O198">
        <v>122</v>
      </c>
      <c r="P198">
        <v>122</v>
      </c>
      <c r="Q198">
        <v>250</v>
      </c>
      <c r="R198">
        <v>55</v>
      </c>
      <c r="S198">
        <v>55</v>
      </c>
    </row>
    <row r="199" spans="1:19">
      <c r="D199" t="s">
        <v>2967</v>
      </c>
      <c r="E199">
        <v>100</v>
      </c>
      <c r="F199">
        <v>50</v>
      </c>
      <c r="G199">
        <v>16.600000000000001</v>
      </c>
      <c r="H199">
        <v>1</v>
      </c>
      <c r="M199" t="s">
        <v>2968</v>
      </c>
      <c r="N199">
        <v>1332</v>
      </c>
      <c r="O199">
        <v>934</v>
      </c>
      <c r="P199">
        <v>934</v>
      </c>
      <c r="Q199">
        <v>1968</v>
      </c>
      <c r="R199">
        <v>434</v>
      </c>
      <c r="S199">
        <v>434</v>
      </c>
    </row>
    <row r="200" spans="1:19">
      <c r="D200" t="s">
        <v>2966</v>
      </c>
      <c r="E200">
        <v>100</v>
      </c>
      <c r="F200">
        <v>15</v>
      </c>
      <c r="G200">
        <v>18.600000000000001</v>
      </c>
      <c r="H200">
        <v>1</v>
      </c>
      <c r="M200" t="s">
        <v>2969</v>
      </c>
      <c r="N200">
        <v>3209</v>
      </c>
      <c r="O200">
        <v>2087</v>
      </c>
      <c r="P200">
        <v>3178</v>
      </c>
      <c r="Q200">
        <v>4700</v>
      </c>
      <c r="R200">
        <v>916</v>
      </c>
      <c r="S200">
        <v>4565</v>
      </c>
    </row>
    <row r="201" spans="1:19">
      <c r="D201" t="s">
        <v>2970</v>
      </c>
      <c r="E201">
        <v>90</v>
      </c>
      <c r="F201">
        <v>15</v>
      </c>
      <c r="G201">
        <v>18.600000000000001</v>
      </c>
      <c r="H201">
        <v>1</v>
      </c>
      <c r="M201" t="s">
        <v>2971</v>
      </c>
      <c r="N201">
        <v>289</v>
      </c>
      <c r="O201">
        <v>281</v>
      </c>
      <c r="P201">
        <v>281</v>
      </c>
      <c r="Q201">
        <v>428</v>
      </c>
      <c r="R201">
        <v>146</v>
      </c>
      <c r="S201">
        <v>146</v>
      </c>
    </row>
    <row r="202" spans="1:19">
      <c r="C202" t="s">
        <v>2972</v>
      </c>
    </row>
    <row r="203" spans="1:19">
      <c r="D203" t="s">
        <v>2961</v>
      </c>
      <c r="E203">
        <v>0</v>
      </c>
      <c r="L203" t="s">
        <v>2973</v>
      </c>
      <c r="M203" t="s">
        <v>2974</v>
      </c>
      <c r="N203" s="332" t="s">
        <v>2951</v>
      </c>
      <c r="O203" s="332"/>
      <c r="P203" s="332"/>
      <c r="Q203" s="332" t="s">
        <v>2952</v>
      </c>
      <c r="R203" s="332"/>
      <c r="S203" s="332"/>
    </row>
    <row r="204" spans="1:19">
      <c r="D204" t="s">
        <v>2965</v>
      </c>
      <c r="E204">
        <v>100</v>
      </c>
      <c r="F204">
        <v>60</v>
      </c>
      <c r="G204">
        <v>15.3</v>
      </c>
      <c r="H204">
        <v>3</v>
      </c>
      <c r="N204" t="s">
        <v>2958</v>
      </c>
      <c r="O204" t="s">
        <v>2959</v>
      </c>
      <c r="P204" t="s">
        <v>2960</v>
      </c>
      <c r="Q204" t="s">
        <v>2958</v>
      </c>
      <c r="R204" t="s">
        <v>2959</v>
      </c>
      <c r="S204" t="s">
        <v>2960</v>
      </c>
    </row>
    <row r="205" spans="1:19">
      <c r="D205" t="s">
        <v>2975</v>
      </c>
      <c r="E205">
        <v>100</v>
      </c>
      <c r="F205">
        <v>60</v>
      </c>
      <c r="G205">
        <v>15.3</v>
      </c>
      <c r="H205">
        <v>3</v>
      </c>
      <c r="M205" t="s">
        <v>2962</v>
      </c>
      <c r="N205">
        <f t="shared" ref="N205:S208" si="3">N196*10^3/$G197/10^3</f>
        <v>38.75816993464052</v>
      </c>
      <c r="O205">
        <f t="shared" ref="O205:S205" si="4">O196*10^3/$G197/10^3</f>
        <v>25.032679738562091</v>
      </c>
      <c r="P205">
        <f t="shared" si="4"/>
        <v>96.339869281045736</v>
      </c>
      <c r="Q205">
        <f t="shared" si="4"/>
        <v>57.254901960784309</v>
      </c>
      <c r="R205">
        <f t="shared" si="4"/>
        <v>11.241830065359476</v>
      </c>
      <c r="S205">
        <f t="shared" si="4"/>
        <v>249.73856209150327</v>
      </c>
    </row>
    <row r="206" spans="1:19">
      <c r="D206" t="s">
        <v>2963</v>
      </c>
      <c r="E206">
        <v>70</v>
      </c>
      <c r="F206">
        <v>60</v>
      </c>
      <c r="G206">
        <v>15.3</v>
      </c>
      <c r="H206">
        <v>5</v>
      </c>
      <c r="M206" t="s">
        <v>2964</v>
      </c>
      <c r="N206">
        <f t="shared" si="3"/>
        <v>72.745098039215677</v>
      </c>
      <c r="O206">
        <f t="shared" si="3"/>
        <v>42.41830065359477</v>
      </c>
      <c r="P206">
        <f t="shared" si="3"/>
        <v>42.41830065359477</v>
      </c>
      <c r="Q206">
        <f t="shared" si="3"/>
        <v>104.96732026143789</v>
      </c>
      <c r="R206">
        <f t="shared" si="3"/>
        <v>16.666666666666664</v>
      </c>
      <c r="S206">
        <f t="shared" si="3"/>
        <v>16.666666666666664</v>
      </c>
    </row>
    <row r="207" spans="1:19">
      <c r="M207" t="s">
        <v>2966</v>
      </c>
      <c r="N207">
        <f t="shared" si="3"/>
        <v>10.301204819277107</v>
      </c>
      <c r="O207">
        <f t="shared" si="3"/>
        <v>7.3493975903614457</v>
      </c>
      <c r="P207">
        <f t="shared" si="3"/>
        <v>7.3493975903614457</v>
      </c>
      <c r="Q207">
        <f t="shared" si="3"/>
        <v>15.060240963855421</v>
      </c>
      <c r="R207">
        <f t="shared" si="3"/>
        <v>3.3132530120481922</v>
      </c>
      <c r="S207">
        <f t="shared" si="3"/>
        <v>3.3132530120481922</v>
      </c>
    </row>
    <row r="208" spans="1:19">
      <c r="M208" t="s">
        <v>2968</v>
      </c>
      <c r="N208">
        <f t="shared" si="3"/>
        <v>71.612903225806434</v>
      </c>
      <c r="O208">
        <f t="shared" si="3"/>
        <v>50.215053763440856</v>
      </c>
      <c r="P208">
        <f t="shared" si="3"/>
        <v>50.215053763440856</v>
      </c>
      <c r="Q208">
        <f t="shared" si="3"/>
        <v>105.80645161290322</v>
      </c>
      <c r="R208">
        <f t="shared" si="3"/>
        <v>23.333333333333332</v>
      </c>
      <c r="S208">
        <f t="shared" si="3"/>
        <v>23.333333333333332</v>
      </c>
    </row>
    <row r="209" spans="1:19">
      <c r="M209" t="s">
        <v>2969</v>
      </c>
      <c r="N209">
        <f>SUM(N205:N208)</f>
        <v>193.41737601893973</v>
      </c>
      <c r="O209">
        <f t="shared" ref="O209:S209" si="5">SUM(O205:O208)</f>
        <v>125.01543174595918</v>
      </c>
      <c r="P209">
        <f t="shared" si="5"/>
        <v>196.3226212884428</v>
      </c>
      <c r="Q209">
        <f t="shared" si="5"/>
        <v>283.08891479898085</v>
      </c>
      <c r="R209">
        <f t="shared" si="5"/>
        <v>54.555083077407666</v>
      </c>
      <c r="S209">
        <f t="shared" si="5"/>
        <v>293.05181510355141</v>
      </c>
    </row>
    <row r="210" spans="1:19">
      <c r="M210" t="s">
        <v>2971</v>
      </c>
    </row>
    <row r="212" spans="1:19">
      <c r="C212" t="s">
        <v>762</v>
      </c>
      <c r="D212" t="s">
        <v>2976</v>
      </c>
      <c r="L212" t="s">
        <v>2977</v>
      </c>
    </row>
    <row r="213" spans="1:19">
      <c r="D213" s="332" t="s">
        <v>2951</v>
      </c>
      <c r="E213" s="332"/>
      <c r="F213" s="332"/>
      <c r="G213" s="332" t="s">
        <v>2952</v>
      </c>
      <c r="H213" s="332"/>
      <c r="I213" s="332"/>
      <c r="N213" s="334" t="s">
        <v>2951</v>
      </c>
      <c r="O213" s="334"/>
      <c r="P213" s="334"/>
      <c r="Q213" s="334" t="s">
        <v>2952</v>
      </c>
      <c r="R213" s="334"/>
      <c r="S213" s="334"/>
    </row>
    <row r="214" spans="1:19">
      <c r="D214" t="s">
        <v>2958</v>
      </c>
      <c r="E214" t="s">
        <v>2978</v>
      </c>
      <c r="G214" t="s">
        <v>2958</v>
      </c>
      <c r="H214" t="s">
        <v>2978</v>
      </c>
      <c r="N214" s="141" t="s">
        <v>2958</v>
      </c>
      <c r="O214" s="141" t="s">
        <v>2959</v>
      </c>
      <c r="P214" s="141" t="s">
        <v>2960</v>
      </c>
      <c r="Q214" s="141" t="s">
        <v>2958</v>
      </c>
      <c r="R214" s="141" t="s">
        <v>2959</v>
      </c>
      <c r="S214" s="141" t="s">
        <v>2960</v>
      </c>
    </row>
    <row r="215" spans="1:19">
      <c r="C215" t="s">
        <v>1355</v>
      </c>
      <c r="D215">
        <v>59</v>
      </c>
      <c r="E215">
        <v>33</v>
      </c>
      <c r="F215">
        <v>33</v>
      </c>
      <c r="G215">
        <v>103</v>
      </c>
      <c r="H215">
        <v>23</v>
      </c>
      <c r="I215">
        <v>23</v>
      </c>
      <c r="N215">
        <f>N209+D218</f>
        <v>291.41737601893976</v>
      </c>
      <c r="O215">
        <f t="shared" ref="O215:S215" si="6">O209+E218</f>
        <v>195.01543174595918</v>
      </c>
      <c r="P215">
        <f t="shared" si="6"/>
        <v>266.3226212884428</v>
      </c>
      <c r="Q215">
        <f t="shared" si="6"/>
        <v>428.08891479898085</v>
      </c>
      <c r="R215">
        <f t="shared" si="6"/>
        <v>86.555083077407659</v>
      </c>
      <c r="S215">
        <f t="shared" si="6"/>
        <v>325.05181510355141</v>
      </c>
    </row>
    <row r="216" spans="1:19">
      <c r="C216" t="s">
        <v>2971</v>
      </c>
      <c r="D216">
        <v>18</v>
      </c>
      <c r="E216">
        <v>17</v>
      </c>
      <c r="F216">
        <v>17</v>
      </c>
      <c r="G216">
        <v>27</v>
      </c>
      <c r="H216">
        <v>9</v>
      </c>
      <c r="I216">
        <v>9</v>
      </c>
    </row>
    <row r="217" spans="1:19">
      <c r="C217" t="s">
        <v>2979</v>
      </c>
      <c r="D217">
        <v>21</v>
      </c>
      <c r="E217">
        <v>20</v>
      </c>
      <c r="F217">
        <v>20</v>
      </c>
      <c r="G217">
        <v>15</v>
      </c>
      <c r="H217">
        <v>0</v>
      </c>
      <c r="I217">
        <v>0</v>
      </c>
    </row>
    <row r="218" spans="1:19">
      <c r="C218" t="s">
        <v>2980</v>
      </c>
      <c r="D218">
        <f>SUM(D215:D217)</f>
        <v>98</v>
      </c>
      <c r="E218">
        <f t="shared" ref="E218:I218" si="7">SUM(E215:E217)</f>
        <v>70</v>
      </c>
      <c r="F218">
        <f t="shared" si="7"/>
        <v>70</v>
      </c>
      <c r="G218">
        <f t="shared" si="7"/>
        <v>145</v>
      </c>
      <c r="H218">
        <f t="shared" si="7"/>
        <v>32</v>
      </c>
      <c r="I218">
        <f t="shared" si="7"/>
        <v>32</v>
      </c>
    </row>
    <row r="221" spans="1:19">
      <c r="A221" t="s">
        <v>2981</v>
      </c>
    </row>
    <row r="222" spans="1:19">
      <c r="A222" t="s">
        <v>2982</v>
      </c>
      <c r="B222" t="s">
        <v>2610</v>
      </c>
      <c r="C222" t="s">
        <v>2983</v>
      </c>
    </row>
    <row r="223" spans="1:19">
      <c r="C223" s="141" t="s">
        <v>2984</v>
      </c>
      <c r="D223" s="141" t="s">
        <v>2985</v>
      </c>
      <c r="E223" s="141" t="s">
        <v>2488</v>
      </c>
      <c r="F223" s="141" t="s">
        <v>1342</v>
      </c>
      <c r="G223" s="141" t="s">
        <v>2986</v>
      </c>
      <c r="H223" s="141" t="s">
        <v>2987</v>
      </c>
    </row>
    <row r="224" spans="1:19">
      <c r="C224" s="141" t="s">
        <v>2988</v>
      </c>
      <c r="D224" s="141">
        <v>80.877193000000005</v>
      </c>
      <c r="E224" s="141">
        <v>68.070175399999997</v>
      </c>
      <c r="F224" s="141">
        <v>96.140350900000001</v>
      </c>
      <c r="G224" s="141">
        <v>78.245614000000003</v>
      </c>
      <c r="H224" s="141">
        <v>72.543859600000005</v>
      </c>
    </row>
    <row r="225" spans="2:8">
      <c r="C225" s="141" t="s">
        <v>2989</v>
      </c>
      <c r="D225" s="141">
        <v>82.719298199999997</v>
      </c>
      <c r="E225" s="141">
        <v>70.175438600000007</v>
      </c>
      <c r="F225" s="141">
        <v>94.736842100000004</v>
      </c>
      <c r="G225" s="141">
        <v>80.175438600000007</v>
      </c>
      <c r="H225" s="141">
        <v>74.298245600000001</v>
      </c>
    </row>
    <row r="226" spans="2:8">
      <c r="C226" s="141" t="s">
        <v>2990</v>
      </c>
      <c r="D226" s="141">
        <v>79.122806999999995</v>
      </c>
      <c r="E226" s="141">
        <v>70.964912299999995</v>
      </c>
      <c r="F226" s="141">
        <v>93.596491200000003</v>
      </c>
      <c r="G226" s="141">
        <v>76.754385999999997</v>
      </c>
      <c r="H226" s="141">
        <v>71.140350900000001</v>
      </c>
    </row>
    <row r="227" spans="2:8">
      <c r="C227" s="141" t="s">
        <v>2991</v>
      </c>
      <c r="D227" s="141">
        <v>81.666666699999993</v>
      </c>
      <c r="E227" s="141">
        <v>70.350877199999999</v>
      </c>
      <c r="F227" s="141">
        <v>89.649122800000001</v>
      </c>
      <c r="G227" s="141">
        <v>79.122806999999995</v>
      </c>
      <c r="H227" s="141">
        <v>73.333333300000007</v>
      </c>
    </row>
    <row r="228" spans="2:8">
      <c r="C228" s="141" t="s">
        <v>2992</v>
      </c>
      <c r="D228" s="141">
        <v>78.508771899999999</v>
      </c>
      <c r="E228" s="141">
        <v>73.421052599999996</v>
      </c>
      <c r="F228" s="141">
        <v>85.789473700000002</v>
      </c>
      <c r="G228" s="141">
        <v>76.052631599999998</v>
      </c>
      <c r="H228" s="141">
        <v>70.438596500000003</v>
      </c>
    </row>
    <row r="229" spans="2:8">
      <c r="C229" s="141" t="s">
        <v>2993</v>
      </c>
      <c r="D229" s="141">
        <v>76.315789499999994</v>
      </c>
      <c r="E229" s="141">
        <v>74.736842100000004</v>
      </c>
      <c r="F229" s="141">
        <v>76.140350900000001</v>
      </c>
      <c r="G229" s="141">
        <v>73.947368400000002</v>
      </c>
      <c r="H229" s="141">
        <v>68.508771899999999</v>
      </c>
    </row>
    <row r="230" spans="2:8">
      <c r="C230" s="141" t="s">
        <v>2994</v>
      </c>
      <c r="D230" s="141">
        <v>81.929824600000003</v>
      </c>
      <c r="E230" s="141">
        <v>77.982456099999993</v>
      </c>
      <c r="F230" s="141">
        <v>80.438596500000003</v>
      </c>
      <c r="G230" s="141">
        <v>79.473684199999994</v>
      </c>
      <c r="H230" s="141">
        <v>73.596491200000003</v>
      </c>
    </row>
    <row r="231" spans="2:8">
      <c r="C231" s="163" t="s">
        <v>2995</v>
      </c>
      <c r="D231" s="143">
        <f>SUM(D224:D230)*5</f>
        <v>2805.7017544999999</v>
      </c>
      <c r="E231" s="143">
        <f t="shared" ref="E231:H275" si="8">SUM(E224:E230)*5</f>
        <v>2528.5087715</v>
      </c>
      <c r="F231" s="143">
        <f t="shared" si="8"/>
        <v>3082.4561405000004</v>
      </c>
      <c r="G231" s="143">
        <f t="shared" si="8"/>
        <v>2718.859649</v>
      </c>
      <c r="H231" s="143">
        <f t="shared" si="8"/>
        <v>2519.298245</v>
      </c>
    </row>
    <row r="233" spans="2:8">
      <c r="B233" t="s">
        <v>701</v>
      </c>
      <c r="C233" s="141" t="s">
        <v>2996</v>
      </c>
      <c r="D233" s="247" t="s">
        <v>2997</v>
      </c>
    </row>
    <row r="234" spans="2:8">
      <c r="C234" s="141" t="s">
        <v>2984</v>
      </c>
      <c r="D234" s="141" t="s">
        <v>2998</v>
      </c>
      <c r="E234" s="141" t="s">
        <v>2999</v>
      </c>
      <c r="F234" s="141" t="s">
        <v>163</v>
      </c>
      <c r="G234" s="141" t="s">
        <v>3000</v>
      </c>
      <c r="H234" s="141" t="s">
        <v>3001</v>
      </c>
    </row>
    <row r="235" spans="2:8">
      <c r="C235" s="141" t="s">
        <v>2988</v>
      </c>
      <c r="D235" s="141">
        <v>-17.975708999999998</v>
      </c>
      <c r="E235" s="141">
        <v>6.6396761099999999</v>
      </c>
      <c r="F235" s="141">
        <v>13.441295500000001</v>
      </c>
      <c r="G235">
        <f t="shared" ref="G235:G241" si="9">SUM(D235:F235)</f>
        <v>2.1052626100000023</v>
      </c>
      <c r="H235">
        <f t="shared" ref="H235:H241" si="10">D235+E235</f>
        <v>-11.336032889999998</v>
      </c>
    </row>
    <row r="236" spans="2:8">
      <c r="C236" s="141" t="s">
        <v>2989</v>
      </c>
      <c r="D236" s="141">
        <v>-17.08502</v>
      </c>
      <c r="E236" s="141">
        <v>3.7246963599999998</v>
      </c>
      <c r="F236" s="141">
        <v>13.1983806</v>
      </c>
      <c r="G236">
        <f t="shared" si="9"/>
        <v>-0.16194304000000059</v>
      </c>
      <c r="H236">
        <f t="shared" si="10"/>
        <v>-13.360323640000001</v>
      </c>
    </row>
    <row r="237" spans="2:8">
      <c r="C237" s="141" t="s">
        <v>2990</v>
      </c>
      <c r="D237" s="141">
        <v>-12.064776999999999</v>
      </c>
      <c r="E237" s="141">
        <v>1.94331984</v>
      </c>
      <c r="F237" s="141">
        <v>8.6639676100000003</v>
      </c>
      <c r="G237">
        <f t="shared" si="9"/>
        <v>-1.4574895499999982</v>
      </c>
      <c r="H237">
        <f t="shared" si="10"/>
        <v>-10.121457159999999</v>
      </c>
    </row>
    <row r="238" spans="2:8">
      <c r="C238" s="141" t="s">
        <v>2991</v>
      </c>
      <c r="D238" s="141">
        <v>-18.704453000000001</v>
      </c>
      <c r="E238" s="141">
        <v>2.26720648</v>
      </c>
      <c r="F238" s="141">
        <v>12.145749</v>
      </c>
      <c r="G238">
        <f t="shared" si="9"/>
        <v>-4.2914975200000018</v>
      </c>
      <c r="H238">
        <f t="shared" si="10"/>
        <v>-16.437246520000002</v>
      </c>
    </row>
    <row r="239" spans="2:8">
      <c r="C239" s="141" t="s">
        <v>2992</v>
      </c>
      <c r="D239" s="141">
        <v>-5.3441295999999996</v>
      </c>
      <c r="E239" s="141">
        <v>-0.72874490000000003</v>
      </c>
      <c r="F239" s="141">
        <v>5.4251012100000002</v>
      </c>
      <c r="G239">
        <f t="shared" si="9"/>
        <v>-0.64777328999999906</v>
      </c>
      <c r="H239">
        <f t="shared" si="10"/>
        <v>-6.0728744999999993</v>
      </c>
    </row>
    <row r="240" spans="2:8">
      <c r="C240" s="141" t="s">
        <v>2993</v>
      </c>
      <c r="D240" s="141">
        <v>0</v>
      </c>
      <c r="E240" s="141">
        <v>-1.0526316</v>
      </c>
      <c r="F240" s="141">
        <v>1.6194332</v>
      </c>
      <c r="G240">
        <f t="shared" si="9"/>
        <v>0.56680160000000002</v>
      </c>
      <c r="H240">
        <f t="shared" si="10"/>
        <v>-1.0526316</v>
      </c>
    </row>
    <row r="241" spans="2:8">
      <c r="C241" s="141" t="s">
        <v>2994</v>
      </c>
      <c r="D241" s="141">
        <v>-0.32388660000000002</v>
      </c>
      <c r="E241" s="141">
        <v>0.32388664</v>
      </c>
      <c r="F241" s="141">
        <v>4.1295546600000002</v>
      </c>
      <c r="G241">
        <f t="shared" si="9"/>
        <v>4.1295546999999999</v>
      </c>
      <c r="H241">
        <f t="shared" si="10"/>
        <v>3.9999999978945766E-8</v>
      </c>
    </row>
    <row r="242" spans="2:8">
      <c r="C242" s="163" t="s">
        <v>2995</v>
      </c>
      <c r="D242" s="143">
        <f>SUM(D235:D241)*5</f>
        <v>-357.48987599999998</v>
      </c>
      <c r="E242" s="143">
        <f t="shared" si="8"/>
        <v>65.587044649999996</v>
      </c>
      <c r="F242" s="143">
        <f t="shared" ref="F242:H275" si="11">SUM(F235:F241)*5</f>
        <v>293.11740890000004</v>
      </c>
      <c r="G242" s="143">
        <f t="shared" si="11"/>
        <v>1.2145775500000111</v>
      </c>
      <c r="H242" s="143">
        <f t="shared" si="11"/>
        <v>-291.90283134999993</v>
      </c>
    </row>
    <row r="244" spans="2:8">
      <c r="B244" t="s">
        <v>426</v>
      </c>
      <c r="C244" s="141" t="s">
        <v>3002</v>
      </c>
      <c r="D244" t="s">
        <v>3003</v>
      </c>
    </row>
    <row r="245" spans="2:8">
      <c r="D245" t="s">
        <v>3004</v>
      </c>
      <c r="E245" t="s">
        <v>3005</v>
      </c>
      <c r="F245" t="s">
        <v>3006</v>
      </c>
      <c r="G245" s="141" t="s">
        <v>3000</v>
      </c>
      <c r="H245" s="141" t="s">
        <v>3001</v>
      </c>
    </row>
    <row r="246" spans="2:8">
      <c r="C246" s="141" t="s">
        <v>2988</v>
      </c>
      <c r="D246">
        <v>24.693140794223801</v>
      </c>
      <c r="E246">
        <v>-7.6895306859205599</v>
      </c>
      <c r="F246">
        <v>-16.462093862815799</v>
      </c>
      <c r="G246">
        <f t="shared" ref="G246:G252" si="12">SUM(D246:F246)</f>
        <v>0.54151624548744337</v>
      </c>
      <c r="H246">
        <f t="shared" ref="H246:H252" si="13">D246+E246</f>
        <v>17.003610108303242</v>
      </c>
    </row>
    <row r="247" spans="2:8">
      <c r="C247" s="141" t="s">
        <v>2989</v>
      </c>
      <c r="D247">
        <v>23.826714801443998</v>
      </c>
      <c r="E247">
        <v>-4.0072202166064903</v>
      </c>
      <c r="F247">
        <v>-12.8880866425992</v>
      </c>
      <c r="G247">
        <f t="shared" si="12"/>
        <v>6.931407942238307</v>
      </c>
      <c r="H247">
        <f t="shared" si="13"/>
        <v>19.819494584837507</v>
      </c>
    </row>
    <row r="248" spans="2:8">
      <c r="C248" s="141" t="s">
        <v>2990</v>
      </c>
      <c r="D248">
        <v>25.667870036101</v>
      </c>
      <c r="E248">
        <v>-3.35740072202164</v>
      </c>
      <c r="F248">
        <v>-15.270758122743599</v>
      </c>
      <c r="G248">
        <f t="shared" si="12"/>
        <v>7.0397111913357602</v>
      </c>
      <c r="H248">
        <f t="shared" si="13"/>
        <v>22.310469314079359</v>
      </c>
    </row>
    <row r="249" spans="2:8">
      <c r="C249" s="141" t="s">
        <v>2991</v>
      </c>
      <c r="D249">
        <v>11.588447653429601</v>
      </c>
      <c r="E249">
        <v>-0.54151624548733002</v>
      </c>
      <c r="F249">
        <v>-8.5559566787003192</v>
      </c>
      <c r="G249">
        <f t="shared" si="12"/>
        <v>2.4909747292419517</v>
      </c>
      <c r="H249">
        <f t="shared" si="13"/>
        <v>11.046931407942271</v>
      </c>
    </row>
    <row r="250" spans="2:8">
      <c r="C250" s="141" t="s">
        <v>2992</v>
      </c>
      <c r="D250">
        <v>13.6462093862815</v>
      </c>
      <c r="E250">
        <v>0.21660649819495001</v>
      </c>
      <c r="F250">
        <v>-7.9061371841155097</v>
      </c>
      <c r="G250">
        <f t="shared" si="12"/>
        <v>5.9566787003609409</v>
      </c>
      <c r="H250">
        <f t="shared" si="13"/>
        <v>13.862815884476451</v>
      </c>
    </row>
    <row r="251" spans="2:8">
      <c r="C251" s="141" t="s">
        <v>2993</v>
      </c>
      <c r="D251">
        <v>0.649819494584852</v>
      </c>
      <c r="E251">
        <v>2.59927797833936</v>
      </c>
      <c r="F251">
        <v>0</v>
      </c>
      <c r="G251">
        <f t="shared" si="12"/>
        <v>3.2490974729242121</v>
      </c>
      <c r="H251">
        <f t="shared" si="13"/>
        <v>3.2490974729242121</v>
      </c>
    </row>
    <row r="252" spans="2:8">
      <c r="C252" s="141" t="s">
        <v>2994</v>
      </c>
      <c r="D252">
        <v>-2.5992779783393098</v>
      </c>
      <c r="E252">
        <v>2.16606498194946</v>
      </c>
      <c r="F252">
        <v>1.40794223826717</v>
      </c>
      <c r="G252">
        <f t="shared" si="12"/>
        <v>0.97472924187732013</v>
      </c>
      <c r="H252">
        <f t="shared" si="13"/>
        <v>-0.43321299638984989</v>
      </c>
    </row>
    <row r="253" spans="2:8">
      <c r="C253" s="163" t="s">
        <v>2995</v>
      </c>
      <c r="D253" s="143">
        <f>SUM(D246:D252)*5</f>
        <v>487.36462093862713</v>
      </c>
      <c r="E253" s="143">
        <f t="shared" si="8"/>
        <v>-53.068592057761244</v>
      </c>
      <c r="F253" s="143">
        <f t="shared" si="11"/>
        <v>-298.37545126353626</v>
      </c>
      <c r="G253" s="143">
        <f t="shared" si="11"/>
        <v>135.92057761732968</v>
      </c>
      <c r="H253" s="143">
        <f t="shared" si="11"/>
        <v>434.29602888086583</v>
      </c>
    </row>
    <row r="255" spans="2:8">
      <c r="B255" t="s">
        <v>429</v>
      </c>
      <c r="C255" t="s">
        <v>3007</v>
      </c>
      <c r="D255" t="s">
        <v>3003</v>
      </c>
    </row>
    <row r="256" spans="2:8">
      <c r="D256" t="s">
        <v>3008</v>
      </c>
      <c r="E256" t="s">
        <v>3009</v>
      </c>
      <c r="F256" t="s">
        <v>3010</v>
      </c>
      <c r="G256" s="141" t="s">
        <v>3000</v>
      </c>
      <c r="H256" s="141" t="s">
        <v>3001</v>
      </c>
    </row>
    <row r="257" spans="2:8">
      <c r="C257" s="141" t="s">
        <v>2988</v>
      </c>
      <c r="D257">
        <v>-2.6409266409266401</v>
      </c>
      <c r="E257">
        <v>1.3088803088803</v>
      </c>
      <c r="F257">
        <v>2.6061776061775999</v>
      </c>
      <c r="G257">
        <f t="shared" ref="G257:G263" si="14">SUM(D257:F257)</f>
        <v>1.2741312741312598</v>
      </c>
      <c r="H257">
        <f t="shared" ref="H257:H263" si="15">D257+E257</f>
        <v>-1.33204633204634</v>
      </c>
    </row>
    <row r="258" spans="2:8">
      <c r="C258" s="141" t="s">
        <v>2989</v>
      </c>
      <c r="D258">
        <v>-2.7104247104247099</v>
      </c>
      <c r="E258">
        <v>0.84555984555984498</v>
      </c>
      <c r="F258">
        <v>2.6525096525096501</v>
      </c>
      <c r="G258">
        <f t="shared" si="14"/>
        <v>0.78764478764478518</v>
      </c>
      <c r="H258">
        <f t="shared" si="15"/>
        <v>-1.8648648648648649</v>
      </c>
    </row>
    <row r="259" spans="2:8">
      <c r="C259" s="141" t="s">
        <v>2990</v>
      </c>
      <c r="D259">
        <v>-2.5945945945945899</v>
      </c>
      <c r="E259">
        <v>0.70656370656370604</v>
      </c>
      <c r="F259">
        <v>2.5482625482625401</v>
      </c>
      <c r="G259">
        <f t="shared" si="14"/>
        <v>0.66023166023165625</v>
      </c>
      <c r="H259">
        <f t="shared" si="15"/>
        <v>-1.8880308880308838</v>
      </c>
    </row>
    <row r="260" spans="2:8">
      <c r="C260" s="141" t="s">
        <v>2991</v>
      </c>
      <c r="D260">
        <v>-2.9420849420849402</v>
      </c>
      <c r="E260">
        <v>0.63706563706563601</v>
      </c>
      <c r="F260">
        <v>2.6177606177606099</v>
      </c>
      <c r="G260">
        <f t="shared" si="14"/>
        <v>0.31274131274130568</v>
      </c>
      <c r="H260">
        <f t="shared" si="15"/>
        <v>-2.3050193050193042</v>
      </c>
    </row>
    <row r="261" spans="2:8">
      <c r="C261" s="141" t="s">
        <v>2992</v>
      </c>
      <c r="D261">
        <v>-2.4440154440154398</v>
      </c>
      <c r="E261">
        <v>0.49806949806949802</v>
      </c>
      <c r="F261">
        <v>2.5366795366795301</v>
      </c>
      <c r="G261">
        <f t="shared" si="14"/>
        <v>0.59073359073358822</v>
      </c>
      <c r="H261">
        <f t="shared" si="15"/>
        <v>-1.9459459459459418</v>
      </c>
    </row>
    <row r="262" spans="2:8">
      <c r="C262" s="141" t="s">
        <v>2993</v>
      </c>
      <c r="D262">
        <v>-2.37451737451737</v>
      </c>
      <c r="E262">
        <v>0.451737451737451</v>
      </c>
      <c r="F262">
        <v>2.4555984555984498</v>
      </c>
      <c r="G262">
        <f t="shared" si="14"/>
        <v>0.53281853281853087</v>
      </c>
      <c r="H262">
        <f t="shared" si="15"/>
        <v>-1.9227799227799189</v>
      </c>
    </row>
    <row r="263" spans="2:8">
      <c r="C263" s="141" t="s">
        <v>2994</v>
      </c>
      <c r="D263">
        <v>-2.7799227799227801</v>
      </c>
      <c r="E263">
        <v>0.48648648648648601</v>
      </c>
      <c r="F263">
        <v>2.6293436293436199</v>
      </c>
      <c r="G263">
        <f t="shared" si="14"/>
        <v>0.33590733590732569</v>
      </c>
      <c r="H263">
        <f t="shared" si="15"/>
        <v>-2.2934362934362942</v>
      </c>
    </row>
    <row r="264" spans="2:8">
      <c r="C264" s="163" t="s">
        <v>2995</v>
      </c>
      <c r="D264" s="143">
        <f>SUM(D257:D263)*5</f>
        <v>-92.43243243243235</v>
      </c>
      <c r="E264" s="143">
        <f t="shared" si="8"/>
        <v>24.671814671814612</v>
      </c>
      <c r="F264" s="143">
        <f t="shared" si="11"/>
        <v>90.231660231660001</v>
      </c>
      <c r="G264" s="143">
        <f t="shared" si="11"/>
        <v>22.47104247104226</v>
      </c>
      <c r="H264" s="143">
        <f t="shared" si="11"/>
        <v>-67.760617760617734</v>
      </c>
    </row>
    <row r="266" spans="2:8">
      <c r="B266" t="s">
        <v>786</v>
      </c>
      <c r="C266" t="s">
        <v>3011</v>
      </c>
      <c r="D266" t="s">
        <v>3003</v>
      </c>
    </row>
    <row r="267" spans="2:8">
      <c r="D267" s="141" t="s">
        <v>3012</v>
      </c>
      <c r="E267" s="141" t="s">
        <v>3013</v>
      </c>
      <c r="F267" s="141" t="s">
        <v>3014</v>
      </c>
      <c r="G267" s="141" t="s">
        <v>3000</v>
      </c>
      <c r="H267" s="141" t="s">
        <v>3001</v>
      </c>
    </row>
    <row r="268" spans="2:8">
      <c r="C268" s="141" t="s">
        <v>2988</v>
      </c>
      <c r="D268" s="141">
        <v>-15.694981</v>
      </c>
      <c r="E268" s="141">
        <v>-10.783784000000001</v>
      </c>
      <c r="F268" s="141">
        <v>-9.1505791999999992</v>
      </c>
      <c r="G268">
        <f t="shared" ref="G268:G274" si="16">SUM(D268:F268)</f>
        <v>-35.629344200000006</v>
      </c>
      <c r="H268">
        <f t="shared" ref="H268:H274" si="17">D268+E268</f>
        <v>-26.478765000000003</v>
      </c>
    </row>
    <row r="269" spans="2:8">
      <c r="C269" s="141" t="s">
        <v>2989</v>
      </c>
      <c r="D269" s="141">
        <v>-15.752896</v>
      </c>
      <c r="E269" s="141">
        <v>-11.258687</v>
      </c>
      <c r="F269" s="141">
        <v>-9.0579151000000007</v>
      </c>
      <c r="G269">
        <f t="shared" si="16"/>
        <v>-36.069498100000004</v>
      </c>
      <c r="H269">
        <f t="shared" si="17"/>
        <v>-27.011583000000002</v>
      </c>
    </row>
    <row r="270" spans="2:8">
      <c r="C270" s="141" t="s">
        <v>2990</v>
      </c>
      <c r="D270" s="141">
        <v>-15.602316999999999</v>
      </c>
      <c r="E270" s="141">
        <v>-11.525097000000001</v>
      </c>
      <c r="F270" s="141">
        <v>-9.1969112000000006</v>
      </c>
      <c r="G270">
        <f t="shared" si="16"/>
        <v>-36.324325200000004</v>
      </c>
      <c r="H270">
        <f t="shared" si="17"/>
        <v>-27.127414000000002</v>
      </c>
    </row>
    <row r="271" spans="2:8">
      <c r="C271" s="141" t="s">
        <v>2991</v>
      </c>
      <c r="D271" s="141">
        <v>-15.857143000000001</v>
      </c>
      <c r="E271" s="141">
        <v>-11.606178</v>
      </c>
      <c r="F271" s="141">
        <v>-9.1158301000000002</v>
      </c>
      <c r="G271">
        <f t="shared" si="16"/>
        <v>-36.579151100000004</v>
      </c>
      <c r="H271">
        <f t="shared" si="17"/>
        <v>-27.463321000000001</v>
      </c>
    </row>
    <row r="272" spans="2:8">
      <c r="C272" s="141" t="s">
        <v>2992</v>
      </c>
      <c r="D272" s="141">
        <v>-15.46332</v>
      </c>
      <c r="E272" s="141">
        <v>-11.803089</v>
      </c>
      <c r="F272" s="141">
        <v>-9.2432432000000002</v>
      </c>
      <c r="G272">
        <f t="shared" si="16"/>
        <v>-36.509652199999998</v>
      </c>
      <c r="H272">
        <f t="shared" si="17"/>
        <v>-27.266408999999999</v>
      </c>
    </row>
    <row r="273" spans="1:20">
      <c r="C273" s="141" t="s">
        <v>2993</v>
      </c>
      <c r="D273" s="141">
        <v>-15.393822</v>
      </c>
      <c r="E273" s="141">
        <v>-11.837838</v>
      </c>
      <c r="F273" s="141">
        <v>-9.3127413000000008</v>
      </c>
      <c r="G273">
        <f t="shared" si="16"/>
        <v>-36.544401299999997</v>
      </c>
      <c r="H273">
        <f t="shared" si="17"/>
        <v>-27.231659999999998</v>
      </c>
    </row>
    <row r="274" spans="1:20">
      <c r="C274" s="141" t="s">
        <v>2994</v>
      </c>
      <c r="D274" s="141">
        <v>-15.706564</v>
      </c>
      <c r="E274" s="141">
        <v>-11.814672</v>
      </c>
      <c r="F274" s="141">
        <v>-9.0810811000000005</v>
      </c>
      <c r="G274">
        <f t="shared" si="16"/>
        <v>-36.6023171</v>
      </c>
      <c r="H274">
        <f t="shared" si="17"/>
        <v>-27.521236000000002</v>
      </c>
    </row>
    <row r="275" spans="1:20">
      <c r="C275" s="163" t="s">
        <v>2995</v>
      </c>
      <c r="D275" s="143">
        <f>SUM(D268:D274)*5</f>
        <v>-547.35521499999993</v>
      </c>
      <c r="E275" s="143">
        <f t="shared" si="8"/>
        <v>-403.146725</v>
      </c>
      <c r="F275" s="143">
        <f t="shared" si="11"/>
        <v>-320.79150599999997</v>
      </c>
      <c r="G275" s="143">
        <f t="shared" si="11"/>
        <v>-1271.2934460000001</v>
      </c>
      <c r="H275" s="143">
        <f t="shared" si="11"/>
        <v>-950.5019400000001</v>
      </c>
    </row>
    <row r="277" spans="1:20">
      <c r="A277" t="s">
        <v>3015</v>
      </c>
      <c r="G277" t="s">
        <v>1756</v>
      </c>
      <c r="H277" t="s">
        <v>3016</v>
      </c>
      <c r="I277" t="s">
        <v>1749</v>
      </c>
      <c r="J277" t="s">
        <v>3017</v>
      </c>
      <c r="K277" t="s">
        <v>1758</v>
      </c>
    </row>
    <row r="278" spans="1:20">
      <c r="A278" t="s">
        <v>3018</v>
      </c>
      <c r="C278" s="333" t="s">
        <v>3019</v>
      </c>
      <c r="D278" s="333"/>
      <c r="E278" s="333"/>
      <c r="F278" s="179">
        <v>2015</v>
      </c>
      <c r="G278" s="152">
        <v>36735840909.090897</v>
      </c>
      <c r="H278" s="152">
        <v>36735840909.090897</v>
      </c>
      <c r="I278" s="152">
        <v>36735840909.090897</v>
      </c>
      <c r="J278" s="152">
        <v>36735840909.090897</v>
      </c>
      <c r="K278" s="152">
        <v>36735840909.090897</v>
      </c>
    </row>
    <row r="279" spans="1:20">
      <c r="C279" s="333"/>
      <c r="D279" s="333"/>
      <c r="E279" s="333"/>
      <c r="F279" s="248">
        <v>2040</v>
      </c>
      <c r="G279" s="249">
        <v>39275000000</v>
      </c>
      <c r="H279" s="249">
        <v>39796522727.272705</v>
      </c>
      <c r="I279" s="249">
        <v>40035181818.181801</v>
      </c>
      <c r="J279" s="249">
        <v>39272306818.181801</v>
      </c>
      <c r="K279" s="249">
        <v>39129772727.272705</v>
      </c>
    </row>
    <row r="280" spans="1:20">
      <c r="C280" s="333"/>
      <c r="D280" s="333"/>
      <c r="E280" s="333"/>
      <c r="F280" s="179">
        <v>2050.16129032258</v>
      </c>
      <c r="G280" s="152">
        <v>39589931818.181793</v>
      </c>
      <c r="H280" s="152">
        <v>40141454545.454498</v>
      </c>
      <c r="I280" s="152">
        <v>40471704545.454498</v>
      </c>
      <c r="J280" s="152">
        <v>39582340909.090904</v>
      </c>
      <c r="K280" s="152">
        <v>39324090909.090897</v>
      </c>
    </row>
    <row r="281" spans="1:20">
      <c r="C281" s="333"/>
      <c r="D281" s="333"/>
      <c r="E281" s="333"/>
      <c r="F281" s="248">
        <v>2060</v>
      </c>
      <c r="G281" s="249">
        <v>39472863636.363602</v>
      </c>
      <c r="H281" s="249">
        <v>39851363636.363602</v>
      </c>
      <c r="I281" s="249">
        <v>40260227272.727196</v>
      </c>
      <c r="J281" s="249">
        <v>39295431818.181801</v>
      </c>
      <c r="K281" s="249">
        <v>39128409090.909004</v>
      </c>
    </row>
    <row r="282" spans="1:20">
      <c r="C282" t="s">
        <v>3020</v>
      </c>
      <c r="G282" s="152">
        <f>G278*25+G279*10+G280*10+G281*10</f>
        <v>2101773977272.7263</v>
      </c>
      <c r="H282" s="152">
        <f t="shared" ref="H282:K282" si="18">H278*25+H279*10+H280*10+H281*10</f>
        <v>2116289431818.1804</v>
      </c>
      <c r="I282" s="152">
        <f t="shared" si="18"/>
        <v>2126067159090.9072</v>
      </c>
      <c r="J282" s="152">
        <f t="shared" si="18"/>
        <v>2099896818181.8174</v>
      </c>
      <c r="K282" s="152">
        <f t="shared" si="18"/>
        <v>2094218749999.9985</v>
      </c>
    </row>
    <row r="283" spans="1:20">
      <c r="G283" s="152"/>
      <c r="H283" s="152"/>
      <c r="I283" s="152"/>
      <c r="J283" s="152"/>
      <c r="K283" s="152"/>
    </row>
    <row r="285" spans="1:20">
      <c r="A285" t="s">
        <v>3021</v>
      </c>
      <c r="B285" t="s">
        <v>3022</v>
      </c>
    </row>
    <row r="286" spans="1:20">
      <c r="B286" s="141"/>
      <c r="C286" s="141"/>
      <c r="D286" s="141" t="s">
        <v>1213</v>
      </c>
      <c r="E286" s="141">
        <v>0</v>
      </c>
      <c r="F286" s="141">
        <v>1</v>
      </c>
      <c r="G286" s="141">
        <v>2</v>
      </c>
      <c r="H286" s="141">
        <v>3</v>
      </c>
      <c r="I286" s="141">
        <v>4</v>
      </c>
      <c r="J286" s="141"/>
      <c r="K286" s="141"/>
      <c r="L286" s="141"/>
      <c r="M286" s="141"/>
      <c r="N286" s="141"/>
      <c r="O286" s="141"/>
      <c r="P286" s="141"/>
      <c r="Q286" s="141"/>
      <c r="R286" s="141"/>
      <c r="S286" s="141"/>
      <c r="T286" s="141"/>
    </row>
    <row r="287" spans="1:20">
      <c r="B287" s="217" t="s">
        <v>2612</v>
      </c>
      <c r="C287" s="141"/>
      <c r="D287" s="141"/>
      <c r="E287" s="141">
        <v>80.851060000000004</v>
      </c>
      <c r="F287" s="141">
        <v>68.510639999999995</v>
      </c>
      <c r="G287" s="141">
        <v>96.170209999999997</v>
      </c>
      <c r="H287" s="141">
        <v>78.723399999999998</v>
      </c>
      <c r="I287" s="141">
        <v>72.765960000000007</v>
      </c>
      <c r="J287" s="141"/>
      <c r="K287" s="141"/>
      <c r="L287" s="141"/>
      <c r="N287" s="141"/>
      <c r="O287" s="141"/>
      <c r="P287" s="141"/>
      <c r="Q287" s="141"/>
      <c r="R287" s="141"/>
      <c r="S287" s="141"/>
      <c r="T287" s="141"/>
    </row>
    <row r="288" spans="1:20">
      <c r="B288" s="141"/>
      <c r="C288" s="141"/>
      <c r="D288" s="141"/>
      <c r="E288" s="141">
        <v>83.404259999999994</v>
      </c>
      <c r="F288" s="141">
        <v>70.638300000000001</v>
      </c>
      <c r="G288" s="141">
        <v>94.468090000000004</v>
      </c>
      <c r="H288" s="141">
        <v>80.425529999999995</v>
      </c>
      <c r="I288" s="141">
        <v>74.468090000000004</v>
      </c>
      <c r="J288" s="141"/>
      <c r="K288" s="141"/>
      <c r="L288" s="141"/>
      <c r="M288" s="141"/>
      <c r="N288" s="141"/>
      <c r="O288" s="141"/>
      <c r="P288" s="141"/>
      <c r="Q288" s="141"/>
      <c r="R288" s="141"/>
      <c r="S288" s="141"/>
      <c r="T288" s="141"/>
    </row>
    <row r="289" spans="2:20">
      <c r="B289" s="141"/>
      <c r="C289" s="141"/>
      <c r="D289" s="141"/>
      <c r="E289" s="141">
        <v>79.148939999999996</v>
      </c>
      <c r="F289" s="141">
        <v>70.638300000000001</v>
      </c>
      <c r="G289" s="141">
        <v>93.617019999999997</v>
      </c>
      <c r="H289" s="141">
        <v>76.595740000000006</v>
      </c>
      <c r="I289" s="141">
        <v>71.489360000000005</v>
      </c>
      <c r="J289" s="141"/>
      <c r="K289" s="141"/>
      <c r="L289" s="141"/>
      <c r="M289" s="141"/>
      <c r="N289" s="141"/>
      <c r="O289" s="141"/>
      <c r="P289" s="141"/>
      <c r="Q289" s="141"/>
      <c r="R289" s="141"/>
      <c r="S289" s="141"/>
      <c r="T289" s="141"/>
    </row>
    <row r="290" spans="2:20">
      <c r="B290" s="141"/>
      <c r="C290" s="141"/>
      <c r="D290" s="141"/>
      <c r="E290" s="141">
        <v>81.702129999999997</v>
      </c>
      <c r="F290" s="141">
        <v>70.638300000000001</v>
      </c>
      <c r="G290" s="141">
        <v>89.361699999999999</v>
      </c>
      <c r="H290" s="141">
        <v>79.574470000000005</v>
      </c>
      <c r="I290" s="141">
        <v>73.617019999999997</v>
      </c>
      <c r="J290" s="141"/>
      <c r="K290" s="141"/>
      <c r="L290" s="141"/>
      <c r="M290" s="141"/>
      <c r="N290" s="141"/>
      <c r="O290" s="141"/>
      <c r="P290" s="141"/>
      <c r="Q290" s="141"/>
      <c r="R290" s="141"/>
      <c r="S290" s="141"/>
      <c r="T290" s="141"/>
    </row>
    <row r="291" spans="2:20">
      <c r="B291" s="141"/>
      <c r="C291" s="141"/>
      <c r="D291" s="141"/>
      <c r="E291" s="141">
        <v>78.297870000000003</v>
      </c>
      <c r="F291" s="141">
        <v>73.617019999999997</v>
      </c>
      <c r="G291" s="141">
        <v>85.957449999999994</v>
      </c>
      <c r="H291" s="141">
        <v>76.170209999999997</v>
      </c>
      <c r="I291" s="141">
        <v>70.638300000000001</v>
      </c>
      <c r="J291" s="141"/>
      <c r="K291" s="141"/>
      <c r="L291" s="141"/>
      <c r="M291" s="141"/>
      <c r="N291" s="141"/>
      <c r="O291" s="141"/>
      <c r="P291" s="141"/>
      <c r="Q291" s="141"/>
      <c r="R291" s="141"/>
      <c r="S291" s="141"/>
      <c r="T291" s="141"/>
    </row>
    <row r="292" spans="2:20">
      <c r="B292" s="141"/>
      <c r="C292" s="141"/>
      <c r="D292" s="141"/>
      <c r="E292" s="141">
        <v>75.744680000000002</v>
      </c>
      <c r="F292" s="141">
        <v>74.893619999999999</v>
      </c>
      <c r="G292" s="141">
        <v>76.595740000000006</v>
      </c>
      <c r="H292" s="141">
        <v>74.042550000000006</v>
      </c>
      <c r="I292" s="141">
        <v>68.936170000000004</v>
      </c>
      <c r="J292" s="141"/>
      <c r="K292" s="141"/>
      <c r="L292" s="141"/>
      <c r="M292" s="141"/>
      <c r="N292" s="141"/>
      <c r="O292" s="141"/>
      <c r="P292" s="141"/>
      <c r="Q292" s="141"/>
      <c r="R292" s="141"/>
      <c r="S292" s="141"/>
      <c r="T292" s="141"/>
    </row>
    <row r="293" spans="2:20">
      <c r="B293" s="141"/>
      <c r="C293" s="141"/>
      <c r="D293" s="141"/>
      <c r="E293" s="141">
        <v>82.553190000000001</v>
      </c>
      <c r="F293" s="141">
        <v>78.297870000000003</v>
      </c>
      <c r="G293" s="141">
        <v>80.851060000000004</v>
      </c>
      <c r="H293" s="141">
        <v>79.574470000000005</v>
      </c>
      <c r="I293" s="141">
        <v>73.617019999999997</v>
      </c>
      <c r="J293" s="141"/>
      <c r="K293" s="141"/>
      <c r="L293" s="141"/>
      <c r="M293" s="141"/>
      <c r="N293" s="141"/>
      <c r="O293" s="141"/>
      <c r="P293" s="141"/>
      <c r="Q293" s="141"/>
      <c r="R293" s="141"/>
      <c r="S293" s="141"/>
      <c r="T293" s="141"/>
    </row>
    <row r="294" spans="2:20">
      <c r="B294" s="141"/>
      <c r="C294" s="141"/>
      <c r="D294" s="141" t="s">
        <v>2613</v>
      </c>
      <c r="E294" s="163">
        <v>80.243160000000003</v>
      </c>
      <c r="F294" s="163">
        <v>72.462010000000006</v>
      </c>
      <c r="G294" s="163">
        <v>88.145899999999997</v>
      </c>
      <c r="H294" s="163">
        <v>77.872339999999994</v>
      </c>
      <c r="I294" s="163">
        <v>72.21884</v>
      </c>
      <c r="J294" s="141"/>
      <c r="K294" s="141"/>
      <c r="L294" s="141"/>
      <c r="M294" s="141"/>
      <c r="N294" s="141"/>
      <c r="O294" s="141"/>
      <c r="P294" s="141"/>
      <c r="Q294" s="141"/>
      <c r="R294" s="141"/>
      <c r="S294" s="141"/>
      <c r="T294" s="141"/>
    </row>
    <row r="295" spans="2:20">
      <c r="B295" s="141"/>
      <c r="C295" s="141"/>
      <c r="D295" s="141" t="s">
        <v>3023</v>
      </c>
      <c r="E295" s="141">
        <v>2808.511</v>
      </c>
      <c r="F295" s="141">
        <v>2536.17</v>
      </c>
      <c r="G295" s="141">
        <v>3085.1060000000002</v>
      </c>
      <c r="H295" s="141">
        <v>2725.5320000000002</v>
      </c>
      <c r="I295" s="141">
        <v>2527.66</v>
      </c>
      <c r="J295" s="141"/>
      <c r="K295" s="141"/>
      <c r="L295" s="141"/>
      <c r="M295" s="141"/>
      <c r="N295" s="141"/>
      <c r="O295" s="141"/>
      <c r="P295" s="141"/>
      <c r="Q295" s="141"/>
      <c r="R295" s="141"/>
      <c r="S295" s="141"/>
      <c r="T295" s="141"/>
    </row>
    <row r="296" spans="2:20">
      <c r="B296" s="141"/>
      <c r="C296" s="141"/>
      <c r="D296" s="141"/>
      <c r="E296" s="141" t="s">
        <v>2614</v>
      </c>
      <c r="F296" s="141">
        <v>1</v>
      </c>
      <c r="G296" s="141">
        <v>2</v>
      </c>
      <c r="H296" s="141">
        <v>3</v>
      </c>
      <c r="I296" s="141">
        <v>4</v>
      </c>
      <c r="J296" s="141"/>
      <c r="K296" s="141"/>
      <c r="L296" s="141"/>
      <c r="M296" s="141"/>
      <c r="N296" s="141"/>
      <c r="O296" s="141"/>
      <c r="P296" s="141"/>
      <c r="Q296" s="141"/>
      <c r="R296" s="141"/>
      <c r="S296" s="141"/>
      <c r="T296" s="141"/>
    </row>
    <row r="297" spans="2:20">
      <c r="B297" s="141"/>
      <c r="C297" s="141"/>
      <c r="D297" s="141" t="s">
        <v>1334</v>
      </c>
      <c r="E297" s="141"/>
      <c r="F297" s="218" t="s">
        <v>701</v>
      </c>
      <c r="G297" s="141" t="s">
        <v>426</v>
      </c>
      <c r="H297" s="218" t="s">
        <v>2618</v>
      </c>
      <c r="I297" s="218" t="s">
        <v>2617</v>
      </c>
      <c r="J297" s="141"/>
      <c r="K297" s="141"/>
      <c r="L297" s="141"/>
      <c r="M297" s="141"/>
      <c r="N297" s="141"/>
      <c r="O297" s="141"/>
      <c r="P297" s="141"/>
      <c r="Q297" s="141"/>
      <c r="R297" s="141"/>
      <c r="S297" s="141"/>
      <c r="T297" s="141"/>
    </row>
    <row r="298" spans="2:20">
      <c r="B298" s="141"/>
      <c r="C298" s="141"/>
      <c r="D298" s="217" t="s">
        <v>2620</v>
      </c>
      <c r="E298" s="141" t="s">
        <v>2988</v>
      </c>
      <c r="F298" s="219">
        <v>-17.840900000000001</v>
      </c>
      <c r="G298" s="219">
        <v>24.49541</v>
      </c>
      <c r="H298" s="219">
        <v>-2.5858599999999998</v>
      </c>
      <c r="I298" s="220">
        <v>-8.9655199999999997</v>
      </c>
      <c r="J298" s="141"/>
      <c r="K298" s="141"/>
      <c r="L298" s="141"/>
      <c r="M298" s="141"/>
      <c r="N298" s="141"/>
      <c r="O298" s="141"/>
      <c r="P298" s="141"/>
      <c r="Q298" s="141"/>
      <c r="R298" s="141"/>
      <c r="S298" s="141"/>
      <c r="T298" s="141"/>
    </row>
    <row r="299" spans="2:20">
      <c r="B299" s="141"/>
      <c r="C299" s="141"/>
      <c r="D299" s="141"/>
      <c r="E299" s="141" t="s">
        <v>2989</v>
      </c>
      <c r="F299" s="219">
        <v>-16.818200000000001</v>
      </c>
      <c r="G299" s="219">
        <v>23.57798</v>
      </c>
      <c r="H299" s="219">
        <v>-2.6565699999999999</v>
      </c>
      <c r="I299" s="220">
        <v>-8.9655199999999997</v>
      </c>
      <c r="J299" s="141"/>
      <c r="K299" s="141"/>
      <c r="L299" s="141"/>
      <c r="M299" s="141"/>
      <c r="N299" s="141"/>
      <c r="O299" s="141"/>
      <c r="P299" s="141"/>
      <c r="Q299" s="141"/>
      <c r="R299" s="141"/>
      <c r="S299" s="141"/>
      <c r="T299" s="141"/>
    </row>
    <row r="300" spans="2:20">
      <c r="B300" s="141"/>
      <c r="C300" s="141"/>
      <c r="D300" s="141"/>
      <c r="E300" s="141" t="s">
        <v>2990</v>
      </c>
      <c r="F300" s="219">
        <v>-12.045500000000001</v>
      </c>
      <c r="G300" s="219">
        <v>25.412839999999999</v>
      </c>
      <c r="H300" s="219">
        <v>-2.5151500000000002</v>
      </c>
      <c r="I300" s="220">
        <v>-8.5862099999999995</v>
      </c>
      <c r="J300" s="141"/>
      <c r="K300" s="141"/>
      <c r="L300" s="141"/>
      <c r="M300" s="141"/>
      <c r="N300" s="141"/>
      <c r="O300" s="141"/>
      <c r="P300" s="141"/>
      <c r="Q300" s="141"/>
      <c r="R300" s="141"/>
      <c r="S300" s="141"/>
      <c r="T300" s="141"/>
    </row>
    <row r="301" spans="2:20">
      <c r="B301" s="141"/>
      <c r="C301" s="141"/>
      <c r="D301" s="141"/>
      <c r="E301" s="141" t="s">
        <v>2991</v>
      </c>
      <c r="F301" s="219">
        <v>-18.5227</v>
      </c>
      <c r="G301" s="219">
        <v>11.65138</v>
      </c>
      <c r="H301" s="219">
        <v>-2.9393899999999999</v>
      </c>
      <c r="I301" s="220">
        <v>-9.34483</v>
      </c>
      <c r="J301" s="141"/>
      <c r="K301" s="141"/>
      <c r="L301" s="141"/>
      <c r="M301" s="141"/>
      <c r="N301" s="141"/>
      <c r="O301" s="141"/>
      <c r="P301" s="141"/>
      <c r="Q301" s="141"/>
      <c r="R301" s="141"/>
      <c r="S301" s="141"/>
      <c r="T301" s="141"/>
    </row>
    <row r="302" spans="2:20">
      <c r="B302" s="141"/>
      <c r="C302" s="141"/>
      <c r="D302" s="141"/>
      <c r="E302" s="141" t="s">
        <v>2992</v>
      </c>
      <c r="F302" s="219">
        <v>-5.2272699999999999</v>
      </c>
      <c r="G302" s="219">
        <v>13.48624</v>
      </c>
      <c r="H302" s="219">
        <v>-2.5151500000000002</v>
      </c>
      <c r="I302" s="220">
        <v>-8.2068999999999992</v>
      </c>
      <c r="J302" s="141"/>
      <c r="K302" s="141"/>
      <c r="L302" s="141"/>
      <c r="M302" s="141"/>
      <c r="N302" s="141"/>
      <c r="O302" s="141"/>
      <c r="P302" s="141"/>
      <c r="Q302" s="141"/>
      <c r="R302" s="141"/>
      <c r="S302" s="141"/>
      <c r="T302" s="141"/>
    </row>
    <row r="303" spans="2:20">
      <c r="B303" s="141"/>
      <c r="C303" s="141"/>
      <c r="D303" s="141"/>
      <c r="E303" s="141" t="s">
        <v>2993</v>
      </c>
      <c r="F303" s="219">
        <v>0.227273</v>
      </c>
      <c r="G303" s="219">
        <v>1.1009169999999999</v>
      </c>
      <c r="H303" s="219">
        <v>-2.3737400000000002</v>
      </c>
      <c r="I303" s="220">
        <v>-8.0172399999999993</v>
      </c>
      <c r="J303" s="141"/>
      <c r="K303" s="141"/>
      <c r="L303" s="141"/>
      <c r="M303" s="141"/>
      <c r="N303" s="141"/>
      <c r="O303" s="141"/>
      <c r="P303" s="141"/>
      <c r="Q303" s="141"/>
      <c r="R303" s="141"/>
      <c r="S303" s="141"/>
      <c r="T303" s="141"/>
    </row>
    <row r="304" spans="2:20">
      <c r="B304" s="141"/>
      <c r="C304" s="141"/>
      <c r="D304" s="141"/>
      <c r="E304" s="141" t="s">
        <v>2994</v>
      </c>
      <c r="F304" s="219">
        <v>-0.45455000000000001</v>
      </c>
      <c r="G304" s="219">
        <v>-2.11009</v>
      </c>
      <c r="H304" s="219">
        <v>-2.7979799999999999</v>
      </c>
      <c r="I304" s="220">
        <v>-8.9655199999999997</v>
      </c>
      <c r="J304" s="141"/>
      <c r="K304" s="141"/>
      <c r="L304" s="141"/>
      <c r="M304" s="141"/>
      <c r="N304" s="141"/>
      <c r="O304" s="141"/>
      <c r="P304" s="141"/>
      <c r="Q304" s="141"/>
      <c r="R304" s="141"/>
      <c r="S304" s="141"/>
      <c r="T304" s="141"/>
    </row>
    <row r="305" spans="2:20">
      <c r="B305" s="141"/>
      <c r="C305" s="141"/>
      <c r="D305" s="217" t="s">
        <v>2613</v>
      </c>
      <c r="E305" s="141"/>
      <c r="F305" s="217">
        <v>-10.0974</v>
      </c>
      <c r="G305" s="217">
        <v>13.94495</v>
      </c>
      <c r="H305" s="217">
        <v>-2.6262599999999998</v>
      </c>
      <c r="I305" s="217">
        <v>-8.7216699999999996</v>
      </c>
      <c r="J305" s="141"/>
      <c r="K305" s="141"/>
      <c r="L305" s="141"/>
      <c r="M305" s="141"/>
      <c r="N305" s="141"/>
      <c r="O305" s="141"/>
      <c r="P305" s="141"/>
      <c r="Q305" s="141"/>
      <c r="R305" s="141"/>
      <c r="S305" s="141"/>
      <c r="T305" s="141"/>
    </row>
    <row r="306" spans="2:20">
      <c r="B306" s="141"/>
      <c r="C306" s="141"/>
      <c r="D306" s="250" t="s">
        <v>3024</v>
      </c>
      <c r="E306" s="251"/>
      <c r="F306" s="251">
        <f>F305*30</f>
        <v>-302.92200000000003</v>
      </c>
      <c r="G306" s="251">
        <f t="shared" ref="G306:I336" si="19">G305*30</f>
        <v>418.3485</v>
      </c>
      <c r="H306" s="251">
        <f t="shared" si="19"/>
        <v>-78.78779999999999</v>
      </c>
      <c r="I306" s="251">
        <f t="shared" si="19"/>
        <v>-261.65010000000001</v>
      </c>
      <c r="J306" s="141"/>
      <c r="K306" s="141"/>
      <c r="L306" s="141"/>
      <c r="M306" s="141"/>
      <c r="N306" s="141"/>
      <c r="O306" s="141"/>
      <c r="P306" s="141"/>
      <c r="Q306" s="141"/>
      <c r="R306" s="141"/>
      <c r="S306" s="141"/>
      <c r="T306" s="141"/>
    </row>
    <row r="307" spans="2:20">
      <c r="B307" s="141"/>
      <c r="C307" s="141"/>
      <c r="D307" s="141"/>
      <c r="E307" s="141"/>
      <c r="F307" s="141"/>
      <c r="G307" s="141"/>
      <c r="H307" s="141"/>
      <c r="I307" s="141"/>
      <c r="J307" s="141"/>
      <c r="K307" s="141"/>
      <c r="L307" s="141"/>
      <c r="M307" s="141"/>
      <c r="N307" s="141" t="s">
        <v>2614</v>
      </c>
      <c r="O307" s="141">
        <v>1</v>
      </c>
      <c r="P307" s="141">
        <v>2</v>
      </c>
      <c r="Q307" s="141">
        <v>3</v>
      </c>
      <c r="R307" s="141">
        <v>4</v>
      </c>
      <c r="S307" s="141"/>
      <c r="T307" s="141"/>
    </row>
    <row r="308" spans="2:20">
      <c r="B308" s="141"/>
      <c r="C308" s="141"/>
      <c r="D308" s="217" t="s">
        <v>229</v>
      </c>
      <c r="E308" s="141" t="s">
        <v>2988</v>
      </c>
      <c r="F308" s="225">
        <v>7.0454549999999996</v>
      </c>
      <c r="G308" s="225">
        <v>-7.6146799999999999</v>
      </c>
      <c r="H308" s="141">
        <v>0.66666700000000001</v>
      </c>
      <c r="I308" s="252">
        <v>2.0344799999999998</v>
      </c>
      <c r="J308" s="151" t="s">
        <v>3025</v>
      </c>
      <c r="K308" s="151"/>
      <c r="L308" s="151"/>
      <c r="M308" s="217" t="s">
        <v>3026</v>
      </c>
      <c r="N308" s="141" t="s">
        <v>2988</v>
      </c>
      <c r="O308" s="141">
        <v>-10.795500000000001</v>
      </c>
      <c r="P308" s="141">
        <v>16.88073</v>
      </c>
      <c r="Q308" s="141">
        <v>-1.91919</v>
      </c>
      <c r="R308" s="141">
        <v>-6.9310299999999998</v>
      </c>
      <c r="S308" s="141"/>
      <c r="T308" s="141"/>
    </row>
    <row r="309" spans="2:20">
      <c r="B309" s="141"/>
      <c r="C309" s="141"/>
      <c r="D309" s="141"/>
      <c r="E309" s="141" t="s">
        <v>2989</v>
      </c>
      <c r="F309" s="225">
        <v>3.6363639999999999</v>
      </c>
      <c r="G309" s="225">
        <v>-3.94495</v>
      </c>
      <c r="H309" s="141">
        <v>0.45454499999999998</v>
      </c>
      <c r="I309" s="252">
        <v>1.65517</v>
      </c>
      <c r="J309" s="141"/>
      <c r="K309" s="141"/>
      <c r="L309" s="141"/>
      <c r="M309" s="141"/>
      <c r="N309" s="141" t="s">
        <v>2989</v>
      </c>
      <c r="O309" s="141">
        <v>-13.181800000000001</v>
      </c>
      <c r="P309" s="141">
        <v>19.633030000000002</v>
      </c>
      <c r="Q309" s="141">
        <v>-2.2020200000000001</v>
      </c>
      <c r="R309" s="141">
        <v>-7.3103400000000001</v>
      </c>
      <c r="S309" s="141"/>
      <c r="T309" s="141"/>
    </row>
    <row r="310" spans="2:20">
      <c r="B310" s="141"/>
      <c r="C310" s="141"/>
      <c r="D310" s="141"/>
      <c r="E310" s="141" t="s">
        <v>2990</v>
      </c>
      <c r="F310" s="225">
        <v>1.931818</v>
      </c>
      <c r="G310" s="225">
        <v>-3.48624</v>
      </c>
      <c r="H310" s="141">
        <v>0.45454499999999998</v>
      </c>
      <c r="I310" s="252">
        <v>1.65517</v>
      </c>
      <c r="J310" s="141"/>
      <c r="K310" s="141"/>
      <c r="L310" s="141"/>
      <c r="M310" s="141"/>
      <c r="N310" s="141" t="s">
        <v>2990</v>
      </c>
      <c r="O310" s="141">
        <v>-10.1136</v>
      </c>
      <c r="P310" s="141">
        <v>21.92661</v>
      </c>
      <c r="Q310" s="141">
        <v>-2.0606100000000001</v>
      </c>
      <c r="R310" s="141">
        <v>-6.9310299999999998</v>
      </c>
      <c r="S310" s="141"/>
      <c r="T310" s="141"/>
    </row>
    <row r="311" spans="2:20">
      <c r="B311" s="141"/>
      <c r="C311" s="141"/>
      <c r="D311" s="141"/>
      <c r="E311" s="141" t="s">
        <v>2991</v>
      </c>
      <c r="F311" s="225">
        <v>1.931818</v>
      </c>
      <c r="G311" s="225">
        <v>-0.73394000000000004</v>
      </c>
      <c r="H311" s="141">
        <v>0.45454499999999998</v>
      </c>
      <c r="I311" s="252">
        <v>1.65517</v>
      </c>
      <c r="J311" s="141"/>
      <c r="K311" s="141"/>
      <c r="L311" s="141"/>
      <c r="M311" s="141"/>
      <c r="N311" s="141" t="s">
        <v>2991</v>
      </c>
      <c r="O311" s="141">
        <v>-16.590900000000001</v>
      </c>
      <c r="P311" s="141">
        <v>10.91743</v>
      </c>
      <c r="Q311" s="141">
        <v>-2.4848499999999998</v>
      </c>
      <c r="R311" s="141">
        <v>-7.6896599999999999</v>
      </c>
      <c r="S311" s="141"/>
      <c r="T311" s="141"/>
    </row>
    <row r="312" spans="2:20">
      <c r="B312" s="141"/>
      <c r="C312" s="141"/>
      <c r="D312" s="141"/>
      <c r="E312" s="141" t="s">
        <v>2992</v>
      </c>
      <c r="F312" s="225">
        <v>-0.45455000000000001</v>
      </c>
      <c r="G312" s="225">
        <v>0.18348600000000001</v>
      </c>
      <c r="H312" s="141">
        <v>0.45454499999999998</v>
      </c>
      <c r="I312" s="252">
        <v>1.65517</v>
      </c>
      <c r="J312" s="141"/>
      <c r="K312" s="141"/>
      <c r="L312" s="141"/>
      <c r="M312" s="141"/>
      <c r="N312" s="141" t="s">
        <v>2992</v>
      </c>
      <c r="O312" s="141">
        <v>-5.6818200000000001</v>
      </c>
      <c r="P312" s="141">
        <v>13.66972</v>
      </c>
      <c r="Q312" s="141">
        <v>-2.0606100000000001</v>
      </c>
      <c r="R312" s="141">
        <v>-6.5517200000000004</v>
      </c>
      <c r="S312" s="141"/>
      <c r="T312" s="141"/>
    </row>
    <row r="313" spans="2:20">
      <c r="B313" s="141"/>
      <c r="C313" s="141"/>
      <c r="D313" s="141"/>
      <c r="E313" s="141" t="s">
        <v>2993</v>
      </c>
      <c r="F313" s="225">
        <v>-0.79544999999999999</v>
      </c>
      <c r="G313" s="225">
        <v>2.9357799999999998</v>
      </c>
      <c r="H313" s="141">
        <v>0.31313099999999999</v>
      </c>
      <c r="I313" s="252">
        <v>1.4655199999999999</v>
      </c>
      <c r="J313" s="141"/>
      <c r="K313" s="141"/>
      <c r="L313" s="141"/>
      <c r="M313" s="141"/>
      <c r="N313" s="141" t="s">
        <v>2993</v>
      </c>
      <c r="O313" s="141">
        <v>-0.56818000000000002</v>
      </c>
      <c r="P313" s="141">
        <v>4.0366970000000002</v>
      </c>
      <c r="Q313" s="141">
        <v>-2.0606100000000001</v>
      </c>
      <c r="R313" s="141">
        <v>-6.5517200000000004</v>
      </c>
      <c r="S313" s="141"/>
      <c r="T313" s="141"/>
    </row>
    <row r="314" spans="2:20">
      <c r="B314" s="141"/>
      <c r="C314" s="141"/>
      <c r="D314" s="141"/>
      <c r="E314" s="141" t="s">
        <v>2994</v>
      </c>
      <c r="F314" s="225">
        <v>0.56818199999999996</v>
      </c>
      <c r="G314" s="225">
        <v>2.0183490000000002</v>
      </c>
      <c r="H314" s="141">
        <v>0.52525299999999997</v>
      </c>
      <c r="I314" s="252">
        <v>1.4655199999999999</v>
      </c>
      <c r="J314" s="141"/>
      <c r="K314" s="141"/>
      <c r="L314" s="141"/>
      <c r="M314" s="141"/>
      <c r="N314" s="141" t="s">
        <v>2994</v>
      </c>
      <c r="O314" s="141">
        <v>0.113636</v>
      </c>
      <c r="P314" s="141">
        <v>-9.1740000000000002E-2</v>
      </c>
      <c r="Q314" s="141">
        <v>-2.2727300000000001</v>
      </c>
      <c r="R314" s="141">
        <v>-7.5</v>
      </c>
      <c r="S314" s="141"/>
      <c r="T314" s="141"/>
    </row>
    <row r="315" spans="2:20">
      <c r="B315" s="141"/>
      <c r="C315" s="141"/>
      <c r="D315" s="217" t="s">
        <v>2613</v>
      </c>
      <c r="E315" s="141"/>
      <c r="F315" s="217">
        <v>1.9805189999999999</v>
      </c>
      <c r="G315" s="217">
        <v>-1.5203100000000001</v>
      </c>
      <c r="H315" s="217">
        <v>0.47474699999999997</v>
      </c>
      <c r="I315" s="217">
        <v>1.6551720000000001</v>
      </c>
      <c r="J315" s="141"/>
      <c r="K315" s="141"/>
      <c r="L315" s="141"/>
      <c r="M315" s="217" t="s">
        <v>2613</v>
      </c>
      <c r="N315" s="217"/>
      <c r="O315" s="217">
        <v>-8.1168800000000001</v>
      </c>
      <c r="P315" s="217">
        <v>12.42464</v>
      </c>
      <c r="Q315" s="217">
        <v>-2.1515200000000001</v>
      </c>
      <c r="R315" s="217">
        <v>-7.0664999999999996</v>
      </c>
      <c r="S315" s="141"/>
      <c r="T315" s="141"/>
    </row>
    <row r="316" spans="2:20">
      <c r="B316" s="141"/>
      <c r="C316" s="141"/>
      <c r="D316" s="141" t="s">
        <v>3024</v>
      </c>
      <c r="E316" s="141"/>
      <c r="F316" s="141">
        <v>59.415579999999999</v>
      </c>
      <c r="G316" s="141">
        <v>-45.609400000000001</v>
      </c>
      <c r="H316" s="141">
        <v>14.242419999999999</v>
      </c>
      <c r="I316" s="141">
        <v>49.655169999999998</v>
      </c>
      <c r="J316" s="141"/>
      <c r="K316" s="141"/>
      <c r="L316" s="141"/>
      <c r="M316" s="250" t="s">
        <v>3024</v>
      </c>
      <c r="N316" s="251"/>
      <c r="O316" s="251">
        <f>O315*30</f>
        <v>-243.50640000000001</v>
      </c>
      <c r="P316" s="251">
        <f t="shared" ref="P316:Q316" si="20">P315*30</f>
        <v>372.73919999999998</v>
      </c>
      <c r="Q316" s="251">
        <f t="shared" si="20"/>
        <v>-64.545600000000007</v>
      </c>
      <c r="R316" s="251">
        <f>R315*30</f>
        <v>-211.99499999999998</v>
      </c>
      <c r="S316" s="141"/>
      <c r="T316" s="141"/>
    </row>
    <row r="317" spans="2:20">
      <c r="B317" s="141"/>
      <c r="C317" s="141"/>
      <c r="D317" s="141"/>
      <c r="E317" s="141"/>
      <c r="F317" s="141"/>
      <c r="G317" s="141"/>
      <c r="H317" s="141"/>
      <c r="I317" s="141"/>
      <c r="J317" s="141"/>
      <c r="K317" s="141"/>
      <c r="L317" s="141"/>
      <c r="M317" s="141"/>
      <c r="N317" s="141"/>
      <c r="O317" s="141"/>
      <c r="P317" s="141"/>
      <c r="Q317" s="141"/>
      <c r="R317" s="141"/>
      <c r="S317" s="141"/>
      <c r="T317" s="141"/>
    </row>
    <row r="318" spans="2:20">
      <c r="B318" s="141"/>
      <c r="C318" s="141"/>
      <c r="D318" s="217" t="s">
        <v>2623</v>
      </c>
      <c r="E318" s="141" t="s">
        <v>2988</v>
      </c>
      <c r="F318" s="221">
        <v>13.18182</v>
      </c>
      <c r="G318" s="221">
        <v>-16.789000000000001</v>
      </c>
      <c r="H318" s="221">
        <v>2.575758</v>
      </c>
      <c r="I318" s="226">
        <v>8.4827600000000007</v>
      </c>
      <c r="J318" s="141"/>
      <c r="K318" s="141"/>
      <c r="L318" s="141"/>
      <c r="M318" s="141"/>
      <c r="N318" s="141"/>
      <c r="O318" s="141"/>
      <c r="P318" s="141"/>
      <c r="Q318" s="141"/>
      <c r="R318" s="141"/>
      <c r="S318" s="141"/>
      <c r="T318" s="141"/>
    </row>
    <row r="319" spans="2:20">
      <c r="B319" s="141"/>
      <c r="C319" s="141"/>
      <c r="D319" s="141"/>
      <c r="E319" s="141" t="s">
        <v>2989</v>
      </c>
      <c r="F319" s="221">
        <v>13.18182</v>
      </c>
      <c r="G319" s="221">
        <v>-13.119300000000001</v>
      </c>
      <c r="H319" s="221">
        <v>2.6464650000000001</v>
      </c>
      <c r="I319" s="226">
        <v>8.8620699999999992</v>
      </c>
      <c r="J319" s="141"/>
      <c r="K319" s="141"/>
      <c r="L319" s="141"/>
      <c r="M319" s="141"/>
      <c r="N319" s="141"/>
      <c r="O319" s="141"/>
      <c r="P319" s="141"/>
      <c r="Q319" s="141"/>
      <c r="R319" s="141"/>
      <c r="S319" s="141"/>
      <c r="T319" s="141"/>
    </row>
    <row r="320" spans="2:20">
      <c r="B320" s="141"/>
      <c r="C320" s="141"/>
      <c r="D320" s="141"/>
      <c r="E320" s="141" t="s">
        <v>2990</v>
      </c>
      <c r="F320" s="221">
        <v>8.4090910000000001</v>
      </c>
      <c r="G320" s="221">
        <v>-15.412800000000001</v>
      </c>
      <c r="H320" s="221">
        <v>2.575758</v>
      </c>
      <c r="I320" s="226">
        <v>8.4827600000000007</v>
      </c>
      <c r="J320" s="141"/>
      <c r="K320" s="141"/>
      <c r="L320" s="141"/>
      <c r="M320" s="141"/>
      <c r="N320" s="141"/>
      <c r="O320" s="141"/>
      <c r="P320" s="141"/>
      <c r="Q320" s="141"/>
      <c r="R320" s="141"/>
      <c r="S320" s="141"/>
      <c r="T320" s="141"/>
    </row>
    <row r="321" spans="2:20">
      <c r="B321" s="141"/>
      <c r="C321" s="141"/>
      <c r="D321" s="141"/>
      <c r="E321" s="141" t="s">
        <v>2991</v>
      </c>
      <c r="F321" s="221">
        <v>11.81818</v>
      </c>
      <c r="G321" s="221">
        <v>-8.5321099999999994</v>
      </c>
      <c r="H321" s="221">
        <v>2.575758</v>
      </c>
      <c r="I321" s="226">
        <v>8.4827600000000007</v>
      </c>
      <c r="J321" s="141"/>
      <c r="K321" s="141"/>
      <c r="L321" s="141"/>
      <c r="M321" s="141"/>
      <c r="N321" s="141"/>
      <c r="O321" s="141"/>
      <c r="P321" s="141"/>
      <c r="Q321" s="141"/>
      <c r="R321" s="141"/>
      <c r="S321" s="141"/>
      <c r="T321" s="141"/>
    </row>
    <row r="322" spans="2:20">
      <c r="B322" s="141"/>
      <c r="C322" s="141"/>
      <c r="D322" s="141"/>
      <c r="E322" s="141" t="s">
        <v>2992</v>
      </c>
      <c r="F322" s="221">
        <v>5.3409089999999999</v>
      </c>
      <c r="G322" s="221">
        <v>-7.6146799999999999</v>
      </c>
      <c r="H322" s="221">
        <v>2.5050509999999999</v>
      </c>
      <c r="I322" s="226">
        <v>8.2931000000000008</v>
      </c>
      <c r="J322" s="141"/>
      <c r="K322" s="141"/>
      <c r="L322" s="141"/>
      <c r="M322" s="141"/>
      <c r="N322" s="141"/>
      <c r="O322" s="141"/>
      <c r="P322" s="141"/>
      <c r="Q322" s="141"/>
      <c r="R322" s="141"/>
      <c r="S322" s="141"/>
      <c r="T322" s="141"/>
    </row>
    <row r="323" spans="2:20">
      <c r="B323" s="141"/>
      <c r="C323" s="141"/>
      <c r="D323" s="141"/>
      <c r="E323" s="141" t="s">
        <v>2993</v>
      </c>
      <c r="F323" s="221">
        <v>1.5909089999999999</v>
      </c>
      <c r="G323" s="221">
        <v>-0.27522999999999997</v>
      </c>
      <c r="H323" s="221">
        <v>2.4343430000000001</v>
      </c>
      <c r="I323" s="226">
        <v>8.1034500000000005</v>
      </c>
      <c r="J323" s="141"/>
      <c r="K323" s="141"/>
      <c r="L323" s="141"/>
      <c r="M323" s="141"/>
      <c r="N323" s="141"/>
      <c r="O323" s="141"/>
      <c r="P323" s="141"/>
      <c r="Q323" s="141"/>
      <c r="R323" s="141"/>
      <c r="S323" s="141"/>
      <c r="T323" s="141"/>
    </row>
    <row r="324" spans="2:20">
      <c r="B324" s="141"/>
      <c r="C324" s="141"/>
      <c r="D324" s="141"/>
      <c r="E324" s="141" t="s">
        <v>2994</v>
      </c>
      <c r="F324" s="221">
        <v>3.9772729999999998</v>
      </c>
      <c r="G324" s="221">
        <v>1.559633</v>
      </c>
      <c r="H324" s="221">
        <v>2.6464650000000001</v>
      </c>
      <c r="I324" s="226">
        <v>8.6724099999999993</v>
      </c>
      <c r="J324" s="141"/>
      <c r="K324" s="141"/>
      <c r="L324" s="141"/>
      <c r="M324" s="141"/>
      <c r="N324" s="141"/>
      <c r="O324" s="141"/>
      <c r="P324" s="141"/>
      <c r="Q324" s="141"/>
      <c r="R324" s="141"/>
      <c r="S324" s="141"/>
      <c r="T324" s="141"/>
    </row>
    <row r="325" spans="2:20">
      <c r="B325" s="141"/>
      <c r="C325" s="141"/>
      <c r="D325" s="217" t="s">
        <v>2613</v>
      </c>
      <c r="E325" s="141"/>
      <c r="F325" s="217">
        <v>8.2142859999999995</v>
      </c>
      <c r="G325" s="217">
        <v>-8.5976400000000002</v>
      </c>
      <c r="H325" s="217">
        <v>2.5656569999999999</v>
      </c>
      <c r="I325" s="217">
        <v>8.4827589999999997</v>
      </c>
      <c r="J325" s="141"/>
      <c r="K325" s="141"/>
      <c r="L325" s="141"/>
      <c r="M325" s="141"/>
      <c r="N325" s="141"/>
      <c r="O325" s="141"/>
      <c r="P325" s="141"/>
      <c r="Q325" s="141"/>
      <c r="R325" s="141"/>
      <c r="S325" s="141"/>
      <c r="T325" s="141"/>
    </row>
    <row r="326" spans="2:20">
      <c r="B326" s="141"/>
      <c r="C326" s="141"/>
      <c r="D326" s="141" t="s">
        <v>3024</v>
      </c>
      <c r="E326" s="141"/>
      <c r="F326" s="141">
        <v>246.42859999999999</v>
      </c>
      <c r="G326" s="141">
        <v>-257.92899999999997</v>
      </c>
      <c r="H326" s="141">
        <v>76.969700000000003</v>
      </c>
      <c r="I326" s="141">
        <v>254.4828</v>
      </c>
      <c r="J326" s="141"/>
      <c r="K326" s="141"/>
      <c r="L326" s="141"/>
      <c r="M326" s="141"/>
      <c r="N326" s="141"/>
      <c r="O326" s="141"/>
      <c r="P326" s="141"/>
      <c r="Q326" s="141"/>
      <c r="R326" s="141"/>
      <c r="S326" s="141"/>
      <c r="T326" s="141"/>
    </row>
    <row r="327" spans="2:20">
      <c r="B327" s="141"/>
      <c r="C327" s="141"/>
      <c r="D327" s="141"/>
      <c r="E327" s="141"/>
      <c r="F327" s="141"/>
      <c r="G327" s="141"/>
      <c r="H327" s="141"/>
      <c r="I327" s="141"/>
      <c r="J327" s="141"/>
      <c r="K327" s="141"/>
      <c r="L327" s="141"/>
      <c r="M327" s="141"/>
      <c r="N327" s="141"/>
      <c r="O327" s="141"/>
      <c r="P327" s="141"/>
      <c r="Q327" s="141"/>
      <c r="R327" s="141"/>
      <c r="S327" s="141"/>
      <c r="T327" s="141"/>
    </row>
    <row r="328" spans="2:20">
      <c r="B328" s="141"/>
      <c r="C328" s="141"/>
      <c r="D328" s="217" t="s">
        <v>2621</v>
      </c>
      <c r="E328" s="141" t="s">
        <v>2988</v>
      </c>
      <c r="F328" s="223">
        <v>2.2727270000000002</v>
      </c>
      <c r="G328" s="223">
        <v>0.64220200000000005</v>
      </c>
      <c r="H328" s="223">
        <v>1.3030299999999999</v>
      </c>
      <c r="I328" s="224">
        <v>4.3103400000000001</v>
      </c>
      <c r="J328" s="141"/>
      <c r="K328" s="141"/>
      <c r="L328" s="141"/>
      <c r="M328" s="141"/>
      <c r="N328" s="141"/>
      <c r="O328" s="141"/>
      <c r="P328" s="141"/>
      <c r="Q328" s="141"/>
      <c r="R328" s="141"/>
      <c r="S328" s="141"/>
      <c r="T328" s="141"/>
    </row>
    <row r="329" spans="2:20">
      <c r="B329" s="141"/>
      <c r="C329" s="141"/>
      <c r="D329" s="217" t="s">
        <v>2622</v>
      </c>
      <c r="E329" s="141" t="s">
        <v>2989</v>
      </c>
      <c r="F329" s="223">
        <v>-0.45455000000000001</v>
      </c>
      <c r="G329" s="223">
        <v>7.0642199999999997</v>
      </c>
      <c r="H329" s="223">
        <v>1.3030299999999999</v>
      </c>
      <c r="I329" s="224">
        <v>4.3103400000000001</v>
      </c>
      <c r="J329" s="141"/>
      <c r="K329" s="141"/>
      <c r="L329" s="141"/>
      <c r="M329" s="141"/>
      <c r="N329" s="141"/>
      <c r="O329" s="141"/>
      <c r="P329" s="141"/>
      <c r="Q329" s="141"/>
      <c r="R329" s="141"/>
      <c r="S329" s="141"/>
      <c r="T329" s="141"/>
    </row>
    <row r="330" spans="2:20">
      <c r="B330" s="141"/>
      <c r="C330" s="141"/>
      <c r="D330" s="141"/>
      <c r="E330" s="141" t="s">
        <v>2990</v>
      </c>
      <c r="F330" s="223">
        <v>-1.4772700000000001</v>
      </c>
      <c r="G330" s="223">
        <v>6.1467890000000001</v>
      </c>
      <c r="H330" s="223">
        <v>0.87878800000000001</v>
      </c>
      <c r="I330" s="224">
        <v>2.60345</v>
      </c>
      <c r="J330" s="141"/>
      <c r="K330" s="141"/>
      <c r="L330" s="141"/>
      <c r="M330" s="141"/>
      <c r="N330" s="141"/>
      <c r="O330" s="141"/>
      <c r="P330" s="141"/>
      <c r="Q330" s="141"/>
      <c r="R330" s="141"/>
      <c r="S330" s="141"/>
      <c r="T330" s="141"/>
    </row>
    <row r="331" spans="2:20">
      <c r="B331" s="141"/>
      <c r="C331" s="141"/>
      <c r="D331" s="141"/>
      <c r="E331" s="141" t="s">
        <v>2991</v>
      </c>
      <c r="F331" s="223">
        <v>-4.2045500000000002</v>
      </c>
      <c r="G331" s="223">
        <v>2.4770639999999999</v>
      </c>
      <c r="H331" s="223">
        <v>0.87878800000000001</v>
      </c>
      <c r="I331" s="224">
        <v>2.60345</v>
      </c>
      <c r="J331" s="141"/>
      <c r="K331" s="141"/>
      <c r="L331" s="141"/>
      <c r="M331" s="141"/>
      <c r="N331" s="141"/>
      <c r="O331" s="141"/>
      <c r="P331" s="141"/>
      <c r="Q331" s="141"/>
      <c r="R331" s="141"/>
      <c r="S331" s="141"/>
      <c r="T331" s="141"/>
    </row>
    <row r="332" spans="2:20">
      <c r="B332" s="141"/>
      <c r="C332" s="141"/>
      <c r="D332" s="141"/>
      <c r="E332" s="141" t="s">
        <v>2992</v>
      </c>
      <c r="F332" s="223">
        <v>-0.79544999999999999</v>
      </c>
      <c r="G332" s="223">
        <v>6.1467890000000001</v>
      </c>
      <c r="H332" s="223">
        <v>0.66666700000000001</v>
      </c>
      <c r="I332" s="224">
        <v>2.0344799999999998</v>
      </c>
      <c r="J332" s="141"/>
      <c r="K332" s="141"/>
      <c r="L332" s="141"/>
      <c r="M332" s="141"/>
      <c r="N332" s="141"/>
      <c r="O332" s="141"/>
      <c r="P332" s="141"/>
      <c r="Q332" s="141"/>
      <c r="R332" s="141"/>
      <c r="S332" s="141"/>
      <c r="T332" s="141"/>
    </row>
    <row r="333" spans="2:20">
      <c r="B333" s="141"/>
      <c r="C333" s="141"/>
      <c r="D333" s="141"/>
      <c r="E333" s="141" t="s">
        <v>2993</v>
      </c>
      <c r="F333" s="223">
        <v>0.90909099999999998</v>
      </c>
      <c r="G333" s="223">
        <v>3.8532109999999999</v>
      </c>
      <c r="H333" s="223">
        <v>0.66666700000000001</v>
      </c>
      <c r="I333" s="224">
        <v>2.0344799999999998</v>
      </c>
      <c r="J333" s="141"/>
      <c r="K333" s="141"/>
      <c r="L333" s="141"/>
      <c r="M333" s="141"/>
      <c r="N333" s="141"/>
      <c r="O333" s="141"/>
      <c r="P333" s="141"/>
      <c r="Q333" s="141"/>
      <c r="R333" s="141"/>
      <c r="S333" s="141"/>
      <c r="T333" s="141"/>
    </row>
    <row r="334" spans="2:20">
      <c r="B334" s="141"/>
      <c r="C334" s="141"/>
      <c r="D334" s="141"/>
      <c r="E334" s="141" t="s">
        <v>2994</v>
      </c>
      <c r="F334" s="223">
        <v>3.6363639999999999</v>
      </c>
      <c r="G334" s="223">
        <v>1.559633</v>
      </c>
      <c r="H334" s="223">
        <v>0.31313099999999999</v>
      </c>
      <c r="I334" s="224">
        <v>1.27586</v>
      </c>
      <c r="J334" s="141"/>
      <c r="K334" s="141"/>
      <c r="L334" s="141"/>
      <c r="M334" s="141"/>
      <c r="N334" s="141"/>
      <c r="O334" s="141"/>
      <c r="P334" s="141"/>
      <c r="Q334" s="141"/>
      <c r="R334" s="141"/>
      <c r="S334" s="141"/>
      <c r="T334" s="141"/>
    </row>
    <row r="335" spans="2:20">
      <c r="B335" s="141"/>
      <c r="C335" s="141"/>
      <c r="D335" s="217" t="s">
        <v>2613</v>
      </c>
      <c r="E335" s="141"/>
      <c r="F335" s="217">
        <v>-1.6230000000000001E-2</v>
      </c>
      <c r="G335" s="217">
        <v>3.984273</v>
      </c>
      <c r="H335" s="217">
        <v>0.85858599999999996</v>
      </c>
      <c r="I335" s="217">
        <v>2.7389160000000001</v>
      </c>
      <c r="J335" s="141"/>
      <c r="K335" s="141"/>
      <c r="L335" s="141"/>
      <c r="M335" s="141"/>
      <c r="N335" s="141"/>
      <c r="O335" s="141"/>
      <c r="P335" s="141"/>
      <c r="Q335" s="141"/>
      <c r="R335" s="141"/>
      <c r="S335" s="141"/>
      <c r="T335" s="141"/>
    </row>
    <row r="336" spans="2:20">
      <c r="B336" s="141"/>
      <c r="C336" s="141"/>
      <c r="D336" s="250" t="s">
        <v>3023</v>
      </c>
      <c r="E336" s="251"/>
      <c r="F336" s="251">
        <f>F335*30</f>
        <v>-0.48690000000000005</v>
      </c>
      <c r="G336" s="251">
        <f t="shared" si="19"/>
        <v>119.52819</v>
      </c>
      <c r="H336" s="251">
        <f t="shared" si="19"/>
        <v>25.757579999999997</v>
      </c>
      <c r="I336" s="251">
        <f t="shared" si="19"/>
        <v>82.167479999999998</v>
      </c>
      <c r="J336" s="141"/>
      <c r="K336" s="141"/>
      <c r="L336" s="141"/>
      <c r="M336" s="141"/>
      <c r="N336" s="141"/>
      <c r="O336" s="141"/>
      <c r="P336" s="141"/>
      <c r="Q336" s="141"/>
      <c r="R336" s="141"/>
      <c r="S336" s="141"/>
      <c r="T336" s="141"/>
    </row>
    <row r="337" spans="1:28">
      <c r="B337" s="141"/>
      <c r="C337" s="141"/>
      <c r="D337" s="141"/>
      <c r="E337" s="141"/>
      <c r="F337" s="141"/>
      <c r="G337" s="141"/>
      <c r="H337" s="141"/>
      <c r="I337" s="141"/>
      <c r="J337" s="141"/>
      <c r="K337" s="141"/>
      <c r="L337" s="141"/>
      <c r="M337" s="141"/>
      <c r="N337" s="141"/>
      <c r="O337" s="141"/>
      <c r="P337" s="141"/>
      <c r="Q337" s="141"/>
      <c r="R337" s="141"/>
      <c r="S337" s="141"/>
      <c r="T337" s="141"/>
    </row>
    <row r="338" spans="1:28">
      <c r="A338" t="s">
        <v>3027</v>
      </c>
      <c r="B338">
        <f>156*2*8</f>
        <v>2496</v>
      </c>
      <c r="C338" t="s">
        <v>3028</v>
      </c>
      <c r="E338">
        <f>156*2*8</f>
        <v>2496</v>
      </c>
      <c r="F338" t="s">
        <v>3029</v>
      </c>
    </row>
    <row r="339" spans="1:28">
      <c r="A339" t="s">
        <v>783</v>
      </c>
      <c r="B339" s="238" t="s">
        <v>3030</v>
      </c>
      <c r="F339" s="238" t="s">
        <v>924</v>
      </c>
      <c r="G339" t="s">
        <v>3031</v>
      </c>
      <c r="I339" t="s">
        <v>807</v>
      </c>
      <c r="K339" t="s">
        <v>806</v>
      </c>
      <c r="N339" s="238" t="s">
        <v>3032</v>
      </c>
      <c r="O339" t="s">
        <v>3031</v>
      </c>
      <c r="Q339" t="s">
        <v>807</v>
      </c>
      <c r="S339" t="s">
        <v>806</v>
      </c>
      <c r="V339" t="s">
        <v>2627</v>
      </c>
      <c r="W339" t="s">
        <v>3031</v>
      </c>
      <c r="Y339" t="s">
        <v>807</v>
      </c>
      <c r="AA339" t="s">
        <v>806</v>
      </c>
    </row>
    <row r="340" spans="1:28">
      <c r="A340" t="s">
        <v>397</v>
      </c>
      <c r="C340" t="s">
        <v>810</v>
      </c>
      <c r="D340" t="s">
        <v>259</v>
      </c>
      <c r="F340" t="s">
        <v>539</v>
      </c>
      <c r="G340" t="s">
        <v>810</v>
      </c>
      <c r="H340" t="s">
        <v>259</v>
      </c>
      <c r="I340" t="s">
        <v>810</v>
      </c>
      <c r="J340" t="s">
        <v>259</v>
      </c>
      <c r="K340" t="s">
        <v>810</v>
      </c>
      <c r="L340" t="s">
        <v>259</v>
      </c>
      <c r="N340" t="s">
        <v>397</v>
      </c>
      <c r="O340" t="s">
        <v>810</v>
      </c>
      <c r="P340" t="s">
        <v>259</v>
      </c>
      <c r="Q340" t="s">
        <v>810</v>
      </c>
      <c r="R340" t="s">
        <v>259</v>
      </c>
      <c r="S340" t="s">
        <v>810</v>
      </c>
      <c r="T340" t="s">
        <v>259</v>
      </c>
      <c r="V340" t="s">
        <v>539</v>
      </c>
      <c r="W340" t="s">
        <v>810</v>
      </c>
      <c r="X340" t="s">
        <v>259</v>
      </c>
      <c r="Y340" t="s">
        <v>810</v>
      </c>
      <c r="Z340" t="s">
        <v>259</v>
      </c>
      <c r="AA340" t="s">
        <v>810</v>
      </c>
      <c r="AB340" t="s">
        <v>259</v>
      </c>
    </row>
    <row r="341" spans="1:28">
      <c r="A341" s="253" t="s">
        <v>3033</v>
      </c>
      <c r="B341" t="s">
        <v>3034</v>
      </c>
      <c r="C341">
        <v>35.094000000000001</v>
      </c>
      <c r="D341">
        <v>28.074999999999999</v>
      </c>
      <c r="F341" t="s">
        <v>3035</v>
      </c>
      <c r="G341">
        <v>1135</v>
      </c>
      <c r="H341">
        <v>521</v>
      </c>
      <c r="I341">
        <v>1135</v>
      </c>
      <c r="J341">
        <v>521</v>
      </c>
      <c r="K341">
        <v>1135</v>
      </c>
      <c r="L341">
        <v>521</v>
      </c>
    </row>
    <row r="342" spans="1:28">
      <c r="A342" s="253" t="s">
        <v>3033</v>
      </c>
      <c r="B342" t="s">
        <v>3036</v>
      </c>
      <c r="C342">
        <v>7.31</v>
      </c>
      <c r="D342">
        <v>2.7949999999999999</v>
      </c>
      <c r="F342" t="s">
        <v>3037</v>
      </c>
      <c r="G342">
        <v>38</v>
      </c>
      <c r="H342">
        <v>20</v>
      </c>
      <c r="I342">
        <v>38</v>
      </c>
      <c r="J342">
        <v>24</v>
      </c>
      <c r="K342">
        <v>38</v>
      </c>
      <c r="L342">
        <v>40</v>
      </c>
    </row>
    <row r="343" spans="1:28">
      <c r="A343" s="253" t="s">
        <v>195</v>
      </c>
      <c r="B343" t="s">
        <v>3038</v>
      </c>
      <c r="C343">
        <v>-161.49</v>
      </c>
      <c r="D343">
        <v>-64.394000000000005</v>
      </c>
      <c r="F343" t="s">
        <v>3039</v>
      </c>
      <c r="G343">
        <v>214</v>
      </c>
      <c r="H343">
        <v>146</v>
      </c>
      <c r="I343">
        <v>197</v>
      </c>
      <c r="J343">
        <v>134</v>
      </c>
      <c r="K343">
        <v>199</v>
      </c>
      <c r="L343">
        <v>134</v>
      </c>
    </row>
    <row r="344" spans="1:28">
      <c r="A344" s="253" t="s">
        <v>195</v>
      </c>
      <c r="B344" t="s">
        <v>3040</v>
      </c>
      <c r="C344">
        <v>0</v>
      </c>
      <c r="D344">
        <v>-64.013999999999996</v>
      </c>
    </row>
    <row r="345" spans="1:28">
      <c r="B345" t="s">
        <v>2627</v>
      </c>
      <c r="C345">
        <v>-119.086</v>
      </c>
      <c r="D345">
        <v>-97.537999999999997</v>
      </c>
      <c r="G345">
        <f t="shared" ref="G345:L345" si="21">SUM(G341:G343)</f>
        <v>1387</v>
      </c>
      <c r="H345">
        <f t="shared" si="21"/>
        <v>687</v>
      </c>
      <c r="I345">
        <f t="shared" si="21"/>
        <v>1370</v>
      </c>
      <c r="J345">
        <f t="shared" si="21"/>
        <v>679</v>
      </c>
      <c r="K345">
        <f t="shared" si="21"/>
        <v>1372</v>
      </c>
      <c r="L345">
        <f t="shared" si="21"/>
        <v>695</v>
      </c>
      <c r="O345">
        <v>293.02325581395303</v>
      </c>
      <c r="P345">
        <v>353.48837209302297</v>
      </c>
      <c r="Q345">
        <v>164.34108527131701</v>
      </c>
      <c r="R345">
        <v>234.10852713178301</v>
      </c>
      <c r="S345">
        <v>269.767441860465</v>
      </c>
      <c r="T345">
        <v>310.07751937984398</v>
      </c>
      <c r="W345">
        <f>O345*0.1+G345+$C345*0.1</f>
        <v>1404.3937255813953</v>
      </c>
      <c r="X345">
        <f>P345*0.1+H345+$D345*0.1</f>
        <v>712.59503720930229</v>
      </c>
      <c r="Y345">
        <f>Q345*0.1+I345+$C345*0.1</f>
        <v>1374.5255085271317</v>
      </c>
      <c r="Z345">
        <f>R345*0.1+J345+$D345*0.1</f>
        <v>692.65705271317836</v>
      </c>
      <c r="AA345">
        <f>S345*0.1+K345+$C345*0.1</f>
        <v>1387.0681441860465</v>
      </c>
      <c r="AB345">
        <f>T345*0.1+L345+$D345*0.1</f>
        <v>716.25395193798443</v>
      </c>
    </row>
    <row r="348" spans="1:28">
      <c r="C348" t="s">
        <v>3031</v>
      </c>
      <c r="E348" t="s">
        <v>807</v>
      </c>
      <c r="G348" t="s">
        <v>806</v>
      </c>
      <c r="U348" t="s">
        <v>2623</v>
      </c>
    </row>
    <row r="349" spans="1:28">
      <c r="A349" t="s">
        <v>3041</v>
      </c>
      <c r="B349" t="s">
        <v>1608</v>
      </c>
      <c r="C349" t="s">
        <v>810</v>
      </c>
      <c r="D349" t="s">
        <v>259</v>
      </c>
      <c r="E349" t="s">
        <v>810</v>
      </c>
      <c r="F349" t="s">
        <v>259</v>
      </c>
      <c r="G349" t="s">
        <v>810</v>
      </c>
      <c r="H349" t="s">
        <v>259</v>
      </c>
    </row>
    <row r="350" spans="1:28">
      <c r="B350" t="s">
        <v>924</v>
      </c>
      <c r="C350">
        <v>1.0401746724890799</v>
      </c>
      <c r="D350">
        <v>0.52139737991266299</v>
      </c>
      <c r="E350">
        <v>1.03493449781659</v>
      </c>
      <c r="F350">
        <v>0.51877729257641902</v>
      </c>
      <c r="G350">
        <v>1.03493449781659</v>
      </c>
      <c r="H350">
        <v>0.53187772925764099</v>
      </c>
    </row>
    <row r="351" spans="1:28">
      <c r="B351" t="s">
        <v>3032</v>
      </c>
      <c r="C351">
        <v>0.29344978165938801</v>
      </c>
      <c r="D351">
        <v>0.35633187772925701</v>
      </c>
      <c r="E351">
        <v>0.27248908296943197</v>
      </c>
      <c r="F351">
        <v>0.31179039301310002</v>
      </c>
      <c r="G351">
        <v>0.40087336244541499</v>
      </c>
      <c r="H351">
        <v>0.43231441048034902</v>
      </c>
    </row>
    <row r="352" spans="1:28">
      <c r="B352" t="s">
        <v>3042</v>
      </c>
      <c r="C352">
        <v>-9.43231441048034E-2</v>
      </c>
      <c r="D352">
        <v>-7.8602620087335803E-2</v>
      </c>
      <c r="E352">
        <v>-9.43231441048034E-2</v>
      </c>
      <c r="F352">
        <v>-7.8602620087335803E-2</v>
      </c>
      <c r="G352">
        <v>-9.43231441048034E-2</v>
      </c>
      <c r="H352">
        <v>-7.8602620087335803E-2</v>
      </c>
    </row>
    <row r="353" spans="1:11">
      <c r="B353" t="s">
        <v>2627</v>
      </c>
      <c r="C353">
        <f>SUM(C350:C352)</f>
        <v>1.2393013100436645</v>
      </c>
      <c r="D353">
        <f t="shared" ref="D353:H353" si="22">SUM(D350:D352)</f>
        <v>0.79912663755458424</v>
      </c>
      <c r="E353">
        <f t="shared" si="22"/>
        <v>1.2131004366812186</v>
      </c>
      <c r="F353">
        <f t="shared" si="22"/>
        <v>0.75196506550218323</v>
      </c>
      <c r="G353">
        <f t="shared" si="22"/>
        <v>1.3414847161572017</v>
      </c>
      <c r="H353">
        <f t="shared" si="22"/>
        <v>0.88558951965065424</v>
      </c>
    </row>
    <row r="356" spans="1:11">
      <c r="I356" s="238" t="s">
        <v>3043</v>
      </c>
      <c r="J356" s="238" t="s">
        <v>3044</v>
      </c>
      <c r="K356" s="238" t="s">
        <v>3045</v>
      </c>
    </row>
    <row r="357" spans="1:11">
      <c r="A357" t="s">
        <v>3046</v>
      </c>
      <c r="E357" s="254" t="s">
        <v>3047</v>
      </c>
      <c r="F357" t="s">
        <v>3048</v>
      </c>
      <c r="G357" t="s">
        <v>3049</v>
      </c>
      <c r="H357" t="s">
        <v>3050</v>
      </c>
      <c r="I357" t="s">
        <v>3044</v>
      </c>
      <c r="J357" t="s">
        <v>3043</v>
      </c>
      <c r="K357" t="s">
        <v>3051</v>
      </c>
    </row>
    <row r="358" spans="1:11">
      <c r="E358" s="254" t="s">
        <v>665</v>
      </c>
      <c r="G358">
        <v>3476</v>
      </c>
      <c r="H358">
        <v>497</v>
      </c>
      <c r="I358">
        <v>2927522</v>
      </c>
      <c r="J358">
        <v>1029876</v>
      </c>
      <c r="K358">
        <v>200</v>
      </c>
    </row>
    <row r="359" spans="1:11">
      <c r="E359" s="254" t="s">
        <v>1043</v>
      </c>
      <c r="F359" t="s">
        <v>345</v>
      </c>
      <c r="G359">
        <v>38.799999999999997</v>
      </c>
      <c r="H359">
        <v>2.9</v>
      </c>
      <c r="I359">
        <v>150784</v>
      </c>
      <c r="J359">
        <v>60125</v>
      </c>
      <c r="K359">
        <v>1.6</v>
      </c>
    </row>
    <row r="360" spans="1:11">
      <c r="E360" s="254" t="s">
        <v>3052</v>
      </c>
      <c r="F360" t="s">
        <v>345</v>
      </c>
      <c r="G360">
        <v>3.9</v>
      </c>
      <c r="H360">
        <v>0.1</v>
      </c>
      <c r="I360">
        <v>53000</v>
      </c>
      <c r="J360">
        <v>5160</v>
      </c>
      <c r="K360">
        <v>0.6</v>
      </c>
    </row>
    <row r="361" spans="1:11">
      <c r="E361" s="254" t="s">
        <v>3053</v>
      </c>
      <c r="F361" t="s">
        <v>345</v>
      </c>
      <c r="G361">
        <v>6.5</v>
      </c>
      <c r="H361">
        <v>0.4</v>
      </c>
      <c r="I361">
        <v>14868</v>
      </c>
      <c r="J361">
        <v>26306</v>
      </c>
      <c r="K361">
        <v>0.94</v>
      </c>
    </row>
    <row r="362" spans="1:11">
      <c r="E362" s="254" t="s">
        <v>259</v>
      </c>
      <c r="F362" t="s">
        <v>498</v>
      </c>
      <c r="G362">
        <v>1009</v>
      </c>
      <c r="H362">
        <v>67.7</v>
      </c>
      <c r="I362" t="s">
        <v>3054</v>
      </c>
      <c r="J362">
        <v>119193</v>
      </c>
      <c r="K362">
        <v>1541</v>
      </c>
    </row>
    <row r="363" spans="1:11">
      <c r="E363" s="254" t="s">
        <v>3055</v>
      </c>
      <c r="F363" t="s">
        <v>345</v>
      </c>
      <c r="G363">
        <v>3.5</v>
      </c>
      <c r="H363">
        <v>0.3</v>
      </c>
      <c r="I363">
        <v>168721</v>
      </c>
      <c r="J363">
        <v>15127</v>
      </c>
      <c r="K363">
        <v>0.14000000000000001</v>
      </c>
    </row>
    <row r="364" spans="1:11">
      <c r="E364" s="254" t="s">
        <v>3056</v>
      </c>
      <c r="F364" t="s">
        <v>345</v>
      </c>
      <c r="G364">
        <v>57.1</v>
      </c>
      <c r="H364">
        <v>3.8</v>
      </c>
      <c r="I364">
        <v>2923</v>
      </c>
      <c r="J364">
        <v>14210</v>
      </c>
      <c r="K364">
        <v>4.2</v>
      </c>
    </row>
    <row r="365" spans="1:11">
      <c r="E365" s="254" t="s">
        <v>3057</v>
      </c>
      <c r="F365" t="s">
        <v>3058</v>
      </c>
      <c r="G365">
        <v>12717</v>
      </c>
      <c r="H365">
        <v>696</v>
      </c>
      <c r="I365" t="s">
        <v>3054</v>
      </c>
      <c r="J365">
        <v>8552</v>
      </c>
      <c r="K365">
        <v>783</v>
      </c>
    </row>
    <row r="366" spans="1:11">
      <c r="E366" s="254" t="s">
        <v>3059</v>
      </c>
      <c r="F366" t="s">
        <v>345</v>
      </c>
      <c r="G366">
        <v>18.3</v>
      </c>
      <c r="H366">
        <v>1.6</v>
      </c>
      <c r="I366" t="s">
        <v>3054</v>
      </c>
      <c r="J366">
        <v>2924</v>
      </c>
      <c r="K366">
        <v>9.25</v>
      </c>
    </row>
    <row r="367" spans="1:11">
      <c r="I367" t="s">
        <v>810</v>
      </c>
      <c r="J367" t="s">
        <v>259</v>
      </c>
    </row>
    <row r="368" spans="1:11">
      <c r="D368" t="s">
        <v>3060</v>
      </c>
      <c r="F368" t="s">
        <v>345</v>
      </c>
      <c r="I368">
        <f>SUM(I362,I365,I366)</f>
        <v>0</v>
      </c>
      <c r="J368">
        <f>SUM(J362,J365,J366)</f>
        <v>130669</v>
      </c>
    </row>
  </sheetData>
  <mergeCells count="12">
    <mergeCell ref="C278:E281"/>
    <mergeCell ref="N203:P203"/>
    <mergeCell ref="Q203:S203"/>
    <mergeCell ref="D213:F213"/>
    <mergeCell ref="G213:I213"/>
    <mergeCell ref="N213:P213"/>
    <mergeCell ref="Q213:S213"/>
    <mergeCell ref="B158:C158"/>
    <mergeCell ref="E158:F158"/>
    <mergeCell ref="F184:G184"/>
    <mergeCell ref="N194:P194"/>
    <mergeCell ref="Q194:S194"/>
  </mergeCell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
  <sheetViews>
    <sheetView workbookViewId="0">
      <selection activeCell="B1" sqref="B1"/>
    </sheetView>
  </sheetViews>
  <sheetFormatPr baseColWidth="10" defaultRowHeight="16"/>
  <cols>
    <col min="2" max="2" width="19.33203125" customWidth="1"/>
  </cols>
  <sheetData>
    <row r="1" spans="1:4">
      <c r="A1" t="s">
        <v>3061</v>
      </c>
      <c r="B1">
        <f>AVERAGE(Sheet1!CU:CU)</f>
        <v>-279.94108408089664</v>
      </c>
      <c r="C1">
        <f>STDEVA(Sheet1!$BY:$BY)</f>
        <v>3887.0479820960177</v>
      </c>
      <c r="D1" s="152">
        <v>3</v>
      </c>
    </row>
    <row r="2" spans="1:4">
      <c r="A2" t="s">
        <v>164</v>
      </c>
      <c r="B2">
        <f>AVERAGE(Sheet1!BU:BU)</f>
        <v>1.0931701833388203</v>
      </c>
      <c r="C2">
        <f>STDEVA(Sheet1!$BU:$BU)</f>
        <v>17.422416702030777</v>
      </c>
      <c r="D2" s="152"/>
    </row>
    <row r="3" spans="1:4">
      <c r="B3" t="s">
        <v>3062</v>
      </c>
      <c r="C3" t="s">
        <v>3063</v>
      </c>
      <c r="D3" t="s">
        <v>3064</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4"/>
  <sheetViews>
    <sheetView workbookViewId="0">
      <selection activeCell="A4" sqref="A4"/>
    </sheetView>
  </sheetViews>
  <sheetFormatPr baseColWidth="10" defaultRowHeight="16"/>
  <sheetData>
    <row r="1" spans="1:1">
      <c r="A1" t="s">
        <v>3065</v>
      </c>
    </row>
    <row r="2" spans="1:1">
      <c r="A2" t="s">
        <v>3066</v>
      </c>
    </row>
    <row r="3" spans="1:1">
      <c r="A3" t="s">
        <v>3067</v>
      </c>
    </row>
    <row r="4" spans="1:1">
      <c r="A4" t="s">
        <v>3068</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Sheet1</vt:lpstr>
      <vt:lpstr>Sheet2</vt:lpstr>
      <vt:lpstr>Conversions</vt:lpstr>
      <vt:lpstr>Palette_in_use</vt:lpstr>
      <vt:lpstr>SL_Extractions_v5</vt:lpstr>
      <vt:lpstr>VB_Extractions_v5</vt:lpstr>
      <vt:lpstr>QC_Aude</vt:lpstr>
      <vt:lpstr>QC_indicators</vt:lpstr>
      <vt:lpstr>TO DO</vt:lpstr>
      <vt:lpstr>C_to_CO2</vt:lpstr>
      <vt:lpstr>kg_to_m3</vt:lpstr>
      <vt:lpstr>t_to_m3</vt:lpstr>
      <vt:lpstr>tC_to_m3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Aude Valade</cp:lastModifiedBy>
  <cp:revision>11</cp:revision>
  <dcterms:created xsi:type="dcterms:W3CDTF">2022-03-29T09:19:07Z</dcterms:created>
  <dcterms:modified xsi:type="dcterms:W3CDTF">2025-06-25T13:01:26Z</dcterms:modified>
</cp:coreProperties>
</file>